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custom.xml" ContentType="application/vnd.openxmlformats-officedocument.custom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dt_pb_mapping_via_czengvallex" sheetId="1" state="visible" r:id="rId2"/>
  </sheets>
  <definedNames>
    <definedName function="false" hidden="true" localSheetId="0" name="_xlnm._FilterDatabase" vbProcedure="false">pdt_pb_mapping_via_czengvallex!$A:$D</definedName>
  </definedNames>
  <calcPr iterateCount="100" refMode="A1" iterate="false" iterateDelta="0.0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<sst xmlns="http://schemas.openxmlformats.org/spreadsheetml/2006/main" count="108159" uniqueCount="25046">
  <si>
    <t xml:space="preserve">UMR ID</t>
  </si>
  <si>
    <t xml:space="preserve">frame</t>
  </si>
  <si>
    <t xml:space="preserve">mapping via CzEngVallex</t>
  </si>
  <si>
    <t xml:space="preserve">mapping via SynSemClass</t>
  </si>
  <si>
    <t xml:space="preserve">mapping via SynSemClass5.0(Lindat version)</t>
  </si>
  <si>
    <t xml:space="preserve">mapping via SynSemClass5.1(actual version from 231206)</t>
  </si>
  <si>
    <t xml:space="preserve">"=-001"</t>
  </si>
  <si>
    <t xml:space="preserve">ACT: 1</t>
  </si>
  <si>
    <t xml:space="preserve">PAT: 4; 1</t>
  </si>
  <si>
    <t xml:space="preserve">"abdikovat-001"</t>
  </si>
  <si>
    <t xml:space="preserve">"absentovat-001"</t>
  </si>
  <si>
    <t xml:space="preserve">LOC: *</t>
  </si>
  <si>
    <t xml:space="preserve">"absentovat-002"</t>
  </si>
  <si>
    <t xml:space="preserve">"absolvovat-001"</t>
  </si>
  <si>
    <t xml:space="preserve">PAT: 4</t>
  </si>
  <si>
    <t xml:space="preserve">ACT-&gt;ARG0/2271,ARG1/23</t>
  </si>
  <si>
    <t xml:space="preserve">ACT-&gt;ARG1/4</t>
  </si>
  <si>
    <t xml:space="preserve">PAT-&gt;ARG0/1,ARG1/2372,ARG2/6</t>
  </si>
  <si>
    <t xml:space="preserve">PAT-&gt;ARG2/6</t>
  </si>
  <si>
    <t xml:space="preserve">"absolvovat-002"</t>
  </si>
  <si>
    <t xml:space="preserve">"absorbovat-001"</t>
  </si>
  <si>
    <t xml:space="preserve">ACT-&gt;ARG0/17</t>
  </si>
  <si>
    <t xml:space="preserve">ACT-&gt;ARG0/25</t>
  </si>
  <si>
    <t xml:space="preserve">ACT-&gt;ARG0/37</t>
  </si>
  <si>
    <t xml:space="preserve">PAT-&gt;ARG1/28</t>
  </si>
  <si>
    <t xml:space="preserve">PAT-&gt;ARG1/38</t>
  </si>
  <si>
    <t xml:space="preserve">PAT-&gt;ARG1/61</t>
  </si>
  <si>
    <t xml:space="preserve">"abstrahovat-001"</t>
  </si>
  <si>
    <t xml:space="preserve">PAT: od+2</t>
  </si>
  <si>
    <t xml:space="preserve">"abstrahovat-002"</t>
  </si>
  <si>
    <t xml:space="preserve">"adaptovat-001"</t>
  </si>
  <si>
    <t xml:space="preserve">ACT-&gt;ARG0/7</t>
  </si>
  <si>
    <t xml:space="preserve">ACT-&gt;ARG0/133,ARG1/5</t>
  </si>
  <si>
    <t xml:space="preserve">PAT-&gt;ARG1/6</t>
  </si>
  <si>
    <t xml:space="preserve">PAT-&gt;ARG1/286,ARG2/2,ARG3/2</t>
  </si>
  <si>
    <t xml:space="preserve">?ORIG: z+2</t>
  </si>
  <si>
    <t xml:space="preserve">ORIG-&gt;ARG2/1,ARG3/10</t>
  </si>
  <si>
    <t xml:space="preserve">?EFF: na+4; do+2</t>
  </si>
  <si>
    <t xml:space="preserve">EFF-&gt;ARG2/1</t>
  </si>
  <si>
    <t xml:space="preserve">EFF-&gt;ARG1/2,ARG2/96,ARG3/2,ARG4/27</t>
  </si>
  <si>
    <t xml:space="preserve">"adaptovat-se-001"</t>
  </si>
  <si>
    <t xml:space="preserve">PAT: na+4</t>
  </si>
  <si>
    <t xml:space="preserve">"adoptovat-001"</t>
  </si>
  <si>
    <t xml:space="preserve">ACT-&gt;ARG0/57</t>
  </si>
  <si>
    <t xml:space="preserve">PAT-&gt;ARG1/69</t>
  </si>
  <si>
    <t xml:space="preserve">"adresovat-001"</t>
  </si>
  <si>
    <t xml:space="preserve">ACT-&gt;ARG0/2</t>
  </si>
  <si>
    <t xml:space="preserve">PAT-&gt;ARG1/2</t>
  </si>
  <si>
    <t xml:space="preserve">ADDR: 3</t>
  </si>
  <si>
    <t xml:space="preserve">ADDR-&gt;ARG1/4,ARG2/1</t>
  </si>
  <si>
    <t xml:space="preserve">"agitovat-001"</t>
  </si>
  <si>
    <t xml:space="preserve">PAT: pro+4; proti+3; za+4; ↓že</t>
  </si>
  <si>
    <t xml:space="preserve">"akcelerovat-001"</t>
  </si>
  <si>
    <t xml:space="preserve">"akcentovat-001"</t>
  </si>
  <si>
    <t xml:space="preserve">PAT: 4; ↓že</t>
  </si>
  <si>
    <t xml:space="preserve">"akceptovat-001"</t>
  </si>
  <si>
    <t xml:space="preserve">ACT-&gt;ARG0/81</t>
  </si>
  <si>
    <t xml:space="preserve">ACT-&gt;ARG0/593</t>
  </si>
  <si>
    <t xml:space="preserve">ACT-&gt;ARG0/693,ARG1/1</t>
  </si>
  <si>
    <t xml:space="preserve">PAT-&gt;ARG1/131</t>
  </si>
  <si>
    <t xml:space="preserve">PAT-&gt;ARG1/592,ARG2/4</t>
  </si>
  <si>
    <t xml:space="preserve">PAT-&gt;ARG1/750,ARG2/5</t>
  </si>
  <si>
    <t xml:space="preserve">"aklimatizovat-se-001"</t>
  </si>
  <si>
    <t xml:space="preserve">?PAT: na+4</t>
  </si>
  <si>
    <t xml:space="preserve">"akreditovat-001"</t>
  </si>
  <si>
    <t xml:space="preserve">"aktivizovat-001"</t>
  </si>
  <si>
    <t xml:space="preserve">"aktivizovat-se-001"</t>
  </si>
  <si>
    <t xml:space="preserve">"aktivovat-001"</t>
  </si>
  <si>
    <t xml:space="preserve">ACT-&gt;ARG0/49</t>
  </si>
  <si>
    <t xml:space="preserve">ACT-&gt;ARG0/590,ARG1/186,ARG2/6</t>
  </si>
  <si>
    <t xml:space="preserve">PAT-&gt;ARG1/490,ARG2/6</t>
  </si>
  <si>
    <t xml:space="preserve">PAT-&gt;ARG1/713,ARG2/1</t>
  </si>
  <si>
    <t xml:space="preserve">"aktualizovat-001"</t>
  </si>
  <si>
    <t xml:space="preserve">ACT-&gt;ARG0/25,ARG1/1</t>
  </si>
  <si>
    <t xml:space="preserve">PAT-&gt;ARG1/8</t>
  </si>
  <si>
    <t xml:space="preserve">PAT-&gt;ARG1/76</t>
  </si>
  <si>
    <t xml:space="preserve">"akumulovat-001"</t>
  </si>
  <si>
    <t xml:space="preserve">ACT-&gt;ARG0/43,ARG1/1</t>
  </si>
  <si>
    <t xml:space="preserve">PAT-&gt;ARG1/9</t>
  </si>
  <si>
    <t xml:space="preserve">PAT-&gt;ARG1/85</t>
  </si>
  <si>
    <t xml:space="preserve">"alarmovat-001"</t>
  </si>
  <si>
    <t xml:space="preserve">ADDR: 4</t>
  </si>
  <si>
    <t xml:space="preserve">?PAT: k+3; ↓aby; ↓ať</t>
  </si>
  <si>
    <t xml:space="preserve">"alokovat-001"</t>
  </si>
  <si>
    <t xml:space="preserve">?EFF: na+4</t>
  </si>
  <si>
    <t xml:space="preserve">"alternovat-001"</t>
  </si>
  <si>
    <t xml:space="preserve">PAT: 4; s+7</t>
  </si>
  <si>
    <t xml:space="preserve">"amputovat-001"</t>
  </si>
  <si>
    <t xml:space="preserve">ACT-&gt;ARG0/9</t>
  </si>
  <si>
    <t xml:space="preserve">PAT-&gt;ARG1/17</t>
  </si>
  <si>
    <t xml:space="preserve">"analyzovat-001"</t>
  </si>
  <si>
    <t xml:space="preserve">ACT-&gt;ARG0/59</t>
  </si>
  <si>
    <t xml:space="preserve">ACT-&gt;ARG0/266</t>
  </si>
  <si>
    <t xml:space="preserve">PAT: 4; ↓jak-2; ↓c</t>
  </si>
  <si>
    <t xml:space="preserve">PAT-&gt;ARG1/84</t>
  </si>
  <si>
    <t xml:space="preserve">PAT-&gt;ARG1/398</t>
  </si>
  <si>
    <t xml:space="preserve">"anektovat-001"</t>
  </si>
  <si>
    <t xml:space="preserve">"angažovat-001"</t>
  </si>
  <si>
    <t xml:space="preserve">?EFF: 4[{jako,jakožto}:/AuxY]; za+4</t>
  </si>
  <si>
    <t xml:space="preserve">"angažovat-002"</t>
  </si>
  <si>
    <t xml:space="preserve">ACT-&gt;ARG1/9,ARG2/80</t>
  </si>
  <si>
    <t xml:space="preserve">PAT-&gt;ARG1/170,ARG2/8</t>
  </si>
  <si>
    <t xml:space="preserve">"angažovat-se-001"</t>
  </si>
  <si>
    <t xml:space="preserve">ACT-&gt;ARG0/24,ARG1/39,ARG2/81</t>
  </si>
  <si>
    <t xml:space="preserve">ACT-&gt;ARG0/820,ARG1/168,ARG2/19,ARG3/1</t>
  </si>
  <si>
    <t xml:space="preserve">"anoncovat-001"</t>
  </si>
  <si>
    <t xml:space="preserve">?ADDR: 3</t>
  </si>
  <si>
    <t xml:space="preserve">"anulovat-001"</t>
  </si>
  <si>
    <t xml:space="preserve">ACT-&gt;ARG0/11</t>
  </si>
  <si>
    <t xml:space="preserve">ACT-&gt;ARG0/122,ARG1/14</t>
  </si>
  <si>
    <t xml:space="preserve">PAT-&gt;ARG1/29</t>
  </si>
  <si>
    <t xml:space="preserve">PAT-&gt;ARG1/222,ARG2/1</t>
  </si>
  <si>
    <t xml:space="preserve">"apelovat-001"</t>
  </si>
  <si>
    <t xml:space="preserve">ACT-&gt;ARG0/5</t>
  </si>
  <si>
    <t xml:space="preserve">ACT-&gt;ARG0/50,ARG1/48</t>
  </si>
  <si>
    <t xml:space="preserve">PAT-&gt;ARG1/4</t>
  </si>
  <si>
    <t xml:space="preserve">PAT-&gt;ARG1/17,ARG2/34</t>
  </si>
  <si>
    <t xml:space="preserve">"aplaudovat-001"</t>
  </si>
  <si>
    <t xml:space="preserve">ACT-&gt;ARG0/12</t>
  </si>
  <si>
    <t xml:space="preserve">?PAT: 3</t>
  </si>
  <si>
    <t xml:space="preserve">PAT-&gt;ARG1/11</t>
  </si>
  <si>
    <t xml:space="preserve">"aplikovat-001"</t>
  </si>
  <si>
    <t xml:space="preserve">ADDR: na+4</t>
  </si>
  <si>
    <t xml:space="preserve">"aplikovat-002"</t>
  </si>
  <si>
    <t xml:space="preserve">DIR3: *</t>
  </si>
  <si>
    <t xml:space="preserve">"aplikovat-003"</t>
  </si>
  <si>
    <t xml:space="preserve">ACT-&gt;ARG0/21</t>
  </si>
  <si>
    <t xml:space="preserve">ACT-&gt;ARG0/360,ARG1/32</t>
  </si>
  <si>
    <t xml:space="preserve">PAT-&gt;ARG1/58</t>
  </si>
  <si>
    <t xml:space="preserve">PAT-&gt;ARG1/704,ARG2/35</t>
  </si>
  <si>
    <t xml:space="preserve">"archivovat-001"</t>
  </si>
  <si>
    <t xml:space="preserve">"argumentovat-001"</t>
  </si>
  <si>
    <t xml:space="preserve">ACT-&gt;ARG0/141</t>
  </si>
  <si>
    <t xml:space="preserve">ACT-&gt;ARG0/229</t>
  </si>
  <si>
    <t xml:space="preserve">PAT: 7; ↓že; .s</t>
  </si>
  <si>
    <t xml:space="preserve">PAT-&gt;ARG1/157</t>
  </si>
  <si>
    <t xml:space="preserve">PAT-&gt;ARG1/341</t>
  </si>
  <si>
    <t xml:space="preserve">"asfaltovat-001"</t>
  </si>
  <si>
    <t xml:space="preserve">"asimilovat-001"</t>
  </si>
  <si>
    <t xml:space="preserve">"asistovat-001"</t>
  </si>
  <si>
    <t xml:space="preserve">ACT-&gt;ARG0/118</t>
  </si>
  <si>
    <t xml:space="preserve">ACT-&gt;ARG0/166,ARG1/128,ARG2/1</t>
  </si>
  <si>
    <t xml:space="preserve">PAT: 3</t>
  </si>
  <si>
    <t xml:space="preserve">PAT-&gt;ARG1/169,ARG2/3</t>
  </si>
  <si>
    <t xml:space="preserve">PAT-&gt;ARG1/53,ARG2/295</t>
  </si>
  <si>
    <t xml:space="preserve">"asociovat-001"</t>
  </si>
  <si>
    <t xml:space="preserve">"aspirovat-001"</t>
  </si>
  <si>
    <t xml:space="preserve">PAT: na+4; .f</t>
  </si>
  <si>
    <t xml:space="preserve">"atakovat-001"</t>
  </si>
  <si>
    <t xml:space="preserve">ACT-&gt;ARG0/14</t>
  </si>
  <si>
    <t xml:space="preserve">ACT-&gt;ARG0/24,ARG2/2</t>
  </si>
  <si>
    <t xml:space="preserve">PAT-&gt;ARG1/21</t>
  </si>
  <si>
    <t xml:space="preserve">PAT-&gt;ARG1/36</t>
  </si>
  <si>
    <t xml:space="preserve">"atomizovat-001"</t>
  </si>
  <si>
    <t xml:space="preserve">"automatizovat-001"</t>
  </si>
  <si>
    <t xml:space="preserve">PAT-&gt;ARG1/1</t>
  </si>
  <si>
    <t xml:space="preserve">"autorizovat-001"</t>
  </si>
  <si>
    <t xml:space="preserve">ACT-&gt;ARG0/18</t>
  </si>
  <si>
    <t xml:space="preserve">ACT-&gt;ARG0/289,ARG2/3</t>
  </si>
  <si>
    <t xml:space="preserve">PAT-&gt;ARG1/23</t>
  </si>
  <si>
    <t xml:space="preserve">PAT-&gt;ARG1/354</t>
  </si>
  <si>
    <t xml:space="preserve">"avansovat-001"</t>
  </si>
  <si>
    <t xml:space="preserve">"avizovat-001"</t>
  </si>
  <si>
    <t xml:space="preserve">ACT-&gt;ARG0/193,ARG1/3</t>
  </si>
  <si>
    <t xml:space="preserve">ACT-&gt;ARG0/13898,ARG1/47</t>
  </si>
  <si>
    <t xml:space="preserve">PAT: 4; ↓že; ↓aby; ↓c</t>
  </si>
  <si>
    <t xml:space="preserve">PAT-&gt;ARG1/219</t>
  </si>
  <si>
    <t xml:space="preserve">PAT-&gt;ARG0/5,ARG1/12570,ARG2/25,ARG3/29</t>
  </si>
  <si>
    <t xml:space="preserve">ADDR-&gt;ARG1/22,ARG2/40</t>
  </si>
  <si>
    <t xml:space="preserve">"bacit-001"</t>
  </si>
  <si>
    <t xml:space="preserve">"bagatelizovat-001"</t>
  </si>
  <si>
    <t xml:space="preserve">ACT-&gt;ARG0/6,ARG1/2</t>
  </si>
  <si>
    <t xml:space="preserve">PAT: 4; ↓že; ↓c</t>
  </si>
  <si>
    <t xml:space="preserve">PAT-&gt;ARG1/24</t>
  </si>
  <si>
    <t xml:space="preserve">PAT-&gt;ARG1/14,ARG2/2</t>
  </si>
  <si>
    <t xml:space="preserve">"balancovat-001"</t>
  </si>
  <si>
    <t xml:space="preserve">ACT-&gt;ARG1/8</t>
  </si>
  <si>
    <t xml:space="preserve">ACT-&gt;ARG0/4,ARG1/472,ARG2/3</t>
  </si>
  <si>
    <t xml:space="preserve">"balit-001"</t>
  </si>
  <si>
    <t xml:space="preserve">PAT-&gt;ARG1/11,ARG2/1</t>
  </si>
  <si>
    <t xml:space="preserve">PAT-&gt;ARG1/17,ARG2/4</t>
  </si>
  <si>
    <t xml:space="preserve">?EFF: do+2</t>
  </si>
  <si>
    <t xml:space="preserve">EFF-&gt;ARG2/4</t>
  </si>
  <si>
    <t xml:space="preserve">"balit-002"</t>
  </si>
  <si>
    <t xml:space="preserve">ACT-&gt;ARG0/3</t>
  </si>
  <si>
    <t xml:space="preserve">PAT-&gt;ARG1/4,ARG2/3</t>
  </si>
  <si>
    <t xml:space="preserve">"balit-003"</t>
  </si>
  <si>
    <t xml:space="preserve">"balit-004"</t>
  </si>
  <si>
    <t xml:space="preserve">DPHR: fidlátko.P4</t>
  </si>
  <si>
    <t xml:space="preserve">"balit-005"</t>
  </si>
  <si>
    <t xml:space="preserve">"balit-se-001"</t>
  </si>
  <si>
    <t xml:space="preserve">ACT-&gt;ARG0/1</t>
  </si>
  <si>
    <t xml:space="preserve">"bankrotovat-001"</t>
  </si>
  <si>
    <t xml:space="preserve">"barvit-001"</t>
  </si>
  <si>
    <t xml:space="preserve">ACT-&gt;ARG0/24</t>
  </si>
  <si>
    <t xml:space="preserve">PAT-&gt;ARG1/41</t>
  </si>
  <si>
    <t xml:space="preserve">"batolit-se-001"</t>
  </si>
  <si>
    <t xml:space="preserve">"bavit-001"</t>
  </si>
  <si>
    <t xml:space="preserve">"bavit-002"</t>
  </si>
  <si>
    <t xml:space="preserve">ACT: 4</t>
  </si>
  <si>
    <t xml:space="preserve">ACT-&gt;ARG1/2</t>
  </si>
  <si>
    <t xml:space="preserve">ACT-&gt;ARG0/58,ARG1/42</t>
  </si>
  <si>
    <t xml:space="preserve">PAT: 1; ↓že; ↓zda; ↓jestli; .f; ↓c</t>
  </si>
  <si>
    <t xml:space="preserve">PAT-&gt;ARG0/1</t>
  </si>
  <si>
    <t xml:space="preserve">PAT-&gt;ARG0/23,ARG1/63,ARG2/9</t>
  </si>
  <si>
    <t xml:space="preserve">"bavit-se-001"</t>
  </si>
  <si>
    <t xml:space="preserve">PAT: o+6; na-1[téma.4]; ↓že</t>
  </si>
  <si>
    <t xml:space="preserve">ADDR: s+7</t>
  </si>
  <si>
    <t xml:space="preserve">ACT-&gt;ARG0/87</t>
  </si>
  <si>
    <t xml:space="preserve">ACT-&gt;ARG0/481,ARG1/2</t>
  </si>
  <si>
    <t xml:space="preserve">PAT-&gt;ARG1/81</t>
  </si>
  <si>
    <t xml:space="preserve">PAT-&gt;ARG1/553,ARG2/5</t>
  </si>
  <si>
    <t xml:space="preserve">ADDR-&gt;ARG2/39</t>
  </si>
  <si>
    <t xml:space="preserve">ADDR-&gt;ARG1/18,ARG2/400</t>
  </si>
  <si>
    <t xml:space="preserve">"bavit-se-002"</t>
  </si>
  <si>
    <t xml:space="preserve">ACT-&gt;ARG0/654,ARG1/40,ARG2/18,ARG3/1</t>
  </si>
  <si>
    <t xml:space="preserve">PAT: 7</t>
  </si>
  <si>
    <t xml:space="preserve">PAT-&gt;ARG0/1,ARG1/776,ARG2/59,ARG3/1</t>
  </si>
  <si>
    <t xml:space="preserve">"bavit-se-003"</t>
  </si>
  <si>
    <t xml:space="preserve">"bazírovat-001"</t>
  </si>
  <si>
    <t xml:space="preserve">PAT: na+6</t>
  </si>
  <si>
    <t xml:space="preserve">"baštit-001"</t>
  </si>
  <si>
    <t xml:space="preserve">"bdít-001"</t>
  </si>
  <si>
    <t xml:space="preserve">PAT: nad+7</t>
  </si>
  <si>
    <t xml:space="preserve">"bdít-002"</t>
  </si>
  <si>
    <t xml:space="preserve">"belhat-se-001"</t>
  </si>
  <si>
    <t xml:space="preserve">"benefitovat-001"</t>
  </si>
  <si>
    <t xml:space="preserve">PAT: z+2</t>
  </si>
  <si>
    <t xml:space="preserve">"betonovat-001"</t>
  </si>
  <si>
    <t xml:space="preserve">"bečet-001"</t>
  </si>
  <si>
    <t xml:space="preserve">"bilancovat-001"</t>
  </si>
  <si>
    <t xml:space="preserve">ACT-&gt;ARG0/172</t>
  </si>
  <si>
    <t xml:space="preserve">PAT: 4; ↓c</t>
  </si>
  <si>
    <t xml:space="preserve">PAT-&gt;ARG1/324</t>
  </si>
  <si>
    <t xml:space="preserve">"bičovat-001"</t>
  </si>
  <si>
    <t xml:space="preserve">"biřmovat-001"</t>
  </si>
  <si>
    <t xml:space="preserve">"blahopřát-001"</t>
  </si>
  <si>
    <t xml:space="preserve">PAT: k+3</t>
  </si>
  <si>
    <t xml:space="preserve">"blahořečit-001"</t>
  </si>
  <si>
    <t xml:space="preserve">?PAT: za+4; ↓že</t>
  </si>
  <si>
    <t xml:space="preserve">"blamovat-001"</t>
  </si>
  <si>
    <t xml:space="preserve">"blbnout-001"</t>
  </si>
  <si>
    <t xml:space="preserve">"blednout-001"</t>
  </si>
  <si>
    <t xml:space="preserve">"blekotat-001"</t>
  </si>
  <si>
    <t xml:space="preserve">PAT: o+6</t>
  </si>
  <si>
    <t xml:space="preserve">EFF: 4</t>
  </si>
  <si>
    <t xml:space="preserve">"blikat-001"</t>
  </si>
  <si>
    <t xml:space="preserve">ACT-&gt;ARG1/1</t>
  </si>
  <si>
    <t xml:space="preserve">ACT-&gt;ARG0/1,ARG1/1</t>
  </si>
  <si>
    <t xml:space="preserve">ACT-&gt;ARG0/195,ARG1/5</t>
  </si>
  <si>
    <t xml:space="preserve">"blokovat-001"</t>
  </si>
  <si>
    <t xml:space="preserve">ACT-&gt;ARG0/19,ARG1/52,ARG3/5</t>
  </si>
  <si>
    <t xml:space="preserve">ACT-&gt;ARG0/172,ARG1/1,ARG3/6</t>
  </si>
  <si>
    <t xml:space="preserve">ACT-&gt;ARG0/183,ARG1/1,ARG3/6</t>
  </si>
  <si>
    <t xml:space="preserve">PAT-&gt;ARG0/1,ARG1/58</t>
  </si>
  <si>
    <t xml:space="preserve">PAT-&gt;ARG0/1,ARG1/437,ARG2/2</t>
  </si>
  <si>
    <t xml:space="preserve">PAT-&gt;ARG0/1,ARG1/452,ARG2/2</t>
  </si>
  <si>
    <t xml:space="preserve">"bloudit-001"</t>
  </si>
  <si>
    <t xml:space="preserve">"bloumat-001"</t>
  </si>
  <si>
    <t xml:space="preserve">DIR2: *</t>
  </si>
  <si>
    <t xml:space="preserve">DIR2-&gt;ARG1/4</t>
  </si>
  <si>
    <t xml:space="preserve">DIR2-&gt;ARG1/7</t>
  </si>
  <si>
    <t xml:space="preserve">"bláznit-001"</t>
  </si>
  <si>
    <t xml:space="preserve">"bláznit-002"</t>
  </si>
  <si>
    <t xml:space="preserve">"blížit-se-001"</t>
  </si>
  <si>
    <t xml:space="preserve">ACT: 1; .f</t>
  </si>
  <si>
    <t xml:space="preserve">ACT-&gt;ARG0/1,ARG1/3531,ARG2/299</t>
  </si>
  <si>
    <t xml:space="preserve">ACT-&gt;ARG0/51,ARG1/34</t>
  </si>
  <si>
    <t xml:space="preserve">PAT: 3; k+3</t>
  </si>
  <si>
    <t xml:space="preserve">PAT-&gt;ARG1/123,ARG2/3755</t>
  </si>
  <si>
    <t xml:space="preserve">PAT-&gt;ARG1/138,ARG2/39</t>
  </si>
  <si>
    <t xml:space="preserve">"blížit-se-002"</t>
  </si>
  <si>
    <t xml:space="preserve">ACT-&gt;ARG1/7</t>
  </si>
  <si>
    <t xml:space="preserve">ACT-&gt;ARG0/50,ARG1/11</t>
  </si>
  <si>
    <t xml:space="preserve">PAT-&gt;ARG2/7</t>
  </si>
  <si>
    <t xml:space="preserve">PAT-&gt;ARG1/138,ARG2/14</t>
  </si>
  <si>
    <t xml:space="preserve">"blížit-se-003"</t>
  </si>
  <si>
    <t xml:space="preserve">ACT-&gt;ARG1/99</t>
  </si>
  <si>
    <t xml:space="preserve">ACT-&gt;ARG0/1,ARG1/23</t>
  </si>
  <si>
    <t xml:space="preserve">DIR3: =</t>
  </si>
  <si>
    <t xml:space="preserve">DIR3-&gt;ARG1/1,ARG2/91</t>
  </si>
  <si>
    <t xml:space="preserve">DIR3-&gt;ARG2/25</t>
  </si>
  <si>
    <t xml:space="preserve">"blížit-se-004"</t>
  </si>
  <si>
    <t xml:space="preserve">ACT-&gt;ARG0/1,ARG1/17</t>
  </si>
  <si>
    <t xml:space="preserve">ACT-&gt;ARG1/117</t>
  </si>
  <si>
    <t xml:space="preserve">DIR3-&gt;ARG2/18</t>
  </si>
  <si>
    <t xml:space="preserve">"blížit-se-005"</t>
  </si>
  <si>
    <t xml:space="preserve">ACT-&gt;ARG1/191</t>
  </si>
  <si>
    <t xml:space="preserve">ACT-&gt;ARG0/2,ARG1/239</t>
  </si>
  <si>
    <t xml:space="preserve">"blýskat-se-001"</t>
  </si>
  <si>
    <t xml:space="preserve">"blýskat-se-002"</t>
  </si>
  <si>
    <t xml:space="preserve">"blýsknout-se-001"</t>
  </si>
  <si>
    <t xml:space="preserve">PAT: 7; ↓že</t>
  </si>
  <si>
    <t xml:space="preserve">?ADDR: 3; před+7</t>
  </si>
  <si>
    <t xml:space="preserve">"bodnout-001"</t>
  </si>
  <si>
    <t xml:space="preserve">"bodnout-002"</t>
  </si>
  <si>
    <t xml:space="preserve">"bodnout-003"</t>
  </si>
  <si>
    <t xml:space="preserve">?PAT: 4</t>
  </si>
  <si>
    <t xml:space="preserve">"bodovat-001"</t>
  </si>
  <si>
    <t xml:space="preserve">"bodovat-002"</t>
  </si>
  <si>
    <t xml:space="preserve">?PAT: s+7; proti+3</t>
  </si>
  <si>
    <t xml:space="preserve">"bohatnout-001"</t>
  </si>
  <si>
    <t xml:space="preserve">?PAT: 7; o+4</t>
  </si>
  <si>
    <t xml:space="preserve">?ORIG: z+2; na+6</t>
  </si>
  <si>
    <t xml:space="preserve">"bojkotovat-001"</t>
  </si>
  <si>
    <t xml:space="preserve">ACT-&gt;ARG0/606</t>
  </si>
  <si>
    <t xml:space="preserve">PAT: 4; .f</t>
  </si>
  <si>
    <t xml:space="preserve">PAT-&gt;ARG1/640</t>
  </si>
  <si>
    <t xml:space="preserve">"bojovat-001"</t>
  </si>
  <si>
    <t xml:space="preserve">ACT-&gt;ARG0/28</t>
  </si>
  <si>
    <t xml:space="preserve">ACT-&gt;ARG0/170,ARG1/3</t>
  </si>
  <si>
    <t xml:space="preserve">PAT: s+7; proti+3</t>
  </si>
  <si>
    <t xml:space="preserve">PAT-&gt;ARG1/80</t>
  </si>
  <si>
    <t xml:space="preserve">PAT-&gt;ARG1/199</t>
  </si>
  <si>
    <t xml:space="preserve">"bojovat-002"</t>
  </si>
  <si>
    <t xml:space="preserve">ACT-&gt;ARG0/138</t>
  </si>
  <si>
    <t xml:space="preserve">ACT-&gt;ARG0/72</t>
  </si>
  <si>
    <t xml:space="preserve">ADDR: proti+3; s+7; mezi-1[.P7]; mezi+7,mezi+7</t>
  </si>
  <si>
    <t xml:space="preserve">ADDR-&gt;ARG1/122,ARG2/1</t>
  </si>
  <si>
    <t xml:space="preserve">ADDR-&gt;ARG1/54,ARG2/2</t>
  </si>
  <si>
    <t xml:space="preserve">?PAT: o+4; za+4</t>
  </si>
  <si>
    <t xml:space="preserve">PAT-&gt;ARG1/58,ARG2/27</t>
  </si>
  <si>
    <t xml:space="preserve">PAT-&gt;ARG1/22,ARG2/30</t>
  </si>
  <si>
    <t xml:space="preserve">"bojovat-003"</t>
  </si>
  <si>
    <t xml:space="preserve">PAT-&gt;ARG1/55</t>
  </si>
  <si>
    <t xml:space="preserve">"bolet-001"</t>
  </si>
  <si>
    <t xml:space="preserve">ACT-&gt;ARG1/115</t>
  </si>
  <si>
    <t xml:space="preserve">ACT-&gt;ARG0/9,ARG1/16</t>
  </si>
  <si>
    <t xml:space="preserve">PAT: 1</t>
  </si>
  <si>
    <t xml:space="preserve">PAT-&gt;ARG0/27,ARG1/4,ARG2/76</t>
  </si>
  <si>
    <t xml:space="preserve">PAT-&gt;ARG0/9,ARG1/11</t>
  </si>
  <si>
    <t xml:space="preserve">"bolet-002"</t>
  </si>
  <si>
    <t xml:space="preserve">"bolet-003"</t>
  </si>
  <si>
    <t xml:space="preserve">?PAT: od+2</t>
  </si>
  <si>
    <t xml:space="preserve">"bombardovat-001"</t>
  </si>
  <si>
    <t xml:space="preserve">ACT-&gt;ARG0/4</t>
  </si>
  <si>
    <t xml:space="preserve">"bortit-se-001"</t>
  </si>
  <si>
    <t xml:space="preserve">"bouchat-001"</t>
  </si>
  <si>
    <t xml:space="preserve">DIR3: </t>
  </si>
  <si>
    <t xml:space="preserve">"bouchnout-001"</t>
  </si>
  <si>
    <t xml:space="preserve">"bouchnout-002"</t>
  </si>
  <si>
    <t xml:space="preserve">ACT-&gt;ARG0/20,ARG1/1,ARG2/22</t>
  </si>
  <si>
    <t xml:space="preserve">PAT-&gt;ARG1/47</t>
  </si>
  <si>
    <t xml:space="preserve">"bouchnout-003"</t>
  </si>
  <si>
    <t xml:space="preserve">"bouchnout-004"</t>
  </si>
  <si>
    <t xml:space="preserve">"bouchnout-se-001"</t>
  </si>
  <si>
    <t xml:space="preserve">"bourat-001"</t>
  </si>
  <si>
    <t xml:space="preserve">"bouřit-001"</t>
  </si>
  <si>
    <t xml:space="preserve">ACT-&gt;ARG0/3,ARG1/1</t>
  </si>
  <si>
    <t xml:space="preserve">"bouřit-002"</t>
  </si>
  <si>
    <t xml:space="preserve">"bouřit-se-001"</t>
  </si>
  <si>
    <t xml:space="preserve">ACT-&gt;ARG0/91,ARG1/1</t>
  </si>
  <si>
    <t xml:space="preserve">"boxovat-001"</t>
  </si>
  <si>
    <t xml:space="preserve">"brblat-001"</t>
  </si>
  <si>
    <t xml:space="preserve">ACT-&gt;ARG0/101</t>
  </si>
  <si>
    <t xml:space="preserve">?PAT: na+4; ↓že; .s</t>
  </si>
  <si>
    <t xml:space="preserve">PAT-&gt;ARG1/93</t>
  </si>
  <si>
    <t xml:space="preserve">"brebentit-001"</t>
  </si>
  <si>
    <t xml:space="preserve">ACT-&gt;ARG0/33</t>
  </si>
  <si>
    <t xml:space="preserve">"brebentit-002"</t>
  </si>
  <si>
    <t xml:space="preserve">EFF: 4; ↓že; ↓aby; ↓ať; ↓jak-2; ↓jestli; .s; ↓c</t>
  </si>
  <si>
    <t xml:space="preserve">EFF-&gt;ARG1/1</t>
  </si>
  <si>
    <t xml:space="preserve">EFF-&gt;ARG1/17</t>
  </si>
  <si>
    <t xml:space="preserve">?PAT: o+6</t>
  </si>
  <si>
    <t xml:space="preserve">"brečet-001"</t>
  </si>
  <si>
    <t xml:space="preserve">"brnkat-001"</t>
  </si>
  <si>
    <t xml:space="preserve">"brnknout-001"</t>
  </si>
  <si>
    <t xml:space="preserve">PAT: 4; ↓že; ↓c; .s</t>
  </si>
  <si>
    <t xml:space="preserve">"brodit-se-001"</t>
  </si>
  <si>
    <t xml:space="preserve">"brodit-se-002"</t>
  </si>
  <si>
    <t xml:space="preserve">"brojit-001"</t>
  </si>
  <si>
    <t xml:space="preserve">PAT: proti+3; pro+4; za+4</t>
  </si>
  <si>
    <t xml:space="preserve">"broukat-001"</t>
  </si>
  <si>
    <t xml:space="preserve">PAT: 4; .s</t>
  </si>
  <si>
    <t xml:space="preserve">"brousit-001"</t>
  </si>
  <si>
    <t xml:space="preserve">"brousit-si-001"</t>
  </si>
  <si>
    <t xml:space="preserve">ACT-&gt;ARG0/452</t>
  </si>
  <si>
    <t xml:space="preserve">DPHR: zub.P4</t>
  </si>
  <si>
    <t xml:space="preserve">DPHR-&gt;ARG1/2</t>
  </si>
  <si>
    <t xml:space="preserve">PAT-&gt;ARG1/613,ARG2/2</t>
  </si>
  <si>
    <t xml:space="preserve">"brouzdat-001"</t>
  </si>
  <si>
    <t xml:space="preserve">"brouzdat-se-001"</t>
  </si>
  <si>
    <t xml:space="preserve">"brumlat-001"</t>
  </si>
  <si>
    <t xml:space="preserve">?PAT: na+4; ↓že; ↓c; .s</t>
  </si>
  <si>
    <t xml:space="preserve">PAT-&gt;ARG1/5</t>
  </si>
  <si>
    <t xml:space="preserve">"bruslit-001"</t>
  </si>
  <si>
    <t xml:space="preserve">"bruslit-002"</t>
  </si>
  <si>
    <t xml:space="preserve">PAT: v+6</t>
  </si>
  <si>
    <t xml:space="preserve">"bruslívat-001"</t>
  </si>
  <si>
    <t xml:space="preserve">"bručet-001"</t>
  </si>
  <si>
    <t xml:space="preserve">"brzdit-001"</t>
  </si>
  <si>
    <t xml:space="preserve">ACT-&gt;ARG0/35</t>
  </si>
  <si>
    <t xml:space="preserve">ACT-&gt;ARG0/120</t>
  </si>
  <si>
    <t xml:space="preserve">PAT-&gt;ARG1/45,ARG2/1</t>
  </si>
  <si>
    <t xml:space="preserve">PAT-&gt;ARG0/5,ARG1/228</t>
  </si>
  <si>
    <t xml:space="preserve">"brzdit-002"</t>
  </si>
  <si>
    <t xml:space="preserve">ACT-&gt;ARG1/3</t>
  </si>
  <si>
    <t xml:space="preserve">ADDR-&gt;ARG1/2</t>
  </si>
  <si>
    <t xml:space="preserve">ADDR-&gt;ARG1/45</t>
  </si>
  <si>
    <t xml:space="preserve">?PAT: od+2; v+6</t>
  </si>
  <si>
    <t xml:space="preserve">PAT-&gt;ARG2/2</t>
  </si>
  <si>
    <t xml:space="preserve">"bránit-001"</t>
  </si>
  <si>
    <t xml:space="preserve">ACT-&gt;ARG0/113,ARG3/13</t>
  </si>
  <si>
    <t xml:space="preserve">ACT-&gt;ARG0/77,ARG1/1,ARG3/13</t>
  </si>
  <si>
    <t xml:space="preserve">?PAT: v+6; .f; ↓aby</t>
  </si>
  <si>
    <t xml:space="preserve">PAT-&gt;ARG0/1,ARG1/148,ARG2/103</t>
  </si>
  <si>
    <t xml:space="preserve">PAT-&gt;ARG1/82,ARG2/108</t>
  </si>
  <si>
    <t xml:space="preserve">ADDR-&gt;ARG0/2,ARG1/155</t>
  </si>
  <si>
    <t xml:space="preserve">ADDR-&gt;ARG1/113,ARG2/13</t>
  </si>
  <si>
    <t xml:space="preserve">"bránit-002"</t>
  </si>
  <si>
    <t xml:space="preserve">ACT-&gt;ARG0/52</t>
  </si>
  <si>
    <t xml:space="preserve">ACT-&gt;ARG0/61</t>
  </si>
  <si>
    <t xml:space="preserve">ACT-&gt;ARG0/138,ARG1/1,ARG3/18</t>
  </si>
  <si>
    <t xml:space="preserve">PAT-&gt;ARG1/73</t>
  </si>
  <si>
    <t xml:space="preserve">PAT-&gt;ARG1/86</t>
  </si>
  <si>
    <t xml:space="preserve">PAT-&gt;ARG1/280,ARG2/2</t>
  </si>
  <si>
    <t xml:space="preserve">?EFF: před+7; proti+3</t>
  </si>
  <si>
    <t xml:space="preserve">EFF-&gt;ARG1/2,ARG2/43</t>
  </si>
  <si>
    <t xml:space="preserve">"bránit-003"</t>
  </si>
  <si>
    <t xml:space="preserve">ACT-&gt;ARG0/157,ARG1/1,ARG3/3</t>
  </si>
  <si>
    <t xml:space="preserve">PAT-&gt;ARG1/223,ARG2/18</t>
  </si>
  <si>
    <t xml:space="preserve">"bránit-se-001"</t>
  </si>
  <si>
    <t xml:space="preserve">ACT-&gt;ARG0/294,ARG1/2</t>
  </si>
  <si>
    <t xml:space="preserve">ACT-&gt;ARG0/64,ARG1/181,ARG2/2,ARG3/19</t>
  </si>
  <si>
    <t xml:space="preserve">PAT: 3; proti+3; před+7; ↓aby; .f</t>
  </si>
  <si>
    <t xml:space="preserve">PAT-&gt;ARG1/188,ARG2/2</t>
  </si>
  <si>
    <t xml:space="preserve">PAT-&gt;ARG1/16,ARG2/71</t>
  </si>
  <si>
    <t xml:space="preserve">"brát-001"</t>
  </si>
  <si>
    <t xml:space="preserve">ACT-&gt;ARG0/68</t>
  </si>
  <si>
    <t xml:space="preserve">ACT-&gt;ARG0/197</t>
  </si>
  <si>
    <t xml:space="preserve">ACT-&gt;ARG0/196</t>
  </si>
  <si>
    <t xml:space="preserve">ACT-&gt;ARG0/214</t>
  </si>
  <si>
    <t xml:space="preserve">PAT-&gt;ARG1/58,ARG2/46</t>
  </si>
  <si>
    <t xml:space="preserve">PAT-&gt;ARG1/330</t>
  </si>
  <si>
    <t xml:space="preserve">PAT-&gt;ARG1/329</t>
  </si>
  <si>
    <t xml:space="preserve">PAT-&gt;ARG1/375</t>
  </si>
  <si>
    <t xml:space="preserve">ADDR-&gt;ARG1/48,ARG2/16</t>
  </si>
  <si>
    <t xml:space="preserve">ADDR-&gt;ARG0/108,ARG1/3,ARG2/42</t>
  </si>
  <si>
    <t xml:space="preserve">ADDR-&gt;ARG0/108,ARG1/3,ARG2/40</t>
  </si>
  <si>
    <t xml:space="preserve">ADDR-&gt;ARG0/108,ARG1/4,ARG2/45</t>
  </si>
  <si>
    <t xml:space="preserve">"brát-002"</t>
  </si>
  <si>
    <t xml:space="preserve">?ORIG: od+2</t>
  </si>
  <si>
    <t xml:space="preserve">ACT-&gt;ARG0/56,ARG1/2</t>
  </si>
  <si>
    <t xml:space="preserve">ACT-&gt;ARG0/105,ARG1/1</t>
  </si>
  <si>
    <t xml:space="preserve">PAT-&gt;ARG1/21,ARG2/52</t>
  </si>
  <si>
    <t xml:space="preserve">PAT-&gt;ARG0/1,ARG1/137,ARG3/1</t>
  </si>
  <si>
    <t xml:space="preserve">ORIG-&gt;ARG1/2,ARG2/22,ARG3/1</t>
  </si>
  <si>
    <t xml:space="preserve">"brát-003"</t>
  </si>
  <si>
    <t xml:space="preserve">"brát-004"</t>
  </si>
  <si>
    <t xml:space="preserve">EFF: 4[{jako,jakožto}:/AuxY]; .a4[{jako,jakožto}:/AuxY]; za+4; za-1[.a4]; ↓že</t>
  </si>
  <si>
    <t xml:space="preserve">ACT-&gt;ARG0/55,ARG1/1,ARG2/1</t>
  </si>
  <si>
    <t xml:space="preserve">ACT-&gt;ARG0/108,ARG1/1,ARG2/1</t>
  </si>
  <si>
    <t xml:space="preserve">PAT-&gt;ARG1/64</t>
  </si>
  <si>
    <t xml:space="preserve">PAT-&gt;ARG1/176</t>
  </si>
  <si>
    <t xml:space="preserve">EFF-&gt;ARG1/59,ARG2/43</t>
  </si>
  <si>
    <t xml:space="preserve">EFF-&gt;ARG1/3,ARG2/156</t>
  </si>
  <si>
    <t xml:space="preserve">"brát-005"</t>
  </si>
  <si>
    <t xml:space="preserve">ACT: :1</t>
  </si>
  <si>
    <t xml:space="preserve">"brát-006"</t>
  </si>
  <si>
    <t xml:space="preserve">DIR1: *</t>
  </si>
  <si>
    <t xml:space="preserve">ACT-&gt;ARG0/10</t>
  </si>
  <si>
    <t xml:space="preserve">PAT-&gt;ARG1/10</t>
  </si>
  <si>
    <t xml:space="preserve">PAT-&gt;ARG1/46</t>
  </si>
  <si>
    <t xml:space="preserve">DIR1-&gt;ARG1/1,ARG2/5</t>
  </si>
  <si>
    <t xml:space="preserve">"brát-007"</t>
  </si>
  <si>
    <t xml:space="preserve">ACT-&gt;ARG0/27</t>
  </si>
  <si>
    <t xml:space="preserve">PAT-&gt;ARG1/37</t>
  </si>
  <si>
    <t xml:space="preserve">"brát-008"</t>
  </si>
  <si>
    <t xml:space="preserve">ACT-&gt;ARG0/50</t>
  </si>
  <si>
    <t xml:space="preserve">PAT-&gt;ARG1/82</t>
  </si>
  <si>
    <t xml:space="preserve">"brát-009"</t>
  </si>
  <si>
    <t xml:space="preserve">"brát-010"</t>
  </si>
  <si>
    <t xml:space="preserve">ACT-&gt;ARG0/105,ARG1/3104,ARG2/296</t>
  </si>
  <si>
    <t xml:space="preserve">PAT-&gt;ARG1/142,ARG2/1</t>
  </si>
  <si>
    <t xml:space="preserve">ALT-MANN: *</t>
  </si>
  <si>
    <t xml:space="preserve">MANN-&gt;ARG1/121,ARG2/3458</t>
  </si>
  <si>
    <t xml:space="preserve">MANN-&gt;ARG2/7</t>
  </si>
  <si>
    <t xml:space="preserve">ALT-MEANS: *</t>
  </si>
  <si>
    <t xml:space="preserve">MEANS-&gt;ARG2/7</t>
  </si>
  <si>
    <t xml:space="preserve">ALT-ACMP: *</t>
  </si>
  <si>
    <t xml:space="preserve">ACMP-&gt;ARG2/7</t>
  </si>
  <si>
    <t xml:space="preserve">ALT-CRIT: *</t>
  </si>
  <si>
    <t xml:space="preserve">CRIT-&gt;ARG2/7</t>
  </si>
  <si>
    <t xml:space="preserve">ALT-CPR: *</t>
  </si>
  <si>
    <t xml:space="preserve">CPR-&gt;ARG2/7</t>
  </si>
  <si>
    <t xml:space="preserve">"brát-011"</t>
  </si>
  <si>
    <t xml:space="preserve">"brát-012"</t>
  </si>
  <si>
    <t xml:space="preserve">PAT-&gt;ARG1/13</t>
  </si>
  <si>
    <t xml:space="preserve">PAT-&gt;ARG1/35</t>
  </si>
  <si>
    <t xml:space="preserve">"brát-013"</t>
  </si>
  <si>
    <t xml:space="preserve">"brát-014"</t>
  </si>
  <si>
    <t xml:space="preserve">PAT: za+4</t>
  </si>
  <si>
    <t xml:space="preserve">"brát-015"</t>
  </si>
  <si>
    <t xml:space="preserve">PAT-&gt;ARG1/22</t>
  </si>
  <si>
    <t xml:space="preserve">"brát-016"</t>
  </si>
  <si>
    <t xml:space="preserve">"brát-017"</t>
  </si>
  <si>
    <t xml:space="preserve">CPHR: {právo,právo,...}.4</t>
  </si>
  <si>
    <t xml:space="preserve">"brát-018"</t>
  </si>
  <si>
    <t xml:space="preserve">ACT-&gt;ARG1/3102,ARG2/296</t>
  </si>
  <si>
    <t xml:space="preserve">CPHR: {ohled,zřetel,...}.4</t>
  </si>
  <si>
    <t xml:space="preserve">CPHR-&gt;ARG1/121,ARG2/3451</t>
  </si>
  <si>
    <t xml:space="preserve">"brát-019"</t>
  </si>
  <si>
    <t xml:space="preserve">CPHR: {podíl,...}.4</t>
  </si>
  <si>
    <t xml:space="preserve">"brát-020"</t>
  </si>
  <si>
    <t xml:space="preserve">ACT-&gt;ARG0/20</t>
  </si>
  <si>
    <t xml:space="preserve">DPHR: na-1[se.4]</t>
  </si>
  <si>
    <t xml:space="preserve">"brát-021"</t>
  </si>
  <si>
    <t xml:space="preserve">DPHR: na-1[váha:4[lehký:#]]</t>
  </si>
  <si>
    <t xml:space="preserve">DPHR-&gt;ARG2/7</t>
  </si>
  <si>
    <t xml:space="preserve">"brát-022"</t>
  </si>
  <si>
    <t xml:space="preserve">DPHR: na-1[vědomí.4]</t>
  </si>
  <si>
    <t xml:space="preserve">"brát-023"</t>
  </si>
  <si>
    <t xml:space="preserve">DPHR: v-1[potaz.4]</t>
  </si>
  <si>
    <t xml:space="preserve">"brát-024"</t>
  </si>
  <si>
    <t xml:space="preserve">ACT-&gt;ARG0/84</t>
  </si>
  <si>
    <t xml:space="preserve">ACT-&gt;ARG0/123,ARG3/2</t>
  </si>
  <si>
    <t xml:space="preserve">DPHR: v-1[úvaha.S4]; do-1[úvaha.S2]</t>
  </si>
  <si>
    <t xml:space="preserve">DPHR-&gt;ARG2/4</t>
  </si>
  <si>
    <t xml:space="preserve">PAT-&gt;ARG1/172</t>
  </si>
  <si>
    <t xml:space="preserve">PAT-&gt;ARG1/102,ARG2/37,ARG3/1</t>
  </si>
  <si>
    <t xml:space="preserve">"brát-025"</t>
  </si>
  <si>
    <t xml:space="preserve">DPHR: zavděk</t>
  </si>
  <si>
    <t xml:space="preserve">"brát-026"</t>
  </si>
  <si>
    <t xml:space="preserve">DPHR: zpět</t>
  </si>
  <si>
    <t xml:space="preserve">"brát-027"</t>
  </si>
  <si>
    <t xml:space="preserve">DPHR: ten.NS4</t>
  </si>
  <si>
    <t xml:space="preserve">"brát-028"</t>
  </si>
  <si>
    <t xml:space="preserve">DPHR: konec.S2</t>
  </si>
  <si>
    <t xml:space="preserve">"brát-029"</t>
  </si>
  <si>
    <t xml:space="preserve">DPHR: rozum.S4</t>
  </si>
  <si>
    <t xml:space="preserve">"brát-030"</t>
  </si>
  <si>
    <t xml:space="preserve">DPHR: vítr.S4[z-1[plachta.P2]]</t>
  </si>
  <si>
    <t xml:space="preserve">DPHR-&gt;ARG1/1</t>
  </si>
  <si>
    <t xml:space="preserve">"brát-031"</t>
  </si>
  <si>
    <t xml:space="preserve">"brát-032"</t>
  </si>
  <si>
    <t xml:space="preserve">"brát-033"</t>
  </si>
  <si>
    <t xml:space="preserve">"brát-034"</t>
  </si>
  <si>
    <t xml:space="preserve">"brát-035"</t>
  </si>
  <si>
    <t xml:space="preserve">DPHR: za-1[svůj-1.#]</t>
  </si>
  <si>
    <t xml:space="preserve">"brát-036"</t>
  </si>
  <si>
    <t xml:space="preserve">"brát-037"</t>
  </si>
  <si>
    <t xml:space="preserve">"brát-se-001"</t>
  </si>
  <si>
    <t xml:space="preserve">"brát-se-002"</t>
  </si>
  <si>
    <t xml:space="preserve">ACT-&gt;ARG0/274,ARG2/2</t>
  </si>
  <si>
    <t xml:space="preserve">PAT: za+4; o+4</t>
  </si>
  <si>
    <t xml:space="preserve">PAT-&gt;ARG1/357,ARG2/13</t>
  </si>
  <si>
    <t xml:space="preserve">"brát-se-003"</t>
  </si>
  <si>
    <t xml:space="preserve">"--brát-se-004"</t>
  </si>
  <si>
    <t xml:space="preserve">PAT: s+7</t>
  </si>
  <si>
    <t xml:space="preserve">"brát-si-001"</t>
  </si>
  <si>
    <t xml:space="preserve">?EFF: za+4</t>
  </si>
  <si>
    <t xml:space="preserve">"brát-si-002"</t>
  </si>
  <si>
    <t xml:space="preserve">ALT-BEN: *</t>
  </si>
  <si>
    <t xml:space="preserve">BEN-&gt;ARG2/7</t>
  </si>
  <si>
    <t xml:space="preserve">"brát-si-003"</t>
  </si>
  <si>
    <t xml:space="preserve">DPHR: na-1[muška.S4]</t>
  </si>
  <si>
    <t xml:space="preserve">"brát-si-004"</t>
  </si>
  <si>
    <t xml:space="preserve">"brát-si-005"</t>
  </si>
  <si>
    <t xml:space="preserve">ACT-&gt;ARG0/10,ARG1/1</t>
  </si>
  <si>
    <t xml:space="preserve">DPHR: servítek.P4</t>
  </si>
  <si>
    <t xml:space="preserve">"brát-si-006"</t>
  </si>
  <si>
    <t xml:space="preserve">"brát-si-007"</t>
  </si>
  <si>
    <t xml:space="preserve">"brávat-001"</t>
  </si>
  <si>
    <t xml:space="preserve">"brázdit-001"</t>
  </si>
  <si>
    <t xml:space="preserve">"brázdit-002"</t>
  </si>
  <si>
    <t xml:space="preserve">"bubnovat-001"</t>
  </si>
  <si>
    <t xml:space="preserve">"budit-001"</t>
  </si>
  <si>
    <t xml:space="preserve">PAT-&gt;ARG1/3</t>
  </si>
  <si>
    <t xml:space="preserve">"budit-002"</t>
  </si>
  <si>
    <t xml:space="preserve">ACT-&gt;ARG0/6</t>
  </si>
  <si>
    <t xml:space="preserve">ACT-&gt;ARG0/553,ARG1/2,ARG2/38</t>
  </si>
  <si>
    <t xml:space="preserve">CPHR: {dojem,nostalgie,pocit,podiv,pohoršení,pohrdání,pochybnost,pozornost-1,rozpaky,strach,závist,zdání,...}.4</t>
  </si>
  <si>
    <t xml:space="preserve">CPHR-&gt;ARG1/8</t>
  </si>
  <si>
    <t xml:space="preserve">CPHR-&gt;ARG0/1,ARG1/810,ARG2/2</t>
  </si>
  <si>
    <t xml:space="preserve">LOC-&gt;ARG1/3,ARG2/14,ARG3/1,ARG4/79</t>
  </si>
  <si>
    <t xml:space="preserve">ACT-&gt;ARG0/103,ARG1/143</t>
  </si>
  <si>
    <t xml:space="preserve">CPHR-&gt;ARG1/124</t>
  </si>
  <si>
    <t xml:space="preserve">ACT-&gt;ARG1/41</t>
  </si>
  <si>
    <t xml:space="preserve">CPHR-&gt;ARG1/2</t>
  </si>
  <si>
    <t xml:space="preserve">"budit-se-001"</t>
  </si>
  <si>
    <t xml:space="preserve">ACT-&gt;ARG0/1,ARG1/9</t>
  </si>
  <si>
    <t xml:space="preserve">?PAT: z+2</t>
  </si>
  <si>
    <t xml:space="preserve">"budovat-001"</t>
  </si>
  <si>
    <t xml:space="preserve">ACT-&gt;ARG0/348,ARG1/1</t>
  </si>
  <si>
    <t xml:space="preserve">PAT-&gt;ARG1/622,ARG2/2</t>
  </si>
  <si>
    <t xml:space="preserve">PAT-&gt;ARG1/78</t>
  </si>
  <si>
    <t xml:space="preserve">?ORIG: na+6</t>
  </si>
  <si>
    <t xml:space="preserve">ORIG-&gt;ARG1/1,ARG2/14</t>
  </si>
  <si>
    <t xml:space="preserve">ORIG-&gt;ARG2/200</t>
  </si>
  <si>
    <t xml:space="preserve">"budovat-002"</t>
  </si>
  <si>
    <t xml:space="preserve">ACT-&gt;ARG0/416,ARG1/1</t>
  </si>
  <si>
    <t xml:space="preserve">ACT-&gt;ARG0/782,ARG1/6,ARG2/3</t>
  </si>
  <si>
    <t xml:space="preserve">PAT-&gt;ARG1/725,ARG2/2,ARG4/5</t>
  </si>
  <si>
    <t xml:space="preserve">PAT-&gt;ARG1/1318,ARG3/1,ARG4/5</t>
  </si>
  <si>
    <t xml:space="preserve">ORIG-&gt;ARG1/1,ARG2/13</t>
  </si>
  <si>
    <t xml:space="preserve">ORIG-&gt;ARG1/1,ARG2/44</t>
  </si>
  <si>
    <t xml:space="preserve">"bujet-001"</t>
  </si>
  <si>
    <t xml:space="preserve">"burcovat-001"</t>
  </si>
  <si>
    <t xml:space="preserve">"burácet-001"</t>
  </si>
  <si>
    <t xml:space="preserve">"bučet-001"</t>
  </si>
  <si>
    <t xml:space="preserve">?PAT: na+4; ↓že</t>
  </si>
  <si>
    <t xml:space="preserve">"bušit-001"</t>
  </si>
  <si>
    <t xml:space="preserve">"bušit-002"</t>
  </si>
  <si>
    <t xml:space="preserve">ACT: 3</t>
  </si>
  <si>
    <t xml:space="preserve">"bušit-003"</t>
  </si>
  <si>
    <t xml:space="preserve">"bušit-004"</t>
  </si>
  <si>
    <t xml:space="preserve">"bušit-005"</t>
  </si>
  <si>
    <t xml:space="preserve">"bydlet-001"</t>
  </si>
  <si>
    <t xml:space="preserve">ACT-&gt;ARG0/101,ARG1/8</t>
  </si>
  <si>
    <t xml:space="preserve">LOC-&gt;ARG1/51,ARG2/2</t>
  </si>
  <si>
    <t xml:space="preserve">"bydlívat-001"</t>
  </si>
  <si>
    <t xml:space="preserve">"bádat-001"</t>
  </si>
  <si>
    <t xml:space="preserve">PAT: o+6; nad+7; ↓že; ↓zda; ↓jestli; ↓c</t>
  </si>
  <si>
    <t xml:space="preserve">"básnit-001"</t>
  </si>
  <si>
    <t xml:space="preserve">"bát-se-001"</t>
  </si>
  <si>
    <t xml:space="preserve">PAT: o+4</t>
  </si>
  <si>
    <t xml:space="preserve">"bát-se-002"</t>
  </si>
  <si>
    <t xml:space="preserve">ACT-&gt;ARG0/94,ARG1/2</t>
  </si>
  <si>
    <t xml:space="preserve">ACT-&gt;ARG0/131,ARG1/21</t>
  </si>
  <si>
    <t xml:space="preserve">?PAT: 2; ↓že; ↓aby; ↓zda; ↓jestli; .f; ↓c</t>
  </si>
  <si>
    <t xml:space="preserve">PAT-&gt;ARG0/4,ARG1/101</t>
  </si>
  <si>
    <t xml:space="preserve">PAT-&gt;ARG0/28,ARG1/146</t>
  </si>
  <si>
    <t xml:space="preserve">"bít-001"</t>
  </si>
  <si>
    <t xml:space="preserve">ACT-&gt;ARG0/8</t>
  </si>
  <si>
    <t xml:space="preserve">PAT-&gt;ARG1/15</t>
  </si>
  <si>
    <t xml:space="preserve">PAT-&gt;ARG1/19</t>
  </si>
  <si>
    <t xml:space="preserve">"bít-002"</t>
  </si>
  <si>
    <t xml:space="preserve">DPHR: na-1[poplach.4]</t>
  </si>
  <si>
    <t xml:space="preserve">"bít-003"</t>
  </si>
  <si>
    <t xml:space="preserve">DPHR: do-1[oko.P2]</t>
  </si>
  <si>
    <t xml:space="preserve">"bít-004"</t>
  </si>
  <si>
    <t xml:space="preserve">"být-001"</t>
  </si>
  <si>
    <t xml:space="preserve">ACT: 1; .f; ↓že</t>
  </si>
  <si>
    <t xml:space="preserve">PAT: .a1; všechen.1; 1</t>
  </si>
  <si>
    <t xml:space="preserve">PAT-&gt;ARG1/121,ARG2/3451</t>
  </si>
  <si>
    <t xml:space="preserve">ORIG: od+2; strana-3.S2[z-1,.2]; z-1[strana-3.S2[.u#]]</t>
  </si>
  <si>
    <t xml:space="preserve">"být-002"</t>
  </si>
  <si>
    <t xml:space="preserve">EFF: za+4</t>
  </si>
  <si>
    <t xml:space="preserve">"být-003"</t>
  </si>
  <si>
    <t xml:space="preserve">EFF: do+2</t>
  </si>
  <si>
    <t xml:space="preserve">"být-004"</t>
  </si>
  <si>
    <t xml:space="preserve">ACT: 1; ↓že</t>
  </si>
  <si>
    <t xml:space="preserve">EFF: .aNS2; .aNS2; .S2</t>
  </si>
  <si>
    <t xml:space="preserve">ACT-&gt;ARG1/3503,ARG2/296</t>
  </si>
  <si>
    <t xml:space="preserve">EFF-&gt;ARG1/121,ARG2/3451</t>
  </si>
  <si>
    <t xml:space="preserve">"být-005"</t>
  </si>
  <si>
    <t xml:space="preserve">"být-006"</t>
  </si>
  <si>
    <t xml:space="preserve">ACT-&gt;ARG1/3114,ARG2/296</t>
  </si>
  <si>
    <t xml:space="preserve">PAT-&gt;ARG1/121,ARG2/3463</t>
  </si>
  <si>
    <t xml:space="preserve">"být-007"</t>
  </si>
  <si>
    <t xml:space="preserve">ACT: 1; 2; ↓že; ↓když; ↓aby; ↓kdyby; ↓jestli; ↓pokud; ↓zda; ↓co-3; ↓jak-2; ↓c; .f</t>
  </si>
  <si>
    <t xml:space="preserve">PAT: nefér; prima; rád; raději; jasno-2; známo; svůj-2; 1; 2; 7; .a1; .a7; .$1&lt;A&gt;$2&lt;C&gt;$3&lt;N&gt;$4&lt;S&gt;; .i; .f; ↓že; ↓jak-2; ↓c; .$1&lt;C&gt;$2&lt;v&gt;</t>
  </si>
  <si>
    <t xml:space="preserve">PAT(ARG1/1)</t>
  </si>
  <si>
    <t xml:space="preserve">ACT-&gt;ARG0/17063,ARG1/7385,ARG2/895,ARG3/61</t>
  </si>
  <si>
    <t xml:space="preserve">ACT-&gt;PAT (ARG1/1)</t>
  </si>
  <si>
    <t xml:space="preserve">PAT-&gt;ARG0/5,ARG1/18667,ARG2/5358,ARG3/290,ARG4/437</t>
  </si>
  <si>
    <t xml:space="preserve">PAT-&gt;--- ()</t>
  </si>
  <si>
    <t xml:space="preserve">ACT-&gt;ARG0/199,ARG1/4542,ARG2/389</t>
  </si>
  <si>
    <t xml:space="preserve">PAT-&gt;ARG1/1247,ARG2/4333</t>
  </si>
  <si>
    <t xml:space="preserve">"být-008"</t>
  </si>
  <si>
    <t xml:space="preserve">"být-009"</t>
  </si>
  <si>
    <t xml:space="preserve">ACT-&gt;ARG0/59,ARG1/5385,ARG2/296</t>
  </si>
  <si>
    <t xml:space="preserve">MANN: *</t>
  </si>
  <si>
    <t xml:space="preserve">MANN-&gt;ARG1/121,ARG2/3460</t>
  </si>
  <si>
    <t xml:space="preserve">"být-010"</t>
  </si>
  <si>
    <t xml:space="preserve">ACT: nad-1[.4]</t>
  </si>
  <si>
    <t xml:space="preserve">---: .~</t>
  </si>
  <si>
    <t xml:space="preserve">"být-011"</t>
  </si>
  <si>
    <t xml:space="preserve">ACT: 1; 2; 3; .f; ↓aby; ↓jak-2; ↓kdyby; ↓že; ↓když; ↓zda; ↓jestli; ↓co-3; ↓c</t>
  </si>
  <si>
    <t xml:space="preserve">ACT-&gt;ARG0/1316,ARG1/9183,ARG2/399,ARG3/290,ARG4/1</t>
  </si>
  <si>
    <t xml:space="preserve">"být-012"</t>
  </si>
  <si>
    <t xml:space="preserve">ACT: .f</t>
  </si>
  <si>
    <t xml:space="preserve">ACT-&gt;ARG1/401</t>
  </si>
  <si>
    <t xml:space="preserve">"být-013"</t>
  </si>
  <si>
    <t xml:space="preserve">ACT: po+6</t>
  </si>
  <si>
    <t xml:space="preserve">"být-014"</t>
  </si>
  <si>
    <t xml:space="preserve">TWHEN: *</t>
  </si>
  <si>
    <t xml:space="preserve">TWHEN-&gt;ARG2/6</t>
  </si>
  <si>
    <t xml:space="preserve">"být-015"</t>
  </si>
  <si>
    <t xml:space="preserve">EXT: *</t>
  </si>
  <si>
    <t xml:space="preserve">"být-016"</t>
  </si>
  <si>
    <t xml:space="preserve">THL: *</t>
  </si>
  <si>
    <t xml:space="preserve">"být-017"</t>
  </si>
  <si>
    <t xml:space="preserve">MANN-&gt;ARG0/1,ARG1/2377,ARG2/3451</t>
  </si>
  <si>
    <t xml:space="preserve">"být-018"</t>
  </si>
  <si>
    <t xml:space="preserve">ACT: 1; .f; ↓že; ↓když; ↓jestli; ↓zda; ↓c</t>
  </si>
  <si>
    <t xml:space="preserve">ACT-&gt;ARG1/3125,ARG2/296</t>
  </si>
  <si>
    <t xml:space="preserve">CPHR: {stydno-1}; {hanba,trapno}.S1; jeden.NS1</t>
  </si>
  <si>
    <t xml:space="preserve">ADDR-&gt;ARG0/23</t>
  </si>
  <si>
    <t xml:space="preserve">"být-019"</t>
  </si>
  <si>
    <t xml:space="preserve">ACT: .f; ↓že; ↓když; 2</t>
  </si>
  <si>
    <t xml:space="preserve">CPHR: {líto}</t>
  </si>
  <si>
    <t xml:space="preserve">ADDR-&gt;ARG1/3102,ARG2/296</t>
  </si>
  <si>
    <t xml:space="preserve">"být-020"</t>
  </si>
  <si>
    <t xml:space="preserve">ACT: 1; 2; .f; ↓aby; ↓že; ↓když</t>
  </si>
  <si>
    <t xml:space="preserve">CPHR: třeba-1; potřeba.S1; zapotřebí; škoda</t>
  </si>
  <si>
    <t xml:space="preserve">ACT-&gt;ARG0/286,ARG1/3504,ARG2/296</t>
  </si>
  <si>
    <t xml:space="preserve">"být-021"</t>
  </si>
  <si>
    <t xml:space="preserve">ACT: .f; ↓aby; ↓že</t>
  </si>
  <si>
    <t xml:space="preserve">CPHR: {možný,nutný,vhodný}.$1&lt;A&gt;$2&lt;C&gt;$3&lt;N&gt;$4&lt;S&gt;; {těžko-2,záhodno-1,zatěžko,...}</t>
  </si>
  <si>
    <t xml:space="preserve">ACT-&gt;ARG1/3694,ARG2/302</t>
  </si>
  <si>
    <t xml:space="preserve">CPHR-&gt;ARG1/121,ARG2/3924</t>
  </si>
  <si>
    <t xml:space="preserve">ACT-&gt;ARG1/3543,ARG2/302</t>
  </si>
  <si>
    <t xml:space="preserve">CPHR-&gt;ARG1/522,ARG2/3924</t>
  </si>
  <si>
    <t xml:space="preserve">"být-022"</t>
  </si>
  <si>
    <t xml:space="preserve">DPHR: zajedno</t>
  </si>
  <si>
    <t xml:space="preserve">?PAT: v+6</t>
  </si>
  <si>
    <t xml:space="preserve">DPHR-&gt;ARG1/121,ARG2/3451</t>
  </si>
  <si>
    <t xml:space="preserve">ACT-&gt;ARG1/10</t>
  </si>
  <si>
    <t xml:space="preserve">ADDR-&gt;ARG2/12</t>
  </si>
  <si>
    <t xml:space="preserve">"být-023"</t>
  </si>
  <si>
    <t xml:space="preserve">DPHR: daleký</t>
  </si>
  <si>
    <t xml:space="preserve">PAT: .f</t>
  </si>
  <si>
    <t xml:space="preserve">"být-024"</t>
  </si>
  <si>
    <t xml:space="preserve">ACT-&gt;ARG0/215,ARG1/4</t>
  </si>
  <si>
    <t xml:space="preserve">DPHR: to-9[s-9]</t>
  </si>
  <si>
    <t xml:space="preserve">PAT-&gt;ARG1/272</t>
  </si>
  <si>
    <t xml:space="preserve">"být-025"</t>
  </si>
  <si>
    <t xml:space="preserve">DPHR: zadobře</t>
  </si>
  <si>
    <t xml:space="preserve">"být-026"</t>
  </si>
  <si>
    <t xml:space="preserve">DPHR: k-1[smích.S3]; pro-1[smích.S4]; do-1[smích.S2]</t>
  </si>
  <si>
    <t xml:space="preserve">PAT-&gt;ARG1/3102,ARG2/296</t>
  </si>
  <si>
    <t xml:space="preserve">"být-027"</t>
  </si>
  <si>
    <t xml:space="preserve">ACT-&gt;ARG1/30</t>
  </si>
  <si>
    <t xml:space="preserve">DPHR: krátký</t>
  </si>
  <si>
    <t xml:space="preserve">PAT-&gt;ARG0/21</t>
  </si>
  <si>
    <t xml:space="preserve">"být-028"</t>
  </si>
  <si>
    <t xml:space="preserve">ACT-&gt;ARG1/280,ARG2/3</t>
  </si>
  <si>
    <t xml:space="preserve">DPHR: na-1[cesta.S6[dobrý.@3#]]; na-1[cesta.S6[dobrý.@1#]]; na-1[cesta.S6]</t>
  </si>
  <si>
    <t xml:space="preserve">DPHR-&gt;ARG1/2,ARG2/279</t>
  </si>
  <si>
    <t xml:space="preserve">PAT: .f; k+3</t>
  </si>
  <si>
    <t xml:space="preserve">DPHR-&gt;ARG1/1,ARG2/91</t>
  </si>
  <si>
    <t xml:space="preserve">"být-029"</t>
  </si>
  <si>
    <t xml:space="preserve">DPHR: v-1[kontakt.S6]</t>
  </si>
  <si>
    <t xml:space="preserve">"být-030"</t>
  </si>
  <si>
    <t xml:space="preserve">ACT: 1; ↓aby; .f</t>
  </si>
  <si>
    <t xml:space="preserve">ACT-&gt;ARG1/11</t>
  </si>
  <si>
    <t xml:space="preserve">DPHR: v-1[zájem.S6[.2]]; v-1[zájem.S6[.#]]</t>
  </si>
  <si>
    <t xml:space="preserve">DPHR-&gt;ARG2/13</t>
  </si>
  <si>
    <t xml:space="preserve">?PAT: 2</t>
  </si>
  <si>
    <t xml:space="preserve">ACT-&gt;ARG0/2154,ARG1/30,ARG2/27</t>
  </si>
  <si>
    <t xml:space="preserve">DPHR-&gt;ARG0/1,ARG1/2284,ARG2/13</t>
  </si>
  <si>
    <t xml:space="preserve">"být-031"</t>
  </si>
  <si>
    <t xml:space="preserve">ACT-&gt;ARG0/770,ARG1/23</t>
  </si>
  <si>
    <t xml:space="preserve">DPHR: názor.S2[{jiný,stejný,podobný,opačný}.#]; názor.S2[že[.v]]; názor.S2[ten.#,že[.v]]</t>
  </si>
  <si>
    <t xml:space="preserve">?PAT: ↓že</t>
  </si>
  <si>
    <t xml:space="preserve">PAT-&gt;ARG0/1,ARG1/724,ARG2/9</t>
  </si>
  <si>
    <t xml:space="preserve">"být-032"</t>
  </si>
  <si>
    <t xml:space="preserve">ACT-&gt;ARG1/3201,ARG2/296</t>
  </si>
  <si>
    <t xml:space="preserve">ACT-&gt;ARG0/111,ARG1/15,ARGM-MNR/2</t>
  </si>
  <si>
    <t xml:space="preserve">DPHR: na-1[ten.S6]</t>
  </si>
  <si>
    <t xml:space="preserve">MANN-&gt;ARG1/122,ARG2/3542</t>
  </si>
  <si>
    <t xml:space="preserve">MANN-&gt;ARG1/2,ARG2/2,ARGM-MNR/22</t>
  </si>
  <si>
    <t xml:space="preserve">"být-033"</t>
  </si>
  <si>
    <t xml:space="preserve">DPHR: ani[vid.S2,ani[slech.S2]]</t>
  </si>
  <si>
    <t xml:space="preserve">"být-034"</t>
  </si>
  <si>
    <t xml:space="preserve">ACT: ↓že; ten.NS1; ↓kdyby</t>
  </si>
  <si>
    <t xml:space="preserve">DPHR: div.S2</t>
  </si>
  <si>
    <t xml:space="preserve">"být-035"</t>
  </si>
  <si>
    <t xml:space="preserve">ACT: ↓že; ten.NS1</t>
  </si>
  <si>
    <t xml:space="preserve">DPHR: spor.S2</t>
  </si>
  <si>
    <t xml:space="preserve">"být-036"</t>
  </si>
  <si>
    <t xml:space="preserve">ACT: 1; ↓c; .f</t>
  </si>
  <si>
    <t xml:space="preserve">DPHR: na-1[povážená.S4]</t>
  </si>
  <si>
    <t xml:space="preserve">"být-037"</t>
  </si>
  <si>
    <t xml:space="preserve">ACT: 1; ↓že; ↓c</t>
  </si>
  <si>
    <t xml:space="preserve">DPHR: nasnadě</t>
  </si>
  <si>
    <t xml:space="preserve">"být-038"</t>
  </si>
  <si>
    <t xml:space="preserve">ACT: 1; ↓že; .f</t>
  </si>
  <si>
    <t xml:space="preserve">DPHR: na-1[místo-1.S6]; namístě</t>
  </si>
  <si>
    <t xml:space="preserve">"být-039"</t>
  </si>
  <si>
    <t xml:space="preserve">DPHR: nabíledni</t>
  </si>
  <si>
    <t xml:space="preserve">"být-040"</t>
  </si>
  <si>
    <t xml:space="preserve">DPHR: do-1[práce.S2]</t>
  </si>
  <si>
    <t xml:space="preserve">"být-041"</t>
  </si>
  <si>
    <t xml:space="preserve">ACT-&gt;ARG1/4776,ARG2/305</t>
  </si>
  <si>
    <t xml:space="preserve">ACT-&gt;ARG1/446</t>
  </si>
  <si>
    <t xml:space="preserve">DPHR: k-1[dispozice.S3]</t>
  </si>
  <si>
    <t xml:space="preserve">DPHR-&gt;ARG1/121,ARG2/3924</t>
  </si>
  <si>
    <t xml:space="preserve">"být-042"</t>
  </si>
  <si>
    <t xml:space="preserve">DPHR: k-1[dosažení.S3]</t>
  </si>
  <si>
    <t xml:space="preserve">"být-043"</t>
  </si>
  <si>
    <t xml:space="preserve">DPHR: k-1[mání.3]</t>
  </si>
  <si>
    <t xml:space="preserve">"být-044"</t>
  </si>
  <si>
    <t xml:space="preserve">DPHR: k-1[zaplacení.~]</t>
  </si>
  <si>
    <t xml:space="preserve">"být-045"</t>
  </si>
  <si>
    <t xml:space="preserve">DPHR: mimo-1[obraz.S4]</t>
  </si>
  <si>
    <t xml:space="preserve">"být-046"</t>
  </si>
  <si>
    <t xml:space="preserve">DPHR: mínění.S2[{jiný,stejný,podobný}.#]; mínění.S2[že[.v]]; mínění.S2[ten.#,že[.v]]</t>
  </si>
  <si>
    <t xml:space="preserve">"být-047"</t>
  </si>
  <si>
    <t xml:space="preserve">DPHR: na-1[co-1.S6]</t>
  </si>
  <si>
    <t xml:space="preserve">"být-048"</t>
  </si>
  <si>
    <t xml:space="preserve">DPHR: na-1[štír.S6]</t>
  </si>
  <si>
    <t xml:space="preserve">"být-049"</t>
  </si>
  <si>
    <t xml:space="preserve">DPHR: na-1[vina.S6]</t>
  </si>
  <si>
    <t xml:space="preserve">"být-050"</t>
  </si>
  <si>
    <t xml:space="preserve">DPHR: na-1[závada.S4]</t>
  </si>
  <si>
    <t xml:space="preserve">"být-051"</t>
  </si>
  <si>
    <t xml:space="preserve">DPHR: nad-1[všechen.NS4]</t>
  </si>
  <si>
    <t xml:space="preserve">"být-052"</t>
  </si>
  <si>
    <t xml:space="preserve">DPHR: při-1[ruka.S6]; po-1[ruka.S6]</t>
  </si>
  <si>
    <t xml:space="preserve">"být-053"</t>
  </si>
  <si>
    <t xml:space="preserve">DPHR: pro-1[kočka.S4]</t>
  </si>
  <si>
    <t xml:space="preserve">"být-054"</t>
  </si>
  <si>
    <t xml:space="preserve">DPHR: v-1[hra.S6]</t>
  </si>
  <si>
    <t xml:space="preserve">"být-055"</t>
  </si>
  <si>
    <t xml:space="preserve">DPHR: v-1[obraz.S6]</t>
  </si>
  <si>
    <t xml:space="preserve">"být-056"</t>
  </si>
  <si>
    <t xml:space="preserve">ACT-&gt;ARG1/438,ARG2/51</t>
  </si>
  <si>
    <t xml:space="preserve">DPHR: v-1[plán.S6]</t>
  </si>
  <si>
    <t xml:space="preserve">DPHR-&gt;ARG1/401</t>
  </si>
  <si>
    <t xml:space="preserve">"být-057"</t>
  </si>
  <si>
    <t xml:space="preserve">DPHR: v-1[prach.S6]</t>
  </si>
  <si>
    <t xml:space="preserve">"být-058"</t>
  </si>
  <si>
    <t xml:space="preserve">ACT-&gt;ARG1/220,ARG2/3451</t>
  </si>
  <si>
    <t xml:space="preserve">DPHR: v-1[sázka.S6]</t>
  </si>
  <si>
    <t xml:space="preserve">DPHR-&gt;ARG1/3103,ARG2/388</t>
  </si>
  <si>
    <t xml:space="preserve">"být-059"</t>
  </si>
  <si>
    <t xml:space="preserve">DPHR: v-1[úzký.P6]</t>
  </si>
  <si>
    <t xml:space="preserve">"být-060"</t>
  </si>
  <si>
    <t xml:space="preserve">DPHR: za-1[voda.S7]</t>
  </si>
  <si>
    <t xml:space="preserve">"být-061"</t>
  </si>
  <si>
    <t xml:space="preserve">ACT: ↓aby; .f</t>
  </si>
  <si>
    <t xml:space="preserve">DPHR: na-1[čas.S6]; načase</t>
  </si>
  <si>
    <t xml:space="preserve">DPHR-&gt;ARG2/6</t>
  </si>
  <si>
    <t xml:space="preserve">"být-062"</t>
  </si>
  <si>
    <t xml:space="preserve">ACT: na+6</t>
  </si>
  <si>
    <t xml:space="preserve">DPHR: řada.S1</t>
  </si>
  <si>
    <t xml:space="preserve">"být-063"</t>
  </si>
  <si>
    <t xml:space="preserve">ACT: 1; ↓aby</t>
  </si>
  <si>
    <t xml:space="preserve">DPHR: na-1[čas.S6]</t>
  </si>
  <si>
    <t xml:space="preserve">"být-064"</t>
  </si>
  <si>
    <t xml:space="preserve">ACT-&gt;ARG0/3,ARG2/3</t>
  </si>
  <si>
    <t xml:space="preserve">DPHR: na-1[škoda.S4]</t>
  </si>
  <si>
    <t xml:space="preserve">"být-065"</t>
  </si>
  <si>
    <t xml:space="preserve">DPHR: bez-1[se.2]</t>
  </si>
  <si>
    <t xml:space="preserve">"být-066"</t>
  </si>
  <si>
    <t xml:space="preserve">DPHR: jako-1[ušitý.1@1$11&lt;A&gt;]; jako-1[dělaný.1@1$11&lt;A&gt;]</t>
  </si>
  <si>
    <t xml:space="preserve">"být-067"</t>
  </si>
  <si>
    <t xml:space="preserve">ACT-&gt;ARG1/3129,ARG2/296</t>
  </si>
  <si>
    <t xml:space="preserve">DPHR: k-1[dostání.S3]</t>
  </si>
  <si>
    <t xml:space="preserve">"být-068"</t>
  </si>
  <si>
    <t xml:space="preserve">ACT-&gt;ARG1/3382,ARG2/299</t>
  </si>
  <si>
    <t xml:space="preserve">DPHR: k-1[zastižení.S3]</t>
  </si>
  <si>
    <t xml:space="preserve">"být-069"</t>
  </si>
  <si>
    <t xml:space="preserve">ACT-&gt;ARG0/364,ARG1/1</t>
  </si>
  <si>
    <t xml:space="preserve">DPHR: na-1[dno.S6]</t>
  </si>
  <si>
    <t xml:space="preserve">DPHR-&gt;ARG1/483,ARG2/1</t>
  </si>
  <si>
    <t xml:space="preserve">"být-070"</t>
  </si>
  <si>
    <t xml:space="preserve">DPHR: na-1[dosah.S4]; na-1[dosah.S4[ruka.S2]]</t>
  </si>
  <si>
    <t xml:space="preserve">"být-071"</t>
  </si>
  <si>
    <t xml:space="preserve">DPHR: na-1[kůň.S6]</t>
  </si>
  <si>
    <t xml:space="preserve">DPHR-&gt;ARG1/2,ARG2/2,ARGM-MNR/22</t>
  </si>
  <si>
    <t xml:space="preserve">"být-072"</t>
  </si>
  <si>
    <t xml:space="preserve">DPHR: na-1[ostří.S1[nůž.S2]]</t>
  </si>
  <si>
    <t xml:space="preserve">"být-073"</t>
  </si>
  <si>
    <t xml:space="preserve">DPHR: slovo.S1[slabý.@1$11&lt;A&gt;#]</t>
  </si>
  <si>
    <t xml:space="preserve">"být-074"</t>
  </si>
  <si>
    <t xml:space="preserve">DPHR: v-1[dohled.S6]</t>
  </si>
  <si>
    <t xml:space="preserve">"být-075"</t>
  </si>
  <si>
    <t xml:space="preserve">DPHR: v-1[platnost.S6]</t>
  </si>
  <si>
    <t xml:space="preserve">"být-076"</t>
  </si>
  <si>
    <t xml:space="preserve">ACT: 1; ↓jestli</t>
  </si>
  <si>
    <t xml:space="preserve">DPHR: v-1[pořádek.S6]</t>
  </si>
  <si>
    <t xml:space="preserve">ACT-&gt;ARG0/1,ARG1/3129,ARG2/296</t>
  </si>
  <si>
    <t xml:space="preserve">DPHR-&gt;ARG1/121,ARG2/3464</t>
  </si>
  <si>
    <t xml:space="preserve">"být-077"</t>
  </si>
  <si>
    <t xml:space="preserve">ACT-&gt;ARG1/104</t>
  </si>
  <si>
    <t xml:space="preserve">ACT-&gt;ARG0/57,ARG1/37</t>
  </si>
  <si>
    <t xml:space="preserve">DPHR: v-1[provoz.S6]</t>
  </si>
  <si>
    <t xml:space="preserve">DPHR-&gt;ARG2/5</t>
  </si>
  <si>
    <t xml:space="preserve">"být-078"</t>
  </si>
  <si>
    <t xml:space="preserve">DPHR: o-1[ten.P4]</t>
  </si>
  <si>
    <t xml:space="preserve">"být-079"</t>
  </si>
  <si>
    <t xml:space="preserve">"být-080"</t>
  </si>
  <si>
    <t xml:space="preserve">PAT: .a1</t>
  </si>
  <si>
    <t xml:space="preserve">"být-081"</t>
  </si>
  <si>
    <t xml:space="preserve">"být-082"</t>
  </si>
  <si>
    <t xml:space="preserve">DPHR: jako[na-1[trní.S6]]</t>
  </si>
  <si>
    <t xml:space="preserve">"být-083"</t>
  </si>
  <si>
    <t xml:space="preserve">ACT-&gt;ARG0/1,ARG1/397</t>
  </si>
  <si>
    <t xml:space="preserve">DPHR: k-1[nalezení.S3]</t>
  </si>
  <si>
    <t xml:space="preserve">"být-084"</t>
  </si>
  <si>
    <t xml:space="preserve">DPHR: k-1[popukání.S3]</t>
  </si>
  <si>
    <t xml:space="preserve">"být-085"</t>
  </si>
  <si>
    <t xml:space="preserve">DPHR: k-1[smích.S3]</t>
  </si>
  <si>
    <t xml:space="preserve">"být-086"</t>
  </si>
  <si>
    <t xml:space="preserve">DPHR: k-1[vidění.S3]</t>
  </si>
  <si>
    <t xml:space="preserve">"být-087"</t>
  </si>
  <si>
    <t xml:space="preserve">DPHR: na-1[dohled.S4]</t>
  </si>
  <si>
    <t xml:space="preserve">DPHR-&gt;ARG1/8</t>
  </si>
  <si>
    <t xml:space="preserve">"být-088"</t>
  </si>
  <si>
    <t xml:space="preserve">DPHR: na-1[mizina.S6]</t>
  </si>
  <si>
    <t xml:space="preserve">"být-089"</t>
  </si>
  <si>
    <t xml:space="preserve">ACT-&gt;ARG0/7,ARG1/188,ARG2/3</t>
  </si>
  <si>
    <t xml:space="preserve">DPHR: na-1[bod.S6[mrtvý.#]]</t>
  </si>
  <si>
    <t xml:space="preserve">DPHR-&gt;ARG0/2,ARG1/52,ARG2/113</t>
  </si>
  <si>
    <t xml:space="preserve">"být-090"</t>
  </si>
  <si>
    <t xml:space="preserve">DPHR: na-1[oko.P6]</t>
  </si>
  <si>
    <t xml:space="preserve">PAT-&gt;ARG1/83</t>
  </si>
  <si>
    <t xml:space="preserve">"být-091"</t>
  </si>
  <si>
    <t xml:space="preserve">DPHR: na-1[program.S6]</t>
  </si>
  <si>
    <t xml:space="preserve">"být-092"</t>
  </si>
  <si>
    <t xml:space="preserve">DPHR: na-1[řada.S6]</t>
  </si>
  <si>
    <t xml:space="preserve">"být-093"</t>
  </si>
  <si>
    <t xml:space="preserve">ACT: ↓že</t>
  </si>
  <si>
    <t xml:space="preserve">DPHR: s-1[podiv.S7]</t>
  </si>
  <si>
    <t xml:space="preserve">"být-094"</t>
  </si>
  <si>
    <t xml:space="preserve">DPHR: venku</t>
  </si>
  <si>
    <t xml:space="preserve">"být-095"</t>
  </si>
  <si>
    <t xml:space="preserve">ACT-&gt;ARG1/12,ARG2/64</t>
  </si>
  <si>
    <t xml:space="preserve">DPHR: v-1[jednání.S6]</t>
  </si>
  <si>
    <t xml:space="preserve">"být-096"</t>
  </si>
  <si>
    <t xml:space="preserve">DPHR: v-1[nevýhoda.S6]</t>
  </si>
  <si>
    <t xml:space="preserve">"být-097"</t>
  </si>
  <si>
    <t xml:space="preserve">DPHR: v-1[plenka.P6]</t>
  </si>
  <si>
    <t xml:space="preserve">"být-098"</t>
  </si>
  <si>
    <t xml:space="preserve">DPHR: v-1[ruka.P6[dobrý.#]]</t>
  </si>
  <si>
    <t xml:space="preserve">"být-099"</t>
  </si>
  <si>
    <t xml:space="preserve">DPHR: na-1[výběr.S4]</t>
  </si>
  <si>
    <t xml:space="preserve">"být-100"</t>
  </si>
  <si>
    <t xml:space="preserve">DPHR: u-1[vytržení.S2]</t>
  </si>
  <si>
    <t xml:space="preserve">"být-101"</t>
  </si>
  <si>
    <t xml:space="preserve">DPHR: v-1[nesnáz.P6]</t>
  </si>
  <si>
    <t xml:space="preserve">"být-102"</t>
  </si>
  <si>
    <t xml:space="preserve">DPHR: na-1[pochod.S6]</t>
  </si>
  <si>
    <t xml:space="preserve">"být-103"</t>
  </si>
  <si>
    <t xml:space="preserve">DPHR: naruby</t>
  </si>
  <si>
    <t xml:space="preserve">"být-104"</t>
  </si>
  <si>
    <t xml:space="preserve">ACT: na+4</t>
  </si>
  <si>
    <t xml:space="preserve">"být-105"</t>
  </si>
  <si>
    <t xml:space="preserve">ACT: ↓jak-2</t>
  </si>
  <si>
    <t xml:space="preserve">"být-106"</t>
  </si>
  <si>
    <t xml:space="preserve">"být-107"</t>
  </si>
  <si>
    <t xml:space="preserve">"být-108"</t>
  </si>
  <si>
    <t xml:space="preserve">PAT: přes+4</t>
  </si>
  <si>
    <t xml:space="preserve">"být-109"</t>
  </si>
  <si>
    <t xml:space="preserve">"--být-110"</t>
  </si>
  <si>
    <t xml:space="preserve">"--být-111"</t>
  </si>
  <si>
    <t xml:space="preserve">PAT: .aNS2</t>
  </si>
  <si>
    <t xml:space="preserve">EFF: na+6</t>
  </si>
  <si>
    <t xml:space="preserve">"--být-112"</t>
  </si>
  <si>
    <t xml:space="preserve">CPHR: {užitečný,známý}</t>
  </si>
  <si>
    <t xml:space="preserve">EFF: jako[.1]</t>
  </si>
  <si>
    <t xml:space="preserve">"--být-113"</t>
  </si>
  <si>
    <t xml:space="preserve">DPHR: k,dosažení</t>
  </si>
  <si>
    <t xml:space="preserve">"být-114"</t>
  </si>
  <si>
    <t xml:space="preserve">DPHR: báseň.S1[jeden-1]</t>
  </si>
  <si>
    <t xml:space="preserve">"být-115"</t>
  </si>
  <si>
    <t xml:space="preserve">DPHR: známo.$1&lt;A&gt;$2&lt;C&gt;$3&lt;N&gt;$4&lt;S&gt;</t>
  </si>
  <si>
    <t xml:space="preserve">"být-116"</t>
  </si>
  <si>
    <t xml:space="preserve">DPHR: co-1</t>
  </si>
  <si>
    <t xml:space="preserve">"být-117"</t>
  </si>
  <si>
    <t xml:space="preserve">DPHR: doma</t>
  </si>
  <si>
    <t xml:space="preserve">"být-118"</t>
  </si>
  <si>
    <t xml:space="preserve">DPHR: k-1[hovno.S3]</t>
  </si>
  <si>
    <t xml:space="preserve">"být-119"</t>
  </si>
  <si>
    <t xml:space="preserve">DPHR: k-1[posrání.S3]</t>
  </si>
  <si>
    <t xml:space="preserve">"být-120"</t>
  </si>
  <si>
    <t xml:space="preserve">DPHR: k-1[sehnání.S3]</t>
  </si>
  <si>
    <t xml:space="preserve">"být-121"</t>
  </si>
  <si>
    <t xml:space="preserve">DPHR: na-1[větev.S]</t>
  </si>
  <si>
    <t xml:space="preserve">"být-122"</t>
  </si>
  <si>
    <t xml:space="preserve">DPHR: na-1[loket.P4[dlouhý.#]]</t>
  </si>
  <si>
    <t xml:space="preserve">"být-123"</t>
  </si>
  <si>
    <t xml:space="preserve">DPHR: levý</t>
  </si>
  <si>
    <t xml:space="preserve">"být-124"</t>
  </si>
  <si>
    <t xml:space="preserve">DPHR: spolehnutí.S1</t>
  </si>
  <si>
    <t xml:space="preserve">"být-125"</t>
  </si>
  <si>
    <t xml:space="preserve">DPHR: u-1[foch.S2]</t>
  </si>
  <si>
    <t xml:space="preserve">"být-126"</t>
  </si>
  <si>
    <t xml:space="preserve">DPHR: vedle</t>
  </si>
  <si>
    <t xml:space="preserve">"být-127"</t>
  </si>
  <si>
    <t xml:space="preserve">DPHR: v-1[spojení.S6]</t>
  </si>
  <si>
    <t xml:space="preserve">"být-128"</t>
  </si>
  <si>
    <t xml:space="preserve">DPHR: z-1[ruka.S2]</t>
  </si>
  <si>
    <t xml:space="preserve">"být-129"</t>
  </si>
  <si>
    <t xml:space="preserve">DPHR: v-1[styk.S6]</t>
  </si>
  <si>
    <t xml:space="preserve">"být-130"</t>
  </si>
  <si>
    <t xml:space="preserve">ACT: 1; ↓když</t>
  </si>
  <si>
    <t xml:space="preserve">DPHR: k-1[vztek.S3]</t>
  </si>
  <si>
    <t xml:space="preserve">"být-131"</t>
  </si>
  <si>
    <t xml:space="preserve">DPHR: ruka,v-1[rukáv.S6]</t>
  </si>
  <si>
    <t xml:space="preserve">"být-132"</t>
  </si>
  <si>
    <t xml:space="preserve">DPHR: blázen.P1</t>
  </si>
  <si>
    <t xml:space="preserve">PAT: do+2</t>
  </si>
  <si>
    <t xml:space="preserve">"být-133"</t>
  </si>
  <si>
    <t xml:space="preserve">DPHR: bída.S1[jeden.#]</t>
  </si>
  <si>
    <t xml:space="preserve">"být-134"</t>
  </si>
  <si>
    <t xml:space="preserve">DPHR: koníček.S1</t>
  </si>
  <si>
    <t xml:space="preserve">"být-135"</t>
  </si>
  <si>
    <t xml:space="preserve">DPHR: na-1[rána.S6]</t>
  </si>
  <si>
    <t xml:space="preserve">"být-136"</t>
  </si>
  <si>
    <t xml:space="preserve">DPHR: v-1[pohoda.S6]</t>
  </si>
  <si>
    <t xml:space="preserve">"být-137"</t>
  </si>
  <si>
    <t xml:space="preserve">DPHR: on-1.NS1</t>
  </si>
  <si>
    <t xml:space="preserve">"být-138"</t>
  </si>
  <si>
    <t xml:space="preserve">DPHR: k-1[nepotřeba.S3]</t>
  </si>
  <si>
    <t xml:space="preserve">"být-139"</t>
  </si>
  <si>
    <t xml:space="preserve">DPHR: pod-1[kámen.S7]</t>
  </si>
  <si>
    <t xml:space="preserve">"být-140"</t>
  </si>
  <si>
    <t xml:space="preserve">DPHR: med.S1</t>
  </si>
  <si>
    <t xml:space="preserve">"být-141"</t>
  </si>
  <si>
    <t xml:space="preserve">"být-142"</t>
  </si>
  <si>
    <t xml:space="preserve">ACT: 2</t>
  </si>
  <si>
    <t xml:space="preserve">DPHR: nazbyt</t>
  </si>
  <si>
    <t xml:space="preserve">"být-143"</t>
  </si>
  <si>
    <t xml:space="preserve">DPHR: mimo-2</t>
  </si>
  <si>
    <t xml:space="preserve">"být-144"</t>
  </si>
  <si>
    <t xml:space="preserve">"být-145"</t>
  </si>
  <si>
    <t xml:space="preserve">DPHR: k-1[zasmání.S3]</t>
  </si>
  <si>
    <t xml:space="preserve">"být-146"</t>
  </si>
  <si>
    <t xml:space="preserve">DPHR: na-1[obzor.S6]</t>
  </si>
  <si>
    <t xml:space="preserve">"být-147"</t>
  </si>
  <si>
    <t xml:space="preserve">DPHR: parketa.S1[.u#]</t>
  </si>
  <si>
    <t xml:space="preserve">"být-148"</t>
  </si>
  <si>
    <t xml:space="preserve">DPHR: .u</t>
  </si>
  <si>
    <t xml:space="preserve">"být-149"</t>
  </si>
  <si>
    <t xml:space="preserve">DPHR: bída.1[jeden.#]</t>
  </si>
  <si>
    <t xml:space="preserve">"být-150"</t>
  </si>
  <si>
    <t xml:space="preserve">DPHR: sám.NS1,se.7$2&lt;6&gt;</t>
  </si>
  <si>
    <t xml:space="preserve">"být-151"</t>
  </si>
  <si>
    <t xml:space="preserve">DPHR: v-1[kurz.S6]</t>
  </si>
  <si>
    <t xml:space="preserve">"být-152"</t>
  </si>
  <si>
    <t xml:space="preserve">DPHR: z-1[škola.S2[starý.#]]</t>
  </si>
  <si>
    <t xml:space="preserve">"být-153"</t>
  </si>
  <si>
    <t xml:space="preserve">DPHR: na-1[rozpaky.P6]</t>
  </si>
  <si>
    <t xml:space="preserve">PAT: ↓zda; ↓jestli</t>
  </si>
  <si>
    <t xml:space="preserve">"být-154"</t>
  </si>
  <si>
    <t xml:space="preserve">DPHR: hudba.S1[budoucnost.S2]</t>
  </si>
  <si>
    <t xml:space="preserve">"být-155"</t>
  </si>
  <si>
    <t xml:space="preserve">DPHR: k-1[nevíra.S3]</t>
  </si>
  <si>
    <t xml:space="preserve">"být-156"</t>
  </si>
  <si>
    <t xml:space="preserve">DPHR: pryč</t>
  </si>
  <si>
    <t xml:space="preserve">?ORIG: z+2; ↓že</t>
  </si>
  <si>
    <t xml:space="preserve">"být-157"</t>
  </si>
  <si>
    <t xml:space="preserve">DPHR: pod-1[pantofel.S7]</t>
  </si>
  <si>
    <t xml:space="preserve">"být-158"</t>
  </si>
  <si>
    <t xml:space="preserve">DPHR: na-1[loď.S6[jedna.#]]</t>
  </si>
  <si>
    <t xml:space="preserve">"být-159"</t>
  </si>
  <si>
    <t xml:space="preserve">PAT: .a1; .a7; .d</t>
  </si>
  <si>
    <t xml:space="preserve">"být-160"</t>
  </si>
  <si>
    <t xml:space="preserve">DPHR: na-1[nerv.P4]</t>
  </si>
  <si>
    <t xml:space="preserve">"--být-si-001"</t>
  </si>
  <si>
    <t xml:space="preserve">"bývat-001"</t>
  </si>
  <si>
    <t xml:space="preserve">"bývat-002"</t>
  </si>
  <si>
    <t xml:space="preserve">ACT: 1; 2; ↓že; ↓c; .f</t>
  </si>
  <si>
    <t xml:space="preserve">ACT-&gt;ARG1/3172,ARG2/296</t>
  </si>
  <si>
    <t xml:space="preserve">ACT-&gt;ARG0/17,ARG1/3683,ARG2/296,ARG3/1</t>
  </si>
  <si>
    <t xml:space="preserve">PAT: 1; 2; 7; .a1; .a7; .i; .f; ↓že; ↓c</t>
  </si>
  <si>
    <t xml:space="preserve">PAT-&gt;ARG1/121,ARG2/3522</t>
  </si>
  <si>
    <t xml:space="preserve">PAT-&gt;ARG1/124,ARG2/3551,ARG3/415</t>
  </si>
  <si>
    <t xml:space="preserve">"bývat-003"</t>
  </si>
  <si>
    <t xml:space="preserve">"bývat-004"</t>
  </si>
  <si>
    <t xml:space="preserve">"bývat-005"</t>
  </si>
  <si>
    <t xml:space="preserve">"bývat-006"</t>
  </si>
  <si>
    <t xml:space="preserve">ORIG: z+2; od+2</t>
  </si>
  <si>
    <t xml:space="preserve">"bývat-007"</t>
  </si>
  <si>
    <t xml:space="preserve">"bývat-008"</t>
  </si>
  <si>
    <t xml:space="preserve">LOC: </t>
  </si>
  <si>
    <t xml:space="preserve">"bývat-009"</t>
  </si>
  <si>
    <t xml:space="preserve">"bývat-010"</t>
  </si>
  <si>
    <t xml:space="preserve">"bývat-011"</t>
  </si>
  <si>
    <t xml:space="preserve">"bývat-012"</t>
  </si>
  <si>
    <t xml:space="preserve">AIM: *</t>
  </si>
  <si>
    <t xml:space="preserve">"bývat-013"</t>
  </si>
  <si>
    <t xml:space="preserve">ACT: 1; 2; 3; .f; ↓aby</t>
  </si>
  <si>
    <t xml:space="preserve">ACT-&gt;ARG1/70</t>
  </si>
  <si>
    <t xml:space="preserve">"bývat-014"</t>
  </si>
  <si>
    <t xml:space="preserve">ACT: 1; 2; .f</t>
  </si>
  <si>
    <t xml:space="preserve">"bývat-015"</t>
  </si>
  <si>
    <t xml:space="preserve">"bývat-016"</t>
  </si>
  <si>
    <t xml:space="preserve">"bývat-017"</t>
  </si>
  <si>
    <t xml:space="preserve">"bývat-018"</t>
  </si>
  <si>
    <t xml:space="preserve">"bývat-019"</t>
  </si>
  <si>
    <t xml:space="preserve">"bývat-020"</t>
  </si>
  <si>
    <t xml:space="preserve">"bývat-021"</t>
  </si>
  <si>
    <t xml:space="preserve">ACT: .f; ↓že</t>
  </si>
  <si>
    <t xml:space="preserve">CPHR: {hanba,jeden,líto,stydno-1,trapno,...}</t>
  </si>
  <si>
    <t xml:space="preserve">"bývat-022"</t>
  </si>
  <si>
    <t xml:space="preserve">ACT: 1; 2; .f; ↓aby</t>
  </si>
  <si>
    <t xml:space="preserve">CPHR: {potřeba,třeba-1,...}</t>
  </si>
  <si>
    <t xml:space="preserve">"bývat-023"</t>
  </si>
  <si>
    <t xml:space="preserve">ACT: .f; ↓aby</t>
  </si>
  <si>
    <t xml:space="preserve">CPHR: {možný,nutný,záhodno-1,zatěžko,...}</t>
  </si>
  <si>
    <t xml:space="preserve">"bývat-024"</t>
  </si>
  <si>
    <t xml:space="preserve">DPHR: líto</t>
  </si>
  <si>
    <t xml:space="preserve">PAT: 2</t>
  </si>
  <si>
    <t xml:space="preserve">"bývávat-001"</t>
  </si>
  <si>
    <t xml:space="preserve">"bývávat-002"</t>
  </si>
  <si>
    <t xml:space="preserve">"bědovat-001"</t>
  </si>
  <si>
    <t xml:space="preserve">ACT-&gt;ARG0/119,ARG1/1</t>
  </si>
  <si>
    <t xml:space="preserve">?PAT: na+4; ↓že; ↓c; nad+7</t>
  </si>
  <si>
    <t xml:space="preserve">PAT-&gt;ARG1/107</t>
  </si>
  <si>
    <t xml:space="preserve">"běhat-001"</t>
  </si>
  <si>
    <t xml:space="preserve">"běhat-002"</t>
  </si>
  <si>
    <t xml:space="preserve">"běhat-003"</t>
  </si>
  <si>
    <t xml:space="preserve">"běhat-004"</t>
  </si>
  <si>
    <t xml:space="preserve">DPHR: mráz.S1,po-1[záda:P6]</t>
  </si>
  <si>
    <t xml:space="preserve">"běhat-005"</t>
  </si>
  <si>
    <t xml:space="preserve">"bělat-se-001"</t>
  </si>
  <si>
    <t xml:space="preserve">"běžet-001"</t>
  </si>
  <si>
    <t xml:space="preserve">"běžet-002"</t>
  </si>
  <si>
    <t xml:space="preserve">"běžet-003"</t>
  </si>
  <si>
    <t xml:space="preserve">ACT-&gt;ARG0/10,ARG1/4</t>
  </si>
  <si>
    <t xml:space="preserve">DIR3-&gt;ARG2/4</t>
  </si>
  <si>
    <t xml:space="preserve">"běžet-004"</t>
  </si>
  <si>
    <t xml:space="preserve">ACT-&gt;ARG0/15,ARG1/259</t>
  </si>
  <si>
    <t xml:space="preserve">ACT-&gt;ARG0/9,ARG1/174</t>
  </si>
  <si>
    <t xml:space="preserve">ACT-&gt;ARG0/9,ARG1/183</t>
  </si>
  <si>
    <t xml:space="preserve">"běžet-005"</t>
  </si>
  <si>
    <t xml:space="preserve">ACT-&gt;ARG0/28,ARG1/1</t>
  </si>
  <si>
    <t xml:space="preserve">"běžet-006"</t>
  </si>
  <si>
    <t xml:space="preserve">ACT-&gt;ARG0/4,ARG1/211</t>
  </si>
  <si>
    <t xml:space="preserve">"běžet-007"</t>
  </si>
  <si>
    <t xml:space="preserve">ACT-&gt;ARG0/1,ARG1/32</t>
  </si>
  <si>
    <t xml:space="preserve">"běžet-008"</t>
  </si>
  <si>
    <t xml:space="preserve">DPHR: jako[na-1[drátek.P6]]; jako[po-1[drátek.P6]]</t>
  </si>
  <si>
    <t xml:space="preserve">"běžet-009"</t>
  </si>
  <si>
    <t xml:space="preserve">"běžkařit-001"</t>
  </si>
  <si>
    <t xml:space="preserve">"běžkovat-001"</t>
  </si>
  <si>
    <t xml:space="preserve">"cachtat-se-001"</t>
  </si>
  <si>
    <t xml:space="preserve">"cedit-001"</t>
  </si>
  <si>
    <t xml:space="preserve">PAT: .s</t>
  </si>
  <si>
    <t xml:space="preserve">?ADDR: k+3; na+4</t>
  </si>
  <si>
    <t xml:space="preserve">"cedit-002"</t>
  </si>
  <si>
    <t xml:space="preserve">"cejchovat-001"</t>
  </si>
  <si>
    <t xml:space="preserve">EFF: 7; 4[{jako,jakožto}:/AuxY]; .a4[{jako,jakožto}:/AuxY]; za+4; za-1[.a4]</t>
  </si>
  <si>
    <t xml:space="preserve">"cejchovat-002"</t>
  </si>
  <si>
    <t xml:space="preserve">"ceknout-001"</t>
  </si>
  <si>
    <t xml:space="preserve">PAT: o+6; ↓c</t>
  </si>
  <si>
    <t xml:space="preserve">"celebrovat-001"</t>
  </si>
  <si>
    <t xml:space="preserve">"cementovat-001"</t>
  </si>
  <si>
    <t xml:space="preserve">"cenit-001"</t>
  </si>
  <si>
    <t xml:space="preserve">ACT-&gt;ARG0/26,ARG1/4</t>
  </si>
  <si>
    <t xml:space="preserve">ACT-&gt;ARG0/302,ARG1/4</t>
  </si>
  <si>
    <t xml:space="preserve">PAT-&gt;ARG1/96,ARG2/6</t>
  </si>
  <si>
    <t xml:space="preserve">PAT-&gt;ARG1/684,ARG2/6</t>
  </si>
  <si>
    <t xml:space="preserve">EFF-&gt;ARG2/184</t>
  </si>
  <si>
    <t xml:space="preserve">EFF-&gt;ARG1/8,ARG2/530</t>
  </si>
  <si>
    <t xml:space="preserve">"cenit-002"</t>
  </si>
  <si>
    <t xml:space="preserve">"cenit-si-001"</t>
  </si>
  <si>
    <t xml:space="preserve">ACT-&gt;ARG0/23</t>
  </si>
  <si>
    <t xml:space="preserve">PAT: 2; 4; ↓že</t>
  </si>
  <si>
    <t xml:space="preserve">"cenit-si-002"</t>
  </si>
  <si>
    <t xml:space="preserve">PAT: 2; 4</t>
  </si>
  <si>
    <t xml:space="preserve">PAT-&gt;ARG1/30</t>
  </si>
  <si>
    <t xml:space="preserve">EFF-&gt;ARG2/80</t>
  </si>
  <si>
    <t xml:space="preserve">"centralizovat-001"</t>
  </si>
  <si>
    <t xml:space="preserve">"centrovat-001"</t>
  </si>
  <si>
    <t xml:space="preserve">"cenzurovat-001"</t>
  </si>
  <si>
    <t xml:space="preserve">"cestovat-001"</t>
  </si>
  <si>
    <t xml:space="preserve">ACT-&gt;ARG0/31,ARG1/78</t>
  </si>
  <si>
    <t xml:space="preserve">"charakterizovat-001"</t>
  </si>
  <si>
    <t xml:space="preserve">ACT-&gt;ARG0/46</t>
  </si>
  <si>
    <t xml:space="preserve">PAT-&gt;ARG1/178,ARG2/1</t>
  </si>
  <si>
    <t xml:space="preserve">"chatovat-001"</t>
  </si>
  <si>
    <t xml:space="preserve">"chcát-001"</t>
  </si>
  <si>
    <t xml:space="preserve">"chladit-001"</t>
  </si>
  <si>
    <t xml:space="preserve">"chladnout-001"</t>
  </si>
  <si>
    <t xml:space="preserve">"chladnout-002"</t>
  </si>
  <si>
    <t xml:space="preserve">"chlastat-001"</t>
  </si>
  <si>
    <t xml:space="preserve">"chlubit-se-001"</t>
  </si>
  <si>
    <t xml:space="preserve">ACT-&gt;ARG0/146,ARG1/1</t>
  </si>
  <si>
    <t xml:space="preserve">PAT-&gt;ARG1/179</t>
  </si>
  <si>
    <t xml:space="preserve">ADDR-&gt;ARG2/1</t>
  </si>
  <si>
    <t xml:space="preserve">"chlácholit-001"</t>
  </si>
  <si>
    <t xml:space="preserve">ACT-&gt;ARG0/34,ARG2/2</t>
  </si>
  <si>
    <t xml:space="preserve">PAT-&gt;ARG1/60</t>
  </si>
  <si>
    <t xml:space="preserve">"chodit-001"</t>
  </si>
  <si>
    <t xml:space="preserve">PAT-&gt;ARG1/7</t>
  </si>
  <si>
    <t xml:space="preserve">"chodit-002"</t>
  </si>
  <si>
    <t xml:space="preserve">PAT: .a</t>
  </si>
  <si>
    <t xml:space="preserve">"chodit-003"</t>
  </si>
  <si>
    <t xml:space="preserve">"chodit-004"</t>
  </si>
  <si>
    <t xml:space="preserve">PAT: za+4; 1[{jako,jakožto}:/AuxY]</t>
  </si>
  <si>
    <t xml:space="preserve">"chodit-005"</t>
  </si>
  <si>
    <t xml:space="preserve">DIR2-&gt;ARG2/10</t>
  </si>
  <si>
    <t xml:space="preserve">"chodit-006"</t>
  </si>
  <si>
    <t xml:space="preserve">ACT-&gt;ARG0/55,ARG1/199</t>
  </si>
  <si>
    <t xml:space="preserve">ACT-&gt;ARG0/100,ARG1/83</t>
  </si>
  <si>
    <t xml:space="preserve">DIR3-&gt;ARG1/36</t>
  </si>
  <si>
    <t xml:space="preserve">DIR3-&gt;ARG1/81,ARG4/3</t>
  </si>
  <si>
    <t xml:space="preserve">"chodit-007"</t>
  </si>
  <si>
    <t xml:space="preserve">ACT-&gt;ARG0/160</t>
  </si>
  <si>
    <t xml:space="preserve">"chodit-008"</t>
  </si>
  <si>
    <t xml:space="preserve">"chodit-009"</t>
  </si>
  <si>
    <t xml:space="preserve">DPHR: kolem-1[kaše.S2[horký.#]]</t>
  </si>
  <si>
    <t xml:space="preserve">"chodit-010"</t>
  </si>
  <si>
    <t xml:space="preserve">DPHR: po-1[špička.P6]</t>
  </si>
  <si>
    <t xml:space="preserve">"chodit-011"</t>
  </si>
  <si>
    <t xml:space="preserve">"chodit-012"</t>
  </si>
  <si>
    <t xml:space="preserve">"chodit-013"</t>
  </si>
  <si>
    <t xml:space="preserve">DPHR: ten.NS1</t>
  </si>
  <si>
    <t xml:space="preserve">"chodit-014"</t>
  </si>
  <si>
    <t xml:space="preserve">"chodit-015"</t>
  </si>
  <si>
    <t xml:space="preserve">DPHR: pro-1[rána.S4],daleko-1</t>
  </si>
  <si>
    <t xml:space="preserve">"chodit-016"</t>
  </si>
  <si>
    <t xml:space="preserve">"chodívat-001"</t>
  </si>
  <si>
    <t xml:space="preserve">"chodívat-002"</t>
  </si>
  <si>
    <t xml:space="preserve">"chodívávat-001"</t>
  </si>
  <si>
    <t xml:space="preserve">"chopit-se-001"</t>
  </si>
  <si>
    <t xml:space="preserve">ACT-&gt;ARG0/550,ARG1/26,ARG2/1</t>
  </si>
  <si>
    <t xml:space="preserve">ACT-&gt;ARG0/519,ARG1/224,ARG2/5</t>
  </si>
  <si>
    <t xml:space="preserve">PAT-&gt;ARG1/708,ARG2/26</t>
  </si>
  <si>
    <t xml:space="preserve">PAT-&gt;ARG1/53</t>
  </si>
  <si>
    <t xml:space="preserve">PAT-&gt;ARG1/618,ARG2/1</t>
  </si>
  <si>
    <t xml:space="preserve">"choulit-se-001"</t>
  </si>
  <si>
    <t xml:space="preserve">"chovat-001"</t>
  </si>
  <si>
    <t xml:space="preserve">PAT-&gt;ARG1/12</t>
  </si>
  <si>
    <t xml:space="preserve">PAT-&gt;ARG1/44</t>
  </si>
  <si>
    <t xml:space="preserve">"chovat-002"</t>
  </si>
  <si>
    <t xml:space="preserve">"chovat-003"</t>
  </si>
  <si>
    <t xml:space="preserve">"chovat-004"</t>
  </si>
  <si>
    <t xml:space="preserve">CPHR: {cit,důvěra,naděje,nenávist,nepřátelství,podezření,přátelství,...}.4</t>
  </si>
  <si>
    <t xml:space="preserve">"chovat-005"</t>
  </si>
  <si>
    <t xml:space="preserve">DPHR: jako[v-1[bavlnka.S6]]</t>
  </si>
  <si>
    <t xml:space="preserve">"chovat-se-001"</t>
  </si>
  <si>
    <t xml:space="preserve">ACT-&gt;ARG0/99,ARG1/3191,ARG2/298</t>
  </si>
  <si>
    <t xml:space="preserve">ACT-&gt;ARG0/46,ARG1/3</t>
  </si>
  <si>
    <t xml:space="preserve">MANN-&gt;ARG1/192,ARG2/3547</t>
  </si>
  <si>
    <t xml:space="preserve">MANN-&gt;ARG2/21,ARG3/1</t>
  </si>
  <si>
    <t xml:space="preserve">CRIT-&gt;ARG1/9</t>
  </si>
  <si>
    <t xml:space="preserve">"chovávat-001"</t>
  </si>
  <si>
    <t xml:space="preserve">"christianizovat-001"</t>
  </si>
  <si>
    <t xml:space="preserve">"chrlit-001"</t>
  </si>
  <si>
    <t xml:space="preserve">ACT-&gt;ARG0/36</t>
  </si>
  <si>
    <t xml:space="preserve">"chránit-001"</t>
  </si>
  <si>
    <t xml:space="preserve">?EFF: před+7; proti+3; od+2</t>
  </si>
  <si>
    <t xml:space="preserve">ACT-&gt;ARG0/103,ARG1/1,ARG3/28</t>
  </si>
  <si>
    <t xml:space="preserve">PAT-&gt;ARG1/284,ARG2/2</t>
  </si>
  <si>
    <t xml:space="preserve">EFF-&gt;ARG1/1,ARG2/91</t>
  </si>
  <si>
    <t xml:space="preserve">ACT-&gt;ARG0/131,ARG1/3,ARG3/37</t>
  </si>
  <si>
    <t xml:space="preserve">PAT-&gt;ARG0/10,ARG1/373,ARG2/4</t>
  </si>
  <si>
    <t xml:space="preserve">EFF-&gt;ARG2/5</t>
  </si>
  <si>
    <t xml:space="preserve">EFF-&gt;ARG1/17,ARG2/114</t>
  </si>
  <si>
    <t xml:space="preserve">"chránit-002"</t>
  </si>
  <si>
    <t xml:space="preserve">DPHR: Pán[Bůh.S1]; pánbůh; Bůh</t>
  </si>
  <si>
    <t xml:space="preserve">"chrápat-001"</t>
  </si>
  <si>
    <t xml:space="preserve">"chtít-001"</t>
  </si>
  <si>
    <t xml:space="preserve">PAT: 4; 3; ↓aby; .f</t>
  </si>
  <si>
    <t xml:space="preserve">?ORIG: po+6; na+6; od+2</t>
  </si>
  <si>
    <t xml:space="preserve">ACT-&gt;ARG0/3620,ARG1/19</t>
  </si>
  <si>
    <t xml:space="preserve">ACT-&gt;ARG0/469,ARG1/3,ARG2/4</t>
  </si>
  <si>
    <t xml:space="preserve">ACT-&gt;ARG0/1112,ARG1/3,ARG2/4</t>
  </si>
  <si>
    <t xml:space="preserve">PAT-&gt;ARG0/1,ARG1/3800</t>
  </si>
  <si>
    <t xml:space="preserve">PAT-&gt;ARG1/605,ARG2/81</t>
  </si>
  <si>
    <t xml:space="preserve">PAT-&gt;ARG1/1274,ARG2/84</t>
  </si>
  <si>
    <t xml:space="preserve">ORIG-&gt;ARG1/75,ARG2/180</t>
  </si>
  <si>
    <t xml:space="preserve">ORIG-&gt;ARG1/83,ARG2/183</t>
  </si>
  <si>
    <t xml:space="preserve">"chtít-002"</t>
  </si>
  <si>
    <t xml:space="preserve">PAT: .f; 4</t>
  </si>
  <si>
    <t xml:space="preserve">---: [se]</t>
  </si>
  <si>
    <t xml:space="preserve">ACT-&gt;ARG0/607</t>
  </si>
  <si>
    <t xml:space="preserve">PAT-&gt;ARG1/632</t>
  </si>
  <si>
    <t xml:space="preserve">"chudnout-001"</t>
  </si>
  <si>
    <t xml:space="preserve">"chutnat-001"</t>
  </si>
  <si>
    <t xml:space="preserve">"chutnat-002"</t>
  </si>
  <si>
    <t xml:space="preserve">?PAT: po+6</t>
  </si>
  <si>
    <t xml:space="preserve">"chutnat-003"</t>
  </si>
  <si>
    <t xml:space="preserve">"chválit-001"</t>
  </si>
  <si>
    <t xml:space="preserve">ACT-&gt;ARG0/39</t>
  </si>
  <si>
    <t xml:space="preserve">PAT-&gt;ARG1/73,ARG2/3</t>
  </si>
  <si>
    <t xml:space="preserve">ACT-&gt;ARG0/16</t>
  </si>
  <si>
    <t xml:space="preserve">PAT-&gt;ARG1/16</t>
  </si>
  <si>
    <t xml:space="preserve">"chvástat-se-001"</t>
  </si>
  <si>
    <t xml:space="preserve">"chvátat-001"</t>
  </si>
  <si>
    <t xml:space="preserve">"chvátat-002"</t>
  </si>
  <si>
    <t xml:space="preserve">"chvět-se-001"</t>
  </si>
  <si>
    <t xml:space="preserve">"chybit-001"</t>
  </si>
  <si>
    <t xml:space="preserve">"chybovat-001"</t>
  </si>
  <si>
    <t xml:space="preserve">"chybět-001"</t>
  </si>
  <si>
    <t xml:space="preserve">ACT-&gt;ARG1/62,ARG2/1</t>
  </si>
  <si>
    <t xml:space="preserve">ACT-&gt;ARG1/56,ARG2/1</t>
  </si>
  <si>
    <t xml:space="preserve">PAT-&gt;ARG0/41,ARG1/401</t>
  </si>
  <si>
    <t xml:space="preserve">PAT-&gt;ARG0/41</t>
  </si>
  <si>
    <t xml:space="preserve">"chybět-002"</t>
  </si>
  <si>
    <t xml:space="preserve">PAT-&gt;ARG1/57</t>
  </si>
  <si>
    <t xml:space="preserve">PAT-&gt;ARG1/51</t>
  </si>
  <si>
    <t xml:space="preserve">"chybět-003"</t>
  </si>
  <si>
    <t xml:space="preserve">ACT-&gt;ARG1/3308,ARG2/297</t>
  </si>
  <si>
    <t xml:space="preserve">LOC-&gt;ARG0/4</t>
  </si>
  <si>
    <t xml:space="preserve">"chybět-004"</t>
  </si>
  <si>
    <t xml:space="preserve">"chybět-005"</t>
  </si>
  <si>
    <t xml:space="preserve">EFF: .f</t>
  </si>
  <si>
    <t xml:space="preserve">"chystat-001"</t>
  </si>
  <si>
    <t xml:space="preserve">ACT-&gt;ARG0/2154,ARG1/19</t>
  </si>
  <si>
    <t xml:space="preserve">ACT-&gt;ARG0/22</t>
  </si>
  <si>
    <t xml:space="preserve">PAT-&gt;ARG0/1,ARG1/2256</t>
  </si>
  <si>
    <t xml:space="preserve">PAT-&gt;ARG1/20</t>
  </si>
  <si>
    <t xml:space="preserve">"chystat-002"</t>
  </si>
  <si>
    <t xml:space="preserve">ACT-&gt;ARG0/343</t>
  </si>
  <si>
    <t xml:space="preserve">ACT-&gt;ARG0/153,ARG1/1</t>
  </si>
  <si>
    <t xml:space="preserve">PAT-&gt;ARG1/3631,ARG2/298</t>
  </si>
  <si>
    <t xml:space="preserve">PAT-&gt;ARG1/195</t>
  </si>
  <si>
    <t xml:space="preserve">"chystat-se-001"</t>
  </si>
  <si>
    <t xml:space="preserve">PAT: .f; na+4; k+3; ↓že</t>
  </si>
  <si>
    <t xml:space="preserve">ACT-&gt;ARG0/416,ARG1/84</t>
  </si>
  <si>
    <t xml:space="preserve">PAT-&gt;ARG1/397,ARG2/29</t>
  </si>
  <si>
    <t xml:space="preserve">PAT-&gt;ARG2/33</t>
  </si>
  <si>
    <t xml:space="preserve">"chytat-001"</t>
  </si>
  <si>
    <t xml:space="preserve">"chytat-002"</t>
  </si>
  <si>
    <t xml:space="preserve">"chytat-003"</t>
  </si>
  <si>
    <t xml:space="preserve">"chytat-004"</t>
  </si>
  <si>
    <t xml:space="preserve">"--chytat-005"</t>
  </si>
  <si>
    <t xml:space="preserve">"chytat-006"</t>
  </si>
  <si>
    <t xml:space="preserve">"chytat-se-001"</t>
  </si>
  <si>
    <t xml:space="preserve">ACT-&gt;ARG0/187,ARG1/2</t>
  </si>
  <si>
    <t xml:space="preserve">PAT-&gt;ARG1/205</t>
  </si>
  <si>
    <t xml:space="preserve">"chytat-se-002"</t>
  </si>
  <si>
    <t xml:space="preserve">DPHR: za-1[hlava.S4]</t>
  </si>
  <si>
    <t xml:space="preserve">"chytat-se-003"</t>
  </si>
  <si>
    <t xml:space="preserve">"chytit-001"</t>
  </si>
  <si>
    <t xml:space="preserve">PAT-&gt;ARG1/71</t>
  </si>
  <si>
    <t xml:space="preserve">"chytit-002"</t>
  </si>
  <si>
    <t xml:space="preserve">PAT-&gt;ARG1/18</t>
  </si>
  <si>
    <t xml:space="preserve">"chytit-003"</t>
  </si>
  <si>
    <t xml:space="preserve">"chytit-004"</t>
  </si>
  <si>
    <t xml:space="preserve">"chytit-005"</t>
  </si>
  <si>
    <t xml:space="preserve">ACT-&gt;ARG0/3,ARG1/15</t>
  </si>
  <si>
    <t xml:space="preserve">DPHR: dech:S4[druhý-1.#]; dech</t>
  </si>
  <si>
    <t xml:space="preserve">DPHR-&gt;ARG1/4</t>
  </si>
  <si>
    <t xml:space="preserve">"chytit-006"</t>
  </si>
  <si>
    <t xml:space="preserve">DPHR: za-1[pačesy.P4]</t>
  </si>
  <si>
    <t xml:space="preserve">"chytit-007"</t>
  </si>
  <si>
    <t xml:space="preserve">DPHR: vítr.S4</t>
  </si>
  <si>
    <t xml:space="preserve">DPHR-&gt;ARG1/1,ARG2/1</t>
  </si>
  <si>
    <t xml:space="preserve">"chytit-008"</t>
  </si>
  <si>
    <t xml:space="preserve">"chytit-009"</t>
  </si>
  <si>
    <t xml:space="preserve">"chytit-010"</t>
  </si>
  <si>
    <t xml:space="preserve">"chytit-011"</t>
  </si>
  <si>
    <t xml:space="preserve">"chytit-se-001"</t>
  </si>
  <si>
    <t xml:space="preserve">ACT-&gt;ARG0/6,ARG1/1</t>
  </si>
  <si>
    <t xml:space="preserve">PAT-&gt;ARG0/1,ARG1/6</t>
  </si>
  <si>
    <t xml:space="preserve">"chytit-se-002"</t>
  </si>
  <si>
    <t xml:space="preserve">"chytit-se-003"</t>
  </si>
  <si>
    <t xml:space="preserve">ACT-&gt;ARG0/1,ARG1/39</t>
  </si>
  <si>
    <t xml:space="preserve">DIR3-&gt;ARG2/5</t>
  </si>
  <si>
    <t xml:space="preserve">"chytit-se-004"</t>
  </si>
  <si>
    <t xml:space="preserve">"chytit-se-005"</t>
  </si>
  <si>
    <t xml:space="preserve">"chytit-se-006"</t>
  </si>
  <si>
    <t xml:space="preserve">"chytit-se-007"</t>
  </si>
  <si>
    <t xml:space="preserve">"chytnout-001"</t>
  </si>
  <si>
    <t xml:space="preserve">"chytnout-002"</t>
  </si>
  <si>
    <t xml:space="preserve">"chytnout-003"</t>
  </si>
  <si>
    <t xml:space="preserve">"chytnout-004"</t>
  </si>
  <si>
    <t xml:space="preserve">"chytnout-005"</t>
  </si>
  <si>
    <t xml:space="preserve">"chytnout-006"</t>
  </si>
  <si>
    <t xml:space="preserve">"chytnout-007"</t>
  </si>
  <si>
    <t xml:space="preserve">?ORIG: od+2; z+2</t>
  </si>
  <si>
    <t xml:space="preserve">"chytnout-008"</t>
  </si>
  <si>
    <t xml:space="preserve">"chytnout-009"</t>
  </si>
  <si>
    <t xml:space="preserve">"chytnout-se-001"</t>
  </si>
  <si>
    <t xml:space="preserve">"chytnout-se-002"</t>
  </si>
  <si>
    <t xml:space="preserve">"chytnout-se-003"</t>
  </si>
  <si>
    <t xml:space="preserve">"chápat-001"</t>
  </si>
  <si>
    <t xml:space="preserve">ACT-&gt;ARG0/466,ARG1/1,ARG2/1</t>
  </si>
  <si>
    <t xml:space="preserve">PAT-&gt;ARG1/621,ARG3/4</t>
  </si>
  <si>
    <t xml:space="preserve">EFF: 4[{jako,jakožto}:/AuxY]; .a4[{jako,jakožto}:/AuxY]</t>
  </si>
  <si>
    <t xml:space="preserve">EFF-&gt;ARG1/28,ARG2/463</t>
  </si>
  <si>
    <t xml:space="preserve">"chápat-002"</t>
  </si>
  <si>
    <t xml:space="preserve">PAT: 7; pod+7</t>
  </si>
  <si>
    <t xml:space="preserve">"chápat-003"</t>
  </si>
  <si>
    <t xml:space="preserve">ACT-&gt;ARG0/528,ARG1/1</t>
  </si>
  <si>
    <t xml:space="preserve">ACT-&gt;ARG0/107</t>
  </si>
  <si>
    <t xml:space="preserve">PAT: 4; 2; ↓že; ↓jak-2; ↓c</t>
  </si>
  <si>
    <t xml:space="preserve">PAT-&gt;ARG1/555,ARG2/1</t>
  </si>
  <si>
    <t xml:space="preserve">PAT-&gt;ARG1/151</t>
  </si>
  <si>
    <t xml:space="preserve">"chápat-004"</t>
  </si>
  <si>
    <t xml:space="preserve">"chápat-se-001"</t>
  </si>
  <si>
    <t xml:space="preserve">"chátrat-001"</t>
  </si>
  <si>
    <t xml:space="preserve">ACT-&gt;ARG1/14</t>
  </si>
  <si>
    <t xml:space="preserve">"chýlit-se-001"</t>
  </si>
  <si>
    <t xml:space="preserve">PAT-&gt;ARG2/25</t>
  </si>
  <si>
    <t xml:space="preserve">"chňapat-001"</t>
  </si>
  <si>
    <t xml:space="preserve">PAT: po+6</t>
  </si>
  <si>
    <t xml:space="preserve">"chňapnout-001"</t>
  </si>
  <si>
    <t xml:space="preserve">"chřadnout-001"</t>
  </si>
  <si>
    <t xml:space="preserve">ACT-&gt;ARG1/6</t>
  </si>
  <si>
    <t xml:space="preserve">"cinkat-001"</t>
  </si>
  <si>
    <t xml:space="preserve">ACT-&gt;ARG0/2,ARG1/1</t>
  </si>
  <si>
    <t xml:space="preserve">"cinkat-002"</t>
  </si>
  <si>
    <t xml:space="preserve">"cinknout-001"</t>
  </si>
  <si>
    <t xml:space="preserve">"cirkulovat-001"</t>
  </si>
  <si>
    <t xml:space="preserve">"citovat-001"</t>
  </si>
  <si>
    <t xml:space="preserve">ACT-&gt;ARG0/110,ARG1/4</t>
  </si>
  <si>
    <t xml:space="preserve">ACT-&gt;ARG0/110</t>
  </si>
  <si>
    <t xml:space="preserve">PAT-&gt;ARG1/284,ARG2/8</t>
  </si>
  <si>
    <t xml:space="preserve">PAT-&gt;ARG1/224,ARG2/2</t>
  </si>
  <si>
    <t xml:space="preserve">"civilizovat-001"</t>
  </si>
  <si>
    <t xml:space="preserve">"civět-001"</t>
  </si>
  <si>
    <t xml:space="preserve">PAT: na+4; ↓c</t>
  </si>
  <si>
    <t xml:space="preserve">"cizelovat-001"</t>
  </si>
  <si>
    <t xml:space="preserve">"claimovat-001"</t>
  </si>
  <si>
    <t xml:space="preserve">PAT: 4; .f; ↓aby</t>
  </si>
  <si>
    <t xml:space="preserve">?ORIG: od+2; na+6; po+6</t>
  </si>
  <si>
    <t xml:space="preserve">"clít-001"</t>
  </si>
  <si>
    <t xml:space="preserve">"couvat-001"</t>
  </si>
  <si>
    <t xml:space="preserve">ACT-&gt;ARG0/7,ARG1/7</t>
  </si>
  <si>
    <t xml:space="preserve">ACT-&gt;ARG0/98,ARG1/5</t>
  </si>
  <si>
    <t xml:space="preserve">?PAT: před+7</t>
  </si>
  <si>
    <t xml:space="preserve">PAT-&gt;ARG1/141,ARG2/1</t>
  </si>
  <si>
    <t xml:space="preserve">"couvnout-001"</t>
  </si>
  <si>
    <t xml:space="preserve">ACT-&gt;ARG0/1,ARG1/19</t>
  </si>
  <si>
    <t xml:space="preserve">?PAT: před+7; od+2</t>
  </si>
  <si>
    <t xml:space="preserve">PAT-&gt;ARG1/14</t>
  </si>
  <si>
    <t xml:space="preserve">"couvnout-002"</t>
  </si>
  <si>
    <t xml:space="preserve">"cpát-001"</t>
  </si>
  <si>
    <t xml:space="preserve">EFF: 7</t>
  </si>
  <si>
    <t xml:space="preserve">"cpát-002"</t>
  </si>
  <si>
    <t xml:space="preserve">ACT-&gt;ARG0/207,ARG3/1</t>
  </si>
  <si>
    <t xml:space="preserve">PAT-&gt;ARG0/1,ARG1/112,ARG2/7,ARG3/143</t>
  </si>
  <si>
    <t xml:space="preserve">DIR3-&gt;ARG1/112,ARG2/2,ARG3/1</t>
  </si>
  <si>
    <t xml:space="preserve">"cpát-003"</t>
  </si>
  <si>
    <t xml:space="preserve">"cpát-004"</t>
  </si>
  <si>
    <t xml:space="preserve">"cpát-se-001"</t>
  </si>
  <si>
    <t xml:space="preserve">"cpát-se-002"</t>
  </si>
  <si>
    <t xml:space="preserve">"crčet-001"</t>
  </si>
  <si>
    <t xml:space="preserve">"ctít-001"</t>
  </si>
  <si>
    <t xml:space="preserve">ACT-&gt;ARG0/54,ARG1/2</t>
  </si>
  <si>
    <t xml:space="preserve">PAT-&gt;ARG1/79,ARG2/1</t>
  </si>
  <si>
    <t xml:space="preserve">"cukat-001"</t>
  </si>
  <si>
    <t xml:space="preserve">"cukat-002"</t>
  </si>
  <si>
    <t xml:space="preserve">"cukat-003"</t>
  </si>
  <si>
    <t xml:space="preserve">"cukat-se-001"</t>
  </si>
  <si>
    <t xml:space="preserve">"cuknout-001"</t>
  </si>
  <si>
    <t xml:space="preserve">"cupkat-001"</t>
  </si>
  <si>
    <t xml:space="preserve">"cupovat-001"</t>
  </si>
  <si>
    <t xml:space="preserve">"cvaknout-se-001"</t>
  </si>
  <si>
    <t xml:space="preserve">"cvičit-001"</t>
  </si>
  <si>
    <t xml:space="preserve">"cvičit-002"</t>
  </si>
  <si>
    <t xml:space="preserve">ACT-&gt;ARG0/160,ARG1/1</t>
  </si>
  <si>
    <t xml:space="preserve">PAT-&gt;ARG1/216</t>
  </si>
  <si>
    <t xml:space="preserve">"cvičit-003"</t>
  </si>
  <si>
    <t xml:space="preserve">"cílit-001"</t>
  </si>
  <si>
    <t xml:space="preserve">ACT-&gt;ARG0/28,ARG1/2</t>
  </si>
  <si>
    <t xml:space="preserve">PAT-&gt;ARG1/30,ARG2/1</t>
  </si>
  <si>
    <t xml:space="preserve">PAT-&gt;ARG0/1,ARG1/93,ARG2/12</t>
  </si>
  <si>
    <t xml:space="preserve">EFF: na+4,k+3</t>
  </si>
  <si>
    <t xml:space="preserve">EFF-&gt;ARG2/73</t>
  </si>
  <si>
    <t xml:space="preserve">EFF-&gt;ARG1/19,ARG2/98</t>
  </si>
  <si>
    <t xml:space="preserve">"cílit-002"</t>
  </si>
  <si>
    <t xml:space="preserve">"cílit-003"</t>
  </si>
  <si>
    <t xml:space="preserve">"cítit-001"</t>
  </si>
  <si>
    <t xml:space="preserve">PAT: 4; ↓že; .f</t>
  </si>
  <si>
    <t xml:space="preserve">"cítit-002"</t>
  </si>
  <si>
    <t xml:space="preserve">"cítit-003"</t>
  </si>
  <si>
    <t xml:space="preserve">ACT-&gt;ARG0/132,ARG1/1</t>
  </si>
  <si>
    <t xml:space="preserve">ACT-&gt;ARG0/52,ARG1/1</t>
  </si>
  <si>
    <t xml:space="preserve">PAT-&gt;ARG1/152,ARG2/1</t>
  </si>
  <si>
    <t xml:space="preserve">"cítit-004"</t>
  </si>
  <si>
    <t xml:space="preserve">PAT: 4; ↓že; ↓jak-2; ↓c</t>
  </si>
  <si>
    <t xml:space="preserve">PAT-&gt;ARG1/160,ARG2/1</t>
  </si>
  <si>
    <t xml:space="preserve">"cítit-005"</t>
  </si>
  <si>
    <t xml:space="preserve">"cítit-006"</t>
  </si>
  <si>
    <t xml:space="preserve">CPHR: {důvěra,lítost,nespokojenost,nutkání,pocit,potřeba,povinnost,příkaz,respekt,úleva,...}.4</t>
  </si>
  <si>
    <t xml:space="preserve">ACT-&gt;ARG0/79</t>
  </si>
  <si>
    <t xml:space="preserve">CPHR-&gt;ARG1/80,ARG2/1</t>
  </si>
  <si>
    <t xml:space="preserve">ACT-&gt;ARG0/69</t>
  </si>
  <si>
    <t xml:space="preserve">CPHR-&gt;ARG1/75,ARG2/1</t>
  </si>
  <si>
    <t xml:space="preserve">ACT-&gt;ARG0/2329,ARG1/20</t>
  </si>
  <si>
    <t xml:space="preserve">CPHR-&gt;ARG0/1,ARG1/2437</t>
  </si>
  <si>
    <t xml:space="preserve">CPHR-&gt;ARG1/61</t>
  </si>
  <si>
    <t xml:space="preserve">"cítit-se-001"</t>
  </si>
  <si>
    <t xml:space="preserve">ACT-&gt;ARG0/99,ARG1/5</t>
  </si>
  <si>
    <t xml:space="preserve">ACT-&gt;ARG0/17,ARG1/4</t>
  </si>
  <si>
    <t xml:space="preserve">PAT: 7; být[.1]; být[.7]; .a1; .a7; .f</t>
  </si>
  <si>
    <t xml:space="preserve">PAT-&gt;ARG1/113</t>
  </si>
  <si>
    <t xml:space="preserve">"cítit-se-002"</t>
  </si>
  <si>
    <t xml:space="preserve">"cítit-se-003"</t>
  </si>
  <si>
    <t xml:space="preserve">"cítit-se-004"</t>
  </si>
  <si>
    <t xml:space="preserve">ALT-LOC: *</t>
  </si>
  <si>
    <t xml:space="preserve">ACT-&gt;ARG0/70,ARG1/8</t>
  </si>
  <si>
    <t xml:space="preserve">LOC-&gt;ARG1/3</t>
  </si>
  <si>
    <t xml:space="preserve">MANN-&gt;ARG1/82</t>
  </si>
  <si>
    <t xml:space="preserve">ACT-&gt;ARG0/66,ARG1/5</t>
  </si>
  <si>
    <t xml:space="preserve">LOC-&gt;ARG1/17</t>
  </si>
  <si>
    <t xml:space="preserve">LOC-&gt;ARG1/21</t>
  </si>
  <si>
    <t xml:space="preserve">MANN-&gt;ARG1/61</t>
  </si>
  <si>
    <t xml:space="preserve">MANN-&gt;ARG1/21</t>
  </si>
  <si>
    <t xml:space="preserve">CPR-&gt;ARG1/21</t>
  </si>
  <si>
    <t xml:space="preserve">"dabovat-001"</t>
  </si>
  <si>
    <t xml:space="preserve">"danit-001"</t>
  </si>
  <si>
    <t xml:space="preserve">"darovat-001"</t>
  </si>
  <si>
    <t xml:space="preserve">ACT-&gt;ARG0/919,ARG2/1</t>
  </si>
  <si>
    <t xml:space="preserve">PAT-&gt;ARG1/1291,ARG2/10</t>
  </si>
  <si>
    <t xml:space="preserve">ADDR-&gt;ARG2/15</t>
  </si>
  <si>
    <t xml:space="preserve">ADDR-&gt;ARG1/43,ARG2/795</t>
  </si>
  <si>
    <t xml:space="preserve">"datovat-001"</t>
  </si>
  <si>
    <t xml:space="preserve">"datovat-se-001"</t>
  </si>
  <si>
    <t xml:space="preserve">PAT: z+2; od+2</t>
  </si>
  <si>
    <t xml:space="preserve">"datovat-se-002"</t>
  </si>
  <si>
    <t xml:space="preserve">TOWH: *</t>
  </si>
  <si>
    <t xml:space="preserve">TOWH-&gt;ARG2/13</t>
  </si>
  <si>
    <t xml:space="preserve">"dařit-se-001"</t>
  </si>
  <si>
    <t xml:space="preserve">ACT-&gt;ARG0/275,ARG1/150</t>
  </si>
  <si>
    <t xml:space="preserve">PAT: 1; .f; ↓že; ↓aby</t>
  </si>
  <si>
    <t xml:space="preserve">PAT-&gt;ARG0/2,ARG1/329,ARG2/144</t>
  </si>
  <si>
    <t xml:space="preserve">"dařit-se-002"</t>
  </si>
  <si>
    <t xml:space="preserve">"dařit-se-003"</t>
  </si>
  <si>
    <t xml:space="preserve">ACT-&gt;ARG0/134,ARG1/105,ARGm-MNR/2</t>
  </si>
  <si>
    <t xml:space="preserve">MANN-&gt;ARG1/10,ARGm-MNR/22</t>
  </si>
  <si>
    <t xml:space="preserve">ALT-EXT: *</t>
  </si>
  <si>
    <t xml:space="preserve">EXT-&gt;ARG1/2,ARG2/2,ARGM-MNR/22</t>
  </si>
  <si>
    <t xml:space="preserve">"dbát-001"</t>
  </si>
  <si>
    <t xml:space="preserve">ACT-&gt;ARG0/67</t>
  </si>
  <si>
    <t xml:space="preserve">PAT: na+4; 2; o+4; ↓aby; ↓zda</t>
  </si>
  <si>
    <t xml:space="preserve">PAT-&gt;ARG1/146</t>
  </si>
  <si>
    <t xml:space="preserve">"debatovat-001"</t>
  </si>
  <si>
    <t xml:space="preserve">ACT-&gt;ARG0/60</t>
  </si>
  <si>
    <t xml:space="preserve">PAT: o+6; ↓zda; ↓zdali; ↓jestli; na-1[téma.4]</t>
  </si>
  <si>
    <t xml:space="preserve">PAT-&gt;ARG1/101</t>
  </si>
  <si>
    <t xml:space="preserve">ADDR-&gt;ARG2/21</t>
  </si>
  <si>
    <t xml:space="preserve">"debutovat-001"</t>
  </si>
  <si>
    <t xml:space="preserve">ACT-&gt;ARG0/41,ARG1/7</t>
  </si>
  <si>
    <t xml:space="preserve">"decentralizovat-001"</t>
  </si>
  <si>
    <t xml:space="preserve">"defilovat-001"</t>
  </si>
  <si>
    <t xml:space="preserve">"definovat-001"</t>
  </si>
  <si>
    <t xml:space="preserve">ACT-&gt;ARG0/132,ARG1/2,ARG2/1</t>
  </si>
  <si>
    <t xml:space="preserve">ACT-&gt;ARG0/307</t>
  </si>
  <si>
    <t xml:space="preserve">PAT: 4; ↓že; ↓zda; ↓jestli; ↓c</t>
  </si>
  <si>
    <t xml:space="preserve">PAT-&gt;ARG1/211</t>
  </si>
  <si>
    <t xml:space="preserve">PAT-&gt;ARG1/565,ARG2/1</t>
  </si>
  <si>
    <t xml:space="preserve">"deformovat-001"</t>
  </si>
  <si>
    <t xml:space="preserve">"degenerovat-001"</t>
  </si>
  <si>
    <t xml:space="preserve">"degradovat-001"</t>
  </si>
  <si>
    <t xml:space="preserve">ORIG-&gt;ARG3/1</t>
  </si>
  <si>
    <t xml:space="preserve">EFF-&gt;ARG2/2</t>
  </si>
  <si>
    <t xml:space="preserve">"deklarovat-001"</t>
  </si>
  <si>
    <t xml:space="preserve">EFF: za+4; 4[{jako,jakožto}:/AuxY]; .a4[{jako,jakožto}:/AuxY]; za-1[.a4]</t>
  </si>
  <si>
    <t xml:space="preserve">"deklarovat-002"</t>
  </si>
  <si>
    <t xml:space="preserve">ACT-&gt;ARG0/65</t>
  </si>
  <si>
    <t xml:space="preserve">PAT-&gt;ARG1/75,ARG2/1</t>
  </si>
  <si>
    <t xml:space="preserve">"dekontaminovat-001"</t>
  </si>
  <si>
    <t xml:space="preserve">"delegovat-001"</t>
  </si>
  <si>
    <t xml:space="preserve">ACT-&gt;ARG0/180,ARG1/1</t>
  </si>
  <si>
    <t xml:space="preserve">ACT-&gt;ARG0/190,ARG1/1</t>
  </si>
  <si>
    <t xml:space="preserve">PAT-&gt;ARG1/291,ARG2/2</t>
  </si>
  <si>
    <t xml:space="preserve">PAT-&gt;ARG1/302,ARG2/2</t>
  </si>
  <si>
    <t xml:space="preserve">ADDR-&gt;ARG1/7,ARG2/212</t>
  </si>
  <si>
    <t xml:space="preserve">ADDR-&gt;ARG1/7,ARG2/213</t>
  </si>
  <si>
    <t xml:space="preserve">"delegovat-002"</t>
  </si>
  <si>
    <t xml:space="preserve">"dementovat-001"</t>
  </si>
  <si>
    <t xml:space="preserve">"demilitarizovat-001"</t>
  </si>
  <si>
    <t xml:space="preserve">PAT-&gt;ARG2/1</t>
  </si>
  <si>
    <t xml:space="preserve">"demobilizovat-001"</t>
  </si>
  <si>
    <t xml:space="preserve">"demobilizovat-002"</t>
  </si>
  <si>
    <t xml:space="preserve">"demokratizovat-001"</t>
  </si>
  <si>
    <t xml:space="preserve">"demolovat-001"</t>
  </si>
  <si>
    <t xml:space="preserve">ACT-&gt;ARG0/85,ARG2/6</t>
  </si>
  <si>
    <t xml:space="preserve">ACT-&gt;ARG0/84,ARG2/6</t>
  </si>
  <si>
    <t xml:space="preserve">PAT-&gt;ARG1/178</t>
  </si>
  <si>
    <t xml:space="preserve">"demonstrovat-001"</t>
  </si>
  <si>
    <t xml:space="preserve">ACT-&gt;ARG0/114,ARG1/1</t>
  </si>
  <si>
    <t xml:space="preserve">PAT: 4; ↓že; ↓aby; ↓ať; ↓zda; ↓jak-2; ↓c</t>
  </si>
  <si>
    <t xml:space="preserve">PAT-&gt;ARG1/149</t>
  </si>
  <si>
    <t xml:space="preserve">ADDR-&gt;ARG2/14</t>
  </si>
  <si>
    <t xml:space="preserve">"demonstrovat-002"</t>
  </si>
  <si>
    <t xml:space="preserve">ACT-&gt;ARG0/9,ARG1/3</t>
  </si>
  <si>
    <t xml:space="preserve">ACT-&gt;ARG0/2,ARG1/3</t>
  </si>
  <si>
    <t xml:space="preserve">?PAT: proti+3</t>
  </si>
  <si>
    <t xml:space="preserve">"demontovat-001"</t>
  </si>
  <si>
    <t xml:space="preserve">"demoralizovat-001"</t>
  </si>
  <si>
    <t xml:space="preserve">"denominovat-001"</t>
  </si>
  <si>
    <t xml:space="preserve">"deponovat-001"</t>
  </si>
  <si>
    <t xml:space="preserve">"deponovat-002"</t>
  </si>
  <si>
    <t xml:space="preserve">"deportovat-001"</t>
  </si>
  <si>
    <t xml:space="preserve">ACT-&gt;ARG0/80</t>
  </si>
  <si>
    <t xml:space="preserve">PAT-&gt;ARG1/184,ARG2/1</t>
  </si>
  <si>
    <t xml:space="preserve">DIR1-&gt;ARG1/3,ARG2/14</t>
  </si>
  <si>
    <t xml:space="preserve">"deprimovat-001"</t>
  </si>
  <si>
    <t xml:space="preserve">PAT-&gt;ARG1/32</t>
  </si>
  <si>
    <t xml:space="preserve">"deptat-001"</t>
  </si>
  <si>
    <t xml:space="preserve">"desinfikovat-001"</t>
  </si>
  <si>
    <t xml:space="preserve">"destabilizovat-001"</t>
  </si>
  <si>
    <t xml:space="preserve">"detekovat-001"</t>
  </si>
  <si>
    <t xml:space="preserve">"determinovat-001"</t>
  </si>
  <si>
    <t xml:space="preserve">"devalvovat-001"</t>
  </si>
  <si>
    <t xml:space="preserve">"devalvovat-002"</t>
  </si>
  <si>
    <t xml:space="preserve">"devastovat-001"</t>
  </si>
  <si>
    <t xml:space="preserve">ACT-&gt;ARG2/3</t>
  </si>
  <si>
    <t xml:space="preserve">"dezertovat-001"</t>
  </si>
  <si>
    <t xml:space="preserve">ACT-&gt;ARG0/38,ARG1/79</t>
  </si>
  <si>
    <t xml:space="preserve">DIR1-&gt;ARG1/4</t>
  </si>
  <si>
    <t xml:space="preserve">"dezinterpretovat-001"</t>
  </si>
  <si>
    <t xml:space="preserve">"dešifrovat-001"</t>
  </si>
  <si>
    <t xml:space="preserve">"diagnostikovat-001"</t>
  </si>
  <si>
    <t xml:space="preserve">ACT-&gt;ARG0/475,ARG1/4,ARG2/164</t>
  </si>
  <si>
    <t xml:space="preserve">PAT-&gt;ARG1/1,ARG2/1</t>
  </si>
  <si>
    <t xml:space="preserve">PAT-&gt;ARG1/919,ARG2/7,ARG3/1</t>
  </si>
  <si>
    <t xml:space="preserve">"diferencovat-001"</t>
  </si>
  <si>
    <t xml:space="preserve">PAT: 4; mezi+7</t>
  </si>
  <si>
    <t xml:space="preserve">ORIG: od+2</t>
  </si>
  <si>
    <t xml:space="preserve">"diferencovat-se-001"</t>
  </si>
  <si>
    <t xml:space="preserve">"diferencovat-se-002"</t>
  </si>
  <si>
    <t xml:space="preserve">ACT-&gt;ARG0/3,ARG1/69</t>
  </si>
  <si>
    <t xml:space="preserve">PAT-&gt;ARG1/8,ARG2/20,ARG3/1</t>
  </si>
  <si>
    <t xml:space="preserve">"diferencovat-se-003"</t>
  </si>
  <si>
    <t xml:space="preserve">"diktovat-001"</t>
  </si>
  <si>
    <t xml:space="preserve">PAT: 4; .f; ↓že; ↓aby; ↓ať; ↓c</t>
  </si>
  <si>
    <t xml:space="preserve">PAT-&gt;ARG1/34,ARG2/94</t>
  </si>
  <si>
    <t xml:space="preserve">ADDR-&gt;ARG1/77,ARG2/1</t>
  </si>
  <si>
    <t xml:space="preserve">"diktovat-002"</t>
  </si>
  <si>
    <t xml:space="preserve">"dirigovat-001"</t>
  </si>
  <si>
    <t xml:space="preserve">ACT-&gt;ARG0/305</t>
  </si>
  <si>
    <t xml:space="preserve">PAT-&gt;ARG1/42</t>
  </si>
  <si>
    <t xml:space="preserve">PAT-&gt;ARG1/271</t>
  </si>
  <si>
    <t xml:space="preserve">"dirigovat-002"</t>
  </si>
  <si>
    <t xml:space="preserve">"diskontovat-001"</t>
  </si>
  <si>
    <t xml:space="preserve">"diskreditovat-001"</t>
  </si>
  <si>
    <t xml:space="preserve">PAT-&gt;ARG0/1,ARG1/9</t>
  </si>
  <si>
    <t xml:space="preserve">"diskriminovat-001"</t>
  </si>
  <si>
    <t xml:space="preserve">"diskutovat-001"</t>
  </si>
  <si>
    <t xml:space="preserve">ACT-&gt;ARG0/63</t>
  </si>
  <si>
    <t xml:space="preserve">PAT: o+6; 4; ↓zda; ↓zdali; ↓jestli; na-1[téma.4]</t>
  </si>
  <si>
    <t xml:space="preserve">"diskvalifikovat-001"</t>
  </si>
  <si>
    <t xml:space="preserve">"dislokovat-001"</t>
  </si>
  <si>
    <t xml:space="preserve">"dislokovat-002"</t>
  </si>
  <si>
    <t xml:space="preserve">"disociovat-001"</t>
  </si>
  <si>
    <t xml:space="preserve">ACT-&gt;ARG0/10,ARG1/42</t>
  </si>
  <si>
    <t xml:space="preserve">PAT-&gt;ARG2/19</t>
  </si>
  <si>
    <t xml:space="preserve">"disponovat-001"</t>
  </si>
  <si>
    <t xml:space="preserve">"disponovat-002"</t>
  </si>
  <si>
    <t xml:space="preserve">PAT: s+7; 7</t>
  </si>
  <si>
    <t xml:space="preserve">ACT-&gt;ARG0/90,ARG1/1</t>
  </si>
  <si>
    <t xml:space="preserve">PAT-&gt;ARG1/125</t>
  </si>
  <si>
    <t xml:space="preserve">"distancovat-se-001"</t>
  </si>
  <si>
    <t xml:space="preserve">ACT-&gt;ARG0/1,ARG1/5</t>
  </si>
  <si>
    <t xml:space="preserve">PAT-&gt;ARG1/1,ARG2/5</t>
  </si>
  <si>
    <t xml:space="preserve">"distribuovat-001"</t>
  </si>
  <si>
    <t xml:space="preserve">ACT-&gt;ARG0/172,ARG1/1</t>
  </si>
  <si>
    <t xml:space="preserve">PAT-&gt;ARG1/118</t>
  </si>
  <si>
    <t xml:space="preserve">PAT-&gt;ARG1/356</t>
  </si>
  <si>
    <t xml:space="preserve">?ADDR: 3; mezi+4</t>
  </si>
  <si>
    <t xml:space="preserve">ADDR-&gt;ARG1/1,ARG2/16</t>
  </si>
  <si>
    <t xml:space="preserve">ADDR-&gt;ARG1/1,ARG2/110</t>
  </si>
  <si>
    <t xml:space="preserve">"distribuovat-002"</t>
  </si>
  <si>
    <t xml:space="preserve">ACT-&gt;ARG0/32</t>
  </si>
  <si>
    <t xml:space="preserve">PAT-&gt;ARG0/1,ARG1/94</t>
  </si>
  <si>
    <t xml:space="preserve">"diverzifikovat-001"</t>
  </si>
  <si>
    <t xml:space="preserve">PAT-&gt;ARG0/4,ARG1/1</t>
  </si>
  <si>
    <t xml:space="preserve">"divit-se-001"</t>
  </si>
  <si>
    <t xml:space="preserve">PAT: 3; ↓že; ↓zda; ↓jestli; ↓když; ↓kdyby; ↓c; ↓jak</t>
  </si>
  <si>
    <t xml:space="preserve">ACT-&gt;ARG0/115</t>
  </si>
  <si>
    <t xml:space="preserve">"divočet-001"</t>
  </si>
  <si>
    <t xml:space="preserve">"divočet-002"</t>
  </si>
  <si>
    <t xml:space="preserve">"dloubat-001"</t>
  </si>
  <si>
    <t xml:space="preserve">"dlužit-001"</t>
  </si>
  <si>
    <t xml:space="preserve">ACT-&gt;ARG0/2181,ARG1/19</t>
  </si>
  <si>
    <t xml:space="preserve">PAT-&gt;ARG0/2,ARG1/2285</t>
  </si>
  <si>
    <t xml:space="preserve">PAT-&gt;ARG0/1,ARG1/29</t>
  </si>
  <si>
    <t xml:space="preserve">ADDR-&gt;ARG1/1,ARG2/37</t>
  </si>
  <si>
    <t xml:space="preserve">"dlužit-002"</t>
  </si>
  <si>
    <t xml:space="preserve">EXT-&gt;ARG0/1,ARG1/29</t>
  </si>
  <si>
    <t xml:space="preserve">?PAT: za+4</t>
  </si>
  <si>
    <t xml:space="preserve">"dlužit-003"</t>
  </si>
  <si>
    <t xml:space="preserve">EFF-&gt;ARG1/1,ARG3/5</t>
  </si>
  <si>
    <t xml:space="preserve">"dláždit-001"</t>
  </si>
  <si>
    <t xml:space="preserve">"dláždit-002"</t>
  </si>
  <si>
    <t xml:space="preserve">DPHR: cesta.S4</t>
  </si>
  <si>
    <t xml:space="preserve">DPHR-&gt;ARG1/5,ARG2/1</t>
  </si>
  <si>
    <t xml:space="preserve">"dlít-001"</t>
  </si>
  <si>
    <t xml:space="preserve">"dmout-se-001"</t>
  </si>
  <si>
    <t xml:space="preserve">"dobelhat-001"</t>
  </si>
  <si>
    <t xml:space="preserve">"doblekotat-se-001"</t>
  </si>
  <si>
    <t xml:space="preserve">"dobrat-001"</t>
  </si>
  <si>
    <t xml:space="preserve">"dobrat-se-001"</t>
  </si>
  <si>
    <t xml:space="preserve">PAT: 2; ↓aby</t>
  </si>
  <si>
    <t xml:space="preserve">?ORIG: na+6; od+2</t>
  </si>
  <si>
    <t xml:space="preserve">"dobrat-se-002"</t>
  </si>
  <si>
    <t xml:space="preserve">PAT: k+3; 2</t>
  </si>
  <si>
    <t xml:space="preserve">"dobudovat-001"</t>
  </si>
  <si>
    <t xml:space="preserve">"dobíjet-001"</t>
  </si>
  <si>
    <t xml:space="preserve">DPHR: baterky</t>
  </si>
  <si>
    <t xml:space="preserve">"dobírat-si-001"</t>
  </si>
  <si>
    <t xml:space="preserve">"dobít-001"</t>
  </si>
  <si>
    <t xml:space="preserve">"dobýt-001"</t>
  </si>
  <si>
    <t xml:space="preserve">ACT-&gt;ARG0/117,ARG1/2</t>
  </si>
  <si>
    <t xml:space="preserve">PAT-&gt;ARG1/168</t>
  </si>
  <si>
    <t xml:space="preserve">"dobývat-001"</t>
  </si>
  <si>
    <t xml:space="preserve">ACT-&gt;ARG0/62,ARG1/1</t>
  </si>
  <si>
    <t xml:space="preserve">PAT-&gt;ARG1/94</t>
  </si>
  <si>
    <t xml:space="preserve">"dobývat-se-001"</t>
  </si>
  <si>
    <t xml:space="preserve">"doběhnout-001"</t>
  </si>
  <si>
    <t xml:space="preserve">"doběhnout-002"</t>
  </si>
  <si>
    <t xml:space="preserve">PAT: pro+4</t>
  </si>
  <si>
    <t xml:space="preserve">"doběhnout-003"</t>
  </si>
  <si>
    <t xml:space="preserve">"doběhnout-004"</t>
  </si>
  <si>
    <t xml:space="preserve">ACT-&gt;ARG0/3,ARG1/2</t>
  </si>
  <si>
    <t xml:space="preserve">ACT-&gt;ARG0/22,ARG1/342</t>
  </si>
  <si>
    <t xml:space="preserve">"docenit-001"</t>
  </si>
  <si>
    <t xml:space="preserve">PAT: 4; ↓že; ↓když; ↓c</t>
  </si>
  <si>
    <t xml:space="preserve">"doceňovat-001"</t>
  </si>
  <si>
    <t xml:space="preserve">PAT: 4; ↓že; ↓když</t>
  </si>
  <si>
    <t xml:space="preserve">"dochodit-001"</t>
  </si>
  <si>
    <t xml:space="preserve">"dochovat-001"</t>
  </si>
  <si>
    <t xml:space="preserve">"dochovat-se-001"</t>
  </si>
  <si>
    <t xml:space="preserve">"dochytat-001"</t>
  </si>
  <si>
    <t xml:space="preserve">"docházet-001"</t>
  </si>
  <si>
    <t xml:space="preserve">"docházet-002"</t>
  </si>
  <si>
    <t xml:space="preserve">ACT-&gt;ARG0/139</t>
  </si>
  <si>
    <t xml:space="preserve">"docházet-003"</t>
  </si>
  <si>
    <t xml:space="preserve">ACT-&gt;ARG2/2</t>
  </si>
  <si>
    <t xml:space="preserve">PAT: 1; ↓že; ↓zda; ↓jestli; ↓jak-2</t>
  </si>
  <si>
    <t xml:space="preserve">"docházet-004"</t>
  </si>
  <si>
    <t xml:space="preserve">ACT-&gt;ARG0/139,ARG1/258</t>
  </si>
  <si>
    <t xml:space="preserve">ACT-&gt;ARG0/139,ARG1/262</t>
  </si>
  <si>
    <t xml:space="preserve">DIR3-&gt;ARG1/135</t>
  </si>
  <si>
    <t xml:space="preserve">"docházet-005"</t>
  </si>
  <si>
    <t xml:space="preserve">"docházet-006"</t>
  </si>
  <si>
    <t xml:space="preserve">ACT-&gt;ARG1/3116,ARG2/296</t>
  </si>
  <si>
    <t xml:space="preserve">"docházet-007"</t>
  </si>
  <si>
    <t xml:space="preserve">"docházet-008"</t>
  </si>
  <si>
    <t xml:space="preserve">ACT: k+3</t>
  </si>
  <si>
    <t xml:space="preserve">ACT-&gt;ARG0/249,ARG1/976,ARG4/1</t>
  </si>
  <si>
    <t xml:space="preserve">ACT-&gt;ARG1/19</t>
  </si>
  <si>
    <t xml:space="preserve">ACT-&gt;ARG0/39,ARG1/422</t>
  </si>
  <si>
    <t xml:space="preserve">"docházet-009"</t>
  </si>
  <si>
    <t xml:space="preserve">"docilovat-001"</t>
  </si>
  <si>
    <t xml:space="preserve">ACT-&gt;ARG0/319,ARG1/6</t>
  </si>
  <si>
    <t xml:space="preserve">PAT-&gt;ARG1/165</t>
  </si>
  <si>
    <t xml:space="preserve">PAT-&gt;ARG1/509</t>
  </si>
  <si>
    <t xml:space="preserve">"docvičit-001"</t>
  </si>
  <si>
    <t xml:space="preserve">"docílit-001"</t>
  </si>
  <si>
    <t xml:space="preserve">ACT-&gt;ARG0/2499,ARG1/21</t>
  </si>
  <si>
    <t xml:space="preserve">ACT-&gt;ARG0/1056,ARG1/10</t>
  </si>
  <si>
    <t xml:space="preserve">PAT: 2; 4; ↓aby</t>
  </si>
  <si>
    <t xml:space="preserve">PAT-&gt;ARG0/1,ARG1/2726</t>
  </si>
  <si>
    <t xml:space="preserve">PAT-&gt;ARG1/1524,ARG2/2,ARG4/1</t>
  </si>
  <si>
    <t xml:space="preserve">ORIG-&gt;ARG1/1,ARG2/2</t>
  </si>
  <si>
    <t xml:space="preserve">ORIG-&gt;ARG1/10,ARG2/174,ARG3/5</t>
  </si>
  <si>
    <t xml:space="preserve">"docílit-002"</t>
  </si>
  <si>
    <t xml:space="preserve">ACT-&gt;ARG0/2443,ARG1/89</t>
  </si>
  <si>
    <t xml:space="preserve">PAT-&gt;ARG0/1,ARG1/2638,ARG2/15</t>
  </si>
  <si>
    <t xml:space="preserve">"docílit-003"</t>
  </si>
  <si>
    <t xml:space="preserve">DPHR: svůj-1.2</t>
  </si>
  <si>
    <t xml:space="preserve">DPHR-&gt;ARG1/509</t>
  </si>
  <si>
    <t xml:space="preserve">"dodanit-001"</t>
  </si>
  <si>
    <t xml:space="preserve">"dodat-001"</t>
  </si>
  <si>
    <t xml:space="preserve">ACT-&gt;ARG0/366,ARG1/5</t>
  </si>
  <si>
    <t xml:space="preserve">ACT-&gt;ARG0/1,ARG1/3</t>
  </si>
  <si>
    <t xml:space="preserve">PAT: 4; 2; na+6</t>
  </si>
  <si>
    <t xml:space="preserve">PAT-&gt;ARG1/539</t>
  </si>
  <si>
    <t xml:space="preserve">PAT-&gt;ARG1/1,ARG2/2</t>
  </si>
  <si>
    <t xml:space="preserve">ADDR-&gt;ARG1/22,ARG2/132</t>
  </si>
  <si>
    <t xml:space="preserve">"dodat-002"</t>
  </si>
  <si>
    <t xml:space="preserve">ACT-&gt;ARG0/965,ARG1/10</t>
  </si>
  <si>
    <t xml:space="preserve">ACT-&gt;ARG0/420</t>
  </si>
  <si>
    <t xml:space="preserve">PAT-&gt;ARG0/1,ARG1/1340,ARG2/51</t>
  </si>
  <si>
    <t xml:space="preserve">PAT-&gt;ARG0/1,ARG1/644,ARG2/3</t>
  </si>
  <si>
    <t xml:space="preserve">ADDR-&gt;ARG1/20,ARG2/204</t>
  </si>
  <si>
    <t xml:space="preserve">ADDR-&gt;ARG1/6,ARG2/363,ARG4/2</t>
  </si>
  <si>
    <t xml:space="preserve">"dodat-003"</t>
  </si>
  <si>
    <t xml:space="preserve">ACT-&gt;ARG1/50</t>
  </si>
  <si>
    <t xml:space="preserve">PAT-&gt;ARG2/88</t>
  </si>
  <si>
    <t xml:space="preserve">EFF: na+4</t>
  </si>
  <si>
    <t xml:space="preserve">EFF-&gt;ARG4/100</t>
  </si>
  <si>
    <t xml:space="preserve">"dodat-004"</t>
  </si>
  <si>
    <t xml:space="preserve">ACT-&gt;ARG0/117</t>
  </si>
  <si>
    <t xml:space="preserve">PAT-&gt;ARG0/1,ARG1/300</t>
  </si>
  <si>
    <t xml:space="preserve">PAT-&gt;ARG0/1,ARG1/219,ARG2/1</t>
  </si>
  <si>
    <t xml:space="preserve">DIR3-&gt;ARG2/8</t>
  </si>
  <si>
    <t xml:space="preserve">"dodat-005"</t>
  </si>
  <si>
    <t xml:space="preserve">ACT-&gt;ARG0/12490,ARG1/40</t>
  </si>
  <si>
    <t xml:space="preserve">EFF: 4; ↓že; ↓aby; ↓zda; ↓jestli; ↓c; .s</t>
  </si>
  <si>
    <t xml:space="preserve">EFF-&gt;ARG0/2,ARG1/10907,ARG2/2</t>
  </si>
  <si>
    <t xml:space="preserve">EFF-&gt;ARG0/5,ARG1/12570,ARG2/25,ARG3/29</t>
  </si>
  <si>
    <t xml:space="preserve">?PAT: k+3</t>
  </si>
  <si>
    <t xml:space="preserve">PAT-&gt;ARG0/2,ARG1/8,ARG2/1,ARG3/29</t>
  </si>
  <si>
    <t xml:space="preserve">"dodržet-001"</t>
  </si>
  <si>
    <t xml:space="preserve">ACT-&gt;ARG0/138,ARG1/4</t>
  </si>
  <si>
    <t xml:space="preserve">ACT-&gt;ARG0/43,ARG1/17</t>
  </si>
  <si>
    <t xml:space="preserve">PAT-&gt;ARG1/287,ARG2/1</t>
  </si>
  <si>
    <t xml:space="preserve">PAT-&gt;ARG1/87,ARG2/20</t>
  </si>
  <si>
    <t xml:space="preserve">"dodržovat-001"</t>
  </si>
  <si>
    <t xml:space="preserve">ACT-&gt;ARG0/60,ARG1/101</t>
  </si>
  <si>
    <t xml:space="preserve">"dodržovat-002"</t>
  </si>
  <si>
    <t xml:space="preserve">ACT-&gt;ARG0/43,ARG1/2</t>
  </si>
  <si>
    <t xml:space="preserve">PAT-&gt;ARG1/58,ARG2/1</t>
  </si>
  <si>
    <t xml:space="preserve">"dodržovávat-001"</t>
  </si>
  <si>
    <t xml:space="preserve">"dodávat-001"</t>
  </si>
  <si>
    <t xml:space="preserve">ACT-&gt;ARG0/605,ARG1/2</t>
  </si>
  <si>
    <t xml:space="preserve">PAT-&gt;ARG1/953,ARG2/1</t>
  </si>
  <si>
    <t xml:space="preserve">ADDR-&gt;ARG1/24,ARG2/431</t>
  </si>
  <si>
    <t xml:space="preserve">"dodávat-002"</t>
  </si>
  <si>
    <t xml:space="preserve">ACT-&gt;ARG0/333</t>
  </si>
  <si>
    <t xml:space="preserve">PAT-&gt;ARG0/2,ARG1/545</t>
  </si>
  <si>
    <t xml:space="preserve">ADDR-&gt;ARG1/20,ARG2/154</t>
  </si>
  <si>
    <t xml:space="preserve">"dodávat-003"</t>
  </si>
  <si>
    <t xml:space="preserve">ACT-&gt;ARG0/177,ARG1/1</t>
  </si>
  <si>
    <t xml:space="preserve">PAT-&gt;ARG0/1,ARG1/318</t>
  </si>
  <si>
    <t xml:space="preserve">DIR3-&gt;ARG1/2,ARG2/41</t>
  </si>
  <si>
    <t xml:space="preserve">"dodávat-004"</t>
  </si>
  <si>
    <t xml:space="preserve">ACT-&gt;ARG0/12535,ARG1/40</t>
  </si>
  <si>
    <t xml:space="preserve">EFF-&gt;ARG0/2,ARG1/10962,ARG2/2</t>
  </si>
  <si>
    <t xml:space="preserve">"dodělat-001"</t>
  </si>
  <si>
    <t xml:space="preserve">"dodělat-se-001"</t>
  </si>
  <si>
    <t xml:space="preserve">"dodělávat-001"</t>
  </si>
  <si>
    <t xml:space="preserve">"dodělávat-002"</t>
  </si>
  <si>
    <t xml:space="preserve">"dofinišovat-001"</t>
  </si>
  <si>
    <t xml:space="preserve">"dohadovat-001"</t>
  </si>
  <si>
    <t xml:space="preserve">ACT-&gt;ARG0/92</t>
  </si>
  <si>
    <t xml:space="preserve">PAT: 4; ↓že; ↓aby; ↓c; ↓ať</t>
  </si>
  <si>
    <t xml:space="preserve">PAT-&gt;ARG1/2,ARG2/63</t>
  </si>
  <si>
    <t xml:space="preserve">PAT-&gt;ARG1/12,ARG2/64</t>
  </si>
  <si>
    <t xml:space="preserve">ADDR-&gt;ARG1/34,ARG2/3</t>
  </si>
  <si>
    <t xml:space="preserve">ADDR-&gt;ARG1/106,ARG2/3</t>
  </si>
  <si>
    <t xml:space="preserve">"dohadovat-se-001"</t>
  </si>
  <si>
    <t xml:space="preserve">PAT: o+6; na+6; ↓že; ↓zda; ↓jestli; ↓c; ↓aby; .s</t>
  </si>
  <si>
    <t xml:space="preserve">PAT-&gt;ARG1/7,ARG2/1</t>
  </si>
  <si>
    <t xml:space="preserve">"dohasit-001"</t>
  </si>
  <si>
    <t xml:space="preserve">"dohasnout-001"</t>
  </si>
  <si>
    <t xml:space="preserve">"dohledávat-001"</t>
  </si>
  <si>
    <t xml:space="preserve">ACT-&gt;ARG0/352,ARG2/1</t>
  </si>
  <si>
    <t xml:space="preserve">PAT: 4; ↓jestli; ↓zda; ↓c</t>
  </si>
  <si>
    <t xml:space="preserve">PAT-&gt;ARG1/489,ARG2/5</t>
  </si>
  <si>
    <t xml:space="preserve">"dohlédnout-001"</t>
  </si>
  <si>
    <t xml:space="preserve">PAT: na+4; ↓aby; ↓zda; ↓jestli; ↓ať; ↓c</t>
  </si>
  <si>
    <t xml:space="preserve">PAT-&gt;ARG1/154,ARG2/5</t>
  </si>
  <si>
    <t xml:space="preserve">"dohlédnout-002"</t>
  </si>
  <si>
    <t xml:space="preserve">"dohlídnout-001"</t>
  </si>
  <si>
    <t xml:space="preserve">"dohlížet-001"</t>
  </si>
  <si>
    <t xml:space="preserve">ACT-&gt;ARG0/127</t>
  </si>
  <si>
    <t xml:space="preserve">PAT: na+4; nad+7; ↓aby; ↓zda; ↓jestli; ↓ať; ↓c</t>
  </si>
  <si>
    <t xml:space="preserve">PAT-&gt;ARG1/148</t>
  </si>
  <si>
    <t xml:space="preserve">"dohnat-001"</t>
  </si>
  <si>
    <t xml:space="preserve">ACT-&gt;ARG0/29</t>
  </si>
  <si>
    <t xml:space="preserve">PAT-&gt;ARG1/18,ARG2/30,ARG3/46</t>
  </si>
  <si>
    <t xml:space="preserve">ADDR-&gt;ARG1/52</t>
  </si>
  <si>
    <t xml:space="preserve">ADDR-&gt;ARG1/129</t>
  </si>
  <si>
    <t xml:space="preserve">"dohnat-002"</t>
  </si>
  <si>
    <t xml:space="preserve">"dohnat-003"</t>
  </si>
  <si>
    <t xml:space="preserve">"dohnat-004"</t>
  </si>
  <si>
    <t xml:space="preserve">PAT-&gt;ARG1/39</t>
  </si>
  <si>
    <t xml:space="preserve">"dohnat-005"</t>
  </si>
  <si>
    <t xml:space="preserve">"dohodit-001"</t>
  </si>
  <si>
    <t xml:space="preserve">PAT: 4; 7</t>
  </si>
  <si>
    <t xml:space="preserve">"dohodit-002"</t>
  </si>
  <si>
    <t xml:space="preserve">DPHR: co-1:1,být:$1&lt;V&gt;$2&lt;c&gt;$4&lt;-&gt;$8&lt;-&gt;,kámen.S7</t>
  </si>
  <si>
    <t xml:space="preserve">"dohodit-003"</t>
  </si>
  <si>
    <t xml:space="preserve">"dohodnout-001"</t>
  </si>
  <si>
    <t xml:space="preserve">ACT-&gt;ARG0/379</t>
  </si>
  <si>
    <t xml:space="preserve">PAT-&gt;ARG0/1,ARG1/343</t>
  </si>
  <si>
    <t xml:space="preserve">ADDR-&gt;ARG2/2</t>
  </si>
  <si>
    <t xml:space="preserve">"dohodnout-se-001"</t>
  </si>
  <si>
    <t xml:space="preserve">ACT-&gt;ARG0/718,ARG1/1</t>
  </si>
  <si>
    <t xml:space="preserve">ACT-&gt;ARG0/236</t>
  </si>
  <si>
    <t xml:space="preserve">PAT: o+6; na+6; ↓že; ↓zda; ↓jestli; ↓c; ↓aby; .f; .s</t>
  </si>
  <si>
    <t xml:space="preserve">PAT-&gt;ARG0/1,ARG1/736,ARG2/36</t>
  </si>
  <si>
    <t xml:space="preserve">PAT-&gt;ARG0/1,ARG1/222,ARG2/72</t>
  </si>
  <si>
    <t xml:space="preserve">ADDR: s+7; mezi-1[.P7]; mezi+7,mezi+7</t>
  </si>
  <si>
    <t xml:space="preserve">ADDR-&gt;ARG2/8</t>
  </si>
  <si>
    <t xml:space="preserve">ADDR-&gt;ARG1/110,ARG2/5</t>
  </si>
  <si>
    <t xml:space="preserve">"dohonit-001"</t>
  </si>
  <si>
    <t xml:space="preserve">"dohonit-002"</t>
  </si>
  <si>
    <t xml:space="preserve">"dohonit-003"</t>
  </si>
  <si>
    <t xml:space="preserve">"dohrát-001"</t>
  </si>
  <si>
    <t xml:space="preserve">ACT-&gt;ARG0/31,ARG1/2</t>
  </si>
  <si>
    <t xml:space="preserve">"dohrávat-001"</t>
  </si>
  <si>
    <t xml:space="preserve">"dohánět-001"</t>
  </si>
  <si>
    <t xml:space="preserve">PAT-&gt;ARG1/1,ARG2/3</t>
  </si>
  <si>
    <t xml:space="preserve">ADDR-&gt;ARG1/7</t>
  </si>
  <si>
    <t xml:space="preserve">"dohánět-002"</t>
  </si>
  <si>
    <t xml:space="preserve">"dojednat-001"</t>
  </si>
  <si>
    <t xml:space="preserve">ACT-&gt;ARG0/227</t>
  </si>
  <si>
    <t xml:space="preserve">PAT: 4; ↓že; ↓aby; ↓zda; ↓jestli; ↓c</t>
  </si>
  <si>
    <t xml:space="preserve">PAT-&gt;ARG1/294,ARG2/63</t>
  </si>
  <si>
    <t xml:space="preserve">ADDR-&gt;ARG1/37,ARG2/20</t>
  </si>
  <si>
    <t xml:space="preserve">"dojednávat-001"</t>
  </si>
  <si>
    <t xml:space="preserve">ACT-&gt;ARG0/121</t>
  </si>
  <si>
    <t xml:space="preserve">PAT-&gt;ARG1/103,ARG2/63</t>
  </si>
  <si>
    <t xml:space="preserve">ADDR-&gt;ARG1/34,ARG2/24</t>
  </si>
  <si>
    <t xml:space="preserve">"dojet-001"</t>
  </si>
  <si>
    <t xml:space="preserve">"dojet-002"</t>
  </si>
  <si>
    <t xml:space="preserve">ACT-&gt;ARG0/19</t>
  </si>
  <si>
    <t xml:space="preserve">"dojet-003"</t>
  </si>
  <si>
    <t xml:space="preserve">"dojit-001"</t>
  </si>
  <si>
    <t xml:space="preserve">"dojit-002"</t>
  </si>
  <si>
    <t xml:space="preserve">"dojmout-001"</t>
  </si>
  <si>
    <t xml:space="preserve">ACT-&gt;ARG0/3,ARG2/4</t>
  </si>
  <si>
    <t xml:space="preserve">"dojímat-001"</t>
  </si>
  <si>
    <t xml:space="preserve">"dojíst-001"</t>
  </si>
  <si>
    <t xml:space="preserve">"dojít-001"</t>
  </si>
  <si>
    <t xml:space="preserve">PAT: 2; do+2</t>
  </si>
  <si>
    <t xml:space="preserve">"dojít-002"</t>
  </si>
  <si>
    <t xml:space="preserve">"dojít-003"</t>
  </si>
  <si>
    <t xml:space="preserve">ACT-&gt;ARG0/464,ARG1/10</t>
  </si>
  <si>
    <t xml:space="preserve">PAT-&gt;ARG1/1041,ARG2/3451</t>
  </si>
  <si>
    <t xml:space="preserve">"dojít-004"</t>
  </si>
  <si>
    <t xml:space="preserve">PAT: 1; ↓že; ↓zda; ↓jestli; ↓jak-2; ↓c</t>
  </si>
  <si>
    <t xml:space="preserve">"dojít-005"</t>
  </si>
  <si>
    <t xml:space="preserve">ACT-&gt;ARG0/5,ARG1/82</t>
  </si>
  <si>
    <t xml:space="preserve">DIR3-&gt;ARG4/27</t>
  </si>
  <si>
    <t xml:space="preserve">"dojít-006"</t>
  </si>
  <si>
    <t xml:space="preserve">ACT-&gt;ARG1/101</t>
  </si>
  <si>
    <t xml:space="preserve">"dojít-007"</t>
  </si>
  <si>
    <t xml:space="preserve">ACT-&gt;ARG1/3,ARG2/7</t>
  </si>
  <si>
    <t xml:space="preserve">"dojít-008"</t>
  </si>
  <si>
    <t xml:space="preserve">"dojít-009"</t>
  </si>
  <si>
    <t xml:space="preserve">ACT-&gt;ARG0/41,ARG1/642</t>
  </si>
  <si>
    <t xml:space="preserve">ACT-&gt;ARG0/434,ARG1/7675,ARG2/304</t>
  </si>
  <si>
    <t xml:space="preserve">"dojít-010"</t>
  </si>
  <si>
    <t xml:space="preserve">ACT-&gt;ARG1/15</t>
  </si>
  <si>
    <t xml:space="preserve">"dojít-011"</t>
  </si>
  <si>
    <t xml:space="preserve">"dojít-012"</t>
  </si>
  <si>
    <t xml:space="preserve">ACT-&gt;ARG0/5,ARG1/212</t>
  </si>
  <si>
    <t xml:space="preserve">DPHR: daleko-1</t>
  </si>
  <si>
    <t xml:space="preserve">"dojít-013"</t>
  </si>
  <si>
    <t xml:space="preserve">"dojít-014"</t>
  </si>
  <si>
    <t xml:space="preserve">"dojít-015"</t>
  </si>
  <si>
    <t xml:space="preserve">"dojíždět-001"</t>
  </si>
  <si>
    <t xml:space="preserve">"dojíždět-002"</t>
  </si>
  <si>
    <t xml:space="preserve">ACT-&gt;ARG0/170,ARG1/336</t>
  </si>
  <si>
    <t xml:space="preserve">ACT-&gt;ARG0/170,ARG1/340</t>
  </si>
  <si>
    <t xml:space="preserve">DIR3-&gt;ARG1/145</t>
  </si>
  <si>
    <t xml:space="preserve">"dokazovat-001"</t>
  </si>
  <si>
    <t xml:space="preserve">ACT-&gt;ARG0/144,ARG1/30</t>
  </si>
  <si>
    <t xml:space="preserve">PAT-&gt;ARG1/379</t>
  </si>
  <si>
    <t xml:space="preserve">PAT-&gt;ARG1/232</t>
  </si>
  <si>
    <t xml:space="preserve">ADDR-&gt;ARG1/1,ARG2/19</t>
  </si>
  <si>
    <t xml:space="preserve">"dokazovat-002"</t>
  </si>
  <si>
    <t xml:space="preserve">ACT-&gt;ARG0/20,ARG1/2</t>
  </si>
  <si>
    <t xml:space="preserve">ACT-&gt;ARG0/30,ARG1/29</t>
  </si>
  <si>
    <t xml:space="preserve">PAT-&gt;ARG1/421</t>
  </si>
  <si>
    <t xml:space="preserve">"dokazovat-003"</t>
  </si>
  <si>
    <t xml:space="preserve">EFF: 4; ↓že</t>
  </si>
  <si>
    <t xml:space="preserve">"dokladovat-001"</t>
  </si>
  <si>
    <t xml:space="preserve">ADDR-&gt;ARG1/1,ARG2/5</t>
  </si>
  <si>
    <t xml:space="preserve">"doklepnout-001"</t>
  </si>
  <si>
    <t xml:space="preserve">"doklopýtat-001"</t>
  </si>
  <si>
    <t xml:space="preserve">"dokládat-001"</t>
  </si>
  <si>
    <t xml:space="preserve">ACT-&gt;ARG0/22,ARG1/11</t>
  </si>
  <si>
    <t xml:space="preserve">PAT-&gt;ARG0/6,ARG1/22</t>
  </si>
  <si>
    <t xml:space="preserve">"dokonat-001"</t>
  </si>
  <si>
    <t xml:space="preserve">"dokonat-002"</t>
  </si>
  <si>
    <t xml:space="preserve">"dokončit-001"</t>
  </si>
  <si>
    <t xml:space="preserve">ACT-&gt;ARG0/201,ARG1/1</t>
  </si>
  <si>
    <t xml:space="preserve">ACT-&gt;ARG0/753,ARG1/4</t>
  </si>
  <si>
    <t xml:space="preserve">PAT-&gt;ARG1/380</t>
  </si>
  <si>
    <t xml:space="preserve">PAT-&gt;ARG1/1211,ARG2/2</t>
  </si>
  <si>
    <t xml:space="preserve">ORIG-&gt;ARG1/1,ARG2/18</t>
  </si>
  <si>
    <t xml:space="preserve">"dokončit-002"</t>
  </si>
  <si>
    <t xml:space="preserve">ACT-&gt;ARG0/379,ARG1/3106,ARG2/296,ARG3/1</t>
  </si>
  <si>
    <t xml:space="preserve">ACT-&gt;ARG0/234,ARG1/9</t>
  </si>
  <si>
    <t xml:space="preserve">ACT-&gt;ARG0/237,ARG1/9</t>
  </si>
  <si>
    <t xml:space="preserve">PAT-&gt;ARG1/732,ARG2/3451</t>
  </si>
  <si>
    <t xml:space="preserve">PAT-&gt;ARG1/441,ARG2/1,ARGM-EXT/1,ARGM-MNR/2</t>
  </si>
  <si>
    <t xml:space="preserve">PAT-&gt;ARG1/453,ARG2/1,ARGM-EXT/1,ARGM-MNR/2</t>
  </si>
  <si>
    <t xml:space="preserve">"dokončovat-001"</t>
  </si>
  <si>
    <t xml:space="preserve">"dokončovat-002"</t>
  </si>
  <si>
    <t xml:space="preserve">"dokopat-001"</t>
  </si>
  <si>
    <t xml:space="preserve">"dokopat-002"</t>
  </si>
  <si>
    <t xml:space="preserve">"dokoupit-001"</t>
  </si>
  <si>
    <t xml:space="preserve">?ADDR: 3; pro+4</t>
  </si>
  <si>
    <t xml:space="preserve">"dokralovat-001"</t>
  </si>
  <si>
    <t xml:space="preserve">"dokreslit-001"</t>
  </si>
  <si>
    <t xml:space="preserve">?EFF: o+4</t>
  </si>
  <si>
    <t xml:space="preserve">"dokreslovat-001"</t>
  </si>
  <si>
    <t xml:space="preserve">"dokrvovat-se-001"</t>
  </si>
  <si>
    <t xml:space="preserve">"dokumentovat-001"</t>
  </si>
  <si>
    <t xml:space="preserve">ACT-&gt;ARG0/389,ARG1/4,ARG2/164</t>
  </si>
  <si>
    <t xml:space="preserve">PAT: 4; ↓že; ↓zda</t>
  </si>
  <si>
    <t xml:space="preserve">PAT-&gt;ARG1/778,ARG2/7</t>
  </si>
  <si>
    <t xml:space="preserve">"dokumentovat-002"</t>
  </si>
  <si>
    <t xml:space="preserve">"dokumentovat-003"</t>
  </si>
  <si>
    <t xml:space="preserve">"dokupovat-001"</t>
  </si>
  <si>
    <t xml:space="preserve">"dokvétat-001"</t>
  </si>
  <si>
    <t xml:space="preserve">"dokázat-001"</t>
  </si>
  <si>
    <t xml:space="preserve">ACT-&gt;ARG0/97,ARG1/29</t>
  </si>
  <si>
    <t xml:space="preserve">PAT-&gt;ARG1/159</t>
  </si>
  <si>
    <t xml:space="preserve">ADDR-&gt;ARG0/2,ARG1/64,ARG2/6</t>
  </si>
  <si>
    <t xml:space="preserve">"dokázat-002"</t>
  </si>
  <si>
    <t xml:space="preserve">ACT-&gt;ARG0/965,ARG1/458,ARG2/3</t>
  </si>
  <si>
    <t xml:space="preserve">ACT-&gt;ARG0/604,ARG1/10</t>
  </si>
  <si>
    <t xml:space="preserve">PAT-&gt;ARG0/3,ARG1/4413,ARG2/446,ARG3/1</t>
  </si>
  <si>
    <t xml:space="preserve">PAT-&gt;ARG1/880</t>
  </si>
  <si>
    <t xml:space="preserve">"dokázat-003"</t>
  </si>
  <si>
    <t xml:space="preserve">ACT-&gt;ARG0/93,ARG1/2</t>
  </si>
  <si>
    <t xml:space="preserve">PAT-&gt;ARG1/570</t>
  </si>
  <si>
    <t xml:space="preserve">"dokázat-004"</t>
  </si>
  <si>
    <t xml:space="preserve">"dokázat-005"</t>
  </si>
  <si>
    <t xml:space="preserve">"doladit-001"</t>
  </si>
  <si>
    <t xml:space="preserve">"dolaďovat-001"</t>
  </si>
  <si>
    <t xml:space="preserve">"dolehnout-001"</t>
  </si>
  <si>
    <t xml:space="preserve">"dolehnout-002"</t>
  </si>
  <si>
    <t xml:space="preserve">"doletět-001"</t>
  </si>
  <si>
    <t xml:space="preserve">ACT-&gt;ARG0/142,ARG1/306</t>
  </si>
  <si>
    <t xml:space="preserve">ACT-&gt;ARG0/142,ARG1/310</t>
  </si>
  <si>
    <t xml:space="preserve">DIR3-&gt;ARG1/136</t>
  </si>
  <si>
    <t xml:space="preserve">"doložit-001"</t>
  </si>
  <si>
    <t xml:space="preserve">"doložit-002"</t>
  </si>
  <si>
    <t xml:space="preserve">"doléhat-001"</t>
  </si>
  <si>
    <t xml:space="preserve">"doléhat-002"</t>
  </si>
  <si>
    <t xml:space="preserve">"dolétnout-001"</t>
  </si>
  <si>
    <t xml:space="preserve">"doléčit-001"</t>
  </si>
  <si>
    <t xml:space="preserve">"dolít-001"</t>
  </si>
  <si>
    <t xml:space="preserve">"domazat-001"</t>
  </si>
  <si>
    <t xml:space="preserve">"dominovat-001"</t>
  </si>
  <si>
    <t xml:space="preserve">ACT-&gt;ARG0/182</t>
  </si>
  <si>
    <t xml:space="preserve">ACT-&gt;ARG0/56</t>
  </si>
  <si>
    <t xml:space="preserve">PAT: 3; nad+7</t>
  </si>
  <si>
    <t xml:space="preserve">"dominovat-002"</t>
  </si>
  <si>
    <t xml:space="preserve">"domlouvat-001"</t>
  </si>
  <si>
    <t xml:space="preserve">PAT: ↓aby; ↓ať</t>
  </si>
  <si>
    <t xml:space="preserve">ADDR-&gt;ARG1/3</t>
  </si>
  <si>
    <t xml:space="preserve">"domlouvat-se-001"</t>
  </si>
  <si>
    <t xml:space="preserve">"domlouvat-se-002"</t>
  </si>
  <si>
    <t xml:space="preserve">"domluvit-001"</t>
  </si>
  <si>
    <t xml:space="preserve">"domluvit-002"</t>
  </si>
  <si>
    <t xml:space="preserve">"domluvit-003"</t>
  </si>
  <si>
    <t xml:space="preserve">"domluvit-se-001"</t>
  </si>
  <si>
    <t xml:space="preserve">"domluvit-se-002"</t>
  </si>
  <si>
    <t xml:space="preserve">ACT-&gt;ARG0/78</t>
  </si>
  <si>
    <t xml:space="preserve">PAT-&gt;ARG1/70</t>
  </si>
  <si>
    <t xml:space="preserve">"domnívat-se-001"</t>
  </si>
  <si>
    <t xml:space="preserve">ACT-&gt;ARG0/13417,ARG1/3147,ARG2/301</t>
  </si>
  <si>
    <t xml:space="preserve">ACT-&gt;ARG0/339,ARG1/3</t>
  </si>
  <si>
    <t xml:space="preserve">PAT: ↓že; .s</t>
  </si>
  <si>
    <t xml:space="preserve">PAT-&gt;ARG0/2,ARG1/1557,ARG2/3496,ARG3/29</t>
  </si>
  <si>
    <t xml:space="preserve">PAT-&gt;ARG1/367</t>
  </si>
  <si>
    <t xml:space="preserve">"domnívat-se-002"</t>
  </si>
  <si>
    <t xml:space="preserve">ACT-&gt;ARG0/799,ARG1/8</t>
  </si>
  <si>
    <t xml:space="preserve">ACT-&gt;ARG0/568,ARG1/5</t>
  </si>
  <si>
    <t xml:space="preserve">EFF: 4; ↓že; .s</t>
  </si>
  <si>
    <t xml:space="preserve">EFF-&gt;ARG1/841,ARG2/1</t>
  </si>
  <si>
    <t xml:space="preserve">EFF-&gt;ARG1/558,ARG2/2</t>
  </si>
  <si>
    <t xml:space="preserve">PAT-&gt;ARG1/2,ARG2/3</t>
  </si>
  <si>
    <t xml:space="preserve">PAT-&gt;ARG1/99,ARG2/4</t>
  </si>
  <si>
    <t xml:space="preserve">"domoci-se-001"</t>
  </si>
  <si>
    <t xml:space="preserve">"domyslet-001"</t>
  </si>
  <si>
    <t xml:space="preserve">PAT: 4; ↓zda; ↓jestli; ↓c</t>
  </si>
  <si>
    <t xml:space="preserve">"domáhat-se-001"</t>
  </si>
  <si>
    <t xml:space="preserve">ACT-&gt;ARG0/305,ARG2/1</t>
  </si>
  <si>
    <t xml:space="preserve">PAT-&gt;ARG1/419,ARG2/20</t>
  </si>
  <si>
    <t xml:space="preserve">ORIG-&gt;ARG1/4,ARG2/13</t>
  </si>
  <si>
    <t xml:space="preserve">"domýšlet-se-001"</t>
  </si>
  <si>
    <t xml:space="preserve">PAT: ↓že; ↓zda; ↓jestli; ↓c; .s</t>
  </si>
  <si>
    <t xml:space="preserve">"donosit-001"</t>
  </si>
  <si>
    <t xml:space="preserve">"donutit-001"</t>
  </si>
  <si>
    <t xml:space="preserve">PAT: k+3; ↓aby; ↓ať; .f; ↓že</t>
  </si>
  <si>
    <t xml:space="preserve">ACT-&gt;ARG0/370</t>
  </si>
  <si>
    <t xml:space="preserve">ACT-&gt;ARG0/352</t>
  </si>
  <si>
    <t xml:space="preserve">PAT-&gt;ARG0/1,ARG1/374,ARG2/191</t>
  </si>
  <si>
    <t xml:space="preserve">PAT-&gt;ARG1/282,ARG2/260</t>
  </si>
  <si>
    <t xml:space="preserve">ADDR-&gt;ARG1/518,ARG2/7</t>
  </si>
  <si>
    <t xml:space="preserve">ADDR-&gt;ARG0/1,ARG1/593,ARG2/8</t>
  </si>
  <si>
    <t xml:space="preserve">"donášet-001"</t>
  </si>
  <si>
    <t xml:space="preserve">"donášet-002"</t>
  </si>
  <si>
    <t xml:space="preserve">"donášet-003"</t>
  </si>
  <si>
    <t xml:space="preserve">"donést-001"</t>
  </si>
  <si>
    <t xml:space="preserve">"donést-002"</t>
  </si>
  <si>
    <t xml:space="preserve">ACT-&gt;ARG0/157</t>
  </si>
  <si>
    <t xml:space="preserve">PAT-&gt;ARG0/3</t>
  </si>
  <si>
    <t xml:space="preserve">PAT-&gt;ARG0/1,ARG1/299,ARG2/1</t>
  </si>
  <si>
    <t xml:space="preserve">DIR3-&gt;ARG1/3</t>
  </si>
  <si>
    <t xml:space="preserve">"donést-se-001"</t>
  </si>
  <si>
    <t xml:space="preserve">"donést-se-002"</t>
  </si>
  <si>
    <t xml:space="preserve">"dooblíknout-001"</t>
  </si>
  <si>
    <t xml:space="preserve">"doobědvat-001"</t>
  </si>
  <si>
    <t xml:space="preserve">"doopravit-001"</t>
  </si>
  <si>
    <t xml:space="preserve">"dopadat-001"</t>
  </si>
  <si>
    <t xml:space="preserve">ACT-&gt;ARG0/100</t>
  </si>
  <si>
    <t xml:space="preserve">ACT-&gt;ARG0/128,ARG1/3,ARG2/38</t>
  </si>
  <si>
    <t xml:space="preserve">ACT-&gt;ARG0/316,ARG1/3,ARG2/114</t>
  </si>
  <si>
    <t xml:space="preserve">PAT-&gt;ARG1/136</t>
  </si>
  <si>
    <t xml:space="preserve">PAT-&gt;ARG1/223,ARG2/4</t>
  </si>
  <si>
    <t xml:space="preserve">PAT-&gt;ARG1/567,ARG2/4</t>
  </si>
  <si>
    <t xml:space="preserve">"dopadat-002"</t>
  </si>
  <si>
    <t xml:space="preserve">"dopadat-003"</t>
  </si>
  <si>
    <t xml:space="preserve">"dopadnout-001"</t>
  </si>
  <si>
    <t xml:space="preserve">"dopadnout-002"</t>
  </si>
  <si>
    <t xml:space="preserve">ACT-&gt;ARG0/5,ARG2/1</t>
  </si>
  <si>
    <t xml:space="preserve">"dopadnout-003"</t>
  </si>
  <si>
    <t xml:space="preserve">"dopadnout-004"</t>
  </si>
  <si>
    <t xml:space="preserve">ACT-&gt;ARG1/33</t>
  </si>
  <si>
    <t xml:space="preserve">"dopadnout-005"</t>
  </si>
  <si>
    <t xml:space="preserve">ALT-RESL: *</t>
  </si>
  <si>
    <t xml:space="preserve">ACT-&gt;ARG0/64,ARG1/106,ARGm-MNR/2</t>
  </si>
  <si>
    <t xml:space="preserve">ACT-&gt;ARG1/171,ARG2/2</t>
  </si>
  <si>
    <t xml:space="preserve">BEN-&gt;ARG1/37,ARG2/113</t>
  </si>
  <si>
    <t xml:space="preserve">MANN-&gt;ARG1/61,ARG2/73,ARGm-MNR/22</t>
  </si>
  <si>
    <t xml:space="preserve">MANN-&gt;ARG1/37,ARG2/113</t>
  </si>
  <si>
    <t xml:space="preserve">ACMP-&gt;ARG2/6</t>
  </si>
  <si>
    <t xml:space="preserve">ACMP-&gt;ARG1/37,ARG2/113</t>
  </si>
  <si>
    <t xml:space="preserve">CRIT-&gt;ARG1/37,ARG2/113</t>
  </si>
  <si>
    <t xml:space="preserve">RESL-&gt;ARG1/37,ARG2/113</t>
  </si>
  <si>
    <t xml:space="preserve">"dopisovat-si-001"</t>
  </si>
  <si>
    <t xml:space="preserve">"doplatit-001"</t>
  </si>
  <si>
    <t xml:space="preserve">ACT-&gt;ARG0/376,ARG1/3,ARG2/1</t>
  </si>
  <si>
    <t xml:space="preserve">PAT-&gt;ARG1/528,ARG2/13,ARG3/26</t>
  </si>
  <si>
    <t xml:space="preserve">ADDR-&gt;ARG0/1,ARG1/12,ARG2/156,ARG3/4</t>
  </si>
  <si>
    <t xml:space="preserve">"doplatit-002"</t>
  </si>
  <si>
    <t xml:space="preserve">ACT-&gt;ARG1/124</t>
  </si>
  <si>
    <t xml:space="preserve">PAT-&gt;ARG1/151,ARG2/8</t>
  </si>
  <si>
    <t xml:space="preserve">PAT-&gt;ARG0/34,ARG2/77</t>
  </si>
  <si>
    <t xml:space="preserve">"doplatit-003"</t>
  </si>
  <si>
    <t xml:space="preserve">EXT-&gt;ARG1/528,ARG2/13,ARG3/26</t>
  </si>
  <si>
    <t xml:space="preserve">"doplavat-001"</t>
  </si>
  <si>
    <t xml:space="preserve">"doplazit-se-001"</t>
  </si>
  <si>
    <t xml:space="preserve">"doplnit-001"</t>
  </si>
  <si>
    <t xml:space="preserve">ACT-&gt;ARG0/148,ARG1/7,ARG2/27</t>
  </si>
  <si>
    <t xml:space="preserve">ACT-&gt;ARG0/9,ARG2/1</t>
  </si>
  <si>
    <t xml:space="preserve">PAT-&gt;ARG1/90,ARG2/1</t>
  </si>
  <si>
    <t xml:space="preserve">PAT-&gt;ARG1/38,ARG2/3</t>
  </si>
  <si>
    <t xml:space="preserve">?EFF: o+4; 7; .s; ↓c</t>
  </si>
  <si>
    <t xml:space="preserve">EFF-&gt;ARG0/26,ARG1/256</t>
  </si>
  <si>
    <t xml:space="preserve">EFF-&gt;ARG0/26,ARG1/2</t>
  </si>
  <si>
    <t xml:space="preserve">"doplnit-002"</t>
  </si>
  <si>
    <t xml:space="preserve">ACT-&gt;ARG0/453,ARG1/5</t>
  </si>
  <si>
    <t xml:space="preserve">EFF-&gt;ARG1/566</t>
  </si>
  <si>
    <t xml:space="preserve">"doplnit-003"</t>
  </si>
  <si>
    <t xml:space="preserve">EFF-&gt;ARG2/2,ARG3/37</t>
  </si>
  <si>
    <t xml:space="preserve">EFF-&gt;ARG1/1,ARG2/2</t>
  </si>
  <si>
    <t xml:space="preserve">"doplnit-004"</t>
  </si>
  <si>
    <t xml:space="preserve">?EFF: k+3</t>
  </si>
  <si>
    <t xml:space="preserve">"doplout-001"</t>
  </si>
  <si>
    <t xml:space="preserve">"doplácet-001"</t>
  </si>
  <si>
    <t xml:space="preserve">"doplácet-002"</t>
  </si>
  <si>
    <t xml:space="preserve">"doplácet-003"</t>
  </si>
  <si>
    <t xml:space="preserve">"doplňovat-001"</t>
  </si>
  <si>
    <t xml:space="preserve">ACT-&gt;ARG0/42,ARG1/3</t>
  </si>
  <si>
    <t xml:space="preserve">PAT-&gt;ARG1/49,ARG2/2</t>
  </si>
  <si>
    <t xml:space="preserve">?EFF: o+4; 7</t>
  </si>
  <si>
    <t xml:space="preserve">EFF-&gt;ARG1/2,ARG2/24</t>
  </si>
  <si>
    <t xml:space="preserve">"doplňovat-002"</t>
  </si>
  <si>
    <t xml:space="preserve">"doplňovat-003"</t>
  </si>
  <si>
    <t xml:space="preserve">"doplňovat-se-001"</t>
  </si>
  <si>
    <t xml:space="preserve">"dopomoci-001"</t>
  </si>
  <si>
    <t xml:space="preserve">?PAT: k+3; .f</t>
  </si>
  <si>
    <t xml:space="preserve">"dopomáhat-001"</t>
  </si>
  <si>
    <t xml:space="preserve">"doporučit-001"</t>
  </si>
  <si>
    <t xml:space="preserve">ACT-&gt;ARG0/113</t>
  </si>
  <si>
    <t xml:space="preserve">PAT: 4; .f; ↓že; ↓aby; ↓ať; ↓c; .s</t>
  </si>
  <si>
    <t xml:space="preserve">PAT-&gt;ARG1/69,ARG2/99,ARG3/1</t>
  </si>
  <si>
    <t xml:space="preserve">PAT-&gt;ARG1/68,ARG2/63,ARG3/1</t>
  </si>
  <si>
    <t xml:space="preserve">ADDR-&gt;ARG1/95,ARG2/9</t>
  </si>
  <si>
    <t xml:space="preserve">ADDR-&gt;ARG1/58,ARG2/6</t>
  </si>
  <si>
    <t xml:space="preserve">"doporučit-002"</t>
  </si>
  <si>
    <t xml:space="preserve">PAT-&gt;ARG1/68,ARG3/1</t>
  </si>
  <si>
    <t xml:space="preserve">PAT-&gt;ARG1/329,ARG2/8</t>
  </si>
  <si>
    <t xml:space="preserve">"doporučovat-001"</t>
  </si>
  <si>
    <t xml:space="preserve">ACT-&gt;ARG0/326</t>
  </si>
  <si>
    <t xml:space="preserve">PAT-&gt;ARG1/331,ARG2/61,ARG3/1</t>
  </si>
  <si>
    <t xml:space="preserve">ADDR-&gt;ARG1/62,ARG2/8</t>
  </si>
  <si>
    <t xml:space="preserve">"dopouštět-se-001"</t>
  </si>
  <si>
    <t xml:space="preserve">"dopovat-001"</t>
  </si>
  <si>
    <t xml:space="preserve">"dopovat-002"</t>
  </si>
  <si>
    <t xml:space="preserve">"dopovídat-001"</t>
  </si>
  <si>
    <t xml:space="preserve">"dopovědět-001"</t>
  </si>
  <si>
    <t xml:space="preserve">"dopočítat-001"</t>
  </si>
  <si>
    <t xml:space="preserve">"dopočítat-se-001"</t>
  </si>
  <si>
    <t xml:space="preserve">PAT: 2; k+3</t>
  </si>
  <si>
    <t xml:space="preserve">"dopočítávat-001"</t>
  </si>
  <si>
    <t xml:space="preserve">"dopočítávat-002"</t>
  </si>
  <si>
    <t xml:space="preserve">"dopracovat-001"</t>
  </si>
  <si>
    <t xml:space="preserve">"dopracovat-se-001"</t>
  </si>
  <si>
    <t xml:space="preserve">ACT-&gt;ARG0/186</t>
  </si>
  <si>
    <t xml:space="preserve">"dopravit-001"</t>
  </si>
  <si>
    <t xml:space="preserve">"dopravit-002"</t>
  </si>
  <si>
    <t xml:space="preserve">ACT-&gt;ARG0/303,ARG1/1</t>
  </si>
  <si>
    <t xml:space="preserve">PAT-&gt;ARG1/78,ARG2/1</t>
  </si>
  <si>
    <t xml:space="preserve">PAT-&gt;ARG0/1,ARG1/605,ARG2/1</t>
  </si>
  <si>
    <t xml:space="preserve">DIR3-&gt;ARG1/1</t>
  </si>
  <si>
    <t xml:space="preserve">DIR3-&gt;ARG1/1,ARG2/118</t>
  </si>
  <si>
    <t xml:space="preserve">"dopravovat-001"</t>
  </si>
  <si>
    <t xml:space="preserve">DIR3-&gt;ARG1/1,ARG2/110</t>
  </si>
  <si>
    <t xml:space="preserve">"doprodat-001"</t>
  </si>
  <si>
    <t xml:space="preserve">"doprodávat-001"</t>
  </si>
  <si>
    <t xml:space="preserve">"doprovodit-001"</t>
  </si>
  <si>
    <t xml:space="preserve">"doprovodit-002"</t>
  </si>
  <si>
    <t xml:space="preserve">ACT-&gt;ARG0/26</t>
  </si>
  <si>
    <t xml:space="preserve">"doprovodit-003"</t>
  </si>
  <si>
    <t xml:space="preserve">"doprovázet-001"</t>
  </si>
  <si>
    <t xml:space="preserve">"doprovázet-002"</t>
  </si>
  <si>
    <t xml:space="preserve">"doprovázet-003"</t>
  </si>
  <si>
    <t xml:space="preserve">ACT-&gt;ARG0/28,ARG1/121</t>
  </si>
  <si>
    <t xml:space="preserve">PAT-&gt;ARG1/26,ARG2/89</t>
  </si>
  <si>
    <t xml:space="preserve">"doprovázet-004"</t>
  </si>
  <si>
    <t xml:space="preserve">ACT-&gt;ARG1/23</t>
  </si>
  <si>
    <t xml:space="preserve">PAT-&gt;ARG0/26</t>
  </si>
  <si>
    <t xml:space="preserve">"dopustit-001"</t>
  </si>
  <si>
    <t xml:space="preserve">PAT: 4; ↓aby; .f; ↓že</t>
  </si>
  <si>
    <t xml:space="preserve">PAT-&gt;ARG1/119</t>
  </si>
  <si>
    <t xml:space="preserve">"dopustit-se-001"</t>
  </si>
  <si>
    <t xml:space="preserve">ACT-&gt;ARG0/312,ARG1/3</t>
  </si>
  <si>
    <t xml:space="preserve">PAT-&gt;ARG1/406,ARG2/36</t>
  </si>
  <si>
    <t xml:space="preserve">"doputovat-001"</t>
  </si>
  <si>
    <t xml:space="preserve">"dopátrat-se-001"</t>
  </si>
  <si>
    <t xml:space="preserve">PAT: 2; ↓c</t>
  </si>
  <si>
    <t xml:space="preserve">"dopéci-001"</t>
  </si>
  <si>
    <t xml:space="preserve">"dopéci-002"</t>
  </si>
  <si>
    <t xml:space="preserve">PAT: ↓c; 4</t>
  </si>
  <si>
    <t xml:space="preserve">"dopřipravit-se-001"</t>
  </si>
  <si>
    <t xml:space="preserve">?PAT: na+4; k+3</t>
  </si>
  <si>
    <t xml:space="preserve">"dopřát-001"</t>
  </si>
  <si>
    <t xml:space="preserve">"dopřát-si-001"</t>
  </si>
  <si>
    <t xml:space="preserve">PAT: 4; .f; ↓c</t>
  </si>
  <si>
    <t xml:space="preserve">"dopřávat-001"</t>
  </si>
  <si>
    <t xml:space="preserve">"dopřávat-si-001"</t>
  </si>
  <si>
    <t xml:space="preserve">ACT-&gt;ARG0/51</t>
  </si>
  <si>
    <t xml:space="preserve">PAT-&gt;ARG1/4,ARG2/1</t>
  </si>
  <si>
    <t xml:space="preserve">PAT-&gt;ARG1/65,ARG2/1</t>
  </si>
  <si>
    <t xml:space="preserve">"dorazit-001"</t>
  </si>
  <si>
    <t xml:space="preserve">"dorazit-002"</t>
  </si>
  <si>
    <t xml:space="preserve">"dorazit-003"</t>
  </si>
  <si>
    <t xml:space="preserve">"dorazit-004"</t>
  </si>
  <si>
    <t xml:space="preserve">"dorazit-005"</t>
  </si>
  <si>
    <t xml:space="preserve">ACT-&gt;ARG0/90,ARG1/103</t>
  </si>
  <si>
    <t xml:space="preserve">DIR3-&gt;ARG1/127</t>
  </si>
  <si>
    <t xml:space="preserve">"dorazit-006"</t>
  </si>
  <si>
    <t xml:space="preserve">"dorovnat-001"</t>
  </si>
  <si>
    <t xml:space="preserve">"dorozumívat-se-001"</t>
  </si>
  <si>
    <t xml:space="preserve">PAT: o+6; na+6; ↓že; ↓aby; ↓c</t>
  </si>
  <si>
    <t xml:space="preserve">"dorozumět-se-001"</t>
  </si>
  <si>
    <t xml:space="preserve">"dorozumět-se-002"</t>
  </si>
  <si>
    <t xml:space="preserve">"doručit-001"</t>
  </si>
  <si>
    <t xml:space="preserve">ACT-&gt;ARG0/359,ARG1/2</t>
  </si>
  <si>
    <t xml:space="preserve">PAT-&gt;ARG0/1,ARG1/431</t>
  </si>
  <si>
    <t xml:space="preserve">"doručit-002"</t>
  </si>
  <si>
    <t xml:space="preserve">ACT-&gt;ARG0/421,ARG1/16</t>
  </si>
  <si>
    <t xml:space="preserve">ACT-&gt;ARG0/248</t>
  </si>
  <si>
    <t xml:space="preserve">PAT-&gt;ARG0/14,ARG1/530,ARG2/1</t>
  </si>
  <si>
    <t xml:space="preserve">PAT-&gt;ARG0/2,ARG1/468,ARG2/2</t>
  </si>
  <si>
    <t xml:space="preserve">DIR3-&gt;ARG2/14</t>
  </si>
  <si>
    <t xml:space="preserve">DIR3-&gt;ARG2/16</t>
  </si>
  <si>
    <t xml:space="preserve">"doručovat-001"</t>
  </si>
  <si>
    <t xml:space="preserve">PAT-&gt;ARG0/1,ARG1/65</t>
  </si>
  <si>
    <t xml:space="preserve">"doručovat-002"</t>
  </si>
  <si>
    <t xml:space="preserve">"dorážet-001"</t>
  </si>
  <si>
    <t xml:space="preserve">"dorážet-002"</t>
  </si>
  <si>
    <t xml:space="preserve">"dorůst-001"</t>
  </si>
  <si>
    <t xml:space="preserve">PAT: v+4; do+2</t>
  </si>
  <si>
    <t xml:space="preserve">"dorůst-002"</t>
  </si>
  <si>
    <t xml:space="preserve">"dorůstat-001"</t>
  </si>
  <si>
    <t xml:space="preserve">"dosadit-001"</t>
  </si>
  <si>
    <t xml:space="preserve">ACT-&gt;ARG0/156,ARG1/1</t>
  </si>
  <si>
    <t xml:space="preserve">PAT-&gt;ARG1/147</t>
  </si>
  <si>
    <t xml:space="preserve">PAT-&gt;ARG1/255,ARG2/3</t>
  </si>
  <si>
    <t xml:space="preserve">DIR3-&gt;ARG2/2</t>
  </si>
  <si>
    <t xml:space="preserve">"dosahovat-001"</t>
  </si>
  <si>
    <t xml:space="preserve">ACT-&gt;ARG0/249,ARG1/6</t>
  </si>
  <si>
    <t xml:space="preserve">PAT-&gt;ARG1/341,ARG4/1</t>
  </si>
  <si>
    <t xml:space="preserve">ORIG-&gt;ARG1/3,ARG2/30</t>
  </si>
  <si>
    <t xml:space="preserve">"dosahovat-002"</t>
  </si>
  <si>
    <t xml:space="preserve">ACT-&gt;ARG0/2318,ARG1/4608,ARG2/303</t>
  </si>
  <si>
    <t xml:space="preserve">ACT-&gt;ARG0/58,ARG1/316,ARG2/2</t>
  </si>
  <si>
    <t xml:space="preserve">PAT-&gt;ARG0/2,ARG1/2639,ARG2/3967,ARG4/773</t>
  </si>
  <si>
    <t xml:space="preserve">PAT-&gt;ARG0/3,ARG1/52,ARG2/405,ARG3/5</t>
  </si>
  <si>
    <t xml:space="preserve">"dosahovat-003"</t>
  </si>
  <si>
    <t xml:space="preserve">"dosahovat-004"</t>
  </si>
  <si>
    <t xml:space="preserve">"dosazovat-001"</t>
  </si>
  <si>
    <t xml:space="preserve">"dosekat-001"</t>
  </si>
  <si>
    <t xml:space="preserve">"doslechnout-se-001"</t>
  </si>
  <si>
    <t xml:space="preserve">PAT: 4; o+6; ↓jak-2; ↓c; ↓zda; ↓že; ↓jestli</t>
  </si>
  <si>
    <t xml:space="preserve">?ORIG: z+2; od+2; odtud; odsud; odkudkoliv; odevšad; odtamtud; odjinud; odkud; odněkud; odnikud; odkudsi</t>
  </si>
  <si>
    <t xml:space="preserve">"doslechnout-se-002"</t>
  </si>
  <si>
    <t xml:space="preserve">ACT-&gt;ARG0/103</t>
  </si>
  <si>
    <t xml:space="preserve">EFF: 4; ↓že; ↓zda; ↓jak-2; ↓jestli; ↓c; .s</t>
  </si>
  <si>
    <t xml:space="preserve">EFF-&gt;ARG1/173,ARG3/2</t>
  </si>
  <si>
    <t xml:space="preserve">PAT-&gt;ARG1/173,ARG3/2</t>
  </si>
  <si>
    <t xml:space="preserve">ORIG-&gt;ARG2/27</t>
  </si>
  <si>
    <t xml:space="preserve">"dosloužit-001"</t>
  </si>
  <si>
    <t xml:space="preserve">ACT-&gt;ARG0/70,ARG1/205</t>
  </si>
  <si>
    <t xml:space="preserve">"dosloužit-002"</t>
  </si>
  <si>
    <t xml:space="preserve">"dosluhovat-001"</t>
  </si>
  <si>
    <t xml:space="preserve">"doslýchat-se-001"</t>
  </si>
  <si>
    <t xml:space="preserve">ACT-&gt;ARG0/200</t>
  </si>
  <si>
    <t xml:space="preserve">EFF: 4; ↓že; ↓jak-2; ↓jestli; ↓zda; ↓c; .s</t>
  </si>
  <si>
    <t xml:space="preserve">EFF-&gt;ARG1/29</t>
  </si>
  <si>
    <t xml:space="preserve">EFF-&gt;ARG1/290,ARG3/2</t>
  </si>
  <si>
    <t xml:space="preserve">PAT-&gt;ARG1/290,ARG3/2</t>
  </si>
  <si>
    <t xml:space="preserve">?ORIG: od+2; strana-3.S2[z-1,.2]</t>
  </si>
  <si>
    <t xml:space="preserve">ORIG-&gt;ARG2/7</t>
  </si>
  <si>
    <t xml:space="preserve">ORIG-&gt;ARG2/42</t>
  </si>
  <si>
    <t xml:space="preserve">"dospívat-001"</t>
  </si>
  <si>
    <t xml:space="preserve">PAT: v+4</t>
  </si>
  <si>
    <t xml:space="preserve">"dospívat-002"</t>
  </si>
  <si>
    <t xml:space="preserve">ACT-&gt;ARG0/162</t>
  </si>
  <si>
    <t xml:space="preserve">PAT-&gt;ARG1/215</t>
  </si>
  <si>
    <t xml:space="preserve">"dospívat-003"</t>
  </si>
  <si>
    <t xml:space="preserve">"dospívat-004"</t>
  </si>
  <si>
    <t xml:space="preserve">ACT-&gt;ARG1/29</t>
  </si>
  <si>
    <t xml:space="preserve">ACT-&gt;ARG1/160,ARG2/1</t>
  </si>
  <si>
    <t xml:space="preserve">"dospět-001"</t>
  </si>
  <si>
    <t xml:space="preserve">"dospět-002"</t>
  </si>
  <si>
    <t xml:space="preserve">ACT-&gt;ARG0/2963,ARG1/149</t>
  </si>
  <si>
    <t xml:space="preserve">ACT-&gt;ARG0/354,ARG1/19</t>
  </si>
  <si>
    <t xml:space="preserve">PAT-&gt;ARG0/1,ARG1/3424,ARG2/3,ARG4/4</t>
  </si>
  <si>
    <t xml:space="preserve">PAT-&gt;ARG1/470,ARG4/3</t>
  </si>
  <si>
    <t xml:space="preserve">"dospět-003"</t>
  </si>
  <si>
    <t xml:space="preserve">ACT-&gt;ARG0/69,ARG1/31</t>
  </si>
  <si>
    <t xml:space="preserve">DIR3-&gt;ARG1/50</t>
  </si>
  <si>
    <t xml:space="preserve">"dospět-004"</t>
  </si>
  <si>
    <t xml:space="preserve">ACT-&gt;ARG1/31</t>
  </si>
  <si>
    <t xml:space="preserve">"dospět-005"</t>
  </si>
  <si>
    <t xml:space="preserve">ACT-&gt;ARG0/36,ARG1/8</t>
  </si>
  <si>
    <t xml:space="preserve">"dostat-001"</t>
  </si>
  <si>
    <t xml:space="preserve">PAT: 4; ↓c; .f</t>
  </si>
  <si>
    <t xml:space="preserve">ACT-&gt;ARG0/2996,ARG1/64,ARG2/365</t>
  </si>
  <si>
    <t xml:space="preserve">ACT-&gt;ARG0/1886,ARG1/21</t>
  </si>
  <si>
    <t xml:space="preserve">PAT-&gt;ARG0/1,ARG1/4176,ARG2/57,ARG4/1</t>
  </si>
  <si>
    <t xml:space="preserve">PAT-&gt;ARG1/2708,ARG2/4,ARG4/2</t>
  </si>
  <si>
    <t xml:space="preserve">ORIG-&gt;ARG0/74,ARG1/6,ARG2/137,ARG3/5</t>
  </si>
  <si>
    <t xml:space="preserve">ORIG-&gt;ARG1/15,ARG2/333,ARG3/13</t>
  </si>
  <si>
    <t xml:space="preserve">"dostat-002"</t>
  </si>
  <si>
    <t xml:space="preserve">ACT-&gt;ARG0/2158,ARG1/19</t>
  </si>
  <si>
    <t xml:space="preserve">PAT-&gt;ARG0/1,ARG1/2261</t>
  </si>
  <si>
    <t xml:space="preserve">"dostat-003"</t>
  </si>
  <si>
    <t xml:space="preserve">ACT-&gt;ARG0/2739,ARG1/264,ARG2/1</t>
  </si>
  <si>
    <t xml:space="preserve">PAT-&gt;ARG0/1,ARG1/2963,ARG2/141,ARG4/1</t>
  </si>
  <si>
    <t xml:space="preserve">ORIG-&gt;ARG0/1,ARG1/5,ARG2/117,ARG3/5</t>
  </si>
  <si>
    <t xml:space="preserve">"dostat-004"</t>
  </si>
  <si>
    <t xml:space="preserve">"dostat-005"</t>
  </si>
  <si>
    <t xml:space="preserve">PAT: 4; ↓že; ↓aby; .f</t>
  </si>
  <si>
    <t xml:space="preserve">EFF: za+4; 7; :4[{jako,jakožto}:/AuxY]</t>
  </si>
  <si>
    <t xml:space="preserve">"dostat-006"</t>
  </si>
  <si>
    <t xml:space="preserve">DIR1: =</t>
  </si>
  <si>
    <t xml:space="preserve">"dostat-007"</t>
  </si>
  <si>
    <t xml:space="preserve">ACT-&gt;ARG0/368,ARG1/1</t>
  </si>
  <si>
    <t xml:space="preserve">PAT-&gt;ARG1/503,ARG2/1</t>
  </si>
  <si>
    <t xml:space="preserve">"dostat-008"</t>
  </si>
  <si>
    <t xml:space="preserve">"dostat-009"</t>
  </si>
  <si>
    <t xml:space="preserve">ACT-&gt;ARG0/509,ARG1/3</t>
  </si>
  <si>
    <t xml:space="preserve">ACT-&gt;ARG0/164,ARG1/1</t>
  </si>
  <si>
    <t xml:space="preserve">DIR3-&gt;ARG1/180,ARG2/31</t>
  </si>
  <si>
    <t xml:space="preserve">DIR3-&gt;ARG1/19,ARG2/22,ARG3/37</t>
  </si>
  <si>
    <t xml:space="preserve">"dostat-010"</t>
  </si>
  <si>
    <t xml:space="preserve">ACT-&gt;ARG0/171,ARG1/2</t>
  </si>
  <si>
    <t xml:space="preserve">PAT-&gt;ARG1/273</t>
  </si>
  <si>
    <t xml:space="preserve">DIR3-&gt;ARG1/17</t>
  </si>
  <si>
    <t xml:space="preserve">"dostat-011"</t>
  </si>
  <si>
    <t xml:space="preserve">ACT-&gt;ARG0/302,ARG1/6</t>
  </si>
  <si>
    <t xml:space="preserve">ACT-&gt;ARG0/440,ARG1/25</t>
  </si>
  <si>
    <t xml:space="preserve">PAT-&gt;ARG1/397,ARG4/1</t>
  </si>
  <si>
    <t xml:space="preserve">PAT-&gt;ARG1/697,ARG2/2,ARG4/1</t>
  </si>
  <si>
    <t xml:space="preserve">"dostat-012"</t>
  </si>
  <si>
    <t xml:space="preserve">"dostat-013"</t>
  </si>
  <si>
    <t xml:space="preserve">"dostat-014"</t>
  </si>
  <si>
    <t xml:space="preserve">CPHR: {doporučení,dotaz,impuls,informace,lekce,možnost,nabídka,návrh,odpověď,odškodnění,otázka,pokuta,pokyn,posudek,povolení,právo,právo,prostor,přednost,příkaz,příležitost,příslib,přístup,rada,rozkaz,sleva,slib,souhlas,stížnost,svolení,šance,trest,ujištění,úkol,výpověď,vysvětlení,zákaz,zpráva,...}.4</t>
  </si>
  <si>
    <t xml:space="preserve">?ORIG: z+2; od+2</t>
  </si>
  <si>
    <t xml:space="preserve">ACT-&gt;ARG0/3052,ARG1/30</t>
  </si>
  <si>
    <t xml:space="preserve">CPHR-&gt;ARG0/1,ARG1/3360,ARG4/1</t>
  </si>
  <si>
    <t xml:space="preserve">ORIG-&gt;ARG1/5,ARG2/118,ARG3/5</t>
  </si>
  <si>
    <t xml:space="preserve">CPHR-&gt;ARG1/341,ARG4/1</t>
  </si>
  <si>
    <t xml:space="preserve">ACT-&gt;ARG0/336,ARG1/2</t>
  </si>
  <si>
    <t xml:space="preserve">CPHR-&gt;ARG1/366</t>
  </si>
  <si>
    <t xml:space="preserve">ORIG-&gt;ARG1/2,ARG2/87,ARG3/5</t>
  </si>
  <si>
    <t xml:space="preserve">ACT-&gt;ARG0/2490,ARG1/21</t>
  </si>
  <si>
    <t xml:space="preserve">CPHR-&gt;ARG0/1,ARG1/2622</t>
  </si>
  <si>
    <t xml:space="preserve">ACT-&gt;ARG0/585,ARG1/8</t>
  </si>
  <si>
    <t xml:space="preserve">CPHR-&gt;ARG1/707,ARG4/1</t>
  </si>
  <si>
    <t xml:space="preserve">ACT-&gt;ARG0/2516,ARG1/21</t>
  </si>
  <si>
    <t xml:space="preserve">CPHR-&gt;ARG0/1,ARG1/2651</t>
  </si>
  <si>
    <t xml:space="preserve">CPHR-&gt;ARG1/1524,ARG2/2,ARG4/1</t>
  </si>
  <si>
    <t xml:space="preserve">ORIG-&gt;ARG1/3,ARG2/89,ARG3/5</t>
  </si>
  <si>
    <t xml:space="preserve">ACT-&gt;ARG0/408,ARG1/2</t>
  </si>
  <si>
    <t xml:space="preserve">CPHR-&gt;ARG1/454</t>
  </si>
  <si>
    <t xml:space="preserve">"dostat-015"</t>
  </si>
  <si>
    <t xml:space="preserve">CPHR: {chuť,nápad,...}.4</t>
  </si>
  <si>
    <t xml:space="preserve">CPHR-&gt;ARG0/1,ARG1/2256</t>
  </si>
  <si>
    <t xml:space="preserve">"dostat-016"</t>
  </si>
  <si>
    <t xml:space="preserve">ACT-&gt;ARG0/830,ARG1/11</t>
  </si>
  <si>
    <t xml:space="preserve">DPHR: do-1[vínek.S2]</t>
  </si>
  <si>
    <t xml:space="preserve">PAT-&gt;ARG1/1184,ARG2/2,ARG4/1</t>
  </si>
  <si>
    <t xml:space="preserve">"dostat-017"</t>
  </si>
  <si>
    <t xml:space="preserve">"dostat-018"</t>
  </si>
  <si>
    <t xml:space="preserve">DPHR: na-1[starost.4]</t>
  </si>
  <si>
    <t xml:space="preserve">"dostat-019"</t>
  </si>
  <si>
    <t xml:space="preserve">DPHR: kanár.S4</t>
  </si>
  <si>
    <t xml:space="preserve">"dostat-020"</t>
  </si>
  <si>
    <t xml:space="preserve">DPHR: na-1[frak.S4]</t>
  </si>
  <si>
    <t xml:space="preserve">"dostat-021"</t>
  </si>
  <si>
    <t xml:space="preserve">DPHR: na-1[zadek.S4]</t>
  </si>
  <si>
    <t xml:space="preserve">"dostat-022"</t>
  </si>
  <si>
    <t xml:space="preserve">DPHR: přes-1[prst.P4]</t>
  </si>
  <si>
    <t xml:space="preserve">"dostat-023"</t>
  </si>
  <si>
    <t xml:space="preserve">DPHR: ruka.S4[volný.#]</t>
  </si>
  <si>
    <t xml:space="preserve">"dostat-024"</t>
  </si>
  <si>
    <t xml:space="preserve">DPHR: spád.S4</t>
  </si>
  <si>
    <t xml:space="preserve">"dostat-025"</t>
  </si>
  <si>
    <t xml:space="preserve">DPHR: zabrat</t>
  </si>
  <si>
    <t xml:space="preserve">"dostat-026"</t>
  </si>
  <si>
    <t xml:space="preserve">DPHR: zelený.FS4</t>
  </si>
  <si>
    <t xml:space="preserve">"dostat-027"</t>
  </si>
  <si>
    <t xml:space="preserve">DPHR: hodně[muzika.S2]</t>
  </si>
  <si>
    <t xml:space="preserve">DPHR-&gt;ARG1/341,ARG4/1</t>
  </si>
  <si>
    <t xml:space="preserve">DPHR-&gt;ARG1/1524,ARG2/2,ARG4/1</t>
  </si>
  <si>
    <t xml:space="preserve">"dostat-028"</t>
  </si>
  <si>
    <t xml:space="preserve">DPHR: co-5,proto-1</t>
  </si>
  <si>
    <t xml:space="preserve">"dostat-029"</t>
  </si>
  <si>
    <t xml:space="preserve">DPHR: za-1[vyučený.S4]</t>
  </si>
  <si>
    <t xml:space="preserve">DPHR-&gt;ARG1/88</t>
  </si>
  <si>
    <t xml:space="preserve">"dostat-se-001"</t>
  </si>
  <si>
    <t xml:space="preserve">ACT-&gt;ARG0/74,ARG1/2</t>
  </si>
  <si>
    <t xml:space="preserve">PAT-&gt;ARG1/89</t>
  </si>
  <si>
    <t xml:space="preserve">"dostat-se-002"</t>
  </si>
  <si>
    <t xml:space="preserve">PAT: 2; 1</t>
  </si>
  <si>
    <t xml:space="preserve">ACT-&gt;ARG0/585,ARG1/12,ARG2/22</t>
  </si>
  <si>
    <t xml:space="preserve">PAT-&gt;ARG1/736,ARG4/1</t>
  </si>
  <si>
    <t xml:space="preserve">ORIG-&gt;ARG1/5,ARG2/117,ARG3/5</t>
  </si>
  <si>
    <t xml:space="preserve">"dostat-se-003"</t>
  </si>
  <si>
    <t xml:space="preserve">ACT: 1; 2</t>
  </si>
  <si>
    <t xml:space="preserve">"dostat-se-004"</t>
  </si>
  <si>
    <t xml:space="preserve">ACT-&gt;ARG0/452,ARG1/61</t>
  </si>
  <si>
    <t xml:space="preserve">PAT-&gt;ARG1/565,ARG2/26,ARG4/1</t>
  </si>
  <si>
    <t xml:space="preserve">"dostat-se-005"</t>
  </si>
  <si>
    <t xml:space="preserve">ALT-COMPL: *</t>
  </si>
  <si>
    <t xml:space="preserve">"dostat-se-006"</t>
  </si>
  <si>
    <t xml:space="preserve">ACT-&gt;ARG0/24,ARG1/28</t>
  </si>
  <si>
    <t xml:space="preserve">ACT-&gt;ARG0/57,ARG1/1</t>
  </si>
  <si>
    <t xml:space="preserve">DIR1-&gt;ARGm-MNR/1</t>
  </si>
  <si>
    <t xml:space="preserve">DIR1-&gt;ARG1/17,ARG2/1</t>
  </si>
  <si>
    <t xml:space="preserve">"dostat-se-007"</t>
  </si>
  <si>
    <t xml:space="preserve">ACT-&gt;ARG0/84,ARG1/869,ARG2/4</t>
  </si>
  <si>
    <t xml:space="preserve">DIR3-&gt;ARG0/19,ARG1/77,ARG2/437</t>
  </si>
  <si>
    <t xml:space="preserve">"dostat-se-008"</t>
  </si>
  <si>
    <t xml:space="preserve">ACT-&gt;ARG0/515,ARG1/4088,ARG2/304</t>
  </si>
  <si>
    <t xml:space="preserve">DIR3-&gt;ARG1/855,ARG2/3924,ARG4/1</t>
  </si>
  <si>
    <t xml:space="preserve">"dostat-se-009"</t>
  </si>
  <si>
    <t xml:space="preserve">"dostat-se-010"</t>
  </si>
  <si>
    <t xml:space="preserve">CPHR: do-1[{kontakt,konflikt,spor,styk,...}.2]</t>
  </si>
  <si>
    <t xml:space="preserve">ACT-&gt;ARG0/5,ARG1/127</t>
  </si>
  <si>
    <t xml:space="preserve">CPHR-&gt;ARG1/1,ARG2/91</t>
  </si>
  <si>
    <t xml:space="preserve">CPHR-&gt;ARG2/5</t>
  </si>
  <si>
    <t xml:space="preserve">"dostat-se-011"</t>
  </si>
  <si>
    <t xml:space="preserve">DPHR: do-1[úzký.FP2]</t>
  </si>
  <si>
    <t xml:space="preserve">"dostat-se-012"</t>
  </si>
  <si>
    <t xml:space="preserve">DPHR: na-1[led:S4[tenký:#]]</t>
  </si>
  <si>
    <t xml:space="preserve">"dostat-se-013"</t>
  </si>
  <si>
    <t xml:space="preserve">DPHR: na-1[přetřes.S4]</t>
  </si>
  <si>
    <t xml:space="preserve">"dostat-se-014"</t>
  </si>
  <si>
    <t xml:space="preserve">ACT-&gt;ARG0/90</t>
  </si>
  <si>
    <t xml:space="preserve">DPHR: do-1[ulička.S2[slepý.#]]</t>
  </si>
  <si>
    <t xml:space="preserve">DPHR-&gt;ARG1/127</t>
  </si>
  <si>
    <t xml:space="preserve">"dostat-se-015"</t>
  </si>
  <si>
    <t xml:space="preserve">"dostat-se-016"</t>
  </si>
  <si>
    <t xml:space="preserve">DPHR: pod-1[čepec.S4]</t>
  </si>
  <si>
    <t xml:space="preserve">"dostavit-se-001"</t>
  </si>
  <si>
    <t xml:space="preserve">ACT-&gt;ARG0/29,ARG1/61</t>
  </si>
  <si>
    <t xml:space="preserve">ACT-&gt;ARG0/75,ARG1/82</t>
  </si>
  <si>
    <t xml:space="preserve">"dostavit-se-002"</t>
  </si>
  <si>
    <t xml:space="preserve">ACT-&gt;ARG1/742,ARG4/1</t>
  </si>
  <si>
    <t xml:space="preserve">"dostavovat-se-001"</t>
  </si>
  <si>
    <t xml:space="preserve">"dostavovat-se-002"</t>
  </si>
  <si>
    <t xml:space="preserve">"dostavět-001"</t>
  </si>
  <si>
    <t xml:space="preserve">"dostačovat-001"</t>
  </si>
  <si>
    <t xml:space="preserve">ACT: 1; .f; ↓že; ↓aby; ↓když</t>
  </si>
  <si>
    <t xml:space="preserve">"dostihnout-001"</t>
  </si>
  <si>
    <t xml:space="preserve">ACT-&gt;ARG0/12,ARG1/4</t>
  </si>
  <si>
    <t xml:space="preserve">PAT-&gt;ARG1/14,ARG2/7</t>
  </si>
  <si>
    <t xml:space="preserve">"dostopovat-001"</t>
  </si>
  <si>
    <t xml:space="preserve">"dostoupit-001"</t>
  </si>
  <si>
    <t xml:space="preserve">"dostoupit-002"</t>
  </si>
  <si>
    <t xml:space="preserve">"dostrkat-001"</t>
  </si>
  <si>
    <t xml:space="preserve">"dostudovat-001"</t>
  </si>
  <si>
    <t xml:space="preserve">"dostudovat-002"</t>
  </si>
  <si>
    <t xml:space="preserve">"dostudovávat-001"</t>
  </si>
  <si>
    <t xml:space="preserve">"dostát-001"</t>
  </si>
  <si>
    <t xml:space="preserve">ACT-&gt;ARG0/54,ARG1/50</t>
  </si>
  <si>
    <t xml:space="preserve">PAT-&gt;ARG1/140,ARG2/43</t>
  </si>
  <si>
    <t xml:space="preserve">"dostávat-001"</t>
  </si>
  <si>
    <t xml:space="preserve">ACT-&gt;ARG0/764,ARG1/15,ARG2/437,ARG3/4</t>
  </si>
  <si>
    <t xml:space="preserve">PAT-&gt;ARG1/1661,ARG2/12,ARG3/9,ARG4/1</t>
  </si>
  <si>
    <t xml:space="preserve">ORIG-&gt;ARG1/7,ARG2/122,ARG3/12</t>
  </si>
  <si>
    <t xml:space="preserve">"dostávat-002"</t>
  </si>
  <si>
    <t xml:space="preserve">ACT-&gt;ARG0/1,ARG1/1,ARG2/128,ARG3/4</t>
  </si>
  <si>
    <t xml:space="preserve">PAT-&gt;ARG1/337,ARG2/11,ARG3/9</t>
  </si>
  <si>
    <t xml:space="preserve">"dostávat-003"</t>
  </si>
  <si>
    <t xml:space="preserve">"dostávat-004"</t>
  </si>
  <si>
    <t xml:space="preserve">"dostávat-005"</t>
  </si>
  <si>
    <t xml:space="preserve">"dostávat-006"</t>
  </si>
  <si>
    <t xml:space="preserve">"dostávat-007"</t>
  </si>
  <si>
    <t xml:space="preserve">"dostávat-008"</t>
  </si>
  <si>
    <t xml:space="preserve">"dostávat-009"</t>
  </si>
  <si>
    <t xml:space="preserve">"dostávat-010"</t>
  </si>
  <si>
    <t xml:space="preserve">"dostávat-011"</t>
  </si>
  <si>
    <t xml:space="preserve">"dostávat-012"</t>
  </si>
  <si>
    <t xml:space="preserve">"dostávat-013"</t>
  </si>
  <si>
    <t xml:space="preserve">CPHR: {doporučení,impuls,lekce,možnost,nabídka,návrh,odpověď,pokuta,povolení,prostor,přednost,příkaz,příležitost,příslib,přístup,rozkaz,slib,souhlas,ujištění,úkol,zákaz,zpráva,...}.4</t>
  </si>
  <si>
    <t xml:space="preserve">CPHR-&gt;ARG1/88</t>
  </si>
  <si>
    <t xml:space="preserve">ORIG-&gt;ARG2/8</t>
  </si>
  <si>
    <t xml:space="preserve">ACT-&gt;ARG0/275,ARG1/6</t>
  </si>
  <si>
    <t xml:space="preserve">CPHR-&gt;ARG1/370,ARG4/1</t>
  </si>
  <si>
    <t xml:space="preserve">"dostávat-014"</t>
  </si>
  <si>
    <t xml:space="preserve">"dostávat-se-001"</t>
  </si>
  <si>
    <t xml:space="preserve">ACT-&gt;ARG0/621,ARG1/8</t>
  </si>
  <si>
    <t xml:space="preserve">PAT-&gt;ARG1/752,ARG4/1</t>
  </si>
  <si>
    <t xml:space="preserve">"dostávat-se-002"</t>
  </si>
  <si>
    <t xml:space="preserve">"dostávat-se-003"</t>
  </si>
  <si>
    <t xml:space="preserve">"dostávat-se-004"</t>
  </si>
  <si>
    <t xml:space="preserve">"dostávat-se-005"</t>
  </si>
  <si>
    <t xml:space="preserve">"dostávat-se-006"</t>
  </si>
  <si>
    <t xml:space="preserve">ACT-&gt;ARG0/21,ARG1/275</t>
  </si>
  <si>
    <t xml:space="preserve">DIR3-&gt;ARG1/15,ARG2/98</t>
  </si>
  <si>
    <t xml:space="preserve">"dostávat-se-007"</t>
  </si>
  <si>
    <t xml:space="preserve">ACT-&gt;ARG0/250,ARG1/457,ARG2/9</t>
  </si>
  <si>
    <t xml:space="preserve">DIR3-&gt;ARG1/372,ARG2/473</t>
  </si>
  <si>
    <t xml:space="preserve">"dostávat-se-008"</t>
  </si>
  <si>
    <t xml:space="preserve">ACT-&gt;ARG0/5,ARG1/28</t>
  </si>
  <si>
    <t xml:space="preserve">DPHR: pod-1[kůže.S4]</t>
  </si>
  <si>
    <t xml:space="preserve">"dostávat-se-009"</t>
  </si>
  <si>
    <t xml:space="preserve">DPHR: do-1[světlo:S2[jiný:#]]</t>
  </si>
  <si>
    <t xml:space="preserve">"dostávat-se-010"</t>
  </si>
  <si>
    <t xml:space="preserve">"dostávat-se-011"</t>
  </si>
  <si>
    <t xml:space="preserve">CPHR: do-1[{konflikt,spor,styk,...}.2]</t>
  </si>
  <si>
    <t xml:space="preserve">"dostříknout-001"</t>
  </si>
  <si>
    <t xml:space="preserve">"dosvědčit-001"</t>
  </si>
  <si>
    <t xml:space="preserve">ACT-&gt;ARG0/15,ARG1/1</t>
  </si>
  <si>
    <t xml:space="preserve">"dosvědčovat-001"</t>
  </si>
  <si>
    <t xml:space="preserve">"dosáhnout-001"</t>
  </si>
  <si>
    <t xml:space="preserve">ACT-&gt;ARG0/2673,ARG1/22</t>
  </si>
  <si>
    <t xml:space="preserve">ACT-&gt;ARG0/1375,ARG1/16</t>
  </si>
  <si>
    <t xml:space="preserve">PAT-&gt;ARG0/1,ARG1/3011</t>
  </si>
  <si>
    <t xml:space="preserve">PAT-&gt;ARG1/2033,ARG2/2,ARG4/1</t>
  </si>
  <si>
    <t xml:space="preserve">"dosáhnout-002"</t>
  </si>
  <si>
    <t xml:space="preserve">ACT-&gt;ARG0/377,ARG1/322,ARG2/2</t>
  </si>
  <si>
    <t xml:space="preserve">PAT: 2; 4; na+4</t>
  </si>
  <si>
    <t xml:space="preserve">PAT-&gt;ARG1/50</t>
  </si>
  <si>
    <t xml:space="preserve">PAT-&gt;ARG0/3,ARG1/561,ARG2/405,ARG3/5</t>
  </si>
  <si>
    <t xml:space="preserve">ACT-&gt;ARG0/4134,ARG1/4297,ARG2/307</t>
  </si>
  <si>
    <t xml:space="preserve">PAT-&gt;ARG0/1,ARG1/5309,ARG2/4150,ARG4/178</t>
  </si>
  <si>
    <t xml:space="preserve">"dosáhnout-003"</t>
  </si>
  <si>
    <t xml:space="preserve">"dosáhnout-004"</t>
  </si>
  <si>
    <t xml:space="preserve">ACT-&gt;ARG0/8,ARG1/1</t>
  </si>
  <si>
    <t xml:space="preserve">DPHR-&gt;ARG1/19</t>
  </si>
  <si>
    <t xml:space="preserve">"dosáhnout-005"</t>
  </si>
  <si>
    <t xml:space="preserve">PAT-&gt;ARG2/20</t>
  </si>
  <si>
    <t xml:space="preserve">"dosáhnout-006"</t>
  </si>
  <si>
    <t xml:space="preserve">"dotahovat-001"</t>
  </si>
  <si>
    <t xml:space="preserve">"dotahovat-002"</t>
  </si>
  <si>
    <t xml:space="preserve">ACT-&gt;ARG0/47</t>
  </si>
  <si>
    <t xml:space="preserve">EFF-&gt;ARG1/129</t>
  </si>
  <si>
    <t xml:space="preserve">"dotazovat-se-001"</t>
  </si>
  <si>
    <t xml:space="preserve">ACT-&gt;ARG0/398,ARG2/1</t>
  </si>
  <si>
    <t xml:space="preserve">ACT-&gt;ARG0/178,ARG1/2</t>
  </si>
  <si>
    <t xml:space="preserve">PAT: na+4; ↓zda; ↓jak-2; ↓jestli; ↓c; .s</t>
  </si>
  <si>
    <t xml:space="preserve">PAT-&gt;ARG1/541</t>
  </si>
  <si>
    <t xml:space="preserve">PAT-&gt;ARG1/212,ARG2/1</t>
  </si>
  <si>
    <t xml:space="preserve">ADDR: 2</t>
  </si>
  <si>
    <t xml:space="preserve">ADDR-&gt;ARG1/22,ARG2/49</t>
  </si>
  <si>
    <t xml:space="preserve">ADDR-&gt;ARG0/1,ARG1/21,ARG2/39</t>
  </si>
  <si>
    <t xml:space="preserve">"dotisknout-001"</t>
  </si>
  <si>
    <t xml:space="preserve">"dotknout-se-001"</t>
  </si>
  <si>
    <t xml:space="preserve">ACT: 7</t>
  </si>
  <si>
    <t xml:space="preserve">---: .$2&lt;s&gt;</t>
  </si>
  <si>
    <t xml:space="preserve">"dotknout-se-002"</t>
  </si>
  <si>
    <t xml:space="preserve">ACT-&gt;ARG0/106,ARG1/9,ARG2/80</t>
  </si>
  <si>
    <t xml:space="preserve">PAT-&gt;ARG1/316,ARG2/8</t>
  </si>
  <si>
    <t xml:space="preserve">"dotknout-se-003"</t>
  </si>
  <si>
    <t xml:space="preserve">"dotknout-se-004"</t>
  </si>
  <si>
    <t xml:space="preserve">"dotknout-se-005"</t>
  </si>
  <si>
    <t xml:space="preserve">ACT-&gt;ARG0/190</t>
  </si>
  <si>
    <t xml:space="preserve">ACT-&gt;ARG0/50,ARG1/54,ARG2/80</t>
  </si>
  <si>
    <t xml:space="preserve">ACT-&gt;ARG0/238,ARG1/54,ARG2/156</t>
  </si>
  <si>
    <t xml:space="preserve">PAT-&gt;ARG1/263</t>
  </si>
  <si>
    <t xml:space="preserve">PAT-&gt;ARG1/276,ARG2/80</t>
  </si>
  <si>
    <t xml:space="preserve">PAT-&gt;ARG1/620,ARG2/80</t>
  </si>
  <si>
    <t xml:space="preserve">ACT-&gt;ARG0/102</t>
  </si>
  <si>
    <t xml:space="preserve">PAT-&gt;ARG1/138</t>
  </si>
  <si>
    <t xml:space="preserve">"dotlačit-001"</t>
  </si>
  <si>
    <t xml:space="preserve">ACT-&gt;ARG0/74</t>
  </si>
  <si>
    <t xml:space="preserve">PAT: k+3; ↓aby; ↓ať; .f</t>
  </si>
  <si>
    <t xml:space="preserve">PAT-&gt;ARG2/91</t>
  </si>
  <si>
    <t xml:space="preserve">ADDR-&gt;ARG1/101,ARG2/2</t>
  </si>
  <si>
    <t xml:space="preserve">"dotovat-001"</t>
  </si>
  <si>
    <t xml:space="preserve">ACT-&gt;ARG0/20,ARG1/2,ARG2/89,ARG3/5</t>
  </si>
  <si>
    <t xml:space="preserve">ACT-&gt;ARG0/61,ARG1/1,ARG2/13</t>
  </si>
  <si>
    <t xml:space="preserve">ACT-&gt;ARG0/115,ARG1/2,ARG2/20</t>
  </si>
  <si>
    <t xml:space="preserve">PAT-&gt;ARG0/336,ARG1/54</t>
  </si>
  <si>
    <t xml:space="preserve">PAT-&gt;ARG1/295</t>
  </si>
  <si>
    <t xml:space="preserve">"dotvořit-001"</t>
  </si>
  <si>
    <t xml:space="preserve">?EFF: do+2; v+4</t>
  </si>
  <si>
    <t xml:space="preserve">"dotvrzovat-001"</t>
  </si>
  <si>
    <t xml:space="preserve">PAT: 4; ↓že; ↓zda; ↓jestli; ↓c; .s</t>
  </si>
  <si>
    <t xml:space="preserve">"dotvářet-001"</t>
  </si>
  <si>
    <t xml:space="preserve">"dotáhnout-001"</t>
  </si>
  <si>
    <t xml:space="preserve">"dotáhnout-002"</t>
  </si>
  <si>
    <t xml:space="preserve">"dotáhnout-003"</t>
  </si>
  <si>
    <t xml:space="preserve">"dotáhnout-004"</t>
  </si>
  <si>
    <t xml:space="preserve">"dotáhnout-se-001"</t>
  </si>
  <si>
    <t xml:space="preserve">DIR3-&gt;ARG1/104</t>
  </si>
  <si>
    <t xml:space="preserve">"dotápět-001"</t>
  </si>
  <si>
    <t xml:space="preserve">"dotázat-se-001"</t>
  </si>
  <si>
    <t xml:space="preserve">ACT-&gt;ARG0/88</t>
  </si>
  <si>
    <t xml:space="preserve">PAT-&gt;ARG1/128</t>
  </si>
  <si>
    <t xml:space="preserve">ADDR-&gt;ARG2/36</t>
  </si>
  <si>
    <t xml:space="preserve">"dotéci-001"</t>
  </si>
  <si>
    <t xml:space="preserve">ACT-&gt;ARG0/140,ARG1/279</t>
  </si>
  <si>
    <t xml:space="preserve">ACT-&gt;ARG0/140,ARG1/283</t>
  </si>
  <si>
    <t xml:space="preserve">"dotírat-001"</t>
  </si>
  <si>
    <t xml:space="preserve">"dotýkat-se-001"</t>
  </si>
  <si>
    <t xml:space="preserve">ACT-&gt;ARG0/154,ARG1/3</t>
  </si>
  <si>
    <t xml:space="preserve">ACT-&gt;ARG0/18,ARG1/54,ARG2/80</t>
  </si>
  <si>
    <t xml:space="preserve">ACT-&gt;ARG0/206,ARG1/54,ARG2/156</t>
  </si>
  <si>
    <t xml:space="preserve">PAT-&gt;ARG1/658,ARG2/3</t>
  </si>
  <si>
    <t xml:space="preserve">PAT-&gt;ARG1/230,ARG2/80</t>
  </si>
  <si>
    <t xml:space="preserve">PAT-&gt;ARG1/574,ARG2/80</t>
  </si>
  <si>
    <t xml:space="preserve">"dotýkat-se-002"</t>
  </si>
  <si>
    <t xml:space="preserve">"dotýkat-se-003"</t>
  </si>
  <si>
    <t xml:space="preserve">"doufat-001"</t>
  </si>
  <si>
    <t xml:space="preserve">PAT: v+4; ↓že; ↓jestli; .f</t>
  </si>
  <si>
    <t xml:space="preserve">ACT-&gt;ARG0/1146,ARG1/3106,ARG2/296</t>
  </si>
  <si>
    <t xml:space="preserve">PAT-&gt;ARG1/1275</t>
  </si>
  <si>
    <t xml:space="preserve">ACT-&gt;ARG0/815</t>
  </si>
  <si>
    <t xml:space="preserve">PAT-&gt;ARG0/193,ARG1/205</t>
  </si>
  <si>
    <t xml:space="preserve">PAT-&gt;ARG1/855</t>
  </si>
  <si>
    <t xml:space="preserve">"doufat-002"</t>
  </si>
  <si>
    <t xml:space="preserve">EFF: ↓že</t>
  </si>
  <si>
    <t xml:space="preserve">EFF-&gt;ARG1/205</t>
  </si>
  <si>
    <t xml:space="preserve">PAT-&gt;ARG0/193</t>
  </si>
  <si>
    <t xml:space="preserve">"doutnat-001"</t>
  </si>
  <si>
    <t xml:space="preserve">ACT-&gt;ARG0/2,ARG1/5</t>
  </si>
  <si>
    <t xml:space="preserve">ACT-&gt;ARG0/4,ARG1/5</t>
  </si>
  <si>
    <t xml:space="preserve">"doutnat-002"</t>
  </si>
  <si>
    <t xml:space="preserve">"doučit-se-001"</t>
  </si>
  <si>
    <t xml:space="preserve">PAT: 3; 7; na+4</t>
  </si>
  <si>
    <t xml:space="preserve">"doučovat-001"</t>
  </si>
  <si>
    <t xml:space="preserve">?ADDR: 4</t>
  </si>
  <si>
    <t xml:space="preserve">"doučovat-se-001"</t>
  </si>
  <si>
    <t xml:space="preserve">PAT: 4; 3; ↓že; .f; ↓c</t>
  </si>
  <si>
    <t xml:space="preserve">"dovařit-001"</t>
  </si>
  <si>
    <t xml:space="preserve">"dovařit-002"</t>
  </si>
  <si>
    <t xml:space="preserve">"dovažovat-001"</t>
  </si>
  <si>
    <t xml:space="preserve">"dovodit-001"</t>
  </si>
  <si>
    <t xml:space="preserve">"dovolat-se-001"</t>
  </si>
  <si>
    <t xml:space="preserve">"dovolat-se-002"</t>
  </si>
  <si>
    <t xml:space="preserve">"dovolat-se-003"</t>
  </si>
  <si>
    <t xml:space="preserve">"dovolit-001"</t>
  </si>
  <si>
    <t xml:space="preserve">ACT-&gt;ARG0/315,ARG1/1,ARG3/3</t>
  </si>
  <si>
    <t xml:space="preserve">ACT-&gt;ARG0/313,ARG1/1</t>
  </si>
  <si>
    <t xml:space="preserve">PAT: 4; ↓aby; ↓ať; .f; ↓že</t>
  </si>
  <si>
    <t xml:space="preserve">PAT-&gt;ARG1/570,ARG2/2</t>
  </si>
  <si>
    <t xml:space="preserve">PAT-&gt;ARG1/540,ARG2/3</t>
  </si>
  <si>
    <t xml:space="preserve">ADDR-&gt;ARG1/142,ARG2/63</t>
  </si>
  <si>
    <t xml:space="preserve">ADDR-&gt;ARG1/455,ARG2/84</t>
  </si>
  <si>
    <t xml:space="preserve">"dovolit-se-001"</t>
  </si>
  <si>
    <t xml:space="preserve">PAT-&gt;ARG1/75,ARG2/180</t>
  </si>
  <si>
    <t xml:space="preserve">?EFF: ↓zda; ↓jestli; ↓že</t>
  </si>
  <si>
    <t xml:space="preserve">EFF-&gt;ARG1/605,ARG2/81</t>
  </si>
  <si>
    <t xml:space="preserve">"dovolit-si-001"</t>
  </si>
  <si>
    <t xml:space="preserve">PAT: 4; na+4; .f; ↓aby; .f</t>
  </si>
  <si>
    <t xml:space="preserve">PAT-&gt;ARG1/33</t>
  </si>
  <si>
    <t xml:space="preserve">PAT-&gt;ARG1/34</t>
  </si>
  <si>
    <t xml:space="preserve">ACT-&gt;ARG0/140</t>
  </si>
  <si>
    <t xml:space="preserve">"dovolit-si-002"</t>
  </si>
  <si>
    <t xml:space="preserve">"dovolovat-001"</t>
  </si>
  <si>
    <t xml:space="preserve">ACT-&gt;ARG0/285,ARG1/1,ARG3/10</t>
  </si>
  <si>
    <t xml:space="preserve">PAT: 4; ↓aby; ↓ať; ↓že; .f</t>
  </si>
  <si>
    <t xml:space="preserve">PAT-&gt;ARG1/464,ARG2/54</t>
  </si>
  <si>
    <t xml:space="preserve">ADDR-&gt;ARG1/197,ARG2/67</t>
  </si>
  <si>
    <t xml:space="preserve">"dovolovat-se-001"</t>
  </si>
  <si>
    <t xml:space="preserve">"dovolovat-si-001"</t>
  </si>
  <si>
    <t xml:space="preserve">"dovolávat-se-001"</t>
  </si>
  <si>
    <t xml:space="preserve">"dovozovat-001"</t>
  </si>
  <si>
    <t xml:space="preserve">"dovršit-001"</t>
  </si>
  <si>
    <t xml:space="preserve">"dovršit-002"</t>
  </si>
  <si>
    <t xml:space="preserve">ACT-&gt;ARG0/75</t>
  </si>
  <si>
    <t xml:space="preserve">ACT-&gt;ARG0/990,ARG1/13</t>
  </si>
  <si>
    <t xml:space="preserve">PAT-&gt;ARG1/163</t>
  </si>
  <si>
    <t xml:space="preserve">PAT-&gt;ARG1/1664,ARG2/3,ARGM-EXT/1,ARGM-MNR/2</t>
  </si>
  <si>
    <t xml:space="preserve">"dovtípit-se-001"</t>
  </si>
  <si>
    <t xml:space="preserve">PAT: 2; ↓že</t>
  </si>
  <si>
    <t xml:space="preserve">"dovyprávět-001"</t>
  </si>
  <si>
    <t xml:space="preserve">"dovádět-001"</t>
  </si>
  <si>
    <t xml:space="preserve">"dovádět-002"</t>
  </si>
  <si>
    <t xml:space="preserve">"dovážet-001"</t>
  </si>
  <si>
    <t xml:space="preserve">PAT-&gt;ARG1/27</t>
  </si>
  <si>
    <t xml:space="preserve">"dovážet-002"</t>
  </si>
  <si>
    <t xml:space="preserve">ACT-&gt;ARG0/48</t>
  </si>
  <si>
    <t xml:space="preserve">"dovážit-001"</t>
  </si>
  <si>
    <t xml:space="preserve">"dovést-001"</t>
  </si>
  <si>
    <t xml:space="preserve">ACT-&gt;ARG0/774,ARG1/1</t>
  </si>
  <si>
    <t xml:space="preserve">PAT-&gt;ARG1/445,ARG2/1</t>
  </si>
  <si>
    <t xml:space="preserve">DIR3-&gt;ARG1/748,ARG2/146</t>
  </si>
  <si>
    <t xml:space="preserve">"dovést-002"</t>
  </si>
  <si>
    <t xml:space="preserve">ACT-&gt;ARG0/131</t>
  </si>
  <si>
    <t xml:space="preserve">PAT-&gt;ARG0/1,ARG1/272,ARG2/1</t>
  </si>
  <si>
    <t xml:space="preserve">PAT-&gt;ARG0/1,ARG1/249,ARG2/1</t>
  </si>
  <si>
    <t xml:space="preserve">"dovést-003"</t>
  </si>
  <si>
    <t xml:space="preserve">"dovést-004"</t>
  </si>
  <si>
    <t xml:space="preserve">"dovézt-001"</t>
  </si>
  <si>
    <t xml:space="preserve">"dovézt-002"</t>
  </si>
  <si>
    <t xml:space="preserve">PAT-&gt;ARG1/109,ARG2/1</t>
  </si>
  <si>
    <t xml:space="preserve">"dovídat-se-001"</t>
  </si>
  <si>
    <t xml:space="preserve">"dovídat-se-002"</t>
  </si>
  <si>
    <t xml:space="preserve">PAT-&gt;ARG1/88</t>
  </si>
  <si>
    <t xml:space="preserve">"dovědět-se-001"</t>
  </si>
  <si>
    <t xml:space="preserve">ACT-&gt;ARG0/72,ARG1/20</t>
  </si>
  <si>
    <t xml:space="preserve">"dovědět-se-002"</t>
  </si>
  <si>
    <t xml:space="preserve">ACT-&gt;ARG1/2,ARG2/323</t>
  </si>
  <si>
    <t xml:space="preserve">EFF-&gt;ARG1/342</t>
  </si>
  <si>
    <t xml:space="preserve">ORIG-&gt;ARG0/302,ARG1/2</t>
  </si>
  <si>
    <t xml:space="preserve">"dozdívat-001"</t>
  </si>
  <si>
    <t xml:space="preserve">"doznat-001"</t>
  </si>
  <si>
    <t xml:space="preserve">PAT-&gt;ARG1/56</t>
  </si>
  <si>
    <t xml:space="preserve">"doznat-se-001"</t>
  </si>
  <si>
    <t xml:space="preserve">ACT-&gt;ARG0/268,ARG1/2</t>
  </si>
  <si>
    <t xml:space="preserve">PAT: k+3; ↓že; ↓jak-2; ↓c; .s</t>
  </si>
  <si>
    <t xml:space="preserve">PAT-&gt;ARG1/5,ARG2/28</t>
  </si>
  <si>
    <t xml:space="preserve">PAT-&gt;ARG1/158,ARG2/28</t>
  </si>
  <si>
    <t xml:space="preserve">PAT-&gt;ARG1/251,ARG2/28</t>
  </si>
  <si>
    <t xml:space="preserve">"doznávat-001"</t>
  </si>
  <si>
    <t xml:space="preserve">"doznít-001"</t>
  </si>
  <si>
    <t xml:space="preserve">"doznívat-001"</t>
  </si>
  <si>
    <t xml:space="preserve">"dozrát-001"</t>
  </si>
  <si>
    <t xml:space="preserve">"dozrát-002"</t>
  </si>
  <si>
    <t xml:space="preserve">"dozrávat-001"</t>
  </si>
  <si>
    <t xml:space="preserve">"dozrávat-002"</t>
  </si>
  <si>
    <t xml:space="preserve">"dozvídat-se-001"</t>
  </si>
  <si>
    <t xml:space="preserve">"dozvídat-se-002"</t>
  </si>
  <si>
    <t xml:space="preserve">EFF-&gt;ARG1/63,ARG3/4</t>
  </si>
  <si>
    <t xml:space="preserve">"dozvědět-se-001"</t>
  </si>
  <si>
    <t xml:space="preserve">ACT-&gt;ARG0/682,ARG1/10,ARG2/323</t>
  </si>
  <si>
    <t xml:space="preserve">PAT-&gt;ARG1/1170,ARG2/22,ARG4/1</t>
  </si>
  <si>
    <t xml:space="preserve">ORIG-&gt;ARG0/302,ARG1/5,ARG2/38</t>
  </si>
  <si>
    <t xml:space="preserve">"dozvědět-se-002"</t>
  </si>
  <si>
    <t xml:space="preserve">ACT-&gt;ARG0/707,ARG1/7</t>
  </si>
  <si>
    <t xml:space="preserve">EFF-&gt;ARG1/414,ARG2/20</t>
  </si>
  <si>
    <t xml:space="preserve">PAT-&gt;ARG1/439,ARG4/1</t>
  </si>
  <si>
    <t xml:space="preserve">ORIG-&gt;ARG1/3,ARG2/39</t>
  </si>
  <si>
    <t xml:space="preserve">"dozávodit-001"</t>
  </si>
  <si>
    <t xml:space="preserve">?PAT: o+4</t>
  </si>
  <si>
    <t xml:space="preserve">?ADDR: s+7; proti+3</t>
  </si>
  <si>
    <t xml:space="preserve">"dozírat-001"</t>
  </si>
  <si>
    <t xml:space="preserve">"dočkat-se-001"</t>
  </si>
  <si>
    <t xml:space="preserve">"dočkat-se-002"</t>
  </si>
  <si>
    <t xml:space="preserve">PAT-&gt;ARG1/483,ARG2/1</t>
  </si>
  <si>
    <t xml:space="preserve">"dočkat-se-003"</t>
  </si>
  <si>
    <t xml:space="preserve">PAT: ↓až-3</t>
  </si>
  <si>
    <t xml:space="preserve">"dočíst-se-001"</t>
  </si>
  <si>
    <t xml:space="preserve">"dočíst-se-002"</t>
  </si>
  <si>
    <t xml:space="preserve">EFF-&gt;ARG1/64,ARG3/14</t>
  </si>
  <si>
    <t xml:space="preserve">"dočítat-se-001"</t>
  </si>
  <si>
    <t xml:space="preserve">"dořezat-se-001"</t>
  </si>
  <si>
    <t xml:space="preserve">DPHR: krev.S2</t>
  </si>
  <si>
    <t xml:space="preserve">"dořešit-001"</t>
  </si>
  <si>
    <t xml:space="preserve">ACT-&gt;ARG0/13</t>
  </si>
  <si>
    <t xml:space="preserve">ACT-&gt;ARG0/296</t>
  </si>
  <si>
    <t xml:space="preserve">PAT: 4; ↓že; ↓jestli; ↓zda; ↓c</t>
  </si>
  <si>
    <t xml:space="preserve">PAT-&gt;ARG1/63</t>
  </si>
  <si>
    <t xml:space="preserve">PAT-&gt;ARG0/1,ARG1/596,ARG2/15</t>
  </si>
  <si>
    <t xml:space="preserve">"dořvat-001"</t>
  </si>
  <si>
    <t xml:space="preserve">"doříci-001"</t>
  </si>
  <si>
    <t xml:space="preserve">"doškolovat-001"</t>
  </si>
  <si>
    <t xml:space="preserve">"došlápnout-001"</t>
  </si>
  <si>
    <t xml:space="preserve">"došlápnout-si-001"</t>
  </si>
  <si>
    <t xml:space="preserve">"došplhat-se-001"</t>
  </si>
  <si>
    <t xml:space="preserve">"doštráchat-se-001"</t>
  </si>
  <si>
    <t xml:space="preserve">"dožadovat-se-001"</t>
  </si>
  <si>
    <t xml:space="preserve">ACT-&gt;ARG0/323,ARG2/1</t>
  </si>
  <si>
    <t xml:space="preserve">PAT: 2; ↓aby; .s</t>
  </si>
  <si>
    <t xml:space="preserve">PAT-&gt;ARG1/455,ARG2/12</t>
  </si>
  <si>
    <t xml:space="preserve">"dožít-001"</t>
  </si>
  <si>
    <t xml:space="preserve">"dožít-002"</t>
  </si>
  <si>
    <t xml:space="preserve">"dožít-se-001"</t>
  </si>
  <si>
    <t xml:space="preserve">"dožívat-se-001"</t>
  </si>
  <si>
    <t xml:space="preserve">"dramatizovat-001"</t>
  </si>
  <si>
    <t xml:space="preserve">"dramatizovat-002"</t>
  </si>
  <si>
    <t xml:space="preserve">"drancovat-001"</t>
  </si>
  <si>
    <t xml:space="preserve">ACT-&gt;ARG0/103,ARG2/6</t>
  </si>
  <si>
    <t xml:space="preserve">ACT-&gt;ARG0/102,ARG2/6</t>
  </si>
  <si>
    <t xml:space="preserve">PAT-&gt;ARG1/213</t>
  </si>
  <si>
    <t xml:space="preserve">PAT-&gt;ARG1/212</t>
  </si>
  <si>
    <t xml:space="preserve">"drandit-001"</t>
  </si>
  <si>
    <t xml:space="preserve">"dražit-001"</t>
  </si>
  <si>
    <t xml:space="preserve">"drbat-001"</t>
  </si>
  <si>
    <t xml:space="preserve">PAT: o+6; ↓že</t>
  </si>
  <si>
    <t xml:space="preserve">?ADDR: s+7</t>
  </si>
  <si>
    <t xml:space="preserve">"drbat-002"</t>
  </si>
  <si>
    <t xml:space="preserve">"drhnout-001"</t>
  </si>
  <si>
    <t xml:space="preserve">"drhnout-002"</t>
  </si>
  <si>
    <t xml:space="preserve">"drncat-001"</t>
  </si>
  <si>
    <t xml:space="preserve">"drobit-001"</t>
  </si>
  <si>
    <t xml:space="preserve">?EFF: na+4; do+2; v+4</t>
  </si>
  <si>
    <t xml:space="preserve">"drolit-se-001"</t>
  </si>
  <si>
    <t xml:space="preserve">?PAT: na+4; do+2; v+4</t>
  </si>
  <si>
    <t xml:space="preserve">"drožkařit-001"</t>
  </si>
  <si>
    <t xml:space="preserve">"drtit-001"</t>
  </si>
  <si>
    <t xml:space="preserve">"družit-se-001"</t>
  </si>
  <si>
    <t xml:space="preserve">"družit-se-002"</t>
  </si>
  <si>
    <t xml:space="preserve">ACT-&gt;ARG0/16,ARG1/32</t>
  </si>
  <si>
    <t xml:space="preserve">PAT-&gt;ARG1/19,ARG2/24</t>
  </si>
  <si>
    <t xml:space="preserve">"družit-se-003"</t>
  </si>
  <si>
    <t xml:space="preserve">"drápat-se-001"</t>
  </si>
  <si>
    <t xml:space="preserve">ACT-&gt;ARG0/169,ARG1/286,ARG2/1</t>
  </si>
  <si>
    <t xml:space="preserve">ACT-&gt;ARG0/169,ARG1/290,ARG2/1</t>
  </si>
  <si>
    <t xml:space="preserve">DIR3-&gt;ARG1/161,ARG2/1</t>
  </si>
  <si>
    <t xml:space="preserve">"drát-se-001"</t>
  </si>
  <si>
    <t xml:space="preserve">PAT-&gt;ARG1/26</t>
  </si>
  <si>
    <t xml:space="preserve">"drát-se-002"</t>
  </si>
  <si>
    <t xml:space="preserve">"dráždit-001"</t>
  </si>
  <si>
    <t xml:space="preserve">ACT-&gt;ARG0/7,ARG1/1</t>
  </si>
  <si>
    <t xml:space="preserve">PAT-&gt;ARG0/3,ARG1/8</t>
  </si>
  <si>
    <t xml:space="preserve">"dráždit-002"</t>
  </si>
  <si>
    <t xml:space="preserve">"dráždit-003"</t>
  </si>
  <si>
    <t xml:space="preserve">?PAT: k+3; na+4</t>
  </si>
  <si>
    <t xml:space="preserve">"držet-001"</t>
  </si>
  <si>
    <t xml:space="preserve">ACT-&gt;ARG0/38</t>
  </si>
  <si>
    <t xml:space="preserve">PAT-&gt;ARG0/2,ARG1/43</t>
  </si>
  <si>
    <t xml:space="preserve">EFF: .a; .d</t>
  </si>
  <si>
    <t xml:space="preserve">EFF-&gt;ARG1/78</t>
  </si>
  <si>
    <t xml:space="preserve">"držet-002"</t>
  </si>
  <si>
    <t xml:space="preserve">ACT-&gt;ARG0/349,ARG1/3</t>
  </si>
  <si>
    <t xml:space="preserve">PAT-&gt;ARG0/2,ARG1/458</t>
  </si>
  <si>
    <t xml:space="preserve">LOC: =</t>
  </si>
  <si>
    <t xml:space="preserve">LOC-&gt;ARG1/88,ARG2/38</t>
  </si>
  <si>
    <t xml:space="preserve">LOC-&gt;ARG1/78</t>
  </si>
  <si>
    <t xml:space="preserve">"držet-003"</t>
  </si>
  <si>
    <t xml:space="preserve">ACT-&gt;ARG0/197,ARG1/3</t>
  </si>
  <si>
    <t xml:space="preserve">PAT-&gt;ARG1/239</t>
  </si>
  <si>
    <t xml:space="preserve">LOC-&gt;ARG1/7,ARG2/34</t>
  </si>
  <si>
    <t xml:space="preserve">"držet-004"</t>
  </si>
  <si>
    <t xml:space="preserve">ACT-&gt;ARG0/210,ARG1/2</t>
  </si>
  <si>
    <t xml:space="preserve">PAT-&gt;ARG1/247</t>
  </si>
  <si>
    <t xml:space="preserve">"držet-005"</t>
  </si>
  <si>
    <t xml:space="preserve">ACT-&gt;ARG0/2546,ARG1/3125,ARG2/296</t>
  </si>
  <si>
    <t xml:space="preserve">ACT-&gt;ARG0/293</t>
  </si>
  <si>
    <t xml:space="preserve">PAT-&gt;ARG0/3,ARG1/2817,ARG2/3451</t>
  </si>
  <si>
    <t xml:space="preserve">PAT-&gt;ARG1/270</t>
  </si>
  <si>
    <t xml:space="preserve">"držet-006"</t>
  </si>
  <si>
    <t xml:space="preserve">ACT-&gt;ARG0/180,ARG1/2</t>
  </si>
  <si>
    <t xml:space="preserve">"držet-007"</t>
  </si>
  <si>
    <t xml:space="preserve">ACT-&gt;ARG0/209,ARG1/2</t>
  </si>
  <si>
    <t xml:space="preserve">PAT-&gt;ARG1/244</t>
  </si>
  <si>
    <t xml:space="preserve">"držet-008"</t>
  </si>
  <si>
    <t xml:space="preserve">ACT-&gt;ARG0/323,ARG1/3209,ARG2/296</t>
  </si>
  <si>
    <t xml:space="preserve">ACT-&gt;ARG0/496,ARG1/166</t>
  </si>
  <si>
    <t xml:space="preserve">PAT-&gt;ARG0/2,ARG1/554,ARG2/3545</t>
  </si>
  <si>
    <t xml:space="preserve">PAT-&gt;ARG1/752,ARG2/3</t>
  </si>
  <si>
    <t xml:space="preserve">"držet-009"</t>
  </si>
  <si>
    <t xml:space="preserve">"držet-010"</t>
  </si>
  <si>
    <t xml:space="preserve">ACT-&gt;ARG1/199</t>
  </si>
  <si>
    <t xml:space="preserve">"držet-011"</t>
  </si>
  <si>
    <t xml:space="preserve">DPHR: při-1[život.S6]</t>
  </si>
  <si>
    <t xml:space="preserve">"držet-012"</t>
  </si>
  <si>
    <t xml:space="preserve">ACT-&gt;ARG0/13,ARG1/99</t>
  </si>
  <si>
    <t xml:space="preserve">DPHR: krok.S4</t>
  </si>
  <si>
    <t xml:space="preserve">DPHR-&gt;ARG1/7,ARG2/91</t>
  </si>
  <si>
    <t xml:space="preserve">PAT-&gt;ARG1/14,ARG2/4</t>
  </si>
  <si>
    <t xml:space="preserve">"držet-013"</t>
  </si>
  <si>
    <t xml:space="preserve">DPHR: na-1[oprať.S6]</t>
  </si>
  <si>
    <t xml:space="preserve">"držet-014"</t>
  </si>
  <si>
    <t xml:space="preserve">DPHR: na-1[uzda.S6]</t>
  </si>
  <si>
    <t xml:space="preserve">DPHR-&gt;ARG1/78</t>
  </si>
  <si>
    <t xml:space="preserve">"držet-015"</t>
  </si>
  <si>
    <t xml:space="preserve">DPHR: nad-1[voda.7]</t>
  </si>
  <si>
    <t xml:space="preserve">"držet-016"</t>
  </si>
  <si>
    <t xml:space="preserve">DPHR: v-1[šach-1.S6]</t>
  </si>
  <si>
    <t xml:space="preserve">"držet-017"</t>
  </si>
  <si>
    <t xml:space="preserve">DPHR: v-1[tajnost.6]</t>
  </si>
  <si>
    <t xml:space="preserve">PAT-&gt;ARG1/72</t>
  </si>
  <si>
    <t xml:space="preserve">"držet-018"</t>
  </si>
  <si>
    <t xml:space="preserve">DPHR: rekord.4</t>
  </si>
  <si>
    <t xml:space="preserve">DPHR-&gt;ARG1/195</t>
  </si>
  <si>
    <t xml:space="preserve">"držet-019"</t>
  </si>
  <si>
    <t xml:space="preserve">ADDR-&gt;ARG1/2,ARG2/4</t>
  </si>
  <si>
    <t xml:space="preserve">"držet-020"</t>
  </si>
  <si>
    <t xml:space="preserve">ACT-&gt;ARG0/9,ARG1/1</t>
  </si>
  <si>
    <t xml:space="preserve">DPHR: pod-1[poklička.S7]</t>
  </si>
  <si>
    <t xml:space="preserve">DPHR-&gt;ARG1/30</t>
  </si>
  <si>
    <t xml:space="preserve">PAT-&gt;ARG1/3,ARG2/27</t>
  </si>
  <si>
    <t xml:space="preserve">"držet-021"</t>
  </si>
  <si>
    <t xml:space="preserve">DPHR: huba.S4</t>
  </si>
  <si>
    <t xml:space="preserve">"držet-022"</t>
  </si>
  <si>
    <t xml:space="preserve">DPHR: palec.P4</t>
  </si>
  <si>
    <t xml:space="preserve">"držet-023"</t>
  </si>
  <si>
    <t xml:space="preserve">DPHR: parta.S4</t>
  </si>
  <si>
    <t xml:space="preserve">"držet-024"</t>
  </si>
  <si>
    <t xml:space="preserve">DPHR: ruka.S4</t>
  </si>
  <si>
    <t xml:space="preserve">"držet-025"</t>
  </si>
  <si>
    <t xml:space="preserve">DPHR: pohromadě</t>
  </si>
  <si>
    <t xml:space="preserve">?PAT: s+7</t>
  </si>
  <si>
    <t xml:space="preserve">"držet-026"</t>
  </si>
  <si>
    <t xml:space="preserve">DPHR: pospolu</t>
  </si>
  <si>
    <t xml:space="preserve">"držet-027"</t>
  </si>
  <si>
    <t xml:space="preserve">DPHR: zpátky</t>
  </si>
  <si>
    <t xml:space="preserve">"držet-028"</t>
  </si>
  <si>
    <t xml:space="preserve">"držet-029"</t>
  </si>
  <si>
    <t xml:space="preserve">"držet-030"</t>
  </si>
  <si>
    <t xml:space="preserve">DPHR: zvyk.P4</t>
  </si>
  <si>
    <t xml:space="preserve">"držet-031"</t>
  </si>
  <si>
    <t xml:space="preserve">"držet-032"</t>
  </si>
  <si>
    <t xml:space="preserve">PAT: s+7; při+6</t>
  </si>
  <si>
    <t xml:space="preserve">"držet-033"</t>
  </si>
  <si>
    <t xml:space="preserve">"držet-034"</t>
  </si>
  <si>
    <t xml:space="preserve">"držet-se-001"</t>
  </si>
  <si>
    <t xml:space="preserve">ACT-&gt;ARG0/30,ARG1/47</t>
  </si>
  <si>
    <t xml:space="preserve">PAT-&gt;ARG1/74</t>
  </si>
  <si>
    <t xml:space="preserve">"držet-se-002"</t>
  </si>
  <si>
    <t xml:space="preserve">ACT-&gt;ARG0/150,ARG1/159</t>
  </si>
  <si>
    <t xml:space="preserve">ACT-&gt;ARG0/164,ARG1/2</t>
  </si>
  <si>
    <t xml:space="preserve">PAT-&gt;ARG1/235,ARG2/167</t>
  </si>
  <si>
    <t xml:space="preserve">PAT-&gt;ARG1/198,ARG2/1</t>
  </si>
  <si>
    <t xml:space="preserve">"držet-se-003"</t>
  </si>
  <si>
    <t xml:space="preserve">ACT-&gt;ARG1/12</t>
  </si>
  <si>
    <t xml:space="preserve">ACT-&gt;ARG0/18,ARG1/3817,ARG2/296,ARG3/1</t>
  </si>
  <si>
    <t xml:space="preserve">LOC-&gt;ARG1/124,ARG2/3551,ARG3/507</t>
  </si>
  <si>
    <t xml:space="preserve">ACT-&gt;ARG0/190,ARG1/3497,ARG2/299</t>
  </si>
  <si>
    <t xml:space="preserve">LOC-&gt;ARG1/330,ARG2/3781</t>
  </si>
  <si>
    <t xml:space="preserve">"držet-se-004"</t>
  </si>
  <si>
    <t xml:space="preserve">ACT-&gt;ARG0/33,ARG1/114</t>
  </si>
  <si>
    <t xml:space="preserve">ACT-&gt;ARG0/1,ARG1/134</t>
  </si>
  <si>
    <t xml:space="preserve">LOC-&gt;ARG1/51,ARG2/3,ARG3/32</t>
  </si>
  <si>
    <t xml:space="preserve">LOC-&gt;ARG3/92</t>
  </si>
  <si>
    <t xml:space="preserve">"držet-se-005"</t>
  </si>
  <si>
    <t xml:space="preserve">ACT-&gt;ARG1/16</t>
  </si>
  <si>
    <t xml:space="preserve">"držet-se-006"</t>
  </si>
  <si>
    <t xml:space="preserve">ACT-&gt;ARG0/2,ARG1/43</t>
  </si>
  <si>
    <t xml:space="preserve">DPHR: nad-1[voda.S7]</t>
  </si>
  <si>
    <t xml:space="preserve">"držet-se-007"</t>
  </si>
  <si>
    <t xml:space="preserve">DPHR: zpátky; dál</t>
  </si>
  <si>
    <t xml:space="preserve">ACT-&gt;ARG1/47</t>
  </si>
  <si>
    <t xml:space="preserve">DPHR-&gt;ARG3/32</t>
  </si>
  <si>
    <t xml:space="preserve">"držet-se-008"</t>
  </si>
  <si>
    <t xml:space="preserve">DPHR: při-1[zeď.S6]</t>
  </si>
  <si>
    <t xml:space="preserve">"držet-se-009"</t>
  </si>
  <si>
    <t xml:space="preserve">"držet-se-010"</t>
  </si>
  <si>
    <t xml:space="preserve">"držet-se-011"</t>
  </si>
  <si>
    <t xml:space="preserve">"držet-si-001"</t>
  </si>
  <si>
    <t xml:space="preserve">DPHR: odstup.S4</t>
  </si>
  <si>
    <t xml:space="preserve">"dublovat-001"</t>
  </si>
  <si>
    <t xml:space="preserve">"dumat-001"</t>
  </si>
  <si>
    <t xml:space="preserve">PAT: o+6; nad+7; ↓že; ↓zda; ↓c; ↓jestli; .s</t>
  </si>
  <si>
    <t xml:space="preserve">"dunět-001"</t>
  </si>
  <si>
    <t xml:space="preserve">"dupnout-si-001"</t>
  </si>
  <si>
    <t xml:space="preserve">"dusat-001"</t>
  </si>
  <si>
    <t xml:space="preserve">"dusit-001"</t>
  </si>
  <si>
    <t xml:space="preserve">"dusit-002"</t>
  </si>
  <si>
    <t xml:space="preserve">"dusit-003"</t>
  </si>
  <si>
    <t xml:space="preserve">"dusit-004"</t>
  </si>
  <si>
    <t xml:space="preserve">"dusit-se-001"</t>
  </si>
  <si>
    <t xml:space="preserve">"dutat-001"</t>
  </si>
  <si>
    <t xml:space="preserve">"dušovat-se-001"</t>
  </si>
  <si>
    <t xml:space="preserve">PAT: ↓že</t>
  </si>
  <si>
    <t xml:space="preserve">"dvořit-se-001"</t>
  </si>
  <si>
    <t xml:space="preserve">PAT-&gt;ARG1/8,ARG2/1</t>
  </si>
  <si>
    <t xml:space="preserve">"dychtit-001"</t>
  </si>
  <si>
    <t xml:space="preserve">PAT: po+6; .f</t>
  </si>
  <si>
    <t xml:space="preserve">"--dychtit-002"</t>
  </si>
  <si>
    <t xml:space="preserve">"dát-001"</t>
  </si>
  <si>
    <t xml:space="preserve">ACT-&gt;ARG0/239</t>
  </si>
  <si>
    <t xml:space="preserve">PAT-&gt;ARG1/342,ARG2/1</t>
  </si>
  <si>
    <t xml:space="preserve">ADDR-&gt;ARG1/4,ARG2/309</t>
  </si>
  <si>
    <t xml:space="preserve">?EFF: za+4; 7; 4[{jako,jakožto}:/AuxY]</t>
  </si>
  <si>
    <t xml:space="preserve">EFF-&gt;ARG1/342,ARG2/1</t>
  </si>
  <si>
    <t xml:space="preserve">"dát-002"</t>
  </si>
  <si>
    <t xml:space="preserve">?EFF: 7; 4[{jako,jakožto}:/AuxY]; za+4</t>
  </si>
  <si>
    <t xml:space="preserve">"dát-003"</t>
  </si>
  <si>
    <t xml:space="preserve">ACT-&gt;ARG0/132,ARG3/1</t>
  </si>
  <si>
    <t xml:space="preserve">ACT-&gt;ARG0/779,ARG1/2,ARG3/1</t>
  </si>
  <si>
    <t xml:space="preserve">PAT-&gt;ARG1/39,ARG3/143</t>
  </si>
  <si>
    <t xml:space="preserve">PAT-&gt;ARG0/1,ARG1/879,ARG2/60,ARG3/144</t>
  </si>
  <si>
    <t xml:space="preserve">ADDR-&gt;ARG1/10,ARG2/176,ARG3/86</t>
  </si>
  <si>
    <t xml:space="preserve">EFF-&gt;ARG1/118,ARG2/12,ARG3/1</t>
  </si>
  <si>
    <t xml:space="preserve">EFF-&gt;ARG1/112,ARG2/2,ARG3/1</t>
  </si>
  <si>
    <t xml:space="preserve">"dát-004"</t>
  </si>
  <si>
    <t xml:space="preserve">PAT: 4; ↓aby; .f; ↓že; .v</t>
  </si>
  <si>
    <t xml:space="preserve">"dát-005"</t>
  </si>
  <si>
    <t xml:space="preserve">ACT-&gt;ARG0/714</t>
  </si>
  <si>
    <t xml:space="preserve">ACT-&gt;ARG0/1222,ARG2/1</t>
  </si>
  <si>
    <t xml:space="preserve">PAT-&gt;ARG1/1105,ARG2/1</t>
  </si>
  <si>
    <t xml:space="preserve">PAT-&gt;ARG1/1716,ARG2/12</t>
  </si>
  <si>
    <t xml:space="preserve">ADDR-&gt;ARG1/15,ARG2/492,ARG4/2</t>
  </si>
  <si>
    <t xml:space="preserve">ADDR-&gt;ARG1/49,ARG2/1150,ARG4/2</t>
  </si>
  <si>
    <t xml:space="preserve">"dát-006"</t>
  </si>
  <si>
    <t xml:space="preserve">ACT-&gt;ARG0/432,ARG1/3</t>
  </si>
  <si>
    <t xml:space="preserve">PAT-&gt;ARG1/621,ARG2/1</t>
  </si>
  <si>
    <t xml:space="preserve">ADDR-&gt;ARG1/4,ARG2/309,ARG3/10</t>
  </si>
  <si>
    <t xml:space="preserve">"dát-007"</t>
  </si>
  <si>
    <t xml:space="preserve">ACT-&gt;ARG0/386</t>
  </si>
  <si>
    <t xml:space="preserve">ACT-&gt;ARG0/826,ARG1/187,ARG2/9</t>
  </si>
  <si>
    <t xml:space="preserve">PAT-&gt;ARG1/552,ARG2/1</t>
  </si>
  <si>
    <t xml:space="preserve">PAT-&gt;ARG1/1094,ARG2/1</t>
  </si>
  <si>
    <t xml:space="preserve">ADDR-&gt;ARG1/12,ARG2/468</t>
  </si>
  <si>
    <t xml:space="preserve">ADDR-&gt;ARG1/22,ARG2/77,ARG3/34</t>
  </si>
  <si>
    <t xml:space="preserve">"dát-008"</t>
  </si>
  <si>
    <t xml:space="preserve">ACT: 1; .f; ↓než-3</t>
  </si>
  <si>
    <t xml:space="preserve">"dát-009"</t>
  </si>
  <si>
    <t xml:space="preserve">PAT-&gt;ARG1/175</t>
  </si>
  <si>
    <t xml:space="preserve">EFF-&gt;ARG1/169</t>
  </si>
  <si>
    <t xml:space="preserve">"dát-010"</t>
  </si>
  <si>
    <t xml:space="preserve">"dát-011"</t>
  </si>
  <si>
    <t xml:space="preserve">"dát-012"</t>
  </si>
  <si>
    <t xml:space="preserve">DIR3-&gt;ARG1/7,ARG2/15</t>
  </si>
  <si>
    <t xml:space="preserve">"dát-013"</t>
  </si>
  <si>
    <t xml:space="preserve">PAT-&gt;ARG1/510,ARG2/1</t>
  </si>
  <si>
    <t xml:space="preserve">DIR3-&gt;ARG1/4,ARG2/309</t>
  </si>
  <si>
    <t xml:space="preserve">"dát-014"</t>
  </si>
  <si>
    <t xml:space="preserve">ACT-&gt;ARG0/349</t>
  </si>
  <si>
    <t xml:space="preserve">PAT-&gt;ARG1/522</t>
  </si>
  <si>
    <t xml:space="preserve">DIR3-&gt;ARG1/270,ARG2/12</t>
  </si>
  <si>
    <t xml:space="preserve">"dát-015"</t>
  </si>
  <si>
    <t xml:space="preserve">"dát-016"</t>
  </si>
  <si>
    <t xml:space="preserve">PAT-&gt;ARG1/169</t>
  </si>
  <si>
    <t xml:space="preserve">"dát-017"</t>
  </si>
  <si>
    <t xml:space="preserve">PAT: .~f</t>
  </si>
  <si>
    <t xml:space="preserve">"dát-018"</t>
  </si>
  <si>
    <t xml:space="preserve">"dát-019"</t>
  </si>
  <si>
    <t xml:space="preserve">ACT-&gt;ARG0/189</t>
  </si>
  <si>
    <t xml:space="preserve">PAT: 4; ↓že; ↓c; ↓zda</t>
  </si>
  <si>
    <t xml:space="preserve">PAT-&gt;ARG1/188</t>
  </si>
  <si>
    <t xml:space="preserve">PAT-&gt;ARG1/387</t>
  </si>
  <si>
    <t xml:space="preserve">PAT-&gt;ARG1/1,ARG2/115</t>
  </si>
  <si>
    <t xml:space="preserve">"dát-020"</t>
  </si>
  <si>
    <t xml:space="preserve">EXT-&gt;ARG1/342,ARG2/1</t>
  </si>
  <si>
    <t xml:space="preserve">"dát-021"</t>
  </si>
  <si>
    <t xml:space="preserve">CPHR: {branka,facka,gól,pohlavek,políček,pusa,rána,...}.4</t>
  </si>
  <si>
    <t xml:space="preserve">CPHR-&gt;ARG1/342,ARG2/1</t>
  </si>
  <si>
    <t xml:space="preserve">"dát-022"</t>
  </si>
  <si>
    <t xml:space="preserve">ACT-&gt;ARG0/572,ARG1/2</t>
  </si>
  <si>
    <t xml:space="preserve">CPHR: {hlas,...}.4</t>
  </si>
  <si>
    <t xml:space="preserve">CPHR-&gt;ARG1/767,ARG2/53,ARG3/1</t>
  </si>
  <si>
    <t xml:space="preserve">ADDR: 3; pro+4</t>
  </si>
  <si>
    <t xml:space="preserve">"dát-023"</t>
  </si>
  <si>
    <t xml:space="preserve">ACT-&gt;ARG0/549,ARG1/2,ARG2/3</t>
  </si>
  <si>
    <t xml:space="preserve">CPHR: {možnost,naděje,popud,právo,prostor,příležitost,šance,...}.4</t>
  </si>
  <si>
    <t xml:space="preserve">CPHR-&gt;ARG1/159</t>
  </si>
  <si>
    <t xml:space="preserve">CPHR-&gt;ARG1/381</t>
  </si>
  <si>
    <t xml:space="preserve">ADDR-&gt;ARG1/8,ARG2/154</t>
  </si>
  <si>
    <t xml:space="preserve">ADDR-&gt;ARG1/477,ARG2/161,ARG3/34</t>
  </si>
  <si>
    <t xml:space="preserve">"dát-024"</t>
  </si>
  <si>
    <t xml:space="preserve">CPHR: {důkaz,důvod,informace,nabídka,návrh,oznámení,podnět,rada,stížnost,svolení,výhoda,výpověď,vysvětlení,záruka,zpráva,žádost,žaloba,...}.4</t>
  </si>
  <si>
    <t xml:space="preserve">ACT-&gt;ARG0/359</t>
  </si>
  <si>
    <t xml:space="preserve">CPHR-&gt;ARG1/467,ARG2/1</t>
  </si>
  <si>
    <t xml:space="preserve">ADDR-&gt;ARG1/39,ARG2/326</t>
  </si>
  <si>
    <t xml:space="preserve">ACT-&gt;ARG0/199</t>
  </si>
  <si>
    <t xml:space="preserve">CPHR-&gt;ARG1/284</t>
  </si>
  <si>
    <t xml:space="preserve">ADDR-&gt;ARG1/11,ARG2/171</t>
  </si>
  <si>
    <t xml:space="preserve">ACT-&gt;ARG0/45</t>
  </si>
  <si>
    <t xml:space="preserve">CPHR-&gt;ARG1/60</t>
  </si>
  <si>
    <t xml:space="preserve">ACT-&gt;ARG0/808,ARG1/3,ARG2/3</t>
  </si>
  <si>
    <t xml:space="preserve">CPHR-&gt;ARG1/1148,ARG2/53,ARG3/1</t>
  </si>
  <si>
    <t xml:space="preserve">ADDR-&gt;ARG1/32,ARG2/253,ARG3/120</t>
  </si>
  <si>
    <t xml:space="preserve">"dát-025"</t>
  </si>
  <si>
    <t xml:space="preserve">CPHR: {hodnota}</t>
  </si>
  <si>
    <t xml:space="preserve">"dát-026"</t>
  </si>
  <si>
    <t xml:space="preserve">CPHR: {impuls,instrukce,motiv,možnost,naděje,odpověď,otázka,podmínka,podpora,pokyn,popud,povel,pověření,právo,pravomoc,příčina,příkaz,příležitost,přístup,signál,síla,slib,souhlas,šance,znamení,zpráva,...}.4</t>
  </si>
  <si>
    <t xml:space="preserve">ACT-&gt;ARG0/2503,ARG1/19</t>
  </si>
  <si>
    <t xml:space="preserve">CPHR-&gt;ARG0/1,ARG1/2757,ARG2/1</t>
  </si>
  <si>
    <t xml:space="preserve">ADDR-&gt;ARG1/12,ARG2/463</t>
  </si>
  <si>
    <t xml:space="preserve">ACT-&gt;ARG0/350</t>
  </si>
  <si>
    <t xml:space="preserve">CPHR-&gt;ARG1/501,ARG2/1</t>
  </si>
  <si>
    <t xml:space="preserve">ACT-&gt;ARG0/89</t>
  </si>
  <si>
    <t xml:space="preserve">CPHR-&gt;ARG1/125</t>
  </si>
  <si>
    <t xml:space="preserve">ADDR-&gt;ARG1/3,ARG2/17</t>
  </si>
  <si>
    <t xml:space="preserve">ACT-&gt;ARG0/905,ARG1/20,ARG2/3</t>
  </si>
  <si>
    <t xml:space="preserve">CPHR-&gt;ARG0/1,ARG1/699,ARG2/101</t>
  </si>
  <si>
    <t xml:space="preserve">ADDR-&gt;ARG1/581,ARG2/283,ARG3/34</t>
  </si>
  <si>
    <t xml:space="preserve">"dát-027"</t>
  </si>
  <si>
    <t xml:space="preserve">ACT-&gt;ARG0/236,ARG1/1,ARG2/3</t>
  </si>
  <si>
    <t xml:space="preserve">CPHR: {oprávnění,pokuta,sankce,upozornění,...}.4</t>
  </si>
  <si>
    <t xml:space="preserve">ACT-&gt;ARG0/34</t>
  </si>
  <si>
    <t xml:space="preserve">ADDR-&gt;ARG1/7,ARG2/35</t>
  </si>
  <si>
    <t xml:space="preserve">"dát-028"</t>
  </si>
  <si>
    <t xml:space="preserve">ACT-&gt;ARG0/97,ARG1/4</t>
  </si>
  <si>
    <t xml:space="preserve">CPHR: {preference,přednost,...}.4</t>
  </si>
  <si>
    <t xml:space="preserve">ADDR: 3; .f</t>
  </si>
  <si>
    <t xml:space="preserve">ADDR-&gt;ARG1/103</t>
  </si>
  <si>
    <t xml:space="preserve">"dát-029"</t>
  </si>
  <si>
    <t xml:space="preserve">CPHR: {důkaz,informace,návrh,oznámení,podnět,stížnost,zpráva,žádost,žaloba,...}.4</t>
  </si>
  <si>
    <t xml:space="preserve">"dát-030"</t>
  </si>
  <si>
    <t xml:space="preserve">CPHR: {důkaz,informace,návrh,oznámení,podnět,pravomoc,stížnost,zpráva,žádost,žaloba,...}.4</t>
  </si>
  <si>
    <t xml:space="preserve">"dát-031"</t>
  </si>
  <si>
    <t xml:space="preserve">CPHR: {důraz,...}.4</t>
  </si>
  <si>
    <t xml:space="preserve">"dát-032"</t>
  </si>
  <si>
    <t xml:space="preserve">CPHR: {pečeť,...}.4</t>
  </si>
  <si>
    <t xml:space="preserve">"dát-033"</t>
  </si>
  <si>
    <t xml:space="preserve">ACT-&gt;ARG0/462</t>
  </si>
  <si>
    <t xml:space="preserve">DPHR-&gt;ARG1/264</t>
  </si>
  <si>
    <t xml:space="preserve">PAT-&gt;ARG1/669,ARG2/1</t>
  </si>
  <si>
    <t xml:space="preserve">PAT-&gt;ARG1/767,ARG2/53,ARG3/1</t>
  </si>
  <si>
    <t xml:space="preserve">"dát-034"</t>
  </si>
  <si>
    <t xml:space="preserve">DPHR: na-1[srozuměná.FS4]</t>
  </si>
  <si>
    <t xml:space="preserve">"dát-035"</t>
  </si>
  <si>
    <t xml:space="preserve">DPHR: na-1[vědomí.S4]</t>
  </si>
  <si>
    <t xml:space="preserve">"dát-036"</t>
  </si>
  <si>
    <t xml:space="preserve">ACT-&gt;ARG0/376,ARG1/3102,ARG2/296</t>
  </si>
  <si>
    <t xml:space="preserve">DPHR: najevo</t>
  </si>
  <si>
    <t xml:space="preserve">DPHR-&gt;ARG1/169</t>
  </si>
  <si>
    <t xml:space="preserve">PAT: 4; ↓že; ↓aby; ↓ať; ↓zda; ↓jestli; ↓c</t>
  </si>
  <si>
    <t xml:space="preserve">PAT-&gt;ARG0/1,ARG1/430,ARG2/3605</t>
  </si>
  <si>
    <t xml:space="preserve">ADDR-&gt;ARG0/1,ARG2/2</t>
  </si>
  <si>
    <t xml:space="preserve">"dát-037"</t>
  </si>
  <si>
    <t xml:space="preserve">DPHR: na-1[starost.S4]</t>
  </si>
  <si>
    <t xml:space="preserve">"dát-038"</t>
  </si>
  <si>
    <t xml:space="preserve">DPHR: do-1[soulad.S2]</t>
  </si>
  <si>
    <t xml:space="preserve">EFF: s+7</t>
  </si>
  <si>
    <t xml:space="preserve">"dát-039"</t>
  </si>
  <si>
    <t xml:space="preserve">DPHR: dohromady</t>
  </si>
  <si>
    <t xml:space="preserve">ACT-&gt;ARG0/150,ARG1/1</t>
  </si>
  <si>
    <t xml:space="preserve">DPHR-&gt;ARG2/22</t>
  </si>
  <si>
    <t xml:space="preserve">PAT-&gt;ARG1/286</t>
  </si>
  <si>
    <t xml:space="preserve">"dát-040"</t>
  </si>
  <si>
    <t xml:space="preserve">DPHR: pozor-2.S4</t>
  </si>
  <si>
    <t xml:space="preserve">DPHR-&gt;ARG1/79,ARG2/2</t>
  </si>
  <si>
    <t xml:space="preserve">PAT: na+4; ↓aby; ↓c</t>
  </si>
  <si>
    <t xml:space="preserve">PAT-&gt;ARG1/3,ARG2/16</t>
  </si>
  <si>
    <t xml:space="preserve">"dát-041"</t>
  </si>
  <si>
    <t xml:space="preserve">DPHR: slyšet,se</t>
  </si>
  <si>
    <t xml:space="preserve">"dát-042"</t>
  </si>
  <si>
    <t xml:space="preserve">DPHR: z-1[ruka.2]</t>
  </si>
  <si>
    <t xml:space="preserve">"dát-043"</t>
  </si>
  <si>
    <t xml:space="preserve">DPHR: za-1[vyučená.FS4]</t>
  </si>
  <si>
    <t xml:space="preserve">"dát-044"</t>
  </si>
  <si>
    <t xml:space="preserve">DPHR-&gt;ARG1/342,ARG2/1</t>
  </si>
  <si>
    <t xml:space="preserve">PAT-&gt;ARG1/4,ARG2/309</t>
  </si>
  <si>
    <t xml:space="preserve">"dát-045"</t>
  </si>
  <si>
    <t xml:space="preserve">DPHR: práce.S4</t>
  </si>
  <si>
    <t xml:space="preserve">PAT: 1; .f</t>
  </si>
  <si>
    <t xml:space="preserve">"dát-046"</t>
  </si>
  <si>
    <t xml:space="preserve">DPHR: rozum.S1</t>
  </si>
  <si>
    <t xml:space="preserve">"dát-047"</t>
  </si>
  <si>
    <t xml:space="preserve">DPHR: červený.FS4</t>
  </si>
  <si>
    <t xml:space="preserve">"dát-048"</t>
  </si>
  <si>
    <t xml:space="preserve">DPHR: váha.S4[velký.#]; váha.S4[velký.@2#]</t>
  </si>
  <si>
    <t xml:space="preserve">"dát-049"</t>
  </si>
  <si>
    <t xml:space="preserve">DPHR: pokoj.4</t>
  </si>
  <si>
    <t xml:space="preserve">"dát-050"</t>
  </si>
  <si>
    <t xml:space="preserve">DPHR: ten.NS3</t>
  </si>
  <si>
    <t xml:space="preserve">"dát-051"</t>
  </si>
  <si>
    <t xml:space="preserve">DPHR: za-1[pravda.S4]</t>
  </si>
  <si>
    <t xml:space="preserve">?PAT: ↓že; v+6</t>
  </si>
  <si>
    <t xml:space="preserve">"dát-052"</t>
  </si>
  <si>
    <t xml:space="preserve">DPHR: vědět.f</t>
  </si>
  <si>
    <t xml:space="preserve">EFF: 4; ↓že; zda[v]; ↓c</t>
  </si>
  <si>
    <t xml:space="preserve">DPHR-&gt;ARG1/119</t>
  </si>
  <si>
    <t xml:space="preserve">ADDR-&gt;ARG1/125</t>
  </si>
  <si>
    <t xml:space="preserve">"dát-053"</t>
  </si>
  <si>
    <t xml:space="preserve">DPHR: čekat[na-1[se.4]]</t>
  </si>
  <si>
    <t xml:space="preserve">"dát-054"</t>
  </si>
  <si>
    <t xml:space="preserve">DPHR: bůh.S5</t>
  </si>
  <si>
    <t xml:space="preserve">"dát-055"</t>
  </si>
  <si>
    <t xml:space="preserve">"dát-056"</t>
  </si>
  <si>
    <t xml:space="preserve">CPHR: {chuť}.4</t>
  </si>
  <si>
    <t xml:space="preserve">"dát-057"</t>
  </si>
  <si>
    <t xml:space="preserve">CPHR: {jméno}.4</t>
  </si>
  <si>
    <t xml:space="preserve">"dát-058"</t>
  </si>
  <si>
    <t xml:space="preserve">"dát-059"</t>
  </si>
  <si>
    <t xml:space="preserve">ACT-&gt;ARG0/155,ARG1/2,ARG2/3</t>
  </si>
  <si>
    <t xml:space="preserve">DPHR-&gt;ARG1/245</t>
  </si>
  <si>
    <t xml:space="preserve">PAT-&gt;ARG2/27</t>
  </si>
  <si>
    <t xml:space="preserve">"dát-060"</t>
  </si>
  <si>
    <t xml:space="preserve">DPHR: srdce.S4</t>
  </si>
  <si>
    <t xml:space="preserve">"dát-061"</t>
  </si>
  <si>
    <t xml:space="preserve">DPHR: vale</t>
  </si>
  <si>
    <t xml:space="preserve">"dát-062"</t>
  </si>
  <si>
    <t xml:space="preserve">DPHR: v-1[sázka.S4]</t>
  </si>
  <si>
    <t xml:space="preserve">DPHR-&gt;ARG1/6,ARG2/12</t>
  </si>
  <si>
    <t xml:space="preserve">PAT-&gt;ARG0/31,ARG1/38</t>
  </si>
  <si>
    <t xml:space="preserve">"dát-063"</t>
  </si>
  <si>
    <t xml:space="preserve">"dát-064"</t>
  </si>
  <si>
    <t xml:space="preserve">DPHR: co-1,proto-1</t>
  </si>
  <si>
    <t xml:space="preserve">"dát-065"</t>
  </si>
  <si>
    <t xml:space="preserve">DPHR: dopustit.$2&lt;f&gt;</t>
  </si>
  <si>
    <t xml:space="preserve">"dát-066"</t>
  </si>
  <si>
    <t xml:space="preserve">?PAT: 4; z+2; ↓c</t>
  </si>
  <si>
    <t xml:space="preserve">"dát-067"</t>
  </si>
  <si>
    <t xml:space="preserve">DPHR: pánbůh.S1</t>
  </si>
  <si>
    <t xml:space="preserve">"dát-068"</t>
  </si>
  <si>
    <t xml:space="preserve">DPHR: ruka.S4,do-1[oheň.S2]</t>
  </si>
  <si>
    <t xml:space="preserve">"dát-069"</t>
  </si>
  <si>
    <t xml:space="preserve">"dát-070"</t>
  </si>
  <si>
    <t xml:space="preserve">"dát-071"</t>
  </si>
  <si>
    <t xml:space="preserve">DPHR: moc</t>
  </si>
  <si>
    <t xml:space="preserve">"dát-072"</t>
  </si>
  <si>
    <t xml:space="preserve">"dát-073"</t>
  </si>
  <si>
    <t xml:space="preserve">"dát-074"</t>
  </si>
  <si>
    <t xml:space="preserve">DPHR: slovo.S1,slovo.S4</t>
  </si>
  <si>
    <t xml:space="preserve">"--dát-075"</t>
  </si>
  <si>
    <t xml:space="preserve">"dát-076"</t>
  </si>
  <si>
    <t xml:space="preserve">"dát-077"</t>
  </si>
  <si>
    <t xml:space="preserve">DIR3: do+2</t>
  </si>
  <si>
    <t xml:space="preserve">"dát-078"</t>
  </si>
  <si>
    <t xml:space="preserve">"dát-se-001"</t>
  </si>
  <si>
    <t xml:space="preserve">ACT-&gt;ARG0/10,ARG1/3</t>
  </si>
  <si>
    <t xml:space="preserve">PAT-&gt;ARG1/8,ARG2/6</t>
  </si>
  <si>
    <t xml:space="preserve">"dát-se-002"</t>
  </si>
  <si>
    <t xml:space="preserve">"dát-se-003"</t>
  </si>
  <si>
    <t xml:space="preserve">"dát-se-004"</t>
  </si>
  <si>
    <t xml:space="preserve">CPHR: do-1[{hospodaření,let,pohyb,práce,rybaření,výklad,výroba,...}.2]; v-1[{let,...}.4]</t>
  </si>
  <si>
    <t xml:space="preserve">ACT-&gt;ARG0/484,ARG1/224,ARG2/5</t>
  </si>
  <si>
    <t xml:space="preserve">CPHR-&gt;ARG1/4</t>
  </si>
  <si>
    <t xml:space="preserve">CPHR-&gt;ARG1/565,ARG2/1</t>
  </si>
  <si>
    <t xml:space="preserve">"dát-se-005"</t>
  </si>
  <si>
    <t xml:space="preserve">ACT-&gt;ARG0/21,ARG1/50</t>
  </si>
  <si>
    <t xml:space="preserve">ACT-&gt;ARG0/21,ARG1/49</t>
  </si>
  <si>
    <t xml:space="preserve">PAT-&gt;ARG1/23,ARG2/37</t>
  </si>
  <si>
    <t xml:space="preserve">"dát-se-006"</t>
  </si>
  <si>
    <t xml:space="preserve">DPHR: cesta.S7</t>
  </si>
  <si>
    <t xml:space="preserve">"dát-se-007"</t>
  </si>
  <si>
    <t xml:space="preserve">ACT-&gt;ARG0/10,ARG1/2</t>
  </si>
  <si>
    <t xml:space="preserve">CPHR: na-1[{ústup,útěk}.4]</t>
  </si>
  <si>
    <t xml:space="preserve">"dát-se-008"</t>
  </si>
  <si>
    <t xml:space="preserve">DPHR: do-1[řeč.S2]</t>
  </si>
  <si>
    <t xml:space="preserve">"dát-se-009"</t>
  </si>
  <si>
    <t xml:space="preserve">"dát-si-001"</t>
  </si>
  <si>
    <t xml:space="preserve">"dát-si-002"</t>
  </si>
  <si>
    <t xml:space="preserve">"dát-si-003"</t>
  </si>
  <si>
    <t xml:space="preserve">"dát-si-004"</t>
  </si>
  <si>
    <t xml:space="preserve">DPHR: záležet.f</t>
  </si>
  <si>
    <t xml:space="preserve">?PAT: na+6</t>
  </si>
  <si>
    <t xml:space="preserve">"dát-si-005"</t>
  </si>
  <si>
    <t xml:space="preserve">"dát-si-006"</t>
  </si>
  <si>
    <t xml:space="preserve">DPHR: bacha.4</t>
  </si>
  <si>
    <t xml:space="preserve">"dát-si-007"</t>
  </si>
  <si>
    <t xml:space="preserve">ACT-&gt;ARG0/197,ARG1/25</t>
  </si>
  <si>
    <t xml:space="preserve">DPHR: načas; čas.S4</t>
  </si>
  <si>
    <t xml:space="preserve">DPHR-&gt;ARG1/224,ARG2/26</t>
  </si>
  <si>
    <t xml:space="preserve">"dát-si-008"</t>
  </si>
  <si>
    <t xml:space="preserve">DPHR: šlofík.S4</t>
  </si>
  <si>
    <t xml:space="preserve">"dát-si-009"</t>
  </si>
  <si>
    <t xml:space="preserve">DPHR: říci.f$11&lt;A&gt;</t>
  </si>
  <si>
    <t xml:space="preserve">?PAT: ↓aby</t>
  </si>
  <si>
    <t xml:space="preserve">"dát-si-010"</t>
  </si>
  <si>
    <t xml:space="preserve">"dávat-001"</t>
  </si>
  <si>
    <t xml:space="preserve">"dávat-002"</t>
  </si>
  <si>
    <t xml:space="preserve">"dávat-003"</t>
  </si>
  <si>
    <t xml:space="preserve">ACT-&gt;ARG0/463</t>
  </si>
  <si>
    <t xml:space="preserve">ACT-&gt;ARG0/448,ARG1/1</t>
  </si>
  <si>
    <t xml:space="preserve">PAT-&gt;ARG1/641,ARG2/16</t>
  </si>
  <si>
    <t xml:space="preserve">PAT-&gt;ARG1/455,ARG2/4,ARG3/1</t>
  </si>
  <si>
    <t xml:space="preserve">ADDR-&gt;ARG1/27,ARG2/496</t>
  </si>
  <si>
    <t xml:space="preserve">ADDR-&gt;ARG1/9,ARG2/483,ARG4/2</t>
  </si>
  <si>
    <t xml:space="preserve">"dávat-004"</t>
  </si>
  <si>
    <t xml:space="preserve">ACT-&gt;ARG0/485</t>
  </si>
  <si>
    <t xml:space="preserve">PAT-&gt;ARG1/705,ARG2/1</t>
  </si>
  <si>
    <t xml:space="preserve">PAT-&gt;ARG1/381</t>
  </si>
  <si>
    <t xml:space="preserve">ADDR-&gt;ARG1/15,ARG2/481</t>
  </si>
  <si>
    <t xml:space="preserve">"dávat-005"</t>
  </si>
  <si>
    <t xml:space="preserve">"dávat-006"</t>
  </si>
  <si>
    <t xml:space="preserve">"dávat-007"</t>
  </si>
  <si>
    <t xml:space="preserve">"dávat-008"</t>
  </si>
  <si>
    <t xml:space="preserve">PAT-&gt;ARG1/501,ARG2/1</t>
  </si>
  <si>
    <t xml:space="preserve">"dávat-009"</t>
  </si>
  <si>
    <t xml:space="preserve">ACT-&gt;ARG0/272,ARG1/1</t>
  </si>
  <si>
    <t xml:space="preserve">ACT-&gt;ARG0/303</t>
  </si>
  <si>
    <t xml:space="preserve">PAT-&gt;ARG1/580,ARG2/1</t>
  </si>
  <si>
    <t xml:space="preserve">PAT-&gt;ARG1/425,ARG2/2</t>
  </si>
  <si>
    <t xml:space="preserve">ADDR-&gt;ARG1/6,ARG2/355,ARG4/2</t>
  </si>
  <si>
    <t xml:space="preserve">"dávat-010"</t>
  </si>
  <si>
    <t xml:space="preserve">"dávat-011"</t>
  </si>
  <si>
    <t xml:space="preserve">"dávat-012"</t>
  </si>
  <si>
    <t xml:space="preserve">"dávat-013"</t>
  </si>
  <si>
    <t xml:space="preserve">ACT-&gt;ARG0/86</t>
  </si>
  <si>
    <t xml:space="preserve">PAT-&gt;ARG1/143</t>
  </si>
  <si>
    <t xml:space="preserve">"dávat-014"</t>
  </si>
  <si>
    <t xml:space="preserve">ACT-&gt;ARG0/325</t>
  </si>
  <si>
    <t xml:space="preserve">PAT-&gt;ARG1/485,ARG2/1</t>
  </si>
  <si>
    <t xml:space="preserve">"dávat-015"</t>
  </si>
  <si>
    <t xml:space="preserve">PAT-&gt;ARG1/31</t>
  </si>
  <si>
    <t xml:space="preserve">"dávat-016"</t>
  </si>
  <si>
    <t xml:space="preserve">"dávat-017"</t>
  </si>
  <si>
    <t xml:space="preserve">"dávat-018"</t>
  </si>
  <si>
    <t xml:space="preserve">"dávat-019"</t>
  </si>
  <si>
    <t xml:space="preserve">"dávat-020"</t>
  </si>
  <si>
    <t xml:space="preserve">CPHR: {důkaz,informace,návrh,oznámení,podnět,povolení,stížnost,vysvětlení,zpráva,žádost,žaloba,...}.4</t>
  </si>
  <si>
    <t xml:space="preserve">"dávat-021"</t>
  </si>
  <si>
    <t xml:space="preserve">CPHR: {hlas,pohlavek,políček,pusa,rada,...}.4</t>
  </si>
  <si>
    <t xml:space="preserve">CPHR-&gt;ARG1/6</t>
  </si>
  <si>
    <t xml:space="preserve">ACT-&gt;ARG0/384,ARG1/1</t>
  </si>
  <si>
    <t xml:space="preserve">CPHR-&gt;ARG1/56,ARG2/30</t>
  </si>
  <si>
    <t xml:space="preserve">ADDR-&gt;ARG1/499,ARG2/107</t>
  </si>
  <si>
    <t xml:space="preserve">"dávat-022"</t>
  </si>
  <si>
    <t xml:space="preserve">CPHR: {podmínka,pokuta,sankce,výpověď,...}.4</t>
  </si>
  <si>
    <t xml:space="preserve">"dávat-023"</t>
  </si>
  <si>
    <t xml:space="preserve">ACT-&gt;ARG0/98,ARG1/4</t>
  </si>
  <si>
    <t xml:space="preserve">CPHR: {preference,přednost,výhodu,...}.4</t>
  </si>
  <si>
    <t xml:space="preserve">ADDR-&gt;ARG1/105</t>
  </si>
  <si>
    <t xml:space="preserve">ADDR-&gt;ARG1/60</t>
  </si>
  <si>
    <t xml:space="preserve">"dávat-024"</t>
  </si>
  <si>
    <t xml:space="preserve">CPHR: {cíl,cíl,hlas,impuls,instruktáž,mandát,mandát,moc,možnost,nabídka,náboj,náboj,naděje,oprávnění,podpora,pokyn,pokyn,popud,povel,pověření,povinnost,požehnání,právo,pravomoc,pravomoc,prostor,příčina,příkaz,příležitost,rada,schopnost,signál,síla,smysl,šance,vina,výhoda,závazek,...}.4</t>
  </si>
  <si>
    <t xml:space="preserve">ACT-&gt;ARG0/394</t>
  </si>
  <si>
    <t xml:space="preserve">CPHR-&gt;ARG1/561,ARG2/1</t>
  </si>
  <si>
    <t xml:space="preserve">ACT-&gt;ARG0/501,ARG1/1</t>
  </si>
  <si>
    <t xml:space="preserve">CPHR-&gt;ARG1/733,ARG2/1</t>
  </si>
  <si>
    <t xml:space="preserve">ADDR-&gt;ARG1/19,ARG2/463,ARG3/5</t>
  </si>
  <si>
    <t xml:space="preserve">ACT-&gt;ARG0/621,ARG1/2,ARG2/3</t>
  </si>
  <si>
    <t xml:space="preserve">CPHR-&gt;ARG1/415,ARG2/94</t>
  </si>
  <si>
    <t xml:space="preserve">ADDR-&gt;ARG1/554,ARG2/162,ARG3/34</t>
  </si>
  <si>
    <t xml:space="preserve">ACT-&gt;ARG0/4,ARG2/11</t>
  </si>
  <si>
    <t xml:space="preserve">CPHR-&gt;ARG1/16</t>
  </si>
  <si>
    <t xml:space="preserve">"dávat-025"</t>
  </si>
  <si>
    <t xml:space="preserve">ACT-&gt;ARG1/61</t>
  </si>
  <si>
    <t xml:space="preserve">CPHR: {pocit,...}</t>
  </si>
  <si>
    <t xml:space="preserve">ADDR-&gt;ARG0/52,ARG1/1</t>
  </si>
  <si>
    <t xml:space="preserve">"dávat-026"</t>
  </si>
  <si>
    <t xml:space="preserve">CPHR: {záruka,...}.4</t>
  </si>
  <si>
    <t xml:space="preserve">CPHR-&gt;ARG1/113</t>
  </si>
  <si>
    <t xml:space="preserve">ADDR-&gt;ARG2/11</t>
  </si>
  <si>
    <t xml:space="preserve">"dávat-027"</t>
  </si>
  <si>
    <t xml:space="preserve">"dávat-028"</t>
  </si>
  <si>
    <t xml:space="preserve">"dávat-029"</t>
  </si>
  <si>
    <t xml:space="preserve">"dávat-030"</t>
  </si>
  <si>
    <t xml:space="preserve">ACT-&gt;ARG0/178</t>
  </si>
  <si>
    <t xml:space="preserve">ACT-&gt;ARG0/1491,ARG1/2,ARG2/1</t>
  </si>
  <si>
    <t xml:space="preserve">PAT-&gt;ARG1/267</t>
  </si>
  <si>
    <t xml:space="preserve">PAT-&gt;ARG1/2058,ARG2/63,ARG3/1</t>
  </si>
  <si>
    <t xml:space="preserve">ADDR-&gt;ARG1/53,ARG2/971,ARG3/86</t>
  </si>
  <si>
    <t xml:space="preserve">"dávat-031"</t>
  </si>
  <si>
    <t xml:space="preserve">"dávat-032"</t>
  </si>
  <si>
    <t xml:space="preserve">"dávat-033"</t>
  </si>
  <si>
    <t xml:space="preserve">"dávat-034"</t>
  </si>
  <si>
    <t xml:space="preserve">"dávat-035"</t>
  </si>
  <si>
    <t xml:space="preserve">ACT-&gt;ARG0/275</t>
  </si>
  <si>
    <t xml:space="preserve">DPHR: za-1[vina.S4]</t>
  </si>
  <si>
    <t xml:space="preserve">PAT-&gt;ARG1/1,ARG2/21</t>
  </si>
  <si>
    <t xml:space="preserve">PAT-&gt;ARG1/174,ARG2/204</t>
  </si>
  <si>
    <t xml:space="preserve">ADDR-&gt;ARG1/24,ARG2/1</t>
  </si>
  <si>
    <t xml:space="preserve">ADDR-&gt;ARG1/221,ARG2/5</t>
  </si>
  <si>
    <t xml:space="preserve">"dávat-036"</t>
  </si>
  <si>
    <t xml:space="preserve">"dávat-037"</t>
  </si>
  <si>
    <t xml:space="preserve">PAT: na+4; ↓aby; ↓c; ↓jestli; ↓zda</t>
  </si>
  <si>
    <t xml:space="preserve">DPHR-&gt;ARG1/15</t>
  </si>
  <si>
    <t xml:space="preserve">PAT-&gt;ARG1/1,ARG2/15</t>
  </si>
  <si>
    <t xml:space="preserve">"dávat-038"</t>
  </si>
  <si>
    <t xml:space="preserve">DPHR: šťáva.S3</t>
  </si>
  <si>
    <t xml:space="preserve">"dávat-039"</t>
  </si>
  <si>
    <t xml:space="preserve">DPHR: váha.4</t>
  </si>
  <si>
    <t xml:space="preserve">"dávat-040"</t>
  </si>
  <si>
    <t xml:space="preserve">DPHR: vina.S4</t>
  </si>
  <si>
    <t xml:space="preserve">"dávat-041"</t>
  </si>
  <si>
    <t xml:space="preserve">"dávat-042"</t>
  </si>
  <si>
    <t xml:space="preserve">ACT-&gt;ARG0/202,ARG1/18</t>
  </si>
  <si>
    <t xml:space="preserve">ADDR-&gt;ARG1/1</t>
  </si>
  <si>
    <t xml:space="preserve">ADDR-&gt;ARG1/27,ARG2/50</t>
  </si>
  <si>
    <t xml:space="preserve">PAT-&gt;ARG0/1,ARG1/166,ARG2/7</t>
  </si>
  <si>
    <t xml:space="preserve">"dávat-043"</t>
  </si>
  <si>
    <t xml:space="preserve">"dávat-044"</t>
  </si>
  <si>
    <t xml:space="preserve">ACT-&gt;ARG0/3,ARG2/11</t>
  </si>
  <si>
    <t xml:space="preserve">DPHR: smysl.S4</t>
  </si>
  <si>
    <t xml:space="preserve">DPHR-&gt;ARG1/16</t>
  </si>
  <si>
    <t xml:space="preserve">"dávat-045"</t>
  </si>
  <si>
    <t xml:space="preserve">ADDR-&gt;ARG2/18</t>
  </si>
  <si>
    <t xml:space="preserve">"dávat-046"</t>
  </si>
  <si>
    <t xml:space="preserve">"dávat-047"</t>
  </si>
  <si>
    <t xml:space="preserve">DPHR: na-1[odiv.S4]</t>
  </si>
  <si>
    <t xml:space="preserve">PAT: ↓.4,že</t>
  </si>
  <si>
    <t xml:space="preserve">"dávat-048"</t>
  </si>
  <si>
    <t xml:space="preserve">"dávat-049"</t>
  </si>
  <si>
    <t xml:space="preserve">DPHR: zelený.FS4@1$11&lt;A&gt;</t>
  </si>
  <si>
    <t xml:space="preserve">DPHR-&gt;ARG1/159</t>
  </si>
  <si>
    <t xml:space="preserve">DPHR-&gt;ARG1/381</t>
  </si>
  <si>
    <t xml:space="preserve">PAT-&gt;ARG1/8,ARG2/154</t>
  </si>
  <si>
    <t xml:space="preserve">PAT-&gt;ARG1/22,ARG2/77,ARG3/34</t>
  </si>
  <si>
    <t xml:space="preserve">"dávat-050"</t>
  </si>
  <si>
    <t xml:space="preserve">CPHR: {gól}.4</t>
  </si>
  <si>
    <t xml:space="preserve">"dávat-051"</t>
  </si>
  <si>
    <t xml:space="preserve">"dávat-052"</t>
  </si>
  <si>
    <t xml:space="preserve">DPHR: k-1[dobro.NS3]</t>
  </si>
  <si>
    <t xml:space="preserve">"dávat-053"</t>
  </si>
  <si>
    <t xml:space="preserve">DPHR: práce.S2</t>
  </si>
  <si>
    <t xml:space="preserve">PAT: 1; .f; ↓než-3</t>
  </si>
  <si>
    <t xml:space="preserve">"dávat-054"</t>
  </si>
  <si>
    <t xml:space="preserve">"dávat-055"</t>
  </si>
  <si>
    <t xml:space="preserve">"dávat-056"</t>
  </si>
  <si>
    <t xml:space="preserve">DPHR: liška.P1,noc.S4[dobrý.#]</t>
  </si>
  <si>
    <t xml:space="preserve">"dávat-057"</t>
  </si>
  <si>
    <t xml:space="preserve">DPHR: do-1[puc.S2]</t>
  </si>
  <si>
    <t xml:space="preserve">"dávat-058"</t>
  </si>
  <si>
    <t xml:space="preserve">"dávat-059"</t>
  </si>
  <si>
    <t xml:space="preserve">DPHR: kouř.S4</t>
  </si>
  <si>
    <t xml:space="preserve">"dávat-se-001"</t>
  </si>
  <si>
    <t xml:space="preserve">"dávat-se-002"</t>
  </si>
  <si>
    <t xml:space="preserve">"dávat-se-003"</t>
  </si>
  <si>
    <t xml:space="preserve">"dávat-se-004"</t>
  </si>
  <si>
    <t xml:space="preserve">"dávat-se-005"</t>
  </si>
  <si>
    <t xml:space="preserve">CPHR: do-1[{hospodaření,pohyb,pochod,práce,výklad,výroba,...}.2]</t>
  </si>
  <si>
    <t xml:space="preserve">"dávat-se-006"</t>
  </si>
  <si>
    <t xml:space="preserve">"dávat-si-001"</t>
  </si>
  <si>
    <t xml:space="preserve">CPHR: {rande,schůzka}.4</t>
  </si>
  <si>
    <t xml:space="preserve">"dávat-si-002"</t>
  </si>
  <si>
    <t xml:space="preserve">DPHR: líbit</t>
  </si>
  <si>
    <t xml:space="preserve">"dávat-si-003"</t>
  </si>
  <si>
    <t xml:space="preserve">"dávat-si-004"</t>
  </si>
  <si>
    <t xml:space="preserve">DPHR: načas; na-1[čas.S4]</t>
  </si>
  <si>
    <t xml:space="preserve">"dávat-si-006"</t>
  </si>
  <si>
    <t xml:space="preserve">DPHR: do-1[nos.S2]</t>
  </si>
  <si>
    <t xml:space="preserve">"dávat-si-007"</t>
  </si>
  <si>
    <t xml:space="preserve">DPHR: pozor.S4</t>
  </si>
  <si>
    <t xml:space="preserve">"dávat-si-008"</t>
  </si>
  <si>
    <t xml:space="preserve">"dávkovat-001"</t>
  </si>
  <si>
    <t xml:space="preserve">"démonizovat-001"</t>
  </si>
  <si>
    <t xml:space="preserve">"dít-001"</t>
  </si>
  <si>
    <t xml:space="preserve">"dít-se-001"</t>
  </si>
  <si>
    <t xml:space="preserve">ACT-&gt;ARG1/445</t>
  </si>
  <si>
    <t xml:space="preserve">ACT-&gt;ARG1/147</t>
  </si>
  <si>
    <t xml:space="preserve">PAT-&gt;ARG2/28</t>
  </si>
  <si>
    <t xml:space="preserve">"dít-se-002"</t>
  </si>
  <si>
    <t xml:space="preserve">"dít-se-003"</t>
  </si>
  <si>
    <t xml:space="preserve">ACT: 1; tak-3</t>
  </si>
  <si>
    <t xml:space="preserve">ACT-&gt;ARG1/1031</t>
  </si>
  <si>
    <t xml:space="preserve">"dívat-se-001"</t>
  </si>
  <si>
    <t xml:space="preserve">PAT: na+4; ↓jak-2; ↓c; ↓jestli; na+6</t>
  </si>
  <si>
    <t xml:space="preserve">ACT-&gt;ARG0/471,ARG1/2</t>
  </si>
  <si>
    <t xml:space="preserve">PAT-&gt;ARG1/639,ARG2/2</t>
  </si>
  <si>
    <t xml:space="preserve">"dívat-se-002"</t>
  </si>
  <si>
    <t xml:space="preserve">ACT-&gt;ARG0/279</t>
  </si>
  <si>
    <t xml:space="preserve">PAT-&gt;ARG1/354,ARG2/1</t>
  </si>
  <si>
    <t xml:space="preserve">ALT-DIR1: *</t>
  </si>
  <si>
    <t xml:space="preserve">DIR1-&gt;ARG1/3,ARG2/156</t>
  </si>
  <si>
    <t xml:space="preserve">MANN-&gt;ARG2/74</t>
  </si>
  <si>
    <t xml:space="preserve">MANN-&gt;ARG1/3,ARG2/156</t>
  </si>
  <si>
    <t xml:space="preserve">ACMP-&gt;ARG1/3,ARG2/156</t>
  </si>
  <si>
    <t xml:space="preserve">CRIT-&gt;ARG1/3,ARG2/156</t>
  </si>
  <si>
    <t xml:space="preserve">CPR-&gt;ARG1/1,ARG2/344</t>
  </si>
  <si>
    <t xml:space="preserve">CPR-&gt;ARG1/3,ARG2/156</t>
  </si>
  <si>
    <t xml:space="preserve">"dívat-se-003"</t>
  </si>
  <si>
    <t xml:space="preserve">PAT-&gt;ARG1/74,ARG2/1</t>
  </si>
  <si>
    <t xml:space="preserve">"dívat-se-004"</t>
  </si>
  <si>
    <t xml:space="preserve">"dívat-se-005"</t>
  </si>
  <si>
    <t xml:space="preserve">ACT-&gt;ARG0/136</t>
  </si>
  <si>
    <t xml:space="preserve">DIR3-&gt;ARG1/74,ARG2/1</t>
  </si>
  <si>
    <t xml:space="preserve">DIR3-&gt;ARG1/76,ARG2/1</t>
  </si>
  <si>
    <t xml:space="preserve">DIR3-&gt;ARG1/179,ARG2/2</t>
  </si>
  <si>
    <t xml:space="preserve">"dívat-se-006"</t>
  </si>
  <si>
    <t xml:space="preserve">DPHR: přes-1[rameno.S4]</t>
  </si>
  <si>
    <t xml:space="preserve">"dívat-se-007"</t>
  </si>
  <si>
    <t xml:space="preserve">?EFF: ↓jestli</t>
  </si>
  <si>
    <t xml:space="preserve">"dýchat-001"</t>
  </si>
  <si>
    <t xml:space="preserve">"dýchat-002"</t>
  </si>
  <si>
    <t xml:space="preserve">"dýchat-003"</t>
  </si>
  <si>
    <t xml:space="preserve">DPHR: na-1[krk.S4]</t>
  </si>
  <si>
    <t xml:space="preserve">"dýchat-004"</t>
  </si>
  <si>
    <t xml:space="preserve">"dýchat-005"</t>
  </si>
  <si>
    <t xml:space="preserve">"dědit-001"</t>
  </si>
  <si>
    <t xml:space="preserve">"děkovat-001"</t>
  </si>
  <si>
    <t xml:space="preserve">ADDR-&gt;ARG1/6</t>
  </si>
  <si>
    <t xml:space="preserve">PAT-&gt;ARG2/5</t>
  </si>
  <si>
    <t xml:space="preserve">"dělat-001"</t>
  </si>
  <si>
    <t xml:space="preserve">ACT-&gt;ARG0/4,ARG1/3112,ARG2/296</t>
  </si>
  <si>
    <t xml:space="preserve">PAT-&gt;ARG1/236,ARG2/3451</t>
  </si>
  <si>
    <t xml:space="preserve">ADDR-&gt;ARG0/113</t>
  </si>
  <si>
    <t xml:space="preserve">"dělat-002"</t>
  </si>
  <si>
    <t xml:space="preserve">"dělat-003"</t>
  </si>
  <si>
    <t xml:space="preserve">ACT-&gt;ARG0/216,ARG1/1</t>
  </si>
  <si>
    <t xml:space="preserve">ADDR-&gt;ARG1/6,ARG2/34,ARG3/1</t>
  </si>
  <si>
    <t xml:space="preserve">"dělat-004"</t>
  </si>
  <si>
    <t xml:space="preserve">ACT-&gt;ARG0/286,ARG1/4,ARG2/3,ARG3/1</t>
  </si>
  <si>
    <t xml:space="preserve">PAT-&gt;ARG1/441</t>
  </si>
  <si>
    <t xml:space="preserve">"dělat-005"</t>
  </si>
  <si>
    <t xml:space="preserve">PAT-&gt;ARG1/245</t>
  </si>
  <si>
    <t xml:space="preserve">ORIG: z+2</t>
  </si>
  <si>
    <t xml:space="preserve">"dělat-006"</t>
  </si>
  <si>
    <t xml:space="preserve">ACT-&gt;ARG0/640,ARG1/4,ARG2/3</t>
  </si>
  <si>
    <t xml:space="preserve">PAT-&gt;ARG1/956</t>
  </si>
  <si>
    <t xml:space="preserve">ORIG-&gt;ARG1/267,ARG2/30</t>
  </si>
  <si>
    <t xml:space="preserve">"dělat-007"</t>
  </si>
  <si>
    <t xml:space="preserve">EFF-&gt;ARG1/264</t>
  </si>
  <si>
    <t xml:space="preserve">"dělat-008"</t>
  </si>
  <si>
    <t xml:space="preserve">PAT-&gt;ARG0/178,ARG1/267</t>
  </si>
  <si>
    <t xml:space="preserve">EFF: 7; .a7</t>
  </si>
  <si>
    <t xml:space="preserve">"dělat-009"</t>
  </si>
  <si>
    <t xml:space="preserve">MANN-&gt;ARG1/2</t>
  </si>
  <si>
    <t xml:space="preserve">"dělat-010"</t>
  </si>
  <si>
    <t xml:space="preserve">ACT-&gt;ARG0/3124,ARG1/3152,ARG2/300,ARG3/1</t>
  </si>
  <si>
    <t xml:space="preserve">PAT-&gt;ARG0/2,ARG1/3714,ARG2/3451</t>
  </si>
  <si>
    <t xml:space="preserve">"dělat-011"</t>
  </si>
  <si>
    <t xml:space="preserve">PAT: 4; .d; tak-3</t>
  </si>
  <si>
    <t xml:space="preserve">ACT-&gt;ARG0/2536,ARG1/22,ARG3/1</t>
  </si>
  <si>
    <t xml:space="preserve">PAT-&gt;ARG0/1,ARG1/2804</t>
  </si>
  <si>
    <t xml:space="preserve">"dělat-012"</t>
  </si>
  <si>
    <t xml:space="preserve">PAT: 4; ↓že; ↓c; jako[že[.v]]; jako[by[.v]]</t>
  </si>
  <si>
    <t xml:space="preserve">"dělat-013"</t>
  </si>
  <si>
    <t xml:space="preserve">"dělat-014"</t>
  </si>
  <si>
    <t xml:space="preserve">"dělat-015"</t>
  </si>
  <si>
    <t xml:space="preserve">"dělat-016"</t>
  </si>
  <si>
    <t xml:space="preserve">"dělat-017"</t>
  </si>
  <si>
    <t xml:space="preserve">"dělat-018"</t>
  </si>
  <si>
    <t xml:space="preserve">"dělat-019"</t>
  </si>
  <si>
    <t xml:space="preserve">ACT-&gt;ARG0/131,ARG1/2,ARG3/1</t>
  </si>
  <si>
    <t xml:space="preserve">"dělat-020"</t>
  </si>
  <si>
    <t xml:space="preserve">"dělat-021"</t>
  </si>
  <si>
    <t xml:space="preserve">CPHR: {dojem,...}.4</t>
  </si>
  <si>
    <t xml:space="preserve">"dělat-022"</t>
  </si>
  <si>
    <t xml:space="preserve">CPHR: {soud,rešerše,závěr,...}.4</t>
  </si>
  <si>
    <t xml:space="preserve">CPHR-&gt;ARG1/128</t>
  </si>
  <si>
    <t xml:space="preserve">"dělat-023"</t>
  </si>
  <si>
    <t xml:space="preserve">CPHR: {analýza,činnost,elektrifikace,expertíza,fotbálek,hlášení,hodnocení,hovor,chyba,instruktáž,kladení,kontrola,kouzlo,krájení,krok,léčení,lyžování,maturita,nábor,nácvik,nákup,ohledání,omezení,opatření,operace,oprava,plán,pokrok,pokus,poradenství,postavení,postřik,práce,prognóza,projekt,propagace,průkaz,průzkum,příprava,přitahování,rekonstrukce,reorganizace,restrukturalizace,rozhodnutí,rozhovor,sčítání,slib,sport,škoda,tenis,test,údržba,úprava,ústupek,vklad,vyčištění,vyhrabování,výkop,vyšetření,výzkum,zátah,zatravňování,zkouška,změna,...}.4</t>
  </si>
  <si>
    <t xml:space="preserve">CPHR-&gt;ARG1/38</t>
  </si>
  <si>
    <t xml:space="preserve">ACT-&gt;ARG0/286,ARG1/3,ARG3/1</t>
  </si>
  <si>
    <t xml:space="preserve">CPHR-&gt;ARG1/413</t>
  </si>
  <si>
    <t xml:space="preserve">ACT-&gt;ARG0/221,ARG1/2,ARG3/1</t>
  </si>
  <si>
    <t xml:space="preserve">CPHR-&gt;ARG1/324</t>
  </si>
  <si>
    <t xml:space="preserve">ACT-&gt;ARG0/244,ARG1/2,ARG3/1</t>
  </si>
  <si>
    <t xml:space="preserve">CPHR-&gt;ARG1/362</t>
  </si>
  <si>
    <t xml:space="preserve">"dělat-024"</t>
  </si>
  <si>
    <t xml:space="preserve">CPHR: {nabídka,návrh,...}.4</t>
  </si>
  <si>
    <t xml:space="preserve">"dělat-025"</t>
  </si>
  <si>
    <t xml:space="preserve">CPHR: {obchod,...}.4</t>
  </si>
  <si>
    <t xml:space="preserve">"dělat-026"</t>
  </si>
  <si>
    <t xml:space="preserve">CPHR: {lumpárna,povyk,rachot,rámus,vtípky,...}.4</t>
  </si>
  <si>
    <t xml:space="preserve">"dělat-027"</t>
  </si>
  <si>
    <t xml:space="preserve">ACT: 1; ↓kdyby</t>
  </si>
  <si>
    <t xml:space="preserve">DPHR: dobrota.S4</t>
  </si>
  <si>
    <t xml:space="preserve">"dělat-028"</t>
  </si>
  <si>
    <t xml:space="preserve">DPHR: neplecha.4</t>
  </si>
  <si>
    <t xml:space="preserve">"dělat-029"</t>
  </si>
  <si>
    <t xml:space="preserve">DPHR: svůj-2.NS4</t>
  </si>
  <si>
    <t xml:space="preserve">"dělat-030"</t>
  </si>
  <si>
    <t xml:space="preserve">DPHR: zloděj.4</t>
  </si>
  <si>
    <t xml:space="preserve">"dělat-031"</t>
  </si>
  <si>
    <t xml:space="preserve">DPHR: nos.S4[dlouhý:#]</t>
  </si>
  <si>
    <t xml:space="preserve">"dělat-032"</t>
  </si>
  <si>
    <t xml:space="preserve">"dělat-033"</t>
  </si>
  <si>
    <t xml:space="preserve">DPHR: ostuda.S4</t>
  </si>
  <si>
    <t xml:space="preserve">"dělat-034"</t>
  </si>
  <si>
    <t xml:space="preserve">DPHR: pitomina.P4</t>
  </si>
  <si>
    <t xml:space="preserve">"dělat-035"</t>
  </si>
  <si>
    <t xml:space="preserve">DPHR: rotyka.S4</t>
  </si>
  <si>
    <t xml:space="preserve">"dělat-036"</t>
  </si>
  <si>
    <t xml:space="preserve">DPHR: scéna.P4</t>
  </si>
  <si>
    <t xml:space="preserve">"--dělat-037"</t>
  </si>
  <si>
    <t xml:space="preserve">"dělat-038"</t>
  </si>
  <si>
    <t xml:space="preserve">CPHR: {hostina,koncert,svatba,vycházka,výlet,zájezd}.4</t>
  </si>
  <si>
    <t xml:space="preserve">"dělat-039"</t>
  </si>
  <si>
    <t xml:space="preserve">CPHR: {stín}.4</t>
  </si>
  <si>
    <t xml:space="preserve">"dělat-040"</t>
  </si>
  <si>
    <t xml:space="preserve">"dělat-041"</t>
  </si>
  <si>
    <t xml:space="preserve">DPHR: vědět.~S$2&lt;B&gt;$8&lt;1&gt;$9&lt;P&gt;$12&lt;A&gt;[co-1.4]</t>
  </si>
  <si>
    <t xml:space="preserve">"dělat-042"</t>
  </si>
  <si>
    <t xml:space="preserve">DPHR: zle</t>
  </si>
  <si>
    <t xml:space="preserve">"dělat-043"</t>
  </si>
  <si>
    <t xml:space="preserve">"--dělat-044"</t>
  </si>
  <si>
    <t xml:space="preserve">CPHR: {analýza,expertíza,hodnocení,chyba,instruktáž,kontrola,krájení,krok,nákup,ohledání,omezení,opatření,pokrok,pokus,poradenství,práce,prognóza,propagace,průzkum,reorganizace,restrukturalizace,rozhodnutí,rozhovor,slib,sport,test,údržba,ústupek,vklad,vyšetření,zátah,změna,...}.4</t>
  </si>
  <si>
    <t xml:space="preserve">"dělat-045"</t>
  </si>
  <si>
    <t xml:space="preserve">CPHR: {fotka,fotografie,snímek,zápis,záznam,...}.4</t>
  </si>
  <si>
    <t xml:space="preserve">"dělat-046"</t>
  </si>
  <si>
    <t xml:space="preserve">"dělat-047"</t>
  </si>
  <si>
    <t xml:space="preserve">"--dělat-048"</t>
  </si>
  <si>
    <t xml:space="preserve">"dělat-se-001"</t>
  </si>
  <si>
    <t xml:space="preserve">"dělat-se-002"</t>
  </si>
  <si>
    <t xml:space="preserve">"dělat-se-003"</t>
  </si>
  <si>
    <t xml:space="preserve">"dělat-se-004"</t>
  </si>
  <si>
    <t xml:space="preserve">"dělat-si-001"</t>
  </si>
  <si>
    <t xml:space="preserve">"dělat-si-002"</t>
  </si>
  <si>
    <t xml:space="preserve">ACT-&gt;ARG0/1383,ARG1/5</t>
  </si>
  <si>
    <t xml:space="preserve">CPHR: {naděje,nárok,představa,...}.4</t>
  </si>
  <si>
    <t xml:space="preserve">CPHR-&gt;ARG1/1413,ARG2/2</t>
  </si>
  <si>
    <t xml:space="preserve">"dělat-si-003"</t>
  </si>
  <si>
    <t xml:space="preserve">CPHR: {obava,starost,...}.4</t>
  </si>
  <si>
    <t xml:space="preserve">"dělat-si-004"</t>
  </si>
  <si>
    <t xml:space="preserve">DPHR: hlava:S4[těžký.#]</t>
  </si>
  <si>
    <t xml:space="preserve">"dělat-si-005"</t>
  </si>
  <si>
    <t xml:space="preserve">DPHR: nic.4</t>
  </si>
  <si>
    <t xml:space="preserve">"dělat-si-006"</t>
  </si>
  <si>
    <t xml:space="preserve">DPHR: legrace.S4; blázen.P4; sranda.S4</t>
  </si>
  <si>
    <t xml:space="preserve">?EFF: ↓že</t>
  </si>
  <si>
    <t xml:space="preserve">"dělat-si-007"</t>
  </si>
  <si>
    <t xml:space="preserve">DPHR: iluze.P4</t>
  </si>
  <si>
    <t xml:space="preserve">"dělat-si-008"</t>
  </si>
  <si>
    <t xml:space="preserve">DPHR: hlava.S4; hlava.S4[velký.#]</t>
  </si>
  <si>
    <t xml:space="preserve">PAT: s+7; z+2</t>
  </si>
  <si>
    <t xml:space="preserve">"dělat-si-009"</t>
  </si>
  <si>
    <t xml:space="preserve">PAT: ↓c</t>
  </si>
  <si>
    <t xml:space="preserve">ADDR-&gt;ARG1/2,ARG2/13,ARG3/1</t>
  </si>
  <si>
    <t xml:space="preserve">"dělat-si-010"</t>
  </si>
  <si>
    <t xml:space="preserve">DPHR: blázen.P4</t>
  </si>
  <si>
    <t xml:space="preserve">"--dělat-si-011"</t>
  </si>
  <si>
    <t xml:space="preserve">DPHR: velkou,hlavu</t>
  </si>
  <si>
    <t xml:space="preserve">"dělit-001"</t>
  </si>
  <si>
    <t xml:space="preserve">?ADDR: 3; mezi+4; na+4; do+2</t>
  </si>
  <si>
    <t xml:space="preserve">"dělit-002"</t>
  </si>
  <si>
    <t xml:space="preserve">"dělit-003"</t>
  </si>
  <si>
    <t xml:space="preserve">"dělit-004"</t>
  </si>
  <si>
    <t xml:space="preserve">"dělit-se-001"</t>
  </si>
  <si>
    <t xml:space="preserve">PAT-&gt;ARG1/49</t>
  </si>
  <si>
    <t xml:space="preserve">ADDR-&gt;ARG2/19</t>
  </si>
  <si>
    <t xml:space="preserve">"dělit-se-002"</t>
  </si>
  <si>
    <t xml:space="preserve">?PAT: na+4; do+2</t>
  </si>
  <si>
    <t xml:space="preserve">"dělávat-001"</t>
  </si>
  <si>
    <t xml:space="preserve">"dělávat-002"</t>
  </si>
  <si>
    <t xml:space="preserve">"dělávat-003"</t>
  </si>
  <si>
    <t xml:space="preserve">"dělávat-004"</t>
  </si>
  <si>
    <t xml:space="preserve">"dělávat-005"</t>
  </si>
  <si>
    <t xml:space="preserve">"děsit-001"</t>
  </si>
  <si>
    <t xml:space="preserve">ACT-&gt;ARG0/1,ARG2/3</t>
  </si>
  <si>
    <t xml:space="preserve">ACT-&gt;ARG0/20,ARG2/5</t>
  </si>
  <si>
    <t xml:space="preserve">"děsit-se-001"</t>
  </si>
  <si>
    <t xml:space="preserve">"dřepnout-si-001"</t>
  </si>
  <si>
    <t xml:space="preserve">"dřímat-001"</t>
  </si>
  <si>
    <t xml:space="preserve">"dřímat-002"</t>
  </si>
  <si>
    <t xml:space="preserve">"dřít-001"</t>
  </si>
  <si>
    <t xml:space="preserve">ACT-&gt;ARG0/472,ARG1/1</t>
  </si>
  <si>
    <t xml:space="preserve">"dřít-se-001"</t>
  </si>
  <si>
    <t xml:space="preserve">?PAT: na+6; s+7</t>
  </si>
  <si>
    <t xml:space="preserve">ACT-&gt;ARG0/241</t>
  </si>
  <si>
    <t xml:space="preserve">"dřít-se-002"</t>
  </si>
  <si>
    <t xml:space="preserve">"dštít-001"</t>
  </si>
  <si>
    <t xml:space="preserve">DPHR: oheň.S4</t>
  </si>
  <si>
    <t xml:space="preserve">DPHR-&gt;ARG1/3</t>
  </si>
  <si>
    <t xml:space="preserve">"důvěřovat-001"</t>
  </si>
  <si>
    <t xml:space="preserve">ACT-&gt;ARG0/104</t>
  </si>
  <si>
    <t xml:space="preserve">PAT: 3; ↓že</t>
  </si>
  <si>
    <t xml:space="preserve">"důvěřovat-002"</t>
  </si>
  <si>
    <t xml:space="preserve">"důvěřovat-003"</t>
  </si>
  <si>
    <t xml:space="preserve">ADDR-&gt;ARG1/35</t>
  </si>
  <si>
    <t xml:space="preserve">"--důvěřovat-si-001"</t>
  </si>
  <si>
    <t xml:space="preserve">"elektrifikovat-001"</t>
  </si>
  <si>
    <t xml:space="preserve">"eliminovat-001"</t>
  </si>
  <si>
    <t xml:space="preserve">PAT-&gt;ARG1/100</t>
  </si>
  <si>
    <t xml:space="preserve">"emigrovat-001"</t>
  </si>
  <si>
    <t xml:space="preserve">ACT-&gt;ARG0/69,ARG1/79</t>
  </si>
  <si>
    <t xml:space="preserve">"emitovat-001"</t>
  </si>
  <si>
    <t xml:space="preserve">ACT-&gt;ARG0/127,ARG2/1</t>
  </si>
  <si>
    <t xml:space="preserve">PAT-&gt;ARG1/150</t>
  </si>
  <si>
    <t xml:space="preserve">"erodovat-001"</t>
  </si>
  <si>
    <t xml:space="preserve">ACT-&gt;ARG0/5,ARG1/1295,ARG2/4</t>
  </si>
  <si>
    <t xml:space="preserve">"eskalovat-001"</t>
  </si>
  <si>
    <t xml:space="preserve">"eskortovat-001"</t>
  </si>
  <si>
    <t xml:space="preserve">"etablovat-se-001"</t>
  </si>
  <si>
    <t xml:space="preserve">ACT-&gt;ARG0/54</t>
  </si>
  <si>
    <t xml:space="preserve">"evakuovat-001"</t>
  </si>
  <si>
    <t xml:space="preserve">"evakuovat-002"</t>
  </si>
  <si>
    <t xml:space="preserve">"evaluovat-001"</t>
  </si>
  <si>
    <t xml:space="preserve">"evidovat-001"</t>
  </si>
  <si>
    <t xml:space="preserve">PAT-&gt;ARG1/5,ARG2/1</t>
  </si>
  <si>
    <t xml:space="preserve">"evidovat-002"</t>
  </si>
  <si>
    <t xml:space="preserve">EFF: 4; ↓že; ↓jak-2; .s; ↓c</t>
  </si>
  <si>
    <t xml:space="preserve">"evokovat-001"</t>
  </si>
  <si>
    <t xml:space="preserve">"excelovat-001"</t>
  </si>
  <si>
    <t xml:space="preserve">?PAT: nad+7</t>
  </si>
  <si>
    <t xml:space="preserve">"existovat-001"</t>
  </si>
  <si>
    <t xml:space="preserve">ACT: 1; ↓že; ↓aby</t>
  </si>
  <si>
    <t xml:space="preserve">ACT-&gt;ARG0/1,ARG1/6084,ARG2/299</t>
  </si>
  <si>
    <t xml:space="preserve">"expandovat-001"</t>
  </si>
  <si>
    <t xml:space="preserve">ACT-&gt;ARG0/2,ARG1/24</t>
  </si>
  <si>
    <t xml:space="preserve">ACT-&gt;ARG0/12,ARG1/117</t>
  </si>
  <si>
    <t xml:space="preserve">"expedovat-001"</t>
  </si>
  <si>
    <t xml:space="preserve">PAT-&gt;ARG0/1,ARG1/38</t>
  </si>
  <si>
    <t xml:space="preserve">"experimentovat-001"</t>
  </si>
  <si>
    <t xml:space="preserve">"explodovat-001"</t>
  </si>
  <si>
    <t xml:space="preserve">"exponovat-001"</t>
  </si>
  <si>
    <t xml:space="preserve">"exportovat-001"</t>
  </si>
  <si>
    <t xml:space="preserve">ACT-&gt;ARG0/133,ARG1/1</t>
  </si>
  <si>
    <t xml:space="preserve">PAT-&gt;ARG1/222</t>
  </si>
  <si>
    <t xml:space="preserve">"externalizovat-001"</t>
  </si>
  <si>
    <t xml:space="preserve">"extradikovat-001"</t>
  </si>
  <si>
    <t xml:space="preserve">"extrahovat-001"</t>
  </si>
  <si>
    <t xml:space="preserve">"extrahovat-002"</t>
  </si>
  <si>
    <t xml:space="preserve">"extrapolovat-001"</t>
  </si>
  <si>
    <t xml:space="preserve">"fackovat-001"</t>
  </si>
  <si>
    <t xml:space="preserve">"fajrat-001"</t>
  </si>
  <si>
    <t xml:space="preserve">"fakturovat-001"</t>
  </si>
  <si>
    <t xml:space="preserve">"falšovat-001"</t>
  </si>
  <si>
    <t xml:space="preserve">ACT-&gt;ARG0/18,ARG1/1</t>
  </si>
  <si>
    <t xml:space="preserve">PAT-&gt;ARG1/3,ARG2/36</t>
  </si>
  <si>
    <t xml:space="preserve">"fandit-001"</t>
  </si>
  <si>
    <t xml:space="preserve">"fantazírovat-001"</t>
  </si>
  <si>
    <t xml:space="preserve">EFF: ↓že; ↓jak-2</t>
  </si>
  <si>
    <t xml:space="preserve">"fantazírovat-002"</t>
  </si>
  <si>
    <t xml:space="preserve">"farmařit-001"</t>
  </si>
  <si>
    <t xml:space="preserve">"fascinovat-001"</t>
  </si>
  <si>
    <t xml:space="preserve">ACT: 1; ↓jak-2</t>
  </si>
  <si>
    <t xml:space="preserve">"fasovat-001"</t>
  </si>
  <si>
    <t xml:space="preserve">ORIG-&gt;ARG1/5,ARG2/159,ARG3/8</t>
  </si>
  <si>
    <t xml:space="preserve">"faulovat-001"</t>
  </si>
  <si>
    <t xml:space="preserve">"favorizovat-001"</t>
  </si>
  <si>
    <t xml:space="preserve">"figurovat-001"</t>
  </si>
  <si>
    <t xml:space="preserve">ACT-&gt;ARG0/6,ARG1/19</t>
  </si>
  <si>
    <t xml:space="preserve">LOC-&gt;ARG1/7</t>
  </si>
  <si>
    <t xml:space="preserve">"fiknout-001"</t>
  </si>
  <si>
    <t xml:space="preserve">"filmovat-001"</t>
  </si>
  <si>
    <t xml:space="preserve">PAT-&gt;ARG1/54</t>
  </si>
  <si>
    <t xml:space="preserve">"filozofovat-001"</t>
  </si>
  <si>
    <t xml:space="preserve">ACT-&gt;ARG0/30</t>
  </si>
  <si>
    <t xml:space="preserve">"filtrovat-001"</t>
  </si>
  <si>
    <t xml:space="preserve">"filtrovat-002"</t>
  </si>
  <si>
    <t xml:space="preserve">"financovat-001"</t>
  </si>
  <si>
    <t xml:space="preserve">ACT-&gt;ARG0/388,ARG1/75,ARG2/16,ARG3/8</t>
  </si>
  <si>
    <t xml:space="preserve">ACT-&gt;ARG0/439,ARG1/5,ARG2/21</t>
  </si>
  <si>
    <t xml:space="preserve">ACT-&gt;ARG0/493,ARG1/6,ARG2/28</t>
  </si>
  <si>
    <t xml:space="preserve">PAT-&gt;ARG0/40,ARG1/530,ARG2/11,ARG3/9</t>
  </si>
  <si>
    <t xml:space="preserve">PAT-&gt;ARG0/1,ARG1/286,ARG2/145,ARG3/4</t>
  </si>
  <si>
    <t xml:space="preserve">PAT-&gt;ARG0/1,ARG1/405,ARG2/145,ARG3/4</t>
  </si>
  <si>
    <t xml:space="preserve">"finišovat-001"</t>
  </si>
  <si>
    <t xml:space="preserve">ACT-&gt;ARG1/67</t>
  </si>
  <si>
    <t xml:space="preserve">ACT-&gt;ARG0/13,ARG1/168</t>
  </si>
  <si>
    <t xml:space="preserve">"fixlovat-001"</t>
  </si>
  <si>
    <t xml:space="preserve">"fixovat-001"</t>
  </si>
  <si>
    <t xml:space="preserve">"fičet-001"</t>
  </si>
  <si>
    <t xml:space="preserve">"flinkat-001"</t>
  </si>
  <si>
    <t xml:space="preserve">"flinkat-se-001"</t>
  </si>
  <si>
    <t xml:space="preserve">"flirtovat-001"</t>
  </si>
  <si>
    <t xml:space="preserve">?PAT: o+6; ↓že; .s; ↓c</t>
  </si>
  <si>
    <t xml:space="preserve">"flirtovat-002"</t>
  </si>
  <si>
    <t xml:space="preserve">"fluktuovat-001"</t>
  </si>
  <si>
    <t xml:space="preserve">"flákat-001"</t>
  </si>
  <si>
    <t xml:space="preserve">"flákat-se-001"</t>
  </si>
  <si>
    <t xml:space="preserve">"fláknout-001"</t>
  </si>
  <si>
    <t xml:space="preserve">"formalizovat-001"</t>
  </si>
  <si>
    <t xml:space="preserve">"formovat-001"</t>
  </si>
  <si>
    <t xml:space="preserve">?EFF: v+4; do+2</t>
  </si>
  <si>
    <t xml:space="preserve">"formovat-se-001"</t>
  </si>
  <si>
    <t xml:space="preserve">ACT-&gt;ARG1/55</t>
  </si>
  <si>
    <t xml:space="preserve">PAT-&gt;ARG2/3</t>
  </si>
  <si>
    <t xml:space="preserve">"formulovat-001"</t>
  </si>
  <si>
    <t xml:space="preserve">"formátovat-001"</t>
  </si>
  <si>
    <t xml:space="preserve">"fotit-001"</t>
  </si>
  <si>
    <t xml:space="preserve">"fotit-002"</t>
  </si>
  <si>
    <t xml:space="preserve">"fotit-se-001"</t>
  </si>
  <si>
    <t xml:space="preserve">"fotografovat-001"</t>
  </si>
  <si>
    <t xml:space="preserve">"fotografovat-002"</t>
  </si>
  <si>
    <t xml:space="preserve">"fotografovat-se-001"</t>
  </si>
  <si>
    <t xml:space="preserve">"fotívat-001"</t>
  </si>
  <si>
    <t xml:space="preserve">"foukat-001"</t>
  </si>
  <si>
    <t xml:space="preserve">"foukat-002"</t>
  </si>
  <si>
    <t xml:space="preserve">"foukat-003"</t>
  </si>
  <si>
    <t xml:space="preserve">"fragmentovat-001"</t>
  </si>
  <si>
    <t xml:space="preserve">"frustrovat-001"</t>
  </si>
  <si>
    <t xml:space="preserve">ACT-&gt;ARG0/3,ARG2/1</t>
  </si>
  <si>
    <t xml:space="preserve">ACT-&gt;ARG0/4,ARG1/1,ARG2/2</t>
  </si>
  <si>
    <t xml:space="preserve">ACT-&gt;ARG0/4,ARG2/1</t>
  </si>
  <si>
    <t xml:space="preserve">PAT-&gt;ARG1/10,ARG2/4</t>
  </si>
  <si>
    <t xml:space="preserve">"fungovat-001"</t>
  </si>
  <si>
    <t xml:space="preserve">ACT-&gt;ARG0/352,ARG1/529,ARG2/3</t>
  </si>
  <si>
    <t xml:space="preserve">"fungovat-002"</t>
  </si>
  <si>
    <t xml:space="preserve">ACT-&gt;ARG0/334,ARG1/64</t>
  </si>
  <si>
    <t xml:space="preserve">"fungovat-003"</t>
  </si>
  <si>
    <t xml:space="preserve">"funět-001"</t>
  </si>
  <si>
    <t xml:space="preserve">"funět-002"</t>
  </si>
  <si>
    <t xml:space="preserve">"fušovat-001"</t>
  </si>
  <si>
    <t xml:space="preserve">"fárat-001"</t>
  </si>
  <si>
    <t xml:space="preserve">"fúzovat-001"</t>
  </si>
  <si>
    <t xml:space="preserve">"fúzovat-002"</t>
  </si>
  <si>
    <t xml:space="preserve">"garantovat-001"</t>
  </si>
  <si>
    <t xml:space="preserve">PAT-&gt;ARG1/66</t>
  </si>
  <si>
    <t xml:space="preserve">"generalizovat-001"</t>
  </si>
  <si>
    <t xml:space="preserve">"generovat-001"</t>
  </si>
  <si>
    <t xml:space="preserve">ACT-&gt;ARG0/278,ARG1/6</t>
  </si>
  <si>
    <t xml:space="preserve">PAT-&gt;ARG1/654</t>
  </si>
  <si>
    <t xml:space="preserve">"gestikulovat-001"</t>
  </si>
  <si>
    <t xml:space="preserve">"gestikulovat-002"</t>
  </si>
  <si>
    <t xml:space="preserve">?PAT: 4; ↓že; ↓aby; ↓ať</t>
  </si>
  <si>
    <t xml:space="preserve">"glajchšaltovat-001"</t>
  </si>
  <si>
    <t xml:space="preserve">"globalizovat-001"</t>
  </si>
  <si>
    <t xml:space="preserve">"glosovat-001"</t>
  </si>
  <si>
    <t xml:space="preserve">"gratulovat-001"</t>
  </si>
  <si>
    <t xml:space="preserve">"grilovat-001"</t>
  </si>
  <si>
    <t xml:space="preserve">"habilitovat-001"</t>
  </si>
  <si>
    <t xml:space="preserve">"habilitovat-se-001"</t>
  </si>
  <si>
    <t xml:space="preserve">"halit-001"</t>
  </si>
  <si>
    <t xml:space="preserve">ACT-&gt;ARG0/2,ARG2/3</t>
  </si>
  <si>
    <t xml:space="preserve">PAT: 4; ↓že; ↓jestli; ↓jak-2; ↓c</t>
  </si>
  <si>
    <t xml:space="preserve">?ADDR: před+7</t>
  </si>
  <si>
    <t xml:space="preserve">"halit-se-001"</t>
  </si>
  <si>
    <t xml:space="preserve">?PAT: do+2</t>
  </si>
  <si>
    <t xml:space="preserve">"handicapovat-001"</t>
  </si>
  <si>
    <t xml:space="preserve">"handrkovat-se-001"</t>
  </si>
  <si>
    <t xml:space="preserve">?PAT: o+6; ↓zda; ↓jestli; ↓c; .s</t>
  </si>
  <si>
    <t xml:space="preserve">"hanobit-001"</t>
  </si>
  <si>
    <t xml:space="preserve">PAT-&gt;ARG0/1,ARG1/127</t>
  </si>
  <si>
    <t xml:space="preserve">"hanět-001"</t>
  </si>
  <si>
    <t xml:space="preserve">PAT-&gt;ARG0/2,ARG1/28</t>
  </si>
  <si>
    <t xml:space="preserve">"haprovat-001"</t>
  </si>
  <si>
    <t xml:space="preserve">"harmonizovat-001"</t>
  </si>
  <si>
    <t xml:space="preserve">"harmonovat-001"</t>
  </si>
  <si>
    <t xml:space="preserve">"hasit-001"</t>
  </si>
  <si>
    <t xml:space="preserve">"hauzírovat-001"</t>
  </si>
  <si>
    <t xml:space="preserve">"havarovat-001"</t>
  </si>
  <si>
    <t xml:space="preserve">"hazardovat-001"</t>
  </si>
  <si>
    <t xml:space="preserve">PAT: 7; s+7</t>
  </si>
  <si>
    <t xml:space="preserve">"hašteřit-se-001"</t>
  </si>
  <si>
    <t xml:space="preserve">"hecovat-001"</t>
  </si>
  <si>
    <t xml:space="preserve">"hecovat-002"</t>
  </si>
  <si>
    <t xml:space="preserve">?PAT: proti+3; ↓ať; .s</t>
  </si>
  <si>
    <t xml:space="preserve">"hejbat-se-001"</t>
  </si>
  <si>
    <t xml:space="preserve">"hemžit-se-001"</t>
  </si>
  <si>
    <t xml:space="preserve">"hemžit-se-002"</t>
  </si>
  <si>
    <t xml:space="preserve">ACT-&gt;ARG0/1,ARG1/18</t>
  </si>
  <si>
    <t xml:space="preserve">"hemžit-se-003"</t>
  </si>
  <si>
    <t xml:space="preserve">ACT: to</t>
  </si>
  <si>
    <t xml:space="preserve">?PAT: 7</t>
  </si>
  <si>
    <t xml:space="preserve">"hladit-001"</t>
  </si>
  <si>
    <t xml:space="preserve">"hladovět-001"</t>
  </si>
  <si>
    <t xml:space="preserve">"hladovět-002"</t>
  </si>
  <si>
    <t xml:space="preserve">"hlasovat-001"</t>
  </si>
  <si>
    <t xml:space="preserve">"hlasovat-002"</t>
  </si>
  <si>
    <t xml:space="preserve">ACT-&gt;ARG0/78,ARG2/1</t>
  </si>
  <si>
    <t xml:space="preserve">ACT-&gt;ARG0/56,ARG2/1</t>
  </si>
  <si>
    <t xml:space="preserve">PAT: o+6; ↓zda</t>
  </si>
  <si>
    <t xml:space="preserve">ACT-&gt;ARG0/81,ARG2/1</t>
  </si>
  <si>
    <t xml:space="preserve">PAT-&gt;ARG0/1,ARG1/88</t>
  </si>
  <si>
    <t xml:space="preserve">"hlasovat-003"</t>
  </si>
  <si>
    <t xml:space="preserve">ACT-&gt;ARG0/454,ARG2/1</t>
  </si>
  <si>
    <t xml:space="preserve">ACT-&gt;ARG0/717,ARG1/8,ARG3/9</t>
  </si>
  <si>
    <t xml:space="preserve">?PAT: pro+4; proti+3; za+4</t>
  </si>
  <si>
    <t xml:space="preserve">PAT-&gt;ARG1/439</t>
  </si>
  <si>
    <t xml:space="preserve">PAT-&gt;ARG1/952,ARG2/17</t>
  </si>
  <si>
    <t xml:space="preserve">ACT-&gt;ARG0/161,ARG1/1,ARG2/1</t>
  </si>
  <si>
    <t xml:space="preserve">"hlavičkovat-001"</t>
  </si>
  <si>
    <t xml:space="preserve">"hledat-001"</t>
  </si>
  <si>
    <t xml:space="preserve">ACT-&gt;ARG0/463,ARG1/1,ARG2/1</t>
  </si>
  <si>
    <t xml:space="preserve">PAT-&gt;ARG1/672,ARG2/7</t>
  </si>
  <si>
    <t xml:space="preserve">LOC-&gt;ARG1/9</t>
  </si>
  <si>
    <t xml:space="preserve">"hledat-002"</t>
  </si>
  <si>
    <t xml:space="preserve">ACT-&gt;ARG0/379,ARG1/5,ARG2/1</t>
  </si>
  <si>
    <t xml:space="preserve">PAT: 4; ↓c; ↓zda; ↓jestli; ↓jak-2</t>
  </si>
  <si>
    <t xml:space="preserve">PAT-&gt;ARG1/556,ARG2/11</t>
  </si>
  <si>
    <t xml:space="preserve">"hledat-003"</t>
  </si>
  <si>
    <t xml:space="preserve">ACT-&gt;ARG0/1260,ARG1/2,ARG2/1</t>
  </si>
  <si>
    <t xml:space="preserve">PAT-&gt;ARG0/1,ARG1/1474,ARG2/5</t>
  </si>
  <si>
    <t xml:space="preserve">"hledět-001"</t>
  </si>
  <si>
    <t xml:space="preserve">"hledět-002"</t>
  </si>
  <si>
    <t xml:space="preserve">ACT-&gt;ARG0/53</t>
  </si>
  <si>
    <t xml:space="preserve">PAT-&gt;ARG1/85,ARG2/1</t>
  </si>
  <si>
    <t xml:space="preserve">"hledět-003"</t>
  </si>
  <si>
    <t xml:space="preserve">PAT-&gt;ARG0/7,ARG1/4</t>
  </si>
  <si>
    <t xml:space="preserve">"hledět-004"</t>
  </si>
  <si>
    <t xml:space="preserve">"hledět-005"</t>
  </si>
  <si>
    <t xml:space="preserve">PAT: ↓aby</t>
  </si>
  <si>
    <t xml:space="preserve">"hledět-si-001"</t>
  </si>
  <si>
    <t xml:space="preserve">"hloubat-001"</t>
  </si>
  <si>
    <t xml:space="preserve">"hloubit-001"</t>
  </si>
  <si>
    <t xml:space="preserve">"hltat-001"</t>
  </si>
  <si>
    <t xml:space="preserve">"hltat-002"</t>
  </si>
  <si>
    <t xml:space="preserve">ACT-&gt;ARG0/56,ARG1/1</t>
  </si>
  <si>
    <t xml:space="preserve">PAT-&gt;ARG1/67</t>
  </si>
  <si>
    <t xml:space="preserve">"hlásat-001"</t>
  </si>
  <si>
    <t xml:space="preserve">PAT: 4; .s; ↓c</t>
  </si>
  <si>
    <t xml:space="preserve">"hlásat-002"</t>
  </si>
  <si>
    <t xml:space="preserve">"hlásat-003"</t>
  </si>
  <si>
    <t xml:space="preserve">"hlásit-001"</t>
  </si>
  <si>
    <t xml:space="preserve">ACT-&gt;ARG0/712,ARG1/4</t>
  </si>
  <si>
    <t xml:space="preserve">PAT-&gt;ARG1/794</t>
  </si>
  <si>
    <t xml:space="preserve">ADDR-&gt;ARG1/1,ARG2/9</t>
  </si>
  <si>
    <t xml:space="preserve">"hlásit-002"</t>
  </si>
  <si>
    <t xml:space="preserve">ACT-&gt;ARG0/519,ARG1/1</t>
  </si>
  <si>
    <t xml:space="preserve">EFF: 4; ↓jak-2; ↓že</t>
  </si>
  <si>
    <t xml:space="preserve">EFF-&gt;ARG1/575</t>
  </si>
  <si>
    <t xml:space="preserve">ADDR-&gt;ARG2/9</t>
  </si>
  <si>
    <t xml:space="preserve">"hlásit-003"</t>
  </si>
  <si>
    <t xml:space="preserve">"hlásit-se-001"</t>
  </si>
  <si>
    <t xml:space="preserve">PAT-&gt;ARG2/17</t>
  </si>
  <si>
    <t xml:space="preserve">"hlásit-se-002"</t>
  </si>
  <si>
    <t xml:space="preserve">"hlásit-se-003"</t>
  </si>
  <si>
    <t xml:space="preserve">PAT: o+4; ↓aby</t>
  </si>
  <si>
    <t xml:space="preserve">"hlásit-se-004"</t>
  </si>
  <si>
    <t xml:space="preserve">ACT-&gt;ARG0/182,ARG1/101,ARG3/6</t>
  </si>
  <si>
    <t xml:space="preserve">LOC-&gt;ARG1/232</t>
  </si>
  <si>
    <t xml:space="preserve">"hlásit-se-005"</t>
  </si>
  <si>
    <t xml:space="preserve">"hlásit-se-006"</t>
  </si>
  <si>
    <t xml:space="preserve">"hláskovat-001"</t>
  </si>
  <si>
    <t xml:space="preserve">"hlídat-001"</t>
  </si>
  <si>
    <t xml:space="preserve">PAT: 4; ↓zda; ↓jestli; ↓c; ↓aby</t>
  </si>
  <si>
    <t xml:space="preserve">ACT-&gt;ARG0/40</t>
  </si>
  <si>
    <t xml:space="preserve">PAT-&gt;ARG1/77,ARG2/4</t>
  </si>
  <si>
    <t xml:space="preserve">"hlídkovat-001"</t>
  </si>
  <si>
    <t xml:space="preserve">"hlídávat-001"</t>
  </si>
  <si>
    <t xml:space="preserve">"hnisat-001"</t>
  </si>
  <si>
    <t xml:space="preserve">"hnout-001"</t>
  </si>
  <si>
    <t xml:space="preserve">"hnout-002"</t>
  </si>
  <si>
    <t xml:space="preserve">DPHR: žluč.S7</t>
  </si>
  <si>
    <t xml:space="preserve">"hnout-003"</t>
  </si>
  <si>
    <t xml:space="preserve">DPHR: brva.S7</t>
  </si>
  <si>
    <t xml:space="preserve">"hnout-se-001"</t>
  </si>
  <si>
    <t xml:space="preserve">ACT-&gt;ARG0/4,ARG1/75</t>
  </si>
  <si>
    <t xml:space="preserve">ACT-&gt;ARG0/4,ARG1/193</t>
  </si>
  <si>
    <t xml:space="preserve">"hnát-001"</t>
  </si>
  <si>
    <t xml:space="preserve">PAT-&gt;ARG1/97</t>
  </si>
  <si>
    <t xml:space="preserve">"hnát-002"</t>
  </si>
  <si>
    <t xml:space="preserve">PAT-&gt;ARG1/45</t>
  </si>
  <si>
    <t xml:space="preserve">"hnát-003"</t>
  </si>
  <si>
    <t xml:space="preserve">"hnát-004"</t>
  </si>
  <si>
    <t xml:space="preserve">"hnát-005"</t>
  </si>
  <si>
    <t xml:space="preserve">"hnát-006"</t>
  </si>
  <si>
    <t xml:space="preserve">"hnát-se-001"</t>
  </si>
  <si>
    <t xml:space="preserve">ACT-&gt;ARG0/6,ARG1/28,ARG2/1</t>
  </si>
  <si>
    <t xml:space="preserve">ACT-&gt;ARG0/30,ARG1/28,ARG2/1</t>
  </si>
  <si>
    <t xml:space="preserve">DIR3-&gt;ARG1/26,ARG2/1</t>
  </si>
  <si>
    <t xml:space="preserve">"hnát-se-002"</t>
  </si>
  <si>
    <t xml:space="preserve">"hnát-se-003"</t>
  </si>
  <si>
    <t xml:space="preserve">PAT: za+7; po+6</t>
  </si>
  <si>
    <t xml:space="preserve">PAT-&gt;ARG1/26,ARG2/1</t>
  </si>
  <si>
    <t xml:space="preserve">"hnít-001"</t>
  </si>
  <si>
    <t xml:space="preserve">"hněvat-se-001"</t>
  </si>
  <si>
    <t xml:space="preserve">"hoblovat-001"</t>
  </si>
  <si>
    <t xml:space="preserve">"hodit-001"</t>
  </si>
  <si>
    <t xml:space="preserve">"hodit-002"</t>
  </si>
  <si>
    <t xml:space="preserve">"hodit-003"</t>
  </si>
  <si>
    <t xml:space="preserve">"hodit-004"</t>
  </si>
  <si>
    <t xml:space="preserve">"hodit-005"</t>
  </si>
  <si>
    <t xml:space="preserve">DPHR: přes-1[paluba.4]</t>
  </si>
  <si>
    <t xml:space="preserve">"hodit-006"</t>
  </si>
  <si>
    <t xml:space="preserve">PAT-&gt;ARG1/145</t>
  </si>
  <si>
    <t xml:space="preserve">"hodit-007"</t>
  </si>
  <si>
    <t xml:space="preserve">DPHR: jiskra.S4</t>
  </si>
  <si>
    <t xml:space="preserve">"hodit-008"</t>
  </si>
  <si>
    <t xml:space="preserve">DPHR: flinta.S4,do-1[žito.S2]</t>
  </si>
  <si>
    <t xml:space="preserve">DPHR-&gt;ARG1/5</t>
  </si>
  <si>
    <t xml:space="preserve">"hodit-009"</t>
  </si>
  <si>
    <t xml:space="preserve">"hodit-se-001"</t>
  </si>
  <si>
    <t xml:space="preserve">ACT: 1; .f; ↓když</t>
  </si>
  <si>
    <t xml:space="preserve">PAT: 3; pro+4</t>
  </si>
  <si>
    <t xml:space="preserve">?EFF: 1[{jako,jakožto}:/AuxY]; za+4; na+4</t>
  </si>
  <si>
    <t xml:space="preserve">ACT-&gt;ARG0/31,ARG1/685,ARG2/1</t>
  </si>
  <si>
    <t xml:space="preserve">ACT-&gt;ARG0/4,ARG1/30</t>
  </si>
  <si>
    <t xml:space="preserve">PAT-&gt;ARG0/315,ARG1/51,ARG2/34</t>
  </si>
  <si>
    <t xml:space="preserve">PAT-&gt;ARG1/48,ARG2/6</t>
  </si>
  <si>
    <t xml:space="preserve">"hodit-se-002"</t>
  </si>
  <si>
    <t xml:space="preserve">ACT-&gt;ARG0/4,ARG1/29</t>
  </si>
  <si>
    <t xml:space="preserve">DIR3-&gt;ARG1/48,ARG2/3</t>
  </si>
  <si>
    <t xml:space="preserve">"hodit-se-003"</t>
  </si>
  <si>
    <t xml:space="preserve">PAT: k+3; na+4</t>
  </si>
  <si>
    <t xml:space="preserve">ACT-&gt;ARG0/1,ARG1/16</t>
  </si>
  <si>
    <t xml:space="preserve">ACT-&gt;ARG0/4,ARG1/45</t>
  </si>
  <si>
    <t xml:space="preserve">PAT-&gt;ARG1/61,ARG2/3</t>
  </si>
  <si>
    <t xml:space="preserve">"hodnotit-001"</t>
  </si>
  <si>
    <t xml:space="preserve">EFF: 4[{jako,jakožto}:/AuxY]; .a4[{jako,jakožto}:/AuxY]; za-1[.a4]</t>
  </si>
  <si>
    <t xml:space="preserve">EFF-&gt;ARG2/56</t>
  </si>
  <si>
    <t xml:space="preserve">"hodnotit-002"</t>
  </si>
  <si>
    <t xml:space="preserve">"hodnotit-003"</t>
  </si>
  <si>
    <t xml:space="preserve">PAT: 4; ↓že; ↓zda; ↓c; ↓jestli</t>
  </si>
  <si>
    <t xml:space="preserve">ACT-&gt;ARG0/446</t>
  </si>
  <si>
    <t xml:space="preserve">PAT-&gt;ARG0/26,ARG1/111,ARG2/309</t>
  </si>
  <si>
    <t xml:space="preserve">"hodovat-001"</t>
  </si>
  <si>
    <t xml:space="preserve">"hojit-se-001"</t>
  </si>
  <si>
    <t xml:space="preserve">"holdovat-001"</t>
  </si>
  <si>
    <t xml:space="preserve">"holedbat-se-001"</t>
  </si>
  <si>
    <t xml:space="preserve">ACT-&gt;ARG0/15</t>
  </si>
  <si>
    <t xml:space="preserve">"holit-001"</t>
  </si>
  <si>
    <t xml:space="preserve">"homologovat-001"</t>
  </si>
  <si>
    <t xml:space="preserve">"honit-001"</t>
  </si>
  <si>
    <t xml:space="preserve">ACT-&gt;ARG0/7,ARG1/280,ARG2/3</t>
  </si>
  <si>
    <t xml:space="preserve">"honit-002"</t>
  </si>
  <si>
    <t xml:space="preserve">PAT: ↓aby; na+4; .f</t>
  </si>
  <si>
    <t xml:space="preserve">"honit-003"</t>
  </si>
  <si>
    <t xml:space="preserve">"honit-004"</t>
  </si>
  <si>
    <t xml:space="preserve">"honit-se-001"</t>
  </si>
  <si>
    <t xml:space="preserve">PAT: za+7</t>
  </si>
  <si>
    <t xml:space="preserve">"honit-se-002"</t>
  </si>
  <si>
    <t xml:space="preserve">"honit-se-003"</t>
  </si>
  <si>
    <t xml:space="preserve">"honit-se-004"</t>
  </si>
  <si>
    <t xml:space="preserve">"honorovat-001"</t>
  </si>
  <si>
    <t xml:space="preserve">"honosit-se-001"</t>
  </si>
  <si>
    <t xml:space="preserve">PAT: 7; ↓že; ↓c</t>
  </si>
  <si>
    <t xml:space="preserve">?ADDR: před+7; nad+7</t>
  </si>
  <si>
    <t xml:space="preserve">"hopsat-001"</t>
  </si>
  <si>
    <t xml:space="preserve">"horlit-001"</t>
  </si>
  <si>
    <t xml:space="preserve">"horlit-002"</t>
  </si>
  <si>
    <t xml:space="preserve">?PAT: na+4; nad+7; ↓že</t>
  </si>
  <si>
    <t xml:space="preserve">"horovat-001"</t>
  </si>
  <si>
    <t xml:space="preserve">"horšit-se-001"</t>
  </si>
  <si>
    <t xml:space="preserve">"hospitalizovat-001"</t>
  </si>
  <si>
    <t xml:space="preserve">"hospodařit-001"</t>
  </si>
  <si>
    <t xml:space="preserve">ACT-&gt;ARG0/55</t>
  </si>
  <si>
    <t xml:space="preserve">"hospodařit-002"</t>
  </si>
  <si>
    <t xml:space="preserve">"hostit-001"</t>
  </si>
  <si>
    <t xml:space="preserve">"hostovat-001"</t>
  </si>
  <si>
    <t xml:space="preserve">"houbařit-001"</t>
  </si>
  <si>
    <t xml:space="preserve">"houfovat-se-001"</t>
  </si>
  <si>
    <t xml:space="preserve">?PAT: do+2; v+4</t>
  </si>
  <si>
    <t xml:space="preserve">"houkat-001"</t>
  </si>
  <si>
    <t xml:space="preserve">"houpat-001"</t>
  </si>
  <si>
    <t xml:space="preserve">"houpat-se-001"</t>
  </si>
  <si>
    <t xml:space="preserve">ACT-&gt;ARG0/7,ARG1/33</t>
  </si>
  <si>
    <t xml:space="preserve">"houpat-se-002"</t>
  </si>
  <si>
    <t xml:space="preserve">"houstnout-001"</t>
  </si>
  <si>
    <t xml:space="preserve">ACT-&gt;ARG0/11,ARG1/233</t>
  </si>
  <si>
    <t xml:space="preserve">"hovořit-001"</t>
  </si>
  <si>
    <t xml:space="preserve">ACT-&gt;ARG0/12618,ARG1/3140,ARG2/296</t>
  </si>
  <si>
    <t xml:space="preserve">PAT: o+6; na-1[téma.4[.2]]; na-1[téma.4[tento.#]]; na-1[téma.4[.u#]]</t>
  </si>
  <si>
    <t xml:space="preserve">PAT-&gt;ARG0/2,ARG1/10718,ARG2/2</t>
  </si>
  <si>
    <t xml:space="preserve">ADDR-&gt;ARG1/3,ARG2/403</t>
  </si>
  <si>
    <t xml:space="preserve">"hovořit-002"</t>
  </si>
  <si>
    <t xml:space="preserve">PAT: o+6; .s; k+3</t>
  </si>
  <si>
    <t xml:space="preserve">PAT-&gt;ARG1/171</t>
  </si>
  <si>
    <t xml:space="preserve">ADDR-&gt;ARG2/60</t>
  </si>
  <si>
    <t xml:space="preserve">"hovořit-003"</t>
  </si>
  <si>
    <t xml:space="preserve">"hovořit-004"</t>
  </si>
  <si>
    <t xml:space="preserve">"hovořit-005"</t>
  </si>
  <si>
    <t xml:space="preserve">ACT-&gt;ARG0/78,ARG1/11</t>
  </si>
  <si>
    <t xml:space="preserve">PAT-&gt;ARG1/70,ARG2/13</t>
  </si>
  <si>
    <t xml:space="preserve">"hovořit-006"</t>
  </si>
  <si>
    <t xml:space="preserve">PAT: pro+4; proti+3; za+4; {neprospěch,prospěch}.S4/AuxP[v-1,.2]; v-1[{prospěch,neprospěch}.S4[.u#]]</t>
  </si>
  <si>
    <t xml:space="preserve">PAT-&gt;ARG1/5,ARG2/2</t>
  </si>
  <si>
    <t xml:space="preserve">"hovořit-007"</t>
  </si>
  <si>
    <t xml:space="preserve">ACT-&gt;ARG0/12119,ARG1/36</t>
  </si>
  <si>
    <t xml:space="preserve">EFF: ↓že; .s</t>
  </si>
  <si>
    <t xml:space="preserve">EFF-&gt;ARG0/2,ARG1/10492,ARG2/2</t>
  </si>
  <si>
    <t xml:space="preserve">"hovořit-008"</t>
  </si>
  <si>
    <t xml:space="preserve">"hovořit-009"</t>
  </si>
  <si>
    <t xml:space="preserve">DPHR: do-1[duše.2]</t>
  </si>
  <si>
    <t xml:space="preserve">"hovořit-010"</t>
  </si>
  <si>
    <t xml:space="preserve">DPHR: za-1[se.S4]</t>
  </si>
  <si>
    <t xml:space="preserve">"hovořit-011"</t>
  </si>
  <si>
    <t xml:space="preserve">DPHR: za-1[všechen.NS4]</t>
  </si>
  <si>
    <t xml:space="preserve">"hovět-si-001"</t>
  </si>
  <si>
    <t xml:space="preserve">"hořet-001"</t>
  </si>
  <si>
    <t xml:space="preserve">"hořet-002"</t>
  </si>
  <si>
    <t xml:space="preserve">"hořet-003"</t>
  </si>
  <si>
    <t xml:space="preserve">"hořet-004"</t>
  </si>
  <si>
    <t xml:space="preserve">CPHR: {nenávist,touha,...}.7</t>
  </si>
  <si>
    <t xml:space="preserve">"hrabat-001"</t>
  </si>
  <si>
    <t xml:space="preserve">?EFF: do+2; na+4</t>
  </si>
  <si>
    <t xml:space="preserve">ACT-&gt;ARG0/14,ARG1/1</t>
  </si>
  <si>
    <t xml:space="preserve">"hrabat-se-001"</t>
  </si>
  <si>
    <t xml:space="preserve">LOC-&gt;ARG1/1</t>
  </si>
  <si>
    <t xml:space="preserve">LOC-&gt;ARG1/8</t>
  </si>
  <si>
    <t xml:space="preserve">"hradit-001"</t>
  </si>
  <si>
    <t xml:space="preserve">ACT-&gt;ARG0/359,ARG1/2,ARG2/50</t>
  </si>
  <si>
    <t xml:space="preserve">ACT-&gt;ARG0/754,ARG1/7,ARG2/9</t>
  </si>
  <si>
    <t xml:space="preserve">PAT-&gt;ARG1/666,ARG2/14,ARG3/19</t>
  </si>
  <si>
    <t xml:space="preserve">PAT-&gt;ARG1/987,ARG2/42,ARG3/46</t>
  </si>
  <si>
    <t xml:space="preserve">ADDR-&gt;ARG0/1,ARG1/1,ARG2/141,ARG3/4</t>
  </si>
  <si>
    <t xml:space="preserve">ADDR-&gt;ARG0/2,ARG1/122,ARG2/301,ARG3/8</t>
  </si>
  <si>
    <t xml:space="preserve">"hradit-002"</t>
  </si>
  <si>
    <t xml:space="preserve">"hraničit-001"</t>
  </si>
  <si>
    <t xml:space="preserve">"hraničit-002"</t>
  </si>
  <si>
    <t xml:space="preserve">"hrkat-001"</t>
  </si>
  <si>
    <t xml:space="preserve">"hrknout-001"</t>
  </si>
  <si>
    <t xml:space="preserve">"hrknout-002"</t>
  </si>
  <si>
    <t xml:space="preserve">"hrnout-001"</t>
  </si>
  <si>
    <t xml:space="preserve">"hrnout-se-001"</t>
  </si>
  <si>
    <t xml:space="preserve">ACT-&gt;ARG0/10,ARG1/103,ARG2/1</t>
  </si>
  <si>
    <t xml:space="preserve">ACT-&gt;ARG0/46,ARG1/29,ARG2/6</t>
  </si>
  <si>
    <t xml:space="preserve">ACT-&gt;ARG0/46,ARG1/185,ARG2/6</t>
  </si>
  <si>
    <t xml:space="preserve">DIR3-&gt;ARG2/1,ARG4/39</t>
  </si>
  <si>
    <t xml:space="preserve">DIR3-&gt;ARG1/57,ARG2/2</t>
  </si>
  <si>
    <t xml:space="preserve">"hromadit-001"</t>
  </si>
  <si>
    <t xml:space="preserve">"hromadit-se-001"</t>
  </si>
  <si>
    <t xml:space="preserve">ACT-&gt;ARG0/4,ARG1/19</t>
  </si>
  <si>
    <t xml:space="preserve">ACT-&gt;ARG0/4,ARG1/21</t>
  </si>
  <si>
    <t xml:space="preserve">"hroutit-se-001"</t>
  </si>
  <si>
    <t xml:space="preserve">"hroutit-se-002"</t>
  </si>
  <si>
    <t xml:space="preserve">"hrozit-001"</t>
  </si>
  <si>
    <t xml:space="preserve">PAT: 7; ↓že; .f; .s</t>
  </si>
  <si>
    <t xml:space="preserve">PAT-&gt;ARG0/1,ARG1/77,ARG2/9</t>
  </si>
  <si>
    <t xml:space="preserve">PAT-&gt;ARG0/1,ARG1/6,ARG2/1</t>
  </si>
  <si>
    <t xml:space="preserve">"hrozit-002"</t>
  </si>
  <si>
    <t xml:space="preserve">ACT-&gt;ARG0/48,ARG1/727,ARG2/3452</t>
  </si>
  <si>
    <t xml:space="preserve">PAT-&gt;ARG0/170,ARG1/3252,ARG2/319</t>
  </si>
  <si>
    <t xml:space="preserve">PAT-&gt;ARG0/170,ARG1/3</t>
  </si>
  <si>
    <t xml:space="preserve">"hrozit-003"</t>
  </si>
  <si>
    <t xml:space="preserve">"hrozit-se-001"</t>
  </si>
  <si>
    <t xml:space="preserve">PAT: 2; ↓že; ↓c</t>
  </si>
  <si>
    <t xml:space="preserve">"hrrr-001"</t>
  </si>
  <si>
    <t xml:space="preserve">"hrábnout-001"</t>
  </si>
  <si>
    <t xml:space="preserve">DIR3-&gt;ARG1/12</t>
  </si>
  <si>
    <t xml:space="preserve">"hrát-001"</t>
  </si>
  <si>
    <t xml:space="preserve">PAT: 4; v+4; na+4</t>
  </si>
  <si>
    <t xml:space="preserve">ACT-&gt;ARG0/50,ARG1/3506,ARG2/296</t>
  </si>
  <si>
    <t xml:space="preserve">ACT-&gt;ARG0/31,ARG1/3</t>
  </si>
  <si>
    <t xml:space="preserve">"hrát-002"</t>
  </si>
  <si>
    <t xml:space="preserve">"hrát-003"</t>
  </si>
  <si>
    <t xml:space="preserve">ACT-&gt;ARG0/381,ARG1/3137,ARG2/296</t>
  </si>
  <si>
    <t xml:space="preserve">PAT-&gt;ARG0/1,ARG1/1000,ARG2/3477</t>
  </si>
  <si>
    <t xml:space="preserve">"hrát-004"</t>
  </si>
  <si>
    <t xml:space="preserve">ACT-&gt;ARG0/83,ARG1/3</t>
  </si>
  <si>
    <t xml:space="preserve">PAT-&gt;ARG1/53,ARG2/2</t>
  </si>
  <si>
    <t xml:space="preserve">"hrát-005"</t>
  </si>
  <si>
    <t xml:space="preserve">"hrát-006"</t>
  </si>
  <si>
    <t xml:space="preserve">DPHR: do-1[nota.S2]</t>
  </si>
  <si>
    <t xml:space="preserve">"hrát-007"</t>
  </si>
  <si>
    <t xml:space="preserve">"hrát-008"</t>
  </si>
  <si>
    <t xml:space="preserve">DPHR: na-1[strana-1:P4[dva.#]]</t>
  </si>
  <si>
    <t xml:space="preserve">"hrát-009"</t>
  </si>
  <si>
    <t xml:space="preserve">ACT: 1; ↓že; ↓jestli; ↓c</t>
  </si>
  <si>
    <t xml:space="preserve">ACT-&gt;ARG0/2209,ARG1/3121,ARG2/296</t>
  </si>
  <si>
    <t xml:space="preserve">DPHR: role-2.S4</t>
  </si>
  <si>
    <t xml:space="preserve">DPHR-&gt;ARG0/1,ARG1/2839,ARG2/3451</t>
  </si>
  <si>
    <t xml:space="preserve">"hrát-010"</t>
  </si>
  <si>
    <t xml:space="preserve">ACT: 1; ↓že; ↓jestli</t>
  </si>
  <si>
    <t xml:space="preserve">DPHR: úloha.S4</t>
  </si>
  <si>
    <t xml:space="preserve">DPHR-&gt;ARG1/38</t>
  </si>
  <si>
    <t xml:space="preserve">"hrát-011"</t>
  </si>
  <si>
    <t xml:space="preserve">DPHR: prim.4</t>
  </si>
  <si>
    <t xml:space="preserve">"hrát-012"</t>
  </si>
  <si>
    <t xml:space="preserve">DPHR: housle:P4[druhý-1.@1$11&lt;A&gt;#]</t>
  </si>
  <si>
    <t xml:space="preserve">"hrát-013"</t>
  </si>
  <si>
    <t xml:space="preserve">ALT-MANN: </t>
  </si>
  <si>
    <t xml:space="preserve">ALT-CRIT: </t>
  </si>
  <si>
    <t xml:space="preserve">"hrát-014"</t>
  </si>
  <si>
    <t xml:space="preserve">DPHR: do-1[karta.P2]</t>
  </si>
  <si>
    <t xml:space="preserve">"hrát-015"</t>
  </si>
  <si>
    <t xml:space="preserve">"hrát-016"</t>
  </si>
  <si>
    <t xml:space="preserve">"hrát-017"</t>
  </si>
  <si>
    <t xml:space="preserve">"hrát-018"</t>
  </si>
  <si>
    <t xml:space="preserve">"hrát-si-001"</t>
  </si>
  <si>
    <t xml:space="preserve">?EFF: na+4; 4</t>
  </si>
  <si>
    <t xml:space="preserve">PAT-&gt;ARG1/7,ARG2/2</t>
  </si>
  <si>
    <t xml:space="preserve">"hrát-si-002"</t>
  </si>
  <si>
    <t xml:space="preserve">"hrát-si-003"</t>
  </si>
  <si>
    <t xml:space="preserve">DPHR: na-1[píseček.S6[vlastní.#]]</t>
  </si>
  <si>
    <t xml:space="preserve">"hrát-si-004"</t>
  </si>
  <si>
    <t xml:space="preserve">DPHR: s-1[oheň.S7]</t>
  </si>
  <si>
    <t xml:space="preserve">"hrát-si-005"</t>
  </si>
  <si>
    <t xml:space="preserve">"hrávat-001"</t>
  </si>
  <si>
    <t xml:space="preserve">PAT: 4; v+4</t>
  </si>
  <si>
    <t xml:space="preserve">"hrávat-002"</t>
  </si>
  <si>
    <t xml:space="preserve">"hrávat-003"</t>
  </si>
  <si>
    <t xml:space="preserve">"hrávat-004"</t>
  </si>
  <si>
    <t xml:space="preserve">"hrávat-005"</t>
  </si>
  <si>
    <t xml:space="preserve">"hrávat-006"</t>
  </si>
  <si>
    <t xml:space="preserve">"hrávat-si-001"</t>
  </si>
  <si>
    <t xml:space="preserve">"hubnout-001"</t>
  </si>
  <si>
    <t xml:space="preserve">"hubovat-001"</t>
  </si>
  <si>
    <t xml:space="preserve">"hubovat-002"</t>
  </si>
  <si>
    <t xml:space="preserve">"huhňat-001"</t>
  </si>
  <si>
    <t xml:space="preserve">"hulit-001"</t>
  </si>
  <si>
    <t xml:space="preserve">"hulákat-001"</t>
  </si>
  <si>
    <t xml:space="preserve">PAT: 4; ↓aby</t>
  </si>
  <si>
    <t xml:space="preserve">?ADDR: na+4</t>
  </si>
  <si>
    <t xml:space="preserve">"hupnout-001"</t>
  </si>
  <si>
    <t xml:space="preserve">"hučet-001"</t>
  </si>
  <si>
    <t xml:space="preserve">"hučet-002"</t>
  </si>
  <si>
    <t xml:space="preserve">"hučet-003"</t>
  </si>
  <si>
    <t xml:space="preserve">"hvízdat-001"</t>
  </si>
  <si>
    <t xml:space="preserve">PAT: 4; ↓že; ↓zda; ↓jestli; ↓aby; .s</t>
  </si>
  <si>
    <t xml:space="preserve">"hvízdat-002"</t>
  </si>
  <si>
    <t xml:space="preserve">"hvízdat-si-001"</t>
  </si>
  <si>
    <t xml:space="preserve">"hvízdnout-001"</t>
  </si>
  <si>
    <t xml:space="preserve">"hynout-001"</t>
  </si>
  <si>
    <t xml:space="preserve">"hypertrofovat-001"</t>
  </si>
  <si>
    <t xml:space="preserve">"hypnotizovat-001"</t>
  </si>
  <si>
    <t xml:space="preserve">"hyzdit-001"</t>
  </si>
  <si>
    <t xml:space="preserve">"hádat-001"</t>
  </si>
  <si>
    <t xml:space="preserve">ACT-&gt;ARG0/41</t>
  </si>
  <si>
    <t xml:space="preserve">PAT: 4; o+6; ↓že; ↓zda; ↓jestli; ↓c; .s</t>
  </si>
  <si>
    <t xml:space="preserve">PAT-&gt;ARG1/220</t>
  </si>
  <si>
    <t xml:space="preserve">"hádat-se-001"</t>
  </si>
  <si>
    <t xml:space="preserve">"hájit-001"</t>
  </si>
  <si>
    <t xml:space="preserve">"hájit-se-001"</t>
  </si>
  <si>
    <t xml:space="preserve">?PAT: proti+3; před+7</t>
  </si>
  <si>
    <t xml:space="preserve">"házet-001"</t>
  </si>
  <si>
    <t xml:space="preserve">ADDR: 3; po+6</t>
  </si>
  <si>
    <t xml:space="preserve">"házet-002"</t>
  </si>
  <si>
    <t xml:space="preserve">"házet-003"</t>
  </si>
  <si>
    <t xml:space="preserve">DIR3-&gt;ARG2/1</t>
  </si>
  <si>
    <t xml:space="preserve">"házet-004"</t>
  </si>
  <si>
    <t xml:space="preserve">"házet-005"</t>
  </si>
  <si>
    <t xml:space="preserve">DPHR: klacek:P4,pod-1[noha:P4]</t>
  </si>
  <si>
    <t xml:space="preserve">"házet-006"</t>
  </si>
  <si>
    <t xml:space="preserve">"házet-007"</t>
  </si>
  <si>
    <t xml:space="preserve">"háčkovat-001"</t>
  </si>
  <si>
    <t xml:space="preserve">"hýbat-001"</t>
  </si>
  <si>
    <t xml:space="preserve">"hýbat-002"</t>
  </si>
  <si>
    <t xml:space="preserve">ACT-&gt;ARG0/35,ARG1/1</t>
  </si>
  <si>
    <t xml:space="preserve">"hýbat-se-001"</t>
  </si>
  <si>
    <t xml:space="preserve">ACT-&gt;ARG0/20,ARG1/89</t>
  </si>
  <si>
    <t xml:space="preserve">ACT-&gt;ARG0/8,ARG1/51</t>
  </si>
  <si>
    <t xml:space="preserve">"hýčkat-001"</t>
  </si>
  <si>
    <t xml:space="preserve">"hýřit-001"</t>
  </si>
  <si>
    <t xml:space="preserve">"hýřit-002"</t>
  </si>
  <si>
    <t xml:space="preserve">"hřebelcovat-001"</t>
  </si>
  <si>
    <t xml:space="preserve">"hřešit-001"</t>
  </si>
  <si>
    <t xml:space="preserve">"hřešit-002"</t>
  </si>
  <si>
    <t xml:space="preserve">"hřmět-001"</t>
  </si>
  <si>
    <t xml:space="preserve">ACT-&gt;ARG0/7,ARG1/5</t>
  </si>
  <si>
    <t xml:space="preserve">"hřmět-002"</t>
  </si>
  <si>
    <t xml:space="preserve">"hřmět-003"</t>
  </si>
  <si>
    <t xml:space="preserve">"hřát-001"</t>
  </si>
  <si>
    <t xml:space="preserve">"hřímat-001"</t>
  </si>
  <si>
    <t xml:space="preserve">EFF: 4; ↓že; ↓aby; ↓ať; ↓zda; ↓jak-2; .s; ↓c</t>
  </si>
  <si>
    <t xml:space="preserve">EFF-&gt;ARG1/37</t>
  </si>
  <si>
    <t xml:space="preserve">ADDR-&gt;ARG1/1,ARG2/1</t>
  </si>
  <si>
    <t xml:space="preserve">"idealizovat-si-001"</t>
  </si>
  <si>
    <t xml:space="preserve">"identifikovat-001"</t>
  </si>
  <si>
    <t xml:space="preserve">"identifikovat-002"</t>
  </si>
  <si>
    <t xml:space="preserve">PAT-&gt;ARG1/141,ARG3/1</t>
  </si>
  <si>
    <t xml:space="preserve">"ideologizovat-001"</t>
  </si>
  <si>
    <t xml:space="preserve">"ignorovat-001"</t>
  </si>
  <si>
    <t xml:space="preserve">ACT-&gt;ARG0/93</t>
  </si>
  <si>
    <t xml:space="preserve">PAT-&gt;ARG1/140</t>
  </si>
  <si>
    <t xml:space="preserve">PAT-&gt;ARG1/79</t>
  </si>
  <si>
    <t xml:space="preserve">"ilustrovat-001"</t>
  </si>
  <si>
    <t xml:space="preserve">"ilustrovat-002"</t>
  </si>
  <si>
    <t xml:space="preserve">"imitovat-001"</t>
  </si>
  <si>
    <t xml:space="preserve">"implantovat-001"</t>
  </si>
  <si>
    <t xml:space="preserve">"implementovat-001"</t>
  </si>
  <si>
    <t xml:space="preserve">"implikovat-001"</t>
  </si>
  <si>
    <t xml:space="preserve">"imponovat-001"</t>
  </si>
  <si>
    <t xml:space="preserve">ACT-&gt;ARG0/82</t>
  </si>
  <si>
    <t xml:space="preserve">"importovat-001"</t>
  </si>
  <si>
    <t xml:space="preserve">"impregnovat-001"</t>
  </si>
  <si>
    <t xml:space="preserve">"improvizovat-001"</t>
  </si>
  <si>
    <t xml:space="preserve">"imunizovat-001"</t>
  </si>
  <si>
    <t xml:space="preserve">"inaugurovat-001"</t>
  </si>
  <si>
    <t xml:space="preserve">"indikovat-001"</t>
  </si>
  <si>
    <t xml:space="preserve">ACT-&gt;ARG0/151</t>
  </si>
  <si>
    <t xml:space="preserve">ACT-&gt;ARG0/168</t>
  </si>
  <si>
    <t xml:space="preserve">PAT-&gt;ARG1/183</t>
  </si>
  <si>
    <t xml:space="preserve">PAT-&gt;ARG1/601</t>
  </si>
  <si>
    <t xml:space="preserve">"infikovat-001"</t>
  </si>
  <si>
    <t xml:space="preserve">ACT-&gt;ARG2/8</t>
  </si>
  <si>
    <t xml:space="preserve">"infiltrovat-001"</t>
  </si>
  <si>
    <t xml:space="preserve">"informovat-001"</t>
  </si>
  <si>
    <t xml:space="preserve">ACT-&gt;ARG0/1476,ARG1/7</t>
  </si>
  <si>
    <t xml:space="preserve">PAT: o+6; ↓že; .s; ↓c</t>
  </si>
  <si>
    <t xml:space="preserve">PAT-&gt;ARG1/1293,ARG2/106</t>
  </si>
  <si>
    <t xml:space="preserve">ADDR-&gt;ARG1/238,ARG2/334</t>
  </si>
  <si>
    <t xml:space="preserve">"informovat-se-001"</t>
  </si>
  <si>
    <t xml:space="preserve">PAT: na+4; o+6; ↓že; ↓c</t>
  </si>
  <si>
    <t xml:space="preserve">"iniciovat-001"</t>
  </si>
  <si>
    <t xml:space="preserve">ACT-&gt;ARG0/23,ARG2/1</t>
  </si>
  <si>
    <t xml:space="preserve">PAT-&gt;ARG0/1,ARG1/22,ARG3/3</t>
  </si>
  <si>
    <t xml:space="preserve">"inkasovat-001"</t>
  </si>
  <si>
    <t xml:space="preserve">"inklinovat-001"</t>
  </si>
  <si>
    <t xml:space="preserve">ACT-&gt;ARG0/8,ARG1/72</t>
  </si>
  <si>
    <t xml:space="preserve">ACT-&gt;ARG0/62,ARG1/73</t>
  </si>
  <si>
    <t xml:space="preserve">PAT-&gt;ARG1/4,ARG2/71</t>
  </si>
  <si>
    <t xml:space="preserve">PAT-&gt;ARG1/71,ARG2/71</t>
  </si>
  <si>
    <t xml:space="preserve">"inovovat-001"</t>
  </si>
  <si>
    <t xml:space="preserve">"inscenovat-001"</t>
  </si>
  <si>
    <t xml:space="preserve">"inscenovat-002"</t>
  </si>
  <si>
    <t xml:space="preserve">"inspirovat-001"</t>
  </si>
  <si>
    <t xml:space="preserve">PAT-&gt;ARG1/44,ARG2/2</t>
  </si>
  <si>
    <t xml:space="preserve">"inspirovat-se-001"</t>
  </si>
  <si>
    <t xml:space="preserve">"instalovat-001"</t>
  </si>
  <si>
    <t xml:space="preserve">ACT-&gt;ARG0/43</t>
  </si>
  <si>
    <t xml:space="preserve">"institucionalizovat-001"</t>
  </si>
  <si>
    <t xml:space="preserve">"instruovat-001"</t>
  </si>
  <si>
    <t xml:space="preserve">PAT: o+6; k+3; ↓že; ↓aby; ↓ať; .s; ↓c</t>
  </si>
  <si>
    <t xml:space="preserve">PAT-&gt;ARG1/1,ARG2/12</t>
  </si>
  <si>
    <t xml:space="preserve">PAT-&gt;ARG1/179,ARG2/12,ARG3/1</t>
  </si>
  <si>
    <t xml:space="preserve">ADDR-&gt;ARG1/14</t>
  </si>
  <si>
    <t xml:space="preserve">"intarzovat-001"</t>
  </si>
  <si>
    <t xml:space="preserve">"integrovat-001"</t>
  </si>
  <si>
    <t xml:space="preserve">ACT-&gt;ARG0/115,ARG1/2,ARG2/26</t>
  </si>
  <si>
    <t xml:space="preserve">PAT-&gt;ARG1/333</t>
  </si>
  <si>
    <t xml:space="preserve">ADDR-&gt;ARG1/2,ARG2/11,ARG3/1</t>
  </si>
  <si>
    <t xml:space="preserve">EFF-&gt;ARG2/5,ARG3/1</t>
  </si>
  <si>
    <t xml:space="preserve">EFF-&gt;ARG2/16,ARG3/1</t>
  </si>
  <si>
    <t xml:space="preserve">"integrovat-se-001"</t>
  </si>
  <si>
    <t xml:space="preserve">ACT-&gt;ARG0/21,ARG1/1095,ARG2/29</t>
  </si>
  <si>
    <t xml:space="preserve">DIR3-&gt;ARG0/6,ARG1/6,ARG2/492</t>
  </si>
  <si>
    <t xml:space="preserve">"interagovat-001"</t>
  </si>
  <si>
    <t xml:space="preserve">"internacionalizovat-001"</t>
  </si>
  <si>
    <t xml:space="preserve">"internalizovat-001"</t>
  </si>
  <si>
    <t xml:space="preserve">"internovat-001"</t>
  </si>
  <si>
    <t xml:space="preserve">"interpelovat-001"</t>
  </si>
  <si>
    <t xml:space="preserve">"interpretovat-001"</t>
  </si>
  <si>
    <t xml:space="preserve">ACT-&gt;ARG0/66</t>
  </si>
  <si>
    <t xml:space="preserve">PAT-&gt;ARG1/96</t>
  </si>
  <si>
    <t xml:space="preserve">"intervenovat-001"</t>
  </si>
  <si>
    <t xml:space="preserve">ACT-&gt;ARG0/661,ARG1/20,ARG3/9</t>
  </si>
  <si>
    <t xml:space="preserve">PAT: prospěch.S4[v-1,.u#]; prospěch.S4[v-1,.2]; za+4</t>
  </si>
  <si>
    <t xml:space="preserve">PAT-&gt;ARG1/875,ARG2/17</t>
  </si>
  <si>
    <t xml:space="preserve">"intrikovat-001"</t>
  </si>
  <si>
    <t xml:space="preserve">"inventarizovat-001"</t>
  </si>
  <si>
    <t xml:space="preserve">"investovat-001"</t>
  </si>
  <si>
    <t xml:space="preserve">ACT-&gt;ARG0/393,ARG1/2,ARG3/1</t>
  </si>
  <si>
    <t xml:space="preserve">PAT-&gt;ARG0/1,ARG1/307,ARG2/41,ARG3/143</t>
  </si>
  <si>
    <t xml:space="preserve">EFF-&gt;ARG1/6,ARG2/12</t>
  </si>
  <si>
    <t xml:space="preserve">"investovat-002"</t>
  </si>
  <si>
    <t xml:space="preserve">ACT-&gt;ARG0/165,ARG3/1</t>
  </si>
  <si>
    <t xml:space="preserve">PAT-&gt;ARG0/1,ARG1/55,ARG2/6,ARG3/143</t>
  </si>
  <si>
    <t xml:space="preserve">?EFF: za+4; do+2; na+4</t>
  </si>
  <si>
    <t xml:space="preserve">EFF-&gt;ARG1/112,ARG3/1</t>
  </si>
  <si>
    <t xml:space="preserve">"inzerovat-001"</t>
  </si>
  <si>
    <t xml:space="preserve">"iritovat-001"</t>
  </si>
  <si>
    <t xml:space="preserve">"izolovat-001"</t>
  </si>
  <si>
    <t xml:space="preserve">ACT-&gt;ARG0/9,ARG3/1</t>
  </si>
  <si>
    <t xml:space="preserve">PAT-&gt;ARG1/133,ARG3/1</t>
  </si>
  <si>
    <t xml:space="preserve">ORIG-&gt;ARG2/3</t>
  </si>
  <si>
    <t xml:space="preserve">"izolovat-002"</t>
  </si>
  <si>
    <t xml:space="preserve">ACT-&gt;ARG3/1</t>
  </si>
  <si>
    <t xml:space="preserve">ACT-&gt;ARG0/54,ARG1/2,ARG3/19</t>
  </si>
  <si>
    <t xml:space="preserve">PAT-&gt;ARG0/10,ARG1/179,ARG2/2</t>
  </si>
  <si>
    <t xml:space="preserve">"jednat-001"</t>
  </si>
  <si>
    <t xml:space="preserve">ACT-&gt;ARG0/647,ARG1/433,ARG2/83</t>
  </si>
  <si>
    <t xml:space="preserve">PAT: o+6; v+6; na-1[téma.4]</t>
  </si>
  <si>
    <t xml:space="preserve">PAT-&gt;ARG1/564,ARG2/75</t>
  </si>
  <si>
    <t xml:space="preserve">ADDR-&gt;ARG1/171,ARG2/83</t>
  </si>
  <si>
    <t xml:space="preserve">"jednat-002"</t>
  </si>
  <si>
    <t xml:space="preserve">"jednat-003"</t>
  </si>
  <si>
    <t xml:space="preserve">PAT-&gt;ARG1/142</t>
  </si>
  <si>
    <t xml:space="preserve">"jednat-004"</t>
  </si>
  <si>
    <t xml:space="preserve">ACT-&gt;ARG0/265,ARG1/82</t>
  </si>
  <si>
    <t xml:space="preserve">ACT-&gt;ARG0/18,ARG1/3</t>
  </si>
  <si>
    <t xml:space="preserve">MANN-&gt;ARG1/223,ARG2/3</t>
  </si>
  <si>
    <t xml:space="preserve">CRIT-&gt;ARG1/1</t>
  </si>
  <si>
    <t xml:space="preserve">ALT-AIM: *</t>
  </si>
  <si>
    <t xml:space="preserve">"jednat-se-001"</t>
  </si>
  <si>
    <t xml:space="preserve">"jednat-se-002"</t>
  </si>
  <si>
    <t xml:space="preserve">ACT: o+4</t>
  </si>
  <si>
    <t xml:space="preserve">ACT-&gt;ARG1/1094,ARG2/3730,ARG4/1</t>
  </si>
  <si>
    <t xml:space="preserve">"jektat-001"</t>
  </si>
  <si>
    <t xml:space="preserve">"jektat-002"</t>
  </si>
  <si>
    <t xml:space="preserve">"jet-001"</t>
  </si>
  <si>
    <t xml:space="preserve">"jet-002"</t>
  </si>
  <si>
    <t xml:space="preserve">"jet-003"</t>
  </si>
  <si>
    <t xml:space="preserve">ACT: 3; ↓že; ↓c</t>
  </si>
  <si>
    <t xml:space="preserve">"jet-004"</t>
  </si>
  <si>
    <t xml:space="preserve">ACT-&gt;ARG0/134,ARG1/78</t>
  </si>
  <si>
    <t xml:space="preserve">DIR3-&gt;ARG1/128</t>
  </si>
  <si>
    <t xml:space="preserve">DIR3-&gt;ARG1/10</t>
  </si>
  <si>
    <t xml:space="preserve">"jet-005"</t>
  </si>
  <si>
    <t xml:space="preserve">ACT-&gt;ARG0/2160,ARG1/97</t>
  </si>
  <si>
    <t xml:space="preserve">"jet-006"</t>
  </si>
  <si>
    <t xml:space="preserve">"jet-007"</t>
  </si>
  <si>
    <t xml:space="preserve">DPHR: na-1[loď:S6[stejný.#]]</t>
  </si>
  <si>
    <t xml:space="preserve">"jet-008"</t>
  </si>
  <si>
    <t xml:space="preserve">DPHR: po-1[svůj.NS6]</t>
  </si>
  <si>
    <t xml:space="preserve">"jet-009"</t>
  </si>
  <si>
    <t xml:space="preserve">"jet-010"</t>
  </si>
  <si>
    <t xml:space="preserve">"jet-011"</t>
  </si>
  <si>
    <t xml:space="preserve">"jevit-001"</t>
  </si>
  <si>
    <t xml:space="preserve">CPHR: {tendence,zájem,...}.4</t>
  </si>
  <si>
    <t xml:space="preserve">CPHR-&gt;ARG1/601</t>
  </si>
  <si>
    <t xml:space="preserve">"jevit-002"</t>
  </si>
  <si>
    <t xml:space="preserve">CPHR: {známka,...}.4</t>
  </si>
  <si>
    <t xml:space="preserve">CPHR-&gt;ARG1/377</t>
  </si>
  <si>
    <t xml:space="preserve">"jevit-se-001"</t>
  </si>
  <si>
    <t xml:space="preserve">ACT-&gt;ARG0/88,ARG1/41,ARG2/1</t>
  </si>
  <si>
    <t xml:space="preserve">ACT-&gt;ARG0/91,ARG1/206,ARG2/3</t>
  </si>
  <si>
    <t xml:space="preserve">PAT: 1; ↓že; .f</t>
  </si>
  <si>
    <t xml:space="preserve">PAT-&gt;ARG1/297</t>
  </si>
  <si>
    <t xml:space="preserve">PAT-&gt;ARG0/2,ARG1/3,ARG2/10,ARG3/1</t>
  </si>
  <si>
    <t xml:space="preserve">EFF: 7; být[.7]; .a1; .a7; ↓že; 1[{jako,jakožto}:/AuxY]; .a1[{jako,jakožto}:/AuxY]</t>
  </si>
  <si>
    <t xml:space="preserve">EFF-&gt;ARG1/256,ARG2/88</t>
  </si>
  <si>
    <t xml:space="preserve">EFF-&gt;ARG1/241,ARG2/55,ARG3/10</t>
  </si>
  <si>
    <t xml:space="preserve">"jevit-se-002"</t>
  </si>
  <si>
    <t xml:space="preserve">ACT-&gt;ARG0/2,ARG1/3,ARG2/10,ARG3/1</t>
  </si>
  <si>
    <t xml:space="preserve">PAT-&gt;ARG0/91,ARG1/206,ARG2/3</t>
  </si>
  <si>
    <t xml:space="preserve">MANN-&gt;ARG1/241,ARG2/55,ARG3/10</t>
  </si>
  <si>
    <t xml:space="preserve">"jevit-se-003"</t>
  </si>
  <si>
    <t xml:space="preserve">PAT: 1; ↓že; ↓jako</t>
  </si>
  <si>
    <t xml:space="preserve">"jezdit-001"</t>
  </si>
  <si>
    <t xml:space="preserve">"jezdit-002"</t>
  </si>
  <si>
    <t xml:space="preserve">ACT-&gt;ARG0/38,ARG1/3</t>
  </si>
  <si>
    <t xml:space="preserve">DIR3-&gt;ARG4/3</t>
  </si>
  <si>
    <t xml:space="preserve">"jezdit-003"</t>
  </si>
  <si>
    <t xml:space="preserve">ACT-&gt;ARG0/224,ARG1/164</t>
  </si>
  <si>
    <t xml:space="preserve">"jezdit-004"</t>
  </si>
  <si>
    <t xml:space="preserve">DIR2: </t>
  </si>
  <si>
    <t xml:space="preserve">"jezdit-005"</t>
  </si>
  <si>
    <t xml:space="preserve">"jezdit-006"</t>
  </si>
  <si>
    <t xml:space="preserve">"jezdit-007"</t>
  </si>
  <si>
    <t xml:space="preserve">"jezdívat-001"</t>
  </si>
  <si>
    <t xml:space="preserve">"jezdívat-002"</t>
  </si>
  <si>
    <t xml:space="preserve">"jezdívat-003"</t>
  </si>
  <si>
    <t xml:space="preserve">"jezdívávat-001"</t>
  </si>
  <si>
    <t xml:space="preserve">"jezdívávat-002"</t>
  </si>
  <si>
    <t xml:space="preserve">"jezdívávat-003"</t>
  </si>
  <si>
    <t xml:space="preserve">"ječet-001"</t>
  </si>
  <si>
    <t xml:space="preserve">PAT: 4; ↓že; ↓zda; ↓jestli; ↓aby; .s; ↓c</t>
  </si>
  <si>
    <t xml:space="preserve">"ječet-002"</t>
  </si>
  <si>
    <t xml:space="preserve">"ježit-se-001"</t>
  </si>
  <si>
    <t xml:space="preserve">"ježit-se-002"</t>
  </si>
  <si>
    <t xml:space="preserve">"ježit-se-003"</t>
  </si>
  <si>
    <t xml:space="preserve">"jiskřit-001"</t>
  </si>
  <si>
    <t xml:space="preserve">"jistit-001"</t>
  </si>
  <si>
    <t xml:space="preserve">ACT-&gt;ARG0/13,ARG1/1</t>
  </si>
  <si>
    <t xml:space="preserve">ACT-&gt;ARG0/116,ARG1/1</t>
  </si>
  <si>
    <t xml:space="preserve">PAT-&gt;ARG1/103</t>
  </si>
  <si>
    <t xml:space="preserve">PAT-&gt;ARG1/193</t>
  </si>
  <si>
    <t xml:space="preserve">EFF-&gt;ARG4/3</t>
  </si>
  <si>
    <t xml:space="preserve">"jmenovat-001"</t>
  </si>
  <si>
    <t xml:space="preserve">ACT-&gt;ARG0/151,ARG1/1</t>
  </si>
  <si>
    <t xml:space="preserve">ACT-&gt;ARG0/114</t>
  </si>
  <si>
    <t xml:space="preserve">PAT-&gt;ARG1/345,ARG2/15</t>
  </si>
  <si>
    <t xml:space="preserve">PAT-&gt;ARG1/252,ARG2/13</t>
  </si>
  <si>
    <t xml:space="preserve">"jmenovat-002"</t>
  </si>
  <si>
    <t xml:space="preserve">PAT-&gt;ARG1/242,ARG2/1</t>
  </si>
  <si>
    <t xml:space="preserve">PAT-&gt;ARG1/161,ARG2/7</t>
  </si>
  <si>
    <t xml:space="preserve">EFF: 7; 4[{jako,jakožto}:/AuxY]; za+4; do+2</t>
  </si>
  <si>
    <t xml:space="preserve">EFF-&gt;ARG2/224</t>
  </si>
  <si>
    <t xml:space="preserve">EFF-&gt;ARG1/1,ARG2/81</t>
  </si>
  <si>
    <t xml:space="preserve">ACT-&gt;ARG0/227,ARG1/2</t>
  </si>
  <si>
    <t xml:space="preserve">PAT-&gt;ARG1/711,ARG2/16</t>
  </si>
  <si>
    <t xml:space="preserve">EFF-&gt;ARG2/300</t>
  </si>
  <si>
    <t xml:space="preserve">"jmenovat-003"</t>
  </si>
  <si>
    <t xml:space="preserve">ACT-&gt;ARG0/72,ARG1/1</t>
  </si>
  <si>
    <t xml:space="preserve">PAT-&gt;ARG1/349,ARG2/21</t>
  </si>
  <si>
    <t xml:space="preserve">"jmenovat-004"</t>
  </si>
  <si>
    <t xml:space="preserve">"jmenovat-se-001"</t>
  </si>
  <si>
    <t xml:space="preserve">ACT-&gt;ARG1/204,ARG2/1</t>
  </si>
  <si>
    <t xml:space="preserve">ACT-&gt;ARG1/232,ARG2/3</t>
  </si>
  <si>
    <t xml:space="preserve">PAT-&gt;ARG1/1,ARG2/351</t>
  </si>
  <si>
    <t xml:space="preserve">PAT-&gt;ARG1/1,ARG2/382,ARG3/10</t>
  </si>
  <si>
    <t xml:space="preserve">"jmenovat-se-002"</t>
  </si>
  <si>
    <t xml:space="preserve">"jmout-se-001"</t>
  </si>
  <si>
    <t xml:space="preserve">"joggovat-001"</t>
  </si>
  <si>
    <t xml:space="preserve">"jásat-001"</t>
  </si>
  <si>
    <t xml:space="preserve">"jídávat-001"</t>
  </si>
  <si>
    <t xml:space="preserve">"jídávat-002"</t>
  </si>
  <si>
    <t xml:space="preserve">"jímat-001"</t>
  </si>
  <si>
    <t xml:space="preserve">CPHR: {nenávist,strach,touha,úzkost,...}.1</t>
  </si>
  <si>
    <t xml:space="preserve">"jíst-001"</t>
  </si>
  <si>
    <t xml:space="preserve">ACT-&gt;ARG0/19,ARG1/1</t>
  </si>
  <si>
    <t xml:space="preserve">ACT-&gt;ARG0/22,ARG1/1</t>
  </si>
  <si>
    <t xml:space="preserve">PAT: 4; 2</t>
  </si>
  <si>
    <t xml:space="preserve">"jíst-002"</t>
  </si>
  <si>
    <t xml:space="preserve">"jít-001"</t>
  </si>
  <si>
    <t xml:space="preserve">EFF: k+3</t>
  </si>
  <si>
    <t xml:space="preserve">"jít-002"</t>
  </si>
  <si>
    <t xml:space="preserve">ACT-&gt;ARG1/30,ARG2/1</t>
  </si>
  <si>
    <t xml:space="preserve">"jít-003"</t>
  </si>
  <si>
    <t xml:space="preserve">"jít-004"</t>
  </si>
  <si>
    <t xml:space="preserve">"jít-005"</t>
  </si>
  <si>
    <t xml:space="preserve">"jít-006"</t>
  </si>
  <si>
    <t xml:space="preserve">ACT-&gt;ARG0/108,ARG1/84</t>
  </si>
  <si>
    <t xml:space="preserve">ACT-&gt;ARG0/664,ARG1/44,ARG2/18,ARG3/1</t>
  </si>
  <si>
    <t xml:space="preserve">PAT-&gt;ARG1/86,ARG2/11</t>
  </si>
  <si>
    <t xml:space="preserve">PAT-&gt;ARG0/1,ARG1/783,ARG2/70,ARG3/1</t>
  </si>
  <si>
    <t xml:space="preserve">"jít-007"</t>
  </si>
  <si>
    <t xml:space="preserve">"jít-008"</t>
  </si>
  <si>
    <t xml:space="preserve">ACT-&gt;ARG1/44</t>
  </si>
  <si>
    <t xml:space="preserve">ACT-&gt;ARG1/39</t>
  </si>
  <si>
    <t xml:space="preserve">PAT-&gt;ARG2/40</t>
  </si>
  <si>
    <t xml:space="preserve">PAT-&gt;ARG2/34</t>
  </si>
  <si>
    <t xml:space="preserve">"jít-009"</t>
  </si>
  <si>
    <t xml:space="preserve">"jít-010"</t>
  </si>
  <si>
    <t xml:space="preserve">"jít-011"</t>
  </si>
  <si>
    <t xml:space="preserve">"jít-012"</t>
  </si>
  <si>
    <t xml:space="preserve">ACT-&gt;ARG0/22,ARG1/78</t>
  </si>
  <si>
    <t xml:space="preserve">PAT: proti+3</t>
  </si>
  <si>
    <t xml:space="preserve">PAT-&gt;ARG1/62</t>
  </si>
  <si>
    <t xml:space="preserve">"jít-013"</t>
  </si>
  <si>
    <t xml:space="preserve">"jít-014"</t>
  </si>
  <si>
    <t xml:space="preserve">ACT-&gt;ARG0/34,ARG1/78</t>
  </si>
  <si>
    <t xml:space="preserve">"jít-015"</t>
  </si>
  <si>
    <t xml:space="preserve">"jít-016"</t>
  </si>
  <si>
    <t xml:space="preserve">"jít-017"</t>
  </si>
  <si>
    <t xml:space="preserve">ACT-&gt;ARG0/80,ARG1/15</t>
  </si>
  <si>
    <t xml:space="preserve">"jít-018"</t>
  </si>
  <si>
    <t xml:space="preserve">"jít-019"</t>
  </si>
  <si>
    <t xml:space="preserve">"jít-020"</t>
  </si>
  <si>
    <t xml:space="preserve">ACT-&gt;ARG0/7,ARG1/78</t>
  </si>
  <si>
    <t xml:space="preserve">DIR2-&gt;ARG1/10</t>
  </si>
  <si>
    <t xml:space="preserve">"jít-021"</t>
  </si>
  <si>
    <t xml:space="preserve">ACT-&gt;ARG0/37,ARG1/82</t>
  </si>
  <si>
    <t xml:space="preserve">ACT-&gt;ARG0/793,ARG1/298,ARG2/18,ARG3/1</t>
  </si>
  <si>
    <t xml:space="preserve">ACT-&gt;ARG0/793,ARG1/302,ARG2/18,ARG3/1</t>
  </si>
  <si>
    <t xml:space="preserve">DIR3-&gt;ARG1/37,ARG2/11</t>
  </si>
  <si>
    <t xml:space="preserve">DIR3-&gt;ARG0/1,ARG1/911,ARG2/59,ARG3/1</t>
  </si>
  <si>
    <t xml:space="preserve">"jít-022"</t>
  </si>
  <si>
    <t xml:space="preserve">ACT-&gt;ARG0/127,ARG1/3759,ARG2/300</t>
  </si>
  <si>
    <t xml:space="preserve">ACT-&gt;ARG0/25,ARG1/102</t>
  </si>
  <si>
    <t xml:space="preserve">DIR3-&gt;ARG1/13,ARG2/408</t>
  </si>
  <si>
    <t xml:space="preserve">"jít-023"</t>
  </si>
  <si>
    <t xml:space="preserve">ACT-&gt;ARG0/8,ARG1/2</t>
  </si>
  <si>
    <t xml:space="preserve">DIR3-&gt;ARG1/5,ARG2/4</t>
  </si>
  <si>
    <t xml:space="preserve">"jít-024"</t>
  </si>
  <si>
    <t xml:space="preserve">DIR3-&gt;ARG2/34</t>
  </si>
  <si>
    <t xml:space="preserve">"jít-025"</t>
  </si>
  <si>
    <t xml:space="preserve">ACT-&gt;ARG0/10,ARG1/466,ARG2/4</t>
  </si>
  <si>
    <t xml:space="preserve">DIR3-&gt;ARG1/2,ARG2/358</t>
  </si>
  <si>
    <t xml:space="preserve">"jít-026"</t>
  </si>
  <si>
    <t xml:space="preserve">ACT-&gt;ARG0/4,ARG1/181</t>
  </si>
  <si>
    <t xml:space="preserve">DIR3-&gt;ARG1/2</t>
  </si>
  <si>
    <t xml:space="preserve">"jít-027"</t>
  </si>
  <si>
    <t xml:space="preserve">ACT-&gt;ARG1/394,ARG2/4</t>
  </si>
  <si>
    <t xml:space="preserve">DIR3-&gt;ARG1/2,ARG2/279</t>
  </si>
  <si>
    <t xml:space="preserve">"jít-028"</t>
  </si>
  <si>
    <t xml:space="preserve">ACT-&gt;ARG1/78</t>
  </si>
  <si>
    <t xml:space="preserve">"jít-029"</t>
  </si>
  <si>
    <t xml:space="preserve">ACT: 1; .f; ↓aby</t>
  </si>
  <si>
    <t xml:space="preserve">"jít-030"</t>
  </si>
  <si>
    <t xml:space="preserve">"jít-031"</t>
  </si>
  <si>
    <t xml:space="preserve">ACT-&gt;ARG1/3391,ARG2/299</t>
  </si>
  <si>
    <t xml:space="preserve">"jít-032"</t>
  </si>
  <si>
    <t xml:space="preserve">ACT-&gt;ARG0/1,ARG1/289,ARG2/3</t>
  </si>
  <si>
    <t xml:space="preserve">"jít-033"</t>
  </si>
  <si>
    <t xml:space="preserve">"jít-034"</t>
  </si>
  <si>
    <t xml:space="preserve">"jít-035"</t>
  </si>
  <si>
    <t xml:space="preserve">ACT-&gt;ARG0/58,ARG1/1230,ARG2/3454</t>
  </si>
  <si>
    <t xml:space="preserve">"jít-036"</t>
  </si>
  <si>
    <t xml:space="preserve">"jít-037"</t>
  </si>
  <si>
    <t xml:space="preserve">ACT-&gt;ARG2/4</t>
  </si>
  <si>
    <t xml:space="preserve">DPHR: k-1[duhu.S3]</t>
  </si>
  <si>
    <t xml:space="preserve">"jít-038"</t>
  </si>
  <si>
    <t xml:space="preserve">DPHR: po-1[krk.S6]</t>
  </si>
  <si>
    <t xml:space="preserve">"jít-039"</t>
  </si>
  <si>
    <t xml:space="preserve">DPHR: pod-1[vous.P4]</t>
  </si>
  <si>
    <t xml:space="preserve">"jít-040"</t>
  </si>
  <si>
    <t xml:space="preserve">DPHR: z-1[kopec.S2]; s-1[kopec.S2]</t>
  </si>
  <si>
    <t xml:space="preserve">PAT-&gt;ARG0/111,ARG1/15,ARGM-MNR/2</t>
  </si>
  <si>
    <t xml:space="preserve">ACT-&gt;ARG0/1,ARG1/3111,ARG2/296</t>
  </si>
  <si>
    <t xml:space="preserve">"jít-041"</t>
  </si>
  <si>
    <t xml:space="preserve">DPHR: s-1[cena-1.7]</t>
  </si>
  <si>
    <t xml:space="preserve">"jít-042"</t>
  </si>
  <si>
    <t xml:space="preserve">ACT-&gt;ARG1/108,ARG2/1</t>
  </si>
  <si>
    <t xml:space="preserve">"jít-043"</t>
  </si>
  <si>
    <t xml:space="preserve">DPHR: klouzat.f[se]</t>
  </si>
  <si>
    <t xml:space="preserve">"jít-044"</t>
  </si>
  <si>
    <t xml:space="preserve">ACT-&gt;ARG0/4,ARG1/34</t>
  </si>
  <si>
    <t xml:space="preserve">DPHR: na-1[odbyt.S4]</t>
  </si>
  <si>
    <t xml:space="preserve">"jít-045"</t>
  </si>
  <si>
    <t xml:space="preserve">DPHR: příklad.S7</t>
  </si>
  <si>
    <t xml:space="preserve">"jít-046"</t>
  </si>
  <si>
    <t xml:space="preserve">DPHR: proti-1[proud.S3]</t>
  </si>
  <si>
    <t xml:space="preserve">"jít-047"</t>
  </si>
  <si>
    <t xml:space="preserve">DPHR: ruka:S4,v-1[ruka:S6]</t>
  </si>
  <si>
    <t xml:space="preserve">"jít-048"</t>
  </si>
  <si>
    <t xml:space="preserve">DPHR: vzor.7</t>
  </si>
  <si>
    <t xml:space="preserve">"jít-049"</t>
  </si>
  <si>
    <t xml:space="preserve">DPHR: s-1.7[kůže.S7[na-1.4[trh.S4]]]</t>
  </si>
  <si>
    <t xml:space="preserve">"jít-050"</t>
  </si>
  <si>
    <t xml:space="preserve">DPHR: do-1[tuhý.2]</t>
  </si>
  <si>
    <t xml:space="preserve">DPHR-&gt;ARG2/141</t>
  </si>
  <si>
    <t xml:space="preserve">"jít-051"</t>
  </si>
  <si>
    <t xml:space="preserve">DPHR: tlustý.IS1,do-1[tenký.IP2]</t>
  </si>
  <si>
    <t xml:space="preserve">"jít-052"</t>
  </si>
  <si>
    <t xml:space="preserve">"jít-053"</t>
  </si>
  <si>
    <t xml:space="preserve">ACT-&gt;ARG0/11,ARG1/1938,ARG2/8</t>
  </si>
  <si>
    <t xml:space="preserve">PAT-&gt;ARG1/9,ARG2/48,ARG4/1380</t>
  </si>
  <si>
    <t xml:space="preserve">ORIG-&gt;ARG3/540,ARG4/1</t>
  </si>
  <si>
    <t xml:space="preserve">"jít-054"</t>
  </si>
  <si>
    <t xml:space="preserve">DPHR: do-1</t>
  </si>
  <si>
    <t xml:space="preserve">"jít-055"</t>
  </si>
  <si>
    <t xml:space="preserve">DPHR: do-1[háj.S2]</t>
  </si>
  <si>
    <t xml:space="preserve">"jít-056"</t>
  </si>
  <si>
    <t xml:space="preserve">DPHR: k-1[dno.S3]</t>
  </si>
  <si>
    <t xml:space="preserve">"jít-057"</t>
  </si>
  <si>
    <t xml:space="preserve">"jít-058"</t>
  </si>
  <si>
    <t xml:space="preserve">DPHR: od-1[vál.S2]</t>
  </si>
  <si>
    <t xml:space="preserve">"jít-059"</t>
  </si>
  <si>
    <t xml:space="preserve">DPHR: proti-1[srst.S3]</t>
  </si>
  <si>
    <t xml:space="preserve">"jít-060"</t>
  </si>
  <si>
    <t xml:space="preserve">"jít-061"</t>
  </si>
  <si>
    <t xml:space="preserve">"jít-062"</t>
  </si>
  <si>
    <t xml:space="preserve">DPHR: do-1[prdel.S2]</t>
  </si>
  <si>
    <t xml:space="preserve">"jít-063"</t>
  </si>
  <si>
    <t xml:space="preserve">DPHR: k-1[čert.S3]</t>
  </si>
  <si>
    <t xml:space="preserve">"jít-064"</t>
  </si>
  <si>
    <t xml:space="preserve">DPHR: na-1[ruka.S4]</t>
  </si>
  <si>
    <t xml:space="preserve">"jít-065"</t>
  </si>
  <si>
    <t xml:space="preserve">DPHR: vniveč</t>
  </si>
  <si>
    <t xml:space="preserve">"jít-066"</t>
  </si>
  <si>
    <t xml:space="preserve">DPHR: o-1[život.S4]</t>
  </si>
  <si>
    <t xml:space="preserve">"jít-067"</t>
  </si>
  <si>
    <t xml:space="preserve">DPHR: od-1[deset.S2],k-1[pět.S3]</t>
  </si>
  <si>
    <t xml:space="preserve">"jít-068"</t>
  </si>
  <si>
    <t xml:space="preserve">DPHR: s-1[pravda.S7],ven</t>
  </si>
  <si>
    <t xml:space="preserve">"jít-069"</t>
  </si>
  <si>
    <t xml:space="preserve">DPHR: v-1[stopa.P6]</t>
  </si>
  <si>
    <t xml:space="preserve">"jít-070"</t>
  </si>
  <si>
    <t xml:space="preserve">DPHR: mezi-1[já.P7]</t>
  </si>
  <si>
    <t xml:space="preserve">"jít-071"</t>
  </si>
  <si>
    <t xml:space="preserve">"jít-072"</t>
  </si>
  <si>
    <t xml:space="preserve">"jít-073"</t>
  </si>
  <si>
    <t xml:space="preserve">"jít-074"</t>
  </si>
  <si>
    <t xml:space="preserve">DPHR: přes-1[a-1[hora.P4,důl.P4]]</t>
  </si>
  <si>
    <t xml:space="preserve">"jít-075"</t>
  </si>
  <si>
    <t xml:space="preserve">PAT: na+4; do+2</t>
  </si>
  <si>
    <t xml:space="preserve">"jít-076"</t>
  </si>
  <si>
    <t xml:space="preserve">"jít-077"</t>
  </si>
  <si>
    <t xml:space="preserve">"jít-078"</t>
  </si>
  <si>
    <t xml:space="preserve">"jít-079"</t>
  </si>
  <si>
    <t xml:space="preserve">"jít-080"</t>
  </si>
  <si>
    <t xml:space="preserve">DPHR: mimo-1[.4$1&lt;P&gt;$2&lt;P&gt;]</t>
  </si>
  <si>
    <t xml:space="preserve">"jít-081"</t>
  </si>
  <si>
    <t xml:space="preserve">DPHR: cesta.S7[svůj-1.#]</t>
  </si>
  <si>
    <t xml:space="preserve">"jít-082"</t>
  </si>
  <si>
    <t xml:space="preserve">MANN: </t>
  </si>
  <si>
    <t xml:space="preserve">"jít-083"</t>
  </si>
  <si>
    <t xml:space="preserve">"jít-084"</t>
  </si>
  <si>
    <t xml:space="preserve">"--jít-085"</t>
  </si>
  <si>
    <t xml:space="preserve">DPHR: NOT PARSED:ruka:S4v-1[ruka:S6]</t>
  </si>
  <si>
    <t xml:space="preserve">"jít-si-001"</t>
  </si>
  <si>
    <t xml:space="preserve">DPHR: za-1[cíl.S7[svůj-1.#]]; za-1[cíl.P7[svůj-1.#]]</t>
  </si>
  <si>
    <t xml:space="preserve">"jít-si-002"</t>
  </si>
  <si>
    <t xml:space="preserve">DPHR: po-1[svůj-1.P6]</t>
  </si>
  <si>
    <t xml:space="preserve">DPHR-&gt;ARG1/5,ARG2/4</t>
  </si>
  <si>
    <t xml:space="preserve">"kakat-001"</t>
  </si>
  <si>
    <t xml:space="preserve">"kalit-001"</t>
  </si>
  <si>
    <t xml:space="preserve">"kalkulovat-001"</t>
  </si>
  <si>
    <t xml:space="preserve">"kalkulovat-002"</t>
  </si>
  <si>
    <t xml:space="preserve">PAT: s+7; ↓že</t>
  </si>
  <si>
    <t xml:space="preserve">"kamarádit-001"</t>
  </si>
  <si>
    <t xml:space="preserve">"kamarádit-se-001"</t>
  </si>
  <si>
    <t xml:space="preserve">"kandidovat-001"</t>
  </si>
  <si>
    <t xml:space="preserve">"kandidovat-002"</t>
  </si>
  <si>
    <t xml:space="preserve">"kapat-001"</t>
  </si>
  <si>
    <t xml:space="preserve">"kapitalizovat-001"</t>
  </si>
  <si>
    <t xml:space="preserve">"kapitulovat-001"</t>
  </si>
  <si>
    <t xml:space="preserve">ACT-&gt;ARG0/27,ARG1/1</t>
  </si>
  <si>
    <t xml:space="preserve">ACT-&gt;ARG0/127,ARG1/2</t>
  </si>
  <si>
    <t xml:space="preserve">PAT-&gt;ARG1/39,ARG2/1</t>
  </si>
  <si>
    <t xml:space="preserve">PAT-&gt;ARG1/197,ARG2/2</t>
  </si>
  <si>
    <t xml:space="preserve">"karikovat-001"</t>
  </si>
  <si>
    <t xml:space="preserve">"katalyzovat-001"</t>
  </si>
  <si>
    <t xml:space="preserve">"katapultovat-001"</t>
  </si>
  <si>
    <t xml:space="preserve">"katapultovat-se-001"</t>
  </si>
  <si>
    <t xml:space="preserve">"kazit-001"</t>
  </si>
  <si>
    <t xml:space="preserve">ACT-&gt;ARG0/163,ARG1/2,ARG2/6</t>
  </si>
  <si>
    <t xml:space="preserve">PAT-&gt;ARG1/257</t>
  </si>
  <si>
    <t xml:space="preserve">"kazit-se-001"</t>
  </si>
  <si>
    <t xml:space="preserve">"kašlat-001"</t>
  </si>
  <si>
    <t xml:space="preserve">"kašlat-002"</t>
  </si>
  <si>
    <t xml:space="preserve">"kecat-001"</t>
  </si>
  <si>
    <t xml:space="preserve">"kecat-002"</t>
  </si>
  <si>
    <t xml:space="preserve">"kecat-003"</t>
  </si>
  <si>
    <t xml:space="preserve">"kibicovat-001"</t>
  </si>
  <si>
    <t xml:space="preserve">"klamat-001"</t>
  </si>
  <si>
    <t xml:space="preserve">PAT-&gt;ARG1/19,ARG2/2</t>
  </si>
  <si>
    <t xml:space="preserve">"klanět-se-001"</t>
  </si>
  <si>
    <t xml:space="preserve">"klapat-001"</t>
  </si>
  <si>
    <t xml:space="preserve">"klapat-002"</t>
  </si>
  <si>
    <t xml:space="preserve">"klapat-003"</t>
  </si>
  <si>
    <t xml:space="preserve">"klapnout-001"</t>
  </si>
  <si>
    <t xml:space="preserve">"klasifikovat-001"</t>
  </si>
  <si>
    <t xml:space="preserve">PAT-&gt;ARG1/3114,ARG2/296</t>
  </si>
  <si>
    <t xml:space="preserve">EFF-&gt;ARG2/10</t>
  </si>
  <si>
    <t xml:space="preserve">EFF-&gt;ARG2/22</t>
  </si>
  <si>
    <t xml:space="preserve">"klasifikovat-002"</t>
  </si>
  <si>
    <t xml:space="preserve">EFF-&gt;ARG2/3</t>
  </si>
  <si>
    <t xml:space="preserve">EFF-&gt;ARG1/2,ARG2/18</t>
  </si>
  <si>
    <t xml:space="preserve">"klasifikovat-003"</t>
  </si>
  <si>
    <t xml:space="preserve">"klekat-si-001"</t>
  </si>
  <si>
    <t xml:space="preserve">"kleknout-001"</t>
  </si>
  <si>
    <t xml:space="preserve">"kleknout-si-001"</t>
  </si>
  <si>
    <t xml:space="preserve">"klenout-se-001"</t>
  </si>
  <si>
    <t xml:space="preserve">"klepat-001"</t>
  </si>
  <si>
    <t xml:space="preserve">"klepat-002"</t>
  </si>
  <si>
    <t xml:space="preserve">"klepat-003"</t>
  </si>
  <si>
    <t xml:space="preserve">"klepat-004"</t>
  </si>
  <si>
    <t xml:space="preserve">"klepetat-001"</t>
  </si>
  <si>
    <t xml:space="preserve">"klepnout-001"</t>
  </si>
  <si>
    <t xml:space="preserve">"klepnout-002"</t>
  </si>
  <si>
    <t xml:space="preserve">"klepnout-003"</t>
  </si>
  <si>
    <t xml:space="preserve">"klesat-001"</t>
  </si>
  <si>
    <t xml:space="preserve">ACT-&gt;ARG0/197,ARG1/4709,ARG2/303</t>
  </si>
  <si>
    <t xml:space="preserve">ACT-&gt;ARG0/198,ARG1/3154,ARG2/10</t>
  </si>
  <si>
    <t xml:space="preserve">ACT-&gt;ARG0/198,ARG1/2828,ARG2/9</t>
  </si>
  <si>
    <t xml:space="preserve">PAT-&gt;ARG2/21,ARG4/730,ARGm-LOC/2</t>
  </si>
  <si>
    <t xml:space="preserve">PAT-&gt;ARG1/219,ARG2/31,ARG4/1778,ARGM-LOC/4</t>
  </si>
  <si>
    <t xml:space="preserve">PAT-&gt;ARG1/219,ARG2/23,ARG4/1662,ARGM-LOC/3</t>
  </si>
  <si>
    <t xml:space="preserve">ORIG-&gt;ARG2/8,ARG3/234,ARG4/5</t>
  </si>
  <si>
    <t xml:space="preserve">ORIG-&gt;ARG3/543,ARG4/10,ARGM-LOC/2</t>
  </si>
  <si>
    <t xml:space="preserve">ORIG-&gt;ARG3/523,ARG4/10,ARGM-LOC/1</t>
  </si>
  <si>
    <t xml:space="preserve">"klesnout-001"</t>
  </si>
  <si>
    <t xml:space="preserve">ACT-&gt;ARG0/1,ARG1/1660,ARG2/8</t>
  </si>
  <si>
    <t xml:space="preserve">?PAT: na+4; pod+4</t>
  </si>
  <si>
    <t xml:space="preserve">PAT-&gt;ARG1/2,ARG2/293,ARG4/834,ARGm-LOC/2</t>
  </si>
  <si>
    <t xml:space="preserve">ORIG-&gt;ARG3/256,ARG4/5,ARGm-LOC/1</t>
  </si>
  <si>
    <t xml:space="preserve">ACT-&gt;ARG0/260,ARG1/4798,ARG2/301</t>
  </si>
  <si>
    <t xml:space="preserve">PAT-&gt;ARG1/67,ARG2/30,ARG4/878,ARGm-LOC/2</t>
  </si>
  <si>
    <t xml:space="preserve">ORIG-&gt;ARG2/8,ARG3/266,ARG4/5,ARGm-LOC/1</t>
  </si>
  <si>
    <t xml:space="preserve">ACT-&gt;ARG1/616,ARG2/4</t>
  </si>
  <si>
    <t xml:space="preserve">PAT-&gt;ARG2/5,ARG4/435</t>
  </si>
  <si>
    <t xml:space="preserve">ORIG-&gt;ARG3/157,ARG4/1</t>
  </si>
  <si>
    <t xml:space="preserve">"klesnout-002"</t>
  </si>
  <si>
    <t xml:space="preserve">"klestit-001"</t>
  </si>
  <si>
    <t xml:space="preserve">"klečet-001"</t>
  </si>
  <si>
    <t xml:space="preserve">"klidit-001"</t>
  </si>
  <si>
    <t xml:space="preserve">"klikatit-se-001"</t>
  </si>
  <si>
    <t xml:space="preserve">ACT-&gt;ARG0/2,ARG1/2</t>
  </si>
  <si>
    <t xml:space="preserve">"kliknout-001"</t>
  </si>
  <si>
    <t xml:space="preserve">"kličkovat-001"</t>
  </si>
  <si>
    <t xml:space="preserve">"klonit-se-001"</t>
  </si>
  <si>
    <t xml:space="preserve">PAT-&gt;ARG2/71</t>
  </si>
  <si>
    <t xml:space="preserve">"klonovat-001"</t>
  </si>
  <si>
    <t xml:space="preserve">PAT-&gt;ARG1/285</t>
  </si>
  <si>
    <t xml:space="preserve">"klopýtat-001"</t>
  </si>
  <si>
    <t xml:space="preserve">?PAT: o+4; přes+4</t>
  </si>
  <si>
    <t xml:space="preserve">"klopýtat-002"</t>
  </si>
  <si>
    <t xml:space="preserve">ACT-&gt;ARG0/7,ARG1/9</t>
  </si>
  <si>
    <t xml:space="preserve">"klopýtnout-001"</t>
  </si>
  <si>
    <t xml:space="preserve">"klouzat-001"</t>
  </si>
  <si>
    <t xml:space="preserve">ACT-&gt;ARG1/5</t>
  </si>
  <si>
    <t xml:space="preserve">"klouzat-se-001"</t>
  </si>
  <si>
    <t xml:space="preserve">"klubat-se-001"</t>
  </si>
  <si>
    <t xml:space="preserve">"klábosit-002"</t>
  </si>
  <si>
    <t xml:space="preserve">"klást-001"</t>
  </si>
  <si>
    <t xml:space="preserve">ADDR-&gt;ARG1/5</t>
  </si>
  <si>
    <t xml:space="preserve">EFF: za+4; 7; 4[{jako,jakožto}:/AuxY]</t>
  </si>
  <si>
    <t xml:space="preserve">EFF-&gt;ARG1/8</t>
  </si>
  <si>
    <t xml:space="preserve">"klást-002"</t>
  </si>
  <si>
    <t xml:space="preserve">DIR3-&gt;ARG2/22</t>
  </si>
  <si>
    <t xml:space="preserve">"klást-003"</t>
  </si>
  <si>
    <t xml:space="preserve">"klást-004"</t>
  </si>
  <si>
    <t xml:space="preserve">"klást-005"</t>
  </si>
  <si>
    <t xml:space="preserve">"klást-006"</t>
  </si>
  <si>
    <t xml:space="preserve">CPHR: {cíl,mez,odpor,podmínka,překážka,...}.4</t>
  </si>
  <si>
    <t xml:space="preserve">"klást-007"</t>
  </si>
  <si>
    <t xml:space="preserve">ACT-&gt;ARG0/586,ARG1/1</t>
  </si>
  <si>
    <t xml:space="preserve">CPHR: {dotaz,otázka,...}.4</t>
  </si>
  <si>
    <t xml:space="preserve">CPHR-&gt;ARG1/809,ARG2/1</t>
  </si>
  <si>
    <t xml:space="preserve">CPHR-&gt;ARG1/212,ARG2/1</t>
  </si>
  <si>
    <t xml:space="preserve">ADDR-&gt;ARG1/8,ARG2/190</t>
  </si>
  <si>
    <t xml:space="preserve">"klást-008"</t>
  </si>
  <si>
    <t xml:space="preserve">CPHR: {nárok,omezení,požadavek,zátěž,...}.4</t>
  </si>
  <si>
    <t xml:space="preserve">CPHR-&gt;ARG1/14</t>
  </si>
  <si>
    <t xml:space="preserve">"klást-009"</t>
  </si>
  <si>
    <t xml:space="preserve">ACT-&gt;ARG0/144,ARG1/3102,ARG2/296</t>
  </si>
  <si>
    <t xml:space="preserve">ACT-&gt;ARG0/112</t>
  </si>
  <si>
    <t xml:space="preserve">CPHR-&gt;ARG1/712,ARG2/3451</t>
  </si>
  <si>
    <t xml:space="preserve">CPHR-&gt;ARG1/112</t>
  </si>
  <si>
    <t xml:space="preserve">"klást-010"</t>
  </si>
  <si>
    <t xml:space="preserve">DIR3-&gt;ARG1/2,ARG2/6</t>
  </si>
  <si>
    <t xml:space="preserve">"klást-011"</t>
  </si>
  <si>
    <t xml:space="preserve">DPHR: rovnítko.S4</t>
  </si>
  <si>
    <t xml:space="preserve">"klást-012"</t>
  </si>
  <si>
    <t xml:space="preserve">DPHR: na-1[srdce.S4]</t>
  </si>
  <si>
    <t xml:space="preserve">"klást-se-001"</t>
  </si>
  <si>
    <t xml:space="preserve">"klátit-001"</t>
  </si>
  <si>
    <t xml:space="preserve">"klátit-002"</t>
  </si>
  <si>
    <t xml:space="preserve">"klít-001"</t>
  </si>
  <si>
    <t xml:space="preserve">PAT: ↓že; ↓c</t>
  </si>
  <si>
    <t xml:space="preserve">"kmitat-001"</t>
  </si>
  <si>
    <t xml:space="preserve">"knokautovat-001"</t>
  </si>
  <si>
    <t xml:space="preserve">"kochat-se-001"</t>
  </si>
  <si>
    <t xml:space="preserve">"kodifikovat-001"</t>
  </si>
  <si>
    <t xml:space="preserve">ACT-&gt;ARG0/40,ARG2/3</t>
  </si>
  <si>
    <t xml:space="preserve">"kodrcat-001"</t>
  </si>
  <si>
    <t xml:space="preserve">"koexistovat-001"</t>
  </si>
  <si>
    <t xml:space="preserve">"kojit-001"</t>
  </si>
  <si>
    <t xml:space="preserve">"koketovat-001"</t>
  </si>
  <si>
    <t xml:space="preserve">"koktat-001"</t>
  </si>
  <si>
    <t xml:space="preserve">"kolaborovat-001"</t>
  </si>
  <si>
    <t xml:space="preserve">ACT-&gt;ARG0/206</t>
  </si>
  <si>
    <t xml:space="preserve">ADDR: s+7; mezi+7</t>
  </si>
  <si>
    <t xml:space="preserve">ADDR-&gt;ARG1/13,ARG2/1,ARG3/45</t>
  </si>
  <si>
    <t xml:space="preserve">?PAT: na+6; v+6; při+6</t>
  </si>
  <si>
    <t xml:space="preserve">PAT-&gt;ARG2/8</t>
  </si>
  <si>
    <t xml:space="preserve">PAT-&gt;ARG1/75,ARG2/17,ARG3/1</t>
  </si>
  <si>
    <t xml:space="preserve">"koledovat-001"</t>
  </si>
  <si>
    <t xml:space="preserve">"kolidovat-001"</t>
  </si>
  <si>
    <t xml:space="preserve">"kolorovat-001"</t>
  </si>
  <si>
    <t xml:space="preserve">"kolovat-001"</t>
  </si>
  <si>
    <t xml:space="preserve">ACT-&gt;ARG0/5,ARG1/411</t>
  </si>
  <si>
    <t xml:space="preserve">"kolébat-se-001"</t>
  </si>
  <si>
    <t xml:space="preserve">"kolíbat-001"</t>
  </si>
  <si>
    <t xml:space="preserve">"kolísat-001"</t>
  </si>
  <si>
    <t xml:space="preserve">ACT-&gt;ARG0/3,ARG1/89</t>
  </si>
  <si>
    <t xml:space="preserve">"kolísat-002"</t>
  </si>
  <si>
    <t xml:space="preserve">PAT: mezi+7</t>
  </si>
  <si>
    <t xml:space="preserve">"komandovat-001"</t>
  </si>
  <si>
    <t xml:space="preserve">"kombinovat-001"</t>
  </si>
  <si>
    <t xml:space="preserve">ACT-&gt;ARG0/20,ARG1/5</t>
  </si>
  <si>
    <t xml:space="preserve">PAT-&gt;ARG1/55,ARG2/1</t>
  </si>
  <si>
    <t xml:space="preserve">PAT-&gt;ARG1/62,ARG2/2</t>
  </si>
  <si>
    <t xml:space="preserve">EFF-&gt;ARG3/1</t>
  </si>
  <si>
    <t xml:space="preserve">EFF-&gt;ARG1/7,ARG2/29,ARG3/1</t>
  </si>
  <si>
    <t xml:space="preserve">"komentovat-001"</t>
  </si>
  <si>
    <t xml:space="preserve">PAT: 4; .s; ↓c; ↓zda</t>
  </si>
  <si>
    <t xml:space="preserve">ACT-&gt;ARG0/163</t>
  </si>
  <si>
    <t xml:space="preserve">PAT-&gt;ARG1/246</t>
  </si>
  <si>
    <t xml:space="preserve">"komolit-001"</t>
  </si>
  <si>
    <t xml:space="preserve">"kompenzovat-001"</t>
  </si>
  <si>
    <t xml:space="preserve">ACT-&gt;ARG0/10,ARG2/69</t>
  </si>
  <si>
    <t xml:space="preserve">PAT-&gt;ARG1/109</t>
  </si>
  <si>
    <t xml:space="preserve">"kompenzovat-002"</t>
  </si>
  <si>
    <t xml:space="preserve">ACT-&gt;ARG0/16,ARG2/69</t>
  </si>
  <si>
    <t xml:space="preserve">PAT-&gt;ARG1/120</t>
  </si>
  <si>
    <t xml:space="preserve">PAT-&gt;ARG1/121</t>
  </si>
  <si>
    <t xml:space="preserve">"komplikovat-001"</t>
  </si>
  <si>
    <t xml:space="preserve">ACT-&gt;ARG0/89,ARG2/3</t>
  </si>
  <si>
    <t xml:space="preserve">ACT-&gt;ARG0/276,ARG2/86</t>
  </si>
  <si>
    <t xml:space="preserve">PAT-&gt;ARG1/115,ARG2/1</t>
  </si>
  <si>
    <t xml:space="preserve">PAT-&gt;ARG1/471,ARG2/1</t>
  </si>
  <si>
    <t xml:space="preserve">"komponovat-001"</t>
  </si>
  <si>
    <t xml:space="preserve">"komputerizovat-001"</t>
  </si>
  <si>
    <t xml:space="preserve">"komunikovat-001"</t>
  </si>
  <si>
    <t xml:space="preserve">ADDR-&gt;ARG2/44</t>
  </si>
  <si>
    <t xml:space="preserve">"konat-001"</t>
  </si>
  <si>
    <t xml:space="preserve">ACT-&gt;ARG0/298,ARG1/3,ARG3/1</t>
  </si>
  <si>
    <t xml:space="preserve">PAT-&gt;ARG1/432</t>
  </si>
  <si>
    <t xml:space="preserve">"konat-002"</t>
  </si>
  <si>
    <t xml:space="preserve">ACT-&gt;ARG0/209</t>
  </si>
  <si>
    <t xml:space="preserve">CPHR: {čin,dozor,krok,pokus,pozorování,práce,příprava,schůze,skutek,služba,uzdravování,...}.4</t>
  </si>
  <si>
    <t xml:space="preserve">CPHR-&gt;ARG1/395</t>
  </si>
  <si>
    <t xml:space="preserve">CPHR-&gt;ARG1/72</t>
  </si>
  <si>
    <t xml:space="preserve">"konat-se-001"</t>
  </si>
  <si>
    <t xml:space="preserve">ACT-&gt;ARG1/1792,ARG2/2</t>
  </si>
  <si>
    <t xml:space="preserve">"koncentrovat-001"</t>
  </si>
  <si>
    <t xml:space="preserve">PAT-&gt;ARG1/3104,ARG2/308</t>
  </si>
  <si>
    <t xml:space="preserve">LOC-&gt;ARG1/12</t>
  </si>
  <si>
    <t xml:space="preserve">"koncentrovat-002"</t>
  </si>
  <si>
    <t xml:space="preserve">"koncentrovat-se-001"</t>
  </si>
  <si>
    <t xml:space="preserve">ACT-&gt;ARG0/27,ARG1/2,ARG2/9</t>
  </si>
  <si>
    <t xml:space="preserve">ACT-&gt;ARG0/29,ARG1/95,ARG2/12</t>
  </si>
  <si>
    <t xml:space="preserve">PAT-&gt;ARG1/19,ARG2/98</t>
  </si>
  <si>
    <t xml:space="preserve">"koncentrovat-se-002"</t>
  </si>
  <si>
    <t xml:space="preserve">ACT-&gt;ARG1/2,ARG2/8</t>
  </si>
  <si>
    <t xml:space="preserve">ACT-&gt;ARG0/4,ARG1/4</t>
  </si>
  <si>
    <t xml:space="preserve">"koncentrovat-se-003"</t>
  </si>
  <si>
    <t xml:space="preserve">"koncertovat-001"</t>
  </si>
  <si>
    <t xml:space="preserve">"koncipovat-001"</t>
  </si>
  <si>
    <t xml:space="preserve">ACT-&gt;ARG0/124,ARG1/1</t>
  </si>
  <si>
    <t xml:space="preserve">PAT-&gt;ARG1/77</t>
  </si>
  <si>
    <t xml:space="preserve">PAT-&gt;ARG1/256</t>
  </si>
  <si>
    <t xml:space="preserve">"kondolovat-001"</t>
  </si>
  <si>
    <t xml:space="preserve">"konejšit-001"</t>
  </si>
  <si>
    <t xml:space="preserve">"konferovat-001"</t>
  </si>
  <si>
    <t xml:space="preserve">"konfiskovat-001"</t>
  </si>
  <si>
    <t xml:space="preserve">?ADDR: :3</t>
  </si>
  <si>
    <t xml:space="preserve">ADDR-&gt;ARG1/1,ARG2/22</t>
  </si>
  <si>
    <t xml:space="preserve">"konfrontovat-001"</t>
  </si>
  <si>
    <t xml:space="preserve">EFF: s+7; 7</t>
  </si>
  <si>
    <t xml:space="preserve">"konkretizovat-001"</t>
  </si>
  <si>
    <t xml:space="preserve">ACT-&gt;ARG0/31</t>
  </si>
  <si>
    <t xml:space="preserve">"konkurovat-001"</t>
  </si>
  <si>
    <t xml:space="preserve">PAT-&gt;ARG1/35,ARG2/1</t>
  </si>
  <si>
    <t xml:space="preserve">PAT-&gt;ARG1/54,ARG2/2</t>
  </si>
  <si>
    <t xml:space="preserve">"konsolidovat-001"</t>
  </si>
  <si>
    <t xml:space="preserve">"konspirovat-001"</t>
  </si>
  <si>
    <t xml:space="preserve">"konstatovat-001"</t>
  </si>
  <si>
    <t xml:space="preserve">"konstatovat-002"</t>
  </si>
  <si>
    <t xml:space="preserve">ACT-&gt;ARG0/12257,ARG1/37</t>
  </si>
  <si>
    <t xml:space="preserve">EFF: 4; ↓že; ↓zda; .s</t>
  </si>
  <si>
    <t xml:space="preserve">EFF-&gt;ARG0/2,ARG1/10661,ARG2/2</t>
  </si>
  <si>
    <t xml:space="preserve">"konsternovat-001"</t>
  </si>
  <si>
    <t xml:space="preserve">ACT-&gt;ARG0/1,ARG1/47</t>
  </si>
  <si>
    <t xml:space="preserve">PAT-&gt;ARG0/29,ARG1/1,ARG2/1</t>
  </si>
  <si>
    <t xml:space="preserve">"konstituovat-001"</t>
  </si>
  <si>
    <t xml:space="preserve">"konstruovat-001"</t>
  </si>
  <si>
    <t xml:space="preserve">ACT-&gt;ARG0/522,ARG1/5,ARG2/3</t>
  </si>
  <si>
    <t xml:space="preserve">PAT-&gt;ARG1/227</t>
  </si>
  <si>
    <t xml:space="preserve">PAT-&gt;ARG1/918,ARG3/1,ARG4/5</t>
  </si>
  <si>
    <t xml:space="preserve">"kontaktovat-001"</t>
  </si>
  <si>
    <t xml:space="preserve">"kontaktovat-002"</t>
  </si>
  <si>
    <t xml:space="preserve">ACT-&gt;ARG0/17,ARG1/21</t>
  </si>
  <si>
    <t xml:space="preserve">ACT-&gt;ARG0/90,ARG1/49</t>
  </si>
  <si>
    <t xml:space="preserve">PAT-&gt;ARG1/106,ARG2/21</t>
  </si>
  <si>
    <t xml:space="preserve">PAT-&gt;ARG1/145,ARG2/34</t>
  </si>
  <si>
    <t xml:space="preserve">"kontaminovat-001"</t>
  </si>
  <si>
    <t xml:space="preserve">"kontinuovat-001"</t>
  </si>
  <si>
    <t xml:space="preserve">"kontrahovat-001"</t>
  </si>
  <si>
    <t xml:space="preserve">"kontrastovat-001"</t>
  </si>
  <si>
    <t xml:space="preserve">ACT-&gt;ARG0/1,ARG1/51</t>
  </si>
  <si>
    <t xml:space="preserve">PAT-&gt;ARG2/11</t>
  </si>
  <si>
    <t xml:space="preserve">PAT-&gt;ARG1/8,ARG2/11,ARG3/1</t>
  </si>
  <si>
    <t xml:space="preserve">"kontrolovat-001"</t>
  </si>
  <si>
    <t xml:space="preserve">ACT-&gt;ARG0/209,ARG1/25</t>
  </si>
  <si>
    <t xml:space="preserve">ACT-&gt;ARG0/533</t>
  </si>
  <si>
    <t xml:space="preserve">PAT-&gt;ARG0/13,ARG1/284,ARG2/1</t>
  </si>
  <si>
    <t xml:space="preserve">PAT-&gt;ARG1/740,ARG2/11</t>
  </si>
  <si>
    <t xml:space="preserve">"kontrolovat-002"</t>
  </si>
  <si>
    <t xml:space="preserve">ACT-&gt;ARG0/108,ARG2/49</t>
  </si>
  <si>
    <t xml:space="preserve">PAT-&gt;ARG1/231,ARG2/1</t>
  </si>
  <si>
    <t xml:space="preserve">"kontrovat-001"</t>
  </si>
  <si>
    <t xml:space="preserve">ACT-&gt;ARG0/92,ARG1/2</t>
  </si>
  <si>
    <t xml:space="preserve">EFF: 4; ↓že; ↓zda; ↓aby; ↓ať; .s</t>
  </si>
  <si>
    <t xml:space="preserve">EFF-&gt;ARG2/9</t>
  </si>
  <si>
    <t xml:space="preserve">PAT-&gt;ARG1/13,ARG2/2</t>
  </si>
  <si>
    <t xml:space="preserve">"kontrovat-002"</t>
  </si>
  <si>
    <t xml:space="preserve">"konvertovat-001"</t>
  </si>
  <si>
    <t xml:space="preserve">PAT-&gt;ARG1/52,ARG2/1</t>
  </si>
  <si>
    <t xml:space="preserve">?EFF: na+4; v+4; do-1[.4]</t>
  </si>
  <si>
    <t xml:space="preserve">EFF-&gt;ARG2/51</t>
  </si>
  <si>
    <t xml:space="preserve">"konverzovat-001"</t>
  </si>
  <si>
    <t xml:space="preserve">"konzervovat-001"</t>
  </si>
  <si>
    <t xml:space="preserve">"konzultovat-001"</t>
  </si>
  <si>
    <t xml:space="preserve">?PAT: 4; o+6; ↓jak-2; .s; ↓zda; ↓jestli; ↓c</t>
  </si>
  <si>
    <t xml:space="preserve">"konzumovat-001"</t>
  </si>
  <si>
    <t xml:space="preserve">"konzumovat-002"</t>
  </si>
  <si>
    <t xml:space="preserve">"končit-001"</t>
  </si>
  <si>
    <t xml:space="preserve">ACT-&gt;ARG0/30,ARG1/310</t>
  </si>
  <si>
    <t xml:space="preserve">PAT-&gt;ARG1/85,ARGm-EXT/352,ARGm-MNR/260</t>
  </si>
  <si>
    <t xml:space="preserve">"končit-002"</t>
  </si>
  <si>
    <t xml:space="preserve">"končit-003"</t>
  </si>
  <si>
    <t xml:space="preserve">ACT-&gt;ARG0/27,ARG1/61</t>
  </si>
  <si>
    <t xml:space="preserve">PAT-&gt;ARG1/58,ARG2/16</t>
  </si>
  <si>
    <t xml:space="preserve">"končit-004"</t>
  </si>
  <si>
    <t xml:space="preserve">ACT-&gt;ARG0/3,ARG1/3546,ARG2/296</t>
  </si>
  <si>
    <t xml:space="preserve">"končit-005"</t>
  </si>
  <si>
    <t xml:space="preserve">ACT-&gt;ARG0/11,ARG1/102</t>
  </si>
  <si>
    <t xml:space="preserve">MANN-&gt;ARG1/9,ARG2/26</t>
  </si>
  <si>
    <t xml:space="preserve">MEANS-&gt;ARG1/2,ARG2/14</t>
  </si>
  <si>
    <t xml:space="preserve">"končit-006"</t>
  </si>
  <si>
    <t xml:space="preserve">ACT-&gt;ARG1/399</t>
  </si>
  <si>
    <t xml:space="preserve">ACT-&gt;ARG1/592,ARG2/2</t>
  </si>
  <si>
    <t xml:space="preserve">LOC-&gt;ARG1/1,ARG2/14,ARG4/29,ARGm-EXT/392,ARGm-MNR/281</t>
  </si>
  <si>
    <t xml:space="preserve">LOC-&gt;ARG1/38,ARG2/135,ARG4/38,ARGM-EXT/392,ARGM-MNR/281</t>
  </si>
  <si>
    <t xml:space="preserve">MANN-&gt;ARG1/38,ARG2/135,ARG4/38,ARGM-EXT/392,ARGM-MNR/281</t>
  </si>
  <si>
    <t xml:space="preserve">ACMP-&gt;ARG1/38,ARG2/135,ARG4/38,ARGM-EXT/392,ARGM-MNR/281</t>
  </si>
  <si>
    <t xml:space="preserve">"končit-se-001"</t>
  </si>
  <si>
    <t xml:space="preserve">"končívat-001"</t>
  </si>
  <si>
    <t xml:space="preserve">"kooperovat-001"</t>
  </si>
  <si>
    <t xml:space="preserve">?PAT: na+6; v+6</t>
  </si>
  <si>
    <t xml:space="preserve">"kooptovat-001"</t>
  </si>
  <si>
    <t xml:space="preserve">"koordinovat-001"</t>
  </si>
  <si>
    <t xml:space="preserve">PAT-&gt;ARG1/17,ARG2/2</t>
  </si>
  <si>
    <t xml:space="preserve">PAT-&gt;ARG1/18,ARG2/2</t>
  </si>
  <si>
    <t xml:space="preserve">"kopat-001"</t>
  </si>
  <si>
    <t xml:space="preserve">"kopat-002"</t>
  </si>
  <si>
    <t xml:space="preserve">"kopat-003"</t>
  </si>
  <si>
    <t xml:space="preserve">"kopat-004"</t>
  </si>
  <si>
    <t xml:space="preserve">"--kopat-005"</t>
  </si>
  <si>
    <t xml:space="preserve">"kopat-si-001"</t>
  </si>
  <si>
    <t xml:space="preserve">?PAT: s+7; 7</t>
  </si>
  <si>
    <t xml:space="preserve">"kopnout-001"</t>
  </si>
  <si>
    <t xml:space="preserve">"kopírovat-001"</t>
  </si>
  <si>
    <t xml:space="preserve">ACT-&gt;ARG0/39,ARG1/2</t>
  </si>
  <si>
    <t xml:space="preserve">PAT-&gt;ARG0/1,ARG1/46</t>
  </si>
  <si>
    <t xml:space="preserve">"kopírovat-002"</t>
  </si>
  <si>
    <t xml:space="preserve">"korepetovat-001"</t>
  </si>
  <si>
    <t xml:space="preserve">"korespondovat-001"</t>
  </si>
  <si>
    <t xml:space="preserve">"korespondovat-002"</t>
  </si>
  <si>
    <t xml:space="preserve">"korespondovat-003"</t>
  </si>
  <si>
    <t xml:space="preserve">"korigovat-001"</t>
  </si>
  <si>
    <t xml:space="preserve">PAT-&gt;ARG1/104</t>
  </si>
  <si>
    <t xml:space="preserve">?EFF: na+4; v+4</t>
  </si>
  <si>
    <t xml:space="preserve">"kormidlovat-001"</t>
  </si>
  <si>
    <t xml:space="preserve">"korodovat-001"</t>
  </si>
  <si>
    <t xml:space="preserve">"korumpovat-001"</t>
  </si>
  <si>
    <t xml:space="preserve">"korunovat-001"</t>
  </si>
  <si>
    <t xml:space="preserve">?EFF: .7,na+4,za+4</t>
  </si>
  <si>
    <t xml:space="preserve">"korunovat-002"</t>
  </si>
  <si>
    <t xml:space="preserve">"korzovat-001"</t>
  </si>
  <si>
    <t xml:space="preserve">"kosit-001"</t>
  </si>
  <si>
    <t xml:space="preserve">"kotovat-001"</t>
  </si>
  <si>
    <t xml:space="preserve">ACT-&gt;ARG0/2,ARG1/4</t>
  </si>
  <si>
    <t xml:space="preserve">PAT-&gt;ARG1/74,ARG2/6</t>
  </si>
  <si>
    <t xml:space="preserve">EFF-&gt;ARG2/104</t>
  </si>
  <si>
    <t xml:space="preserve">"kotvit-001"</t>
  </si>
  <si>
    <t xml:space="preserve">"kotvit-002"</t>
  </si>
  <si>
    <t xml:space="preserve">"koukat-001"</t>
  </si>
  <si>
    <t xml:space="preserve">PAT: .f; ↓aby</t>
  </si>
  <si>
    <t xml:space="preserve">"koukat-002"</t>
  </si>
  <si>
    <t xml:space="preserve">PAT: na+4; ↓c; ↓že; po+6; ↓jestli; ↓jak-2</t>
  </si>
  <si>
    <t xml:space="preserve">"koukat-003"</t>
  </si>
  <si>
    <t xml:space="preserve">"koukat-004"</t>
  </si>
  <si>
    <t xml:space="preserve">"koukat-005"</t>
  </si>
  <si>
    <t xml:space="preserve">"koukat-006"</t>
  </si>
  <si>
    <t xml:space="preserve">DPHR: do-1[blbo.S2]</t>
  </si>
  <si>
    <t xml:space="preserve">"koukat-007"</t>
  </si>
  <si>
    <t xml:space="preserve">"--koukat-008"</t>
  </si>
  <si>
    <t xml:space="preserve">"koukat-se-001"</t>
  </si>
  <si>
    <t xml:space="preserve">PAT: na+4; ↓jak-2; ↓c; ↓že</t>
  </si>
  <si>
    <t xml:space="preserve">"koukat-se-002"</t>
  </si>
  <si>
    <t xml:space="preserve">"kouknout-001"</t>
  </si>
  <si>
    <t xml:space="preserve">ACT-&gt;ARG0/188,ARG1/1</t>
  </si>
  <si>
    <t xml:space="preserve">PAT-&gt;ARG1/265,ARG2/2</t>
  </si>
  <si>
    <t xml:space="preserve">"kouknout-002"</t>
  </si>
  <si>
    <t xml:space="preserve">"kouknout-se-001"</t>
  </si>
  <si>
    <t xml:space="preserve">"koulovat-001"</t>
  </si>
  <si>
    <t xml:space="preserve">"koupat-001"</t>
  </si>
  <si>
    <t xml:space="preserve">PAT-&gt;ARG1/24,ARG2/2</t>
  </si>
  <si>
    <t xml:space="preserve">"koupat-se-001"</t>
  </si>
  <si>
    <t xml:space="preserve">"koupat-se-002"</t>
  </si>
  <si>
    <t xml:space="preserve">ACT-&gt;ARG0/7,ARG1/24,ARG2/2</t>
  </si>
  <si>
    <t xml:space="preserve">"koupit-001"</t>
  </si>
  <si>
    <t xml:space="preserve">ACT-&gt;ARG0/920,ARG1/7</t>
  </si>
  <si>
    <t xml:space="preserve">ACT-&gt;ARG0/506,ARG1/1</t>
  </si>
  <si>
    <t xml:space="preserve">PAT-&gt;ARG0/2,ARG1/1584,ARG3/1,ARG4/1</t>
  </si>
  <si>
    <t xml:space="preserve">PAT-&gt;ARG0/2,ARG1/927,ARG3/1</t>
  </si>
  <si>
    <t xml:space="preserve">ADDR-&gt;ARG1/1,ARG4/7</t>
  </si>
  <si>
    <t xml:space="preserve">ORIG-&gt;ARG1/4,ARG2/120</t>
  </si>
  <si>
    <t xml:space="preserve">ORIG-&gt;ARG1/1,ARG2/70</t>
  </si>
  <si>
    <t xml:space="preserve">"kousat-001"</t>
  </si>
  <si>
    <t xml:space="preserve">"kousat-002"</t>
  </si>
  <si>
    <t xml:space="preserve">PAT: 4; do+2</t>
  </si>
  <si>
    <t xml:space="preserve">"kousat-se-001"</t>
  </si>
  <si>
    <t xml:space="preserve">DPHR: nuda.S7</t>
  </si>
  <si>
    <t xml:space="preserve">"kouskovat-001"</t>
  </si>
  <si>
    <t xml:space="preserve">ACT-&gt;ARG0/17,ARG1/6</t>
  </si>
  <si>
    <t xml:space="preserve">PAT-&gt;ARG1/37,ARG2/2</t>
  </si>
  <si>
    <t xml:space="preserve">EFF-&gt;ARG1/2,ARG2/15</t>
  </si>
  <si>
    <t xml:space="preserve">"kousnout-001"</t>
  </si>
  <si>
    <t xml:space="preserve">"kousnout-002"</t>
  </si>
  <si>
    <t xml:space="preserve">"kousnout-se-001"</t>
  </si>
  <si>
    <t xml:space="preserve">"kousnout-si-001"</t>
  </si>
  <si>
    <t xml:space="preserve">"kout-001"</t>
  </si>
  <si>
    <t xml:space="preserve">DPHR: pikle.P4</t>
  </si>
  <si>
    <t xml:space="preserve">DPHR-&gt;ARG1/12</t>
  </si>
  <si>
    <t xml:space="preserve">"kouzlit-001"</t>
  </si>
  <si>
    <t xml:space="preserve">"kouřit-001"</t>
  </si>
  <si>
    <t xml:space="preserve">"kouřit-002"</t>
  </si>
  <si>
    <t xml:space="preserve">"kočkovat-se-001"</t>
  </si>
  <si>
    <t xml:space="preserve">"kočovat-001"</t>
  </si>
  <si>
    <t xml:space="preserve">"kořenit-001"</t>
  </si>
  <si>
    <t xml:space="preserve">"krachovat-001"</t>
  </si>
  <si>
    <t xml:space="preserve">"kreslit-001"</t>
  </si>
  <si>
    <t xml:space="preserve">"kriminalizovat-001"</t>
  </si>
  <si>
    <t xml:space="preserve">"kritizovat-001"</t>
  </si>
  <si>
    <t xml:space="preserve">ACT-&gt;ARG0/129,ARG1/1</t>
  </si>
  <si>
    <t xml:space="preserve">ACT-&gt;ARG0/83</t>
  </si>
  <si>
    <t xml:space="preserve">"krmit-001"</t>
  </si>
  <si>
    <t xml:space="preserve">PAT-&gt;ARG1/3,ARG2/14</t>
  </si>
  <si>
    <t xml:space="preserve">PAT-&gt;ARG1/2,ARG2/14</t>
  </si>
  <si>
    <t xml:space="preserve">"kropit-001"</t>
  </si>
  <si>
    <t xml:space="preserve">"krotit-001"</t>
  </si>
  <si>
    <t xml:space="preserve">"krotit-002"</t>
  </si>
  <si>
    <t xml:space="preserve">ADDR-&gt;ARG1/4</t>
  </si>
  <si>
    <t xml:space="preserve">"krouhat-001"</t>
  </si>
  <si>
    <t xml:space="preserve">"kroutit-001"</t>
  </si>
  <si>
    <t xml:space="preserve">"kroutit-se-001"</t>
  </si>
  <si>
    <t xml:space="preserve">"kroužit-001"</t>
  </si>
  <si>
    <t xml:space="preserve">"kručet-001"</t>
  </si>
  <si>
    <t xml:space="preserve">"kručet-002"</t>
  </si>
  <si>
    <t xml:space="preserve">"krvácet-001"</t>
  </si>
  <si>
    <t xml:space="preserve">"krvácet-002"</t>
  </si>
  <si>
    <t xml:space="preserve">ACT-&gt;ARG0/4,ARG1/1</t>
  </si>
  <si>
    <t xml:space="preserve">"krájet-001"</t>
  </si>
  <si>
    <t xml:space="preserve">?EFF: do+2; na+4; v+4</t>
  </si>
  <si>
    <t xml:space="preserve">"krást-001"</t>
  </si>
  <si>
    <t xml:space="preserve">"krást-002"</t>
  </si>
  <si>
    <t xml:space="preserve">"krátit-001"</t>
  </si>
  <si>
    <t xml:space="preserve">ACT-&gt;ARG0/533,ARG1/20</t>
  </si>
  <si>
    <t xml:space="preserve">ACT-&gt;ARG0/904,ARG1/23</t>
  </si>
  <si>
    <t xml:space="preserve">PAT-&gt;ARG1/1036,ARG2/9,ARG4/13</t>
  </si>
  <si>
    <t xml:space="preserve">PAT-&gt;ARG1/1784,ARG2/12,ARG4/17</t>
  </si>
  <si>
    <t xml:space="preserve">ORIG-&gt;ARG2/1,ARG3/75,ARG4/2</t>
  </si>
  <si>
    <t xml:space="preserve">ORIG-&gt;ARG2/6,ARG3/120,ARG4/3</t>
  </si>
  <si>
    <t xml:space="preserve">EFF-&gt;ARG2/56,ARG3/1,ARG4/123,ARG5/1</t>
  </si>
  <si>
    <t xml:space="preserve">EFF-&gt;ARG2/102,ARG3/1,ARG4/205,ARG5/1</t>
  </si>
  <si>
    <t xml:space="preserve">"krátit-se-001"</t>
  </si>
  <si>
    <t xml:space="preserve">"kráčet-001"</t>
  </si>
  <si>
    <t xml:space="preserve">"kráčet-002"</t>
  </si>
  <si>
    <t xml:space="preserve">"kráčet-003"</t>
  </si>
  <si>
    <t xml:space="preserve">DPHR: v-1[šlépěj.P6[:u#]]; v-1[šlépěj.P6]</t>
  </si>
  <si>
    <t xml:space="preserve">"kráčet-004"</t>
  </si>
  <si>
    <t xml:space="preserve">DPHR: v-1.6[závěs.S6]</t>
  </si>
  <si>
    <t xml:space="preserve">"kráčet-si-001"</t>
  </si>
  <si>
    <t xml:space="preserve">"krýt-001"</t>
  </si>
  <si>
    <t xml:space="preserve">ACT-&gt;ARG0/11,ARG2/3</t>
  </si>
  <si>
    <t xml:space="preserve">PAT-&gt;ARG0/2,ARG1/42</t>
  </si>
  <si>
    <t xml:space="preserve">ADDR-&gt;ARG2/4</t>
  </si>
  <si>
    <t xml:space="preserve">"krýt-002"</t>
  </si>
  <si>
    <t xml:space="preserve">"krýt-003"</t>
  </si>
  <si>
    <t xml:space="preserve">ACT-&gt;ARG0/12,ARG2/49</t>
  </si>
  <si>
    <t xml:space="preserve">PAT-&gt;ARG1/226,ARG2/81</t>
  </si>
  <si>
    <t xml:space="preserve">"krýt-004"</t>
  </si>
  <si>
    <t xml:space="preserve">PAT-&gt;ARG1/140,ARG2/1</t>
  </si>
  <si>
    <t xml:space="preserve">"krýt-se-001"</t>
  </si>
  <si>
    <t xml:space="preserve">ACT-&gt;ARG0/6,ARG1/3</t>
  </si>
  <si>
    <t xml:space="preserve">"krčit-001"</t>
  </si>
  <si>
    <t xml:space="preserve">"krčit-se-001"</t>
  </si>
  <si>
    <t xml:space="preserve">"krčit-se-002"</t>
  </si>
  <si>
    <t xml:space="preserve">ACT-&gt;ARG0/1,ARG1/14</t>
  </si>
  <si>
    <t xml:space="preserve">"kuchat-001"</t>
  </si>
  <si>
    <t xml:space="preserve">"kulminovat-001"</t>
  </si>
  <si>
    <t xml:space="preserve">"kultivovat-001"</t>
  </si>
  <si>
    <t xml:space="preserve">ACT-&gt;ARG0/177,ARG1/67,ARG2/17</t>
  </si>
  <si>
    <t xml:space="preserve">PAT-&gt;ARG1/354,ARG4/70</t>
  </si>
  <si>
    <t xml:space="preserve">"kumulovat-se-001"</t>
  </si>
  <si>
    <t xml:space="preserve">"kupit-se-001"</t>
  </si>
  <si>
    <t xml:space="preserve">"kupovat-001"</t>
  </si>
  <si>
    <t xml:space="preserve">ACT-&gt;ARG0/649,ARG1/1</t>
  </si>
  <si>
    <t xml:space="preserve">PAT-&gt;ARG0/2,ARG1/1206,ARG3/1</t>
  </si>
  <si>
    <t xml:space="preserve">ORIG-&gt;ARG1/1,ARG2/90</t>
  </si>
  <si>
    <t xml:space="preserve">"kutálet-se-001"</t>
  </si>
  <si>
    <t xml:space="preserve">ACT-&gt;ARG1/156</t>
  </si>
  <si>
    <t xml:space="preserve">"kvalifikovat-001"</t>
  </si>
  <si>
    <t xml:space="preserve">ACT-&gt;ARG0/15,ARG1/14</t>
  </si>
  <si>
    <t xml:space="preserve">PAT: na+4; k+3</t>
  </si>
  <si>
    <t xml:space="preserve">PAT-&gt;ARG1/23,ARG2/22</t>
  </si>
  <si>
    <t xml:space="preserve">ADDR-&gt;ARG1/13,ARG2/12</t>
  </si>
  <si>
    <t xml:space="preserve">"kvalifikovat-002"</t>
  </si>
  <si>
    <t xml:space="preserve">"kvalifikovat-se-001"</t>
  </si>
  <si>
    <t xml:space="preserve">ACT-&gt;ARG0/15,ARG1/27,ARG2/12</t>
  </si>
  <si>
    <t xml:space="preserve">PAT: na+4,pro+4</t>
  </si>
  <si>
    <t xml:space="preserve">"kvalifikovat-se-002"</t>
  </si>
  <si>
    <t xml:space="preserve">"kvalifikovat-se-003"</t>
  </si>
  <si>
    <t xml:space="preserve">DIR3-&gt;ARG1/23,ARG2/22</t>
  </si>
  <si>
    <t xml:space="preserve">"kvaltovat-001"</t>
  </si>
  <si>
    <t xml:space="preserve">"kvantifikovat-001"</t>
  </si>
  <si>
    <t xml:space="preserve">"kvitovat-001"</t>
  </si>
  <si>
    <t xml:space="preserve">"kvákat-001"</t>
  </si>
  <si>
    <t xml:space="preserve">"kváknout-001"</t>
  </si>
  <si>
    <t xml:space="preserve">"kvést-001"</t>
  </si>
  <si>
    <t xml:space="preserve">"kvést-002"</t>
  </si>
  <si>
    <t xml:space="preserve">ACT-&gt;ARG0/6,ARG1/6</t>
  </si>
  <si>
    <t xml:space="preserve">ACT-&gt;ARG0/10,ARG1/65</t>
  </si>
  <si>
    <t xml:space="preserve">"kvílet-001"</t>
  </si>
  <si>
    <t xml:space="preserve">"kvílet-002"</t>
  </si>
  <si>
    <t xml:space="preserve">"kydat-001"</t>
  </si>
  <si>
    <t xml:space="preserve">DPHR: hnůj.S4</t>
  </si>
  <si>
    <t xml:space="preserve">"kydat-002"</t>
  </si>
  <si>
    <t xml:space="preserve">"kymácet-se-001"</t>
  </si>
  <si>
    <t xml:space="preserve">"kypět-001"</t>
  </si>
  <si>
    <t xml:space="preserve">"kácet-001"</t>
  </si>
  <si>
    <t xml:space="preserve">"kárat-001"</t>
  </si>
  <si>
    <t xml:space="preserve">ACT-&gt;ARG0/95</t>
  </si>
  <si>
    <t xml:space="preserve">PAT-&gt;ARG1/135</t>
  </si>
  <si>
    <t xml:space="preserve">"kát-se-001"</t>
  </si>
  <si>
    <t xml:space="preserve">"kázat-001"</t>
  </si>
  <si>
    <t xml:space="preserve">EFF-&gt;ARG1/5</t>
  </si>
  <si>
    <t xml:space="preserve">"kótovat-001"</t>
  </si>
  <si>
    <t xml:space="preserve">ACT-&gt;ARG0/1,ARG1/4</t>
  </si>
  <si>
    <t xml:space="preserve">PAT-&gt;ARG1/66,ARG2/6</t>
  </si>
  <si>
    <t xml:space="preserve">?EFF: na+4; na+6; v+6</t>
  </si>
  <si>
    <t xml:space="preserve">"kótovat-002"</t>
  </si>
  <si>
    <t xml:space="preserve">ACT-&gt;ARG1/66,ARG2/6</t>
  </si>
  <si>
    <t xml:space="preserve">LOC-&gt;ARG2/104</t>
  </si>
  <si>
    <t xml:space="preserve">"kýchat-001"</t>
  </si>
  <si>
    <t xml:space="preserve">"kývat-001"</t>
  </si>
  <si>
    <t xml:space="preserve">"kývat-se-001"</t>
  </si>
  <si>
    <t xml:space="preserve">"kývnout-001"</t>
  </si>
  <si>
    <t xml:space="preserve">"kňučet-001"</t>
  </si>
  <si>
    <t xml:space="preserve">"křepčit-001"</t>
  </si>
  <si>
    <t xml:space="preserve">"křečkovat-001"</t>
  </si>
  <si>
    <t xml:space="preserve">"křivit-001"</t>
  </si>
  <si>
    <t xml:space="preserve">"křičet-001"</t>
  </si>
  <si>
    <t xml:space="preserve">"křičet-002"</t>
  </si>
  <si>
    <t xml:space="preserve">"křižovat-001"</t>
  </si>
  <si>
    <t xml:space="preserve">"křtít-001"</t>
  </si>
  <si>
    <t xml:space="preserve">"křísit-001"</t>
  </si>
  <si>
    <t xml:space="preserve">"křížit-001"</t>
  </si>
  <si>
    <t xml:space="preserve">"křížit-002"</t>
  </si>
  <si>
    <t xml:space="preserve">"kšeftovat-001"</t>
  </si>
  <si>
    <t xml:space="preserve">"laborovat-001"</t>
  </si>
  <si>
    <t xml:space="preserve">"ladit-001"</t>
  </si>
  <si>
    <t xml:space="preserve">"ladit-002"</t>
  </si>
  <si>
    <t xml:space="preserve">"ladit-003"</t>
  </si>
  <si>
    <t xml:space="preserve">ACT-&gt;ARG0/4,ARG1/28</t>
  </si>
  <si>
    <t xml:space="preserve">PAT: s+7; k+3</t>
  </si>
  <si>
    <t xml:space="preserve">PAT-&gt;ARG1/48</t>
  </si>
  <si>
    <t xml:space="preserve">PAT-&gt;ARG1/48,ARG2/3</t>
  </si>
  <si>
    <t xml:space="preserve">"lahodit-001"</t>
  </si>
  <si>
    <t xml:space="preserve">ACT-&gt;ARG0/58,ARG1/33</t>
  </si>
  <si>
    <t xml:space="preserve">PAT: 1; ↓že; .f; ↓c</t>
  </si>
  <si>
    <t xml:space="preserve">PAT-&gt;ARG0/16,ARG1/63,ARG2/9</t>
  </si>
  <si>
    <t xml:space="preserve">"lajdačit-001"</t>
  </si>
  <si>
    <t xml:space="preserve">"lamentovat-001"</t>
  </si>
  <si>
    <t xml:space="preserve">"lapat-001"</t>
  </si>
  <si>
    <t xml:space="preserve">DPHR: po-1[dech.S6]</t>
  </si>
  <si>
    <t xml:space="preserve">"lapat-002"</t>
  </si>
  <si>
    <t xml:space="preserve">"lapit-001"</t>
  </si>
  <si>
    <t xml:space="preserve">PAT-&gt;ARG1/116</t>
  </si>
  <si>
    <t xml:space="preserve">"laškovat-001"</t>
  </si>
  <si>
    <t xml:space="preserve">"lebedit-si-001"</t>
  </si>
  <si>
    <t xml:space="preserve">"legalizovat-001"</t>
  </si>
  <si>
    <t xml:space="preserve">ACT-&gt;ARG0/319,ARG1/1</t>
  </si>
  <si>
    <t xml:space="preserve">PAT-&gt;ARG1/570,ARG2/3</t>
  </si>
  <si>
    <t xml:space="preserve">"legitimizovat-001"</t>
  </si>
  <si>
    <t xml:space="preserve">"legitimovat-001"</t>
  </si>
  <si>
    <t xml:space="preserve">"legitimovat-se-001"</t>
  </si>
  <si>
    <t xml:space="preserve">"lehat-si-001"</t>
  </si>
  <si>
    <t xml:space="preserve">"lehnout-001"</t>
  </si>
  <si>
    <t xml:space="preserve">DPHR: popel.S7</t>
  </si>
  <si>
    <t xml:space="preserve">"lehnout-002"</t>
  </si>
  <si>
    <t xml:space="preserve">"lehnout-si-001"</t>
  </si>
  <si>
    <t xml:space="preserve">"lehávat-001"</t>
  </si>
  <si>
    <t xml:space="preserve">"lekat-001"</t>
  </si>
  <si>
    <t xml:space="preserve">"leknout-se-001"</t>
  </si>
  <si>
    <t xml:space="preserve">?PAT: 2; ↓že</t>
  </si>
  <si>
    <t xml:space="preserve">"lemovat-001"</t>
  </si>
  <si>
    <t xml:space="preserve">ACT-&gt;ARG0/3,ARG1/18</t>
  </si>
  <si>
    <t xml:space="preserve">PAT-&gt;ARG2/31</t>
  </si>
  <si>
    <t xml:space="preserve">"lemovat-002"</t>
  </si>
  <si>
    <t xml:space="preserve">"lemovat-003"</t>
  </si>
  <si>
    <t xml:space="preserve">"lenit-001"</t>
  </si>
  <si>
    <t xml:space="preserve">"lenošit-001"</t>
  </si>
  <si>
    <t xml:space="preserve">"lepit-001"</t>
  </si>
  <si>
    <t xml:space="preserve">"lepit-se-001"</t>
  </si>
  <si>
    <t xml:space="preserve">"lepšit-se-001"</t>
  </si>
  <si>
    <t xml:space="preserve">"lesknout-se-001"</t>
  </si>
  <si>
    <t xml:space="preserve">"letovat-001"</t>
  </si>
  <si>
    <t xml:space="preserve">"letět-001"</t>
  </si>
  <si>
    <t xml:space="preserve">ACT-&gt;ARG0/606,ARG1/40</t>
  </si>
  <si>
    <t xml:space="preserve">ACT-&gt;ARG0/2,ARG1/40</t>
  </si>
  <si>
    <t xml:space="preserve">"letět-002"</t>
  </si>
  <si>
    <t xml:space="preserve">"letět-003"</t>
  </si>
  <si>
    <t xml:space="preserve">"letět-004"</t>
  </si>
  <si>
    <t xml:space="preserve">"letět-005"</t>
  </si>
  <si>
    <t xml:space="preserve">DPHR: na-1[srdce.S6]</t>
  </si>
  <si>
    <t xml:space="preserve">"letět-006"</t>
  </si>
  <si>
    <t xml:space="preserve">"letět-007"</t>
  </si>
  <si>
    <t xml:space="preserve">"letět-008"</t>
  </si>
  <si>
    <t xml:space="preserve">"leštit-001"</t>
  </si>
  <si>
    <t xml:space="preserve">"leštit-002"</t>
  </si>
  <si>
    <t xml:space="preserve">PAT-&gt;ARG1/38,ARG2/4</t>
  </si>
  <si>
    <t xml:space="preserve">"ležet-001"</t>
  </si>
  <si>
    <t xml:space="preserve">"ležet-002"</t>
  </si>
  <si>
    <t xml:space="preserve">ACT-&gt;ARG1/28</t>
  </si>
  <si>
    <t xml:space="preserve">PAT-&gt;ARG0/7,ARG2/1</t>
  </si>
  <si>
    <t xml:space="preserve">"ležet-003"</t>
  </si>
  <si>
    <t xml:space="preserve">"ležet-004"</t>
  </si>
  <si>
    <t xml:space="preserve">ACT-&gt;ARG0/1,ARG1/374,ARG2/3,ARGm-LOC/1</t>
  </si>
  <si>
    <t xml:space="preserve">ACT-&gt;ARG0/3,ARG1/147,ARG2/1,ARGM-LOC/1</t>
  </si>
  <si>
    <t xml:space="preserve">ACT-&gt;ARG0/3,ARG1/119,ARG2/1,ARGM-LOC/1</t>
  </si>
  <si>
    <t xml:space="preserve">LOC-&gt;ARG1/2,ARG2/308,ARGm-LOC/23</t>
  </si>
  <si>
    <t xml:space="preserve">LOC-&gt;ARG1/5,ARG2/29,ARGM-LOC/137</t>
  </si>
  <si>
    <t xml:space="preserve">LOC-&gt;ARG1/5,ARG2/2,ARGM-LOC/137</t>
  </si>
  <si>
    <t xml:space="preserve">"ležet-005"</t>
  </si>
  <si>
    <t xml:space="preserve">"ležet-006"</t>
  </si>
  <si>
    <t xml:space="preserve">"ležet-007"</t>
  </si>
  <si>
    <t xml:space="preserve">DPHR: na-1[bedra.6]; na-1[bedra.6[.u#]]</t>
  </si>
  <si>
    <t xml:space="preserve">"ležet-008"</t>
  </si>
  <si>
    <t xml:space="preserve">ACT-&gt;ARG1/105</t>
  </si>
  <si>
    <t xml:space="preserve">DPHR: lad.S7</t>
  </si>
  <si>
    <t xml:space="preserve">DPHR-&gt;ARG2/55</t>
  </si>
  <si>
    <t xml:space="preserve">"ležet-009"</t>
  </si>
  <si>
    <t xml:space="preserve">DPHR: v-1[hlava.S6]</t>
  </si>
  <si>
    <t xml:space="preserve">"ležet-010"</t>
  </si>
  <si>
    <t xml:space="preserve">DPHR: na-1[srdce.6]</t>
  </si>
  <si>
    <t xml:space="preserve">"lhát-001"</t>
  </si>
  <si>
    <t xml:space="preserve">?PAT: o+6; ↓že</t>
  </si>
  <si>
    <t xml:space="preserve">"lhát-002"</t>
  </si>
  <si>
    <t xml:space="preserve">DPHR: jako[když[tisknout.S]]</t>
  </si>
  <si>
    <t xml:space="preserve">"liberalizovat-001"</t>
  </si>
  <si>
    <t xml:space="preserve">"libovat-si-001"</t>
  </si>
  <si>
    <t xml:space="preserve">PAT: 4; ↓že; v+6; ↓jak-2</t>
  </si>
  <si>
    <t xml:space="preserve">"licencovat-001"</t>
  </si>
  <si>
    <t xml:space="preserve">ACT-&gt;ARG0/7,ARG2/3</t>
  </si>
  <si>
    <t xml:space="preserve">ACT-&gt;ARG0/8,ARG2/3</t>
  </si>
  <si>
    <t xml:space="preserve">"lichotit-001"</t>
  </si>
  <si>
    <t xml:space="preserve">"licitovat-001"</t>
  </si>
  <si>
    <t xml:space="preserve">"licitovat-002"</t>
  </si>
  <si>
    <t xml:space="preserve">"likvidovat-001"</t>
  </si>
  <si>
    <t xml:space="preserve">PAT-&gt;ARG1/117</t>
  </si>
  <si>
    <t xml:space="preserve">"limitovat-001"</t>
  </si>
  <si>
    <t xml:space="preserve">PAT-&gt;ARG1/129,ARG2/1</t>
  </si>
  <si>
    <t xml:space="preserve">EFF-&gt;ARG2/41</t>
  </si>
  <si>
    <t xml:space="preserve">"linout-se-001"</t>
  </si>
  <si>
    <t xml:space="preserve">"lisovat-001"</t>
  </si>
  <si>
    <t xml:space="preserve">"listovat-001"</t>
  </si>
  <si>
    <t xml:space="preserve">"litovat-001"</t>
  </si>
  <si>
    <t xml:space="preserve">"litovat-002"</t>
  </si>
  <si>
    <t xml:space="preserve">"lišit-001"</t>
  </si>
  <si>
    <t xml:space="preserve">"lišit-se-001"</t>
  </si>
  <si>
    <t xml:space="preserve">PAT: od+2; oproti+3</t>
  </si>
  <si>
    <t xml:space="preserve">ACT-&gt;ARG0/7,ARG1/51</t>
  </si>
  <si>
    <t xml:space="preserve">PAT-&gt;ARG1/8,ARG2/11</t>
  </si>
  <si>
    <t xml:space="preserve">"lkát-001"</t>
  </si>
  <si>
    <t xml:space="preserve">?PAT: na+4; ↓že; ↓c</t>
  </si>
  <si>
    <t xml:space="preserve">"lkát-002"</t>
  </si>
  <si>
    <t xml:space="preserve">"lnout-001"</t>
  </si>
  <si>
    <t xml:space="preserve">"lnout-002"</t>
  </si>
  <si>
    <t xml:space="preserve">"lobbovat-001"</t>
  </si>
  <si>
    <t xml:space="preserve">ACT-&gt;ARG0/13,ARG2/2</t>
  </si>
  <si>
    <t xml:space="preserve">"lobbovat-002"</t>
  </si>
  <si>
    <t xml:space="preserve">ACT-&gt;ARG0/743,ARG1/3,ARG2/6</t>
  </si>
  <si>
    <t xml:space="preserve">PAT: za+4; pro+4; proti+3</t>
  </si>
  <si>
    <t xml:space="preserve">PAT-&gt;ARG1/15,ARG2/1</t>
  </si>
  <si>
    <t xml:space="preserve">PAT-&gt;ARG1/962,ARG2/94</t>
  </si>
  <si>
    <t xml:space="preserve">"lobovat-001"</t>
  </si>
  <si>
    <t xml:space="preserve">ACT-&gt;ARG0/20,ARG2/2</t>
  </si>
  <si>
    <t xml:space="preserve">PAT-&gt;ARG1/22,ARG2/1</t>
  </si>
  <si>
    <t xml:space="preserve">"lokalizovat-001"</t>
  </si>
  <si>
    <t xml:space="preserve">PAT-&gt;ARG1/10,ARGm-LOC/1</t>
  </si>
  <si>
    <t xml:space="preserve">LOC-&gt;ARGm-LOC/23</t>
  </si>
  <si>
    <t xml:space="preserve">LOC-&gt;ARG2/2</t>
  </si>
  <si>
    <t xml:space="preserve">"lokalizovat-002"</t>
  </si>
  <si>
    <t xml:space="preserve">"lokalizovat-003"</t>
  </si>
  <si>
    <t xml:space="preserve">"lokalizovat-004"</t>
  </si>
  <si>
    <t xml:space="preserve">"loknout-si-001"</t>
  </si>
  <si>
    <t xml:space="preserve">"lomcovat-001"</t>
  </si>
  <si>
    <t xml:space="preserve">"lomit-001"</t>
  </si>
  <si>
    <t xml:space="preserve">DPHR: ruka.P7</t>
  </si>
  <si>
    <t xml:space="preserve">"losovat-001"</t>
  </si>
  <si>
    <t xml:space="preserve">"loupat-001"</t>
  </si>
  <si>
    <t xml:space="preserve">"loupit-001"</t>
  </si>
  <si>
    <t xml:space="preserve">"loupit-002"</t>
  </si>
  <si>
    <t xml:space="preserve">"loutkařit-001"</t>
  </si>
  <si>
    <t xml:space="preserve">"loučit-se-001"</t>
  </si>
  <si>
    <t xml:space="preserve">"lovit-001"</t>
  </si>
  <si>
    <t xml:space="preserve">PAT-&gt;ARG1/110,ARG2/1</t>
  </si>
  <si>
    <t xml:space="preserve">"lovit-002"</t>
  </si>
  <si>
    <t xml:space="preserve">"lovit-003"</t>
  </si>
  <si>
    <t xml:space="preserve">"lpět-001"</t>
  </si>
  <si>
    <t xml:space="preserve">ACT-&gt;ARG0/111</t>
  </si>
  <si>
    <t xml:space="preserve">"lpět-002"</t>
  </si>
  <si>
    <t xml:space="preserve">"lustrovat-001"</t>
  </si>
  <si>
    <t xml:space="preserve">"luxovat-001"</t>
  </si>
  <si>
    <t xml:space="preserve">"luštit-001"</t>
  </si>
  <si>
    <t xml:space="preserve">"lyžovat-001"</t>
  </si>
  <si>
    <t xml:space="preserve">"lze-001"</t>
  </si>
  <si>
    <t xml:space="preserve">ACT: .f; 1</t>
  </si>
  <si>
    <t xml:space="preserve">ACT-&gt;ARG0/306,ARG1/122,ARG2/3452</t>
  </si>
  <si>
    <t xml:space="preserve">"ládovat-001"</t>
  </si>
  <si>
    <t xml:space="preserve">"lákat-001"</t>
  </si>
  <si>
    <t xml:space="preserve">ACT-&gt;ARG0/10,ARG1/630,ARG2/13,ARG3/2</t>
  </si>
  <si>
    <t xml:space="preserve">PAT-&gt;ARG0/601,ARG1/25,ARG2/2,ARG3/1</t>
  </si>
  <si>
    <t xml:space="preserve">"lákat-002"</t>
  </si>
  <si>
    <t xml:space="preserve">?PAT: k+3; ↓aby; ↓ať; .s; .f</t>
  </si>
  <si>
    <t xml:space="preserve">ACT-&gt;ARG0/72,ARG1/2,ARG2/1</t>
  </si>
  <si>
    <t xml:space="preserve">ADDR-&gt;ARG1/26</t>
  </si>
  <si>
    <t xml:space="preserve">ADDR-&gt;ARG0/1,ARG1/60,ARG2/5,ARG3/1</t>
  </si>
  <si>
    <t xml:space="preserve">PAT-&gt;ARG0/2,ARG1/96,ARG2/9,ARG3/2</t>
  </si>
  <si>
    <t xml:space="preserve">"lámat-001"</t>
  </si>
  <si>
    <t xml:space="preserve">"lámat-002"</t>
  </si>
  <si>
    <t xml:space="preserve">DPHR: hůl.S4</t>
  </si>
  <si>
    <t xml:space="preserve">"lámat-003"</t>
  </si>
  <si>
    <t xml:space="preserve">DPHR: přes-1[koleno.S4]</t>
  </si>
  <si>
    <t xml:space="preserve">"lámat-004"</t>
  </si>
  <si>
    <t xml:space="preserve">DPHR: rekord.P4</t>
  </si>
  <si>
    <t xml:space="preserve">DPHR-&gt;ARG1/55</t>
  </si>
  <si>
    <t xml:space="preserve">"lámat-005"</t>
  </si>
  <si>
    <t xml:space="preserve">"lámat-006"</t>
  </si>
  <si>
    <t xml:space="preserve">"lámat-se-001"</t>
  </si>
  <si>
    <t xml:space="preserve">ACT-&gt;ARG0/1,ARG1/543,ARG2/6</t>
  </si>
  <si>
    <t xml:space="preserve">?PAT: na+4; v+4</t>
  </si>
  <si>
    <t xml:space="preserve">PAT-&gt;ARG1/2,ARG2/517</t>
  </si>
  <si>
    <t xml:space="preserve">ORIG-&gt;ARG2/1,ARG3/3</t>
  </si>
  <si>
    <t xml:space="preserve">"lámat-si-001"</t>
  </si>
  <si>
    <t xml:space="preserve">DPHR: hlava:4</t>
  </si>
  <si>
    <t xml:space="preserve">PAT: 7; s+7; ↓c; nad+7</t>
  </si>
  <si>
    <t xml:space="preserve">"létat-001"</t>
  </si>
  <si>
    <t xml:space="preserve">ACT-&gt;ARG0/1,ARG1/40</t>
  </si>
  <si>
    <t xml:space="preserve">"létat-002"</t>
  </si>
  <si>
    <t xml:space="preserve">ACT-&gt;ARG0/5,ARG1/40</t>
  </si>
  <si>
    <t xml:space="preserve">"létat-003"</t>
  </si>
  <si>
    <t xml:space="preserve">"létat-004"</t>
  </si>
  <si>
    <t xml:space="preserve">"létat-005"</t>
  </si>
  <si>
    <t xml:space="preserve">"létat-006"</t>
  </si>
  <si>
    <t xml:space="preserve">"lézt-001"</t>
  </si>
  <si>
    <t xml:space="preserve">"lézt-002"</t>
  </si>
  <si>
    <t xml:space="preserve">"lézt-003"</t>
  </si>
  <si>
    <t xml:space="preserve">DPHR: do-1[zelí.2]</t>
  </si>
  <si>
    <t xml:space="preserve">"lézt-004"</t>
  </si>
  <si>
    <t xml:space="preserve">"lézt-005"</t>
  </si>
  <si>
    <t xml:space="preserve">"léčit-001"</t>
  </si>
  <si>
    <t xml:space="preserve">ACT-&gt;ARG0/2,ARG3/4</t>
  </si>
  <si>
    <t xml:space="preserve">ACT-&gt;ARG3/3</t>
  </si>
  <si>
    <t xml:space="preserve">PAT-&gt;ARG1/12,ARG2/17</t>
  </si>
  <si>
    <t xml:space="preserve">PAT-&gt;ARG1/5,ARG2/16</t>
  </si>
  <si>
    <t xml:space="preserve">"léčit-002"</t>
  </si>
  <si>
    <t xml:space="preserve">ADDR-&gt;ARG1/6,ARG2/1</t>
  </si>
  <si>
    <t xml:space="preserve">"léčit-se-001"</t>
  </si>
  <si>
    <t xml:space="preserve">?PAT: na+4; z+2</t>
  </si>
  <si>
    <t xml:space="preserve">"líbat-001"</t>
  </si>
  <si>
    <t xml:space="preserve">"líbat-002"</t>
  </si>
  <si>
    <t xml:space="preserve">"líbit-se-001"</t>
  </si>
  <si>
    <t xml:space="preserve">PAT: 1; ↓že; .f; ↓c; ↓když</t>
  </si>
  <si>
    <t xml:space="preserve">ACT-&gt;ARG0/231,ARG1/35</t>
  </si>
  <si>
    <t xml:space="preserve">PAT-&gt;ARG0/14,ARG1/262,ARG2/5</t>
  </si>
  <si>
    <t xml:space="preserve">"líhnout-se-001"</t>
  </si>
  <si>
    <t xml:space="preserve">"lísknout-001"</t>
  </si>
  <si>
    <t xml:space="preserve">"lít-001"</t>
  </si>
  <si>
    <t xml:space="preserve">"lít-002"</t>
  </si>
  <si>
    <t xml:space="preserve">"lít-003"</t>
  </si>
  <si>
    <t xml:space="preserve">"lít-004"</t>
  </si>
  <si>
    <t xml:space="preserve">DPHR: olovo.S4</t>
  </si>
  <si>
    <t xml:space="preserve">"lít-005"</t>
  </si>
  <si>
    <t xml:space="preserve">"lítat-001"</t>
  </si>
  <si>
    <t xml:space="preserve">"lítat-002"</t>
  </si>
  <si>
    <t xml:space="preserve">"lítat-003"</t>
  </si>
  <si>
    <t xml:space="preserve">"lítat-004"</t>
  </si>
  <si>
    <t xml:space="preserve">"lítat-005"</t>
  </si>
  <si>
    <t xml:space="preserve">"lítat-006"</t>
  </si>
  <si>
    <t xml:space="preserve">"lízat-001"</t>
  </si>
  <si>
    <t xml:space="preserve">"lízat-002"</t>
  </si>
  <si>
    <t xml:space="preserve">"lízat-003"</t>
  </si>
  <si>
    <t xml:space="preserve">"líznout-001"</t>
  </si>
  <si>
    <t xml:space="preserve">"líčit-001"</t>
  </si>
  <si>
    <t xml:space="preserve">PAT: 4; ↓že; ↓c; ↓jak-2</t>
  </si>
  <si>
    <t xml:space="preserve">ACT-&gt;ARG0/12571,ARG1/38</t>
  </si>
  <si>
    <t xml:space="preserve">PAT-&gt;ARG0/4,ARG1/11096,ARG2/4,ARG3/29</t>
  </si>
  <si>
    <t xml:space="preserve">ADDR-&gt;ARG1/2,ARG2/332</t>
  </si>
  <si>
    <t xml:space="preserve">"líčit-002"</t>
  </si>
  <si>
    <t xml:space="preserve">"makat-001"</t>
  </si>
  <si>
    <t xml:space="preserve">"malovat-001"</t>
  </si>
  <si>
    <t xml:space="preserve">"malovat-002"</t>
  </si>
  <si>
    <t xml:space="preserve">PAT-&gt;ARG1/179,ARG2/156</t>
  </si>
  <si>
    <t xml:space="preserve">"malovat-003"</t>
  </si>
  <si>
    <t xml:space="preserve">"malovat-004"</t>
  </si>
  <si>
    <t xml:space="preserve">"manipulovat-001"</t>
  </si>
  <si>
    <t xml:space="preserve">"manipulovat-002"</t>
  </si>
  <si>
    <t xml:space="preserve">"manévrovat-001"</t>
  </si>
  <si>
    <t xml:space="preserve">ACT-&gt;ARG0/73,ARG1/64</t>
  </si>
  <si>
    <t xml:space="preserve">LOC-&gt;ARG2/1</t>
  </si>
  <si>
    <t xml:space="preserve">LOC-&gt;ARG1/88,ARG2/2</t>
  </si>
  <si>
    <t xml:space="preserve">"mapovat-001"</t>
  </si>
  <si>
    <t xml:space="preserve">ACT-&gt;ARG0/518,ARG1/4,ARG2/164</t>
  </si>
  <si>
    <t xml:space="preserve">PAT-&gt;ARG1/966,ARG2/13</t>
  </si>
  <si>
    <t xml:space="preserve">"marodit-001"</t>
  </si>
  <si>
    <t xml:space="preserve">"maskovat-001"</t>
  </si>
  <si>
    <t xml:space="preserve">"masírovat-001"</t>
  </si>
  <si>
    <t xml:space="preserve">"maturovat-001"</t>
  </si>
  <si>
    <t xml:space="preserve">"maximalizovat-001"</t>
  </si>
  <si>
    <t xml:space="preserve">"mazat-001"</t>
  </si>
  <si>
    <t xml:space="preserve">"mazat-002"</t>
  </si>
  <si>
    <t xml:space="preserve">"mazlit-se-001"</t>
  </si>
  <si>
    <t xml:space="preserve">"mačkat-001"</t>
  </si>
  <si>
    <t xml:space="preserve">"mačkat-se-001"</t>
  </si>
  <si>
    <t xml:space="preserve">ACT-&gt;ARG0/2,ARG2/1</t>
  </si>
  <si>
    <t xml:space="preserve">ACT-&gt;ARG0/18,ARG1/3,ARG2/2</t>
  </si>
  <si>
    <t xml:space="preserve">LOC-&gt;ARG1/11,ARG2/1</t>
  </si>
  <si>
    <t xml:space="preserve">"mačkat-se-002"</t>
  </si>
  <si>
    <t xml:space="preserve">"mařit-001"</t>
  </si>
  <si>
    <t xml:space="preserve">"mašinovat-001"</t>
  </si>
  <si>
    <t xml:space="preserve">"meditovat-001"</t>
  </si>
  <si>
    <t xml:space="preserve">PAT: o+6; nad+7; ↓že; ↓zda; ↓c; ↓jestli</t>
  </si>
  <si>
    <t xml:space="preserve">"metabolizovat-001"</t>
  </si>
  <si>
    <t xml:space="preserve">ORIG-&gt;ARG2/1</t>
  </si>
  <si>
    <t xml:space="preserve">"metat-001"</t>
  </si>
  <si>
    <t xml:space="preserve">DPHR: kozelec.S4</t>
  </si>
  <si>
    <t xml:space="preserve">DPHR-&gt;ARG1/196</t>
  </si>
  <si>
    <t xml:space="preserve">"mhouřit-001"</t>
  </si>
  <si>
    <t xml:space="preserve">"migrovat-001"</t>
  </si>
  <si>
    <t xml:space="preserve">ACT-&gt;ARG0/25,ARG1/2</t>
  </si>
  <si>
    <t xml:space="preserve">"migrovat-002"</t>
  </si>
  <si>
    <t xml:space="preserve">"mihnout-se-001"</t>
  </si>
  <si>
    <t xml:space="preserve">ACT-&gt;ARG1/144</t>
  </si>
  <si>
    <t xml:space="preserve">"milovat-001"</t>
  </si>
  <si>
    <t xml:space="preserve">"minimalizovat-001"</t>
  </si>
  <si>
    <t xml:space="preserve">"ministrovat-001"</t>
  </si>
  <si>
    <t xml:space="preserve">"minout-001"</t>
  </si>
  <si>
    <t xml:space="preserve">"minout-002"</t>
  </si>
  <si>
    <t xml:space="preserve">ACT-&gt;ARG1/9</t>
  </si>
  <si>
    <t xml:space="preserve">"minout-003"</t>
  </si>
  <si>
    <t xml:space="preserve">"minout-se-001"</t>
  </si>
  <si>
    <t xml:space="preserve">"mistrovat-001"</t>
  </si>
  <si>
    <t xml:space="preserve">"mizet-001"</t>
  </si>
  <si>
    <t xml:space="preserve">ACT-&gt;ARG1/34</t>
  </si>
  <si>
    <t xml:space="preserve">"mizet-002"</t>
  </si>
  <si>
    <t xml:space="preserve">DIR1: </t>
  </si>
  <si>
    <t xml:space="preserve">"mluvit-001"</t>
  </si>
  <si>
    <t xml:space="preserve">"mluvit-002"</t>
  </si>
  <si>
    <t xml:space="preserve">ACT-&gt;ARG0/12357,ARG1/36</t>
  </si>
  <si>
    <t xml:space="preserve">PAT: o+6; na-1[téma.4]; ↓jestli; .s</t>
  </si>
  <si>
    <t xml:space="preserve">PAT-&gt;ARG0/2,ARG1/206,ARG2/1,ARG3/29</t>
  </si>
  <si>
    <t xml:space="preserve">ADDR-&gt;ARG1/1,ARG2/80</t>
  </si>
  <si>
    <t xml:space="preserve">"mluvit-003"</t>
  </si>
  <si>
    <t xml:space="preserve">PAT: o+6; .s</t>
  </si>
  <si>
    <t xml:space="preserve">ADDR-&gt;ARG1/1,ARG2/50</t>
  </si>
  <si>
    <t xml:space="preserve">"mluvit-004"</t>
  </si>
  <si>
    <t xml:space="preserve">ACT-&gt;ARG0/12453,ARG1/38</t>
  </si>
  <si>
    <t xml:space="preserve">PAT-&gt;ARG0/2,ARG1/366,ARG2/1,ARG3/29</t>
  </si>
  <si>
    <t xml:space="preserve">"mluvit-005"</t>
  </si>
  <si>
    <t xml:space="preserve">"mluvit-006"</t>
  </si>
  <si>
    <t xml:space="preserve">"mluvit-007"</t>
  </si>
  <si>
    <t xml:space="preserve">PAT: pro+4; proti+3; {neprospěch,prospěch}.S4/AuxP[v-1,.2]; v-1[{prospěch,neprospěch}.S4[.u#]]</t>
  </si>
  <si>
    <t xml:space="preserve">PAT-&gt;ARG1/1,ARG2/11</t>
  </si>
  <si>
    <t xml:space="preserve">"mluvit-008"</t>
  </si>
  <si>
    <t xml:space="preserve">PAT: za+4; místo+2</t>
  </si>
  <si>
    <t xml:space="preserve">"mluvit-009"</t>
  </si>
  <si>
    <t xml:space="preserve">"mluvit-010"</t>
  </si>
  <si>
    <t xml:space="preserve">DPHR: do-1[duše.S2]</t>
  </si>
  <si>
    <t xml:space="preserve">"mluvit-011"</t>
  </si>
  <si>
    <t xml:space="preserve">"mluvit-012"</t>
  </si>
  <si>
    <t xml:space="preserve">"mluvit-013"</t>
  </si>
  <si>
    <t xml:space="preserve">"mlátit-001"</t>
  </si>
  <si>
    <t xml:space="preserve">"mlátit-002"</t>
  </si>
  <si>
    <t xml:space="preserve">ACT-&gt;ARG0/19,ARG1/1,ARG2/22</t>
  </si>
  <si>
    <t xml:space="preserve">"mlátit-003"</t>
  </si>
  <si>
    <t xml:space="preserve">"mlátit-004"</t>
  </si>
  <si>
    <t xml:space="preserve">DPHR: pusa.S7</t>
  </si>
  <si>
    <t xml:space="preserve">"mlátit-005"</t>
  </si>
  <si>
    <t xml:space="preserve">"mlít-001"</t>
  </si>
  <si>
    <t xml:space="preserve">"mlít-002"</t>
  </si>
  <si>
    <t xml:space="preserve">"mlčet-001"</t>
  </si>
  <si>
    <t xml:space="preserve">"mlžit-001"</t>
  </si>
  <si>
    <t xml:space="preserve">ACT-&gt;ARG0/13,ARG2/3</t>
  </si>
  <si>
    <t xml:space="preserve">PAT-&gt;ARG0/2,ARG1/45</t>
  </si>
  <si>
    <t xml:space="preserve">"mnout-001"</t>
  </si>
  <si>
    <t xml:space="preserve">"množit-001"</t>
  </si>
  <si>
    <t xml:space="preserve">"množit-se-001"</t>
  </si>
  <si>
    <t xml:space="preserve">ACT-&gt;ARG0/4,ARG1/11</t>
  </si>
  <si>
    <t xml:space="preserve">"mobilizovat-001"</t>
  </si>
  <si>
    <t xml:space="preserve">"mobilizovat-002"</t>
  </si>
  <si>
    <t xml:space="preserve">"moci-001"</t>
  </si>
  <si>
    <t xml:space="preserve">ACT-&gt;ARG0/598</t>
  </si>
  <si>
    <t xml:space="preserve">PAT-&gt;ARG1/623</t>
  </si>
  <si>
    <t xml:space="preserve">"moci-002"</t>
  </si>
  <si>
    <t xml:space="preserve">ACT-&gt;ARG0/267,ARG1/1</t>
  </si>
  <si>
    <t xml:space="preserve">ACT-&gt;ARG0/278,ARG1/1</t>
  </si>
  <si>
    <t xml:space="preserve">PAT-&gt;ARG0/1,ARG1/306</t>
  </si>
  <si>
    <t xml:space="preserve">PAT-&gt;ARG0/1,ARG1/317</t>
  </si>
  <si>
    <t xml:space="preserve">"moci-003"</t>
  </si>
  <si>
    <t xml:space="preserve">"moci-004"</t>
  </si>
  <si>
    <t xml:space="preserve">"moci-si-001"</t>
  </si>
  <si>
    <t xml:space="preserve">"modelovat-001"</t>
  </si>
  <si>
    <t xml:space="preserve">ACT-&gt;ARG0/723,ARG1/8,ARG2/3</t>
  </si>
  <si>
    <t xml:space="preserve">PAT-&gt;ARG1/1203,ARG2/4,ARG3/1,ARG4/5</t>
  </si>
  <si>
    <t xml:space="preserve">ORIG-&gt;ARG1/14,ARG2/41</t>
  </si>
  <si>
    <t xml:space="preserve">"modernizovat-001"</t>
  </si>
  <si>
    <t xml:space="preserve">ACT-&gt;ARG0/5,ARG1/1</t>
  </si>
  <si>
    <t xml:space="preserve">PAT-&gt;ARG1/25</t>
  </si>
  <si>
    <t xml:space="preserve">"moderovat-001"</t>
  </si>
  <si>
    <t xml:space="preserve">"modifikovat-001"</t>
  </si>
  <si>
    <t xml:space="preserve">"modlit-se-001"</t>
  </si>
  <si>
    <t xml:space="preserve">ACT-&gt;ARG0/643</t>
  </si>
  <si>
    <t xml:space="preserve">PAT-&gt;ARG1/669,ARG2/3</t>
  </si>
  <si>
    <t xml:space="preserve">"modulovat-001"</t>
  </si>
  <si>
    <t xml:space="preserve">"monitorovat-001"</t>
  </si>
  <si>
    <t xml:space="preserve">ACT-&gt;ARG0/129</t>
  </si>
  <si>
    <t xml:space="preserve">PAT-&gt;ARG1/77,ARG2/1</t>
  </si>
  <si>
    <t xml:space="preserve">PAT-&gt;ARG1/188,ARG2/6</t>
  </si>
  <si>
    <t xml:space="preserve">PAT-&gt;ARG1/50,ARG2/1</t>
  </si>
  <si>
    <t xml:space="preserve">"monopolizovat-001"</t>
  </si>
  <si>
    <t xml:space="preserve">"montovat-001"</t>
  </si>
  <si>
    <t xml:space="preserve">PAT-&gt;ARG1/230</t>
  </si>
  <si>
    <t xml:space="preserve">ORIG-&gt;ARG1/1,ARG2/9</t>
  </si>
  <si>
    <t xml:space="preserve">ORIG-&gt;ARG1/1,ARG2/38</t>
  </si>
  <si>
    <t xml:space="preserve">"monumentalizovat-001"</t>
  </si>
  <si>
    <t xml:space="preserve">"mordovat-001"</t>
  </si>
  <si>
    <t xml:space="preserve">"motat-se-001"</t>
  </si>
  <si>
    <t xml:space="preserve">"motat-se-002"</t>
  </si>
  <si>
    <t xml:space="preserve">"motat-se-003"</t>
  </si>
  <si>
    <t xml:space="preserve">"motivovat-001"</t>
  </si>
  <si>
    <t xml:space="preserve">"motivovat-002"</t>
  </si>
  <si>
    <t xml:space="preserve">ACT-&gt;ARG0/183</t>
  </si>
  <si>
    <t xml:space="preserve">ADDR-&gt;ARG0/113,ARG1/274</t>
  </si>
  <si>
    <t xml:space="preserve">?PAT: k+3; do+2; na+6; .f; ↓aby</t>
  </si>
  <si>
    <t xml:space="preserve">"močit-001"</t>
  </si>
  <si>
    <t xml:space="preserve">"mrazit-001"</t>
  </si>
  <si>
    <t xml:space="preserve">"mračit-se-001"</t>
  </si>
  <si>
    <t xml:space="preserve">"mračit-se-002"</t>
  </si>
  <si>
    <t xml:space="preserve">"mrkat-001"</t>
  </si>
  <si>
    <t xml:space="preserve">"mrknout-001"</t>
  </si>
  <si>
    <t xml:space="preserve">"--mrknout-002"</t>
  </si>
  <si>
    <t xml:space="preserve">"mrskat-se-001"</t>
  </si>
  <si>
    <t xml:space="preserve">"mrzet-001"</t>
  </si>
  <si>
    <t xml:space="preserve">"mrznout-001"</t>
  </si>
  <si>
    <t xml:space="preserve">"mrznout-002"</t>
  </si>
  <si>
    <t xml:space="preserve">"mrštit-001"</t>
  </si>
  <si>
    <t xml:space="preserve">"mstít-se-001"</t>
  </si>
  <si>
    <t xml:space="preserve">PAT: 3; na+6</t>
  </si>
  <si>
    <t xml:space="preserve">"--muknout-001"</t>
  </si>
  <si>
    <t xml:space="preserve">"muknout-002"</t>
  </si>
  <si>
    <t xml:space="preserve">"mumlat-si-001"</t>
  </si>
  <si>
    <t xml:space="preserve">"muset-001"</t>
  </si>
  <si>
    <t xml:space="preserve">"muset-002"</t>
  </si>
  <si>
    <t xml:space="preserve">"mučit-001"</t>
  </si>
  <si>
    <t xml:space="preserve">PAT-&gt;ARG1/14,ARG2/1</t>
  </si>
  <si>
    <t xml:space="preserve">"mydlit-001"</t>
  </si>
  <si>
    <t xml:space="preserve">"mydlit-002"</t>
  </si>
  <si>
    <t xml:space="preserve">"myslet-001"</t>
  </si>
  <si>
    <t xml:space="preserve">ACT-&gt;ARG0/12119,ARG1/3138,ARG2/296</t>
  </si>
  <si>
    <t xml:space="preserve">MANN-&gt;ARG0/2,ARG1/10613,ARG2/3453</t>
  </si>
  <si>
    <t xml:space="preserve">"myslet-002"</t>
  </si>
  <si>
    <t xml:space="preserve">ACT-&gt;ARG0/483,ARG1/5</t>
  </si>
  <si>
    <t xml:space="preserve">PAT-&gt;ARG1/471,ARG2/47</t>
  </si>
  <si>
    <t xml:space="preserve">"myslet-003"</t>
  </si>
  <si>
    <t xml:space="preserve">EFF: 4; ↓že; ↓jestli; .s; ↓c</t>
  </si>
  <si>
    <t xml:space="preserve">ACT-&gt;ARG0/837,ARG1/8</t>
  </si>
  <si>
    <t xml:space="preserve">EFF-&gt;ARG1/889,ARG2/2</t>
  </si>
  <si>
    <t xml:space="preserve">"myslet-004"</t>
  </si>
  <si>
    <t xml:space="preserve">EFF: 4; ↓že; ↓c; ↓jestli</t>
  </si>
  <si>
    <t xml:space="preserve">?PAT: 7; pod+7</t>
  </si>
  <si>
    <t xml:space="preserve">ACT-&gt;ARG0/626,ARG1/5</t>
  </si>
  <si>
    <t xml:space="preserve">EFF-&gt;ARG1/679,ARG2/1</t>
  </si>
  <si>
    <t xml:space="preserve">"myslet-005"</t>
  </si>
  <si>
    <t xml:space="preserve">"myslet-006"</t>
  </si>
  <si>
    <t xml:space="preserve">"myslet-si-001"</t>
  </si>
  <si>
    <t xml:space="preserve">ACT-&gt;ARG0/446,ARG1/5</t>
  </si>
  <si>
    <t xml:space="preserve">ACT-&gt;ARG0/180</t>
  </si>
  <si>
    <t xml:space="preserve">PAT-&gt;ARG1/465,ARG2/1</t>
  </si>
  <si>
    <t xml:space="preserve">PAT-&gt;ARG1/214</t>
  </si>
  <si>
    <t xml:space="preserve">"myslet-si-002"</t>
  </si>
  <si>
    <t xml:space="preserve">ACT-&gt;ARG0/1365,ARG1/37</t>
  </si>
  <si>
    <t xml:space="preserve">EFF: 4; ↓že; ↓zda; .s; ↓c</t>
  </si>
  <si>
    <t xml:space="preserve">EFF-&gt;ARG1/1562,ARG2/10</t>
  </si>
  <si>
    <t xml:space="preserve">PAT-&gt;ARG1/18,ARG2/50</t>
  </si>
  <si>
    <t xml:space="preserve">"myslet-si-003"</t>
  </si>
  <si>
    <t xml:space="preserve">"myslit-001"</t>
  </si>
  <si>
    <t xml:space="preserve">"myslit-002"</t>
  </si>
  <si>
    <t xml:space="preserve">"myslit-003"</t>
  </si>
  <si>
    <t xml:space="preserve">EFF: 4; ↓že; .s; ↓c</t>
  </si>
  <si>
    <t xml:space="preserve">"myslit-004"</t>
  </si>
  <si>
    <t xml:space="preserve">EFF: 4; ↓že; ↓c</t>
  </si>
  <si>
    <t xml:space="preserve">"myslit-005"</t>
  </si>
  <si>
    <t xml:space="preserve">"myslit-006"</t>
  </si>
  <si>
    <t xml:space="preserve">"myslit-si-001"</t>
  </si>
  <si>
    <t xml:space="preserve">"myslit-si-002"</t>
  </si>
  <si>
    <t xml:space="preserve">"myslit-si-003"</t>
  </si>
  <si>
    <t xml:space="preserve">"máchat-001"</t>
  </si>
  <si>
    <t xml:space="preserve">ADDR-&gt;ARG2/7</t>
  </si>
  <si>
    <t xml:space="preserve">"máchat-002"</t>
  </si>
  <si>
    <t xml:space="preserve">"máchat-se-001"</t>
  </si>
  <si>
    <t xml:space="preserve">"máchnout-001"</t>
  </si>
  <si>
    <t xml:space="preserve">"mást-001"</t>
  </si>
  <si>
    <t xml:space="preserve">PAT-&gt;ARG1/6,ARG2/2</t>
  </si>
  <si>
    <t xml:space="preserve">"mávat-001"</t>
  </si>
  <si>
    <t xml:space="preserve">?ADDR: na+4; 3</t>
  </si>
  <si>
    <t xml:space="preserve">"mávat-002"</t>
  </si>
  <si>
    <t xml:space="preserve">"mávnout-001"</t>
  </si>
  <si>
    <t xml:space="preserve">?ADDR: 3; na+4</t>
  </si>
  <si>
    <t xml:space="preserve">ADDR-&gt;ARG1/12</t>
  </si>
  <si>
    <t xml:space="preserve">"máčet-001"</t>
  </si>
  <si>
    <t xml:space="preserve">"mést-001"</t>
  </si>
  <si>
    <t xml:space="preserve">"míchat-001"</t>
  </si>
  <si>
    <t xml:space="preserve">ACT-&gt;ARG0/215,ARG1/3</t>
  </si>
  <si>
    <t xml:space="preserve">PAT-&gt;ARG1/296</t>
  </si>
  <si>
    <t xml:space="preserve">ORIG-&gt;ARG2/2</t>
  </si>
  <si>
    <t xml:space="preserve">"míchat-002"</t>
  </si>
  <si>
    <t xml:space="preserve">"míchat-003"</t>
  </si>
  <si>
    <t xml:space="preserve">EFF-&gt;ARG0/4</t>
  </si>
  <si>
    <t xml:space="preserve">"míchat-004"</t>
  </si>
  <si>
    <t xml:space="preserve">"míchat-005"</t>
  </si>
  <si>
    <t xml:space="preserve">PAT: 4; 7; s+7</t>
  </si>
  <si>
    <t xml:space="preserve">"míchat-006"</t>
  </si>
  <si>
    <t xml:space="preserve">"míchat-007"</t>
  </si>
  <si>
    <t xml:space="preserve">DPHR: pátý:NS4,přes-1[devátý:NS4]</t>
  </si>
  <si>
    <t xml:space="preserve">"míchat-se-001"</t>
  </si>
  <si>
    <t xml:space="preserve">PAT-&gt;ARG1/14,ARG2/36</t>
  </si>
  <si>
    <t xml:space="preserve">"míchat-se-002"</t>
  </si>
  <si>
    <t xml:space="preserve">"míhat-se-001"</t>
  </si>
  <si>
    <t xml:space="preserve">"míjet-001"</t>
  </si>
  <si>
    <t xml:space="preserve">"míjet-002"</t>
  </si>
  <si>
    <t xml:space="preserve">"míjet-003"</t>
  </si>
  <si>
    <t xml:space="preserve">"míjet-se-001"</t>
  </si>
  <si>
    <t xml:space="preserve">"--míjet-se-002"</t>
  </si>
  <si>
    <t xml:space="preserve">"mínit-001"</t>
  </si>
  <si>
    <t xml:space="preserve">ACT-&gt;ARG0/265</t>
  </si>
  <si>
    <t xml:space="preserve">ACT-&gt;ARG0/85</t>
  </si>
  <si>
    <t xml:space="preserve">PAT-&gt;ARG1/105,ARG2/4</t>
  </si>
  <si>
    <t xml:space="preserve">PAT-&gt;ARG1/113,ARG2/4</t>
  </si>
  <si>
    <t xml:space="preserve">EFF: .a4[{jako,jakožto}:/AuxY]</t>
  </si>
  <si>
    <t xml:space="preserve">EFF-&gt;ARG1/214</t>
  </si>
  <si>
    <t xml:space="preserve">"mínit-002"</t>
  </si>
  <si>
    <t xml:space="preserve">PAT-&gt;ARG0/2,ARG1/30,ARG2/1</t>
  </si>
  <si>
    <t xml:space="preserve">MANN-&gt;ARG1/13</t>
  </si>
  <si>
    <t xml:space="preserve">CPR-&gt;ARG1/1,ARG2/1</t>
  </si>
  <si>
    <t xml:space="preserve">"mínit-003"</t>
  </si>
  <si>
    <t xml:space="preserve">ACT-&gt;ARG0/733,ARG1/1</t>
  </si>
  <si>
    <t xml:space="preserve">ACT-&gt;ARG0/406,ARG1/7</t>
  </si>
  <si>
    <t xml:space="preserve">PAT-&gt;ARG1/844,ARG2/4</t>
  </si>
  <si>
    <t xml:space="preserve">PAT-&gt;ARG1/438,ARG2/51</t>
  </si>
  <si>
    <t xml:space="preserve">"mínit-004"</t>
  </si>
  <si>
    <t xml:space="preserve">EFF-&gt;ARG1/58</t>
  </si>
  <si>
    <t xml:space="preserve">"mínit-005"</t>
  </si>
  <si>
    <t xml:space="preserve">PAT-&gt;ARG0/180</t>
  </si>
  <si>
    <t xml:space="preserve">"mínit-006"</t>
  </si>
  <si>
    <t xml:space="preserve">EFF: k+3; na+4</t>
  </si>
  <si>
    <t xml:space="preserve">EFF-&gt;ARG1/105,ARG2/4</t>
  </si>
  <si>
    <t xml:space="preserve">"mírnit-001"</t>
  </si>
  <si>
    <t xml:space="preserve">ACT-&gt;ARG0/29,ARG1/1</t>
  </si>
  <si>
    <t xml:space="preserve">PAT-&gt;ARG1/75</t>
  </si>
  <si>
    <t xml:space="preserve">"mírnit-se-001"</t>
  </si>
  <si>
    <t xml:space="preserve">"mírnit-se-002"</t>
  </si>
  <si>
    <t xml:space="preserve">"mísit-001"</t>
  </si>
  <si>
    <t xml:space="preserve">"mísit-002"</t>
  </si>
  <si>
    <t xml:space="preserve">"mísit-se-001"</t>
  </si>
  <si>
    <t xml:space="preserve">"mísit-se-002"</t>
  </si>
  <si>
    <t xml:space="preserve">"mít-001"</t>
  </si>
  <si>
    <t xml:space="preserve">"mít-002"</t>
  </si>
  <si>
    <t xml:space="preserve">ACT-&gt;ARG0/4429,ARG1/3520,ARG2/299</t>
  </si>
  <si>
    <t xml:space="preserve">PAT-&gt;ARG0/3,ARG1/5551,ARG2/3823,ARG3/1,ARG4/1</t>
  </si>
  <si>
    <t xml:space="preserve">ORIG-&gt;ARG1/3,ARG2/35</t>
  </si>
  <si>
    <t xml:space="preserve">"mít-003"</t>
  </si>
  <si>
    <t xml:space="preserve">ACT-&gt;ARG0/96,ARG1/47,ARG2/1</t>
  </si>
  <si>
    <t xml:space="preserve">PAT-&gt;ARG1/261,ARG2/3584</t>
  </si>
  <si>
    <t xml:space="preserve">EFF-&gt;ARG1/3102,ARG2/296</t>
  </si>
  <si>
    <t xml:space="preserve">"mít-004"</t>
  </si>
  <si>
    <t xml:space="preserve">EFF: za+4; jako[.4]</t>
  </si>
  <si>
    <t xml:space="preserve">"mít-005"</t>
  </si>
  <si>
    <t xml:space="preserve">EFF: 4; 7; zdarma; zadarmo</t>
  </si>
  <si>
    <t xml:space="preserve">ACT-&gt;ARG0/3098,ARG1/148,ARG2/1</t>
  </si>
  <si>
    <t xml:space="preserve">PAT-&gt;ARG0/3,ARG1/5449,ARG2/296</t>
  </si>
  <si>
    <t xml:space="preserve">EFF-&gt;ARG1/1108,ARG2/3592,ARG4/1</t>
  </si>
  <si>
    <t xml:space="preserve">"mít-006"</t>
  </si>
  <si>
    <t xml:space="preserve">ALT-LOC: =</t>
  </si>
  <si>
    <t xml:space="preserve">ACT-&gt;ARG0/3056,ARG1/3124,ARG2/296</t>
  </si>
  <si>
    <t xml:space="preserve">PAT-&gt;ARG0/1,ARG1/3648,ARG2/3454</t>
  </si>
  <si>
    <t xml:space="preserve">LOC-&gt;ARG1/94,ARG2/279</t>
  </si>
  <si>
    <t xml:space="preserve">"mít-007"</t>
  </si>
  <si>
    <t xml:space="preserve">ACT-&gt;ARG0/3397,ARG1/21</t>
  </si>
  <si>
    <t xml:space="preserve">PAT-&gt;ARG0/1,ARG1/3844,ARG2/3</t>
  </si>
  <si>
    <t xml:space="preserve">LOC-&gt;ARG1/4,ARG2/282</t>
  </si>
  <si>
    <t xml:space="preserve">"mít-008"</t>
  </si>
  <si>
    <t xml:space="preserve">ACT-&gt;ARG0/5986,ARG1/3953,ARG2/729,ARG3/1</t>
  </si>
  <si>
    <t xml:space="preserve">PAT-&gt;ARG0/3,ARG1/8103,ARG2/4167,ARG4/1</t>
  </si>
  <si>
    <t xml:space="preserve">"mít-009"</t>
  </si>
  <si>
    <t xml:space="preserve">ACT-&gt;ARG0/3045,ARG1/3424,ARG2/299</t>
  </si>
  <si>
    <t xml:space="preserve">PAT-&gt;ARG0/4,ARG1/4006,ARG2/3770,ARG4/1</t>
  </si>
  <si>
    <t xml:space="preserve">"mít-010"</t>
  </si>
  <si>
    <t xml:space="preserve">ACT-&gt;ARG0/2295,ARG1/19</t>
  </si>
  <si>
    <t xml:space="preserve">PAT: .f; ↓c</t>
  </si>
  <si>
    <t xml:space="preserve">PAT-&gt;ARG0/1,ARG1/2831</t>
  </si>
  <si>
    <t xml:space="preserve">"mít-011"</t>
  </si>
  <si>
    <t xml:space="preserve">"mít-012"</t>
  </si>
  <si>
    <t xml:space="preserve">"mít-013"</t>
  </si>
  <si>
    <t xml:space="preserve">PAT: před+7; po+6</t>
  </si>
  <si>
    <t xml:space="preserve">"mít-014"</t>
  </si>
  <si>
    <t xml:space="preserve">ACT-&gt;ARG0/2154,ARG1/3401,ARG2/299</t>
  </si>
  <si>
    <t xml:space="preserve">DIR3-&gt;ARG0/1,ARG1/2258,ARG2/279</t>
  </si>
  <si>
    <t xml:space="preserve">EXT-&gt;ARG1/121,ARG2/3451</t>
  </si>
  <si>
    <t xml:space="preserve">"mít-015"</t>
  </si>
  <si>
    <t xml:space="preserve">"mít-016"</t>
  </si>
  <si>
    <t xml:space="preserve">CPHR: {podpora,pověření,...}.4</t>
  </si>
  <si>
    <t xml:space="preserve">"mít-017"</t>
  </si>
  <si>
    <t xml:space="preserve">CPHR: {důvěra,privilegium,respekt,úcta,zastání,...}.4</t>
  </si>
  <si>
    <t xml:space="preserve">"mít-018"</t>
  </si>
  <si>
    <t xml:space="preserve">ACT: 1; .f; ↓že; ↓aby</t>
  </si>
  <si>
    <t xml:space="preserve">ACT-&gt;ARG0/2270,ARG1/3121,ARG2/307</t>
  </si>
  <si>
    <t xml:space="preserve">CPHR: {cena-1,smysl,význam,...}.4</t>
  </si>
  <si>
    <t xml:space="preserve">CPHR-&gt;ARG0/1,ARG1/2909,ARG2/3451</t>
  </si>
  <si>
    <t xml:space="preserve">"mít-019"</t>
  </si>
  <si>
    <t xml:space="preserve">ACT-&gt;ARG0/2342,ARG1/3124,ARG2/385</t>
  </si>
  <si>
    <t xml:space="preserve">ACT-&gt;ARG0/188,ARG2/76</t>
  </si>
  <si>
    <t xml:space="preserve">CPHR: {důsledek,následek,...}.4</t>
  </si>
  <si>
    <t xml:space="preserve">CPHR-&gt;ARG0/3,ARG1/2952,ARG2/3454</t>
  </si>
  <si>
    <t xml:space="preserve">"mít-020"</t>
  </si>
  <si>
    <t xml:space="preserve">CPHR: {dohled,dozor,...}.4</t>
  </si>
  <si>
    <t xml:space="preserve">"mít-021"</t>
  </si>
  <si>
    <t xml:space="preserve">CPHR: {důvod,motivace,opodstatnění,podklad,prostor,příležitost,uplatnění,záminka,...}.4</t>
  </si>
  <si>
    <t xml:space="preserve">ACT-&gt;ARG0/2255,ARG1/19</t>
  </si>
  <si>
    <t xml:space="preserve">CPHR-&gt;ARG0/1,ARG1/2751</t>
  </si>
  <si>
    <t xml:space="preserve">"mít-022"</t>
  </si>
  <si>
    <t xml:space="preserve">CPHR: {námitka,něco,nic,předsudek,stížnost,výhrada,...}.4; {námitka,něco,nic,předsudek,stížnost,výhrada,...}.2</t>
  </si>
  <si>
    <t xml:space="preserve">ACT-&gt;ARG0/2323,ARG1/21</t>
  </si>
  <si>
    <t xml:space="preserve">CPHR-&gt;ARG0/1,ARG1/2392,ARG2/52</t>
  </si>
  <si>
    <t xml:space="preserve">ACT-&gt;ARG0/2229,ARG1/19</t>
  </si>
  <si>
    <t xml:space="preserve">CPHR-&gt;ARG0/1,ARG1/2321</t>
  </si>
  <si>
    <t xml:space="preserve">"mít-023"</t>
  </si>
  <si>
    <t xml:space="preserve">ACT-&gt;ARG1/60</t>
  </si>
  <si>
    <t xml:space="preserve">CPHR: {převaha,...}.4</t>
  </si>
  <si>
    <t xml:space="preserve">CPHR-&gt;ARG0/51</t>
  </si>
  <si>
    <t xml:space="preserve">"mít-024"</t>
  </si>
  <si>
    <t xml:space="preserve">CPHR: {láska,poměr,přátelství,sblížení,víra,vztah,...}.4</t>
  </si>
  <si>
    <t xml:space="preserve">ACT-&gt;ARG0/2154,ARG1/3122,ARG2/296</t>
  </si>
  <si>
    <t xml:space="preserve">CPHR-&gt;ARG0/1,ARG1/2377,ARG2/3452</t>
  </si>
  <si>
    <t xml:space="preserve">CPHR-&gt;ARG1/5</t>
  </si>
  <si>
    <t xml:space="preserve">"mít-025"</t>
  </si>
  <si>
    <t xml:space="preserve">CPHR: {nadání,zájem,...}.4</t>
  </si>
  <si>
    <t xml:space="preserve">ACT-&gt;ARG0/2958,ARG1/3522,ARG2/296</t>
  </si>
  <si>
    <t xml:space="preserve">CPHR-&gt;ARG0/1,ARG1/3217,ARG2/3451</t>
  </si>
  <si>
    <t xml:space="preserve">"mít-026"</t>
  </si>
  <si>
    <t xml:space="preserve">CPHR: {garance,krytí,pojištění,splatnost,záruka,...}.4</t>
  </si>
  <si>
    <t xml:space="preserve">"mít-027"</t>
  </si>
  <si>
    <t xml:space="preserve">CPHR: {aspekt,...}.4</t>
  </si>
  <si>
    <t xml:space="preserve">ACT-&gt;ARG0/2154,ARG1/27</t>
  </si>
  <si>
    <t xml:space="preserve">"mít-028"</t>
  </si>
  <si>
    <t xml:space="preserve">CPHR: {ambice,cíl,čas,čest,dovednost,chování,chuť,investice,kapacita,komplex,mluva,monopol,mechanismus,motivace,možnost,naděje,odlišení,odvaha,oprávnění,perspektiva,pocit,pochybnost,ponětí,potenciál,potřeba,povědomí,pověst,povinnost,poznatek,právo,pravomoc,představa,přesvědčení,přístup,řešení,sen,slabina,schopnost,síla,sklon,snaha,šance,touha,tréma,tušení,úkol,vyhlídka,záměr,závazek,zastoupení,znalost,...}.4; zapotřebí</t>
  </si>
  <si>
    <t xml:space="preserve">ACT-&gt;ARG0/2267,ARG1/3121,ARG2/296</t>
  </si>
  <si>
    <t xml:space="preserve">CPHR-&gt;ARG0/1,ARG1/2893,ARG2/3451</t>
  </si>
  <si>
    <t xml:space="preserve">ACT-&gt;ARG0/2154,ARG1/3121,ARG2/296</t>
  </si>
  <si>
    <t xml:space="preserve">CPHR-&gt;ARG0/1,ARG1/2377,ARG2/3451</t>
  </si>
  <si>
    <t xml:space="preserve">CPHR-&gt;ARG0/1,ARG1/2492,ARG2/3451</t>
  </si>
  <si>
    <t xml:space="preserve">ACT-&gt;ARG0/2835,ARG1/3144,ARG2/296,ARGm-MNR/2</t>
  </si>
  <si>
    <t xml:space="preserve">CPHR-&gt;ARG0/2,ARG1/3643,ARG2/3466,ARG4/1</t>
  </si>
  <si>
    <t xml:space="preserve">"mít-029"</t>
  </si>
  <si>
    <t xml:space="preserve">CPHR: {bonita,cena,deficit,dluh,hodnota,kurz,likvidita,míra,náklad,obrat,ohodnocení,podíl,prospěch,přebytek,příděl,příjem,rezerva,sazba,škoda,tržba,výdaj,výdělek,výnos,zisk,ztráta,zvýšení}.4</t>
  </si>
  <si>
    <t xml:space="preserve">ACT-&gt;ARG0/3250,ARG1/3134,ARG2/296,ARG3/1</t>
  </si>
  <si>
    <t xml:space="preserve">CPHR-&gt;ARG0/1,ARG1/3868,ARG2/3451,ARG4/1</t>
  </si>
  <si>
    <t xml:space="preserve">ACT-&gt;ARG0/58,ARG1/2</t>
  </si>
  <si>
    <t xml:space="preserve">CPHR-&gt;ARG0/2,ARG1/71</t>
  </si>
  <si>
    <t xml:space="preserve">CPHR-&gt;ARG1/623</t>
  </si>
  <si>
    <t xml:space="preserve">ACT-&gt;ARG0/2212,ARG1/21</t>
  </si>
  <si>
    <t xml:space="preserve">CPHR-&gt;ARG0/3,ARG1/2327</t>
  </si>
  <si>
    <t xml:space="preserve">ACT-&gt;ARG0/2897,ARG1/3135,ARG2/296</t>
  </si>
  <si>
    <t xml:space="preserve">CPHR-&gt;ARG0/1,ARG1/3415,ARG2/3451,ARG4/1</t>
  </si>
  <si>
    <t xml:space="preserve">"mít-030"</t>
  </si>
  <si>
    <t xml:space="preserve">CPHR: {dohoda,kamarádšoft,kontakt,setkání,sešlost,schůzka,smlouva,spojení,spolupráce,styk,sraz,známost,...}.4</t>
  </si>
  <si>
    <t xml:space="preserve">"mít-031"</t>
  </si>
  <si>
    <t xml:space="preserve">CPHR: {dojem,fobie,hrůza,legrace,nálada,obava,potěšení,psina,radost,starost,strach,vjem,vzpomínka,vztek,zábava,zášť,zážitek,...}.4</t>
  </si>
  <si>
    <t xml:space="preserve">ACT-&gt;ARG0/2314,ARG1/3150,ARG2/296</t>
  </si>
  <si>
    <t xml:space="preserve">CPHR-&gt;ARG0/1,ARG1/2945,ARG2/3483</t>
  </si>
  <si>
    <t xml:space="preserve">ACT-&gt;ARG0/2516,ARG1/3127,ARG2/296</t>
  </si>
  <si>
    <t xml:space="preserve">CPHR-&gt;ARG0/1,ARG1/2833,ARG2/3451,ARG4/1</t>
  </si>
  <si>
    <t xml:space="preserve">ACT-&gt;ARG1/220,ARG2/1</t>
  </si>
  <si>
    <t xml:space="preserve">CPHR-&gt;ARG1/1,ARG2/232</t>
  </si>
  <si>
    <t xml:space="preserve">"mít-032"</t>
  </si>
  <si>
    <t xml:space="preserve">CPHR: {dopad,efekt,nárok,platnost,požadavek,účinek,vliv,...}.4</t>
  </si>
  <si>
    <t xml:space="preserve">ACT-&gt;ARG0/164,ARG1/3102,ARG2/296</t>
  </si>
  <si>
    <t xml:space="preserve">CPHR-&gt;ARG1/311,ARG2/3451</t>
  </si>
  <si>
    <t xml:space="preserve">ACT-&gt;ARG0/2801,ARG1/3127,ARG2/296</t>
  </si>
  <si>
    <t xml:space="preserve">CPHR-&gt;ARG0/1,ARG1/3612,ARG2/3451,ARG4/1</t>
  </si>
  <si>
    <t xml:space="preserve">ACT-&gt;ARG0/2352,ARG1/286</t>
  </si>
  <si>
    <t xml:space="preserve">CPHR-&gt;ARG0/1,ARG1/2700</t>
  </si>
  <si>
    <t xml:space="preserve">"mít-033"</t>
  </si>
  <si>
    <t xml:space="preserve">CPHR: {důvěra,náskok,nedůvěra,porozumění,priorita,přednost,respekt,...}.4</t>
  </si>
  <si>
    <t xml:space="preserve">ACT-&gt;ARG0/2192,ARG1/3401,ARG2/299</t>
  </si>
  <si>
    <t xml:space="preserve">CPHR-&gt;ARG0/1,ARG1/2434,ARG2/3730</t>
  </si>
  <si>
    <t xml:space="preserve">ACT-&gt;ARG0/2318,ARG1/3401,ARG2/299</t>
  </si>
  <si>
    <t xml:space="preserve">CPHR-&gt;ARG0/1,ARG1/2566,ARG2/3730</t>
  </si>
  <si>
    <t xml:space="preserve">"mít-034"</t>
  </si>
  <si>
    <t xml:space="preserve">CPHR: {funkce,odpovědnost,služba,zodpovědnost,způsobilost,...}.4</t>
  </si>
  <si>
    <t xml:space="preserve">ACT-&gt;ARG0/2334,ARG1/3123,ARG2/296</t>
  </si>
  <si>
    <t xml:space="preserve">CPHR-&gt;ARG0/1,ARG1/2572,ARG2/3451</t>
  </si>
  <si>
    <t xml:space="preserve">"mít-035"</t>
  </si>
  <si>
    <t xml:space="preserve">CPHR: {hovor,...}.4</t>
  </si>
  <si>
    <t xml:space="preserve">"mít-036"</t>
  </si>
  <si>
    <t xml:space="preserve">CPHR: {jistota,volba,volnost,výběr,změna,...}.4</t>
  </si>
  <si>
    <t xml:space="preserve">CPHR-&gt;ARG1/115</t>
  </si>
  <si>
    <t xml:space="preserve">"mít-037"</t>
  </si>
  <si>
    <t xml:space="preserve">CPHR: {kontrola,...}.4</t>
  </si>
  <si>
    <t xml:space="preserve">"mít-038"</t>
  </si>
  <si>
    <t xml:space="preserve">CPHR: {dilema,malér,megaproblém,nepříjemnost,obtíž,potíž,problém,průser,průšvih,pře,spor,střet,těžkost,trampota,...}.4</t>
  </si>
  <si>
    <t xml:space="preserve">ACT-&gt;ARG0/2359,ARG1/19</t>
  </si>
  <si>
    <t xml:space="preserve">CPHR-&gt;ARG0/1,ARG1/2452</t>
  </si>
  <si>
    <t xml:space="preserve">ACT-&gt;ARG0/2380,ARG1/3221,ARG2/296,ARG3/1</t>
  </si>
  <si>
    <t xml:space="preserve">CPHR-&gt;ARG0/1,ARG1/2597,ARG2/3542</t>
  </si>
  <si>
    <t xml:space="preserve">ACT-&gt;ARG0/2171,ARG1/19</t>
  </si>
  <si>
    <t xml:space="preserve">CPHR-&gt;ARG0/1,ARG1/2272</t>
  </si>
  <si>
    <t xml:space="preserve">"mít-039"</t>
  </si>
  <si>
    <t xml:space="preserve">CPHR: {mínění,názor,pohled,postoj,...}.4</t>
  </si>
  <si>
    <t xml:space="preserve">ACT-&gt;ARG0/2206,ARG1/20</t>
  </si>
  <si>
    <t xml:space="preserve">CPHR-&gt;ARG0/1,ARG1/2317</t>
  </si>
  <si>
    <t xml:space="preserve">ACT-&gt;ARG0/2420,ARG1/52</t>
  </si>
  <si>
    <t xml:space="preserve">CPHR-&gt;ARG0/1,ARG1/2480,ARG2/34</t>
  </si>
  <si>
    <t xml:space="preserve">"mít-040"</t>
  </si>
  <si>
    <t xml:space="preserve">CPHR: {kvalifikaci,moc,smůla,štěstí,úděl,úspěch,výcvik,vzdělání,...}.4; 2</t>
  </si>
  <si>
    <t xml:space="preserve">ACT-&gt;ARG0/2212,ARG1/3123,ARG2/296</t>
  </si>
  <si>
    <t xml:space="preserve">CPHR-&gt;ARG0/1,ARG1/2456,ARG2/3453</t>
  </si>
  <si>
    <t xml:space="preserve">ACT-&gt;ARG0/2154,ARG1/3220,ARG2/296</t>
  </si>
  <si>
    <t xml:space="preserve">"mít-041"</t>
  </si>
  <si>
    <t xml:space="preserve">CPHR: {dotaz,komentář,megaotázka,myšlenka,nápad,návrh,otázka,poznámka,připomínka,...}.4</t>
  </si>
  <si>
    <t xml:space="preserve">ACT-&gt;ARG0/2175,ARG1/19</t>
  </si>
  <si>
    <t xml:space="preserve">CPHR-&gt;ARG0/1,ARG1/2276</t>
  </si>
  <si>
    <t xml:space="preserve">ACT-&gt;ARG0/123,ARG1/1</t>
  </si>
  <si>
    <t xml:space="preserve">CPHR-&gt;ARG1/205</t>
  </si>
  <si>
    <t xml:space="preserve">CPHR-&gt;ARG1/65</t>
  </si>
  <si>
    <t xml:space="preserve">"mít-042"</t>
  </si>
  <si>
    <t xml:space="preserve">CPHR: {hendikep,nevýhoda,omezení,pád,výhoda,výjimka,...}.4</t>
  </si>
  <si>
    <t xml:space="preserve">ACT-&gt;ARG0/2190,ARG1/19</t>
  </si>
  <si>
    <t xml:space="preserve">CPHR-&gt;ARG0/1,ARG1/2301</t>
  </si>
  <si>
    <t xml:space="preserve">"mít-043"</t>
  </si>
  <si>
    <t xml:space="preserve">CPHR: {plán,pravděpodobnost,předpoklad,sklon,strategie,šance,tendence,...}.4</t>
  </si>
  <si>
    <t xml:space="preserve">ACT-&gt;ARG0/2357,ARG1/19</t>
  </si>
  <si>
    <t xml:space="preserve">CPHR-&gt;ARG0/1,ARG1/2499</t>
  </si>
  <si>
    <t xml:space="preserve">ACT-&gt;ARG0/2362,ARG1/118</t>
  </si>
  <si>
    <t xml:space="preserve">CPHR-&gt;ARG0/1,ARG1/2454,ARG2/91</t>
  </si>
  <si>
    <t xml:space="preserve">"mít-044"</t>
  </si>
  <si>
    <t xml:space="preserve">CPHR: {pochopení,slitování,strpení,trpělivost,...}.4</t>
  </si>
  <si>
    <t xml:space="preserve">ACT-&gt;ARG0/52,ARG1/3103,ARG2/296</t>
  </si>
  <si>
    <t xml:space="preserve">CPHR-&gt;ARG1/583,ARG2/3451</t>
  </si>
  <si>
    <t xml:space="preserve">"mít-045"</t>
  </si>
  <si>
    <t xml:space="preserve">CPHR: {podezření,...}.4</t>
  </si>
  <si>
    <t xml:space="preserve">"mít-046"</t>
  </si>
  <si>
    <t xml:space="preserve">CPHR: {alternativa,mezera,nadšení,nedostatek,podíl,přání,smysl,styl,talent,účast,uplatnění,vina,vloha,výčitka,význam,zaměření,zásluha,...}.4</t>
  </si>
  <si>
    <t xml:space="preserve">ACT-&gt;ARG0/2899,ARG1/3129,ARG2/296</t>
  </si>
  <si>
    <t xml:space="preserve">CPHR-&gt;ARG0/1,ARG1/3215,ARG2/3451,ARG4/1</t>
  </si>
  <si>
    <t xml:space="preserve">"mít-047"</t>
  </si>
  <si>
    <t xml:space="preserve">ACT-&gt;ARG0/2205,ARG1/19</t>
  </si>
  <si>
    <t xml:space="preserve">CPHR: {postoj,...}.4</t>
  </si>
  <si>
    <t xml:space="preserve">CPHR-&gt;ARG0/1,ARG1/2328</t>
  </si>
  <si>
    <t xml:space="preserve">"mít-048"</t>
  </si>
  <si>
    <t xml:space="preserve">CPHR: {přínos,...}.4</t>
  </si>
  <si>
    <t xml:space="preserve">"mít-049"</t>
  </si>
  <si>
    <t xml:space="preserve">ACT-&gt;ARG1/1,ARG2/6</t>
  </si>
  <si>
    <t xml:space="preserve">CPHR: {prospěch,užitek,...}.4</t>
  </si>
  <si>
    <t xml:space="preserve">CPHR-&gt;ARG1/7</t>
  </si>
  <si>
    <t xml:space="preserve">"mít-050"</t>
  </si>
  <si>
    <t xml:space="preserve">CPHR: {původ,...}.4</t>
  </si>
  <si>
    <t xml:space="preserve">"mít-051"</t>
  </si>
  <si>
    <t xml:space="preserve">CPHR: {rest,úkol,...}.4</t>
  </si>
  <si>
    <t xml:space="preserve">"mít-052"</t>
  </si>
  <si>
    <t xml:space="preserve">ACT-&gt;ARG0/2207,ARG1/3121,ARG2/296</t>
  </si>
  <si>
    <t xml:space="preserve">CPHR: {místo,postavení,pozice,role,úloha,...}.4</t>
  </si>
  <si>
    <t xml:space="preserve">CPHR-&gt;ARG0/1,ARG1/2447,ARG2/3451</t>
  </si>
  <si>
    <t xml:space="preserve">"mít-053"</t>
  </si>
  <si>
    <t xml:space="preserve">CPHR: {souvislost,spojitost,...}.4</t>
  </si>
  <si>
    <t xml:space="preserve">"mít-054"</t>
  </si>
  <si>
    <t xml:space="preserve">CPHR: {výsledek,...}.4</t>
  </si>
  <si>
    <t xml:space="preserve">ACT-&gt;ARG1/66</t>
  </si>
  <si>
    <t xml:space="preserve">CPHR-&gt;ARG2/62</t>
  </si>
  <si>
    <t xml:space="preserve">"mít-055"</t>
  </si>
  <si>
    <t xml:space="preserve">CPHR: {využití,...}.4</t>
  </si>
  <si>
    <t xml:space="preserve">"mít-056"</t>
  </si>
  <si>
    <t xml:space="preserve">CPHR: {zájem,záliba,...}.4</t>
  </si>
  <si>
    <t xml:space="preserve">"mít-057"</t>
  </si>
  <si>
    <t xml:space="preserve">CPHR: {zdržení,zkušenost,zpoždění,...}.4</t>
  </si>
  <si>
    <t xml:space="preserve">ACT-&gt;ARG0/2217,ARG1/19</t>
  </si>
  <si>
    <t xml:space="preserve">CPHR-&gt;ARG0/1,ARG1/2348,ARG2/1</t>
  </si>
  <si>
    <t xml:space="preserve">"mít-058"</t>
  </si>
  <si>
    <t xml:space="preserve">ACT: 1; 1</t>
  </si>
  <si>
    <t xml:space="preserve">DPHR-&gt;ARG1/115</t>
  </si>
  <si>
    <t xml:space="preserve">"mít-059"</t>
  </si>
  <si>
    <t xml:space="preserve">DPHR: za-1[zlý.NS4]</t>
  </si>
  <si>
    <t xml:space="preserve">"mít-060"</t>
  </si>
  <si>
    <t xml:space="preserve">DPHR: nic[co-1],do-1[činění.2]</t>
  </si>
  <si>
    <t xml:space="preserve">"mít-061"</t>
  </si>
  <si>
    <t xml:space="preserve">DPHR: čest.S4</t>
  </si>
  <si>
    <t xml:space="preserve">"mít-062"</t>
  </si>
  <si>
    <t xml:space="preserve">ACT-&gt;ARG0/2267,ARG1/19</t>
  </si>
  <si>
    <t xml:space="preserve">ACT-&gt;ARG0/17,ARG1/1</t>
  </si>
  <si>
    <t xml:space="preserve">DPHR: co-5,do-1[činění.2]</t>
  </si>
  <si>
    <t xml:space="preserve">DPHR-&gt;ARG0/1,ARG1/2371</t>
  </si>
  <si>
    <t xml:space="preserve">PAT-&gt;ARG1/5,ARG2/36</t>
  </si>
  <si>
    <t xml:space="preserve">"mít-063"</t>
  </si>
  <si>
    <t xml:space="preserve">DPHR: dost</t>
  </si>
  <si>
    <t xml:space="preserve">"mít-064"</t>
  </si>
  <si>
    <t xml:space="preserve">ACT-&gt;ARG0/2212,ARG1/19</t>
  </si>
  <si>
    <t xml:space="preserve">PAT-&gt;ARG0/1,ARG1/2411</t>
  </si>
  <si>
    <t xml:space="preserve">"mít-065"</t>
  </si>
  <si>
    <t xml:space="preserve">ACT-&gt;ARG0/9,ARG1/3102,ARG2/296</t>
  </si>
  <si>
    <t xml:space="preserve">DPHR: na-1[mysl.S6]</t>
  </si>
  <si>
    <t xml:space="preserve">PAT-&gt;ARG1/130,ARG2/3451</t>
  </si>
  <si>
    <t xml:space="preserve">"mít-066"</t>
  </si>
  <si>
    <t xml:space="preserve">ACT-&gt;ARG0/11,ARG1/1</t>
  </si>
  <si>
    <t xml:space="preserve">DPHR: na-1[paměť.6]</t>
  </si>
  <si>
    <t xml:space="preserve">DPHR-&gt;ARG1/5,ARG2/306</t>
  </si>
  <si>
    <t xml:space="preserve">PAT-&gt;ARG1/314,ARG2/3</t>
  </si>
  <si>
    <t xml:space="preserve">"mít-067"</t>
  </si>
  <si>
    <t xml:space="preserve">DPHR: na-1[program-1:S6]</t>
  </si>
  <si>
    <t xml:space="preserve">PAT: 4; .f; ↓že</t>
  </si>
  <si>
    <t xml:space="preserve">"mít-068"</t>
  </si>
  <si>
    <t xml:space="preserve">DPHR: na-1[program-1.S6]</t>
  </si>
  <si>
    <t xml:space="preserve">"mít-069"</t>
  </si>
  <si>
    <t xml:space="preserve">DPHR: na-1[starost.S4]; na-1[starost.S6]</t>
  </si>
  <si>
    <t xml:space="preserve">PAT: 4; .f; ↓že; ↓aby</t>
  </si>
  <si>
    <t xml:space="preserve">ACT-&gt;ARG0/324,ARG1/3</t>
  </si>
  <si>
    <t xml:space="preserve">DPHR-&gt;ARG1/122,ARG2/3542</t>
  </si>
  <si>
    <t xml:space="preserve">"mít-070"</t>
  </si>
  <si>
    <t xml:space="preserve">ACT-&gt;ARG0/72,ARG1/3102,ARG2/296</t>
  </si>
  <si>
    <t xml:space="preserve">ACT-&gt;ARG0/820,ARG1/3,ARG2/38</t>
  </si>
  <si>
    <t xml:space="preserve">DPHR: na-1[svědomí.S6]</t>
  </si>
  <si>
    <t xml:space="preserve">PAT-&gt;ARG0/2,ARG1/1116,ARG2/2</t>
  </si>
  <si>
    <t xml:space="preserve">"mít-071"</t>
  </si>
  <si>
    <t xml:space="preserve">DPHR: na-1[zřetel.S6]</t>
  </si>
  <si>
    <t xml:space="preserve">"mít-072"</t>
  </si>
  <si>
    <t xml:space="preserve">DPHR: po-1[krk.S4]</t>
  </si>
  <si>
    <t xml:space="preserve">"mít-073"</t>
  </si>
  <si>
    <t xml:space="preserve">DPHR: pod-1[dohled.S7]</t>
  </si>
  <si>
    <t xml:space="preserve">"mít-074"</t>
  </si>
  <si>
    <t xml:space="preserve">"mít-075"</t>
  </si>
  <si>
    <t xml:space="preserve">DPHR: rád; rád.@2; rád.@3</t>
  </si>
  <si>
    <t xml:space="preserve">PAT: 4; ↓když; ↓že; ↓c; .f</t>
  </si>
  <si>
    <t xml:space="preserve">ACT-&gt;ARG0/79,ARG1/3102,ARG2/296</t>
  </si>
  <si>
    <t xml:space="preserve">PAT-&gt;ARG1/209,ARG2/3451</t>
  </si>
  <si>
    <t xml:space="preserve">"mít-076"</t>
  </si>
  <si>
    <t xml:space="preserve">DPHR: spadeno</t>
  </si>
  <si>
    <t xml:space="preserve">"mít-077"</t>
  </si>
  <si>
    <t xml:space="preserve">"mít-078"</t>
  </si>
  <si>
    <t xml:space="preserve">DPHR: v-1[krev.S6]</t>
  </si>
  <si>
    <t xml:space="preserve">"mít-079"</t>
  </si>
  <si>
    <t xml:space="preserve">DPHR: v-1[obliba.6]</t>
  </si>
  <si>
    <t xml:space="preserve">"mít-080"</t>
  </si>
  <si>
    <t xml:space="preserve">ACT-&gt;ARG0/2963,ARG1/20</t>
  </si>
  <si>
    <t xml:space="preserve">DPHR: v-1[plán:S6]</t>
  </si>
  <si>
    <t xml:space="preserve">DPHR-&gt;ARG0/1,ARG1/2572</t>
  </si>
  <si>
    <t xml:space="preserve">PAT-&gt;ARG1/737,ARG2/5</t>
  </si>
  <si>
    <t xml:space="preserve">"mít-081"</t>
  </si>
  <si>
    <t xml:space="preserve">DPHR: v-1[povaha.S6]</t>
  </si>
  <si>
    <t xml:space="preserve">"mít-082"</t>
  </si>
  <si>
    <t xml:space="preserve">DPHR: v-1[pravomoc.S6]</t>
  </si>
  <si>
    <t xml:space="preserve">"mít-083"</t>
  </si>
  <si>
    <t xml:space="preserve">"mít-084"</t>
  </si>
  <si>
    <t xml:space="preserve">DPHR: v-1[referát:S6]</t>
  </si>
  <si>
    <t xml:space="preserve">"mít-085"</t>
  </si>
  <si>
    <t xml:space="preserve">DPHR: v-1[ruka.P6]</t>
  </si>
  <si>
    <t xml:space="preserve">"mít-086"</t>
  </si>
  <si>
    <t xml:space="preserve">DPHR: v-1[úcta.S6]</t>
  </si>
  <si>
    <t xml:space="preserve">"mít-087"</t>
  </si>
  <si>
    <t xml:space="preserve">ACT-&gt;ARG0/3353,ARG1/3121,ARG2/296</t>
  </si>
  <si>
    <t xml:space="preserve">DPHR: v-1[úmysl.S6]</t>
  </si>
  <si>
    <t xml:space="preserve">DPHR-&gt;ARG0/1,ARG1/2558,ARG2/3451</t>
  </si>
  <si>
    <t xml:space="preserve">PAT-&gt;ARG1/1140</t>
  </si>
  <si>
    <t xml:space="preserve">"mít-088"</t>
  </si>
  <si>
    <t xml:space="preserve">DPHR: v-1[užívání.6]</t>
  </si>
  <si>
    <t xml:space="preserve">"mít-089"</t>
  </si>
  <si>
    <t xml:space="preserve">DPHR: z-1[krk.S2]</t>
  </si>
  <si>
    <t xml:space="preserve">"mít-090"</t>
  </si>
  <si>
    <t xml:space="preserve">ACT-&gt;ARG0/2156,ARG1/37</t>
  </si>
  <si>
    <t xml:space="preserve">DPHR: za-1[cíl.S4]</t>
  </si>
  <si>
    <t xml:space="preserve">PAT-&gt;ARG0/1,ARG1/2269,ARG2/5</t>
  </si>
  <si>
    <t xml:space="preserve">"mít-091"</t>
  </si>
  <si>
    <t xml:space="preserve">DPHR: za-1[důsledek:S4]</t>
  </si>
  <si>
    <t xml:space="preserve">PAT-&gt;ARG0/1,ARG1/810,ARG2/2</t>
  </si>
  <si>
    <t xml:space="preserve">"mít-092"</t>
  </si>
  <si>
    <t xml:space="preserve">DPHR: za-1[důsledek.S4]</t>
  </si>
  <si>
    <t xml:space="preserve">"mít-093"</t>
  </si>
  <si>
    <t xml:space="preserve">ACT-&gt;ARG0/316,ARG1/87</t>
  </si>
  <si>
    <t xml:space="preserve">ACT-&gt;ARG0/741,ARG1/2,ARG2/114</t>
  </si>
  <si>
    <t xml:space="preserve">DPHR: za-1[následek.S4]</t>
  </si>
  <si>
    <t xml:space="preserve">PAT-&gt;ARG0/1,ARG1/422,ARG2/98</t>
  </si>
  <si>
    <t xml:space="preserve">PAT-&gt;ARG0/1,ARG1/1154,ARG2/2</t>
  </si>
  <si>
    <t xml:space="preserve">"mít-094"</t>
  </si>
  <si>
    <t xml:space="preserve">ACT-&gt;ARG0/608,ARG1/11,ARG2/8</t>
  </si>
  <si>
    <t xml:space="preserve">DPHR: za-1[ten.NS4]</t>
  </si>
  <si>
    <t xml:space="preserve">PAT-&gt;ARG1/736,ARG2/2</t>
  </si>
  <si>
    <t xml:space="preserve">"mít-095"</t>
  </si>
  <si>
    <t xml:space="preserve">DPHR: zub:P4[plný:#]</t>
  </si>
  <si>
    <t xml:space="preserve">"mít-096"</t>
  </si>
  <si>
    <t xml:space="preserve">DPHR: klíč.S4</t>
  </si>
  <si>
    <t xml:space="preserve">"mít-097"</t>
  </si>
  <si>
    <t xml:space="preserve">DPHR: na-1[krk.S6]</t>
  </si>
  <si>
    <t xml:space="preserve">"mít-098"</t>
  </si>
  <si>
    <t xml:space="preserve">DPHR: na-1[vodítko.S6]</t>
  </si>
  <si>
    <t xml:space="preserve">"mít-099"</t>
  </si>
  <si>
    <t xml:space="preserve">DPHR: před-1[se.7]</t>
  </si>
  <si>
    <t xml:space="preserve">PAT-&gt;ARG0/1,ARG1/2272</t>
  </si>
  <si>
    <t xml:space="preserve">"mít-100"</t>
  </si>
  <si>
    <t xml:space="preserve">DPHR: v-1[kapsa.S6]</t>
  </si>
  <si>
    <t xml:space="preserve">"mít-101"</t>
  </si>
  <si>
    <t xml:space="preserve">DPHR: za-1[výsledek.S4]</t>
  </si>
  <si>
    <t xml:space="preserve">"mít-102"</t>
  </si>
  <si>
    <t xml:space="preserve">DPHR: dělat.f[co-1.4]</t>
  </si>
  <si>
    <t xml:space="preserve">"mít-103"</t>
  </si>
  <si>
    <t xml:space="preserve">DPHR-&gt;ARG0/1,ARG1/2256</t>
  </si>
  <si>
    <t xml:space="preserve">"mít-104"</t>
  </si>
  <si>
    <t xml:space="preserve">DPHR: dno.S4[zlatý.#]</t>
  </si>
  <si>
    <t xml:space="preserve">"mít-105"</t>
  </si>
  <si>
    <t xml:space="preserve">DPHR: hlava:S4[těžký:#]</t>
  </si>
  <si>
    <t xml:space="preserve">"mít-106"</t>
  </si>
  <si>
    <t xml:space="preserve">DPHR: hluboko,do-1[kapsa:S2]</t>
  </si>
  <si>
    <t xml:space="preserve">"mít-107"</t>
  </si>
  <si>
    <t xml:space="preserve">DPHR: jasno-1</t>
  </si>
  <si>
    <t xml:space="preserve">"mít-108"</t>
  </si>
  <si>
    <t xml:space="preserve">DPHR: klika.S4</t>
  </si>
  <si>
    <t xml:space="preserve">"mít-109"</t>
  </si>
  <si>
    <t xml:space="preserve">DPHR: na-1[vybraný.FS4]</t>
  </si>
  <si>
    <t xml:space="preserve">"mít-110"</t>
  </si>
  <si>
    <t xml:space="preserve">DPHR: namále</t>
  </si>
  <si>
    <t xml:space="preserve">"mít-111"</t>
  </si>
  <si>
    <t xml:space="preserve">DPHR: napilno</t>
  </si>
  <si>
    <t xml:space="preserve">"mít-112"</t>
  </si>
  <si>
    <t xml:space="preserve">DPHR: navrch</t>
  </si>
  <si>
    <t xml:space="preserve">"mít-113"</t>
  </si>
  <si>
    <t xml:space="preserve">DPHR: pět-1.S4[všechen.P2],pohromadě</t>
  </si>
  <si>
    <t xml:space="preserve">"mít-114"</t>
  </si>
  <si>
    <t xml:space="preserve">DPHR: ruka.S4[šťastný.#]</t>
  </si>
  <si>
    <t xml:space="preserve">"mít-115"</t>
  </si>
  <si>
    <t xml:space="preserve">DPHR: slovo.S4</t>
  </si>
  <si>
    <t xml:space="preserve">"mít-116"</t>
  </si>
  <si>
    <t xml:space="preserve">DPHR: střecha.S4[nad-1[hlava.S7]]</t>
  </si>
  <si>
    <t xml:space="preserve">"mít-117"</t>
  </si>
  <si>
    <t xml:space="preserve">ACT-&gt;ARG0/2164,ARG1/19</t>
  </si>
  <si>
    <t xml:space="preserve">DPHR: váha.S4</t>
  </si>
  <si>
    <t xml:space="preserve">DPHR-&gt;ARG0/1,ARG1/2266</t>
  </si>
  <si>
    <t xml:space="preserve">"mít-118"</t>
  </si>
  <si>
    <t xml:space="preserve">"mít-119"</t>
  </si>
  <si>
    <t xml:space="preserve">DPHR: slovo.S4[poslední.@1$11&lt;A&gt;#]</t>
  </si>
  <si>
    <t xml:space="preserve">"mít-120"</t>
  </si>
  <si>
    <t xml:space="preserve">CPHR: {účel}.4</t>
  </si>
  <si>
    <t xml:space="preserve">"mít-121"</t>
  </si>
  <si>
    <t xml:space="preserve">ACT-&gt;ARG0/2182,ARG1/19</t>
  </si>
  <si>
    <t xml:space="preserve">DPHR: dělat:f$11&lt;11&gt;[co-1.S4]</t>
  </si>
  <si>
    <t xml:space="preserve">DPHR-&gt;ARG0/1,ARG1/2261</t>
  </si>
  <si>
    <t xml:space="preserve">"mít-122"</t>
  </si>
  <si>
    <t xml:space="preserve">DPHR: den.S4</t>
  </si>
  <si>
    <t xml:space="preserve">"mít-123"</t>
  </si>
  <si>
    <t xml:space="preserve">DPHR: háček.S4[jen-1,jeden]; háček.S4[jeden]; háček.S4</t>
  </si>
  <si>
    <t xml:space="preserve">"mít-124"</t>
  </si>
  <si>
    <t xml:space="preserve">DPHR: karta.P4[nějaký.#,v-1[ruka.P6]]</t>
  </si>
  <si>
    <t xml:space="preserve">"mít-125"</t>
  </si>
  <si>
    <t xml:space="preserve">DPHR: stránka.S4; stránka.P4</t>
  </si>
  <si>
    <t xml:space="preserve">"mít-126"</t>
  </si>
  <si>
    <t xml:space="preserve">DPHR: v-1[hrst.S6]</t>
  </si>
  <si>
    <t xml:space="preserve">"mít-127"</t>
  </si>
  <si>
    <t xml:space="preserve">DPHR: vítr.S4[v-1[záda.S6]]</t>
  </si>
  <si>
    <t xml:space="preserve">"mít-128"</t>
  </si>
  <si>
    <t xml:space="preserve">DPHR: ruka.P4[volný.#]</t>
  </si>
  <si>
    <t xml:space="preserve">PAT: k+3; pro+4</t>
  </si>
  <si>
    <t xml:space="preserve">"mít-129"</t>
  </si>
  <si>
    <t xml:space="preserve">DPHR: v-1[paty.P6]</t>
  </si>
  <si>
    <t xml:space="preserve">"mít-130"</t>
  </si>
  <si>
    <t xml:space="preserve">DPHR: žaludek.S4</t>
  </si>
  <si>
    <t xml:space="preserve">"mít-131"</t>
  </si>
  <si>
    <t xml:space="preserve">DPHR: ve-1[zvyk.S6]</t>
  </si>
  <si>
    <t xml:space="preserve">ACT-&gt;ARG0/6,ARG1/99</t>
  </si>
  <si>
    <t xml:space="preserve">DPHR-&gt;ARG1/6,ARG2/91</t>
  </si>
  <si>
    <t xml:space="preserve">"mít-132"</t>
  </si>
  <si>
    <t xml:space="preserve">DPHR: vše.NS4,pohromadě</t>
  </si>
  <si>
    <t xml:space="preserve">"mít-133"</t>
  </si>
  <si>
    <t xml:space="preserve">ACT-&gt;ARG0/2342,ARG1/19</t>
  </si>
  <si>
    <t xml:space="preserve">DPHR-&gt;ARG1/180</t>
  </si>
  <si>
    <t xml:space="preserve">"mít-134"</t>
  </si>
  <si>
    <t xml:space="preserve">DPHR: drzost.S4[ten.FS4]</t>
  </si>
  <si>
    <t xml:space="preserve">"mít-135"</t>
  </si>
  <si>
    <t xml:space="preserve">CPHR: {pokyn,...}.4</t>
  </si>
  <si>
    <t xml:space="preserve">"--mít-136"</t>
  </si>
  <si>
    <t xml:space="preserve">CPHR: {starost,strach,...}.4</t>
  </si>
  <si>
    <t xml:space="preserve">"--mít-137"</t>
  </si>
  <si>
    <t xml:space="preserve">CPHR: {sen,...}.4</t>
  </si>
  <si>
    <t xml:space="preserve">"--mít-138"</t>
  </si>
  <si>
    <t xml:space="preserve">CPHR: {ztráta,...}.4</t>
  </si>
  <si>
    <t xml:space="preserve">"--mít-139"</t>
  </si>
  <si>
    <t xml:space="preserve">CPHR: {zvýšení,...}.4</t>
  </si>
  <si>
    <t xml:space="preserve">"--mít-140"</t>
  </si>
  <si>
    <t xml:space="preserve">CPHR: {výdaj,...}.4</t>
  </si>
  <si>
    <t xml:space="preserve">"mít-141"</t>
  </si>
  <si>
    <t xml:space="preserve">"mít-142"</t>
  </si>
  <si>
    <t xml:space="preserve">DPHR: želízko.S4[svůj.#],v-1[oheň.S6]</t>
  </si>
  <si>
    <t xml:space="preserve">"mít-143"</t>
  </si>
  <si>
    <t xml:space="preserve">CPHR: {povolení,souhlas,svolení,...}.4</t>
  </si>
  <si>
    <t xml:space="preserve">"mít-144"</t>
  </si>
  <si>
    <t xml:space="preserve">DPHR: ánung.S4</t>
  </si>
  <si>
    <t xml:space="preserve">"mít-145"</t>
  </si>
  <si>
    <t xml:space="preserve">DPHR: grády.P4</t>
  </si>
  <si>
    <t xml:space="preserve">"mít-146"</t>
  </si>
  <si>
    <t xml:space="preserve">"mít-147"</t>
  </si>
  <si>
    <t xml:space="preserve">"mít-148"</t>
  </si>
  <si>
    <t xml:space="preserve">DPHR: chyba.S4</t>
  </si>
  <si>
    <t xml:space="preserve">"mít-149"</t>
  </si>
  <si>
    <t xml:space="preserve">DPHR: stání.S4</t>
  </si>
  <si>
    <t xml:space="preserve">"mít-150"</t>
  </si>
  <si>
    <t xml:space="preserve">DPHR: v-1[malíku.S]</t>
  </si>
  <si>
    <t xml:space="preserve">"mít-151"</t>
  </si>
  <si>
    <t xml:space="preserve">DPHR: v-1[ruka.S6]</t>
  </si>
  <si>
    <t xml:space="preserve">"mít-152"</t>
  </si>
  <si>
    <t xml:space="preserve">DPHR: hlavu.S4[svůj-1.#]</t>
  </si>
  <si>
    <t xml:space="preserve">"mít-153"</t>
  </si>
  <si>
    <t xml:space="preserve">DPHR: ten.NS4,tak-3</t>
  </si>
  <si>
    <t xml:space="preserve">"mít-154"</t>
  </si>
  <si>
    <t xml:space="preserve">DPHR: vysoko-2,do-1[žlab.S2]</t>
  </si>
  <si>
    <t xml:space="preserve">"mít-155"</t>
  </si>
  <si>
    <t xml:space="preserve">DPHR: zub.P4[plný.#]</t>
  </si>
  <si>
    <t xml:space="preserve">"mít-156"</t>
  </si>
  <si>
    <t xml:space="preserve">DPHR: zapotřebí</t>
  </si>
  <si>
    <t xml:space="preserve">"mít-157"</t>
  </si>
  <si>
    <t xml:space="preserve">DPHR: k-1[se.S3]</t>
  </si>
  <si>
    <t xml:space="preserve">"mít-158"</t>
  </si>
  <si>
    <t xml:space="preserve">DPHR: něco,do-1[se.S2]</t>
  </si>
  <si>
    <t xml:space="preserve">"mít-159"</t>
  </si>
  <si>
    <t xml:space="preserve">DPHR: koníček.P4</t>
  </si>
  <si>
    <t xml:space="preserve">"mít-160"</t>
  </si>
  <si>
    <t xml:space="preserve">CPHR: {sklon,spád,...}.4</t>
  </si>
  <si>
    <t xml:space="preserve">"mít-161"</t>
  </si>
  <si>
    <t xml:space="preserve">DPHR: v-1[láska.S6]</t>
  </si>
  <si>
    <t xml:space="preserve">"--mít-162"</t>
  </si>
  <si>
    <t xml:space="preserve">"mít-163"</t>
  </si>
  <si>
    <t xml:space="preserve">DPHR: pod-1[palec.S7]</t>
  </si>
  <si>
    <t xml:space="preserve">"--mít-164"</t>
  </si>
  <si>
    <t xml:space="preserve">"mít-165"</t>
  </si>
  <si>
    <t xml:space="preserve">DPHR: okno.S4</t>
  </si>
  <si>
    <t xml:space="preserve">"mít-166"</t>
  </si>
  <si>
    <t xml:space="preserve">CPHR: {řeč,slovo,proslov}.4</t>
  </si>
  <si>
    <t xml:space="preserve">"mít-167"</t>
  </si>
  <si>
    <t xml:space="preserve">"mít-168"</t>
  </si>
  <si>
    <t xml:space="preserve">DPHR: nerv.P4</t>
  </si>
  <si>
    <t xml:space="preserve">"mít-169"</t>
  </si>
  <si>
    <t xml:space="preserve">DPHR: a-1[rub.S4,líc,S4]</t>
  </si>
  <si>
    <t xml:space="preserve">"mít-170"</t>
  </si>
  <si>
    <t xml:space="preserve">DPHR: k-1[ruka.S3]</t>
  </si>
  <si>
    <t xml:space="preserve">"mít-171"</t>
  </si>
  <si>
    <t xml:space="preserve">DPHR: na-1[práce.S4]</t>
  </si>
  <si>
    <t xml:space="preserve">"mít-172"</t>
  </si>
  <si>
    <t xml:space="preserve">DPHR: na-1[bedra.P6[svůj-1.#]]</t>
  </si>
  <si>
    <t xml:space="preserve">"mít-173"</t>
  </si>
  <si>
    <t xml:space="preserve">"--mít-174"</t>
  </si>
  <si>
    <t xml:space="preserve">CPHR: {cíl,čas,čest,chuť,mechanismus,možnost,naděje,odvaha,oprávnění,pocit,pochybnost,ponětí,potenciál,potřeba,povědomí,povinnost,právo,pravomoc,představa,přesvědčení,sen,schopnost,síla,sklon,snaha,šance,touha,tušení,úkol,vyhlídka,záměr,závazek,...}.4; zapotřebí</t>
  </si>
  <si>
    <t xml:space="preserve">"mít-175"</t>
  </si>
  <si>
    <t xml:space="preserve">DPHR: pod-1[kontrola.S7]</t>
  </si>
  <si>
    <t xml:space="preserve">"mít-176"</t>
  </si>
  <si>
    <t xml:space="preserve">"mít-177"</t>
  </si>
  <si>
    <t xml:space="preserve">DPHR: ten.NS4,z-1[ruka.S2]</t>
  </si>
  <si>
    <t xml:space="preserve">"mít-178"</t>
  </si>
  <si>
    <t xml:space="preserve">THL: </t>
  </si>
  <si>
    <t xml:space="preserve">"mít-179"</t>
  </si>
  <si>
    <t xml:space="preserve">"mít-180"</t>
  </si>
  <si>
    <t xml:space="preserve">DPHR: pára.S4</t>
  </si>
  <si>
    <t xml:space="preserve">"mít-181"</t>
  </si>
  <si>
    <t xml:space="preserve">DPHR: pamatovák.S4</t>
  </si>
  <si>
    <t xml:space="preserve">"mít-182"</t>
  </si>
  <si>
    <t xml:space="preserve">DPHR: na-1[povel.S4]</t>
  </si>
  <si>
    <t xml:space="preserve">"mít-183"</t>
  </si>
  <si>
    <t xml:space="preserve">DPHR: delat.f[co-1.4]</t>
  </si>
  <si>
    <t xml:space="preserve">"mít-184"</t>
  </si>
  <si>
    <t xml:space="preserve">DPHR: v-1[hlava.6]</t>
  </si>
  <si>
    <t xml:space="preserve">"mít-185"</t>
  </si>
  <si>
    <t xml:space="preserve">"mít-186"</t>
  </si>
  <si>
    <t xml:space="preserve">"mít-187"</t>
  </si>
  <si>
    <t xml:space="preserve">"mít-188"</t>
  </si>
  <si>
    <t xml:space="preserve">"mít-189"</t>
  </si>
  <si>
    <t xml:space="preserve">CPHR: {image,podoba,pověst}.4</t>
  </si>
  <si>
    <t xml:space="preserve">"mít-se-001"</t>
  </si>
  <si>
    <t xml:space="preserve">"mít-se-002"</t>
  </si>
  <si>
    <t xml:space="preserve">ACT-&gt;ARG0/75,ARGm-MNR/2</t>
  </si>
  <si>
    <t xml:space="preserve">"mít-se-003"</t>
  </si>
  <si>
    <t xml:space="preserve">DPHR: na-1[pozor.S6]</t>
  </si>
  <si>
    <t xml:space="preserve">PAT: před+7</t>
  </si>
  <si>
    <t xml:space="preserve">"mít-se-004"</t>
  </si>
  <si>
    <t xml:space="preserve">DPHR: k-1[svět.S3]</t>
  </si>
  <si>
    <t xml:space="preserve">"mít-se-005"</t>
  </si>
  <si>
    <t xml:space="preserve">ACT: s+7</t>
  </si>
  <si>
    <t xml:space="preserve">"mít-se-006"</t>
  </si>
  <si>
    <t xml:space="preserve">"mít-se-007"</t>
  </si>
  <si>
    <t xml:space="preserve">DPHR: rád; raději</t>
  </si>
  <si>
    <t xml:space="preserve">"mívat-001"</t>
  </si>
  <si>
    <t xml:space="preserve">"mívat-002"</t>
  </si>
  <si>
    <t xml:space="preserve">"mívat-003"</t>
  </si>
  <si>
    <t xml:space="preserve">"mívat-004"</t>
  </si>
  <si>
    <t xml:space="preserve">CPHR: {čas,čest,hodnota,chuť,možnost,naděje,potřeba,povinnost,povolení,právo,pravomoc,schopnost,snaha,šance,...}.4</t>
  </si>
  <si>
    <t xml:space="preserve">CPHR-&gt;ARG2/71</t>
  </si>
  <si>
    <t xml:space="preserve">"mívat-005"</t>
  </si>
  <si>
    <t xml:space="preserve">CPHR: {dopad,vliv,...}.4</t>
  </si>
  <si>
    <t xml:space="preserve">"mívat-006"</t>
  </si>
  <si>
    <t xml:space="preserve">CPHR: {důvěra,vztah,...}.4</t>
  </si>
  <si>
    <t xml:space="preserve">"mívat-007"</t>
  </si>
  <si>
    <t xml:space="preserve">CPHR: {důvod,motivace,příležitost,...}.4</t>
  </si>
  <si>
    <t xml:space="preserve">"mívat-008"</t>
  </si>
  <si>
    <t xml:space="preserve">CPHR: {náskok,přednost,respekt,...}.4</t>
  </si>
  <si>
    <t xml:space="preserve">"mívat-009"</t>
  </si>
  <si>
    <t xml:space="preserve">CPHR: {obava,potěšení,strach,...}.4</t>
  </si>
  <si>
    <t xml:space="preserve">"mívat-010"</t>
  </si>
  <si>
    <t xml:space="preserve">CPHR: {pocit,představa,vzpomínka,...}.4</t>
  </si>
  <si>
    <t xml:space="preserve">"mívat-011"</t>
  </si>
  <si>
    <t xml:space="preserve">CPHR: {podíl,zásluha,...}.4</t>
  </si>
  <si>
    <t xml:space="preserve">"mívat-012"</t>
  </si>
  <si>
    <t xml:space="preserve">CPHR: {porucha,potíž,problém,...}.4</t>
  </si>
  <si>
    <t xml:space="preserve">"mívat-013"</t>
  </si>
  <si>
    <t xml:space="preserve">CPHR: {poznámka,připomínka,...}.4</t>
  </si>
  <si>
    <t xml:space="preserve">"mívat-014"</t>
  </si>
  <si>
    <t xml:space="preserve">CPHR: {předpoklad,sklon,tendence,...}.4</t>
  </si>
  <si>
    <t xml:space="preserve">"mívat-015"</t>
  </si>
  <si>
    <t xml:space="preserve">CPHR: {zájem,...}.4</t>
  </si>
  <si>
    <t xml:space="preserve">"mívat-016"</t>
  </si>
  <si>
    <t xml:space="preserve">"mívat-017"</t>
  </si>
  <si>
    <t xml:space="preserve">PAT: 4; ↓když</t>
  </si>
  <si>
    <t xml:space="preserve">"mívat-018"</t>
  </si>
  <si>
    <t xml:space="preserve">"mívat-019"</t>
  </si>
  <si>
    <t xml:space="preserve">"mívat-020"</t>
  </si>
  <si>
    <t xml:space="preserve">EFF: .a4</t>
  </si>
  <si>
    <t xml:space="preserve">"mívat-021"</t>
  </si>
  <si>
    <t xml:space="preserve">DPHR: koníček.P4; koníček.S4</t>
  </si>
  <si>
    <t xml:space="preserve">"mívat-022"</t>
  </si>
  <si>
    <t xml:space="preserve">"mířit-001"</t>
  </si>
  <si>
    <t xml:space="preserve">"mířit-002"</t>
  </si>
  <si>
    <t xml:space="preserve">"mířit-003"</t>
  </si>
  <si>
    <t xml:space="preserve">ACT-&gt;ARG0/57,ARG1/36</t>
  </si>
  <si>
    <t xml:space="preserve">ACT-&gt;ARG0/68,ARG1/2</t>
  </si>
  <si>
    <t xml:space="preserve">DIR3-&gt;ARG1/21</t>
  </si>
  <si>
    <t xml:space="preserve">"mířit-004"</t>
  </si>
  <si>
    <t xml:space="preserve">ACT-&gt;ARG0/6,ARG1/306,ARG2/3</t>
  </si>
  <si>
    <t xml:space="preserve">DIR3-&gt;ARG1/2,ARG2/352</t>
  </si>
  <si>
    <t xml:space="preserve">"mířit-005"</t>
  </si>
  <si>
    <t xml:space="preserve">"mýlit-001"</t>
  </si>
  <si>
    <t xml:space="preserve">"mýlit-se-001"</t>
  </si>
  <si>
    <t xml:space="preserve">ACT-&gt;ARG0/5,ARG1/8</t>
  </si>
  <si>
    <t xml:space="preserve">"mýt-001"</t>
  </si>
  <si>
    <t xml:space="preserve">PAT-&gt;ARG1/34,ARG2/2</t>
  </si>
  <si>
    <t xml:space="preserve">"měnit-001"</t>
  </si>
  <si>
    <t xml:space="preserve">ACT-&gt;ARG0/120,ARG1/2</t>
  </si>
  <si>
    <t xml:space="preserve">PAT-&gt;ARG1/73,ARG2/1</t>
  </si>
  <si>
    <t xml:space="preserve">PAT-&gt;ARG1/239,ARG2/1,ARG3/5</t>
  </si>
  <si>
    <t xml:space="preserve">ADDR-&gt;ARG0/1,ARG2/4</t>
  </si>
  <si>
    <t xml:space="preserve">EFF-&gt;ARG1/1,ARG3/19</t>
  </si>
  <si>
    <t xml:space="preserve">EFF-&gt;ARG1/190,ARG2/71,ARG3/35</t>
  </si>
  <si>
    <t xml:space="preserve">"měnit-002"</t>
  </si>
  <si>
    <t xml:space="preserve">ACT-&gt;ARG0/164,ARG1/70</t>
  </si>
  <si>
    <t xml:space="preserve">PAT-&gt;ARG0/1,ARG1/371,ARG2/1</t>
  </si>
  <si>
    <t xml:space="preserve">ORIG-&gt;ARG2/8,ARG3/9</t>
  </si>
  <si>
    <t xml:space="preserve">?EFF: na+4; v+4; do+2</t>
  </si>
  <si>
    <t xml:space="preserve">EFF-&gt;ARG1/3,ARG2/87</t>
  </si>
  <si>
    <t xml:space="preserve">"měnit-003"</t>
  </si>
  <si>
    <t xml:space="preserve">ACT-&gt;ARG0/101,ARG1/2</t>
  </si>
  <si>
    <t xml:space="preserve">PAT-&gt;ARG1/166</t>
  </si>
  <si>
    <t xml:space="preserve">ORIG-&gt;ARG3/5</t>
  </si>
  <si>
    <t xml:space="preserve">"měnit-004"</t>
  </si>
  <si>
    <t xml:space="preserve">ACT-&gt;ARG0/113,ARG1/3</t>
  </si>
  <si>
    <t xml:space="preserve">ACT-&gt;ARG0/24,ARG2/8</t>
  </si>
  <si>
    <t xml:space="preserve">PAT-&gt;ARG1/192,ARG2/1</t>
  </si>
  <si>
    <t xml:space="preserve">PAT-&gt;ARG1/68</t>
  </si>
  <si>
    <t xml:space="preserve">EFF-&gt;ARG1/1,ARG2/26</t>
  </si>
  <si>
    <t xml:space="preserve">EFF-&gt;ARG1/2,ARG2/20,ARG3/6</t>
  </si>
  <si>
    <t xml:space="preserve">"měnit-se-001"</t>
  </si>
  <si>
    <t xml:space="preserve">ACT-&gt;ARG0/3,ARG1/579,ARG2/6</t>
  </si>
  <si>
    <t xml:space="preserve">ACT-&gt;ARG0/1,ARG1/135,ARG2/2</t>
  </si>
  <si>
    <t xml:space="preserve">ACT-&gt;ARG0/2,ARG1/678,ARG2/8</t>
  </si>
  <si>
    <t xml:space="preserve">PAT: v+4; na+4; do+2</t>
  </si>
  <si>
    <t xml:space="preserve">PAT-&gt;ARG1/2,ARG2/515</t>
  </si>
  <si>
    <t xml:space="preserve">PAT-&gt;ARG1/2,ARG2/35</t>
  </si>
  <si>
    <t xml:space="preserve">PAT-&gt;ARG1/4,ARG2/552</t>
  </si>
  <si>
    <t xml:space="preserve">ORIG-&gt;ARG3/3</t>
  </si>
  <si>
    <t xml:space="preserve">ORIG-&gt;ARG2/1,ARG3/4</t>
  </si>
  <si>
    <t xml:space="preserve">ORIG-&gt;ARG2/2,ARG3/7</t>
  </si>
  <si>
    <t xml:space="preserve">"měnit-se-002"</t>
  </si>
  <si>
    <t xml:space="preserve">"měnit-se-003"</t>
  </si>
  <si>
    <t xml:space="preserve">ACT-&gt;ARG0/5,ARG1/258</t>
  </si>
  <si>
    <t xml:space="preserve">ACT-&gt;ARG0/1,ARG1/75</t>
  </si>
  <si>
    <t xml:space="preserve">"měřit-001"</t>
  </si>
  <si>
    <t xml:space="preserve">"měřit-002"</t>
  </si>
  <si>
    <t xml:space="preserve">ACT-&gt;ARG0/6,ARG2/16</t>
  </si>
  <si>
    <t xml:space="preserve">"měřit-003"</t>
  </si>
  <si>
    <t xml:space="preserve">ACT-&gt;ARG0/58,ARG1/325,ARG2/2</t>
  </si>
  <si>
    <t xml:space="preserve">EXT-&gt;ARG3/5</t>
  </si>
  <si>
    <t xml:space="preserve">EXT-&gt;ARG0/3,ARG1/52,ARG2/405,ARG3/22</t>
  </si>
  <si>
    <t xml:space="preserve">"měřit-004"</t>
  </si>
  <si>
    <t xml:space="preserve">"mžourat-001"</t>
  </si>
  <si>
    <t xml:space="preserve">"mžít-001"</t>
  </si>
  <si>
    <t xml:space="preserve">"mžít-002"</t>
  </si>
  <si>
    <t xml:space="preserve">"naakumulovat-001"</t>
  </si>
  <si>
    <t xml:space="preserve">"naaranžovat-001"</t>
  </si>
  <si>
    <t xml:space="preserve">"nabalit-001"</t>
  </si>
  <si>
    <t xml:space="preserve">"nabalovat-001"</t>
  </si>
  <si>
    <t xml:space="preserve">DPHR: na-1[se.4$2&lt;6&gt;]</t>
  </si>
  <si>
    <t xml:space="preserve">"nabalovat-se-001"</t>
  </si>
  <si>
    <t xml:space="preserve">"nabalovat-se-002"</t>
  </si>
  <si>
    <t xml:space="preserve">"nabančit-001"</t>
  </si>
  <si>
    <t xml:space="preserve">"nabarvit-001"</t>
  </si>
  <si>
    <t xml:space="preserve">"nabažit-se-001"</t>
  </si>
  <si>
    <t xml:space="preserve">"nablbnout-se-001"</t>
  </si>
  <si>
    <t xml:space="preserve">"nablít-001"</t>
  </si>
  <si>
    <t xml:space="preserve">"nabobtnat-001"</t>
  </si>
  <si>
    <t xml:space="preserve">ACT-&gt;ARG0/10,ARG1/1902,ARG2/8</t>
  </si>
  <si>
    <t xml:space="preserve">PAT-&gt;ARG4/8</t>
  </si>
  <si>
    <t xml:space="preserve">ORIG-&gt;ARG3/2</t>
  </si>
  <si>
    <t xml:space="preserve">"nabourat-001"</t>
  </si>
  <si>
    <t xml:space="preserve">"nabourat-002"</t>
  </si>
  <si>
    <t xml:space="preserve">"nabourat-se-001"</t>
  </si>
  <si>
    <t xml:space="preserve">"nabourat-se-002"</t>
  </si>
  <si>
    <t xml:space="preserve">"nabourávat-001"</t>
  </si>
  <si>
    <t xml:space="preserve">"nabořit-001"</t>
  </si>
  <si>
    <t xml:space="preserve">"nabrat-001"</t>
  </si>
  <si>
    <t xml:space="preserve">ACT-&gt;ARG0/15,ARG1/238</t>
  </si>
  <si>
    <t xml:space="preserve">PAT-&gt;ARG1/31,ARG2/6,ARG4/205</t>
  </si>
  <si>
    <t xml:space="preserve">"nabrat-002"</t>
  </si>
  <si>
    <t xml:space="preserve">"nabrat-003"</t>
  </si>
  <si>
    <t xml:space="preserve">"nabrat-004"</t>
  </si>
  <si>
    <t xml:space="preserve">DPHR: na-1[roh.P4]</t>
  </si>
  <si>
    <t xml:space="preserve">"nabrat-005"</t>
  </si>
  <si>
    <t xml:space="preserve">"nabrousit-001"</t>
  </si>
  <si>
    <t xml:space="preserve">"nabádat-001"</t>
  </si>
  <si>
    <t xml:space="preserve">ACT-&gt;ARG0/302,ARG1/2</t>
  </si>
  <si>
    <t xml:space="preserve">ADDR-&gt;ARG1/2,ARG2/323</t>
  </si>
  <si>
    <t xml:space="preserve">?PAT: k+3; ↓aby; ↓ať; .s; ↓c; .f</t>
  </si>
  <si>
    <t xml:space="preserve">PAT-&gt;ARG1/342</t>
  </si>
  <si>
    <t xml:space="preserve">ACT-&gt;ARG0/12353,ARG1/36</t>
  </si>
  <si>
    <t xml:space="preserve">ADDR-&gt;ARG1/198,ARG2/20</t>
  </si>
  <si>
    <t xml:space="preserve">PAT-&gt;ARG0/2,ARG1/10571,ARG2/232,ARG3/1</t>
  </si>
  <si>
    <t xml:space="preserve">"nabídnout-001"</t>
  </si>
  <si>
    <t xml:space="preserve">PAT: 4; .f; ↓že; ↓aby; ↓ať; ↓jestli</t>
  </si>
  <si>
    <t xml:space="preserve">ACT-&gt;ARG0/1514,ARG1/22</t>
  </si>
  <si>
    <t xml:space="preserve">ACT-&gt;ARG0/840,ARG1/2,ARG2/1</t>
  </si>
  <si>
    <t xml:space="preserve">PAT-&gt;ARG0/1,ARG1/2079,ARG2/54,ARG3/1</t>
  </si>
  <si>
    <t xml:space="preserve">PAT-&gt;ARG1/1183,ARG2/55,ARG3/1</t>
  </si>
  <si>
    <t xml:space="preserve">ADDR-&gt;ARG1/27,ARG2/491,ARG3/91</t>
  </si>
  <si>
    <t xml:space="preserve">ADDR-&gt;ARG1/38,ARG2/322,ARG3/86</t>
  </si>
  <si>
    <t xml:space="preserve">EFF-&gt;ARG1/68,ARG2/5</t>
  </si>
  <si>
    <t xml:space="preserve">"nabídnout-se-001"</t>
  </si>
  <si>
    <t xml:space="preserve">ACT-&gt;ARG0/288,ARG1/2</t>
  </si>
  <si>
    <t xml:space="preserve">PAT: .f; s+7,že[.v]</t>
  </si>
  <si>
    <t xml:space="preserve">PAT-&gt;ARG1/386,ARG2/2,ARG3/1</t>
  </si>
  <si>
    <t xml:space="preserve">ADDR-&gt;ARG1/2,ARG2/1,ARG3/78</t>
  </si>
  <si>
    <t xml:space="preserve">"nabíhat-001"</t>
  </si>
  <si>
    <t xml:space="preserve">"nabíhat-002"</t>
  </si>
  <si>
    <t xml:space="preserve">"nabírat-001"</t>
  </si>
  <si>
    <t xml:space="preserve">"nabírat-002"</t>
  </si>
  <si>
    <t xml:space="preserve">PAT: 4; na+6</t>
  </si>
  <si>
    <t xml:space="preserve">"nabírat-003"</t>
  </si>
  <si>
    <t xml:space="preserve">"nabírat-004"</t>
  </si>
  <si>
    <t xml:space="preserve">"nabít-001"</t>
  </si>
  <si>
    <t xml:space="preserve">?EFF: 7</t>
  </si>
  <si>
    <t xml:space="preserve">"nabít-002"</t>
  </si>
  <si>
    <t xml:space="preserve">"nabízet-001"</t>
  </si>
  <si>
    <t xml:space="preserve">ACT-&gt;ARG0/1342,ARG1/11</t>
  </si>
  <si>
    <t xml:space="preserve">PAT-&gt;ARG0/2,ARG1/2317,ARG2/60,ARG3/1</t>
  </si>
  <si>
    <t xml:space="preserve">ADDR-&gt;ARG1/33,ARG2/596,ARG3/86</t>
  </si>
  <si>
    <t xml:space="preserve">EFF-&gt;ARG1/28,ARG2/108</t>
  </si>
  <si>
    <t xml:space="preserve">"nabízet-se-001"</t>
  </si>
  <si>
    <t xml:space="preserve">ACT: 1; .f; ↓c</t>
  </si>
  <si>
    <t xml:space="preserve">ACT-&gt;ARG0/31,ARG1/3102,ARG2/296</t>
  </si>
  <si>
    <t xml:space="preserve">"nabízet-se-002"</t>
  </si>
  <si>
    <t xml:space="preserve">CPHR: {možnost,řešení,spolupráce,...}.1</t>
  </si>
  <si>
    <t xml:space="preserve">?ACT: 3</t>
  </si>
  <si>
    <t xml:space="preserve">"nabýt-001"</t>
  </si>
  <si>
    <t xml:space="preserve">ACT-&gt;ARG0/323,ARG1/603,ARG2/9</t>
  </si>
  <si>
    <t xml:space="preserve">PAT-&gt;ARG1/385,ARG2/561,ARG4/14</t>
  </si>
  <si>
    <t xml:space="preserve">"nabýt-002"</t>
  </si>
  <si>
    <t xml:space="preserve">ACT-&gt;ARG0/2,ARG1/182</t>
  </si>
  <si>
    <t xml:space="preserve">"nabýt-003"</t>
  </si>
  <si>
    <t xml:space="preserve">ACT-&gt;ARG1/427,ARG2/6</t>
  </si>
  <si>
    <t xml:space="preserve">CPHR: {dojem,přesvědčení,...}.2; {dojem,přesvědčení,...}.4</t>
  </si>
  <si>
    <t xml:space="preserve">CPHR-&gt;ARG2/473</t>
  </si>
  <si>
    <t xml:space="preserve">"nabývat-001"</t>
  </si>
  <si>
    <t xml:space="preserve">ACT-&gt;ARG0/44,ARG1/3102,ARG2/296</t>
  </si>
  <si>
    <t xml:space="preserve">PAT-&gt;ARG1/159,ARG2/3451</t>
  </si>
  <si>
    <t xml:space="preserve">"nabývat-002"</t>
  </si>
  <si>
    <t xml:space="preserve">ACT-&gt;ARG1/298,ARG2/5</t>
  </si>
  <si>
    <t xml:space="preserve">PAT-&gt;ARG2/141</t>
  </si>
  <si>
    <t xml:space="preserve">"naběhat-001"</t>
  </si>
  <si>
    <t xml:space="preserve">"naběhat-se-001"</t>
  </si>
  <si>
    <t xml:space="preserve">"naběhnout-001"</t>
  </si>
  <si>
    <t xml:space="preserve">"nacestovat-se-001"</t>
  </si>
  <si>
    <t xml:space="preserve">"nachladit-se-001"</t>
  </si>
  <si>
    <t xml:space="preserve">"nachmelit-se-001"</t>
  </si>
  <si>
    <t xml:space="preserve">"nachodit-001"</t>
  </si>
  <si>
    <t xml:space="preserve">"nachromovat-001"</t>
  </si>
  <si>
    <t xml:space="preserve">"nachystat-001"</t>
  </si>
  <si>
    <t xml:space="preserve">ACT-&gt;ARG0/14,ARG1/3</t>
  </si>
  <si>
    <t xml:space="preserve">ACT-&gt;ARG0/559,ARG1/8</t>
  </si>
  <si>
    <t xml:space="preserve">PAT-&gt;ARG2/22</t>
  </si>
  <si>
    <t xml:space="preserve">PAT-&gt;ARG1/633,ARG2/51</t>
  </si>
  <si>
    <t xml:space="preserve">"nachystat-002"</t>
  </si>
  <si>
    <t xml:space="preserve">"nachytat-001"</t>
  </si>
  <si>
    <t xml:space="preserve">ADDR-&gt;ARG1/121,ARG2/1</t>
  </si>
  <si>
    <t xml:space="preserve">?PAT: k+3; .f; ↓aby; ↓ať</t>
  </si>
  <si>
    <t xml:space="preserve">"nachytat-002"</t>
  </si>
  <si>
    <t xml:space="preserve">"nachytat-se-001"</t>
  </si>
  <si>
    <t xml:space="preserve">"nachytat-se-002"</t>
  </si>
  <si>
    <t xml:space="preserve">"nacházet-001"</t>
  </si>
  <si>
    <t xml:space="preserve">ACT-&gt;ARG0/282,ARG1/2</t>
  </si>
  <si>
    <t xml:space="preserve">ACT-&gt;ARG0/291,ARG1/2</t>
  </si>
  <si>
    <t xml:space="preserve">PAT-&gt;ARG0/3,ARG1/380,ARG2/1</t>
  </si>
  <si>
    <t xml:space="preserve">PAT-&gt;ARG0/1,ARG1/397</t>
  </si>
  <si>
    <t xml:space="preserve">"nacházet-002"</t>
  </si>
  <si>
    <t xml:space="preserve">CPHR: {odezva,odvaha,potěšení,příležitost,řešení,uplatnění,východisko,zájem,...}.4</t>
  </si>
  <si>
    <t xml:space="preserve">CPHR-&gt;ARG1/20,ARG3/1</t>
  </si>
  <si>
    <t xml:space="preserve">"nacházet-se-001"</t>
  </si>
  <si>
    <t xml:space="preserve">ACT-&gt;ARG0/55,ARG1/379,ARG2/3</t>
  </si>
  <si>
    <t xml:space="preserve">ACT-&gt;ARG0/57,ARG1/63,ARG2/1</t>
  </si>
  <si>
    <t xml:space="preserve">ACT-&gt;ARG0/57,ARG1/65,ARG2/1</t>
  </si>
  <si>
    <t xml:space="preserve">LOC-&gt;ARG1/62,ARG2/370</t>
  </si>
  <si>
    <t xml:space="preserve">LOC-&gt;ARG1/59</t>
  </si>
  <si>
    <t xml:space="preserve">"nacházet-se-002"</t>
  </si>
  <si>
    <t xml:space="preserve">ACT-&gt;ARG0/55,ARG1/1082,ARG2/3</t>
  </si>
  <si>
    <t xml:space="preserve">LOC-&gt;ARG0/180,ARG1/71,ARG2/279,ARGm-LOC/23</t>
  </si>
  <si>
    <t xml:space="preserve">"nachýlit-001"</t>
  </si>
  <si>
    <t xml:space="preserve">"nacouvat-001"</t>
  </si>
  <si>
    <t xml:space="preserve">"nacpat-001"</t>
  </si>
  <si>
    <t xml:space="preserve">ACT-&gt;ARG0/5,ARG2/4</t>
  </si>
  <si>
    <t xml:space="preserve">EFF-&gt;ARG0/1,ARG1/7,ARG2/1</t>
  </si>
  <si>
    <t xml:space="preserve">"nacpat-002"</t>
  </si>
  <si>
    <t xml:space="preserve">PAT-&gt;ARG0/1,ARG1/7,ARG2/1</t>
  </si>
  <si>
    <t xml:space="preserve">DIR3-&gt;ARG1/4</t>
  </si>
  <si>
    <t xml:space="preserve">"nacvičit-001"</t>
  </si>
  <si>
    <t xml:space="preserve">ACT-&gt;ARG0/158,ARG1/1</t>
  </si>
  <si>
    <t xml:space="preserve">PAT-&gt;ARG1/196</t>
  </si>
  <si>
    <t xml:space="preserve">"nacvičovat-001"</t>
  </si>
  <si>
    <t xml:space="preserve">"nadat-001"</t>
  </si>
  <si>
    <t xml:space="preserve">"nadat-002"</t>
  </si>
  <si>
    <t xml:space="preserve">"nadbíhat-001"</t>
  </si>
  <si>
    <t xml:space="preserve">ACT-&gt;ARG0/13,ARG1/2</t>
  </si>
  <si>
    <t xml:space="preserve">PAT-&gt;ARG1/18,ARG2/4</t>
  </si>
  <si>
    <t xml:space="preserve">"nadbízet-001"</t>
  </si>
  <si>
    <t xml:space="preserve">"nadcenit-001"</t>
  </si>
  <si>
    <t xml:space="preserve">"nadchnout-001"</t>
  </si>
  <si>
    <t xml:space="preserve">ACT-&gt;ARG0/599,ARG1/7</t>
  </si>
  <si>
    <t xml:space="preserve">ACT-&gt;ARG0/13,ARG2/1</t>
  </si>
  <si>
    <t xml:space="preserve">PAT-&gt;ARG0/4,ARG1/624</t>
  </si>
  <si>
    <t xml:space="preserve">"nadchnout-se-001"</t>
  </si>
  <si>
    <t xml:space="preserve">"nadcházet-001"</t>
  </si>
  <si>
    <t xml:space="preserve">"nadechnout-se-001"</t>
  </si>
  <si>
    <t xml:space="preserve">"nadejít-001"</t>
  </si>
  <si>
    <t xml:space="preserve">ACT-&gt;ARG1/522,ARG2/3457</t>
  </si>
  <si>
    <t xml:space="preserve">"nadhazovat-001"</t>
  </si>
  <si>
    <t xml:space="preserve">"nadhodit-001"</t>
  </si>
  <si>
    <t xml:space="preserve">PAT: 4; ↓že; ↓zda; ↓c; ↓aby; ↓ať; .s</t>
  </si>
  <si>
    <t xml:space="preserve">"nadhodit-002"</t>
  </si>
  <si>
    <t xml:space="preserve">"nadhodnocovat-001"</t>
  </si>
  <si>
    <t xml:space="preserve">"nadhodnotit-001"</t>
  </si>
  <si>
    <t xml:space="preserve">"nadiktovat-001"</t>
  </si>
  <si>
    <t xml:space="preserve">"nadlehčit-001"</t>
  </si>
  <si>
    <t xml:space="preserve">"nadlábnout-se-001"</t>
  </si>
  <si>
    <t xml:space="preserve">"nadnášet-001"</t>
  </si>
  <si>
    <t xml:space="preserve">"nadnášet-002"</t>
  </si>
  <si>
    <t xml:space="preserve">"nadnášet-003"</t>
  </si>
  <si>
    <t xml:space="preserve">"nadnést-001"</t>
  </si>
  <si>
    <t xml:space="preserve">ACT-&gt;ARG0/67,ARG1/2</t>
  </si>
  <si>
    <t xml:space="preserve">"nadnést-002"</t>
  </si>
  <si>
    <t xml:space="preserve">"nadrobit-001"</t>
  </si>
  <si>
    <t xml:space="preserve">"nadržovat-001"</t>
  </si>
  <si>
    <t xml:space="preserve">"nadsadit-001"</t>
  </si>
  <si>
    <t xml:space="preserve">"nadsazovat-001"</t>
  </si>
  <si>
    <t xml:space="preserve">"nadskočit-001"</t>
  </si>
  <si>
    <t xml:space="preserve">"nadužít-001"</t>
  </si>
  <si>
    <t xml:space="preserve">"nadzajistit-001"</t>
  </si>
  <si>
    <t xml:space="preserve">"nadzdvihnout-001"</t>
  </si>
  <si>
    <t xml:space="preserve">"nadzvednout-001"</t>
  </si>
  <si>
    <t xml:space="preserve">"nadzvedávat-001"</t>
  </si>
  <si>
    <t xml:space="preserve">"nadát-se-001"</t>
  </si>
  <si>
    <t xml:space="preserve">"nadávat-001"</t>
  </si>
  <si>
    <t xml:space="preserve">"nadávat-002"</t>
  </si>
  <si>
    <t xml:space="preserve">?PAT: do+2; ↓že; ↓c</t>
  </si>
  <si>
    <t xml:space="preserve">"nadít-001"</t>
  </si>
  <si>
    <t xml:space="preserve">"nadýchat-se-001"</t>
  </si>
  <si>
    <t xml:space="preserve">"nadělat-001"</t>
  </si>
  <si>
    <t xml:space="preserve">ACT-&gt;ARG0/151,ARG1/2,ARG3/1</t>
  </si>
  <si>
    <t xml:space="preserve">ADDR-&gt;ARG1/3,ARG2/14,ARG3/1,ARG4/79</t>
  </si>
  <si>
    <t xml:space="preserve">"nadělat-002"</t>
  </si>
  <si>
    <t xml:space="preserve">"nadělat-003"</t>
  </si>
  <si>
    <t xml:space="preserve">"nadělat-004"</t>
  </si>
  <si>
    <t xml:space="preserve">"nadělat-se-001"</t>
  </si>
  <si>
    <t xml:space="preserve">"nadělat-se-002"</t>
  </si>
  <si>
    <t xml:space="preserve">"nadělit-001"</t>
  </si>
  <si>
    <t xml:space="preserve">"nadřadit-001"</t>
  </si>
  <si>
    <t xml:space="preserve">"nadřít-se-001"</t>
  </si>
  <si>
    <t xml:space="preserve">"nafackovat-001"</t>
  </si>
  <si>
    <t xml:space="preserve">PAT: 3; 4</t>
  </si>
  <si>
    <t xml:space="preserve">"nafasovat-001"</t>
  </si>
  <si>
    <t xml:space="preserve">"nafaxovat-001"</t>
  </si>
  <si>
    <t xml:space="preserve">EFF: 4; ↓že; ↓aby; .s; ↓c</t>
  </si>
  <si>
    <t xml:space="preserve">"nafilmovat-001"</t>
  </si>
  <si>
    <t xml:space="preserve">"nafilmovat-002"</t>
  </si>
  <si>
    <t xml:space="preserve">"nafotit-001"</t>
  </si>
  <si>
    <t xml:space="preserve">"nafouknout-001"</t>
  </si>
  <si>
    <t xml:space="preserve">ACT-&gt;ARG0/280,ARG1/6</t>
  </si>
  <si>
    <t xml:space="preserve">PAT-&gt;ARG1/504,ARG2/1,ARG4/6</t>
  </si>
  <si>
    <t xml:space="preserve">ORIG-&gt;ARG3/43</t>
  </si>
  <si>
    <t xml:space="preserve">EFF-&gt;ARG4/2</t>
  </si>
  <si>
    <t xml:space="preserve">EFF-&gt;ARG2/4,ARG4/94</t>
  </si>
  <si>
    <t xml:space="preserve">"nafouknout-002"</t>
  </si>
  <si>
    <t xml:space="preserve">"nafouknout-003"</t>
  </si>
  <si>
    <t xml:space="preserve">"nafukovat-001"</t>
  </si>
  <si>
    <t xml:space="preserve">"nahazovat-001"</t>
  </si>
  <si>
    <t xml:space="preserve">"nahazovat-002"</t>
  </si>
  <si>
    <t xml:space="preserve">"nahlašovat-001"</t>
  </si>
  <si>
    <t xml:space="preserve">"nahlašovat-002"</t>
  </si>
  <si>
    <t xml:space="preserve">"nahledat-se-001"</t>
  </si>
  <si>
    <t xml:space="preserve">"nahlodat-001"</t>
  </si>
  <si>
    <t xml:space="preserve">ACT-&gt;ARG0/252,ARG2/83</t>
  </si>
  <si>
    <t xml:space="preserve">"nahlásit-001"</t>
  </si>
  <si>
    <t xml:space="preserve">ACT-&gt;ARG0/521,ARG1/1</t>
  </si>
  <si>
    <t xml:space="preserve">PAT-&gt;ARG1/575,ARG2/2</t>
  </si>
  <si>
    <t xml:space="preserve">"nahlásit-002"</t>
  </si>
  <si>
    <t xml:space="preserve">"nahlédnout-001"</t>
  </si>
  <si>
    <t xml:space="preserve">"nahlédnout-002"</t>
  </si>
  <si>
    <t xml:space="preserve">"nahlédnout-003"</t>
  </si>
  <si>
    <t xml:space="preserve">"nahlížet-001"</t>
  </si>
  <si>
    <t xml:space="preserve">BEN-&gt;ARG1/3,ARG2/156</t>
  </si>
  <si>
    <t xml:space="preserve">MANN-&gt;ARG2/68</t>
  </si>
  <si>
    <t xml:space="preserve">MEANS-&gt;ARG1/3,ARG2/156</t>
  </si>
  <si>
    <t xml:space="preserve">"nahlížet-002"</t>
  </si>
  <si>
    <t xml:space="preserve">"nahnat-001"</t>
  </si>
  <si>
    <t xml:space="preserve">"nahnat-002"</t>
  </si>
  <si>
    <t xml:space="preserve">"nahodit-001"</t>
  </si>
  <si>
    <t xml:space="preserve">"nahodit-002"</t>
  </si>
  <si>
    <t xml:space="preserve">"nahodit-003"</t>
  </si>
  <si>
    <t xml:space="preserve">"nahodit-004"</t>
  </si>
  <si>
    <t xml:space="preserve">"nahrabat-001"</t>
  </si>
  <si>
    <t xml:space="preserve">"nahradit-001"</t>
  </si>
  <si>
    <t xml:space="preserve">"nahradit-002"</t>
  </si>
  <si>
    <t xml:space="preserve">ACT-&gt;ARG0/140,ARG2/29</t>
  </si>
  <si>
    <t xml:space="preserve">PAT-&gt;ARG1/245,ARG2/1</t>
  </si>
  <si>
    <t xml:space="preserve">?EFF: 7; za+4</t>
  </si>
  <si>
    <t xml:space="preserve">"nahradit-003"</t>
  </si>
  <si>
    <t xml:space="preserve">ACT-&gt;ARG0/332,ARG1/3127,ARG2/325</t>
  </si>
  <si>
    <t xml:space="preserve">ACT-&gt;ARG0/114,ARG2/21</t>
  </si>
  <si>
    <t xml:space="preserve">PAT-&gt;ARG1/351,ARG2/3452</t>
  </si>
  <si>
    <t xml:space="preserve">PAT-&gt;ARG1/173,ARG2/1</t>
  </si>
  <si>
    <t xml:space="preserve">"nahrazovat-001"</t>
  </si>
  <si>
    <t xml:space="preserve">"nahrazovat-002"</t>
  </si>
  <si>
    <t xml:space="preserve">ACT-&gt;ARG0/130,ARG2/8</t>
  </si>
  <si>
    <t xml:space="preserve">PAT-&gt;ARG1/227,ARG2/1</t>
  </si>
  <si>
    <t xml:space="preserve">EFF-&gt;ARG0/3,ARG2/41</t>
  </si>
  <si>
    <t xml:space="preserve">"nahrazovat-003"</t>
  </si>
  <si>
    <t xml:space="preserve">ACT-&gt;ARG0/131,ARG1/10,ARG2/29</t>
  </si>
  <si>
    <t xml:space="preserve">PAT-&gt;ARG1/227,ARG2/1,ARG3/6</t>
  </si>
  <si>
    <t xml:space="preserve">"nahromadit-001"</t>
  </si>
  <si>
    <t xml:space="preserve">"nahromadit-se-001"</t>
  </si>
  <si>
    <t xml:space="preserve">ACT-&gt;ARG0/15,ARG1/20,ARG2/5</t>
  </si>
  <si>
    <t xml:space="preserve">ACT-&gt;ARG0/15,ARG1/22,ARG2/5</t>
  </si>
  <si>
    <t xml:space="preserve">"nahrát-001"</t>
  </si>
  <si>
    <t xml:space="preserve">"nahrát-002"</t>
  </si>
  <si>
    <t xml:space="preserve">"nahrát-003"</t>
  </si>
  <si>
    <t xml:space="preserve">ACT-&gt;ARG0/70</t>
  </si>
  <si>
    <t xml:space="preserve">PAT-&gt;ARG1/105</t>
  </si>
  <si>
    <t xml:space="preserve">"nahrát-004"</t>
  </si>
  <si>
    <t xml:space="preserve">ACT-&gt;ARG0/96</t>
  </si>
  <si>
    <t xml:space="preserve">ADDR-&gt;ARG1/144</t>
  </si>
  <si>
    <t xml:space="preserve">?PAT: 4; s+7; v+6</t>
  </si>
  <si>
    <t xml:space="preserve">"nahrát-005"</t>
  </si>
  <si>
    <t xml:space="preserve">"nahrát-006"</t>
  </si>
  <si>
    <t xml:space="preserve">"nahrávat-001"</t>
  </si>
  <si>
    <t xml:space="preserve">"nahrávat-002"</t>
  </si>
  <si>
    <t xml:space="preserve">"nahrávat-003"</t>
  </si>
  <si>
    <t xml:space="preserve">ACT-&gt;ARG0/49,ARG1/2261,ARG2/1</t>
  </si>
  <si>
    <t xml:space="preserve">ADDR-&gt;ARG0/2154,ARG1/57</t>
  </si>
  <si>
    <t xml:space="preserve">"nahánět-001"</t>
  </si>
  <si>
    <t xml:space="preserve">"naházet-001"</t>
  </si>
  <si>
    <t xml:space="preserve">"nahřát-001"</t>
  </si>
  <si>
    <t xml:space="preserve">"nainstalovat-001"</t>
  </si>
  <si>
    <t xml:space="preserve">"nainstalovat-002"</t>
  </si>
  <si>
    <t xml:space="preserve">"najet-001"</t>
  </si>
  <si>
    <t xml:space="preserve">"najet-002"</t>
  </si>
  <si>
    <t xml:space="preserve">"najet-003"</t>
  </si>
  <si>
    <t xml:space="preserve">ACT-&gt;ARG0/21,ARG1/11,ARG2/23</t>
  </si>
  <si>
    <t xml:space="preserve">"najezdit-001"</t>
  </si>
  <si>
    <t xml:space="preserve">"najezdit-se-001"</t>
  </si>
  <si>
    <t xml:space="preserve">"--najezdit-se-002"</t>
  </si>
  <si>
    <t xml:space="preserve">"najmout-001"</t>
  </si>
  <si>
    <t xml:space="preserve">PAT-&gt;ARG1/237,ARG2/2</t>
  </si>
  <si>
    <t xml:space="preserve">PAT-&gt;ARG1/171,ARG2/3</t>
  </si>
  <si>
    <t xml:space="preserve">"najímat-001"</t>
  </si>
  <si>
    <t xml:space="preserve">ACT-&gt;ARG0/124</t>
  </si>
  <si>
    <t xml:space="preserve">PAT-&gt;ARG1/180,ARG2/2</t>
  </si>
  <si>
    <t xml:space="preserve">"najíst-se-001"</t>
  </si>
  <si>
    <t xml:space="preserve">"najít-001"</t>
  </si>
  <si>
    <t xml:space="preserve">"najít-002"</t>
  </si>
  <si>
    <t xml:space="preserve">ACT-&gt;ARG0/2906,ARG1/24,ARG2/427</t>
  </si>
  <si>
    <t xml:space="preserve">PAT-&gt;ARG0/1,ARG1/4197,ARG2/7,ARG3/1</t>
  </si>
  <si>
    <t xml:space="preserve">"najít-003"</t>
  </si>
  <si>
    <t xml:space="preserve">CPHR: {bod,cesta,čas,důkaz,kompromis,možnost,odvaha,potěšení,řešení,uplatnění,východisko,využití,vztah,záminka,způsob,...}.4</t>
  </si>
  <si>
    <t xml:space="preserve">ACT-&gt;ARG0/137,ARG1/1</t>
  </si>
  <si>
    <t xml:space="preserve">CPHR-&gt;ARG1/218,ARG2/4</t>
  </si>
  <si>
    <t xml:space="preserve">CPHR-&gt;ARG0/1,ARG1/397</t>
  </si>
  <si>
    <t xml:space="preserve">"najít-se-001"</t>
  </si>
  <si>
    <t xml:space="preserve">LOC-&gt;ARG1/65,ARG2/1</t>
  </si>
  <si>
    <t xml:space="preserve">"najít-se-002"</t>
  </si>
  <si>
    <t xml:space="preserve">"najíždět-001"</t>
  </si>
  <si>
    <t xml:space="preserve">ACT-&gt;ARG1/121,ARG2/1</t>
  </si>
  <si>
    <t xml:space="preserve">"nakapat-001"</t>
  </si>
  <si>
    <t xml:space="preserve">"nakazit-001"</t>
  </si>
  <si>
    <t xml:space="preserve">ACT-&gt;ARG0/100,ARG2/2</t>
  </si>
  <si>
    <t xml:space="preserve">ADDR-&gt;ARG1/147,ARG2/1</t>
  </si>
  <si>
    <t xml:space="preserve">ADDR-&gt;ARG1/5,ARG2/1</t>
  </si>
  <si>
    <t xml:space="preserve">"nakazit-se-001"</t>
  </si>
  <si>
    <t xml:space="preserve">ACT-&gt;ARG0/4,ARG1/11,ARG2/1</t>
  </si>
  <si>
    <t xml:space="preserve">PAT-&gt;ARG1/5,ARG2/8</t>
  </si>
  <si>
    <t xml:space="preserve">"naklonit-001"</t>
  </si>
  <si>
    <t xml:space="preserve">ACT-&gt;ARG0/9,ARG1/8</t>
  </si>
  <si>
    <t xml:space="preserve">PAT-&gt;ARG0/9,ARG1/8</t>
  </si>
  <si>
    <t xml:space="preserve">"naklonit-se-001"</t>
  </si>
  <si>
    <t xml:space="preserve">"naklonit-se-002"</t>
  </si>
  <si>
    <t xml:space="preserve">ACT-&gt;ARG0/9,ARG1/6</t>
  </si>
  <si>
    <t xml:space="preserve">"naklonit-si-001"</t>
  </si>
  <si>
    <t xml:space="preserve">"nakládat-001"</t>
  </si>
  <si>
    <t xml:space="preserve">"nakládat-002"</t>
  </si>
  <si>
    <t xml:space="preserve">MANN-&gt;ARG2/21</t>
  </si>
  <si>
    <t xml:space="preserve">"nakládat-003"</t>
  </si>
  <si>
    <t xml:space="preserve">"nakládat-004"</t>
  </si>
  <si>
    <t xml:space="preserve">"nakládat-005"</t>
  </si>
  <si>
    <t xml:space="preserve">"naklánět-se-001"</t>
  </si>
  <si>
    <t xml:space="preserve">"naklást-001"</t>
  </si>
  <si>
    <t xml:space="preserve">"naklást-002"</t>
  </si>
  <si>
    <t xml:space="preserve">"nakonfigurovat-001"</t>
  </si>
  <si>
    <t xml:space="preserve">"nakopat-001"</t>
  </si>
  <si>
    <t xml:space="preserve">DPHR: zadek.P4</t>
  </si>
  <si>
    <t xml:space="preserve">"nakopnout-001"</t>
  </si>
  <si>
    <t xml:space="preserve">"nakoupat-001"</t>
  </si>
  <si>
    <t xml:space="preserve">"nakoupat-se-001"</t>
  </si>
  <si>
    <t xml:space="preserve">"nakoupit-001"</t>
  </si>
  <si>
    <t xml:space="preserve">ACT-&gt;ARG0/508,ARG1/1</t>
  </si>
  <si>
    <t xml:space="preserve">PAT-&gt;ARG0/2,ARG1/922,ARG2/1,ARG3/1</t>
  </si>
  <si>
    <t xml:space="preserve">"nakousnout-001"</t>
  </si>
  <si>
    <t xml:space="preserve">"nakousnout-002"</t>
  </si>
  <si>
    <t xml:space="preserve">"nakreslit-001"</t>
  </si>
  <si>
    <t xml:space="preserve">"nakrmit-001"</t>
  </si>
  <si>
    <t xml:space="preserve">PAT-&gt;ARG2/9</t>
  </si>
  <si>
    <t xml:space="preserve">"nakrmit-002"</t>
  </si>
  <si>
    <t xml:space="preserve">"nakrojit-001"</t>
  </si>
  <si>
    <t xml:space="preserve">"nakročit-001"</t>
  </si>
  <si>
    <t xml:space="preserve">"nakrájet-001"</t>
  </si>
  <si>
    <t xml:space="preserve">"nakrást-001"</t>
  </si>
  <si>
    <t xml:space="preserve">"nakrýt-001"</t>
  </si>
  <si>
    <t xml:space="preserve">"nakupit-001"</t>
  </si>
  <si>
    <t xml:space="preserve">"nakupit-002"</t>
  </si>
  <si>
    <t xml:space="preserve">"nakupit-se-001"</t>
  </si>
  <si>
    <t xml:space="preserve">LOC-&gt;ARG1/30,ARG2/1</t>
  </si>
  <si>
    <t xml:space="preserve">"nakupovat-001"</t>
  </si>
  <si>
    <t xml:space="preserve">ACT-&gt;ARG0/486,ARG1/1</t>
  </si>
  <si>
    <t xml:space="preserve">PAT-&gt;ARG0/2,ARG1/883,ARG3/1</t>
  </si>
  <si>
    <t xml:space="preserve">ORIG-&gt;ARG1/1,ARG2/67</t>
  </si>
  <si>
    <t xml:space="preserve">"nakusovat-001"</t>
  </si>
  <si>
    <t xml:space="preserve">"nakynout-001"</t>
  </si>
  <si>
    <t xml:space="preserve">"naladit-001"</t>
  </si>
  <si>
    <t xml:space="preserve">"naladit-002"</t>
  </si>
  <si>
    <t xml:space="preserve">"naladit-003"</t>
  </si>
  <si>
    <t xml:space="preserve">"nalakovat-001"</t>
  </si>
  <si>
    <t xml:space="preserve">"nalepit-001"</t>
  </si>
  <si>
    <t xml:space="preserve">"nalepovat-001"</t>
  </si>
  <si>
    <t xml:space="preserve">"naleptávat-001"</t>
  </si>
  <si>
    <t xml:space="preserve">"naletět-001"</t>
  </si>
  <si>
    <t xml:space="preserve">"naleznout-001"</t>
  </si>
  <si>
    <t xml:space="preserve">ACT-&gt;ARG0/191,ARG1/1</t>
  </si>
  <si>
    <t xml:space="preserve">PAT-&gt;ARG0/2,ARG1/288,ARG2/1,ARG3/1</t>
  </si>
  <si>
    <t xml:space="preserve">"naleštit-001"</t>
  </si>
  <si>
    <t xml:space="preserve">"nalistovat-001"</t>
  </si>
  <si>
    <t xml:space="preserve">"nalodit-001"</t>
  </si>
  <si>
    <t xml:space="preserve">"nalodit-se-001"</t>
  </si>
  <si>
    <t xml:space="preserve">"nalomit-001"</t>
  </si>
  <si>
    <t xml:space="preserve">"naloupit-001"</t>
  </si>
  <si>
    <t xml:space="preserve">"naloďovat-se-001"</t>
  </si>
  <si>
    <t xml:space="preserve">"naložit-001"</t>
  </si>
  <si>
    <t xml:space="preserve">"naložit-002"</t>
  </si>
  <si>
    <t xml:space="preserve">"naložit-003"</t>
  </si>
  <si>
    <t xml:space="preserve">"naložit-004"</t>
  </si>
  <si>
    <t xml:space="preserve">"naložit-005"</t>
  </si>
  <si>
    <t xml:space="preserve">"naložit-006"</t>
  </si>
  <si>
    <t xml:space="preserve">"nalákat-001"</t>
  </si>
  <si>
    <t xml:space="preserve">ADDR-&gt;ARG0/364,ARG1/60</t>
  </si>
  <si>
    <t xml:space="preserve">"naléhat-001"</t>
  </si>
  <si>
    <t xml:space="preserve">ACT-&gt;ARG0/121,ARG1/1,ARG2/2</t>
  </si>
  <si>
    <t xml:space="preserve">PAT-&gt;ARG1/98,ARG2/57</t>
  </si>
  <si>
    <t xml:space="preserve">"naléhat-002"</t>
  </si>
  <si>
    <t xml:space="preserve">PAT-&gt;ARG1/1,ARG2/22</t>
  </si>
  <si>
    <t xml:space="preserve">"nalétat-001"</t>
  </si>
  <si>
    <t xml:space="preserve">"nalétnout-001"</t>
  </si>
  <si>
    <t xml:space="preserve">"nalévat-001"</t>
  </si>
  <si>
    <t xml:space="preserve">"nalévat-002"</t>
  </si>
  <si>
    <t xml:space="preserve">"nalézat-001"</t>
  </si>
  <si>
    <t xml:space="preserve">ACT-&gt;ARG0/179,ARG1/3</t>
  </si>
  <si>
    <t xml:space="preserve">"nalézat-se-001"</t>
  </si>
  <si>
    <t xml:space="preserve">ACT-&gt;ARG1/64</t>
  </si>
  <si>
    <t xml:space="preserve">"nalézt-001"</t>
  </si>
  <si>
    <t xml:space="preserve">ACT-&gt;ARG0/328,ARG1/2</t>
  </si>
  <si>
    <t xml:space="preserve">PAT-&gt;ARG0/1,ARG1/512</t>
  </si>
  <si>
    <t xml:space="preserve">"nalézt-002"</t>
  </si>
  <si>
    <t xml:space="preserve">CPHR: {kompromis,možnost,odpověď,odvaha,potěšení,použití,řešení,slovo,uplatnění,východisko,záminka,způsob,...}.4</t>
  </si>
  <si>
    <t xml:space="preserve">CPHR-&gt;ARG1/127</t>
  </si>
  <si>
    <t xml:space="preserve">CPHR-&gt;ARG1/13</t>
  </si>
  <si>
    <t xml:space="preserve">"nalézt-003"</t>
  </si>
  <si>
    <t xml:space="preserve">DPHR-&gt;ARG1/205</t>
  </si>
  <si>
    <t xml:space="preserve">"nalít-001"</t>
  </si>
  <si>
    <t xml:space="preserve">"nalít-002"</t>
  </si>
  <si>
    <t xml:space="preserve">"nalít-003"</t>
  </si>
  <si>
    <t xml:space="preserve">ACT-&gt;ARG0/34,ARG2/1</t>
  </si>
  <si>
    <t xml:space="preserve">PAT-&gt;ARG1/30,ARG2/15</t>
  </si>
  <si>
    <t xml:space="preserve">"nalítnout-001"</t>
  </si>
  <si>
    <t xml:space="preserve">"nalívat-001"</t>
  </si>
  <si>
    <t xml:space="preserve">"nalíčit-001"</t>
  </si>
  <si>
    <t xml:space="preserve">"nalíčit-002"</t>
  </si>
  <si>
    <t xml:space="preserve">"namalovat-001"</t>
  </si>
  <si>
    <t xml:space="preserve">"namalovat-002"</t>
  </si>
  <si>
    <t xml:space="preserve">"namasírovat-001"</t>
  </si>
  <si>
    <t xml:space="preserve">"namazat-001"</t>
  </si>
  <si>
    <t xml:space="preserve">"namazat-002"</t>
  </si>
  <si>
    <t xml:space="preserve">"namazat-se-001"</t>
  </si>
  <si>
    <t xml:space="preserve">"namačkat-001"</t>
  </si>
  <si>
    <t xml:space="preserve">ACT-&gt;ARG0/161,ARG1/1,ARG2/4</t>
  </si>
  <si>
    <t xml:space="preserve">PAT-&gt;ARG0/1,ARG1/262,ARG2/4</t>
  </si>
  <si>
    <t xml:space="preserve">DIR3-&gt;ARG1/4,ARG2/2</t>
  </si>
  <si>
    <t xml:space="preserve">"namačkat-se-001"</t>
  </si>
  <si>
    <t xml:space="preserve">DIR3-&gt;ARG1/11,ARG2/1</t>
  </si>
  <si>
    <t xml:space="preserve">"namixovat-001"</t>
  </si>
  <si>
    <t xml:space="preserve">"namlouvat-001"</t>
  </si>
  <si>
    <t xml:space="preserve">"namlouvat-002"</t>
  </si>
  <si>
    <t xml:space="preserve">"namlouvat-003"</t>
  </si>
  <si>
    <t xml:space="preserve">"namluvit-001"</t>
  </si>
  <si>
    <t xml:space="preserve">"namluvit-002"</t>
  </si>
  <si>
    <t xml:space="preserve">"namluvit-003"</t>
  </si>
  <si>
    <t xml:space="preserve">"namlít-001"</t>
  </si>
  <si>
    <t xml:space="preserve">"namnožit-001"</t>
  </si>
  <si>
    <t xml:space="preserve">"namoci-si-001"</t>
  </si>
  <si>
    <t xml:space="preserve">"namontovat-001"</t>
  </si>
  <si>
    <t xml:space="preserve">"namontovat-002"</t>
  </si>
  <si>
    <t xml:space="preserve">"namotat-001"</t>
  </si>
  <si>
    <t xml:space="preserve">"namotat-se-001"</t>
  </si>
  <si>
    <t xml:space="preserve">"namočit-001"</t>
  </si>
  <si>
    <t xml:space="preserve">"namočit-se-001"</t>
  </si>
  <si>
    <t xml:space="preserve">"namočit-se-002"</t>
  </si>
  <si>
    <t xml:space="preserve">"namrazit-001"</t>
  </si>
  <si>
    <t xml:space="preserve">"namrzat-001"</t>
  </si>
  <si>
    <t xml:space="preserve">"namáhat-001"</t>
  </si>
  <si>
    <t xml:space="preserve">"namáhat-se-001"</t>
  </si>
  <si>
    <t xml:space="preserve">"namáčet-001"</t>
  </si>
  <si>
    <t xml:space="preserve">"namíchat-001"</t>
  </si>
  <si>
    <t xml:space="preserve">"namíchnout-001"</t>
  </si>
  <si>
    <t xml:space="preserve">"namítat-001"</t>
  </si>
  <si>
    <t xml:space="preserve">ACT-&gt;ARG0/257</t>
  </si>
  <si>
    <t xml:space="preserve">EFF-&gt;ARG1/202,ARG2/40</t>
  </si>
  <si>
    <t xml:space="preserve">PAT-&gt;ARG1/57,ARG2/3</t>
  </si>
  <si>
    <t xml:space="preserve">ADDR-&gt;ARG1/1,ARG2/2</t>
  </si>
  <si>
    <t xml:space="preserve">"namítnout-001"</t>
  </si>
  <si>
    <t xml:space="preserve">?PAT: na+4; proti+3</t>
  </si>
  <si>
    <t xml:space="preserve">ACT-&gt;ARG0/201</t>
  </si>
  <si>
    <t xml:space="preserve">EFF-&gt;ARG1/151,ARG2/31</t>
  </si>
  <si>
    <t xml:space="preserve">PAT-&gt;ARG1/44,ARG2/1</t>
  </si>
  <si>
    <t xml:space="preserve">"namířit-001"</t>
  </si>
  <si>
    <t xml:space="preserve">DIR3-&gt;ARG2/15</t>
  </si>
  <si>
    <t xml:space="preserve">"namířit-002"</t>
  </si>
  <si>
    <t xml:space="preserve">"namířit-003"</t>
  </si>
  <si>
    <t xml:space="preserve">"naměřit-001"</t>
  </si>
  <si>
    <t xml:space="preserve">"nandat-001"</t>
  </si>
  <si>
    <t xml:space="preserve">"nandat-002"</t>
  </si>
  <si>
    <t xml:space="preserve">"nandat-003"</t>
  </si>
  <si>
    <t xml:space="preserve">"nanosit-001"</t>
  </si>
  <si>
    <t xml:space="preserve">"nanášet-001"</t>
  </si>
  <si>
    <t xml:space="preserve">"nanést-001"</t>
  </si>
  <si>
    <t xml:space="preserve">"naoktrojovat-001"</t>
  </si>
  <si>
    <t xml:space="preserve">"naočkovat-001"</t>
  </si>
  <si>
    <t xml:space="preserve">"napadat-001"</t>
  </si>
  <si>
    <t xml:space="preserve">ACT-&gt;ARG0/112,ARG1/1</t>
  </si>
  <si>
    <t xml:space="preserve">"napadat-002"</t>
  </si>
  <si>
    <t xml:space="preserve">ACT: 4; 3</t>
  </si>
  <si>
    <t xml:space="preserve">PAT: 1; ↓že; .f; ↓aby; ↓jestli; ↓zda; ↓c; .s</t>
  </si>
  <si>
    <t xml:space="preserve">"napadat-003"</t>
  </si>
  <si>
    <t xml:space="preserve">"napadat-004"</t>
  </si>
  <si>
    <t xml:space="preserve">"napadnout-001"</t>
  </si>
  <si>
    <t xml:space="preserve">ACT-&gt;ARG0/117,ARG1/2,ARG2/2</t>
  </si>
  <si>
    <t xml:space="preserve">PAT-&gt;ARG1/118,ARG2/53</t>
  </si>
  <si>
    <t xml:space="preserve">"napadnout-002"</t>
  </si>
  <si>
    <t xml:space="preserve">ACT-&gt;ARG0/2639,ARG1/25,ARG2/2,ARG3/3</t>
  </si>
  <si>
    <t xml:space="preserve">ACT-&gt;ARG0/356,ARG1/4,ARG2/3</t>
  </si>
  <si>
    <t xml:space="preserve">PAT: 1; ↓že; .f; ↓aby; ↓jestli; ↓zda; ↓c</t>
  </si>
  <si>
    <t xml:space="preserve">PAT-&gt;ARG1/517,ARG2/2</t>
  </si>
  <si>
    <t xml:space="preserve">PAT-&gt;ARG1/396,ARG2/22,ARG3/3</t>
  </si>
  <si>
    <t xml:space="preserve">"napadnout-003"</t>
  </si>
  <si>
    <t xml:space="preserve">ACT-&gt;ARG0/144,ARG1/2</t>
  </si>
  <si>
    <t xml:space="preserve">PAT-&gt;ARG1/152,ARG2/13</t>
  </si>
  <si>
    <t xml:space="preserve">"napadnout-004"</t>
  </si>
  <si>
    <t xml:space="preserve">"napadávat-001"</t>
  </si>
  <si>
    <t xml:space="preserve">"naparádit-001"</t>
  </si>
  <si>
    <t xml:space="preserve">"napasovat-001"</t>
  </si>
  <si>
    <t xml:space="preserve">"napichovat-001"</t>
  </si>
  <si>
    <t xml:space="preserve">"naplakat-se-001"</t>
  </si>
  <si>
    <t xml:space="preserve">"naplnit-001"</t>
  </si>
  <si>
    <t xml:space="preserve">ACT-&gt;ARG0/11,ARG2/1</t>
  </si>
  <si>
    <t xml:space="preserve">PAT-&gt;ARG1/5,ARG2/4</t>
  </si>
  <si>
    <t xml:space="preserve">PAT-&gt;ARG0/1,ARG1/12,ARG2/1</t>
  </si>
  <si>
    <t xml:space="preserve">EFF-&gt;ARG0/2,ARG2/3</t>
  </si>
  <si>
    <t xml:space="preserve">EFF-&gt;ARG0/2,ARG2/7</t>
  </si>
  <si>
    <t xml:space="preserve">"naplnit-002"</t>
  </si>
  <si>
    <t xml:space="preserve">ACT-&gt;ARG0/70,ARG1/11</t>
  </si>
  <si>
    <t xml:space="preserve">ACT-&gt;ARG0/5,ARG1/2,ARG2/5</t>
  </si>
  <si>
    <t xml:space="preserve">PAT-&gt;ARG1/164,ARG4/14</t>
  </si>
  <si>
    <t xml:space="preserve">PAT-&gt;ARG0/1,ARG1/26</t>
  </si>
  <si>
    <t xml:space="preserve">"naplnit-003"</t>
  </si>
  <si>
    <t xml:space="preserve">"--naplnit-004"</t>
  </si>
  <si>
    <t xml:space="preserve">"naplnit-se-001"</t>
  </si>
  <si>
    <t xml:space="preserve">ACT-&gt;ARG1/59</t>
  </si>
  <si>
    <t xml:space="preserve">"naplnit-se-002"</t>
  </si>
  <si>
    <t xml:space="preserve">"naplánovat-001"</t>
  </si>
  <si>
    <t xml:space="preserve">ACT-&gt;ARG0/377,ARG1/7</t>
  </si>
  <si>
    <t xml:space="preserve">PAT: 4; ↓že; ↓c; .f</t>
  </si>
  <si>
    <t xml:space="preserve">PAT-&gt;ARG1/454,ARG2/51</t>
  </si>
  <si>
    <t xml:space="preserve">"naplňovat-001"</t>
  </si>
  <si>
    <t xml:space="preserve">"naplňovat-002"</t>
  </si>
  <si>
    <t xml:space="preserve">ACT-&gt;ARG0/42,ARG1/3104,ARG2/296</t>
  </si>
  <si>
    <t xml:space="preserve">PAT-&gt;ARG1/180,ARG2/3452</t>
  </si>
  <si>
    <t xml:space="preserve">"naplňovat-se-001"</t>
  </si>
  <si>
    <t xml:space="preserve">"napnout-001"</t>
  </si>
  <si>
    <t xml:space="preserve">PAT: -4</t>
  </si>
  <si>
    <t xml:space="preserve">"napnout-002"</t>
  </si>
  <si>
    <t xml:space="preserve">"napnout-se-001"</t>
  </si>
  <si>
    <t xml:space="preserve">ACT-&gt;ARG0/12,ARG1/20</t>
  </si>
  <si>
    <t xml:space="preserve">"napodobit-001"</t>
  </si>
  <si>
    <t xml:space="preserve">ACT-&gt;ARG0/2,ARG1/8</t>
  </si>
  <si>
    <t xml:space="preserve">PAT-&gt;ARG0/4,ARG1/2</t>
  </si>
  <si>
    <t xml:space="preserve">"napodobovat-001"</t>
  </si>
  <si>
    <t xml:space="preserve">ACT-&gt;ARG0/10,ARG1/11</t>
  </si>
  <si>
    <t xml:space="preserve">PAT-&gt;ARG0/9,ARG1/15</t>
  </si>
  <si>
    <t xml:space="preserve">"napojit-001"</t>
  </si>
  <si>
    <t xml:space="preserve">DIR3-&gt;ARG1/14,ARG2/3</t>
  </si>
  <si>
    <t xml:space="preserve">"napojit-002"</t>
  </si>
  <si>
    <t xml:space="preserve">"napojit-se-001"</t>
  </si>
  <si>
    <t xml:space="preserve">PAT-&gt;ARG1/5,ARG3/1</t>
  </si>
  <si>
    <t xml:space="preserve">"napojovat-001"</t>
  </si>
  <si>
    <t xml:space="preserve">"napomenout-001"</t>
  </si>
  <si>
    <t xml:space="preserve">"napomoci-001"</t>
  </si>
  <si>
    <t xml:space="preserve">ACT-&gt;ARG0/475,ARG1/3</t>
  </si>
  <si>
    <t xml:space="preserve">ACT-&gt;ARG0/626,ARG1/7,ARG3/9</t>
  </si>
  <si>
    <t xml:space="preserve">PAT-&gt;ARG0/1,ARG1/405,ARG2/115</t>
  </si>
  <si>
    <t xml:space="preserve">PAT-&gt;ARG1/842,ARG2/17</t>
  </si>
  <si>
    <t xml:space="preserve">"napomoci-002"</t>
  </si>
  <si>
    <t xml:space="preserve">ACT-&gt;ARG0/320,ARG1/3</t>
  </si>
  <si>
    <t xml:space="preserve">ACT-&gt;ARG0/442,ARG1/3</t>
  </si>
  <si>
    <t xml:space="preserve">ADDR-&gt;ARG1/113,ARG2/57</t>
  </si>
  <si>
    <t xml:space="preserve">ADDR-&gt;ARG1/277,ARG2/59</t>
  </si>
  <si>
    <t xml:space="preserve">?PAT: 3; k+3; do+2; od+2; .f</t>
  </si>
  <si>
    <t xml:space="preserve">PAT-&gt;ARG0/1,ARG1/356</t>
  </si>
  <si>
    <t xml:space="preserve">PAT-&gt;ARG0/1,ARG1/361</t>
  </si>
  <si>
    <t xml:space="preserve">"napomoci-003"</t>
  </si>
  <si>
    <t xml:space="preserve">ACT-&gt;ARG0/343,ARG1/3</t>
  </si>
  <si>
    <t xml:space="preserve">ADDR-&gt;ARG1/138,ARG2/57</t>
  </si>
  <si>
    <t xml:space="preserve">?PAT: .f; s+7; v+6</t>
  </si>
  <si>
    <t xml:space="preserve">"napomáhat-001"</t>
  </si>
  <si>
    <t xml:space="preserve">ACT-&gt;ARG0/40,ARG1/5</t>
  </si>
  <si>
    <t xml:space="preserve">"napomáhat-002"</t>
  </si>
  <si>
    <t xml:space="preserve">ACT-&gt;ARG0/326,ARG1/3</t>
  </si>
  <si>
    <t xml:space="preserve">PAT-&gt;ARG0/1,ARG1/360</t>
  </si>
  <si>
    <t xml:space="preserve">"napomáhat-003"</t>
  </si>
  <si>
    <t xml:space="preserve">ACT: 1; ↓když; ↓že</t>
  </si>
  <si>
    <t xml:space="preserve">"napomínat-001"</t>
  </si>
  <si>
    <t xml:space="preserve">PAT-&gt;ARG1/49,ARG2/5</t>
  </si>
  <si>
    <t xml:space="preserve">PAT-&gt;ARG1/48,ARG2/5</t>
  </si>
  <si>
    <t xml:space="preserve">"naporcovat-001"</t>
  </si>
  <si>
    <t xml:space="preserve">"napovídat-001"</t>
  </si>
  <si>
    <t xml:space="preserve">ACT-&gt;ARG0/453,ARG1/2</t>
  </si>
  <si>
    <t xml:space="preserve">ACT-&gt;ARG0/417,ARG1/1</t>
  </si>
  <si>
    <t xml:space="preserve">ACT-&gt;ARG0/365,ARG1/1</t>
  </si>
  <si>
    <t xml:space="preserve">PAT-&gt;ARG1/525</t>
  </si>
  <si>
    <t xml:space="preserve">PAT-&gt;ARG0/1,ARG1/460</t>
  </si>
  <si>
    <t xml:space="preserve">PAT-&gt;ARG1/405</t>
  </si>
  <si>
    <t xml:space="preserve">ADDR-&gt;ARG1/2,ARG2/325</t>
  </si>
  <si>
    <t xml:space="preserve">"napovídat-002"</t>
  </si>
  <si>
    <t xml:space="preserve">EFF: 4; ↓že; ↓zda; ↓jak-2; ↓c</t>
  </si>
  <si>
    <t xml:space="preserve">"napovídat-003"</t>
  </si>
  <si>
    <t xml:space="preserve">EFF-&gt;ARG0/1,ARG1/460</t>
  </si>
  <si>
    <t xml:space="preserve">EFF-&gt;ARG1/405</t>
  </si>
  <si>
    <t xml:space="preserve">"napovědět-001"</t>
  </si>
  <si>
    <t xml:space="preserve">PAT: 4; o+6; ↓že; ↓zda; ↓c; ↓aby; ↓ať; .s</t>
  </si>
  <si>
    <t xml:space="preserve">"napočítat-001"</t>
  </si>
  <si>
    <t xml:space="preserve">"napočítat-002"</t>
  </si>
  <si>
    <t xml:space="preserve">"napracovat-001"</t>
  </si>
  <si>
    <t xml:space="preserve">"napracovat-se-001"</t>
  </si>
  <si>
    <t xml:space="preserve">"napracovávat-001"</t>
  </si>
  <si>
    <t xml:space="preserve">"napravit-001"</t>
  </si>
  <si>
    <t xml:space="preserve">ACT-&gt;ARG0/17,ARG2/3</t>
  </si>
  <si>
    <t xml:space="preserve">"napravovat-001"</t>
  </si>
  <si>
    <t xml:space="preserve">"naprogramovat-001"</t>
  </si>
  <si>
    <t xml:space="preserve">PAT-&gt;ARG0/315,ARG1/4,ARG2/1</t>
  </si>
  <si>
    <t xml:space="preserve">PAT-&gt;ARG1/3,ARG2/1</t>
  </si>
  <si>
    <t xml:space="preserve">"napršet-001"</t>
  </si>
  <si>
    <t xml:space="preserve">"napsat-001"</t>
  </si>
  <si>
    <t xml:space="preserve">"napsat-002"</t>
  </si>
  <si>
    <t xml:space="preserve">"napsat-003"</t>
  </si>
  <si>
    <t xml:space="preserve">PAT-&gt;ARG1/24,ARG2/8</t>
  </si>
  <si>
    <t xml:space="preserve">"napsat-004"</t>
  </si>
  <si>
    <t xml:space="preserve">PAT: 4; ↓že; ↓aby</t>
  </si>
  <si>
    <t xml:space="preserve">PAT-&gt;ARG1/115</t>
  </si>
  <si>
    <t xml:space="preserve">"napsat-005"</t>
  </si>
  <si>
    <t xml:space="preserve">"napsat-006"</t>
  </si>
  <si>
    <t xml:space="preserve">PAT-&gt;ARG1/124</t>
  </si>
  <si>
    <t xml:space="preserve">"napsat-007"</t>
  </si>
  <si>
    <t xml:space="preserve">ACT-&gt;ARG0/12767,ARG1/37</t>
  </si>
  <si>
    <t xml:space="preserve">EFF-&gt;ARG0/2,ARG1/11182,ARG2/2</t>
  </si>
  <si>
    <t xml:space="preserve">PAT-&gt;ARG0/2,ARG1/16,ARG2/1,ARG3/29</t>
  </si>
  <si>
    <t xml:space="preserve">ADDR-&gt;ARG1/1,ARG2/32</t>
  </si>
  <si>
    <t xml:space="preserve">"napsat-008"</t>
  </si>
  <si>
    <t xml:space="preserve">"napsat-009"</t>
  </si>
  <si>
    <t xml:space="preserve">PAT: 4; ↓ať; ↓že; ↓aby</t>
  </si>
  <si>
    <t xml:space="preserve">"napsat-010"</t>
  </si>
  <si>
    <t xml:space="preserve">ADDR: na+4; 3</t>
  </si>
  <si>
    <t xml:space="preserve">"napsat-011"</t>
  </si>
  <si>
    <t xml:space="preserve">"napumpovat-001"</t>
  </si>
  <si>
    <t xml:space="preserve">PAT-&gt;ARG2/16</t>
  </si>
  <si>
    <t xml:space="preserve">"napustit-001"</t>
  </si>
  <si>
    <t xml:space="preserve">"napytlíkovat-001"</t>
  </si>
  <si>
    <t xml:space="preserve">"napáchat-001"</t>
  </si>
  <si>
    <t xml:space="preserve">PAT-&gt;ARG1/65</t>
  </si>
  <si>
    <t xml:space="preserve">"napájet-001"</t>
  </si>
  <si>
    <t xml:space="preserve">"napájet-002"</t>
  </si>
  <si>
    <t xml:space="preserve">ACT-&gt;ARG0/3,ARG2/64</t>
  </si>
  <si>
    <t xml:space="preserve">"napájet-003"</t>
  </si>
  <si>
    <t xml:space="preserve">"napálit-001"</t>
  </si>
  <si>
    <t xml:space="preserve">"napálit-002"</t>
  </si>
  <si>
    <t xml:space="preserve">DIR3-&gt;ARG1/20</t>
  </si>
  <si>
    <t xml:space="preserve">"napéci-001"</t>
  </si>
  <si>
    <t xml:space="preserve">"napíchnout-001"</t>
  </si>
  <si>
    <t xml:space="preserve">"napínat-001"</t>
  </si>
  <si>
    <t xml:space="preserve">ACT-&gt;ARG0/257,ARG1/171</t>
  </si>
  <si>
    <t xml:space="preserve">PAT-&gt;ARG1/378</t>
  </si>
  <si>
    <t xml:space="preserve">EFF-&gt;ARG1/2,ARG2/16,ARG4/1</t>
  </si>
  <si>
    <t xml:space="preserve">"napít-se-001"</t>
  </si>
  <si>
    <t xml:space="preserve">"napěchovat-se-001"</t>
  </si>
  <si>
    <t xml:space="preserve">ACT-&gt;ARG0/24,ARG1/10,ARG2/7</t>
  </si>
  <si>
    <t xml:space="preserve">DIR3-&gt;ARG1/15,ARG2/1</t>
  </si>
  <si>
    <t xml:space="preserve">"napřemýšlet-se-001"</t>
  </si>
  <si>
    <t xml:space="preserve">"napřáhnout-001"</t>
  </si>
  <si>
    <t xml:space="preserve">"napřít-001"</t>
  </si>
  <si>
    <t xml:space="preserve">EFF: na+4; k+3</t>
  </si>
  <si>
    <t xml:space="preserve">"napřít-002"</t>
  </si>
  <si>
    <t xml:space="preserve">"narazit-001"</t>
  </si>
  <si>
    <t xml:space="preserve">"narazit-002"</t>
  </si>
  <si>
    <t xml:space="preserve">ACT-&gt;ARG0/21,ARG1/1,ARG2/23</t>
  </si>
  <si>
    <t xml:space="preserve">"narazit-003"</t>
  </si>
  <si>
    <t xml:space="preserve">"narazit-004"</t>
  </si>
  <si>
    <t xml:space="preserve">ACT-&gt;ARG0/256,ARG1/3</t>
  </si>
  <si>
    <t xml:space="preserve">ACT-&gt;ARG0/298,ARG1/19,ARG2/1</t>
  </si>
  <si>
    <t xml:space="preserve">PAT-&gt;ARG0/3,ARG1/412</t>
  </si>
  <si>
    <t xml:space="preserve">"narazit-005"</t>
  </si>
  <si>
    <t xml:space="preserve">?PAT: u+2</t>
  </si>
  <si>
    <t xml:space="preserve">"narazit-006"</t>
  </si>
  <si>
    <t xml:space="preserve">ACT-&gt;ARG0/22,ARG1/11,ARG2/23</t>
  </si>
  <si>
    <t xml:space="preserve">ACT-&gt;ARG0/40,ARG1/12,ARG2/45</t>
  </si>
  <si>
    <t xml:space="preserve">DIR3-&gt;ARG1/97</t>
  </si>
  <si>
    <t xml:space="preserve">"narazit-si-001"</t>
  </si>
  <si>
    <t xml:space="preserve">"narobit-001"</t>
  </si>
  <si>
    <t xml:space="preserve">"narodit-se-001"</t>
  </si>
  <si>
    <t xml:space="preserve">"narodit-se-002"</t>
  </si>
  <si>
    <t xml:space="preserve">PAT-&gt;ARG0/5</t>
  </si>
  <si>
    <t xml:space="preserve">"naroubovat-001"</t>
  </si>
  <si>
    <t xml:space="preserve">PAT-&gt;ARG1/6,ARG2/1</t>
  </si>
  <si>
    <t xml:space="preserve">"naroubovat-002"</t>
  </si>
  <si>
    <t xml:space="preserve">"naroubovat-se-001"</t>
  </si>
  <si>
    <t xml:space="preserve">"narovnat-001"</t>
  </si>
  <si>
    <t xml:space="preserve">ACT-&gt;ARG0/31,ARG2/66</t>
  </si>
  <si>
    <t xml:space="preserve">"narovnat-se-001"</t>
  </si>
  <si>
    <t xml:space="preserve">"narovnávat-se-001"</t>
  </si>
  <si>
    <t xml:space="preserve">ACT-&gt;ARG1/24</t>
  </si>
  <si>
    <t xml:space="preserve">ACT-&gt;ARG0/31,ARG1/223,ARG2/66</t>
  </si>
  <si>
    <t xml:space="preserve">"narukovat-001"</t>
  </si>
  <si>
    <t xml:space="preserve">"narukovat-002"</t>
  </si>
  <si>
    <t xml:space="preserve">"narušit-001"</t>
  </si>
  <si>
    <t xml:space="preserve">ACT-&gt;ARG0/102,ARG2/76</t>
  </si>
  <si>
    <t xml:space="preserve">ACT-&gt;ARG0/460,ARG1/3,ARG2/121</t>
  </si>
  <si>
    <t xml:space="preserve">PAT-&gt;ARG1/660,ARG2/9</t>
  </si>
  <si>
    <t xml:space="preserve">PAT-&gt;ARG1/777,ARG2/4</t>
  </si>
  <si>
    <t xml:space="preserve">"narušovat-001"</t>
  </si>
  <si>
    <t xml:space="preserve">ACT-&gt;ARG0/193,ARG1/3102,ARG2/296</t>
  </si>
  <si>
    <t xml:space="preserve">PAT-&gt;ARG1/259</t>
  </si>
  <si>
    <t xml:space="preserve">"narážet-001"</t>
  </si>
  <si>
    <t xml:space="preserve">"narážet-002"</t>
  </si>
  <si>
    <t xml:space="preserve">PAT-&gt;ARG1/190</t>
  </si>
  <si>
    <t xml:space="preserve">"narážet-003"</t>
  </si>
  <si>
    <t xml:space="preserve">ACT-&gt;ARG0/170,ARG1/4</t>
  </si>
  <si>
    <t xml:space="preserve">ACT-&gt;ARG0/398,ARG1/3</t>
  </si>
  <si>
    <t xml:space="preserve">PAT-&gt;ARG1/561,ARG2/2</t>
  </si>
  <si>
    <t xml:space="preserve">"narážet-004"</t>
  </si>
  <si>
    <t xml:space="preserve">"narážet-005"</t>
  </si>
  <si>
    <t xml:space="preserve">"narůst-001"</t>
  </si>
  <si>
    <t xml:space="preserve">ACT-&gt;ARG0/8,ARG1/1396,ARG2/8</t>
  </si>
  <si>
    <t xml:space="preserve">PAT-&gt;ARG1/8,ARG2/10,ARG4/946</t>
  </si>
  <si>
    <t xml:space="preserve">ORIG-&gt;ARG3/442</t>
  </si>
  <si>
    <t xml:space="preserve">"narůst-002"</t>
  </si>
  <si>
    <t xml:space="preserve">"narůstat-001"</t>
  </si>
  <si>
    <t xml:space="preserve">ACT-&gt;ARG1/201,ARG2/4</t>
  </si>
  <si>
    <t xml:space="preserve">PAT-&gt;ARG2/1,ARG4/45</t>
  </si>
  <si>
    <t xml:space="preserve">ORIG-&gt;ARG3/23</t>
  </si>
  <si>
    <t xml:space="preserve">"nasadit-001"</t>
  </si>
  <si>
    <t xml:space="preserve">"nasadit-002"</t>
  </si>
  <si>
    <t xml:space="preserve">"nasadit-003"</t>
  </si>
  <si>
    <t xml:space="preserve">"nasadit-004"</t>
  </si>
  <si>
    <t xml:space="preserve">"nasadit-005"</t>
  </si>
  <si>
    <t xml:space="preserve">"nasadit-006"</t>
  </si>
  <si>
    <t xml:space="preserve">DPHR: koruna.S4</t>
  </si>
  <si>
    <t xml:space="preserve">"nasadit-007"</t>
  </si>
  <si>
    <t xml:space="preserve">"nasadit-se-001"</t>
  </si>
  <si>
    <t xml:space="preserve">"nasazovat-001"</t>
  </si>
  <si>
    <t xml:space="preserve">"nasazovat-002"</t>
  </si>
  <si>
    <t xml:space="preserve">"nasazovat-003"</t>
  </si>
  <si>
    <t xml:space="preserve">"nasazovat-004"</t>
  </si>
  <si>
    <t xml:space="preserve">"nasazovat-005"</t>
  </si>
  <si>
    <t xml:space="preserve">"nasazovat-006"</t>
  </si>
  <si>
    <t xml:space="preserve">DPHR: krk:S4[svůj-1:#]</t>
  </si>
  <si>
    <t xml:space="preserve">DPHR-&gt;ARG1/25</t>
  </si>
  <si>
    <t xml:space="preserve">"nasazovat-007"</t>
  </si>
  <si>
    <t xml:space="preserve">"nasbírat-001"</t>
  </si>
  <si>
    <t xml:space="preserve">ACT-&gt;ARG0/51,ARG1/2</t>
  </si>
  <si>
    <t xml:space="preserve">"nasbírat-002"</t>
  </si>
  <si>
    <t xml:space="preserve">CPHR: {informace,odvaha,poznatek,zkušenost,...}.4</t>
  </si>
  <si>
    <t xml:space="preserve">"nasbírat-003"</t>
  </si>
  <si>
    <t xml:space="preserve">"nasedat-001"</t>
  </si>
  <si>
    <t xml:space="preserve">"nasedlat-001"</t>
  </si>
  <si>
    <t xml:space="preserve">"nasednout-001"</t>
  </si>
  <si>
    <t xml:space="preserve">DIR3-&gt;ARG1/14</t>
  </si>
  <si>
    <t xml:space="preserve">"nasekat-001"</t>
  </si>
  <si>
    <t xml:space="preserve">"nasekat-002"</t>
  </si>
  <si>
    <t xml:space="preserve">"naservírovat-001"</t>
  </si>
  <si>
    <t xml:space="preserve">"nashromáždit-001"</t>
  </si>
  <si>
    <t xml:space="preserve">"naskakovat-001"</t>
  </si>
  <si>
    <t xml:space="preserve">"naskakovat-002"</t>
  </si>
  <si>
    <t xml:space="preserve">"naskakovat-003"</t>
  </si>
  <si>
    <t xml:space="preserve">DPHR: kůže:S1[husí:#]</t>
  </si>
  <si>
    <t xml:space="preserve">"naskautovat-001"</t>
  </si>
  <si>
    <t xml:space="preserve">"naskenovat-001"</t>
  </si>
  <si>
    <t xml:space="preserve">"naskicovat-001"</t>
  </si>
  <si>
    <t xml:space="preserve">"naskládat-001"</t>
  </si>
  <si>
    <t xml:space="preserve">"naskočit-001"</t>
  </si>
  <si>
    <t xml:space="preserve">"naskočit-002"</t>
  </si>
  <si>
    <t xml:space="preserve">"naskočit-003"</t>
  </si>
  <si>
    <t xml:space="preserve">"naskytnout-se-001"</t>
  </si>
  <si>
    <t xml:space="preserve">"naskytnout-se-002"</t>
  </si>
  <si>
    <t xml:space="preserve">CPHR: {možnost,podívaná,příležitost,výhled,...}.1</t>
  </si>
  <si>
    <t xml:space="preserve">"naskytnout-se-003"</t>
  </si>
  <si>
    <t xml:space="preserve">CPHR: {pochopení}.1</t>
  </si>
  <si>
    <t xml:space="preserve">CPHR-&gt;ARG1/401</t>
  </si>
  <si>
    <t xml:space="preserve">"naskákat-se-001"</t>
  </si>
  <si>
    <t xml:space="preserve">"naskýtat-se-001"</t>
  </si>
  <si>
    <t xml:space="preserve">"naskýtat-se-002"</t>
  </si>
  <si>
    <t xml:space="preserve">CPHR: {možnost,výhled,...}.1</t>
  </si>
  <si>
    <t xml:space="preserve">"naslinit-001"</t>
  </si>
  <si>
    <t xml:space="preserve">"naslouchat-001"</t>
  </si>
  <si>
    <t xml:space="preserve">PAT: 3; ↓zda; ↓jestli; ↓c</t>
  </si>
  <si>
    <t xml:space="preserve">"nasluhovat-001"</t>
  </si>
  <si>
    <t xml:space="preserve">"nasmlouvat-001"</t>
  </si>
  <si>
    <t xml:space="preserve">"nasmát-se-001"</t>
  </si>
  <si>
    <t xml:space="preserve">?PAT: 3; nad+7</t>
  </si>
  <si>
    <t xml:space="preserve">"nasměrovat-001"</t>
  </si>
  <si>
    <t xml:space="preserve">ACT-&gt;ARG0/26,ARG1/1</t>
  </si>
  <si>
    <t xml:space="preserve">DIR3-&gt;ARG1/19,ARG2/98</t>
  </si>
  <si>
    <t xml:space="preserve">"nasměrovat-002"</t>
  </si>
  <si>
    <t xml:space="preserve">"nasměrovat-003"</t>
  </si>
  <si>
    <t xml:space="preserve">"nasměrovávat-001"</t>
  </si>
  <si>
    <t xml:space="preserve">"nasnídat-se-001"</t>
  </si>
  <si>
    <t xml:space="preserve">"nasněžit-001"</t>
  </si>
  <si>
    <t xml:space="preserve">PAT-&gt;ARG1/43</t>
  </si>
  <si>
    <t xml:space="preserve">"naspořit-001"</t>
  </si>
  <si>
    <t xml:space="preserve">"nastartovat-001"</t>
  </si>
  <si>
    <t xml:space="preserve">ACT-&gt;ARG0/252,ARG1/68,ARG2/3</t>
  </si>
  <si>
    <t xml:space="preserve">PAT-&gt;ARG1/327</t>
  </si>
  <si>
    <t xml:space="preserve">"nastat-001"</t>
  </si>
  <si>
    <t xml:space="preserve">ACT-&gt;ARG0/150,ARG1/3801,ARG2/3462</t>
  </si>
  <si>
    <t xml:space="preserve">"nastavit-001"</t>
  </si>
  <si>
    <t xml:space="preserve">"nastavit-002"</t>
  </si>
  <si>
    <t xml:space="preserve">"nastavit-003"</t>
  </si>
  <si>
    <t xml:space="preserve">"nastavit-004"</t>
  </si>
  <si>
    <t xml:space="preserve">DPHR: zrcadlo.S4</t>
  </si>
  <si>
    <t xml:space="preserve">"nastavit-005"</t>
  </si>
  <si>
    <t xml:space="preserve">"nastavovat-001"</t>
  </si>
  <si>
    <t xml:space="preserve">"nastavovat-002"</t>
  </si>
  <si>
    <t xml:space="preserve">"nastavovat-003"</t>
  </si>
  <si>
    <t xml:space="preserve">"nastavět-001"</t>
  </si>
  <si>
    <t xml:space="preserve">"nastiňovat-001"</t>
  </si>
  <si>
    <t xml:space="preserve">"nastolit-001"</t>
  </si>
  <si>
    <t xml:space="preserve">"nastolovat-001"</t>
  </si>
  <si>
    <t xml:space="preserve">ACT-&gt;ARG0/22,ARG1/2</t>
  </si>
  <si>
    <t xml:space="preserve">"nastoupit-001"</t>
  </si>
  <si>
    <t xml:space="preserve">ACT-&gt;ARG0/340,ARG1/3</t>
  </si>
  <si>
    <t xml:space="preserve">PAT: 4; na+4; do+2; k+3</t>
  </si>
  <si>
    <t xml:space="preserve">PAT-&gt;ARG1/189,ARG2/2,ARG4/1</t>
  </si>
  <si>
    <t xml:space="preserve">"nastoupit-002"</t>
  </si>
  <si>
    <t xml:space="preserve">ACT-&gt;ARG0/212,ARG1/174</t>
  </si>
  <si>
    <t xml:space="preserve">LOC-&gt;ARG1/141</t>
  </si>
  <si>
    <t xml:space="preserve">"nastoupit-003"</t>
  </si>
  <si>
    <t xml:space="preserve">ACT-&gt;ARG0/3,ARG1/78</t>
  </si>
  <si>
    <t xml:space="preserve">"nastoupit-004"</t>
  </si>
  <si>
    <t xml:space="preserve">ACT-&gt;ARG0/498,ARG1/152</t>
  </si>
  <si>
    <t xml:space="preserve">DIR3-&gt;ARG1/480,ARG2/26</t>
  </si>
  <si>
    <t xml:space="preserve">DIR3-&gt;ARG1/232</t>
  </si>
  <si>
    <t xml:space="preserve">"nastoupit-005"</t>
  </si>
  <si>
    <t xml:space="preserve">?PAT: na+4,do+2</t>
  </si>
  <si>
    <t xml:space="preserve">"nastražit-001"</t>
  </si>
  <si>
    <t xml:space="preserve">"nastrkat-001"</t>
  </si>
  <si>
    <t xml:space="preserve">"nastrojit-001"</t>
  </si>
  <si>
    <t xml:space="preserve">"nastrouhat-001"</t>
  </si>
  <si>
    <t xml:space="preserve">"nastrčit-001"</t>
  </si>
  <si>
    <t xml:space="preserve">"nastrčit-002"</t>
  </si>
  <si>
    <t xml:space="preserve">"nastudovat-001"</t>
  </si>
  <si>
    <t xml:space="preserve">"nastudovat-002"</t>
  </si>
  <si>
    <t xml:space="preserve">"nastupovat-001"</t>
  </si>
  <si>
    <t xml:space="preserve">ACT-&gt;ARG0/212</t>
  </si>
  <si>
    <t xml:space="preserve">PAT-&gt;ARG1/141</t>
  </si>
  <si>
    <t xml:space="preserve">"nastupovat-002"</t>
  </si>
  <si>
    <t xml:space="preserve">"nastupovat-003"</t>
  </si>
  <si>
    <t xml:space="preserve">"nastupovat-004"</t>
  </si>
  <si>
    <t xml:space="preserve">ACT-&gt;ARG0/155,ARG2/8</t>
  </si>
  <si>
    <t xml:space="preserve">DIR3-&gt;ARG1/37</t>
  </si>
  <si>
    <t xml:space="preserve">"nastydnout-001"</t>
  </si>
  <si>
    <t xml:space="preserve">"nastávat-001"</t>
  </si>
  <si>
    <t xml:space="preserve">ACT-&gt;ARG1/668</t>
  </si>
  <si>
    <t xml:space="preserve">"nastínit-001"</t>
  </si>
  <si>
    <t xml:space="preserve">"nastěhovat-001"</t>
  </si>
  <si>
    <t xml:space="preserve">ACT-&gt;ARG0/353,ARG1/84,ARG2/1</t>
  </si>
  <si>
    <t xml:space="preserve">PAT-&gt;ARG0/5,ARG1/266,ARG2/146,ARGM-LOC/1</t>
  </si>
  <si>
    <t xml:space="preserve">DIR3-&gt;ARG1/416,ARG2/2,ARG4/1,ARGM-LOC/23</t>
  </si>
  <si>
    <t xml:space="preserve">"nastěhovat-se-001"</t>
  </si>
  <si>
    <t xml:space="preserve">ACT-&gt;ARG0/5,ARG1/77</t>
  </si>
  <si>
    <t xml:space="preserve">ACT-&gt;ARG0/358,ARG1/350,ARG2/147,ARGM-LOC/1</t>
  </si>
  <si>
    <t xml:space="preserve">"nastřelit-001"</t>
  </si>
  <si>
    <t xml:space="preserve">"nastřihávat-001"</t>
  </si>
  <si>
    <t xml:space="preserve">"nastříkat-001"</t>
  </si>
  <si>
    <t xml:space="preserve">"nastříkat-002"</t>
  </si>
  <si>
    <t xml:space="preserve">"nastřílet-001"</t>
  </si>
  <si>
    <t xml:space="preserve">"nastřílet-002"</t>
  </si>
  <si>
    <t xml:space="preserve">"nasušit-001"</t>
  </si>
  <si>
    <t xml:space="preserve">"nasvědčovat-001"</t>
  </si>
  <si>
    <t xml:space="preserve">PAT: 3; ↓že; ↓c</t>
  </si>
  <si>
    <t xml:space="preserve">"nasycovat-se-001"</t>
  </si>
  <si>
    <t xml:space="preserve">"nasypat-001"</t>
  </si>
  <si>
    <t xml:space="preserve">"nasytit-001"</t>
  </si>
  <si>
    <t xml:space="preserve">"nasát-001"</t>
  </si>
  <si>
    <t xml:space="preserve">"nasávat-001"</t>
  </si>
  <si>
    <t xml:space="preserve">"nasávat-002"</t>
  </si>
  <si>
    <t xml:space="preserve">"nasázet-001"</t>
  </si>
  <si>
    <t xml:space="preserve">"nasčítat-001"</t>
  </si>
  <si>
    <t xml:space="preserve">"nasčítat-002"</t>
  </si>
  <si>
    <t xml:space="preserve">"natahovat-001"</t>
  </si>
  <si>
    <t xml:space="preserve">"natahovat-002"</t>
  </si>
  <si>
    <t xml:space="preserve">"natahovat-003"</t>
  </si>
  <si>
    <t xml:space="preserve">"natahovat-se-001"</t>
  </si>
  <si>
    <t xml:space="preserve">ACT-&gt;ARG0/1,ARG1/2</t>
  </si>
  <si>
    <t xml:space="preserve">"natankovat-001"</t>
  </si>
  <si>
    <t xml:space="preserve">"natlačit-se-001"</t>
  </si>
  <si>
    <t xml:space="preserve">"natlouci-001"</t>
  </si>
  <si>
    <t xml:space="preserve">"natlouci-002"</t>
  </si>
  <si>
    <t xml:space="preserve">"natočit-001"</t>
  </si>
  <si>
    <t xml:space="preserve">ACT-&gt;ARG0/407,ARG1/4,ARG2/3,ARG3/1</t>
  </si>
  <si>
    <t xml:space="preserve">PAT-&gt;ARG1/611</t>
  </si>
  <si>
    <t xml:space="preserve">"natočit-002"</t>
  </si>
  <si>
    <t xml:space="preserve">"natočit-003"</t>
  </si>
  <si>
    <t xml:space="preserve">"natrefit-001"</t>
  </si>
  <si>
    <t xml:space="preserve">"natrhat-001"</t>
  </si>
  <si>
    <t xml:space="preserve">"natrhnout-001"</t>
  </si>
  <si>
    <t xml:space="preserve">"natrénovat-001"</t>
  </si>
  <si>
    <t xml:space="preserve">"naturalizovat-se-001"</t>
  </si>
  <si>
    <t xml:space="preserve">"natáhnout-001"</t>
  </si>
  <si>
    <t xml:space="preserve">"natáhnout-002"</t>
  </si>
  <si>
    <t xml:space="preserve">"natáhnout-003"</t>
  </si>
  <si>
    <t xml:space="preserve">"natáhnout-004"</t>
  </si>
  <si>
    <t xml:space="preserve">"natáhnout-se-001"</t>
  </si>
  <si>
    <t xml:space="preserve">"natáhnout-se-002"</t>
  </si>
  <si>
    <t xml:space="preserve">"natáčet-001"</t>
  </si>
  <si>
    <t xml:space="preserve">ACT-&gt;ARG0/479,ARG1/7,ARG2/3,ARG3/1</t>
  </si>
  <si>
    <t xml:space="preserve">PAT-&gt;ARG1/720</t>
  </si>
  <si>
    <t xml:space="preserve">"natáčet-002"</t>
  </si>
  <si>
    <t xml:space="preserve">"--natáčet-003"</t>
  </si>
  <si>
    <t xml:space="preserve">"natéci-001"</t>
  </si>
  <si>
    <t xml:space="preserve">"natéci-002"</t>
  </si>
  <si>
    <t xml:space="preserve">"natírat-001"</t>
  </si>
  <si>
    <t xml:space="preserve">"natěsnat-se-001"</t>
  </si>
  <si>
    <t xml:space="preserve">"natěsnat-se-002"</t>
  </si>
  <si>
    <t xml:space="preserve">ACT-&gt;ARG0/22,ARG1/7,ARG2/2</t>
  </si>
  <si>
    <t xml:space="preserve">"natřepat-001"</t>
  </si>
  <si>
    <t xml:space="preserve">"natřít-001"</t>
  </si>
  <si>
    <t xml:space="preserve">"natřít-002"</t>
  </si>
  <si>
    <t xml:space="preserve">"naučit-001"</t>
  </si>
  <si>
    <t xml:space="preserve">ACT-&gt;ARG0/44,ARG1/2</t>
  </si>
  <si>
    <t xml:space="preserve">PAT: 4; 3; .f; ↓aby; ↓že; ↓c</t>
  </si>
  <si>
    <t xml:space="preserve">PAT-&gt;ARG1/57,ARG2/5</t>
  </si>
  <si>
    <t xml:space="preserve">PAT-&gt;ARG1/40,ARG2/11</t>
  </si>
  <si>
    <t xml:space="preserve">ADDR-&gt;ARG1/7,ARG2/20</t>
  </si>
  <si>
    <t xml:space="preserve">ADDR-&gt;ARG1/13,ARG2/19</t>
  </si>
  <si>
    <t xml:space="preserve">PAT-&gt;ARG1/39,ARG2/3</t>
  </si>
  <si>
    <t xml:space="preserve">"naučit-se-001"</t>
  </si>
  <si>
    <t xml:space="preserve">ACT-&gt;ARG0/154</t>
  </si>
  <si>
    <t xml:space="preserve">PAT-&gt;ARG1/190,ARG2/3</t>
  </si>
  <si>
    <t xml:space="preserve">"naučit-se-002"</t>
  </si>
  <si>
    <t xml:space="preserve">"navalit-se-001"</t>
  </si>
  <si>
    <t xml:space="preserve">ACT-&gt;ARG0/11,ARG1/1,ARG2/5</t>
  </si>
  <si>
    <t xml:space="preserve">"navazovat-001"</t>
  </si>
  <si>
    <t xml:space="preserve">"navazovat-002"</t>
  </si>
  <si>
    <t xml:space="preserve">ACT-&gt;ARG0/215,ARG1/162</t>
  </si>
  <si>
    <t xml:space="preserve">PAT-&gt;ARG1/287</t>
  </si>
  <si>
    <t xml:space="preserve">"navazovat-003"</t>
  </si>
  <si>
    <t xml:space="preserve">CPHR: {dialog,kontakt,přátelství,smlouva,spojení,spolupráce,styk,vztah,známost,...}.4</t>
  </si>
  <si>
    <t xml:space="preserve">"navazovat-004"</t>
  </si>
  <si>
    <t xml:space="preserve">"navařit-001"</t>
  </si>
  <si>
    <t xml:space="preserve">"navařit-002"</t>
  </si>
  <si>
    <t xml:space="preserve">"naverbovat-001"</t>
  </si>
  <si>
    <t xml:space="preserve">"navečeřet-se-001"</t>
  </si>
  <si>
    <t xml:space="preserve">"navlhnout-001"</t>
  </si>
  <si>
    <t xml:space="preserve">"navlékat-001"</t>
  </si>
  <si>
    <t xml:space="preserve">"navlékat-002"</t>
  </si>
  <si>
    <t xml:space="preserve">"navléknout-001"</t>
  </si>
  <si>
    <t xml:space="preserve">"navléknout-002"</t>
  </si>
  <si>
    <t xml:space="preserve">"navléknout-003"</t>
  </si>
  <si>
    <t xml:space="preserve">"--navlíknout-001"</t>
  </si>
  <si>
    <t xml:space="preserve">"navlíknout-002"</t>
  </si>
  <si>
    <t xml:space="preserve">"navlíknout-003"</t>
  </si>
  <si>
    <t xml:space="preserve">"navodit-001"</t>
  </si>
  <si>
    <t xml:space="preserve">"navodit-002"</t>
  </si>
  <si>
    <t xml:space="preserve">CPHR: {dojem,imunita,nostalgie,pocit,pohoršení,touha,...}.4</t>
  </si>
  <si>
    <t xml:space="preserve">CPHR-&gt;ARG1/12</t>
  </si>
  <si>
    <t xml:space="preserve">"navonět-001"</t>
  </si>
  <si>
    <t xml:space="preserve">"navozit-001"</t>
  </si>
  <si>
    <t xml:space="preserve">"navozovat-001"</t>
  </si>
  <si>
    <t xml:space="preserve">CPHR: {atmosféra,dojem,imunita,myšlenka,nestálost,nostalgie,pocit,pohoršení,představa,touha,...}.4</t>
  </si>
  <si>
    <t xml:space="preserve">"navracet-001"</t>
  </si>
  <si>
    <t xml:space="preserve">PAT-&gt;ARG1/178,ARG2/2</t>
  </si>
  <si>
    <t xml:space="preserve">ADDR-&gt;ARG1/1,ARG2/17</t>
  </si>
  <si>
    <t xml:space="preserve">"navracet-002"</t>
  </si>
  <si>
    <t xml:space="preserve">ACT-&gt;ARG0/94</t>
  </si>
  <si>
    <t xml:space="preserve">PAT-&gt;ARG1/183,ARG2/2</t>
  </si>
  <si>
    <t xml:space="preserve">DIR3-&gt;ARG1/1,ARG2/17</t>
  </si>
  <si>
    <t xml:space="preserve">"navracet-se-001"</t>
  </si>
  <si>
    <t xml:space="preserve">ACT-&gt;ARG1/56</t>
  </si>
  <si>
    <t xml:space="preserve">ACT-&gt;ARG0/6,ARG1/28</t>
  </si>
  <si>
    <t xml:space="preserve">DIR3-&gt;ARG1/5</t>
  </si>
  <si>
    <t xml:space="preserve">"navracet-se-002"</t>
  </si>
  <si>
    <t xml:space="preserve">"navrhnout-001"</t>
  </si>
  <si>
    <t xml:space="preserve">ACT-&gt;ARG0/12787,ARG1/36</t>
  </si>
  <si>
    <t xml:space="preserve">PAT: 4; ↓že; ↓zda; ↓aby; ↓ať; .f; ↓c; .s</t>
  </si>
  <si>
    <t xml:space="preserve">PAT-&gt;ARG0/2,ARG1/11203,ARG2/2</t>
  </si>
  <si>
    <t xml:space="preserve">ADDR-&gt;ARG1/3,ARG2/30,ARG3/7</t>
  </si>
  <si>
    <t xml:space="preserve">ADDR-&gt;ARG1/3,ARG2/16,ARG3/7</t>
  </si>
  <si>
    <t xml:space="preserve">"navrhnout-002"</t>
  </si>
  <si>
    <t xml:space="preserve">ACT-&gt;ARG0/563,ARG2/1</t>
  </si>
  <si>
    <t xml:space="preserve">PAT-&gt;ARG1/737</t>
  </si>
  <si>
    <t xml:space="preserve">ADDR-&gt;ARG1/3,ARG2/11,ARG3/6</t>
  </si>
  <si>
    <t xml:space="preserve">"navrhnout-003"</t>
  </si>
  <si>
    <t xml:space="preserve">?EFF: na+4; za+4</t>
  </si>
  <si>
    <t xml:space="preserve">"navrhnout-004"</t>
  </si>
  <si>
    <t xml:space="preserve">ACT-&gt;ARG0/328,ARG1/1</t>
  </si>
  <si>
    <t xml:space="preserve">PAT-&gt;ARG1/408</t>
  </si>
  <si>
    <t xml:space="preserve">"navrhovat-001"</t>
  </si>
  <si>
    <t xml:space="preserve">ACT-&gt;ARG0/302</t>
  </si>
  <si>
    <t xml:space="preserve">PAT-&gt;ARG1/308,ARG2/7</t>
  </si>
  <si>
    <t xml:space="preserve">ADDR-&gt;ARG1/2,ARG2/2,ARG3/6</t>
  </si>
  <si>
    <t xml:space="preserve">"navrhovat-002"</t>
  </si>
  <si>
    <t xml:space="preserve">PAT-&gt;ARG1/283</t>
  </si>
  <si>
    <t xml:space="preserve">ADDR-&gt;ARG2/1,ARG3/6</t>
  </si>
  <si>
    <t xml:space="preserve">"navrhovat-003"</t>
  </si>
  <si>
    <t xml:space="preserve">"navrhovat-004"</t>
  </si>
  <si>
    <t xml:space="preserve">ACT-&gt;ARG0/203</t>
  </si>
  <si>
    <t xml:space="preserve">PAT-&gt;ARG1/406</t>
  </si>
  <si>
    <t xml:space="preserve">"navrtat-001"</t>
  </si>
  <si>
    <t xml:space="preserve">"navrtávat-001"</t>
  </si>
  <si>
    <t xml:space="preserve">"navrátit-001"</t>
  </si>
  <si>
    <t xml:space="preserve">PAT-&gt;ARG1/81,ARG2/1</t>
  </si>
  <si>
    <t xml:space="preserve">"navrátit-002"</t>
  </si>
  <si>
    <t xml:space="preserve">DIR3-&gt;ARG1/1,ARG2/10</t>
  </si>
  <si>
    <t xml:space="preserve">"navrátit-se-001"</t>
  </si>
  <si>
    <t xml:space="preserve">"navrátit-se-002"</t>
  </si>
  <si>
    <t xml:space="preserve">ACT-&gt;ARG1/20</t>
  </si>
  <si>
    <t xml:space="preserve">"navršit-001"</t>
  </si>
  <si>
    <t xml:space="preserve">"navršit-002"</t>
  </si>
  <si>
    <t xml:space="preserve">"navršit-003"</t>
  </si>
  <si>
    <t xml:space="preserve">"navršit-se-001"</t>
  </si>
  <si>
    <t xml:space="preserve">"navršovat-001"</t>
  </si>
  <si>
    <t xml:space="preserve">"navyknout-si-001"</t>
  </si>
  <si>
    <t xml:space="preserve">"navyšovat-001"</t>
  </si>
  <si>
    <t xml:space="preserve">ACT-&gt;ARG0/209,ARG1/6</t>
  </si>
  <si>
    <t xml:space="preserve">PAT-&gt;ARG1/399,ARG2/1,ARG4/6</t>
  </si>
  <si>
    <t xml:space="preserve">ORIG-&gt;ARG2/13,ARG3/35</t>
  </si>
  <si>
    <t xml:space="preserve">EFF-&gt;ARG4/72</t>
  </si>
  <si>
    <t xml:space="preserve">"navzdouvat-se-001"</t>
  </si>
  <si>
    <t xml:space="preserve">"navádět-001"</t>
  </si>
  <si>
    <t xml:space="preserve">"navádět-002"</t>
  </si>
  <si>
    <t xml:space="preserve">?PAT: k+3; ↓aby; ↓ať; .s; ↓c</t>
  </si>
  <si>
    <t xml:space="preserve">"navázat-001"</t>
  </si>
  <si>
    <t xml:space="preserve">"navázat-002"</t>
  </si>
  <si>
    <t xml:space="preserve">ACT-&gt;ARG0/216,ARG1/162</t>
  </si>
  <si>
    <t xml:space="preserve">PAT-&gt;ARG1/291</t>
  </si>
  <si>
    <t xml:space="preserve">"navázat-003"</t>
  </si>
  <si>
    <t xml:space="preserve">CPHR: {dialog,kontakt,přátelství,smlouva,spojení,spolupráce,styk,vztah,...}.4</t>
  </si>
  <si>
    <t xml:space="preserve">CPHR-&gt;ARG1/1</t>
  </si>
  <si>
    <t xml:space="preserve">CPHR-&gt;ARG1/20</t>
  </si>
  <si>
    <t xml:space="preserve">"navázat-004"</t>
  </si>
  <si>
    <t xml:space="preserve">EFF-&gt;ARG1/40</t>
  </si>
  <si>
    <t xml:space="preserve">"navázat-005"</t>
  </si>
  <si>
    <t xml:space="preserve">"navážet-001"</t>
  </si>
  <si>
    <t xml:space="preserve">"navážet-se-001"</t>
  </si>
  <si>
    <t xml:space="preserve">"navést-001"</t>
  </si>
  <si>
    <t xml:space="preserve">ADDR-&gt;ARG1/97</t>
  </si>
  <si>
    <t xml:space="preserve">"navést-002"</t>
  </si>
  <si>
    <t xml:space="preserve">"navézt-001"</t>
  </si>
  <si>
    <t xml:space="preserve">PAT-&gt;ARG0/1,ARG1/248,ARG2/1,ARG3/1</t>
  </si>
  <si>
    <t xml:space="preserve">"navíjet-001"</t>
  </si>
  <si>
    <t xml:space="preserve">"navýšit-001"</t>
  </si>
  <si>
    <t xml:space="preserve">ACT-&gt;ARG0/438,ARG1/237</t>
  </si>
  <si>
    <t xml:space="preserve">PAT-&gt;ARG1/779,ARG2/1,ARG4/6</t>
  </si>
  <si>
    <t xml:space="preserve">ORIG-&gt;ARG2/13,ARG3/94</t>
  </si>
  <si>
    <t xml:space="preserve">EFF-&gt;ARG1/1,ARG2/7,ARG4/523</t>
  </si>
  <si>
    <t xml:space="preserve">"navýšit-002"</t>
  </si>
  <si>
    <t xml:space="preserve">PAT-&gt;ARG1/144</t>
  </si>
  <si>
    <t xml:space="preserve">"navýšit-se-001"</t>
  </si>
  <si>
    <t xml:space="preserve">"navěsit-001"</t>
  </si>
  <si>
    <t xml:space="preserve">"navštívit-001"</t>
  </si>
  <si>
    <t xml:space="preserve">ACT-&gt;ARG0/72,ARG1/180</t>
  </si>
  <si>
    <t xml:space="preserve">PAT-&gt;ARG1/81,ARG4/3</t>
  </si>
  <si>
    <t xml:space="preserve">"navštívit-002"</t>
  </si>
  <si>
    <t xml:space="preserve">"navštěvovat-001"</t>
  </si>
  <si>
    <t xml:space="preserve">PAT-&gt;ARG1/158</t>
  </si>
  <si>
    <t xml:space="preserve">"navštěvovat-002"</t>
  </si>
  <si>
    <t xml:space="preserve">"--navštěvovat-se-001"</t>
  </si>
  <si>
    <t xml:space="preserve">"naznačit-001"</t>
  </si>
  <si>
    <t xml:space="preserve">ACT-&gt;ARG0/12545,ARG1/37</t>
  </si>
  <si>
    <t xml:space="preserve">ACT-&gt;ARG0/632,ARG1/1</t>
  </si>
  <si>
    <t xml:space="preserve">ACT-&gt;ARG0/580,ARG1/1</t>
  </si>
  <si>
    <t xml:space="preserve">PAT-&gt;ARG0/3,ARG1/11013,ARG2/2</t>
  </si>
  <si>
    <t xml:space="preserve">PAT-&gt;ARG0/1,ARG1/705</t>
  </si>
  <si>
    <t xml:space="preserve">PAT-&gt;ARG1/650</t>
  </si>
  <si>
    <t xml:space="preserve">ADDR-&gt;ARG0/1,ARG2/13</t>
  </si>
  <si>
    <t xml:space="preserve">ADDR-&gt;ARG0/1,ARG2/5</t>
  </si>
  <si>
    <t xml:space="preserve">ADDR-&gt;ARG2/5</t>
  </si>
  <si>
    <t xml:space="preserve">"naznačovat-001"</t>
  </si>
  <si>
    <t xml:space="preserve">ACT-&gt;ARG0/765,ARG1/3</t>
  </si>
  <si>
    <t xml:space="preserve">PAT-&gt;ARG0/1,ARG1/845</t>
  </si>
  <si>
    <t xml:space="preserve">ADDR-&gt;ARG0/1,ARG1/2,ARG2/327</t>
  </si>
  <si>
    <t xml:space="preserve">"naznačovat-002"</t>
  </si>
  <si>
    <t xml:space="preserve">ACT-&gt;ARG0/449,ARG1/1</t>
  </si>
  <si>
    <t xml:space="preserve">EFF-&gt;ARG0/1,ARG1/269</t>
  </si>
  <si>
    <t xml:space="preserve">EFF-&gt;ARG0/1,ARG1/705</t>
  </si>
  <si>
    <t xml:space="preserve">EFF-&gt;ARG1/650</t>
  </si>
  <si>
    <t xml:space="preserve">"nazout-001"</t>
  </si>
  <si>
    <t xml:space="preserve">"nazpívat-001"</t>
  </si>
  <si>
    <t xml:space="preserve">"nazrát-001"</t>
  </si>
  <si>
    <t xml:space="preserve">ACT-&gt;ARG0/2,ARG1/243</t>
  </si>
  <si>
    <t xml:space="preserve">"nazvat-001"</t>
  </si>
  <si>
    <t xml:space="preserve">PAT-&gt;ARG1/225,ARG2/1</t>
  </si>
  <si>
    <t xml:space="preserve">PAT-&gt;ARG1/232,ARG2/3</t>
  </si>
  <si>
    <t xml:space="preserve">EFF: 1; 7</t>
  </si>
  <si>
    <t xml:space="preserve">EFF-&gt;ARG1/1,ARG2/375,ARG3/10</t>
  </si>
  <si>
    <t xml:space="preserve">EFF-&gt;ARG1/1,ARG2/382,ARG3/10</t>
  </si>
  <si>
    <t xml:space="preserve">"nazvat-002"</t>
  </si>
  <si>
    <t xml:space="preserve">ACT-&gt;ARG0/179</t>
  </si>
  <si>
    <t xml:space="preserve">PAT-&gt;ARG1/202</t>
  </si>
  <si>
    <t xml:space="preserve">MANN-&gt;ARG1/1,ARG2/344</t>
  </si>
  <si>
    <t xml:space="preserve">MANN-&gt;ARG1/1,ARG2/382,ARG3/10</t>
  </si>
  <si>
    <t xml:space="preserve">"nazírat-001"</t>
  </si>
  <si>
    <t xml:space="preserve">"nazývat-001"</t>
  </si>
  <si>
    <t xml:space="preserve">ACT-&gt;ARG0/191</t>
  </si>
  <si>
    <t xml:space="preserve">EFF-&gt;ARG0/1,ARG1/1,ARG2/373</t>
  </si>
  <si>
    <t xml:space="preserve">"nazývat-002"</t>
  </si>
  <si>
    <t xml:space="preserve">"nazývat-se-001"</t>
  </si>
  <si>
    <t xml:space="preserve">ACT-&gt;ARG1/228</t>
  </si>
  <si>
    <t xml:space="preserve">PAT: 1; 7</t>
  </si>
  <si>
    <t xml:space="preserve">PAT-&gt;ARG1/1,ARG2/423</t>
  </si>
  <si>
    <t xml:space="preserve">"nazývat-se-002"</t>
  </si>
  <si>
    <t xml:space="preserve">ACT-&gt;ARG1/202</t>
  </si>
  <si>
    <t xml:space="preserve">"naúčtovat-001"</t>
  </si>
  <si>
    <t xml:space="preserve">"načančat-001"</t>
  </si>
  <si>
    <t xml:space="preserve">"načapat-001"</t>
  </si>
  <si>
    <t xml:space="preserve">"načasovat-001"</t>
  </si>
  <si>
    <t xml:space="preserve">"načasovat-002"</t>
  </si>
  <si>
    <t xml:space="preserve">"načechrat-001"</t>
  </si>
  <si>
    <t xml:space="preserve">"načepovat-001"</t>
  </si>
  <si>
    <t xml:space="preserve">"načepovat-002"</t>
  </si>
  <si>
    <t xml:space="preserve">"načerpat-001"</t>
  </si>
  <si>
    <t xml:space="preserve">?ORIG: z+2; na+6; od+2</t>
  </si>
  <si>
    <t xml:space="preserve">"načesat-001"</t>
  </si>
  <si>
    <t xml:space="preserve">"načmárat-001"</t>
  </si>
  <si>
    <t xml:space="preserve">"načrtnout-001"</t>
  </si>
  <si>
    <t xml:space="preserve">"načrtávat-001"</t>
  </si>
  <si>
    <t xml:space="preserve">"načíst-001"</t>
  </si>
  <si>
    <t xml:space="preserve">"načít-001"</t>
  </si>
  <si>
    <t xml:space="preserve">"načítat-001"</t>
  </si>
  <si>
    <t xml:space="preserve">"nařezat-001"</t>
  </si>
  <si>
    <t xml:space="preserve">ACT-&gt;ARG0/55,ARG1/6</t>
  </si>
  <si>
    <t xml:space="preserve">PAT-&gt;ARG1/116,ARG2/2</t>
  </si>
  <si>
    <t xml:space="preserve">EFF-&gt;ARG1/2,ARG2/17,ARG3/1</t>
  </si>
  <si>
    <t xml:space="preserve">"nařizovat-001"</t>
  </si>
  <si>
    <t xml:space="preserve">ACT-&gt;ARG0/782,ARG1/5,ARG2/4</t>
  </si>
  <si>
    <t xml:space="preserve">PAT-&gt;ARG1/1085,ARG2/2</t>
  </si>
  <si>
    <t xml:space="preserve">ADDR-&gt;ARG1/27,ARG2/488</t>
  </si>
  <si>
    <t xml:space="preserve">"nařizovat-002"</t>
  </si>
  <si>
    <t xml:space="preserve">"nařknout-001"</t>
  </si>
  <si>
    <t xml:space="preserve">ADDR-&gt;ARG1/81</t>
  </si>
  <si>
    <t xml:space="preserve">?PAT: z+2; ↓že</t>
  </si>
  <si>
    <t xml:space="preserve">PAT-&gt;ARG1/29,ARG2/91</t>
  </si>
  <si>
    <t xml:space="preserve">"nařídit-001"</t>
  </si>
  <si>
    <t xml:space="preserve">ACT-&gt;ARG0/430,ARG1/3,ARG2/4</t>
  </si>
  <si>
    <t xml:space="preserve">PAT-&gt;ARG1/538,ARG2/74</t>
  </si>
  <si>
    <t xml:space="preserve">ADDR-&gt;ARG1/67,ARG2/201</t>
  </si>
  <si>
    <t xml:space="preserve">"nařídit-002"</t>
  </si>
  <si>
    <t xml:space="preserve">"naříkat-001"</t>
  </si>
  <si>
    <t xml:space="preserve">ACT-&gt;ARG0/113,ARG1/1</t>
  </si>
  <si>
    <t xml:space="preserve">"naříznout-001"</t>
  </si>
  <si>
    <t xml:space="preserve">"našeptávat-001"</t>
  </si>
  <si>
    <t xml:space="preserve">EFF: 4; ↓že; ↓ať; ↓aby; ↓jestli; ↓zda; .s; ↓c</t>
  </si>
  <si>
    <t xml:space="preserve">"našetřit-001"</t>
  </si>
  <si>
    <t xml:space="preserve">ACT-&gt;ARG0/16,ARG3/4</t>
  </si>
  <si>
    <t xml:space="preserve">"našlapat-001"</t>
  </si>
  <si>
    <t xml:space="preserve">"našlapat-002"</t>
  </si>
  <si>
    <t xml:space="preserve">"našlapovat-001"</t>
  </si>
  <si>
    <t xml:space="preserve">"našlápnout-001"</t>
  </si>
  <si>
    <t xml:space="preserve">"našlápnout-002"</t>
  </si>
  <si>
    <t xml:space="preserve">"naštvat-001"</t>
  </si>
  <si>
    <t xml:space="preserve">ACT-&gt;ARG0/15,ARG1/2</t>
  </si>
  <si>
    <t xml:space="preserve">PAT-&gt;ARG0/5,ARG1/20</t>
  </si>
  <si>
    <t xml:space="preserve">"našít-001"</t>
  </si>
  <si>
    <t xml:space="preserve">"naťukat-001"</t>
  </si>
  <si>
    <t xml:space="preserve">"nažehlit-001"</t>
  </si>
  <si>
    <t xml:space="preserve">"nažrat-001"</t>
  </si>
  <si>
    <t xml:space="preserve">"nažrat-se-001"</t>
  </si>
  <si>
    <t xml:space="preserve">"nechat-001"</t>
  </si>
  <si>
    <t xml:space="preserve">ADDR-&gt;ARG1/48,ARG2/3</t>
  </si>
  <si>
    <t xml:space="preserve">"nechat-002"</t>
  </si>
  <si>
    <t xml:space="preserve">ADDR: na+6</t>
  </si>
  <si>
    <t xml:space="preserve">"nechat-003"</t>
  </si>
  <si>
    <t xml:space="preserve">PAT-&gt;ARG0/2,ARG1/112</t>
  </si>
  <si>
    <t xml:space="preserve">ADDR-&gt;ARG1/4,ARG2/13</t>
  </si>
  <si>
    <t xml:space="preserve">"nechat-004"</t>
  </si>
  <si>
    <t xml:space="preserve">PAT-&gt;ARG0/2,ARG1/91,ARG2/3</t>
  </si>
  <si>
    <t xml:space="preserve">EFF: 4[{jako,jakožto}:/AuxY]; za+4; 7</t>
  </si>
  <si>
    <t xml:space="preserve">EFF-&gt;ARG1/81,ARG2/46</t>
  </si>
  <si>
    <t xml:space="preserve">"nechat-005"</t>
  </si>
  <si>
    <t xml:space="preserve">PAT: 4; ↓jestli</t>
  </si>
  <si>
    <t xml:space="preserve">EFF: .a; .f; ↓aby</t>
  </si>
  <si>
    <t xml:space="preserve">PAT-&gt;ARG0/2,ARG1/298,ARG2/3</t>
  </si>
  <si>
    <t xml:space="preserve">EFF-&gt;ARG1/438,ARG2/61</t>
  </si>
  <si>
    <t xml:space="preserve">ACT-&gt;ARG0/528,ARG1/2</t>
  </si>
  <si>
    <t xml:space="preserve">PAT-&gt;ARG0/2,ARG1/601,ARG2/4</t>
  </si>
  <si>
    <t xml:space="preserve">EFF-&gt;ARG1/686,ARG2/46</t>
  </si>
  <si>
    <t xml:space="preserve">PAT-&gt;ARG1/173,ARG2/3</t>
  </si>
  <si>
    <t xml:space="preserve">PAT-&gt;ARG1/455,ARG2/84</t>
  </si>
  <si>
    <t xml:space="preserve">EFF-&gt;ARG1/122,ARG2/46</t>
  </si>
  <si>
    <t xml:space="preserve">EFF-&gt;ARG1/540,ARG2/3</t>
  </si>
  <si>
    <t xml:space="preserve">"nechat-006"</t>
  </si>
  <si>
    <t xml:space="preserve">PAT-&gt;ARG1/127,ARG2/3</t>
  </si>
  <si>
    <t xml:space="preserve">LOC-&gt;ARG1/3,ARG2/50</t>
  </si>
  <si>
    <t xml:space="preserve">"nechat-007"</t>
  </si>
  <si>
    <t xml:space="preserve">ALT-ACMP: =</t>
  </si>
  <si>
    <t xml:space="preserve">ALT-MANN: =</t>
  </si>
  <si>
    <t xml:space="preserve">"nechat-008"</t>
  </si>
  <si>
    <t xml:space="preserve">ACT-&gt;ARG0/108,ARG1/14</t>
  </si>
  <si>
    <t xml:space="preserve">PAT-&gt;ARG1/199,ARG2/1</t>
  </si>
  <si>
    <t xml:space="preserve">"nechat-009"</t>
  </si>
  <si>
    <t xml:space="preserve">ACT-&gt;ARG0/2375,ARG1/269,ARG2/1</t>
  </si>
  <si>
    <t xml:space="preserve">PAT-&gt;ARG0/1,ARG1/2566,ARG2/216</t>
  </si>
  <si>
    <t xml:space="preserve">"nechat-010"</t>
  </si>
  <si>
    <t xml:space="preserve">DPHR: na-1[pochyba.P6]</t>
  </si>
  <si>
    <t xml:space="preserve">"nechat-011"</t>
  </si>
  <si>
    <t xml:space="preserve">DPHR: kámen.S4,na-1[kámen.S6]</t>
  </si>
  <si>
    <t xml:space="preserve">"nechat-012"</t>
  </si>
  <si>
    <t xml:space="preserve">DPHR: na-1[holička.6]</t>
  </si>
  <si>
    <t xml:space="preserve">"nechat-013"</t>
  </si>
  <si>
    <t xml:space="preserve">DPHR: na-1[pochyba.6]</t>
  </si>
  <si>
    <t xml:space="preserve">"nechat-014"</t>
  </si>
  <si>
    <t xml:space="preserve">DPHR: na-1[pokoj.6]</t>
  </si>
  <si>
    <t xml:space="preserve">PAT-&gt;ARG1/25,ARG2/1</t>
  </si>
  <si>
    <t xml:space="preserve">"nechat-015"</t>
  </si>
  <si>
    <t xml:space="preserve">"nechat-016"</t>
  </si>
  <si>
    <t xml:space="preserve">DPHR: ujít-2.f[se.S3]</t>
  </si>
  <si>
    <t xml:space="preserve">DPHR-&gt;ARG1/623</t>
  </si>
  <si>
    <t xml:space="preserve">"nechat-017"</t>
  </si>
  <si>
    <t xml:space="preserve">"nechat-018"</t>
  </si>
  <si>
    <t xml:space="preserve">DPHR: ten:NS,tak-3.d</t>
  </si>
  <si>
    <t xml:space="preserve">"nechat-019"</t>
  </si>
  <si>
    <t xml:space="preserve">DPHR: ruka:S4[volný4.#]; ruka:P4[volný4.#]</t>
  </si>
  <si>
    <t xml:space="preserve">DPHR-&gt;ARG1/3,ARG2/46</t>
  </si>
  <si>
    <t xml:space="preserve">"nechat-020"</t>
  </si>
  <si>
    <t xml:space="preserve">DPHR: za-1[se.S7]</t>
  </si>
  <si>
    <t xml:space="preserve">"nechat-021"</t>
  </si>
  <si>
    <t xml:space="preserve">DPHR: se.3$2&lt;7&gt;,líbit.f</t>
  </si>
  <si>
    <t xml:space="preserve">"--nechat-022"</t>
  </si>
  <si>
    <t xml:space="preserve">MANN: =</t>
  </si>
  <si>
    <t xml:space="preserve">"--nechat-023"</t>
  </si>
  <si>
    <t xml:space="preserve">DPHR: být</t>
  </si>
  <si>
    <t xml:space="preserve">"nechat-si-001"</t>
  </si>
  <si>
    <t xml:space="preserve">"nechat-si-002"</t>
  </si>
  <si>
    <t xml:space="preserve">ACT-&gt;ARG0/258,ARG1/1,ARG2/21</t>
  </si>
  <si>
    <t xml:space="preserve">ACT-&gt;ARG0/257,ARG1/1,ARG2/19</t>
  </si>
  <si>
    <t xml:space="preserve">PAT-&gt;ARG1/235</t>
  </si>
  <si>
    <t xml:space="preserve">PAT-&gt;ARG1/234</t>
  </si>
  <si>
    <t xml:space="preserve">"nechávat-001"</t>
  </si>
  <si>
    <t xml:space="preserve">"nechávat-002"</t>
  </si>
  <si>
    <t xml:space="preserve">"nechávat-003"</t>
  </si>
  <si>
    <t xml:space="preserve">"nechávat-004"</t>
  </si>
  <si>
    <t xml:space="preserve">EFF: .f; ↓aby</t>
  </si>
  <si>
    <t xml:space="preserve">EFF-&gt;ARG1/3,ARG2/46</t>
  </si>
  <si>
    <t xml:space="preserve">ACT-&gt;ARG0/215,ARG1/1</t>
  </si>
  <si>
    <t xml:space="preserve">PAT-&gt;ARG1/155</t>
  </si>
  <si>
    <t xml:space="preserve">EFF-&gt;ARG1/341</t>
  </si>
  <si>
    <t xml:space="preserve">"nechávat-005"</t>
  </si>
  <si>
    <t xml:space="preserve">"nechávat-006"</t>
  </si>
  <si>
    <t xml:space="preserve">PAT-&gt;ARG1/78,ARG2/3</t>
  </si>
  <si>
    <t xml:space="preserve">"nechávat-007"</t>
  </si>
  <si>
    <t xml:space="preserve">ACT-&gt;ARG0/30,ARG1/1</t>
  </si>
  <si>
    <t xml:space="preserve">LOC-&gt;ARG1/3,ARG2/31</t>
  </si>
  <si>
    <t xml:space="preserve">"nechávat-008"</t>
  </si>
  <si>
    <t xml:space="preserve">TOWH: </t>
  </si>
  <si>
    <t xml:space="preserve">"nechávat-009"</t>
  </si>
  <si>
    <t xml:space="preserve">"nechávat-010"</t>
  </si>
  <si>
    <t xml:space="preserve">"nechávat-011"</t>
  </si>
  <si>
    <t xml:space="preserve">"nechávat-012"</t>
  </si>
  <si>
    <t xml:space="preserve">DPHR: slyšet[se]</t>
  </si>
  <si>
    <t xml:space="preserve">"nechávat-013"</t>
  </si>
  <si>
    <t xml:space="preserve">DPHR: v-1[štych.S6]</t>
  </si>
  <si>
    <t xml:space="preserve">"nechávat-014"</t>
  </si>
  <si>
    <t xml:space="preserve">"nechávat-015"</t>
  </si>
  <si>
    <t xml:space="preserve">"nechávat-si-001"</t>
  </si>
  <si>
    <t xml:space="preserve">"nechávat-si-002"</t>
  </si>
  <si>
    <t xml:space="preserve">DPHR: záležet.$2&lt;f&gt;$11&lt;A&gt;</t>
  </si>
  <si>
    <t xml:space="preserve">"nechávat-si-003"</t>
  </si>
  <si>
    <t xml:space="preserve">"negovat-001"</t>
  </si>
  <si>
    <t xml:space="preserve">"nenávidět-001"</t>
  </si>
  <si>
    <t xml:space="preserve">"nervovat-001"</t>
  </si>
  <si>
    <t xml:space="preserve">"nesnášet-001"</t>
  </si>
  <si>
    <t xml:space="preserve">"neutralizovat-001"</t>
  </si>
  <si>
    <t xml:space="preserve">"nimrat-se-001"</t>
  </si>
  <si>
    <t xml:space="preserve">"ničit-001"</t>
  </si>
  <si>
    <t xml:space="preserve">ACT-&gt;ARG0/30,ARG1/5</t>
  </si>
  <si>
    <t xml:space="preserve">PAT-&gt;ARG0/3,ARG1/50</t>
  </si>
  <si>
    <t xml:space="preserve">"nocovat-001"</t>
  </si>
  <si>
    <t xml:space="preserve">"nominovat-001"</t>
  </si>
  <si>
    <t xml:space="preserve">"normalizovat-001"</t>
  </si>
  <si>
    <t xml:space="preserve">"nosit-001"</t>
  </si>
  <si>
    <t xml:space="preserve">"nosit-002"</t>
  </si>
  <si>
    <t xml:space="preserve">PAT-&gt;ARG1/90</t>
  </si>
  <si>
    <t xml:space="preserve">"nosit-003"</t>
  </si>
  <si>
    <t xml:space="preserve">"nosit-004"</t>
  </si>
  <si>
    <t xml:space="preserve">PAT-&gt;ARG0/2,ARG1/120</t>
  </si>
  <si>
    <t xml:space="preserve">"nosit-005"</t>
  </si>
  <si>
    <t xml:space="preserve">"nosit-se-001"</t>
  </si>
  <si>
    <t xml:space="preserve">"nosívat-001"</t>
  </si>
  <si>
    <t xml:space="preserve">"nosívat-002"</t>
  </si>
  <si>
    <t xml:space="preserve">"notovat-001"</t>
  </si>
  <si>
    <t xml:space="preserve">"notovat-si-001"</t>
  </si>
  <si>
    <t xml:space="preserve">"novelizovat-001"</t>
  </si>
  <si>
    <t xml:space="preserve">"nořit-001"</t>
  </si>
  <si>
    <t xml:space="preserve">"nudit-001"</t>
  </si>
  <si>
    <t xml:space="preserve">ACT: 1,.f</t>
  </si>
  <si>
    <t xml:space="preserve">"nudit-se-001"</t>
  </si>
  <si>
    <t xml:space="preserve">"--nudit-se-002"</t>
  </si>
  <si>
    <t xml:space="preserve">"nutit-001"</t>
  </si>
  <si>
    <t xml:space="preserve">"nutit-002"</t>
  </si>
  <si>
    <t xml:space="preserve">ACT-&gt;ARG0/696,ARG1/3,ARG2/4</t>
  </si>
  <si>
    <t xml:space="preserve">PAT: do+2; k+3; .f; ↓aby; ↓ať</t>
  </si>
  <si>
    <t xml:space="preserve">PAT-&gt;ARG1/719,ARG2/348</t>
  </si>
  <si>
    <t xml:space="preserve">ADDR-&gt;ARG1/366,ARG2/55</t>
  </si>
  <si>
    <t xml:space="preserve">"nádeničit-001"</t>
  </si>
  <si>
    <t xml:space="preserve">"náležet-001"</t>
  </si>
  <si>
    <t xml:space="preserve">ACT-&gt;ARG0/1,ARG1/2256</t>
  </si>
  <si>
    <t xml:space="preserve">PAT-&gt;ARG0/2154,ARG1/19</t>
  </si>
  <si>
    <t xml:space="preserve">"náležet-002"</t>
  </si>
  <si>
    <t xml:space="preserve">ACT-&gt;ARG1/919,ARG2/2</t>
  </si>
  <si>
    <t xml:space="preserve">DIR3-&gt;ARG0/6,ARG1/3,ARG2/427</t>
  </si>
  <si>
    <t xml:space="preserve">"náležet-003"</t>
  </si>
  <si>
    <t xml:space="preserve">ACT-&gt;ARG0/36,ARG1/24</t>
  </si>
  <si>
    <t xml:space="preserve">CPHR: {oprávnění,právo,...}.1</t>
  </si>
  <si>
    <t xml:space="preserve">CPHR-&gt;ARG0/18,ARG1/45</t>
  </si>
  <si>
    <t xml:space="preserve">"nárokovat-si-001"</t>
  </si>
  <si>
    <t xml:space="preserve">"následovat-001"</t>
  </si>
  <si>
    <t xml:space="preserve">ACT-&gt;ARG0/153,ARG1/117</t>
  </si>
  <si>
    <t xml:space="preserve">PAT: 4; za+7; 2</t>
  </si>
  <si>
    <t xml:space="preserve">PAT-&gt;ARG1/183,ARG2/91</t>
  </si>
  <si>
    <t xml:space="preserve">"následovat-002"</t>
  </si>
  <si>
    <t xml:space="preserve">ACT-&gt;ARG0/41,ARG1/564,ARG2/3</t>
  </si>
  <si>
    <t xml:space="preserve">"následovat-003"</t>
  </si>
  <si>
    <t xml:space="preserve">ACT-&gt;ARG0/2,ARG1/516</t>
  </si>
  <si>
    <t xml:space="preserve">"násobit-001"</t>
  </si>
  <si>
    <t xml:space="preserve">ACT-&gt;ARG0/19,ARG1/44</t>
  </si>
  <si>
    <t xml:space="preserve">"násobit-002"</t>
  </si>
  <si>
    <t xml:space="preserve">"násobit-se-001"</t>
  </si>
  <si>
    <t xml:space="preserve">"nést-001"</t>
  </si>
  <si>
    <t xml:space="preserve">"nést-002"</t>
  </si>
  <si>
    <t xml:space="preserve">"nést-003"</t>
  </si>
  <si>
    <t xml:space="preserve">ACT-&gt;ARG0/2271,ARG1/47</t>
  </si>
  <si>
    <t xml:space="preserve">PAT-&gt;ARG0/3,ARG1/2401,ARG2/79</t>
  </si>
  <si>
    <t xml:space="preserve">"nést-004"</t>
  </si>
  <si>
    <t xml:space="preserve">PAT-&gt;ARG1/160</t>
  </si>
  <si>
    <t xml:space="preserve">"nést-005"</t>
  </si>
  <si>
    <t xml:space="preserve">ACT-&gt;ARG0/58,ARG1/3104,ARG2/296</t>
  </si>
  <si>
    <t xml:space="preserve">PAT-&gt;ARG0/2,ARG1/192,ARG2/3451</t>
  </si>
  <si>
    <t xml:space="preserve">"nést-006"</t>
  </si>
  <si>
    <t xml:space="preserve">"nést-007"</t>
  </si>
  <si>
    <t xml:space="preserve">"nést-008"</t>
  </si>
  <si>
    <t xml:space="preserve">"nést-009"</t>
  </si>
  <si>
    <t xml:space="preserve">INTT: .f</t>
  </si>
  <si>
    <t xml:space="preserve">"nést-010"</t>
  </si>
  <si>
    <t xml:space="preserve">CPHR: {dluh,důsledek,míra,následek,odpovědnost,riziko,spoluodpovědnost,spoluvina,vina,zodpovědnost,ztráta,...}.4</t>
  </si>
  <si>
    <t xml:space="preserve">ACT-&gt;ARG0/11,ARG1/3201,ARG2/296</t>
  </si>
  <si>
    <t xml:space="preserve">CPHR-&gt;ARG1/133,ARG2/3542</t>
  </si>
  <si>
    <t xml:space="preserve">"nést-011"</t>
  </si>
  <si>
    <t xml:space="preserve">ACT-&gt;ARG0/86,ARG1/3</t>
  </si>
  <si>
    <t xml:space="preserve">DPHR: s-1[se.S7]</t>
  </si>
  <si>
    <t xml:space="preserve">PAT-&gt;ARG0/2,ARG1/103</t>
  </si>
  <si>
    <t xml:space="preserve">"nést-012"</t>
  </si>
  <si>
    <t xml:space="preserve">DPHR: kůže:S4,na-1[trh:S4]</t>
  </si>
  <si>
    <t xml:space="preserve">"nést-013"</t>
  </si>
  <si>
    <t xml:space="preserve">DPHR: ovoce.S4</t>
  </si>
  <si>
    <t xml:space="preserve">DPHR-&gt;ARG1/654</t>
  </si>
  <si>
    <t xml:space="preserve">"nést-014"</t>
  </si>
  <si>
    <t xml:space="preserve">"nést-se-001"</t>
  </si>
  <si>
    <t xml:space="preserve">"nést-se-002"</t>
  </si>
  <si>
    <t xml:space="preserve">"nést-se-003"</t>
  </si>
  <si>
    <t xml:space="preserve">"nést-se-004"</t>
  </si>
  <si>
    <t xml:space="preserve">"nést-se-005"</t>
  </si>
  <si>
    <t xml:space="preserve">DPHR: v-1[znamení.S6]</t>
  </si>
  <si>
    <t xml:space="preserve">"nítit-001"</t>
  </si>
  <si>
    <t xml:space="preserve">"obalamutit-001"</t>
  </si>
  <si>
    <t xml:space="preserve">"obalit-001"</t>
  </si>
  <si>
    <t xml:space="preserve">ACT-&gt;ARG0/2,ARG2/4</t>
  </si>
  <si>
    <t xml:space="preserve">"obalovat-001"</t>
  </si>
  <si>
    <t xml:space="preserve">"obalovat-se-001"</t>
  </si>
  <si>
    <t xml:space="preserve">"obarvit-001"</t>
  </si>
  <si>
    <t xml:space="preserve">"obchodovat-001"</t>
  </si>
  <si>
    <t xml:space="preserve">ACT-&gt;ARG0/319,ARG1/10,ARG2/5,ARG3/1</t>
  </si>
  <si>
    <t xml:space="preserve">PAT-&gt;ARG0/27,ARG1/319,ARG2/62</t>
  </si>
  <si>
    <t xml:space="preserve">ADDR-&gt;ARG2/6</t>
  </si>
  <si>
    <t xml:space="preserve">"obcházet-001"</t>
  </si>
  <si>
    <t xml:space="preserve">"obcházet-002"</t>
  </si>
  <si>
    <t xml:space="preserve">"obcházet-003"</t>
  </si>
  <si>
    <t xml:space="preserve">"obcházet-004"</t>
  </si>
  <si>
    <t xml:space="preserve">"obdarovat-001"</t>
  </si>
  <si>
    <t xml:space="preserve">ACT-&gt;ARG0/145,ARG1/1</t>
  </si>
  <si>
    <t xml:space="preserve">PAT-&gt;ARG2/15</t>
  </si>
  <si>
    <t xml:space="preserve">PAT-&gt;ARG1/3,ARG2/128</t>
  </si>
  <si>
    <t xml:space="preserve">"obdarovávat-001"</t>
  </si>
  <si>
    <t xml:space="preserve">"obdařit-001"</t>
  </si>
  <si>
    <t xml:space="preserve">"obdařovat-001"</t>
  </si>
  <si>
    <t xml:space="preserve">"obdivovat-001"</t>
  </si>
  <si>
    <t xml:space="preserve">PAT: 4; ↓že; ↓jak-2</t>
  </si>
  <si>
    <t xml:space="preserve">"obdržet-001"</t>
  </si>
  <si>
    <t xml:space="preserve">ACT-&gt;ARG0/1073,ARG1/9</t>
  </si>
  <si>
    <t xml:space="preserve">PAT-&gt;ARG1/1453,ARG2/1,ARG4/1</t>
  </si>
  <si>
    <t xml:space="preserve">ORIG-&gt;ARG0/74,ARG1/7,ARG2/119,ARG3/11</t>
  </si>
  <si>
    <t xml:space="preserve">"obdělat-001"</t>
  </si>
  <si>
    <t xml:space="preserve">"obdělávat-001"</t>
  </si>
  <si>
    <t xml:space="preserve">"obehnat-001"</t>
  </si>
  <si>
    <t xml:space="preserve">ACT-&gt;ARG0/3,ARG1/16</t>
  </si>
  <si>
    <t xml:space="preserve">ACT-&gt;ARG0/3,ARG1/29</t>
  </si>
  <si>
    <t xml:space="preserve">PAT-&gt;ARG2/30</t>
  </si>
  <si>
    <t xml:space="preserve">PAT-&gt;ARG2/58</t>
  </si>
  <si>
    <t xml:space="preserve">"obejmout-001"</t>
  </si>
  <si>
    <t xml:space="preserve">"obejít-001"</t>
  </si>
  <si>
    <t xml:space="preserve">ACT-&gt;ARG0/46,ARG1/2</t>
  </si>
  <si>
    <t xml:space="preserve">PAT-&gt;ARG1/154</t>
  </si>
  <si>
    <t xml:space="preserve">"obejít-002"</t>
  </si>
  <si>
    <t xml:space="preserve">ACT-&gt;ARG0/21,ARG1/4</t>
  </si>
  <si>
    <t xml:space="preserve">"obejít-003"</t>
  </si>
  <si>
    <t xml:space="preserve">"obejít-se-001"</t>
  </si>
  <si>
    <t xml:space="preserve">ACT-&gt;ARG0/16,ARG1/1</t>
  </si>
  <si>
    <t xml:space="preserve">PAT: bez-1[.2]</t>
  </si>
  <si>
    <t xml:space="preserve">"obelstít-001"</t>
  </si>
  <si>
    <t xml:space="preserve">"obeplout-001"</t>
  </si>
  <si>
    <t xml:space="preserve">"obeslat-001"</t>
  </si>
  <si>
    <t xml:space="preserve">PAT-&gt;ARG1/1,ARG2/9</t>
  </si>
  <si>
    <t xml:space="preserve">"obestírat-001"</t>
  </si>
  <si>
    <t xml:space="preserve">"obestřít-001"</t>
  </si>
  <si>
    <t xml:space="preserve">"obesílat-001"</t>
  </si>
  <si>
    <t xml:space="preserve">"obezdívat-001"</t>
  </si>
  <si>
    <t xml:space="preserve">"obeznámit-001"</t>
  </si>
  <si>
    <t xml:space="preserve">"obeznámit-se-001"</t>
  </si>
  <si>
    <t xml:space="preserve">"obhajovat-001"</t>
  </si>
  <si>
    <t xml:space="preserve">ACT-&gt;ARG0/335,ARG2/2</t>
  </si>
  <si>
    <t xml:space="preserve">PAT-&gt;ARG1/250</t>
  </si>
  <si>
    <t xml:space="preserve">PAT-&gt;ARG1/443,ARG2/13</t>
  </si>
  <si>
    <t xml:space="preserve">"obhlédnout-001"</t>
  </si>
  <si>
    <t xml:space="preserve">PAT-&gt;ARG1/103,ARG2/1</t>
  </si>
  <si>
    <t xml:space="preserve">"obhlédnout-si-001"</t>
  </si>
  <si>
    <t xml:space="preserve">"obhlížet-001"</t>
  </si>
  <si>
    <t xml:space="preserve">"obhospodařit-001"</t>
  </si>
  <si>
    <t xml:space="preserve">"obhospodařovat-001"</t>
  </si>
  <si>
    <t xml:space="preserve">PAT-&gt;ARG1/72,ARG2/14</t>
  </si>
  <si>
    <t xml:space="preserve">"obhájit-001"</t>
  </si>
  <si>
    <t xml:space="preserve">"obhájit-002"</t>
  </si>
  <si>
    <t xml:space="preserve">"objasnit-001"</t>
  </si>
  <si>
    <t xml:space="preserve">ACT-&gt;ARG0/143</t>
  </si>
  <si>
    <t xml:space="preserve">ACT-&gt;ARG0/73</t>
  </si>
  <si>
    <t xml:space="preserve">PAT-&gt;ARG1/213,ARG2/3</t>
  </si>
  <si>
    <t xml:space="preserve">PAT-&gt;ARG1/102</t>
  </si>
  <si>
    <t xml:space="preserve">"objasňovat-001"</t>
  </si>
  <si>
    <t xml:space="preserve">PAT: 4; ↓jak-2; ↓že; ↓zda; ↓jestli; ↓c; .s; ↓ať; ↓aby</t>
  </si>
  <si>
    <t xml:space="preserve">PAT-&gt;ARG1/110</t>
  </si>
  <si>
    <t xml:space="preserve">"objednat-001"</t>
  </si>
  <si>
    <t xml:space="preserve">PAT-&gt;ARG1/60,ARG2/61</t>
  </si>
  <si>
    <t xml:space="preserve">"objednat-002"</t>
  </si>
  <si>
    <t xml:space="preserve">"objednávat-001"</t>
  </si>
  <si>
    <t xml:space="preserve">"objet-001"</t>
  </si>
  <si>
    <t xml:space="preserve">"objet-002"</t>
  </si>
  <si>
    <t xml:space="preserve">"objevit-001"</t>
  </si>
  <si>
    <t xml:space="preserve">ACT-&gt;ARG0/332,ARG1/2</t>
  </si>
  <si>
    <t xml:space="preserve">PAT-&gt;ARG0/1,ARG1/442,ARG3/2</t>
  </si>
  <si>
    <t xml:space="preserve">PAT-&gt;ARG0/1,ARG1/454</t>
  </si>
  <si>
    <t xml:space="preserve">"objevit-se-001"</t>
  </si>
  <si>
    <t xml:space="preserve">ACT-&gt;ARG0/103,ARG1/1690,ARG2/25</t>
  </si>
  <si>
    <t xml:space="preserve">ACT-&gt;ARG1/127</t>
  </si>
  <si>
    <t xml:space="preserve">LOC-&gt;ARG0/10,ARG1/84,ARG2/279</t>
  </si>
  <si>
    <t xml:space="preserve">"objevit-se-002"</t>
  </si>
  <si>
    <t xml:space="preserve">ACT-&gt;ARG0/554,ARG1/924</t>
  </si>
  <si>
    <t xml:space="preserve">ACT-&gt;ARG1/32</t>
  </si>
  <si>
    <t xml:space="preserve">ACT-&gt;ARG0/39,ARG1/435</t>
  </si>
  <si>
    <t xml:space="preserve">"objevovat-001"</t>
  </si>
  <si>
    <t xml:space="preserve">"objevovat-se-001"</t>
  </si>
  <si>
    <t xml:space="preserve">ACT-&gt;ARG0/33,ARG1/809</t>
  </si>
  <si>
    <t xml:space="preserve">LOC-&gt;ARG0/26</t>
  </si>
  <si>
    <t xml:space="preserve">"objevovat-se-002"</t>
  </si>
  <si>
    <t xml:space="preserve">ACT-&gt;ARG0/35,ARG1/533</t>
  </si>
  <si>
    <t xml:space="preserve">"objímat-001"</t>
  </si>
  <si>
    <t xml:space="preserve">"objíždět-001"</t>
  </si>
  <si>
    <t xml:space="preserve">"obkličovat-001"</t>
  </si>
  <si>
    <t xml:space="preserve">ACT-&gt;ARG0/6,ARG1/16</t>
  </si>
  <si>
    <t xml:space="preserve">PAT-&gt;ARG1/3,ARG2/30</t>
  </si>
  <si>
    <t xml:space="preserve">"obklopit-001"</t>
  </si>
  <si>
    <t xml:space="preserve">ACT-&gt;ARG0/3,ARG1/11</t>
  </si>
  <si>
    <t xml:space="preserve">PAT-&gt;ARG2/23</t>
  </si>
  <si>
    <t xml:space="preserve">"obklopovat-001"</t>
  </si>
  <si>
    <t xml:space="preserve">ACT-&gt;ARG1/13</t>
  </si>
  <si>
    <t xml:space="preserve">"obklíčit-001"</t>
  </si>
  <si>
    <t xml:space="preserve">"oblafnout-001"</t>
  </si>
  <si>
    <t xml:space="preserve">"oblažovat-001"</t>
  </si>
  <si>
    <t xml:space="preserve">"oblbnout-001"</t>
  </si>
  <si>
    <t xml:space="preserve">"obletět-001"</t>
  </si>
  <si>
    <t xml:space="preserve">"obložit-001"</t>
  </si>
  <si>
    <t xml:space="preserve">"obléci-001"</t>
  </si>
  <si>
    <t xml:space="preserve">"obléci-002"</t>
  </si>
  <si>
    <t xml:space="preserve">"obléhat-001"</t>
  </si>
  <si>
    <t xml:space="preserve">ACT-&gt;ARG0/14,ARG1/1,ARG2/5</t>
  </si>
  <si>
    <t xml:space="preserve">PAT-&gt;ARG1/33,ARG2/1</t>
  </si>
  <si>
    <t xml:space="preserve">"oblékat-001"</t>
  </si>
  <si>
    <t xml:space="preserve">"oblékat-002"</t>
  </si>
  <si>
    <t xml:space="preserve">"oblékat-se-001"</t>
  </si>
  <si>
    <t xml:space="preserve">"--oblékat-se-002"</t>
  </si>
  <si>
    <t xml:space="preserve">"obléknout-001"</t>
  </si>
  <si>
    <t xml:space="preserve">"obléknout-002"</t>
  </si>
  <si>
    <t xml:space="preserve">"oblézt-001"</t>
  </si>
  <si>
    <t xml:space="preserve">"oblíbit-si-001"</t>
  </si>
  <si>
    <t xml:space="preserve">"oblíkat-001"</t>
  </si>
  <si>
    <t xml:space="preserve">"oblíknout-001"</t>
  </si>
  <si>
    <t xml:space="preserve">"obmyslet-001"</t>
  </si>
  <si>
    <t xml:space="preserve">"obměkčit-001"</t>
  </si>
  <si>
    <t xml:space="preserve">"obměňovat-001"</t>
  </si>
  <si>
    <t xml:space="preserve">PAT-&gt;ARG1/70,ARG2/20,ARG3/6</t>
  </si>
  <si>
    <t xml:space="preserve">"obnažovat-001"</t>
  </si>
  <si>
    <t xml:space="preserve">"obnosit-001"</t>
  </si>
  <si>
    <t xml:space="preserve">"obnovit-001"</t>
  </si>
  <si>
    <t xml:space="preserve">ACT-&gt;ARG0/116,ARG1/11</t>
  </si>
  <si>
    <t xml:space="preserve">ACT-&gt;ARG0/68,ARG1/11</t>
  </si>
  <si>
    <t xml:space="preserve">PAT-&gt;ARG1/307,ARG2/1</t>
  </si>
  <si>
    <t xml:space="preserve">PAT-&gt;ARG1/134</t>
  </si>
  <si>
    <t xml:space="preserve">"obnovit-se-001"</t>
  </si>
  <si>
    <t xml:space="preserve">"obnovovat-001"</t>
  </si>
  <si>
    <t xml:space="preserve">ACT-&gt;ARG0/40,ARG2/8</t>
  </si>
  <si>
    <t xml:space="preserve">"obnovovat-002"</t>
  </si>
  <si>
    <t xml:space="preserve">"obnovovat-se-001"</t>
  </si>
  <si>
    <t xml:space="preserve">ACT-&gt;ARG0/71,ARG1/160</t>
  </si>
  <si>
    <t xml:space="preserve">"obnášet-001"</t>
  </si>
  <si>
    <t xml:space="preserve">ACT-&gt;ARG0/274,ARG1/15</t>
  </si>
  <si>
    <t xml:space="preserve">ACT-&gt;ARG0/216,ARG1/22,ARG2/80</t>
  </si>
  <si>
    <t xml:space="preserve">PAT-&gt;ARG0/2,ARG1/327,ARG2/12</t>
  </si>
  <si>
    <t xml:space="preserve">"obnášet-002"</t>
  </si>
  <si>
    <t xml:space="preserve">EXT-&gt;ARG1/84</t>
  </si>
  <si>
    <t xml:space="preserve">EXT-&gt;ARG0/3,ARG1/52,ARG2/405,ARG3/5</t>
  </si>
  <si>
    <t xml:space="preserve">"obohacovat-001"</t>
  </si>
  <si>
    <t xml:space="preserve">PAT-&gt;ARG0/4,ARG1/4</t>
  </si>
  <si>
    <t xml:space="preserve">"obohatit-001"</t>
  </si>
  <si>
    <t xml:space="preserve">ACT-&gt;ARG0/82,ARG1/1</t>
  </si>
  <si>
    <t xml:space="preserve">EFF-&gt;ARG1/151</t>
  </si>
  <si>
    <t xml:space="preserve">"obouvat-001"</t>
  </si>
  <si>
    <t xml:space="preserve">"obořit-se-001"</t>
  </si>
  <si>
    <t xml:space="preserve">ACT-&gt;ARG0/26,ARG2/2</t>
  </si>
  <si>
    <t xml:space="preserve">"obracet-001"</t>
  </si>
  <si>
    <t xml:space="preserve">ADDR-&gt;ARG1/19,ARG2/98</t>
  </si>
  <si>
    <t xml:space="preserve">"obracet-002"</t>
  </si>
  <si>
    <t xml:space="preserve">PAT-&gt;ARG1/40</t>
  </si>
  <si>
    <t xml:space="preserve">EFF: v+4</t>
  </si>
  <si>
    <t xml:space="preserve">"obracet-003"</t>
  </si>
  <si>
    <t xml:space="preserve">"obracet-004"</t>
  </si>
  <si>
    <t xml:space="preserve">ACT-&gt;ARG0/429,ARG1/6</t>
  </si>
  <si>
    <t xml:space="preserve">CPHR: {pozornost-1,...}.4</t>
  </si>
  <si>
    <t xml:space="preserve">CPHR-&gt;ARG1/591,ARG2/1,ARG3/4</t>
  </si>
  <si>
    <t xml:space="preserve">"obracet-005"</t>
  </si>
  <si>
    <t xml:space="preserve">"obracet-se-001"</t>
  </si>
  <si>
    <t xml:space="preserve">"obracet-se-002"</t>
  </si>
  <si>
    <t xml:space="preserve">ACT-&gt;ARG0/68,ARG1/308,ARG2/3</t>
  </si>
  <si>
    <t xml:space="preserve">ACT-&gt;ARG0/693,ARG1/48</t>
  </si>
  <si>
    <t xml:space="preserve">ADDR: na+4; k+3</t>
  </si>
  <si>
    <t xml:space="preserve">ADDR-&gt;ARG1/101,ARG2/280</t>
  </si>
  <si>
    <t xml:space="preserve">ADDR-&gt;ARG1/25,ARG2/37</t>
  </si>
  <si>
    <t xml:space="preserve">?PAT: s+7; ↓aby; ↓zda</t>
  </si>
  <si>
    <t xml:space="preserve">PAT-&gt;ARG1/696,ARG2/8</t>
  </si>
  <si>
    <t xml:space="preserve">"obracet-se-003"</t>
  </si>
  <si>
    <t xml:space="preserve">ACT-&gt;ARG0/17,ARG1/30</t>
  </si>
  <si>
    <t xml:space="preserve">"obracet-se-004"</t>
  </si>
  <si>
    <t xml:space="preserve">"obracet-se-005"</t>
  </si>
  <si>
    <t xml:space="preserve">DPHR: k-1[dobrý.N3@2]</t>
  </si>
  <si>
    <t xml:space="preserve">"obracet-se-006"</t>
  </si>
  <si>
    <t xml:space="preserve">DPHR: záda.P7</t>
  </si>
  <si>
    <t xml:space="preserve">"obrat-001"</t>
  </si>
  <si>
    <t xml:space="preserve">"obrat-002"</t>
  </si>
  <si>
    <t xml:space="preserve">"obrečet-001"</t>
  </si>
  <si>
    <t xml:space="preserve">"obrnit-se-001"</t>
  </si>
  <si>
    <t xml:space="preserve">"obrnit-si-001"</t>
  </si>
  <si>
    <t xml:space="preserve">"obrodit-001"</t>
  </si>
  <si>
    <t xml:space="preserve">"obrodit-se-001"</t>
  </si>
  <si>
    <t xml:space="preserve">"obrousit-001"</t>
  </si>
  <si>
    <t xml:space="preserve">"obrábět-001"</t>
  </si>
  <si>
    <t xml:space="preserve">"obrátit-001"</t>
  </si>
  <si>
    <t xml:space="preserve">?ADDR: proti+3</t>
  </si>
  <si>
    <t xml:space="preserve">"obrátit-002"</t>
  </si>
  <si>
    <t xml:space="preserve">"obrátit-003"</t>
  </si>
  <si>
    <t xml:space="preserve">"obrátit-004"</t>
  </si>
  <si>
    <t xml:space="preserve">"obrátit-005"</t>
  </si>
  <si>
    <t xml:space="preserve">"obrátit-006"</t>
  </si>
  <si>
    <t xml:space="preserve">ACT-&gt;ARG0/509,ARG1/21</t>
  </si>
  <si>
    <t xml:space="preserve">CPHR: {pozornost-1,zájem,...}.4</t>
  </si>
  <si>
    <t xml:space="preserve">CPHR-&gt;ARG1/22</t>
  </si>
  <si>
    <t xml:space="preserve">DIR3-&gt;ARG1/1,ARG2/6</t>
  </si>
  <si>
    <t xml:space="preserve">DIR3-&gt;ARG1/74</t>
  </si>
  <si>
    <t xml:space="preserve">"obrátit-007"</t>
  </si>
  <si>
    <t xml:space="preserve">DPHR-&gt;ARG2/41</t>
  </si>
  <si>
    <t xml:space="preserve">"obrátit-008"</t>
  </si>
  <si>
    <t xml:space="preserve">DPHR: list.S4</t>
  </si>
  <si>
    <t xml:space="preserve">"obrátit-009"</t>
  </si>
  <si>
    <t xml:space="preserve">"obrátit-010"</t>
  </si>
  <si>
    <t xml:space="preserve">DPHR: na-1[pětník.S6]</t>
  </si>
  <si>
    <t xml:space="preserve">"obrátit-011"</t>
  </si>
  <si>
    <t xml:space="preserve">"obrátit-se-001"</t>
  </si>
  <si>
    <t xml:space="preserve">ACT-&gt;ARG0/2,ARG1/26</t>
  </si>
  <si>
    <t xml:space="preserve">"obrátit-se-002"</t>
  </si>
  <si>
    <t xml:space="preserve">"obrátit-se-003"</t>
  </si>
  <si>
    <t xml:space="preserve">?PAT: s+7; ↓aby; ↓zda; ohledně[.2]; ↓jestli</t>
  </si>
  <si>
    <t xml:space="preserve">ACT-&gt;ARG0/185,ARG1/48</t>
  </si>
  <si>
    <t xml:space="preserve">ADDR-&gt;ARG1/98,ARG2/35</t>
  </si>
  <si>
    <t xml:space="preserve">PAT-&gt;ARG1/147,ARG2/5</t>
  </si>
  <si>
    <t xml:space="preserve">ADDR-&gt;ARG2/20</t>
  </si>
  <si>
    <t xml:space="preserve">ADDR-&gt;ARG1/17,ARG2/34</t>
  </si>
  <si>
    <t xml:space="preserve">PAT-&gt;ARG1/27,ARG2/5</t>
  </si>
  <si>
    <t xml:space="preserve">"obrátit-se-004"</t>
  </si>
  <si>
    <t xml:space="preserve">ACT-&gt;ARG0/2,ARG1/35</t>
  </si>
  <si>
    <t xml:space="preserve">"obrátit-se-005"</t>
  </si>
  <si>
    <t xml:space="preserve">ACT-&gt;ARG0/3,ARG1/36</t>
  </si>
  <si>
    <t xml:space="preserve">"obrátit-se-006"</t>
  </si>
  <si>
    <t xml:space="preserve">DPHR: v-1[dobrý.NS4]</t>
  </si>
  <si>
    <t xml:space="preserve">DPHR-&gt;ARG2/2</t>
  </si>
  <si>
    <t xml:space="preserve">"obrátit-se-007"</t>
  </si>
  <si>
    <t xml:space="preserve">DPHR: k-1[špatný.3@2]</t>
  </si>
  <si>
    <t xml:space="preserve">"obrátit-se-008"</t>
  </si>
  <si>
    <t xml:space="preserve">ACT-&gt;ARG1/40</t>
  </si>
  <si>
    <t xml:space="preserve">DPHR: vzhůru.d,noha.P7</t>
  </si>
  <si>
    <t xml:space="preserve">"obrátit-se-009"</t>
  </si>
  <si>
    <t xml:space="preserve">ACT-&gt;ARG1/52,ARG2/1</t>
  </si>
  <si>
    <t xml:space="preserve">PAT-&gt;ARG2/51</t>
  </si>
  <si>
    <t xml:space="preserve">"obrátit-se-010"</t>
  </si>
  <si>
    <t xml:space="preserve">"obrátit-se-011"</t>
  </si>
  <si>
    <t xml:space="preserve">"obrátit-se-012"</t>
  </si>
  <si>
    <t xml:space="preserve">"obrážet-se-001"</t>
  </si>
  <si>
    <t xml:space="preserve">"obrůst-001"</t>
  </si>
  <si>
    <t xml:space="preserve">"obrůst-002"</t>
  </si>
  <si>
    <t xml:space="preserve">"obrůstat-001"</t>
  </si>
  <si>
    <t xml:space="preserve">"obrůstat-002"</t>
  </si>
  <si>
    <t xml:space="preserve">"obsadit-001"</t>
  </si>
  <si>
    <t xml:space="preserve">ACT-&gt;ARG0/59,ARG1/8</t>
  </si>
  <si>
    <t xml:space="preserve">PAT-&gt;ARG1/45,ARG2/4</t>
  </si>
  <si>
    <t xml:space="preserve">"obsadit-002"</t>
  </si>
  <si>
    <t xml:space="preserve">ACT-&gt;ARG0/66,ARG1/1</t>
  </si>
  <si>
    <t xml:space="preserve">"obsadit-003"</t>
  </si>
  <si>
    <t xml:space="preserve">ACT-&gt;ARG0/53,ARG1/21,ARG2/3</t>
  </si>
  <si>
    <t xml:space="preserve">PAT-&gt;ARG1/50,ARG2/15</t>
  </si>
  <si>
    <t xml:space="preserve">"obsadit-004"</t>
  </si>
  <si>
    <t xml:space="preserve">"obsadit-005"</t>
  </si>
  <si>
    <t xml:space="preserve">DPHR: do-1[role-2.2]</t>
  </si>
  <si>
    <t xml:space="preserve">"obsahovat-001"</t>
  </si>
  <si>
    <t xml:space="preserve">ACT-&gt;ARG0/3069,ARG1/3144,ARG2/1046</t>
  </si>
  <si>
    <t xml:space="preserve">ACT-&gt;ARG0/114,ARG1/78,ARG2/150</t>
  </si>
  <si>
    <t xml:space="preserve">PAT-&gt;ARG0/3,ARG1/5209,ARG2/3470,ARG3/1</t>
  </si>
  <si>
    <t xml:space="preserve">PAT-&gt;ARG0/18,ARG1/524,ARG2/123</t>
  </si>
  <si>
    <t xml:space="preserve">"obsazovat-001"</t>
  </si>
  <si>
    <t xml:space="preserve">"obsazovat-002"</t>
  </si>
  <si>
    <t xml:space="preserve">"obskákat-001"</t>
  </si>
  <si>
    <t xml:space="preserve">"obsloužit-001"</t>
  </si>
  <si>
    <t xml:space="preserve">PAT-&gt;ARG1/74,ARG2/28</t>
  </si>
  <si>
    <t xml:space="preserve">PAT-&gt;ARG1/2,ARG2/42</t>
  </si>
  <si>
    <t xml:space="preserve">PAT-&gt;ARG1/2,ARG2/49</t>
  </si>
  <si>
    <t xml:space="preserve">"obsluhovat-001"</t>
  </si>
  <si>
    <t xml:space="preserve">"obsluhovat-002"</t>
  </si>
  <si>
    <t xml:space="preserve">"obstarat-001"</t>
  </si>
  <si>
    <t xml:space="preserve">ACT-&gt;ARG0/330</t>
  </si>
  <si>
    <t xml:space="preserve">ACT-&gt;ARG0/322,ARG2/1</t>
  </si>
  <si>
    <t xml:space="preserve">PAT-&gt;ARG1/551</t>
  </si>
  <si>
    <t xml:space="preserve">PAT-&gt;ARG1/63,ARG2/6</t>
  </si>
  <si>
    <t xml:space="preserve">PAT-&gt;ARG1/479,ARG2/8</t>
  </si>
  <si>
    <t xml:space="preserve">"obstarat-002"</t>
  </si>
  <si>
    <t xml:space="preserve">"obstarávat-001"</t>
  </si>
  <si>
    <t xml:space="preserve">PAT-&gt;ARG1/74,ARG2/14</t>
  </si>
  <si>
    <t xml:space="preserve">"obstarávat-002"</t>
  </si>
  <si>
    <t xml:space="preserve">"obstavit-001"</t>
  </si>
  <si>
    <t xml:space="preserve">"obstoupit-001"</t>
  </si>
  <si>
    <t xml:space="preserve">"obstát-001"</t>
  </si>
  <si>
    <t xml:space="preserve">ACT-&gt;ARG0/18,ARG1/33</t>
  </si>
  <si>
    <t xml:space="preserve">"obstřelovat-001"</t>
  </si>
  <si>
    <t xml:space="preserve">"obsáhnout-001"</t>
  </si>
  <si>
    <t xml:space="preserve">PAT-&gt;ARG1/127</t>
  </si>
  <si>
    <t xml:space="preserve">"obtelefonovávat-001"</t>
  </si>
  <si>
    <t xml:space="preserve">"obtížit-001"</t>
  </si>
  <si>
    <t xml:space="preserve">"obtěžkat-001"</t>
  </si>
  <si>
    <t xml:space="preserve">ACT-&gt;ARG2/1</t>
  </si>
  <si>
    <t xml:space="preserve">ACT-&gt;ARG0/11,ARG1/2,ARG2/8</t>
  </si>
  <si>
    <t xml:space="preserve">PAT-&gt;ARG1/34,ARG2/4</t>
  </si>
  <si>
    <t xml:space="preserve">"obtěžovat-001"</t>
  </si>
  <si>
    <t xml:space="preserve">"obtěžovat-se-001"</t>
  </si>
  <si>
    <t xml:space="preserve">ACT-&gt;ARG0/663,ARG1/40,ARG2/18,ARG3/1</t>
  </si>
  <si>
    <t xml:space="preserve">PAT: .f; s+7</t>
  </si>
  <si>
    <t xml:space="preserve">PAT-&gt;ARG0/1,ARG1/785,ARG2/59,ARG3/1</t>
  </si>
  <si>
    <t xml:space="preserve">"obvazovat-001"</t>
  </si>
  <si>
    <t xml:space="preserve">"obveselit-001"</t>
  </si>
  <si>
    <t xml:space="preserve">"obvinit-001"</t>
  </si>
  <si>
    <t xml:space="preserve">ACT-&gt;ARG0/58</t>
  </si>
  <si>
    <t xml:space="preserve">ADDR-&gt;ARG1/72</t>
  </si>
  <si>
    <t xml:space="preserve">?PAT: z+2; ↓že; za+4</t>
  </si>
  <si>
    <t xml:space="preserve">PAT-&gt;ARG2/87</t>
  </si>
  <si>
    <t xml:space="preserve">ACT-&gt;ARG0/116,ARG1/54</t>
  </si>
  <si>
    <t xml:space="preserve">ADDR-&gt;ARG1/267,ARG2/6</t>
  </si>
  <si>
    <t xml:space="preserve">PAT-&gt;ARG0/37,ARG1/1,ARG2/204</t>
  </si>
  <si>
    <t xml:space="preserve">"--obvinit-se-001"</t>
  </si>
  <si>
    <t xml:space="preserve">"obviňovat-001"</t>
  </si>
  <si>
    <t xml:space="preserve">ACT-&gt;ARG0/135</t>
  </si>
  <si>
    <t xml:space="preserve">ADDR-&gt;ARG1/197,ARG2/2</t>
  </si>
  <si>
    <t xml:space="preserve">PAT-&gt;ARG1/30,ARG2/186</t>
  </si>
  <si>
    <t xml:space="preserve">"obvolat-001"</t>
  </si>
  <si>
    <t xml:space="preserve">"obvolávat-001"</t>
  </si>
  <si>
    <t xml:space="preserve">"obydlet-001"</t>
  </si>
  <si>
    <t xml:space="preserve">"obávat-se-001"</t>
  </si>
  <si>
    <t xml:space="preserve">ACT-&gt;ARG0/126,ARG1/3131,ARG2/296</t>
  </si>
  <si>
    <t xml:space="preserve">PAT: 2; ↓že; ↓zda; ↓aby; .f; ↓jestli; .v</t>
  </si>
  <si>
    <t xml:space="preserve">PAT-&gt;ARG0/24,ARG1/130</t>
  </si>
  <si>
    <t xml:space="preserve">"obávat-se-002"</t>
  </si>
  <si>
    <t xml:space="preserve">"obávat-se-003"</t>
  </si>
  <si>
    <t xml:space="preserve">"obíhat-001"</t>
  </si>
  <si>
    <t xml:space="preserve">"obírat-001"</t>
  </si>
  <si>
    <t xml:space="preserve">"obývat-001"</t>
  </si>
  <si>
    <t xml:space="preserve">"občerstvovat-001"</t>
  </si>
  <si>
    <t xml:space="preserve">"občerstvovat-002"</t>
  </si>
  <si>
    <t xml:space="preserve">"obědvat-001"</t>
  </si>
  <si>
    <t xml:space="preserve">"oběhnout-001"</t>
  </si>
  <si>
    <t xml:space="preserve">"oběhnout-002"</t>
  </si>
  <si>
    <t xml:space="preserve">"oběsit-001"</t>
  </si>
  <si>
    <t xml:space="preserve">"obětovat-001"</t>
  </si>
  <si>
    <t xml:space="preserve">"obětovat-002"</t>
  </si>
  <si>
    <t xml:space="preserve">"obšancovat-001"</t>
  </si>
  <si>
    <t xml:space="preserve">"obšlápnout-001"</t>
  </si>
  <si>
    <t xml:space="preserve">"obšít-001"</t>
  </si>
  <si>
    <t xml:space="preserve">"obšťastňovat-001"</t>
  </si>
  <si>
    <t xml:space="preserve">"obžalovat-001"</t>
  </si>
  <si>
    <t xml:space="preserve">PAT-&gt;ARG1/221,ARG2/5</t>
  </si>
  <si>
    <t xml:space="preserve">"ocejchovat-001"</t>
  </si>
  <si>
    <t xml:space="preserve">"ocenit-001"</t>
  </si>
  <si>
    <t xml:space="preserve">ACT-&gt;ARG0/131,ARG1/4</t>
  </si>
  <si>
    <t xml:space="preserve">PAT-&gt;ARG1/280,ARG2/6</t>
  </si>
  <si>
    <t xml:space="preserve">EFF-&gt;ARG1/1,ARG2/428</t>
  </si>
  <si>
    <t xml:space="preserve">"ocenit-002"</t>
  </si>
  <si>
    <t xml:space="preserve">PAT-&gt;ARG1/200,ARG2/3</t>
  </si>
  <si>
    <t xml:space="preserve">"oceňovat-001"</t>
  </si>
  <si>
    <t xml:space="preserve">EFF-&gt;ARG2/102</t>
  </si>
  <si>
    <t xml:space="preserve">"oceňovat-002"</t>
  </si>
  <si>
    <t xml:space="preserve">ACT-&gt;ARG0/28,ARG1/1,ARG2/1</t>
  </si>
  <si>
    <t xml:space="preserve">"ochabnout-001"</t>
  </si>
  <si>
    <t xml:space="preserve">ACT-&gt;ARG1/22</t>
  </si>
  <si>
    <t xml:space="preserve">ACT-&gt;ARG0/1,ARG1/727,ARG2/4</t>
  </si>
  <si>
    <t xml:space="preserve">"ochabnout-002"</t>
  </si>
  <si>
    <t xml:space="preserve">"ochabovat-001"</t>
  </si>
  <si>
    <t xml:space="preserve">ACT-&gt;ARG0/20,ARG1/18</t>
  </si>
  <si>
    <t xml:space="preserve">"ochladit-001"</t>
  </si>
  <si>
    <t xml:space="preserve">"ochladit-se-001"</t>
  </si>
  <si>
    <t xml:space="preserve">"ochladit-se-002"</t>
  </si>
  <si>
    <t xml:space="preserve">"ochladnout-001"</t>
  </si>
  <si>
    <t xml:space="preserve">ACT-&gt;ARG0/2,ARG1/813,ARG2/4</t>
  </si>
  <si>
    <t xml:space="preserve">"ochlazovat-001"</t>
  </si>
  <si>
    <t xml:space="preserve">"ochraňovat-001"</t>
  </si>
  <si>
    <t xml:space="preserve">ACT-&gt;ARG0/6,ARG3/8</t>
  </si>
  <si>
    <t xml:space="preserve">"ochrnout-001"</t>
  </si>
  <si>
    <t xml:space="preserve">"ochromit-001"</t>
  </si>
  <si>
    <t xml:space="preserve">ACT-&gt;ARG0/336,ARG2/83</t>
  </si>
  <si>
    <t xml:space="preserve">ACT-&gt;ARG0/339,ARG2/83</t>
  </si>
  <si>
    <t xml:space="preserve">PAT-&gt;ARG1/564</t>
  </si>
  <si>
    <t xml:space="preserve">PAT-&gt;ARG1/572</t>
  </si>
  <si>
    <t xml:space="preserve">"ochránit-001"</t>
  </si>
  <si>
    <t xml:space="preserve">EFF-&gt;ARG2/19</t>
  </si>
  <si>
    <t xml:space="preserve">ACT-&gt;ARG0/56,ARG1/1,ARG3/28</t>
  </si>
  <si>
    <t xml:space="preserve">PAT-&gt;ARG1/223,ARG2/2</t>
  </si>
  <si>
    <t xml:space="preserve">EFF-&gt;ARG2/99</t>
  </si>
  <si>
    <t xml:space="preserve">"ochudit-001"</t>
  </si>
  <si>
    <t xml:space="preserve">PAT-&gt;ARG3/3</t>
  </si>
  <si>
    <t xml:space="preserve">ADDR-&gt;ARG1/10</t>
  </si>
  <si>
    <t xml:space="preserve">"ochutit-001"</t>
  </si>
  <si>
    <t xml:space="preserve">"ochutnat-001"</t>
  </si>
  <si>
    <t xml:space="preserve">ACT-&gt;ARG0/310</t>
  </si>
  <si>
    <t xml:space="preserve">PAT-&gt;ARG1/420</t>
  </si>
  <si>
    <t xml:space="preserve">"ochutnávat-001"</t>
  </si>
  <si>
    <t xml:space="preserve">"ochuzovat-001"</t>
  </si>
  <si>
    <t xml:space="preserve">"ocitat-se-001"</t>
  </si>
  <si>
    <t xml:space="preserve">"ocitat-se-002"</t>
  </si>
  <si>
    <t xml:space="preserve">"ocitnout-se-001"</t>
  </si>
  <si>
    <t xml:space="preserve">ACT-&gt;ARG0/183,ARG1/104</t>
  </si>
  <si>
    <t xml:space="preserve">LOC-&gt;ARG1/214,ARG2/91,ARG4/1</t>
  </si>
  <si>
    <t xml:space="preserve">"ocitnout-se-002"</t>
  </si>
  <si>
    <t xml:space="preserve">ACT-&gt;ARG1/143</t>
  </si>
  <si>
    <t xml:space="preserve">"ocitnout-se-003"</t>
  </si>
  <si>
    <t xml:space="preserve">ACMP: =</t>
  </si>
  <si>
    <t xml:space="preserve">"ocitnout-se-004"</t>
  </si>
  <si>
    <t xml:space="preserve">DPHR: na-1[led:6[tenký:#]]</t>
  </si>
  <si>
    <t xml:space="preserve">"ocitovat-001"</t>
  </si>
  <si>
    <t xml:space="preserve">PAT-&gt;ARG1/28,ARG2/2</t>
  </si>
  <si>
    <t xml:space="preserve">"octnout-se-001"</t>
  </si>
  <si>
    <t xml:space="preserve">"octnout-se-002"</t>
  </si>
  <si>
    <t xml:space="preserve">"odbavovat-001"</t>
  </si>
  <si>
    <t xml:space="preserve">"odblokovat-001"</t>
  </si>
  <si>
    <t xml:space="preserve">"odbourat-001"</t>
  </si>
  <si>
    <t xml:space="preserve">"odbourávat-001"</t>
  </si>
  <si>
    <t xml:space="preserve">"odbočit-001"</t>
  </si>
  <si>
    <t xml:space="preserve">ACT-&gt;ARG0/36,ARG1/30</t>
  </si>
  <si>
    <t xml:space="preserve">"odbočit-002"</t>
  </si>
  <si>
    <t xml:space="preserve">"odbočovat-001"</t>
  </si>
  <si>
    <t xml:space="preserve">ACT-&gt;ARG0/9,ARG1/2</t>
  </si>
  <si>
    <t xml:space="preserve">ACT-&gt;ARG0/11,ARG1/28</t>
  </si>
  <si>
    <t xml:space="preserve">"odbočovat-002"</t>
  </si>
  <si>
    <t xml:space="preserve">"odbrzdit-001"</t>
  </si>
  <si>
    <t xml:space="preserve">"odburácet-001"</t>
  </si>
  <si>
    <t xml:space="preserve">"odbýt-001"</t>
  </si>
  <si>
    <t xml:space="preserve">"odbýt-002"</t>
  </si>
  <si>
    <t xml:space="preserve">"odbýt-003"</t>
  </si>
  <si>
    <t xml:space="preserve">"odbýt-004"</t>
  </si>
  <si>
    <t xml:space="preserve">"odbýt-005"</t>
  </si>
  <si>
    <t xml:space="preserve">"odbýt-se-001"</t>
  </si>
  <si>
    <t xml:space="preserve">"odbýt-si-001"</t>
  </si>
  <si>
    <t xml:space="preserve">"odbývat-001"</t>
  </si>
  <si>
    <t xml:space="preserve">"odbývat-002"</t>
  </si>
  <si>
    <t xml:space="preserve">"odbývat-se-001"</t>
  </si>
  <si>
    <t xml:space="preserve">"odběhnout-001"</t>
  </si>
  <si>
    <t xml:space="preserve">"odbřemenit-001"</t>
  </si>
  <si>
    <t xml:space="preserve">"odcentrovat-001"</t>
  </si>
  <si>
    <t xml:space="preserve">"odcestovat-001"</t>
  </si>
  <si>
    <t xml:space="preserve">"odchodit-001"</t>
  </si>
  <si>
    <t xml:space="preserve">"odchovat-001"</t>
  </si>
  <si>
    <t xml:space="preserve">"odchovávat-001"</t>
  </si>
  <si>
    <t xml:space="preserve">"odchylovat-se-001"</t>
  </si>
  <si>
    <t xml:space="preserve">"odchytit-001"</t>
  </si>
  <si>
    <t xml:space="preserve">"odchytit-002"</t>
  </si>
  <si>
    <t xml:space="preserve">"odchytnout-001"</t>
  </si>
  <si>
    <t xml:space="preserve">"odchytnout-002"</t>
  </si>
  <si>
    <t xml:space="preserve">"odcházet-001"</t>
  </si>
  <si>
    <t xml:space="preserve">ACT-&gt;ARG0/363,ARG1/78</t>
  </si>
  <si>
    <t xml:space="preserve">DIR1-&gt;ARG1/73</t>
  </si>
  <si>
    <t xml:space="preserve">"odcházet-002"</t>
  </si>
  <si>
    <t xml:space="preserve">"odcházet-003"</t>
  </si>
  <si>
    <t xml:space="preserve">"odcházet-004"</t>
  </si>
  <si>
    <t xml:space="preserve">"odcházívávat-001"</t>
  </si>
  <si>
    <t xml:space="preserve">"odchýlit-se-001"</t>
  </si>
  <si>
    <t xml:space="preserve">PAT: od+2; z+2</t>
  </si>
  <si>
    <t xml:space="preserve">"odchýlit-se-002"</t>
  </si>
  <si>
    <t xml:space="preserve">"odcizit-001"</t>
  </si>
  <si>
    <t xml:space="preserve">"odcizit-002"</t>
  </si>
  <si>
    <t xml:space="preserve">"odcizit-se-001"</t>
  </si>
  <si>
    <t xml:space="preserve">PAT-&gt;ARG0/2</t>
  </si>
  <si>
    <t xml:space="preserve">"odcizit-si-001"</t>
  </si>
  <si>
    <t xml:space="preserve">"odcizovat-001"</t>
  </si>
  <si>
    <t xml:space="preserve">"odcvičit-001"</t>
  </si>
  <si>
    <t xml:space="preserve">"oddalovat-001"</t>
  </si>
  <si>
    <t xml:space="preserve">"oddalovat-002"</t>
  </si>
  <si>
    <t xml:space="preserve">ACT-&gt;ARG0/19,ARG1/5</t>
  </si>
  <si>
    <t xml:space="preserve">ACT-&gt;ARG0/232</t>
  </si>
  <si>
    <t xml:space="preserve">PAT-&gt;ARG0/5,ARG1/454</t>
  </si>
  <si>
    <t xml:space="preserve">"oddat-001"</t>
  </si>
  <si>
    <t xml:space="preserve">"oddat-se-001"</t>
  </si>
  <si>
    <t xml:space="preserve">"oddechnout-si-001"</t>
  </si>
  <si>
    <t xml:space="preserve">"oddechnout-si-002"</t>
  </si>
  <si>
    <t xml:space="preserve">"oddychnout-si-001"</t>
  </si>
  <si>
    <t xml:space="preserve">"oddychnout-si-002"</t>
  </si>
  <si>
    <t xml:space="preserve">"oddychovat-001"</t>
  </si>
  <si>
    <t xml:space="preserve">"oddychovat-002"</t>
  </si>
  <si>
    <t xml:space="preserve">"oddálit-001"</t>
  </si>
  <si>
    <t xml:space="preserve">"oddálit-002"</t>
  </si>
  <si>
    <t xml:space="preserve">PAT-&gt;ARG1/95</t>
  </si>
  <si>
    <t xml:space="preserve">"oddálit-se-001"</t>
  </si>
  <si>
    <t xml:space="preserve">"oddávat-001"</t>
  </si>
  <si>
    <t xml:space="preserve">"oddávat-se-001"</t>
  </si>
  <si>
    <t xml:space="preserve">PAT-&gt;ARG1/9,ARG2/1</t>
  </si>
  <si>
    <t xml:space="preserve">"oddělat-001"</t>
  </si>
  <si>
    <t xml:space="preserve">PAT-&gt;ARG1/210</t>
  </si>
  <si>
    <t xml:space="preserve">"oddělat-002"</t>
  </si>
  <si>
    <t xml:space="preserve">"oddělat-003"</t>
  </si>
  <si>
    <t xml:space="preserve">"oddělat-004"</t>
  </si>
  <si>
    <t xml:space="preserve">"oddělit-001"</t>
  </si>
  <si>
    <t xml:space="preserve">PAT-&gt;ARG1/113,ARG3/1</t>
  </si>
  <si>
    <t xml:space="preserve">ORIG-&gt;ARG2/6</t>
  </si>
  <si>
    <t xml:space="preserve">"oddělit-se-001"</t>
  </si>
  <si>
    <t xml:space="preserve">"oddělovat-001"</t>
  </si>
  <si>
    <t xml:space="preserve">ACT-&gt;ARG0/5,ARG3/1</t>
  </si>
  <si>
    <t xml:space="preserve">ORIG-&gt;ARG2/10</t>
  </si>
  <si>
    <t xml:space="preserve">"oddělovat-se-001"</t>
  </si>
  <si>
    <t xml:space="preserve">"odebrat-001"</t>
  </si>
  <si>
    <t xml:space="preserve">"odebrat-002"</t>
  </si>
  <si>
    <t xml:space="preserve">"odebrat-003"</t>
  </si>
  <si>
    <t xml:space="preserve">ACT-&gt;ARG0/60,ARG1/2</t>
  </si>
  <si>
    <t xml:space="preserve">ACT-&gt;ARG0/42</t>
  </si>
  <si>
    <t xml:space="preserve">PAT-&gt;ARG1/86,ARG2/2</t>
  </si>
  <si>
    <t xml:space="preserve">DIR1-&gt;ARG1/21,ARG2/57</t>
  </si>
  <si>
    <t xml:space="preserve">DIR1-&gt;ARG2/11</t>
  </si>
  <si>
    <t xml:space="preserve">DIR1-&gt;ARG2/16</t>
  </si>
  <si>
    <t xml:space="preserve">DIR1-&gt;ARG1/1,ARG2/21</t>
  </si>
  <si>
    <t xml:space="preserve">"odebrat-004"</t>
  </si>
  <si>
    <t xml:space="preserve">"odebrat-se-001"</t>
  </si>
  <si>
    <t xml:space="preserve">"odebírat-001"</t>
  </si>
  <si>
    <t xml:space="preserve">"odebírat-002"</t>
  </si>
  <si>
    <t xml:space="preserve">"odebírat-003"</t>
  </si>
  <si>
    <t xml:space="preserve">"odehnat-001"</t>
  </si>
  <si>
    <t xml:space="preserve">"odehrát-001"</t>
  </si>
  <si>
    <t xml:space="preserve">"odehrát-se-001"</t>
  </si>
  <si>
    <t xml:space="preserve">ACT-&gt;ARG1/524</t>
  </si>
  <si>
    <t xml:space="preserve">"odehrávat-se-001"</t>
  </si>
  <si>
    <t xml:space="preserve">ACT-&gt;ARG0/1,ARG1/3253,ARG2/296</t>
  </si>
  <si>
    <t xml:space="preserve">"odejmout-001"</t>
  </si>
  <si>
    <t xml:space="preserve">PAT-&gt;ARG1/20,ARG2/2</t>
  </si>
  <si>
    <t xml:space="preserve">"odejít-001"</t>
  </si>
  <si>
    <t xml:space="preserve">ACT-&gt;ARG0/335,ARG1/155</t>
  </si>
  <si>
    <t xml:space="preserve">DIR1-&gt;ARG1/99,ARG2/1</t>
  </si>
  <si>
    <t xml:space="preserve">"odejít-002"</t>
  </si>
  <si>
    <t xml:space="preserve">"odejít-003"</t>
  </si>
  <si>
    <t xml:space="preserve">"odejít-004"</t>
  </si>
  <si>
    <t xml:space="preserve">DPHR: na-1[odpočinek.S4]</t>
  </si>
  <si>
    <t xml:space="preserve">"odejít-005"</t>
  </si>
  <si>
    <t xml:space="preserve">"odejít-006"</t>
  </si>
  <si>
    <t xml:space="preserve">"odejít-007"</t>
  </si>
  <si>
    <t xml:space="preserve">"odemknout-001"</t>
  </si>
  <si>
    <t xml:space="preserve">ACT-&gt;ARG0/124,ARG2/3</t>
  </si>
  <si>
    <t xml:space="preserve">PAT-&gt;ARG1/162</t>
  </si>
  <si>
    <t xml:space="preserve">"odepisovat-001"</t>
  </si>
  <si>
    <t xml:space="preserve">DIR1-&gt;ARG2/1</t>
  </si>
  <si>
    <t xml:space="preserve">"odepisovat-002"</t>
  </si>
  <si>
    <t xml:space="preserve">"odepisovat-003"</t>
  </si>
  <si>
    <t xml:space="preserve">EFF: 4; 7; ↓že; ↓aby; ↓ať; .s; ↓c</t>
  </si>
  <si>
    <t xml:space="preserve">"odepsat-001"</t>
  </si>
  <si>
    <t xml:space="preserve">"odepsat-002"</t>
  </si>
  <si>
    <t xml:space="preserve">PAT-&gt;ARG1/186</t>
  </si>
  <si>
    <t xml:space="preserve">"odepsat-003"</t>
  </si>
  <si>
    <t xml:space="preserve">EFF-&gt;ARG1/54</t>
  </si>
  <si>
    <t xml:space="preserve">"odepírat-001"</t>
  </si>
  <si>
    <t xml:space="preserve">PAT: 4; ↓aby; .f</t>
  </si>
  <si>
    <t xml:space="preserve">"odepřít-001"</t>
  </si>
  <si>
    <t xml:space="preserve">ACT-&gt;ARG0/98</t>
  </si>
  <si>
    <t xml:space="preserve">ADDR-&gt;ARG2/10</t>
  </si>
  <si>
    <t xml:space="preserve">"odeslat-001"</t>
  </si>
  <si>
    <t xml:space="preserve">ADDR-&gt;ARG2/77,ARG3/1</t>
  </si>
  <si>
    <t xml:space="preserve">"odeslat-002"</t>
  </si>
  <si>
    <t xml:space="preserve">DIR3-&gt;ARG1/2,ARG2/9</t>
  </si>
  <si>
    <t xml:space="preserve">"odesílat-001"</t>
  </si>
  <si>
    <t xml:space="preserve">"odevzdat-001"</t>
  </si>
  <si>
    <t xml:space="preserve">ACT-&gt;ARG0/44</t>
  </si>
  <si>
    <t xml:space="preserve">PAT-&gt;ARG1/176,ARG2/2</t>
  </si>
  <si>
    <t xml:space="preserve">ADDR-&gt;ARG1/11,ARG2/147</t>
  </si>
  <si>
    <t xml:space="preserve">"odevzdat-002"</t>
  </si>
  <si>
    <t xml:space="preserve">"odevzdat-003"</t>
  </si>
  <si>
    <t xml:space="preserve">PAT-&gt;ARG1/146,ARG2/2</t>
  </si>
  <si>
    <t xml:space="preserve">DIR3-&gt;ARG1/7,ARG2/128</t>
  </si>
  <si>
    <t xml:space="preserve">"odevzdávat-001"</t>
  </si>
  <si>
    <t xml:space="preserve">PAT-&gt;ARG1/154,ARG2/2</t>
  </si>
  <si>
    <t xml:space="preserve">ADDR-&gt;ARG1/11,ARG2/145</t>
  </si>
  <si>
    <t xml:space="preserve">"odevzdávat-002"</t>
  </si>
  <si>
    <t xml:space="preserve">"odevzdávat-003"</t>
  </si>
  <si>
    <t xml:space="preserve">PAT-&gt;ARG1/135,ARG2/2</t>
  </si>
  <si>
    <t xml:space="preserve">DIR3-&gt;ARG1/7,ARG2/127</t>
  </si>
  <si>
    <t xml:space="preserve">"odeznít-001"</t>
  </si>
  <si>
    <t xml:space="preserve">ACT-&gt;ARG0/3,ARG1/3181,ARG2/296</t>
  </si>
  <si>
    <t xml:space="preserve">"odeznívat-001"</t>
  </si>
  <si>
    <t xml:space="preserve">"odečíst-001"</t>
  </si>
  <si>
    <t xml:space="preserve">ACT-&gt;ARG0/36,ARG1/1</t>
  </si>
  <si>
    <t xml:space="preserve">"odečítat-001"</t>
  </si>
  <si>
    <t xml:space="preserve">ACT-&gt;ARG0/20,ARG1/1</t>
  </si>
  <si>
    <t xml:space="preserve">"odečítat-002"</t>
  </si>
  <si>
    <t xml:space="preserve">DIR1-&gt;ARG1/63,ARG3/4</t>
  </si>
  <si>
    <t xml:space="preserve">"odfouknout-001"</t>
  </si>
  <si>
    <t xml:space="preserve">"odfrknout-si-001"</t>
  </si>
  <si>
    <t xml:space="preserve">"odhadnout-001"</t>
  </si>
  <si>
    <t xml:space="preserve">ACT-&gt;ARG0/725,ARG1/1</t>
  </si>
  <si>
    <t xml:space="preserve">ACT-&gt;ARG0/332,ARG1/4</t>
  </si>
  <si>
    <t xml:space="preserve">PAT-&gt;ARG1/920,ARG2/3</t>
  </si>
  <si>
    <t xml:space="preserve">PAT-&gt;ARG1/767,ARG2/6</t>
  </si>
  <si>
    <t xml:space="preserve">EFF-&gt;ARG1/6,ARG2/79</t>
  </si>
  <si>
    <t xml:space="preserve">"odhadnout-002"</t>
  </si>
  <si>
    <t xml:space="preserve">ACT-&gt;ARG0/711,ARG1/1</t>
  </si>
  <si>
    <t xml:space="preserve">PAT: 4; ↓že; ↓zda; ↓c</t>
  </si>
  <si>
    <t xml:space="preserve">PAT-&gt;ARG1/885,ARG2/3</t>
  </si>
  <si>
    <t xml:space="preserve">"odhadovat-001"</t>
  </si>
  <si>
    <t xml:space="preserve">ACT-&gt;ARG0/12468,ARG1/36</t>
  </si>
  <si>
    <t xml:space="preserve">PAT-&gt;ARG0/2,ARG1/3982,ARG2/299,ARG3/29</t>
  </si>
  <si>
    <t xml:space="preserve">EFF-&gt;ARG1/128,ARG2/3556</t>
  </si>
  <si>
    <t xml:space="preserve">"odhadovat-002"</t>
  </si>
  <si>
    <t xml:space="preserve">ACT-&gt;ARG0/455,ARG1/3102,ARG2/296</t>
  </si>
  <si>
    <t xml:space="preserve">PAT-&gt;ARG1/591,ARG2/3453</t>
  </si>
  <si>
    <t xml:space="preserve">"odhalit-001"</t>
  </si>
  <si>
    <t xml:space="preserve">ACT-&gt;ARG0/846,ARG1/3</t>
  </si>
  <si>
    <t xml:space="preserve">ACT-&gt;ARG0/354,ARG2/3</t>
  </si>
  <si>
    <t xml:space="preserve">ACT-&gt;ARG0/395,ARG2/3</t>
  </si>
  <si>
    <t xml:space="preserve">PAT-&gt;ARG0/1,ARG1/1629,ARG2/6</t>
  </si>
  <si>
    <t xml:space="preserve">PAT-&gt;ARG1/614,ARG2/5,ARG3/1</t>
  </si>
  <si>
    <t xml:space="preserve">PAT-&gt;ARG1/671,ARG2/5,ARG3/1</t>
  </si>
  <si>
    <t xml:space="preserve">"odhalit-002"</t>
  </si>
  <si>
    <t xml:space="preserve">"odhalovat-001"</t>
  </si>
  <si>
    <t xml:space="preserve">"odhalovat-002"</t>
  </si>
  <si>
    <t xml:space="preserve">"odhazovat-001"</t>
  </si>
  <si>
    <t xml:space="preserve">"odhlasovat-001"</t>
  </si>
  <si>
    <t xml:space="preserve">"odhlásit-001"</t>
  </si>
  <si>
    <t xml:space="preserve">"odhlédnout-001"</t>
  </si>
  <si>
    <t xml:space="preserve">"odhlížet-001"</t>
  </si>
  <si>
    <t xml:space="preserve">"odhodit-001"</t>
  </si>
  <si>
    <t xml:space="preserve">"odhodit-002"</t>
  </si>
  <si>
    <t xml:space="preserve">"odhodlat-se-001"</t>
  </si>
  <si>
    <t xml:space="preserve">PAT: k+3; .f; ↓že</t>
  </si>
  <si>
    <t xml:space="preserve">"odhodlávat-se-001"</t>
  </si>
  <si>
    <t xml:space="preserve">"odhrabat-001"</t>
  </si>
  <si>
    <t xml:space="preserve">"odhrnovat-001"</t>
  </si>
  <si>
    <t xml:space="preserve">"odhánět-001"</t>
  </si>
  <si>
    <t xml:space="preserve">"odházet-001"</t>
  </si>
  <si>
    <t xml:space="preserve">"odjet-001"</t>
  </si>
  <si>
    <t xml:space="preserve">ACT-&gt;ARG0/26,ARG1/78</t>
  </si>
  <si>
    <t xml:space="preserve">"odjet-002"</t>
  </si>
  <si>
    <t xml:space="preserve">"odjistit-001"</t>
  </si>
  <si>
    <t xml:space="preserve">"odjíždět-001"</t>
  </si>
  <si>
    <t xml:space="preserve">DIR1-&gt;ARG1/55</t>
  </si>
  <si>
    <t xml:space="preserve">"odkapávat-001"</t>
  </si>
  <si>
    <t xml:space="preserve">"odkazovat-001"</t>
  </si>
  <si>
    <t xml:space="preserve">"odkazovat-002"</t>
  </si>
  <si>
    <t xml:space="preserve">"odkazovat-003"</t>
  </si>
  <si>
    <t xml:space="preserve">"odkazovat-004"</t>
  </si>
  <si>
    <t xml:space="preserve">PAT: na+4; ↓že</t>
  </si>
  <si>
    <t xml:space="preserve">"odkašlat-si-001"</t>
  </si>
  <si>
    <t xml:space="preserve">"odklidit-001"</t>
  </si>
  <si>
    <t xml:space="preserve">"odklidit-002"</t>
  </si>
  <si>
    <t xml:space="preserve">"odklizovat-001"</t>
  </si>
  <si>
    <t xml:space="preserve">"odklonit-001"</t>
  </si>
  <si>
    <t xml:space="preserve">"odklonit-002"</t>
  </si>
  <si>
    <t xml:space="preserve">PAT-&gt;ARG0/1,ARG1/176</t>
  </si>
  <si>
    <t xml:space="preserve">"odklonit-003"</t>
  </si>
  <si>
    <t xml:space="preserve">"odklonit-se-001"</t>
  </si>
  <si>
    <t xml:space="preserve">ACT-&gt;ARG1/25</t>
  </si>
  <si>
    <t xml:space="preserve">"odklonit-se-002"</t>
  </si>
  <si>
    <t xml:space="preserve">"odklusat-001"</t>
  </si>
  <si>
    <t xml:space="preserve">"odkládat-001"</t>
  </si>
  <si>
    <t xml:space="preserve">PAT-&gt;ARG1/181</t>
  </si>
  <si>
    <t xml:space="preserve">"odkládat-002"</t>
  </si>
  <si>
    <t xml:space="preserve">"odkládat-003"</t>
  </si>
  <si>
    <t xml:space="preserve">"odkládat-004"</t>
  </si>
  <si>
    <t xml:space="preserve">"--odkládat-005"</t>
  </si>
  <si>
    <t xml:space="preserve">"odklánět-001"</t>
  </si>
  <si>
    <t xml:space="preserve">"odklánět-se-001"</t>
  </si>
  <si>
    <t xml:space="preserve">ACT-&gt;ARG0/105,ARG1/5</t>
  </si>
  <si>
    <t xml:space="preserve">"odklízet-001"</t>
  </si>
  <si>
    <t xml:space="preserve">"odkopnout-001"</t>
  </si>
  <si>
    <t xml:space="preserve">"odkopávat-001"</t>
  </si>
  <si>
    <t xml:space="preserve">"odkoupit-001"</t>
  </si>
  <si>
    <t xml:space="preserve">ACT-&gt;ARG0/711,ARG1/2</t>
  </si>
  <si>
    <t xml:space="preserve">PAT-&gt;ARG0/2,ARG1/1278,ARG3/1</t>
  </si>
  <si>
    <t xml:space="preserve">"odkroutit-001"</t>
  </si>
  <si>
    <t xml:space="preserve">"odkroutit-si-001"</t>
  </si>
  <si>
    <t xml:space="preserve">"odkráglovat-001"</t>
  </si>
  <si>
    <t xml:space="preserve">"odkrýt-001"</t>
  </si>
  <si>
    <t xml:space="preserve">ACT-&gt;ARG0/175,ARG1/2</t>
  </si>
  <si>
    <t xml:space="preserve">PAT-&gt;ARG1/301</t>
  </si>
  <si>
    <t xml:space="preserve">"odkrývat-001"</t>
  </si>
  <si>
    <t xml:space="preserve">"odkupovat-001"</t>
  </si>
  <si>
    <t xml:space="preserve">ORIG-&gt;ARG2/16</t>
  </si>
  <si>
    <t xml:space="preserve">"odkvétat-001"</t>
  </si>
  <si>
    <t xml:space="preserve">"odkázat-001"</t>
  </si>
  <si>
    <t xml:space="preserve">ADDR-&gt;ARG1/4,ARG2/18</t>
  </si>
  <si>
    <t xml:space="preserve">ADDR-&gt;ARG1/4,ARG2/19</t>
  </si>
  <si>
    <t xml:space="preserve">"odkázat-002"</t>
  </si>
  <si>
    <t xml:space="preserve">PAT-&gt;ARG1/3,ARG2/5</t>
  </si>
  <si>
    <t xml:space="preserve">ADDR-&gt;ARG0/1,ARG1/6,ARG2/1</t>
  </si>
  <si>
    <t xml:space="preserve">"odkázat-003"</t>
  </si>
  <si>
    <t xml:space="preserve">"odkývat-001"</t>
  </si>
  <si>
    <t xml:space="preserve">"odlehčit-001"</t>
  </si>
  <si>
    <t xml:space="preserve">"odlehčit-002"</t>
  </si>
  <si>
    <t xml:space="preserve">"odlepit-se-001"</t>
  </si>
  <si>
    <t xml:space="preserve">"odlepkovávat-001"</t>
  </si>
  <si>
    <t xml:space="preserve">"odletět-001"</t>
  </si>
  <si>
    <t xml:space="preserve">ACT-&gt;ARG0/2,ARG1/42</t>
  </si>
  <si>
    <t xml:space="preserve">"odležet-se-001"</t>
  </si>
  <si>
    <t xml:space="preserve">"odlišit-001"</t>
  </si>
  <si>
    <t xml:space="preserve">ORIG-&gt;ARG2/9</t>
  </si>
  <si>
    <t xml:space="preserve">"odlišit-se-001"</t>
  </si>
  <si>
    <t xml:space="preserve">PAT-&gt;ARG1/4,ARG2/2</t>
  </si>
  <si>
    <t xml:space="preserve">PAT-&gt;ARG1/2,ARG2/2</t>
  </si>
  <si>
    <t xml:space="preserve">"odlišovat-001"</t>
  </si>
  <si>
    <t xml:space="preserve">"odlišovat-se-001"</t>
  </si>
  <si>
    <t xml:space="preserve">"odloučit-001"</t>
  </si>
  <si>
    <t xml:space="preserve">"odložit-001"</t>
  </si>
  <si>
    <t xml:space="preserve">ACT-&gt;ARG0/404,ARG1/12</t>
  </si>
  <si>
    <t xml:space="preserve">PAT-&gt;ARG1/643</t>
  </si>
  <si>
    <t xml:space="preserve">"odložit-002"</t>
  </si>
  <si>
    <t xml:space="preserve">"odložit-003"</t>
  </si>
  <si>
    <t xml:space="preserve">"odlupovat-001"</t>
  </si>
  <si>
    <t xml:space="preserve">"odlákat-001"</t>
  </si>
  <si>
    <t xml:space="preserve">"odlákávat-001"</t>
  </si>
  <si>
    <t xml:space="preserve">"odlétat-001"</t>
  </si>
  <si>
    <t xml:space="preserve">"odlít-001"</t>
  </si>
  <si>
    <t xml:space="preserve">"odlít-002"</t>
  </si>
  <si>
    <t xml:space="preserve">"odmalovat-001"</t>
  </si>
  <si>
    <t xml:space="preserve">"odmaturovat-001"</t>
  </si>
  <si>
    <t xml:space="preserve">"odmlouvat-001"</t>
  </si>
  <si>
    <t xml:space="preserve">"odmlčet-se-001"</t>
  </si>
  <si>
    <t xml:space="preserve">"odmontovat-001"</t>
  </si>
  <si>
    <t xml:space="preserve">"odmrštit-001"</t>
  </si>
  <si>
    <t xml:space="preserve">"odmyslit-si-001"</t>
  </si>
  <si>
    <t xml:space="preserve">"odmávat-001"</t>
  </si>
  <si>
    <t xml:space="preserve">"odmávnout-001"</t>
  </si>
  <si>
    <t xml:space="preserve">"odmáčet-001"</t>
  </si>
  <si>
    <t xml:space="preserve">"odmítat-001"</t>
  </si>
  <si>
    <t xml:space="preserve">"odmítat-002"</t>
  </si>
  <si>
    <t xml:space="preserve">ACT-&gt;ARG0/184</t>
  </si>
  <si>
    <t xml:space="preserve">PAT: 4; ↓aby; ↓že</t>
  </si>
  <si>
    <t xml:space="preserve">PAT-&gt;ARG1/204</t>
  </si>
  <si>
    <t xml:space="preserve">"odmítat-003"</t>
  </si>
  <si>
    <t xml:space="preserve">ACT-&gt;ARG0/546,ARG1/1</t>
  </si>
  <si>
    <t xml:space="preserve">"odmítat-004"</t>
  </si>
  <si>
    <t xml:space="preserve">"odmítnout-001"</t>
  </si>
  <si>
    <t xml:space="preserve">"odmítnout-002"</t>
  </si>
  <si>
    <t xml:space="preserve">ACT: 1; {strana-2}.S2/AuxP[z-1,.2]</t>
  </si>
  <si>
    <t xml:space="preserve">ACT-&gt;ARG0/530</t>
  </si>
  <si>
    <t xml:space="preserve">PAT-&gt;ARG1/594</t>
  </si>
  <si>
    <t xml:space="preserve">"odmítnout-003"</t>
  </si>
  <si>
    <t xml:space="preserve">ACT-&gt;ARG0/582,ARG1/5</t>
  </si>
  <si>
    <t xml:space="preserve">PAT-&gt;ARG0/2,ARG1/610</t>
  </si>
  <si>
    <t xml:space="preserve">"odmítnout-004"</t>
  </si>
  <si>
    <t xml:space="preserve">"odměnit-001"</t>
  </si>
  <si>
    <t xml:space="preserve">PAT-&gt;ARG1/133,ARG2/10</t>
  </si>
  <si>
    <t xml:space="preserve">"odměnit-se-001"</t>
  </si>
  <si>
    <t xml:space="preserve">"odměňovat-001"</t>
  </si>
  <si>
    <t xml:space="preserve">PAT-&gt;ARG1/11,ARG2/3</t>
  </si>
  <si>
    <t xml:space="preserve">"odměňovat-se-001"</t>
  </si>
  <si>
    <t xml:space="preserve">"odměřovat-001"</t>
  </si>
  <si>
    <t xml:space="preserve">"odnaučit-001"</t>
  </si>
  <si>
    <t xml:space="preserve">PAT: 4; 3; .f; ↓aby; ↓c</t>
  </si>
  <si>
    <t xml:space="preserve">"odnaučit-se-001"</t>
  </si>
  <si>
    <t xml:space="preserve">PAT: 3; .f</t>
  </si>
  <si>
    <t xml:space="preserve">"odnárodnit-001"</t>
  </si>
  <si>
    <t xml:space="preserve">"odnášet-001"</t>
  </si>
  <si>
    <t xml:space="preserve">"odnášet-002"</t>
  </si>
  <si>
    <t xml:space="preserve">"odnášet-003"</t>
  </si>
  <si>
    <t xml:space="preserve">"odnášet-004"</t>
  </si>
  <si>
    <t xml:space="preserve">"odnést-001"</t>
  </si>
  <si>
    <t xml:space="preserve">"odnést-002"</t>
  </si>
  <si>
    <t xml:space="preserve">"odnést-003"</t>
  </si>
  <si>
    <t xml:space="preserve">"odnést-004"</t>
  </si>
  <si>
    <t xml:space="preserve">ACT-&gt;ARG1/223,ARG2/4</t>
  </si>
  <si>
    <t xml:space="preserve">PAT-&gt;ARG0/128,ARG1/3,ARG2/38</t>
  </si>
  <si>
    <t xml:space="preserve">"odnést-005"</t>
  </si>
  <si>
    <t xml:space="preserve">"odnést-si-001"</t>
  </si>
  <si>
    <t xml:space="preserve">"odolat-001"</t>
  </si>
  <si>
    <t xml:space="preserve">PAT: 3; ↓aby</t>
  </si>
  <si>
    <t xml:space="preserve">ACT-&gt;ARG0/77</t>
  </si>
  <si>
    <t xml:space="preserve">ACT-&gt;ARG0/158</t>
  </si>
  <si>
    <t xml:space="preserve">PAT-&gt;ARG1/182</t>
  </si>
  <si>
    <t xml:space="preserve">PAT-&gt;ARG0/1,ARG1/241</t>
  </si>
  <si>
    <t xml:space="preserve">"odolávat-001"</t>
  </si>
  <si>
    <t xml:space="preserve">"odoperovat-001"</t>
  </si>
  <si>
    <t xml:space="preserve">"odorat-001"</t>
  </si>
  <si>
    <t xml:space="preserve">"odpadat-001"</t>
  </si>
  <si>
    <t xml:space="preserve">"odpadnout-001"</t>
  </si>
  <si>
    <t xml:space="preserve">ACT-&gt;ARG1/100</t>
  </si>
  <si>
    <t xml:space="preserve">"odpadnout-002"</t>
  </si>
  <si>
    <t xml:space="preserve">ACT-&gt;ARG0/7,ARG1/47</t>
  </si>
  <si>
    <t xml:space="preserve">"odpadávat-001"</t>
  </si>
  <si>
    <t xml:space="preserve">"odpalovat-001"</t>
  </si>
  <si>
    <t xml:space="preserve">"odplavit-001"</t>
  </si>
  <si>
    <t xml:space="preserve">"odplevelit-001"</t>
  </si>
  <si>
    <t xml:space="preserve">"odplout-001"</t>
  </si>
  <si>
    <t xml:space="preserve">"odplouvat-001"</t>
  </si>
  <si>
    <t xml:space="preserve">"odplynout-001"</t>
  </si>
  <si>
    <t xml:space="preserve">"odplížit-se-001"</t>
  </si>
  <si>
    <t xml:space="preserve">"odpochodovat-001"</t>
  </si>
  <si>
    <t xml:space="preserve">"odpochodovat-002"</t>
  </si>
  <si>
    <t xml:space="preserve">"odpojit-001"</t>
  </si>
  <si>
    <t xml:space="preserve">"odpojit-002"</t>
  </si>
  <si>
    <t xml:space="preserve">"odpolitizovat-001"</t>
  </si>
  <si>
    <t xml:space="preserve">"odpomoci-001"</t>
  </si>
  <si>
    <t xml:space="preserve">?PAT: od+2; .f</t>
  </si>
  <si>
    <t xml:space="preserve">"odporovat-001"</t>
  </si>
  <si>
    <t xml:space="preserve">ACT-&gt;ARG0/4,ARG1/40</t>
  </si>
  <si>
    <t xml:space="preserve">"odporovat-002"</t>
  </si>
  <si>
    <t xml:space="preserve">PAT: 3; ↓že; .s; ↓c</t>
  </si>
  <si>
    <t xml:space="preserve">"odposlechnout-001"</t>
  </si>
  <si>
    <t xml:space="preserve">"odposlouchat-001"</t>
  </si>
  <si>
    <t xml:space="preserve">"odposlouchávat-001"</t>
  </si>
  <si>
    <t xml:space="preserve">PAT-&gt;ARG1/60,ARG2/4</t>
  </si>
  <si>
    <t xml:space="preserve">"odpoutat-001"</t>
  </si>
  <si>
    <t xml:space="preserve">"odpoutat-002"</t>
  </si>
  <si>
    <t xml:space="preserve">"odpoutat-se-001"</t>
  </si>
  <si>
    <t xml:space="preserve">"odpoutávat-001"</t>
  </si>
  <si>
    <t xml:space="preserve">"odpoutávat-002"</t>
  </si>
  <si>
    <t xml:space="preserve">"odpouštět-001"</t>
  </si>
  <si>
    <t xml:space="preserve">"odpouštět-002"</t>
  </si>
  <si>
    <t xml:space="preserve">"odpouštět-si-001"</t>
  </si>
  <si>
    <t xml:space="preserve">"odpovídat-001"</t>
  </si>
  <si>
    <t xml:space="preserve">"odpovídat-002"</t>
  </si>
  <si>
    <t xml:space="preserve">ACT-&gt;ARG0/278,ARG1/3204,ARG2/296</t>
  </si>
  <si>
    <t xml:space="preserve">PAT-&gt;ARG1/590,ARG2/3532</t>
  </si>
  <si>
    <t xml:space="preserve">PAT-&gt;ARG1/48,ARG2/12</t>
  </si>
  <si>
    <t xml:space="preserve">"odpovídat-003"</t>
  </si>
  <si>
    <t xml:space="preserve">PAT-&gt;ARG1/66,ARG2/1</t>
  </si>
  <si>
    <t xml:space="preserve">PAT-&gt;ARG1/126,ARG2/1</t>
  </si>
  <si>
    <t xml:space="preserve">"odpovídat-004"</t>
  </si>
  <si>
    <t xml:space="preserve">"odpovídat-005"</t>
  </si>
  <si>
    <t xml:space="preserve">ACT-&gt;ARG0/12214,ARG1/36</t>
  </si>
  <si>
    <t xml:space="preserve">ACT-&gt;ARG0/12511,ARG1/38</t>
  </si>
  <si>
    <t xml:space="preserve">ADDR-&gt;ARG1/6,ARG2/332</t>
  </si>
  <si>
    <t xml:space="preserve">EFF: 4; 7; ↓že; ↓zda; ↓aby; ↓ať; .s; ↓c</t>
  </si>
  <si>
    <t xml:space="preserve">EFF-&gt;ARG0/2,ARG1/10494,ARG2/51</t>
  </si>
  <si>
    <t xml:space="preserve">EFF-&gt;ARG0/4,ARG1/10906,ARG2/55,ARG3/29</t>
  </si>
  <si>
    <t xml:space="preserve">PAT-&gt;ARG0/2,ARG1/74,ARG2/2,ARG3/29</t>
  </si>
  <si>
    <t xml:space="preserve">PAT-&gt;ARG0/4,ARG1/10906,ARG2/55,ARG3/29</t>
  </si>
  <si>
    <t xml:space="preserve">"odpovídat-006"</t>
  </si>
  <si>
    <t xml:space="preserve">"odpovídat-se-001"</t>
  </si>
  <si>
    <t xml:space="preserve">"odpovědět-001"</t>
  </si>
  <si>
    <t xml:space="preserve">"odpovědět-002"</t>
  </si>
  <si>
    <t xml:space="preserve">"odpovědět-003"</t>
  </si>
  <si>
    <t xml:space="preserve">ACT-&gt;ARG0/13045,ARG1/39</t>
  </si>
  <si>
    <t xml:space="preserve">ADDR-&gt;ARG1/6,ARG2/341</t>
  </si>
  <si>
    <t xml:space="preserve">EFF: 4; 7; ↓že; ↓aby; ↓ať; ↓zda; .s; ↓c</t>
  </si>
  <si>
    <t xml:space="preserve">EFF-&gt;ARG0/2,ARG1/11439,ARG2/53</t>
  </si>
  <si>
    <t xml:space="preserve">PAT-&gt;ARG0/2,ARG1/89,ARG2/9,ARG3/29</t>
  </si>
  <si>
    <t xml:space="preserve">"odpovědět-004"</t>
  </si>
  <si>
    <t xml:space="preserve">"odpočinout-si-001"</t>
  </si>
  <si>
    <t xml:space="preserve">"odpočnout-si-001"</t>
  </si>
  <si>
    <t xml:space="preserve">"odpočíst-001"</t>
  </si>
  <si>
    <t xml:space="preserve">"odpočíst-002"</t>
  </si>
  <si>
    <t xml:space="preserve">"odpočítávat-001"</t>
  </si>
  <si>
    <t xml:space="preserve">"odpočítávat-002"</t>
  </si>
  <si>
    <t xml:space="preserve">"odpočívat-001"</t>
  </si>
  <si>
    <t xml:space="preserve">"odpracovat-001"</t>
  </si>
  <si>
    <t xml:space="preserve">"odpracovávat-001"</t>
  </si>
  <si>
    <t xml:space="preserve">"odpravit-001"</t>
  </si>
  <si>
    <t xml:space="preserve">"odprodat-001"</t>
  </si>
  <si>
    <t xml:space="preserve">ACT-&gt;ARG0/523,ARG1/2,ARG2/1</t>
  </si>
  <si>
    <t xml:space="preserve">ACT-&gt;ARG0/555,ARG1/12,ARG2/5</t>
  </si>
  <si>
    <t xml:space="preserve">PAT-&gt;ARG0/1,ARG1/993,ARG2/1</t>
  </si>
  <si>
    <t xml:space="preserve">PAT-&gt;ARG0/8,ARG1/1170,ARG2/3</t>
  </si>
  <si>
    <t xml:space="preserve">ADDR-&gt;ARG2/221</t>
  </si>
  <si>
    <t xml:space="preserve">"odprodávat-001"</t>
  </si>
  <si>
    <t xml:space="preserve">"odpromovat-001"</t>
  </si>
  <si>
    <t xml:space="preserve">"odprásknout-se-001"</t>
  </si>
  <si>
    <t xml:space="preserve">"odpudit-001"</t>
  </si>
  <si>
    <t xml:space="preserve">"odpustit-001"</t>
  </si>
  <si>
    <t xml:space="preserve">"odpustit-002"</t>
  </si>
  <si>
    <t xml:space="preserve">"odpustit-si-001"</t>
  </si>
  <si>
    <t xml:space="preserve">"odpuzovat-001"</t>
  </si>
  <si>
    <t xml:space="preserve">"odpykat-si-001"</t>
  </si>
  <si>
    <t xml:space="preserve">"odpykávat-si-001"</t>
  </si>
  <si>
    <t xml:space="preserve">"odpálit-001"</t>
  </si>
  <si>
    <t xml:space="preserve">ACT-&gt;ARG0/22,ARG1/1,ARG2/22</t>
  </si>
  <si>
    <t xml:space="preserve">PAT-&gt;ARG1/51,ARG2/4</t>
  </si>
  <si>
    <t xml:space="preserve">"odpálit-002"</t>
  </si>
  <si>
    <t xml:space="preserve">"odpálit-003"</t>
  </si>
  <si>
    <t xml:space="preserve">"odpálkovat-001"</t>
  </si>
  <si>
    <t xml:space="preserve">EFF-&gt;ARG2/74</t>
  </si>
  <si>
    <t xml:space="preserve">"odpárat-001"</t>
  </si>
  <si>
    <t xml:space="preserve">"odpíchnout-001"</t>
  </si>
  <si>
    <t xml:space="preserve">"odpírat-001"</t>
  </si>
  <si>
    <t xml:space="preserve">ADDR-&gt;ARG0/5</t>
  </si>
  <si>
    <t xml:space="preserve">"odpískat-001"</t>
  </si>
  <si>
    <t xml:space="preserve">"odpřisáhnout-001"</t>
  </si>
  <si>
    <t xml:space="preserve">"odradit-001"</t>
  </si>
  <si>
    <t xml:space="preserve">ACT-&gt;ARG0/272,ARG2/3</t>
  </si>
  <si>
    <t xml:space="preserve">ACT-&gt;ARG0/23,ARG2/3</t>
  </si>
  <si>
    <t xml:space="preserve">ADDR-&gt;ARG0/2,ARG1/87,ARG2/309</t>
  </si>
  <si>
    <t xml:space="preserve">ADDR-&gt;ARG1/51</t>
  </si>
  <si>
    <t xml:space="preserve">?PAT: od+2; ↓aby</t>
  </si>
  <si>
    <t xml:space="preserve">PAT-&gt;ARG1/351,ARG2/30</t>
  </si>
  <si>
    <t xml:space="preserve">PAT-&gt;ARG2/29</t>
  </si>
  <si>
    <t xml:space="preserve">"odrazit-001"</t>
  </si>
  <si>
    <t xml:space="preserve">ACT-&gt;ARG0/4,ARG1/2,ARG2/164</t>
  </si>
  <si>
    <t xml:space="preserve">PAT-&gt;ARG1/268,ARG2/6</t>
  </si>
  <si>
    <t xml:space="preserve">"odrazit-002"</t>
  </si>
  <si>
    <t xml:space="preserve">ACT-&gt;ARG1/2,ARG2/164</t>
  </si>
  <si>
    <t xml:space="preserve">PAT-&gt;ARG1/250,ARG2/6</t>
  </si>
  <si>
    <t xml:space="preserve">"odrazit-003"</t>
  </si>
  <si>
    <t xml:space="preserve">"odrazit-se-001"</t>
  </si>
  <si>
    <t xml:space="preserve">ACT-&gt;ARG1/481,ARG2/6</t>
  </si>
  <si>
    <t xml:space="preserve">ACT-&gt;ARG1/601</t>
  </si>
  <si>
    <t xml:space="preserve">PAT: v+6; na+6</t>
  </si>
  <si>
    <t xml:space="preserve">PAT-&gt;ARG1/2,ARG2/164</t>
  </si>
  <si>
    <t xml:space="preserve">PAT-&gt;ARG0/168</t>
  </si>
  <si>
    <t xml:space="preserve">"odrazit-se-002"</t>
  </si>
  <si>
    <t xml:space="preserve">"odrazit-se-003"</t>
  </si>
  <si>
    <t xml:space="preserve">ACT-&gt;ARG0/1,ARG1/63</t>
  </si>
  <si>
    <t xml:space="preserve">DIR1-&gt;ARG3/12</t>
  </si>
  <si>
    <t xml:space="preserve">"odrazit-se-004"</t>
  </si>
  <si>
    <t xml:space="preserve">ACT-&gt;ARG1/82</t>
  </si>
  <si>
    <t xml:space="preserve">DIR1-&gt;ARG3/24</t>
  </si>
  <si>
    <t xml:space="preserve">"odrazovat-001"</t>
  </si>
  <si>
    <t xml:space="preserve">ACT-&gt;ARG0/21,ARG2/2</t>
  </si>
  <si>
    <t xml:space="preserve">ADDR-&gt;ARG1/24</t>
  </si>
  <si>
    <t xml:space="preserve">PAT-&gt;ARG1/9,ARG2/10,ARG3/1</t>
  </si>
  <si>
    <t xml:space="preserve">"odreagovat-se-001"</t>
  </si>
  <si>
    <t xml:space="preserve">"odreagovávat-001"</t>
  </si>
  <si>
    <t xml:space="preserve">"odrodit-001"</t>
  </si>
  <si>
    <t xml:space="preserve">"odrovnat-001"</t>
  </si>
  <si>
    <t xml:space="preserve">"odročit-001"</t>
  </si>
  <si>
    <t xml:space="preserve">"odrážet-001"</t>
  </si>
  <si>
    <t xml:space="preserve">ACT-&gt;ARG0/34,ARG1/117,ARG2/173</t>
  </si>
  <si>
    <t xml:space="preserve">PAT-&gt;ARG1/368,ARG2/95</t>
  </si>
  <si>
    <t xml:space="preserve">"odrážet-002"</t>
  </si>
  <si>
    <t xml:space="preserve">"odrážet-se-001"</t>
  </si>
  <si>
    <t xml:space="preserve">ACT-&gt;ARG1/252,ARG2/6</t>
  </si>
  <si>
    <t xml:space="preserve">"odrážet-se-002"</t>
  </si>
  <si>
    <t xml:space="preserve">ACT-&gt;ARG1/250,ARG2/6</t>
  </si>
  <si>
    <t xml:space="preserve">"odrážet-se-003"</t>
  </si>
  <si>
    <t xml:space="preserve">"odrážet-se-004"</t>
  </si>
  <si>
    <t xml:space="preserve">"odrůst-001"</t>
  </si>
  <si>
    <t xml:space="preserve">"odrůst-002"</t>
  </si>
  <si>
    <t xml:space="preserve">ACT-&gt;ARG1/152,ARG2/1</t>
  </si>
  <si>
    <t xml:space="preserve">"odrůstat-001"</t>
  </si>
  <si>
    <t xml:space="preserve">"odsednout-si-001"</t>
  </si>
  <si>
    <t xml:space="preserve">"odsedět-si-001"</t>
  </si>
  <si>
    <t xml:space="preserve">"odsekat-001"</t>
  </si>
  <si>
    <t xml:space="preserve">"odseknout-001"</t>
  </si>
  <si>
    <t xml:space="preserve">DIR1-&gt;ARG1/1,ARG2/4</t>
  </si>
  <si>
    <t xml:space="preserve">"odseknout-002"</t>
  </si>
  <si>
    <t xml:space="preserve">EFF-&gt;ARG1/3</t>
  </si>
  <si>
    <t xml:space="preserve">"odskakovat-001"</t>
  </si>
  <si>
    <t xml:space="preserve">"odskakovat-si-001"</t>
  </si>
  <si>
    <t xml:space="preserve">"odskočit-001"</t>
  </si>
  <si>
    <t xml:space="preserve">"odskočit-si-001"</t>
  </si>
  <si>
    <t xml:space="preserve">"odskákat-001"</t>
  </si>
  <si>
    <t xml:space="preserve">ACT-&gt;ARG1/76</t>
  </si>
  <si>
    <t xml:space="preserve">"odsloužit-001"</t>
  </si>
  <si>
    <t xml:space="preserve">"odsloužit-si-001"</t>
  </si>
  <si>
    <t xml:space="preserve">"odsoudit-001"</t>
  </si>
  <si>
    <t xml:space="preserve">ACT-&gt;ARG0/37,ARG3/2</t>
  </si>
  <si>
    <t xml:space="preserve">PAT-&gt;ARG1/120,ARG2/1,ARG3/1</t>
  </si>
  <si>
    <t xml:space="preserve">?EFF: k+3; na+4; .f</t>
  </si>
  <si>
    <t xml:space="preserve">EFF-&gt;ARG2/23</t>
  </si>
  <si>
    <t xml:space="preserve">"odsoudit-002"</t>
  </si>
  <si>
    <t xml:space="preserve">"odsouhlasit-001"</t>
  </si>
  <si>
    <t xml:space="preserve">ACT-&gt;ARG0/673</t>
  </si>
  <si>
    <t xml:space="preserve">ACT-&gt;ARG0/491,ARG1/18,ARG2/3</t>
  </si>
  <si>
    <t xml:space="preserve">PAT: 4; ↓že; ↓zda; ↓jestli; ↓aby; ↓c</t>
  </si>
  <si>
    <t xml:space="preserve">PAT-&gt;ARG1/701</t>
  </si>
  <si>
    <t xml:space="preserve">PAT-&gt;ARG0/1,ARG1/520,ARG2/7</t>
  </si>
  <si>
    <t xml:space="preserve">ADDR-&gt;ARG1/27,ARG2/52</t>
  </si>
  <si>
    <t xml:space="preserve">"odsouvat-001"</t>
  </si>
  <si>
    <t xml:space="preserve">"odsouvat-002"</t>
  </si>
  <si>
    <t xml:space="preserve">"odstartovat-001"</t>
  </si>
  <si>
    <t xml:space="preserve">ACT-&gt;ARG0/214,ARG1/67,ARG2/3</t>
  </si>
  <si>
    <t xml:space="preserve">PAT-&gt;ARG0/2,ARG1/424</t>
  </si>
  <si>
    <t xml:space="preserve">"odstartovat-002"</t>
  </si>
  <si>
    <t xml:space="preserve">"odstartovat-003"</t>
  </si>
  <si>
    <t xml:space="preserve">"odstartovat-004"</t>
  </si>
  <si>
    <t xml:space="preserve">"odstartovat-005"</t>
  </si>
  <si>
    <t xml:space="preserve">ACT-&gt;ARG1/37</t>
  </si>
  <si>
    <t xml:space="preserve">LOC-&gt;ARGM-EXT/25,ARGM-MNR/21</t>
  </si>
  <si>
    <t xml:space="preserve">MANN-&gt;ARGM-EXT/25,ARGM-MNR/21</t>
  </si>
  <si>
    <t xml:space="preserve">ACMP-&gt;ARGM-EXT/25,ARGM-MNR/21</t>
  </si>
  <si>
    <t xml:space="preserve">"odstaršit-001"</t>
  </si>
  <si>
    <t xml:space="preserve">"odstavit-001"</t>
  </si>
  <si>
    <t xml:space="preserve">ACT-&gt;ARG0/20,ARG3/3</t>
  </si>
  <si>
    <t xml:space="preserve">DIR1-&gt;ARG2/15</t>
  </si>
  <si>
    <t xml:space="preserve">"odstavit-002"</t>
  </si>
  <si>
    <t xml:space="preserve">"odstavit-003"</t>
  </si>
  <si>
    <t xml:space="preserve">"odstavovat-001"</t>
  </si>
  <si>
    <t xml:space="preserve">"odstavovat-002"</t>
  </si>
  <si>
    <t xml:space="preserve">"odstoupit-001"</t>
  </si>
  <si>
    <t xml:space="preserve">ACT-&gt;ARG0/73,ARG1/4</t>
  </si>
  <si>
    <t xml:space="preserve">PAT-&gt;ARG1/72,ARG2/13</t>
  </si>
  <si>
    <t xml:space="preserve">"odstoupit-002"</t>
  </si>
  <si>
    <t xml:space="preserve">"odstoupit-003"</t>
  </si>
  <si>
    <t xml:space="preserve">ACT-&gt;ARG0/195</t>
  </si>
  <si>
    <t xml:space="preserve">ACT-&gt;ARG0/26,ARG1/168</t>
  </si>
  <si>
    <t xml:space="preserve">"odstranit-001"</t>
  </si>
  <si>
    <t xml:space="preserve">PAT-&gt;ARG1/289</t>
  </si>
  <si>
    <t xml:space="preserve">DIR1-&gt;ARG1/1,ARG2/12</t>
  </si>
  <si>
    <t xml:space="preserve">"odstranit-002"</t>
  </si>
  <si>
    <t xml:space="preserve">ACT-&gt;ARG0/71</t>
  </si>
  <si>
    <t xml:space="preserve">DIR1-&gt;ARG2/7</t>
  </si>
  <si>
    <t xml:space="preserve">"odstranit-003"</t>
  </si>
  <si>
    <t xml:space="preserve">ACT-&gt;ARG0/210</t>
  </si>
  <si>
    <t xml:space="preserve">PAT-&gt;ARG1/535,ARG2/1</t>
  </si>
  <si>
    <t xml:space="preserve">"odstraňovat-001"</t>
  </si>
  <si>
    <t xml:space="preserve">DIR1-&gt;ARG2/1,ARG3/1</t>
  </si>
  <si>
    <t xml:space="preserve">"odstraňovat-002"</t>
  </si>
  <si>
    <t xml:space="preserve">"odstraňovat-003"</t>
  </si>
  <si>
    <t xml:space="preserve">"odstrašit-001"</t>
  </si>
  <si>
    <t xml:space="preserve">ACT-&gt;ARG0/7,ARG2/1</t>
  </si>
  <si>
    <t xml:space="preserve">ADDR-&gt;ARG1/17</t>
  </si>
  <si>
    <t xml:space="preserve">"odstrašovat-001"</t>
  </si>
  <si>
    <t xml:space="preserve">ACT-&gt;ARG0/2,ARG2/2</t>
  </si>
  <si>
    <t xml:space="preserve">"odstrčit-001"</t>
  </si>
  <si>
    <t xml:space="preserve">"odstrčit-002"</t>
  </si>
  <si>
    <t xml:space="preserve">"odstupovat-001"</t>
  </si>
  <si>
    <t xml:space="preserve">ACT-&gt;ARG0/7,ARG1/132</t>
  </si>
  <si>
    <t xml:space="preserve">"odstupovat-002"</t>
  </si>
  <si>
    <t xml:space="preserve">"odstupňovat-001"</t>
  </si>
  <si>
    <t xml:space="preserve">"odstínit-001"</t>
  </si>
  <si>
    <t xml:space="preserve">ACT-&gt;ARG0/77,ARG1/1,ARG3/18</t>
  </si>
  <si>
    <t xml:space="preserve">PAT-&gt;ARG1/194,ARG2/2</t>
  </si>
  <si>
    <t xml:space="preserve">?EFF: před+7</t>
  </si>
  <si>
    <t xml:space="preserve">EFF-&gt;ARG1/1,ARG2/43</t>
  </si>
  <si>
    <t xml:space="preserve">"odstěhovat-001"</t>
  </si>
  <si>
    <t xml:space="preserve">"odstěhovat-se-001"</t>
  </si>
  <si>
    <t xml:space="preserve">"odstřelit-001"</t>
  </si>
  <si>
    <t xml:space="preserve">"odstřelit-002"</t>
  </si>
  <si>
    <t xml:space="preserve">"odstřelovat-001"</t>
  </si>
  <si>
    <t xml:space="preserve">"odstřihnout-001"</t>
  </si>
  <si>
    <t xml:space="preserve">DIR1-&gt;ARG2/8</t>
  </si>
  <si>
    <t xml:space="preserve">"odstřihávat-001"</t>
  </si>
  <si>
    <t xml:space="preserve">"odstříknout-001"</t>
  </si>
  <si>
    <t xml:space="preserve">"odstříknout-002"</t>
  </si>
  <si>
    <t xml:space="preserve">"odsunout-001"</t>
  </si>
  <si>
    <t xml:space="preserve">PAT-&gt;ARG1/38,ARG2/13</t>
  </si>
  <si>
    <t xml:space="preserve">"odsunout-002"</t>
  </si>
  <si>
    <t xml:space="preserve">PAT-&gt;ARG1/311</t>
  </si>
  <si>
    <t xml:space="preserve">?DIR3: =</t>
  </si>
  <si>
    <t xml:space="preserve">DIR3-&gt;ARG1/264,ARG2/30</t>
  </si>
  <si>
    <t xml:space="preserve">"odsunout-003"</t>
  </si>
  <si>
    <t xml:space="preserve">"odsunout-004"</t>
  </si>
  <si>
    <t xml:space="preserve">"odsuzovat-001"</t>
  </si>
  <si>
    <t xml:space="preserve">"odsát-001"</t>
  </si>
  <si>
    <t xml:space="preserve">"odsávat-001"</t>
  </si>
  <si>
    <t xml:space="preserve">"odtahovat-se-001"</t>
  </si>
  <si>
    <t xml:space="preserve">"odtajnit-001"</t>
  </si>
  <si>
    <t xml:space="preserve">"odtransportovat-001"</t>
  </si>
  <si>
    <t xml:space="preserve">"odtrhnout-001"</t>
  </si>
  <si>
    <t xml:space="preserve">"odtrhnout-002"</t>
  </si>
  <si>
    <t xml:space="preserve">"odtrhnout-se-001"</t>
  </si>
  <si>
    <t xml:space="preserve">ACT-&gt;ARG0/98,ARG1/6</t>
  </si>
  <si>
    <t xml:space="preserve">"odtrhnout-se-002"</t>
  </si>
  <si>
    <t xml:space="preserve">"odtrhovat-001"</t>
  </si>
  <si>
    <t xml:space="preserve">"odtrhovat-002"</t>
  </si>
  <si>
    <t xml:space="preserve">"odtrhovat-si-001"</t>
  </si>
  <si>
    <t xml:space="preserve">DPHR: od-1[ústa.P2]</t>
  </si>
  <si>
    <t xml:space="preserve">"odtrhávat-001"</t>
  </si>
  <si>
    <t xml:space="preserve">"odtrhávat-se-001"</t>
  </si>
  <si>
    <t xml:space="preserve">"odtáhnout-001"</t>
  </si>
  <si>
    <t xml:space="preserve">"odtáhnout-002"</t>
  </si>
  <si>
    <t xml:space="preserve">"odtáhnout-003"</t>
  </si>
  <si>
    <t xml:space="preserve">"odtáhnout-se-001"</t>
  </si>
  <si>
    <t xml:space="preserve">"odtéci-001"</t>
  </si>
  <si>
    <t xml:space="preserve">"odtékat-001"</t>
  </si>
  <si>
    <t xml:space="preserve">"odumřít-001"</t>
  </si>
  <si>
    <t xml:space="preserve">ACT-&gt;ARG1/71</t>
  </si>
  <si>
    <t xml:space="preserve">"odučit-001"</t>
  </si>
  <si>
    <t xml:space="preserve">"odvalit-001"</t>
  </si>
  <si>
    <t xml:space="preserve">"odvanout-001"</t>
  </si>
  <si>
    <t xml:space="preserve">"odvažovat-se-001"</t>
  </si>
  <si>
    <t xml:space="preserve">ACT-&gt;ARG0/8,ARG1/4</t>
  </si>
  <si>
    <t xml:space="preserve">PAT: 2; k+3; .f</t>
  </si>
  <si>
    <t xml:space="preserve">PAT-&gt;ARG2/4</t>
  </si>
  <si>
    <t xml:space="preserve">PAT-&gt;ARG1/7,ARG2/4</t>
  </si>
  <si>
    <t xml:space="preserve">"odvděčit-se-001"</t>
  </si>
  <si>
    <t xml:space="preserve">"odvděčovat-se-001"</t>
  </si>
  <si>
    <t xml:space="preserve">"odvelet-001"</t>
  </si>
  <si>
    <t xml:space="preserve">"odvinit-001"</t>
  </si>
  <si>
    <t xml:space="preserve">"odvinout-se-001"</t>
  </si>
  <si>
    <t xml:space="preserve">"odvlíknout-001"</t>
  </si>
  <si>
    <t xml:space="preserve">"odvodit-001"</t>
  </si>
  <si>
    <t xml:space="preserve">ACT-&gt;ARG0/12,ARG1/2</t>
  </si>
  <si>
    <t xml:space="preserve">ORIG: z+2; od+2; odtud; odsud; odkudkoliv; odevšad; odtamtud; odjinud; odkud; odněkud; odnikud; odkudsi</t>
  </si>
  <si>
    <t xml:space="preserve">"odvodit-002"</t>
  </si>
  <si>
    <t xml:space="preserve">EFF: 4; ↓že; ↓jestli; ↓zda</t>
  </si>
  <si>
    <t xml:space="preserve">"odvolat-001"</t>
  </si>
  <si>
    <t xml:space="preserve">ACT-&gt;ARG0/64</t>
  </si>
  <si>
    <t xml:space="preserve">"odvolat-002"</t>
  </si>
  <si>
    <t xml:space="preserve">"odvolat-003"</t>
  </si>
  <si>
    <t xml:space="preserve">ACT-&gt;ARG0/62</t>
  </si>
  <si>
    <t xml:space="preserve">PAT-&gt;ARG1/132,ARG2/13</t>
  </si>
  <si>
    <t xml:space="preserve">"odvolat-se-001"</t>
  </si>
  <si>
    <t xml:space="preserve">PAT-&gt;ARG1/242,ARG2/6</t>
  </si>
  <si>
    <t xml:space="preserve">"odvolat-se-002"</t>
  </si>
  <si>
    <t xml:space="preserve">"odvolávat-001"</t>
  </si>
  <si>
    <t xml:space="preserve">"odvolávat-002"</t>
  </si>
  <si>
    <t xml:space="preserve">"odvolávat-003"</t>
  </si>
  <si>
    <t xml:space="preserve">"odvolávat-se-001"</t>
  </si>
  <si>
    <t xml:space="preserve">"odvolávat-se-002"</t>
  </si>
  <si>
    <t xml:space="preserve">"odvozovat-001"</t>
  </si>
  <si>
    <t xml:space="preserve">"odvracet-001"</t>
  </si>
  <si>
    <t xml:space="preserve">"odvracet-002"</t>
  </si>
  <si>
    <t xml:space="preserve">"odvracet-se-001"</t>
  </si>
  <si>
    <t xml:space="preserve">"odvrhnout-001"</t>
  </si>
  <si>
    <t xml:space="preserve">"odvrátit-001"</t>
  </si>
  <si>
    <t xml:space="preserve">ACT-&gt;ARG0/42,ARG1/1,ARG3/3</t>
  </si>
  <si>
    <t xml:space="preserve">"odvrátit-002"</t>
  </si>
  <si>
    <t xml:space="preserve">"odvrátit-003"</t>
  </si>
  <si>
    <t xml:space="preserve">"odvrátit-se-001"</t>
  </si>
  <si>
    <t xml:space="preserve">PAT-&gt;ARG1/2,ARG2/1</t>
  </si>
  <si>
    <t xml:space="preserve">"odvykat-001"</t>
  </si>
  <si>
    <t xml:space="preserve">"odvyknout-001"</t>
  </si>
  <si>
    <t xml:space="preserve">"odvyknout-si-001"</t>
  </si>
  <si>
    <t xml:space="preserve">PAT: ↓že; .f</t>
  </si>
  <si>
    <t xml:space="preserve">"odvysílat-001"</t>
  </si>
  <si>
    <t xml:space="preserve">ACT-&gt;ARG0/20,ARG1/6</t>
  </si>
  <si>
    <t xml:space="preserve">"odvádět-001"</t>
  </si>
  <si>
    <t xml:space="preserve">"odvádět-002"</t>
  </si>
  <si>
    <t xml:space="preserve">"odvádět-003"</t>
  </si>
  <si>
    <t xml:space="preserve">"odvádět-004"</t>
  </si>
  <si>
    <t xml:space="preserve">"odvádět-005"</t>
  </si>
  <si>
    <t xml:space="preserve">"odvádět-006"</t>
  </si>
  <si>
    <t xml:space="preserve">"odvádět-007"</t>
  </si>
  <si>
    <t xml:space="preserve">"odvát-001"</t>
  </si>
  <si>
    <t xml:space="preserve">"odvázat-se-001"</t>
  </si>
  <si>
    <t xml:space="preserve">"odvážet-001"</t>
  </si>
  <si>
    <t xml:space="preserve">"odvážet-002"</t>
  </si>
  <si>
    <t xml:space="preserve">"odvážet-003"</t>
  </si>
  <si>
    <t xml:space="preserve">"odvážit-001"</t>
  </si>
  <si>
    <t xml:space="preserve">"odvážit-se-001"</t>
  </si>
  <si>
    <t xml:space="preserve">PAT: 2; .f; k+3</t>
  </si>
  <si>
    <t xml:space="preserve">"odvážit-se-002"</t>
  </si>
  <si>
    <t xml:space="preserve">"odvést-001"</t>
  </si>
  <si>
    <t xml:space="preserve">"odvést-002"</t>
  </si>
  <si>
    <t xml:space="preserve">"odvést-003"</t>
  </si>
  <si>
    <t xml:space="preserve">PAT-&gt;ARG1/411</t>
  </si>
  <si>
    <t xml:space="preserve">"odvést-004"</t>
  </si>
  <si>
    <t xml:space="preserve">"odvést-005"</t>
  </si>
  <si>
    <t xml:space="preserve">"odvézt-001"</t>
  </si>
  <si>
    <t xml:space="preserve">"odvézt-002"</t>
  </si>
  <si>
    <t xml:space="preserve">"odvézt-003"</t>
  </si>
  <si>
    <t xml:space="preserve">ACT-&gt;ARG0/171</t>
  </si>
  <si>
    <t xml:space="preserve">PAT-&gt;ARG0/1,ARG1/329,ARG2/1</t>
  </si>
  <si>
    <t xml:space="preserve">"odvíjet-001"</t>
  </si>
  <si>
    <t xml:space="preserve">"odvíjet-se-001"</t>
  </si>
  <si>
    <t xml:space="preserve">"odvíjet-se-002"</t>
  </si>
  <si>
    <t xml:space="preserve">"odvětit-001"</t>
  </si>
  <si>
    <t xml:space="preserve">EFF-&gt;ARG1/2,ARG2/49</t>
  </si>
  <si>
    <t xml:space="preserve">"odzbrojit-001"</t>
  </si>
  <si>
    <t xml:space="preserve">"odzbrojit-002"</t>
  </si>
  <si>
    <t xml:space="preserve">"odzbrojovat-001"</t>
  </si>
  <si>
    <t xml:space="preserve">"odzvonit-001"</t>
  </si>
  <si>
    <t xml:space="preserve">"odzvonit-002"</t>
  </si>
  <si>
    <t xml:space="preserve">"odírat-001"</t>
  </si>
  <si>
    <t xml:space="preserve">"odít-001"</t>
  </si>
  <si>
    <t xml:space="preserve">"odčarovat-001"</t>
  </si>
  <si>
    <t xml:space="preserve">"odčerpat-001"</t>
  </si>
  <si>
    <t xml:space="preserve">PAT-&gt;ARG1/3,ARG2/3</t>
  </si>
  <si>
    <t xml:space="preserve">"odčerpat-002"</t>
  </si>
  <si>
    <t xml:space="preserve">"odčerpat-003"</t>
  </si>
  <si>
    <t xml:space="preserve">DIR1-&gt;ARG1/1,ARG2/1</t>
  </si>
  <si>
    <t xml:space="preserve">"odčerpávat-001"</t>
  </si>
  <si>
    <t xml:space="preserve">PAT-&gt;ARG1/5,ARG2/3</t>
  </si>
  <si>
    <t xml:space="preserve">"odčerpávat-002"</t>
  </si>
  <si>
    <t xml:space="preserve">"odčinit-001"</t>
  </si>
  <si>
    <t xml:space="preserve">"odčítat-001"</t>
  </si>
  <si>
    <t xml:space="preserve">"odčítávat-001"</t>
  </si>
  <si>
    <t xml:space="preserve">"odřeknout-001"</t>
  </si>
  <si>
    <t xml:space="preserve">"odřeknout-002"</t>
  </si>
  <si>
    <t xml:space="preserve">"odřezávat-001"</t>
  </si>
  <si>
    <t xml:space="preserve">"odřezávat-002"</t>
  </si>
  <si>
    <t xml:space="preserve">"odříci-001"</t>
  </si>
  <si>
    <t xml:space="preserve">"odříci-si-001"</t>
  </si>
  <si>
    <t xml:space="preserve">"odříkat-001"</t>
  </si>
  <si>
    <t xml:space="preserve">"odříkat-se-001"</t>
  </si>
  <si>
    <t xml:space="preserve">"odříkávat-001"</t>
  </si>
  <si>
    <t xml:space="preserve">ACT-&gt;ARG0/805</t>
  </si>
  <si>
    <t xml:space="preserve">PAT-&gt;ARG1/965,ARG2/5,ARG3/4</t>
  </si>
  <si>
    <t xml:space="preserve">"odřít-001"</t>
  </si>
  <si>
    <t xml:space="preserve">"odříznout-001"</t>
  </si>
  <si>
    <t xml:space="preserve">"odříznout-002"</t>
  </si>
  <si>
    <t xml:space="preserve">"odříznout-003"</t>
  </si>
  <si>
    <t xml:space="preserve">"odškodnit-001"</t>
  </si>
  <si>
    <t xml:space="preserve">"odškodňovat-001"</t>
  </si>
  <si>
    <t xml:space="preserve">PAT-&gt;ARG1/1,ARG2/8</t>
  </si>
  <si>
    <t xml:space="preserve">"odškrtávat-001"</t>
  </si>
  <si>
    <t xml:space="preserve">"odšroubovat-001"</t>
  </si>
  <si>
    <t xml:space="preserve">"odštípnout-001"</t>
  </si>
  <si>
    <t xml:space="preserve">DIR1-&gt;ARG1/3,ARG2/44</t>
  </si>
  <si>
    <t xml:space="preserve">"odštěpit-se-001"</t>
  </si>
  <si>
    <t xml:space="preserve">ACT-&gt;ARG0/43,ARG1/135,ARG3/1</t>
  </si>
  <si>
    <t xml:space="preserve">"odůvodnit-001"</t>
  </si>
  <si>
    <t xml:space="preserve">"odůvodňovat-001"</t>
  </si>
  <si>
    <t xml:space="preserve">ACT-&gt;ARG0/243</t>
  </si>
  <si>
    <t xml:space="preserve">"ofotit-001"</t>
  </si>
  <si>
    <t xml:space="preserve">"ofotografovat-001"</t>
  </si>
  <si>
    <t xml:space="preserve">"ofouknout-001"</t>
  </si>
  <si>
    <t xml:space="preserve">"ogrilovat-001"</t>
  </si>
  <si>
    <t xml:space="preserve">"ohlašovat-001"</t>
  </si>
  <si>
    <t xml:space="preserve">ACT-&gt;ARG0/786,ARG1/1</t>
  </si>
  <si>
    <t xml:space="preserve">PAT-&gt;ARG1/858</t>
  </si>
  <si>
    <t xml:space="preserve">"ohlašovat-002"</t>
  </si>
  <si>
    <t xml:space="preserve">"ohledat-001"</t>
  </si>
  <si>
    <t xml:space="preserve">"ohlodat-001"</t>
  </si>
  <si>
    <t xml:space="preserve">"ohluchnout-001"</t>
  </si>
  <si>
    <t xml:space="preserve">"ohlušit-001"</t>
  </si>
  <si>
    <t xml:space="preserve">"ohlásit-001"</t>
  </si>
  <si>
    <t xml:space="preserve">ACT-&gt;ARG0/13260,ARG1/41</t>
  </si>
  <si>
    <t xml:space="preserve">PAT-&gt;ARG0/2,ARG1/11742,ARG2/24</t>
  </si>
  <si>
    <t xml:space="preserve">ADDR-&gt;ARG1/33,ARG2/19</t>
  </si>
  <si>
    <t xml:space="preserve">"ohlásit-002"</t>
  </si>
  <si>
    <t xml:space="preserve">"ohlásit-003"</t>
  </si>
  <si>
    <t xml:space="preserve">"ohlásit-se-001"</t>
  </si>
  <si>
    <t xml:space="preserve">"ohlásit-se-002"</t>
  </si>
  <si>
    <t xml:space="preserve">"ohlédnout-se-001"</t>
  </si>
  <si>
    <t xml:space="preserve">"ohlídat-001"</t>
  </si>
  <si>
    <t xml:space="preserve">"ohlížet-se-001"</t>
  </si>
  <si>
    <t xml:space="preserve">PAT: na+4; ↓jestli; ↓zda</t>
  </si>
  <si>
    <t xml:space="preserve">"ohlížet-se-002"</t>
  </si>
  <si>
    <t xml:space="preserve">"ohlížet-se-003"</t>
  </si>
  <si>
    <t xml:space="preserve">"ohmatat-001"</t>
  </si>
  <si>
    <t xml:space="preserve">"ohmatávat-001"</t>
  </si>
  <si>
    <t xml:space="preserve">"ohnout-001"</t>
  </si>
  <si>
    <t xml:space="preserve">"ohnout-se-001"</t>
  </si>
  <si>
    <t xml:space="preserve">ACT-&gt;ARG0/9,ARG1/18</t>
  </si>
  <si>
    <t xml:space="preserve">"ohnout-se-002"</t>
  </si>
  <si>
    <t xml:space="preserve">"ohnít-001"</t>
  </si>
  <si>
    <t xml:space="preserve">"ohodnocovat-001"</t>
  </si>
  <si>
    <t xml:space="preserve">PAT-&gt;ARG1/59</t>
  </si>
  <si>
    <t xml:space="preserve">"ohodnotit-001"</t>
  </si>
  <si>
    <t xml:space="preserve">ACT-&gt;ARG0/107,ARG1/13</t>
  </si>
  <si>
    <t xml:space="preserve">PAT-&gt;ARG1/182,ARG2/15</t>
  </si>
  <si>
    <t xml:space="preserve">EFF: :4[{jako,jakožto}:/AuxY]; .a4[{jako,jakožto}:/AuxY]; za-1[.a4]</t>
  </si>
  <si>
    <t xml:space="preserve">EFF-&gt;ARG1/1,ARG2/249</t>
  </si>
  <si>
    <t xml:space="preserve">"ohodnotit-002"</t>
  </si>
  <si>
    <t xml:space="preserve">"ohodnotit-003"</t>
  </si>
  <si>
    <t xml:space="preserve">ACT-&gt;ARG0/12260,ARG1/36</t>
  </si>
  <si>
    <t xml:space="preserve">PAT-&gt;ARG0/2,ARG1/10739,ARG2/2</t>
  </si>
  <si>
    <t xml:space="preserve">"oholit-001"</t>
  </si>
  <si>
    <t xml:space="preserve">DIR1-&gt;ARG2/4</t>
  </si>
  <si>
    <t xml:space="preserve">"oholit-002"</t>
  </si>
  <si>
    <t xml:space="preserve">"ohořet-001"</t>
  </si>
  <si>
    <t xml:space="preserve">"ohradit-001"</t>
  </si>
  <si>
    <t xml:space="preserve">"ohradit-se-001"</t>
  </si>
  <si>
    <t xml:space="preserve">PAT: proti+3; ↓že</t>
  </si>
  <si>
    <t xml:space="preserve">PAT-&gt;ARG1/14,ARG2/13</t>
  </si>
  <si>
    <t xml:space="preserve">"ohraničit-001"</t>
  </si>
  <si>
    <t xml:space="preserve">"ohraničovat-001"</t>
  </si>
  <si>
    <t xml:space="preserve">"ohrazovat-001"</t>
  </si>
  <si>
    <t xml:space="preserve">"ohrazovat-se-001"</t>
  </si>
  <si>
    <t xml:space="preserve">"ohrnout-001"</t>
  </si>
  <si>
    <t xml:space="preserve">"ohrnout-002"</t>
  </si>
  <si>
    <t xml:space="preserve">DPHR: nos.S4</t>
  </si>
  <si>
    <t xml:space="preserve">"ohrnovat-001"</t>
  </si>
  <si>
    <t xml:space="preserve">"ohromit-001"</t>
  </si>
  <si>
    <t xml:space="preserve">ACT: 1; ↓že; ↓jak-2; ↓c</t>
  </si>
  <si>
    <t xml:space="preserve">ACT-&gt;ARG0/29,ARG1/4,ARG2/2</t>
  </si>
  <si>
    <t xml:space="preserve">ACT-&gt;ARG0/32,ARG1/48,ARG2/1</t>
  </si>
  <si>
    <t xml:space="preserve">PAT-&gt;ARG0/1,ARG1/43,ARG3/3</t>
  </si>
  <si>
    <t xml:space="preserve">PAT-&gt;ARG0/30,ARG1/49,ARG2/1</t>
  </si>
  <si>
    <t xml:space="preserve">"ohromovat-001"</t>
  </si>
  <si>
    <t xml:space="preserve">"ohrozit-001"</t>
  </si>
  <si>
    <t xml:space="preserve">ACT-&gt;ARG0/134,ARG2/76</t>
  </si>
  <si>
    <t xml:space="preserve">PAT-&gt;ARG0/2154,ARG1/248,ARG2/23</t>
  </si>
  <si>
    <t xml:space="preserve">PAT-&gt;ARG1/56,ARG2/8</t>
  </si>
  <si>
    <t xml:space="preserve">"ohrožovat-001"</t>
  </si>
  <si>
    <t xml:space="preserve">ACT-&gt;ARG0/92,ARG1/12,ARG2/76</t>
  </si>
  <si>
    <t xml:space="preserve">PAT-&gt;ARG1/163,ARG2/23</t>
  </si>
  <si>
    <t xml:space="preserve">"ohrávat-001"</t>
  </si>
  <si>
    <t xml:space="preserve">"ohánět-se-001"</t>
  </si>
  <si>
    <t xml:space="preserve">"ohánět-se-002"</t>
  </si>
  <si>
    <t xml:space="preserve">"ohýbat-001"</t>
  </si>
  <si>
    <t xml:space="preserve">"ohýbat-se-001"</t>
  </si>
  <si>
    <t xml:space="preserve">"ohřát-001"</t>
  </si>
  <si>
    <t xml:space="preserve">"ohřát-se-001"</t>
  </si>
  <si>
    <t xml:space="preserve">"ohřívat-001"</t>
  </si>
  <si>
    <t xml:space="preserve">"oklamat-001"</t>
  </si>
  <si>
    <t xml:space="preserve">PAT-&gt;ARG1/54,ARG2/3</t>
  </si>
  <si>
    <t xml:space="preserve">"oklepat-se-001"</t>
  </si>
  <si>
    <t xml:space="preserve">"oklepávat-se-001"</t>
  </si>
  <si>
    <t xml:space="preserve">"oklestit-001"</t>
  </si>
  <si>
    <t xml:space="preserve">ACT-&gt;ARG0/463,ARG1/3</t>
  </si>
  <si>
    <t xml:space="preserve">PAT-&gt;ARG1/940,ARG2/3,ARG4/4</t>
  </si>
  <si>
    <t xml:space="preserve">"oklešťovat-001"</t>
  </si>
  <si>
    <t xml:space="preserve">ACT-&gt;ARG0/165</t>
  </si>
  <si>
    <t xml:space="preserve">ACT-&gt;ARG0/371,ARG1/3</t>
  </si>
  <si>
    <t xml:space="preserve">PAT-&gt;ARG1/317</t>
  </si>
  <si>
    <t xml:space="preserve">PAT-&gt;ARG1/748,ARG2/3,ARG4/4</t>
  </si>
  <si>
    <t xml:space="preserve">"okopat-001"</t>
  </si>
  <si>
    <t xml:space="preserve">"okopat-002"</t>
  </si>
  <si>
    <t xml:space="preserve">"okopávat-001"</t>
  </si>
  <si>
    <t xml:space="preserve">"okopávat-002"</t>
  </si>
  <si>
    <t xml:space="preserve">"okopírovat-001"</t>
  </si>
  <si>
    <t xml:space="preserve">"okopírovat-002"</t>
  </si>
  <si>
    <t xml:space="preserve">"okoukat-001"</t>
  </si>
  <si>
    <t xml:space="preserve">"okoukat-se-001"</t>
  </si>
  <si>
    <t xml:space="preserve">"okouknout-001"</t>
  </si>
  <si>
    <t xml:space="preserve">"okouzlit-001"</t>
  </si>
  <si>
    <t xml:space="preserve">"okouzlovat-001"</t>
  </si>
  <si>
    <t xml:space="preserve">"okořenit-001"</t>
  </si>
  <si>
    <t xml:space="preserve">"okrádat-001"</t>
  </si>
  <si>
    <t xml:space="preserve">"okrást-001"</t>
  </si>
  <si>
    <t xml:space="preserve">"oktrojovat-001"</t>
  </si>
  <si>
    <t xml:space="preserve">"okukovat-001"</t>
  </si>
  <si>
    <t xml:space="preserve">"okupovat-001"</t>
  </si>
  <si>
    <t xml:space="preserve">ACT-&gt;ARG0/58,ARG1/1</t>
  </si>
  <si>
    <t xml:space="preserve">"okusit-001"</t>
  </si>
  <si>
    <t xml:space="preserve">ACT-&gt;ARG0/277,ARG1/7</t>
  </si>
  <si>
    <t xml:space="preserve">PAT-&gt;ARG1/386,ARG4/1</t>
  </si>
  <si>
    <t xml:space="preserve">"okusit-002"</t>
  </si>
  <si>
    <t xml:space="preserve">"okusovat-001"</t>
  </si>
  <si>
    <t xml:space="preserve">"okázat-se-001"</t>
  </si>
  <si>
    <t xml:space="preserve">"olizovat-001"</t>
  </si>
  <si>
    <t xml:space="preserve">"oloupat-001"</t>
  </si>
  <si>
    <t xml:space="preserve">DIR1-&gt;ARG1/93</t>
  </si>
  <si>
    <t xml:space="preserve">DIR1-&gt;ARG1/94</t>
  </si>
  <si>
    <t xml:space="preserve">"omakat-si-001"</t>
  </si>
  <si>
    <t xml:space="preserve">PAT: 4,.c</t>
  </si>
  <si>
    <t xml:space="preserve">"omalovat-001"</t>
  </si>
  <si>
    <t xml:space="preserve">"omarodit-001"</t>
  </si>
  <si>
    <t xml:space="preserve">"omarodit-002"</t>
  </si>
  <si>
    <t xml:space="preserve">"omdlévat-001"</t>
  </si>
  <si>
    <t xml:space="preserve">"omdlít-001"</t>
  </si>
  <si>
    <t xml:space="preserve">ACT-&gt;ARG0/1,ARG1/35</t>
  </si>
  <si>
    <t xml:space="preserve">"omezit-001"</t>
  </si>
  <si>
    <t xml:space="preserve">ACT-&gt;ARG0/482,ARG1/27,ARG2/5</t>
  </si>
  <si>
    <t xml:space="preserve">ACT-&gt;ARG0/812,ARG1/23</t>
  </si>
  <si>
    <t xml:space="preserve">PAT-&gt;ARG1/954,ARG2/46</t>
  </si>
  <si>
    <t xml:space="preserve">PAT-&gt;ARG1/1592,ARG2/12,ARG4/17</t>
  </si>
  <si>
    <t xml:space="preserve">ORIG-&gt;ARG3/45,ARG4/1</t>
  </si>
  <si>
    <t xml:space="preserve">ORIG-&gt;ARG2/5,ARG3/101,ARG4/2</t>
  </si>
  <si>
    <t xml:space="preserve">EFF-&gt;ARG2/55,ARG4/74</t>
  </si>
  <si>
    <t xml:space="preserve">EFF-&gt;ARG2/92,ARG3/1,ARG4/172,ARG5/1</t>
  </si>
  <si>
    <t xml:space="preserve">"omezit-002"</t>
  </si>
  <si>
    <t xml:space="preserve">"omezit-se-001"</t>
  </si>
  <si>
    <t xml:space="preserve">"omezit-se-002"</t>
  </si>
  <si>
    <t xml:space="preserve">"omezovat-001"</t>
  </si>
  <si>
    <t xml:space="preserve">PAT-&gt;ARG1/724,ARG2/1,ARG4/4</t>
  </si>
  <si>
    <t xml:space="preserve">ORIG-&gt;ARG3/22,ARG4/1</t>
  </si>
  <si>
    <t xml:space="preserve">EFF-&gt;ARG2/56,ARG4/36</t>
  </si>
  <si>
    <t xml:space="preserve">"omezovat-002"</t>
  </si>
  <si>
    <t xml:space="preserve">ADDR-&gt;ARG1/48</t>
  </si>
  <si>
    <t xml:space="preserve">ADDR-&gt;ARG1/129,ARG2/1</t>
  </si>
  <si>
    <t xml:space="preserve">PAT-&gt;ARG2/13</t>
  </si>
  <si>
    <t xml:space="preserve">PAT-&gt;ARG2/41</t>
  </si>
  <si>
    <t xml:space="preserve">"omezovat-se-001"</t>
  </si>
  <si>
    <t xml:space="preserve">ACT-&gt;ARG0/17,ARG1/88,ARG2/1</t>
  </si>
  <si>
    <t xml:space="preserve">"omezovat-se-002"</t>
  </si>
  <si>
    <t xml:space="preserve">"omilostnit-001"</t>
  </si>
  <si>
    <t xml:space="preserve">"omladit-001"</t>
  </si>
  <si>
    <t xml:space="preserve">"omlouvat-001"</t>
  </si>
  <si>
    <t xml:space="preserve">PAT-&gt;ARG0/2,ARG2/2</t>
  </si>
  <si>
    <t xml:space="preserve">"omlouvat-002"</t>
  </si>
  <si>
    <t xml:space="preserve">"omlouvat-se-001"</t>
  </si>
  <si>
    <t xml:space="preserve">"omluvit-001"</t>
  </si>
  <si>
    <t xml:space="preserve">"omluvit-002"</t>
  </si>
  <si>
    <t xml:space="preserve">"omládnout-001"</t>
  </si>
  <si>
    <t xml:space="preserve">"omlátit-001"</t>
  </si>
  <si>
    <t xml:space="preserve">"omlátit-002"</t>
  </si>
  <si>
    <t xml:space="preserve">DPHR: o-1[hlava.S4]</t>
  </si>
  <si>
    <t xml:space="preserve">"omrzet-001"</t>
  </si>
  <si>
    <t xml:space="preserve">"omráčit-001"</t>
  </si>
  <si>
    <t xml:space="preserve">"omráčit-002"</t>
  </si>
  <si>
    <t xml:space="preserve">"omílat-001"</t>
  </si>
  <si>
    <t xml:space="preserve">ACT-&gt;ARG0/33,ARG1/2</t>
  </si>
  <si>
    <t xml:space="preserve">PAT: 4; ↓zda; ↓jestli; ↓aby; ↓že; .s; ↓c</t>
  </si>
  <si>
    <t xml:space="preserve">?ORIG: po+6</t>
  </si>
  <si>
    <t xml:space="preserve">"omítnout-001"</t>
  </si>
  <si>
    <t xml:space="preserve">"omývat-001"</t>
  </si>
  <si>
    <t xml:space="preserve">"onemocnět-001"</t>
  </si>
  <si>
    <t xml:space="preserve">ACT-&gt;ARG1/431,ARG2/6</t>
  </si>
  <si>
    <t xml:space="preserve">PAT-&gt;ARG0/4</t>
  </si>
  <si>
    <t xml:space="preserve">"onosit-001"</t>
  </si>
  <si>
    <t xml:space="preserve">"opadat-001"</t>
  </si>
  <si>
    <t xml:space="preserve">"opadat-002"</t>
  </si>
  <si>
    <t xml:space="preserve">"opadnout-001"</t>
  </si>
  <si>
    <t xml:space="preserve">ACT-&gt;ARG0/6,ARG1/2022,ARG2/8</t>
  </si>
  <si>
    <t xml:space="preserve">"opadnout-002"</t>
  </si>
  <si>
    <t xml:space="preserve">"opadávat-001"</t>
  </si>
  <si>
    <t xml:space="preserve">"opadávat-002"</t>
  </si>
  <si>
    <t xml:space="preserve">"opakovat-001"</t>
  </si>
  <si>
    <t xml:space="preserve">"opakovat-002"</t>
  </si>
  <si>
    <t xml:space="preserve">ACT-&gt;ARG0/14,ARG1/2</t>
  </si>
  <si>
    <t xml:space="preserve">PAT: 4; ↓že; ↓aby; ↓zda; ↓ať</t>
  </si>
  <si>
    <t xml:space="preserve">"opakovat-003"</t>
  </si>
  <si>
    <t xml:space="preserve">EFF-&gt;ARG1/19</t>
  </si>
  <si>
    <t xml:space="preserve">"opakovat-se-001"</t>
  </si>
  <si>
    <t xml:space="preserve">"opakovat-se-002"</t>
  </si>
  <si>
    <t xml:space="preserve">"opakovat-si-001"</t>
  </si>
  <si>
    <t xml:space="preserve">"opalovat-001"</t>
  </si>
  <si>
    <t xml:space="preserve">"opalovat-se-001"</t>
  </si>
  <si>
    <t xml:space="preserve">"opatrovat-001"</t>
  </si>
  <si>
    <t xml:space="preserve">"opatrovat-002"</t>
  </si>
  <si>
    <t xml:space="preserve">"opatřit-001"</t>
  </si>
  <si>
    <t xml:space="preserve">ACT-&gt;ARG0/76</t>
  </si>
  <si>
    <t xml:space="preserve">PAT-&gt;ARG0/1,ARG1/14,ARG2/73</t>
  </si>
  <si>
    <t xml:space="preserve">EFF-&gt;ARG1/91,ARG2/17</t>
  </si>
  <si>
    <t xml:space="preserve">"opatřit-002"</t>
  </si>
  <si>
    <t xml:space="preserve">"opatřit-003"</t>
  </si>
  <si>
    <t xml:space="preserve">"opatřovat-001"</t>
  </si>
  <si>
    <t xml:space="preserve">"opařit-001"</t>
  </si>
  <si>
    <t xml:space="preserve">"opařit-002"</t>
  </si>
  <si>
    <t xml:space="preserve">"opařit-se-001"</t>
  </si>
  <si>
    <t xml:space="preserve">"opepřit-001"</t>
  </si>
  <si>
    <t xml:space="preserve">"operovat-001"</t>
  </si>
  <si>
    <t xml:space="preserve">"operovat-002"</t>
  </si>
  <si>
    <t xml:space="preserve">ACT-&gt;ARG0/187,ARG1/64</t>
  </si>
  <si>
    <t xml:space="preserve">PAT-&gt;ARG1/4,ARG2/1,ARG3/45,ARG4/1</t>
  </si>
  <si>
    <t xml:space="preserve">PAT-&gt;ARG1/2,ARG4/1</t>
  </si>
  <si>
    <t xml:space="preserve">"operovat-003"</t>
  </si>
  <si>
    <t xml:space="preserve">ACT-&gt;ARG0/2155,ARG1/83</t>
  </si>
  <si>
    <t xml:space="preserve">LOC-&gt;ARG0/1,ARG1/2256</t>
  </si>
  <si>
    <t xml:space="preserve">"operovat-004"</t>
  </si>
  <si>
    <t xml:space="preserve">ACT-&gt;ARG0/24,ARG1/64</t>
  </si>
  <si>
    <t xml:space="preserve">"operovat-005"</t>
  </si>
  <si>
    <t xml:space="preserve">"opevňovat-001"</t>
  </si>
  <si>
    <t xml:space="preserve">ACT-&gt;ARG0/68,ARG1/3,ARG3/19</t>
  </si>
  <si>
    <t xml:space="preserve">PAT-&gt;ARG0/10,ARG1/212,ARG2/2</t>
  </si>
  <si>
    <t xml:space="preserve">EFF-&gt;ARG1/16,ARG2/71,ARG4/3</t>
  </si>
  <si>
    <t xml:space="preserve">"opečovávat-001"</t>
  </si>
  <si>
    <t xml:space="preserve">"opisovat-001"</t>
  </si>
  <si>
    <t xml:space="preserve">PAT-&gt;ARG0/46,ARG1/8</t>
  </si>
  <si>
    <t xml:space="preserve">"opičit-se-001"</t>
  </si>
  <si>
    <t xml:space="preserve">"oplakat-001"</t>
  </si>
  <si>
    <t xml:space="preserve">"oplakávat-001"</t>
  </si>
  <si>
    <t xml:space="preserve">ACT-&gt;ARG0/12,ARG1/1</t>
  </si>
  <si>
    <t xml:space="preserve">"oplatit-001"</t>
  </si>
  <si>
    <t xml:space="preserve">"oplodnit-001"</t>
  </si>
  <si>
    <t xml:space="preserve">"oplotit-001"</t>
  </si>
  <si>
    <t xml:space="preserve">"oplácet-001"</t>
  </si>
  <si>
    <t xml:space="preserve">"opláchnout-001"</t>
  </si>
  <si>
    <t xml:space="preserve">"oplývat-001"</t>
  </si>
  <si>
    <t xml:space="preserve">"opodstatňovat-001"</t>
  </si>
  <si>
    <t xml:space="preserve">"opomenout-001"</t>
  </si>
  <si>
    <t xml:space="preserve">ACT-&gt;ARG0/63,ARG1/153</t>
  </si>
  <si>
    <t xml:space="preserve">PAT: 4; .f; ↓že; ↓zda; ↓jestli; ↓c</t>
  </si>
  <si>
    <t xml:space="preserve">PAT-&gt;ARG1/86,ARG2/152</t>
  </si>
  <si>
    <t xml:space="preserve">"opominout-001"</t>
  </si>
  <si>
    <t xml:space="preserve">"opomíjet-001"</t>
  </si>
  <si>
    <t xml:space="preserve">"oponovat-001"</t>
  </si>
  <si>
    <t xml:space="preserve">ACT-&gt;ARG0/98,ARG1/1</t>
  </si>
  <si>
    <t xml:space="preserve">PAT-&gt;ARG1/108,ARG2/9</t>
  </si>
  <si>
    <t xml:space="preserve">"oponovat-002"</t>
  </si>
  <si>
    <t xml:space="preserve">ACT-&gt;ARG0/80,ARG1/1</t>
  </si>
  <si>
    <t xml:space="preserve">"opotřebovat-001"</t>
  </si>
  <si>
    <t xml:space="preserve">"opouštět-001"</t>
  </si>
  <si>
    <t xml:space="preserve">PAT-&gt;ARG1/158,ARG2/1</t>
  </si>
  <si>
    <t xml:space="preserve">"opouštět-002"</t>
  </si>
  <si>
    <t xml:space="preserve">"opovrhnout-001"</t>
  </si>
  <si>
    <t xml:space="preserve">"opovrhovat-001"</t>
  </si>
  <si>
    <t xml:space="preserve">"opozdit-001"</t>
  </si>
  <si>
    <t xml:space="preserve">"opozdit-se-001"</t>
  </si>
  <si>
    <t xml:space="preserve">ACT-&gt;ARG0/3,ARG1/62</t>
  </si>
  <si>
    <t xml:space="preserve">?PAT: za+7</t>
  </si>
  <si>
    <t xml:space="preserve">"opozdit-se-002"</t>
  </si>
  <si>
    <t xml:space="preserve">"opožďovat-se-001"</t>
  </si>
  <si>
    <t xml:space="preserve">"opracovat-001"</t>
  </si>
  <si>
    <t xml:space="preserve">"opracovávat-001"</t>
  </si>
  <si>
    <t xml:space="preserve">"opravit-001"</t>
  </si>
  <si>
    <t xml:space="preserve">ACT-&gt;ARG0/187,ARG1/5</t>
  </si>
  <si>
    <t xml:space="preserve">PAT-&gt;ARG1/390,ARG2/2,ARG3/2</t>
  </si>
  <si>
    <t xml:space="preserve">"opravit-002"</t>
  </si>
  <si>
    <t xml:space="preserve">"opravovat-001"</t>
  </si>
  <si>
    <t xml:space="preserve">"opravovat-002"</t>
  </si>
  <si>
    <t xml:space="preserve">"opravovat-003"</t>
  </si>
  <si>
    <t xml:space="preserve">"opravňovat-001"</t>
  </si>
  <si>
    <t xml:space="preserve">ACT-&gt;ARG0/97,ARG1/14</t>
  </si>
  <si>
    <t xml:space="preserve">ACT-&gt;ARG0/328,ARG1/15</t>
  </si>
  <si>
    <t xml:space="preserve">PAT: k+3; .f; ↓aby</t>
  </si>
  <si>
    <t xml:space="preserve">PAT-&gt;ARG1/152,ARG2/22</t>
  </si>
  <si>
    <t xml:space="preserve">PAT-&gt;ARG1/563,ARG2/25</t>
  </si>
  <si>
    <t xml:space="preserve">ADDR-&gt;ARG1/11,ARG2/12,ARG4/3</t>
  </si>
  <si>
    <t xml:space="preserve">ADDR-&gt;ARG1/468,ARG2/96</t>
  </si>
  <si>
    <t xml:space="preserve">"opravňovat-002"</t>
  </si>
  <si>
    <t xml:space="preserve">"oprašovat-001"</t>
  </si>
  <si>
    <t xml:space="preserve">"oprostit-001"</t>
  </si>
  <si>
    <t xml:space="preserve">PAT-&gt;ARG1/35,ARG2/12</t>
  </si>
  <si>
    <t xml:space="preserve">ORIG-&gt;ARG1/11,ARG2/25</t>
  </si>
  <si>
    <t xml:space="preserve">"oprávnit-001"</t>
  </si>
  <si>
    <t xml:space="preserve">PAT: k+3; .f</t>
  </si>
  <si>
    <t xml:space="preserve">ADDR-&gt;ARG1/1,ARG2/20</t>
  </si>
  <si>
    <t xml:space="preserve">"oprávnit-002"</t>
  </si>
  <si>
    <t xml:space="preserve">"oprášit-001"</t>
  </si>
  <si>
    <t xml:space="preserve">"oprášit-002"</t>
  </si>
  <si>
    <t xml:space="preserve">"opsat-001"</t>
  </si>
  <si>
    <t xml:space="preserve">"opsat-002"</t>
  </si>
  <si>
    <t xml:space="preserve">"optat-se-001"</t>
  </si>
  <si>
    <t xml:space="preserve">PAT: na+4; ↓zda; ↓zdali; ↓jestli; ↓c; .s</t>
  </si>
  <si>
    <t xml:space="preserve">"optimalizovat-001"</t>
  </si>
  <si>
    <t xml:space="preserve">"opustit-001"</t>
  </si>
  <si>
    <t xml:space="preserve">ACT-&gt;ARG0/181,ARG1/28</t>
  </si>
  <si>
    <t xml:space="preserve">"opustit-002"</t>
  </si>
  <si>
    <t xml:space="preserve">ACT-&gt;ARG0/200,ARG1/108</t>
  </si>
  <si>
    <t xml:space="preserve">PAT-&gt;ARG1/197,ARG2/1</t>
  </si>
  <si>
    <t xml:space="preserve">"opustit-003"</t>
  </si>
  <si>
    <t xml:space="preserve">"opustit-004"</t>
  </si>
  <si>
    <t xml:space="preserve">"opylit-001"</t>
  </si>
  <si>
    <t xml:space="preserve">"opylovat-001"</t>
  </si>
  <si>
    <t xml:space="preserve">"opálit-001"</t>
  </si>
  <si>
    <t xml:space="preserve">"opásat-001"</t>
  </si>
  <si>
    <t xml:space="preserve">"opáčit-001"</t>
  </si>
  <si>
    <t xml:space="preserve">ADDR-&gt;ARG1/13,ARG2/2</t>
  </si>
  <si>
    <t xml:space="preserve">"opéci-001"</t>
  </si>
  <si>
    <t xml:space="preserve">"opékat-001"</t>
  </si>
  <si>
    <t xml:space="preserve">"opíjet-001"</t>
  </si>
  <si>
    <t xml:space="preserve">"opíjet-se-001"</t>
  </si>
  <si>
    <t xml:space="preserve">"opíjet-se-002"</t>
  </si>
  <si>
    <t xml:space="preserve">"opírat-001"</t>
  </si>
  <si>
    <t xml:space="preserve">EFF: o+4</t>
  </si>
  <si>
    <t xml:space="preserve">"opírat-002"</t>
  </si>
  <si>
    <t xml:space="preserve">"opírat-se-001"</t>
  </si>
  <si>
    <t xml:space="preserve">ACT-&gt;ARG0/141,ARG1/81</t>
  </si>
  <si>
    <t xml:space="preserve">PAT-&gt;ARG1/160,ARG2/212</t>
  </si>
  <si>
    <t xml:space="preserve">PAT-&gt;ARG1/120,ARG2/10</t>
  </si>
  <si>
    <t xml:space="preserve">"opírat-se-002"</t>
  </si>
  <si>
    <t xml:space="preserve">"opít-001"</t>
  </si>
  <si>
    <t xml:space="preserve">"opít-002"</t>
  </si>
  <si>
    <t xml:space="preserve">"opít-se-001"</t>
  </si>
  <si>
    <t xml:space="preserve">ACT-&gt;ARG0/49,ARG1/2</t>
  </si>
  <si>
    <t xml:space="preserve">"opětovat-001"</t>
  </si>
  <si>
    <t xml:space="preserve">PAT-&gt;ARG1/33,ARG2/3</t>
  </si>
  <si>
    <t xml:space="preserve">"opěvovat-001"</t>
  </si>
  <si>
    <t xml:space="preserve">PAT: 4; ↓že; ↓jak-2; ↓c; .s</t>
  </si>
  <si>
    <t xml:space="preserve">"opřít-001"</t>
  </si>
  <si>
    <t xml:space="preserve">"opřít-se-001"</t>
  </si>
  <si>
    <t xml:space="preserve">ACT-&gt;ARG0/7,ARG1/2</t>
  </si>
  <si>
    <t xml:space="preserve">"opřít-se-002"</t>
  </si>
  <si>
    <t xml:space="preserve">"opřít-se-003"</t>
  </si>
  <si>
    <t xml:space="preserve">"orat-001"</t>
  </si>
  <si>
    <t xml:space="preserve">"orazítkovat-001"</t>
  </si>
  <si>
    <t xml:space="preserve">"ordinovat-001"</t>
  </si>
  <si>
    <t xml:space="preserve">PAT: 4; ↓že; ↓aby; ↓jak-2; ↓ať</t>
  </si>
  <si>
    <t xml:space="preserve">"organizovat-001"</t>
  </si>
  <si>
    <t xml:space="preserve">PAT-&gt;ARG1/240</t>
  </si>
  <si>
    <t xml:space="preserve">"organizovat-002"</t>
  </si>
  <si>
    <t xml:space="preserve">"orientovat-001"</t>
  </si>
  <si>
    <t xml:space="preserve">PAT-&gt;ARG1/60,ARG2/2</t>
  </si>
  <si>
    <t xml:space="preserve">"orientovat-002"</t>
  </si>
  <si>
    <t xml:space="preserve">"orientovat-003"</t>
  </si>
  <si>
    <t xml:space="preserve">"orientovat-se-001"</t>
  </si>
  <si>
    <t xml:space="preserve">ACT-&gt;ARG0/51,ARG1/1</t>
  </si>
  <si>
    <t xml:space="preserve">ACT-&gt;ARG0/158,ARG1/95,ARG2/12</t>
  </si>
  <si>
    <t xml:space="preserve">PAT: na+4; proti+3</t>
  </si>
  <si>
    <t xml:space="preserve">PAT-&gt;ARG1/207,ARG2/104</t>
  </si>
  <si>
    <t xml:space="preserve">ACT-&gt;ARG0/28,ARG1/26</t>
  </si>
  <si>
    <t xml:space="preserve">"orientovat-se-002"</t>
  </si>
  <si>
    <t xml:space="preserve">"orientovat-se-003"</t>
  </si>
  <si>
    <t xml:space="preserve">"orodovat-001"</t>
  </si>
  <si>
    <t xml:space="preserve">"orosit-se-001"</t>
  </si>
  <si>
    <t xml:space="preserve">"osahat-001"</t>
  </si>
  <si>
    <t xml:space="preserve">"osahat-si-001"</t>
  </si>
  <si>
    <t xml:space="preserve">"osahávat-001"</t>
  </si>
  <si>
    <t xml:space="preserve">"osamostatnit-se-001"</t>
  </si>
  <si>
    <t xml:space="preserve">"osamostatnit-se-002"</t>
  </si>
  <si>
    <t xml:space="preserve">"osamostatňovat-se-001"</t>
  </si>
  <si>
    <t xml:space="preserve">"osazovat-001"</t>
  </si>
  <si>
    <t xml:space="preserve">"oscilovat-001"</t>
  </si>
  <si>
    <t xml:space="preserve">"osedlat-si-001"</t>
  </si>
  <si>
    <t xml:space="preserve">"osekat-001"</t>
  </si>
  <si>
    <t xml:space="preserve">"oseknout-001"</t>
  </si>
  <si>
    <t xml:space="preserve">"osiřet-001"</t>
  </si>
  <si>
    <t xml:space="preserve">"oskenovat-001"</t>
  </si>
  <si>
    <t xml:space="preserve">"oslabit-001"</t>
  </si>
  <si>
    <t xml:space="preserve">ACT-&gt;ARG0/69,ARG1/30</t>
  </si>
  <si>
    <t xml:space="preserve">ACT-&gt;ARG0/441,ARG1/20</t>
  </si>
  <si>
    <t xml:space="preserve">PAT-&gt;ARG1/844,ARG2/9,ARG4/13</t>
  </si>
  <si>
    <t xml:space="preserve">ORIG-&gt;ARG3/56,ARG4/1</t>
  </si>
  <si>
    <t xml:space="preserve">EFF-&gt;ARG2/46,ARG3/1,ARG4/90,ARG5/1</t>
  </si>
  <si>
    <t xml:space="preserve">"oslabit-002"</t>
  </si>
  <si>
    <t xml:space="preserve">ACT-&gt;ARG0/280,ARG2/83</t>
  </si>
  <si>
    <t xml:space="preserve">PAT-&gt;ARG1/488,ARG2/1</t>
  </si>
  <si>
    <t xml:space="preserve">"oslabit-003"</t>
  </si>
  <si>
    <t xml:space="preserve">ACT-&gt;ARG1/43</t>
  </si>
  <si>
    <t xml:space="preserve">ACT-&gt;ARG0/1,ARG1/86</t>
  </si>
  <si>
    <t xml:space="preserve">ACT-&gt;ARG0/6,ARG1/1381,ARG2/4</t>
  </si>
  <si>
    <t xml:space="preserve">"oslabit-004"</t>
  </si>
  <si>
    <t xml:space="preserve">ACT-&gt;ARG1/671,ARG2/6</t>
  </si>
  <si>
    <t xml:space="preserve">ACT-&gt;ARG0/193,ARG1/1533,ARG2/5</t>
  </si>
  <si>
    <t xml:space="preserve">PAT-&gt;ARG2/2,ARG4/115,ARGm-LOC/1</t>
  </si>
  <si>
    <t xml:space="preserve">PAT-&gt;ARG1/219,ARG2/16,ARG4/890,ARGM-LOC/2</t>
  </si>
  <si>
    <t xml:space="preserve">ORIG-&gt;ARG3/23,ARGm-LOC/1</t>
  </si>
  <si>
    <t xml:space="preserve">ORIG-&gt;ARG3/273,ARG4/5,ARGM-LOC/1</t>
  </si>
  <si>
    <t xml:space="preserve">"oslabovat-001"</t>
  </si>
  <si>
    <t xml:space="preserve">"oslabovat-002"</t>
  </si>
  <si>
    <t xml:space="preserve">"oslabovat-003"</t>
  </si>
  <si>
    <t xml:space="preserve">"--oslabovat-004"</t>
  </si>
  <si>
    <t xml:space="preserve">"oslabovat-se-001"</t>
  </si>
  <si>
    <t xml:space="preserve">"osladit-001"</t>
  </si>
  <si>
    <t xml:space="preserve">"osladit-002"</t>
  </si>
  <si>
    <t xml:space="preserve">"oslavit-001"</t>
  </si>
  <si>
    <t xml:space="preserve">PAT-&gt;ARG1/23,ARG2/1</t>
  </si>
  <si>
    <t xml:space="preserve">"oslavovat-001"</t>
  </si>
  <si>
    <t xml:space="preserve">PAT-&gt;ARG1/24,ARG2/1</t>
  </si>
  <si>
    <t xml:space="preserve">"oslepit-001"</t>
  </si>
  <si>
    <t xml:space="preserve">"oslepnout-001"</t>
  </si>
  <si>
    <t xml:space="preserve">"oslnit-001"</t>
  </si>
  <si>
    <t xml:space="preserve">ACT-&gt;ARG0/38,ARG1/1,ARG2/1</t>
  </si>
  <si>
    <t xml:space="preserve">PAT-&gt;ARG0/1,ARG1/57</t>
  </si>
  <si>
    <t xml:space="preserve">"oslovit-001"</t>
  </si>
  <si>
    <t xml:space="preserve">EFF: 5</t>
  </si>
  <si>
    <t xml:space="preserve">"oslovit-002"</t>
  </si>
  <si>
    <t xml:space="preserve">PAT-&gt;ARG1/1,ARG2/20</t>
  </si>
  <si>
    <t xml:space="preserve">?EFF: s+7; ↓zda; .s</t>
  </si>
  <si>
    <t xml:space="preserve">EFF-&gt;ARG1/27,ARG2/5</t>
  </si>
  <si>
    <t xml:space="preserve">ACT-&gt;ARG0/123,ARG1/99</t>
  </si>
  <si>
    <t xml:space="preserve">PAT-&gt;ARG1/207,ARG2/31</t>
  </si>
  <si>
    <t xml:space="preserve">"oslovit-003"</t>
  </si>
  <si>
    <t xml:space="preserve">ACT-&gt;ARG0/6,ARG2/1</t>
  </si>
  <si>
    <t xml:space="preserve">"oslovovat-001"</t>
  </si>
  <si>
    <t xml:space="preserve">"oslovovat-002"</t>
  </si>
  <si>
    <t xml:space="preserve">EFF: 1; 5</t>
  </si>
  <si>
    <t xml:space="preserve">EFF-&gt;ARG1/1,ARG2/344</t>
  </si>
  <si>
    <t xml:space="preserve">"oslyšet-001"</t>
  </si>
  <si>
    <t xml:space="preserve">"osnovat-001"</t>
  </si>
  <si>
    <t xml:space="preserve">"osobovat-si-001"</t>
  </si>
  <si>
    <t xml:space="preserve">"osolit-001"</t>
  </si>
  <si>
    <t xml:space="preserve">"osopit-se-001"</t>
  </si>
  <si>
    <t xml:space="preserve">?PAT: ↓jestli</t>
  </si>
  <si>
    <t xml:space="preserve">"osočovat-001"</t>
  </si>
  <si>
    <t xml:space="preserve">"ospravedlnit-001"</t>
  </si>
  <si>
    <t xml:space="preserve">"ospravedlňovat-001"</t>
  </si>
  <si>
    <t xml:space="preserve">"osprchovat-001"</t>
  </si>
  <si>
    <t xml:space="preserve">"ostýchat-se-001"</t>
  </si>
  <si>
    <t xml:space="preserve">?PAT: .f</t>
  </si>
  <si>
    <t xml:space="preserve">"ostřelovat-001"</t>
  </si>
  <si>
    <t xml:space="preserve">"ostřit-001"</t>
  </si>
  <si>
    <t xml:space="preserve">"ostříhat-001"</t>
  </si>
  <si>
    <t xml:space="preserve">"osušit-001"</t>
  </si>
  <si>
    <t xml:space="preserve">"osvobodit-001"</t>
  </si>
  <si>
    <t xml:space="preserve">ORIG: od+2; z+2</t>
  </si>
  <si>
    <t xml:space="preserve">"osvobodit-002"</t>
  </si>
  <si>
    <t xml:space="preserve">"osvobozovat-001"</t>
  </si>
  <si>
    <t xml:space="preserve">ACT-&gt;ARG0/2,ARG1/20</t>
  </si>
  <si>
    <t xml:space="preserve">PAT-&gt;ARG0/9,ARG1/10</t>
  </si>
  <si>
    <t xml:space="preserve">ORIG-&gt;ARG2/12</t>
  </si>
  <si>
    <t xml:space="preserve">"osvobozovat-002"</t>
  </si>
  <si>
    <t xml:space="preserve">"osvojit-si-001"</t>
  </si>
  <si>
    <t xml:space="preserve">PAT-&gt;ARG1/158,ARG2/2</t>
  </si>
  <si>
    <t xml:space="preserve">"osvojit-si-002"</t>
  </si>
  <si>
    <t xml:space="preserve">"osvojovat-si-001"</t>
  </si>
  <si>
    <t xml:space="preserve">ACT-&gt;ARG0/387,ARG1/1</t>
  </si>
  <si>
    <t xml:space="preserve">PAT-&gt;ARG1/714,ARG2/1</t>
  </si>
  <si>
    <t xml:space="preserve">"osvítit-001"</t>
  </si>
  <si>
    <t xml:space="preserve">"osvěcovat-001"</t>
  </si>
  <si>
    <t xml:space="preserve">"osvědčit-001"</t>
  </si>
  <si>
    <t xml:space="preserve">"osvědčit-se-001"</t>
  </si>
  <si>
    <t xml:space="preserve">ACT-&gt;ARG0/28,ARG1/31</t>
  </si>
  <si>
    <t xml:space="preserve">"osvědčovat-001"</t>
  </si>
  <si>
    <t xml:space="preserve">"osvědčovat-se-001"</t>
  </si>
  <si>
    <t xml:space="preserve">"osvětlit-001"</t>
  </si>
  <si>
    <t xml:space="preserve">"osvětlit-002"</t>
  </si>
  <si>
    <t xml:space="preserve">"osvětlovat-001"</t>
  </si>
  <si>
    <t xml:space="preserve">"osvětlovat-002"</t>
  </si>
  <si>
    <t xml:space="preserve">"osvěžit-001"</t>
  </si>
  <si>
    <t xml:space="preserve">"osvěžit-se-001"</t>
  </si>
  <si>
    <t xml:space="preserve">"osázet-001"</t>
  </si>
  <si>
    <t xml:space="preserve">"osídlit-001"</t>
  </si>
  <si>
    <t xml:space="preserve">"osídlovat-001"</t>
  </si>
  <si>
    <t xml:space="preserve">"oteplit-se-001"</t>
  </si>
  <si>
    <t xml:space="preserve">"oteplovat-001"</t>
  </si>
  <si>
    <t xml:space="preserve">"oteplovat-se-001"</t>
  </si>
  <si>
    <t xml:space="preserve">"oteplovat-se-002"</t>
  </si>
  <si>
    <t xml:space="preserve">"otesat-001"</t>
  </si>
  <si>
    <t xml:space="preserve">"otestovat-001"</t>
  </si>
  <si>
    <t xml:space="preserve">PAT-&gt;ARG1/45,ARG2/2</t>
  </si>
  <si>
    <t xml:space="preserve">"otevírat-001"</t>
  </si>
  <si>
    <t xml:space="preserve">ACT-&gt;ARG0/56,ARG2/2</t>
  </si>
  <si>
    <t xml:space="preserve">"otevírat-002"</t>
  </si>
  <si>
    <t xml:space="preserve">ACT-&gt;ARG0/70,ARG2/4</t>
  </si>
  <si>
    <t xml:space="preserve">PAT-&gt;ARG0/1,ARG1/120</t>
  </si>
  <si>
    <t xml:space="preserve">"otevírat-003"</t>
  </si>
  <si>
    <t xml:space="preserve">"otevírat-004"</t>
  </si>
  <si>
    <t xml:space="preserve">ACT-&gt;ARG0/1,ARG1/65</t>
  </si>
  <si>
    <t xml:space="preserve">ACT-&gt;ARG0/1,ARG1/41</t>
  </si>
  <si>
    <t xml:space="preserve">"otevírat-005"</t>
  </si>
  <si>
    <t xml:space="preserve">CPHR: {cesta,možnost,prostor,přístup,...}.4</t>
  </si>
  <si>
    <t xml:space="preserve">"otevírat-006"</t>
  </si>
  <si>
    <t xml:space="preserve">"otevírat-007"</t>
  </si>
  <si>
    <t xml:space="preserve">LOC-&gt;ARGm-EXT/25,ARGm-MNR/21</t>
  </si>
  <si>
    <t xml:space="preserve">"otevírat-008"</t>
  </si>
  <si>
    <t xml:space="preserve">DPHR: dveře.P4; okno.S4</t>
  </si>
  <si>
    <t xml:space="preserve">?PAT: 3; k+3</t>
  </si>
  <si>
    <t xml:space="preserve">"otevírat-se-001"</t>
  </si>
  <si>
    <t xml:space="preserve">"otevírat-se-002"</t>
  </si>
  <si>
    <t xml:space="preserve">PAT-&gt;ARG3/2</t>
  </si>
  <si>
    <t xml:space="preserve">"otevírat-se-003"</t>
  </si>
  <si>
    <t xml:space="preserve">"otevřít-001"</t>
  </si>
  <si>
    <t xml:space="preserve">ACT-&gt;ARG0/192,ARG1/132,ARG2/8</t>
  </si>
  <si>
    <t xml:space="preserve">ACT-&gt;ARG0/858,ARG1/186,ARG2/9</t>
  </si>
  <si>
    <t xml:space="preserve">PAT-&gt;ARG1/267,ARG2/1</t>
  </si>
  <si>
    <t xml:space="preserve">PAT-&gt;ARG1/1186,ARG2/6</t>
  </si>
  <si>
    <t xml:space="preserve">"otevřít-002"</t>
  </si>
  <si>
    <t xml:space="preserve">ACT-&gt;ARG0/77,ARG1/427,ARG2/11</t>
  </si>
  <si>
    <t xml:space="preserve">PAT-&gt;ARG1/100,ARG2/473</t>
  </si>
  <si>
    <t xml:space="preserve">"otevřít-003"</t>
  </si>
  <si>
    <t xml:space="preserve">ACT-&gt;ARG0/65,ARG2/2</t>
  </si>
  <si>
    <t xml:space="preserve">ACT-&gt;ARG0/69,ARG2/2</t>
  </si>
  <si>
    <t xml:space="preserve">PAT-&gt;ARG1/92</t>
  </si>
  <si>
    <t xml:space="preserve">"otevřít-004"</t>
  </si>
  <si>
    <t xml:space="preserve">ALT-LOC: </t>
  </si>
  <si>
    <t xml:space="preserve">MANN-&gt;ARGm-EXT/25,ARGm-MNR/21</t>
  </si>
  <si>
    <t xml:space="preserve">"otevřít-005"</t>
  </si>
  <si>
    <t xml:space="preserve">ACT-&gt;ARG0/48,ARG1/78,ARG2/1</t>
  </si>
  <si>
    <t xml:space="preserve">"otevřít-006"</t>
  </si>
  <si>
    <t xml:space="preserve">ACT-&gt;ARG0/20,ARG2/1</t>
  </si>
  <si>
    <t xml:space="preserve">ACT-&gt;ARG0/504,ARG1/1,ARG2/6</t>
  </si>
  <si>
    <t xml:space="preserve">CPHR: {cesta,možnost,prostor,přístup,svět,...}.4</t>
  </si>
  <si>
    <t xml:space="preserve">CPHR-&gt;ARG1/25,ARG2/7</t>
  </si>
  <si>
    <t xml:space="preserve">CPHR-&gt;ARG1/854,ARG2/5</t>
  </si>
  <si>
    <t xml:space="preserve">ADDR-&gt;ARG3/21</t>
  </si>
  <si>
    <t xml:space="preserve">ADDR-&gt;ARG1/34,ARG2/251,ARG3/63</t>
  </si>
  <si>
    <t xml:space="preserve">ACT-&gt;ARG0/26,ARG2/4</t>
  </si>
  <si>
    <t xml:space="preserve">CPHR-&gt;ARG1/38,ARG2/7</t>
  </si>
  <si>
    <t xml:space="preserve">ADDR-&gt;ARG1/5,ARG3/29</t>
  </si>
  <si>
    <t xml:space="preserve">"otevřít-007"</t>
  </si>
  <si>
    <t xml:space="preserve">ACT-&gt;ARG0/15,ARG2/1</t>
  </si>
  <si>
    <t xml:space="preserve">DPHR-&gt;ARG1/24</t>
  </si>
  <si>
    <t xml:space="preserve">PAT: k+3; do+2</t>
  </si>
  <si>
    <t xml:space="preserve">PAT-&gt;ARG1/854,ARG2/5</t>
  </si>
  <si>
    <t xml:space="preserve">"otevřít-se-001"</t>
  </si>
  <si>
    <t xml:space="preserve">ACT-&gt;ARG0/27,ARG2/1</t>
  </si>
  <si>
    <t xml:space="preserve">PAT: 3; před+7</t>
  </si>
  <si>
    <t xml:space="preserve">PAT-&gt;ARG1/20,ARG3/21</t>
  </si>
  <si>
    <t xml:space="preserve">"otevřít-se-002"</t>
  </si>
  <si>
    <t xml:space="preserve">ACT-&gt;ARG0/1,ARG1/28</t>
  </si>
  <si>
    <t xml:space="preserve">"otevřít-se-003"</t>
  </si>
  <si>
    <t xml:space="preserve">ACT-&gt;ARG1/5,ARG2/7</t>
  </si>
  <si>
    <t xml:space="preserve">"otipovat-001"</t>
  </si>
  <si>
    <t xml:space="preserve">"otisknout-001"</t>
  </si>
  <si>
    <t xml:space="preserve">ACT-&gt;ARG0/529,ARG1/1</t>
  </si>
  <si>
    <t xml:space="preserve">PAT-&gt;ARG1/597</t>
  </si>
  <si>
    <t xml:space="preserve">"otisknout-002"</t>
  </si>
  <si>
    <t xml:space="preserve">"otiskovat-001"</t>
  </si>
  <si>
    <t xml:space="preserve">"otiskovat-002"</t>
  </si>
  <si>
    <t xml:space="preserve">"otlačit-se-001"</t>
  </si>
  <si>
    <t xml:space="preserve">"otlouci-001"</t>
  </si>
  <si>
    <t xml:space="preserve">"otloukat-001"</t>
  </si>
  <si>
    <t xml:space="preserve">"otočit-001"</t>
  </si>
  <si>
    <t xml:space="preserve">"otočit-002"</t>
  </si>
  <si>
    <t xml:space="preserve">"otočit-003"</t>
  </si>
  <si>
    <t xml:space="preserve">"otočit-004"</t>
  </si>
  <si>
    <t xml:space="preserve">"otočit-005"</t>
  </si>
  <si>
    <t xml:space="preserve">"otočit-006"</t>
  </si>
  <si>
    <t xml:space="preserve">"otočit-se-001"</t>
  </si>
  <si>
    <t xml:space="preserve">PAT-&gt;ARG2/1,ARG4/5</t>
  </si>
  <si>
    <t xml:space="preserve">ORIG-&gt;ARG3/12</t>
  </si>
  <si>
    <t xml:space="preserve">"otočit-se-002"</t>
  </si>
  <si>
    <t xml:space="preserve">ACT-&gt;ARG0/172,ARG1/54</t>
  </si>
  <si>
    <t xml:space="preserve">"otočit-se-003"</t>
  </si>
  <si>
    <t xml:space="preserve">"otočit-se-004"</t>
  </si>
  <si>
    <t xml:space="preserve">"otravovat-001"</t>
  </si>
  <si>
    <t xml:space="preserve">"otravovat-002"</t>
  </si>
  <si>
    <t xml:space="preserve">"otrhat-001"</t>
  </si>
  <si>
    <t xml:space="preserve">"otrkat-se-001"</t>
  </si>
  <si>
    <t xml:space="preserve">"otrnout-001"</t>
  </si>
  <si>
    <t xml:space="preserve">"otrávit-001"</t>
  </si>
  <si>
    <t xml:space="preserve">ACT-&gt;ARG0/11,ARG1/1,ARG2/2</t>
  </si>
  <si>
    <t xml:space="preserve">ACT-&gt;ARG0/12,ARG2/1</t>
  </si>
  <si>
    <t xml:space="preserve">PAT-&gt;ARG0/1,ARG1/17</t>
  </si>
  <si>
    <t xml:space="preserve">"otrávit-se-001"</t>
  </si>
  <si>
    <t xml:space="preserve">ACT-&gt;ARG0/9,ARG1/7</t>
  </si>
  <si>
    <t xml:space="preserve">"otupit-001"</t>
  </si>
  <si>
    <t xml:space="preserve">PAT-&gt;ARG1/132,ARG2/1</t>
  </si>
  <si>
    <t xml:space="preserve">"otupovat-001"</t>
  </si>
  <si>
    <t xml:space="preserve">"otupět-001"</t>
  </si>
  <si>
    <t xml:space="preserve">"otužovat-001"</t>
  </si>
  <si>
    <t xml:space="preserve">"otvírat-001"</t>
  </si>
  <si>
    <t xml:space="preserve">ACT-&gt;ARG0/73,ARG2/2</t>
  </si>
  <si>
    <t xml:space="preserve">PAT-&gt;ARG1/98</t>
  </si>
  <si>
    <t xml:space="preserve">"otvírat-002"</t>
  </si>
  <si>
    <t xml:space="preserve">"otvírat-003"</t>
  </si>
  <si>
    <t xml:space="preserve">"otvírat-004"</t>
  </si>
  <si>
    <t xml:space="preserve">"otvírat-005"</t>
  </si>
  <si>
    <t xml:space="preserve">CPHR: {co,možnost,prostor,přístup,...}.4</t>
  </si>
  <si>
    <t xml:space="preserve">"otvírat-006"</t>
  </si>
  <si>
    <t xml:space="preserve">"otvírat-se-001"</t>
  </si>
  <si>
    <t xml:space="preserve">"otvírat-se-002"</t>
  </si>
  <si>
    <t xml:space="preserve">"otálet-001"</t>
  </si>
  <si>
    <t xml:space="preserve">"otázat-se-001"</t>
  </si>
  <si>
    <t xml:space="preserve">PAT: na+4; ↓zda; ↓jestli; ↓c; .s</t>
  </si>
  <si>
    <t xml:space="preserve">"otáčet-001"</t>
  </si>
  <si>
    <t xml:space="preserve">PAT: 7; 4</t>
  </si>
  <si>
    <t xml:space="preserve">"otáčet-se-001"</t>
  </si>
  <si>
    <t xml:space="preserve">"otáčet-se-002"</t>
  </si>
  <si>
    <t xml:space="preserve">"otéci-001"</t>
  </si>
  <si>
    <t xml:space="preserve">"otékat-001"</t>
  </si>
  <si>
    <t xml:space="preserve">"otěhotnět-001"</t>
  </si>
  <si>
    <t xml:space="preserve">"otřepávat-se-001"</t>
  </si>
  <si>
    <t xml:space="preserve">"otřásat-001"</t>
  </si>
  <si>
    <t xml:space="preserve">"otřásat-002"</t>
  </si>
  <si>
    <t xml:space="preserve">ACT-&gt;ARG0/225,ARG2/83</t>
  </si>
  <si>
    <t xml:space="preserve">PAT-&gt;ARG1/404</t>
  </si>
  <si>
    <t xml:space="preserve">"otřásat-003"</t>
  </si>
  <si>
    <t xml:space="preserve">"otřásat-se-001"</t>
  </si>
  <si>
    <t xml:space="preserve">ACT-&gt;ARG1/26</t>
  </si>
  <si>
    <t xml:space="preserve">ACT-&gt;ARG0/3,ARG1/8</t>
  </si>
  <si>
    <t xml:space="preserve">"otřást-001"</t>
  </si>
  <si>
    <t xml:space="preserve">"otřást-002"</t>
  </si>
  <si>
    <t xml:space="preserve">"otřást-003"</t>
  </si>
  <si>
    <t xml:space="preserve">ACT-&gt;ARG0/36,ARG1/401</t>
  </si>
  <si>
    <t xml:space="preserve">"otřást-004"</t>
  </si>
  <si>
    <t xml:space="preserve">"otřást-se-001"</t>
  </si>
  <si>
    <t xml:space="preserve">"otřít-001"</t>
  </si>
  <si>
    <t xml:space="preserve">"ovdovět-001"</t>
  </si>
  <si>
    <t xml:space="preserve">"ovlivnit-001"</t>
  </si>
  <si>
    <t xml:space="preserve">ACT-&gt;ARG0/262,ARG1/85,ARG2/76</t>
  </si>
  <si>
    <t xml:space="preserve">ACT-&gt;ARG0/219,ARG2/83</t>
  </si>
  <si>
    <t xml:space="preserve">ACT-&gt;ARG0/407,ARG2/159</t>
  </si>
  <si>
    <t xml:space="preserve">PAT: 4; ↓že; ↓zda; ↓aby; ↓c</t>
  </si>
  <si>
    <t xml:space="preserve">PAT-&gt;ARG1/277</t>
  </si>
  <si>
    <t xml:space="preserve">PAT-&gt;ARG1/402</t>
  </si>
  <si>
    <t xml:space="preserve">PAT-&gt;ARG1/746</t>
  </si>
  <si>
    <t xml:space="preserve">"ovlivňovat-001"</t>
  </si>
  <si>
    <t xml:space="preserve">ACT-&gt;ARG0/2405,ARG1/58</t>
  </si>
  <si>
    <t xml:space="preserve">ACT-&gt;ARG0/220,ARG2/76</t>
  </si>
  <si>
    <t xml:space="preserve">PAT-&gt;ARG1/194,ARG2/146</t>
  </si>
  <si>
    <t xml:space="preserve">PAT-&gt;ARG1/390</t>
  </si>
  <si>
    <t xml:space="preserve">"ovládat-001"</t>
  </si>
  <si>
    <t xml:space="preserve">ACT-&gt;ARG0/105</t>
  </si>
  <si>
    <t xml:space="preserve">"ovládat-002"</t>
  </si>
  <si>
    <t xml:space="preserve">ACT-&gt;ARG0/330,ARG1/2</t>
  </si>
  <si>
    <t xml:space="preserve">"ovládat-003"</t>
  </si>
  <si>
    <t xml:space="preserve">ACT-&gt;ARG0/144,ARG1/1</t>
  </si>
  <si>
    <t xml:space="preserve">PAT-&gt;ARG1/134,ARG4/1</t>
  </si>
  <si>
    <t xml:space="preserve">"ovládnout-001"</t>
  </si>
  <si>
    <t xml:space="preserve">ACT-&gt;ARG0/98,ARG1/143</t>
  </si>
  <si>
    <t xml:space="preserve">PAT-&gt;ARG1/94,ARG2/144</t>
  </si>
  <si>
    <t xml:space="preserve">"ovládnout-002"</t>
  </si>
  <si>
    <t xml:space="preserve">"ovládnout-003"</t>
  </si>
  <si>
    <t xml:space="preserve">ACT-&gt;ARG0/396,ARG1/26</t>
  </si>
  <si>
    <t xml:space="preserve">PAT-&gt;ARG1/189</t>
  </si>
  <si>
    <t xml:space="preserve">"ověsit-001"</t>
  </si>
  <si>
    <t xml:space="preserve">"ověřit-001"</t>
  </si>
  <si>
    <t xml:space="preserve">ACT-&gt;ARG0/50,ARG1/3</t>
  </si>
  <si>
    <t xml:space="preserve">ACT-&gt;ARG0/271,ARG1/2</t>
  </si>
  <si>
    <t xml:space="preserve">PAT: 4; ↓jestli; ↓zda; ↓že; ↓c</t>
  </si>
  <si>
    <t xml:space="preserve">PAT-&gt;ARG1/404,ARG2/3</t>
  </si>
  <si>
    <t xml:space="preserve">"ověřovat-001"</t>
  </si>
  <si>
    <t xml:space="preserve">"oxeroxovat-001"</t>
  </si>
  <si>
    <t xml:space="preserve">"ozbrojit-001"</t>
  </si>
  <si>
    <t xml:space="preserve">"ozdobit-001"</t>
  </si>
  <si>
    <t xml:space="preserve">"ozdravět-001"</t>
  </si>
  <si>
    <t xml:space="preserve">"ozkoušet-001"</t>
  </si>
  <si>
    <t xml:space="preserve">"oznamovat-001"</t>
  </si>
  <si>
    <t xml:space="preserve">ACT-&gt;ARG0/978,ARG1/4</t>
  </si>
  <si>
    <t xml:space="preserve">PAT-&gt;ARG1/1076</t>
  </si>
  <si>
    <t xml:space="preserve">"oznamovat-002"</t>
  </si>
  <si>
    <t xml:space="preserve">ACT-&gt;ARG0/12940,ARG1/39</t>
  </si>
  <si>
    <t xml:space="preserve">ACT-&gt;ARG0/27116,ARG1/86</t>
  </si>
  <si>
    <t xml:space="preserve">ADDR-&gt;ARG1/2,ARG2/341</t>
  </si>
  <si>
    <t xml:space="preserve">ADDR-&gt;ARG1/25,ARG2/392</t>
  </si>
  <si>
    <t xml:space="preserve">EFF-&gt;ARG0/2,ARG1/11409,ARG2/2</t>
  </si>
  <si>
    <t xml:space="preserve">EFF-&gt;ARG0/9,ARG1/24302,ARG2/28,ARG3/59</t>
  </si>
  <si>
    <t xml:space="preserve">"oznamovat-003"</t>
  </si>
  <si>
    <t xml:space="preserve">EFF: 4; ↓že; ↓zda</t>
  </si>
  <si>
    <t xml:space="preserve">"oznamovat-004"</t>
  </si>
  <si>
    <t xml:space="preserve">LOC-&gt;ARG1/22,ARG2/40</t>
  </si>
  <si>
    <t xml:space="preserve">"označit-001"</t>
  </si>
  <si>
    <t xml:space="preserve">ACT-&gt;ARG0/12430,ARG1/36</t>
  </si>
  <si>
    <t xml:space="preserve">ACT-&gt;ARG0/126</t>
  </si>
  <si>
    <t xml:space="preserve">PAT-&gt;ARG0/2,ARG1/406,ARG2/11,ARG3/29</t>
  </si>
  <si>
    <t xml:space="preserve">EFF-&gt;ARG0/2,ARG1/10508,ARG2/517,ARG3/10</t>
  </si>
  <si>
    <t xml:space="preserve">EFF-&gt;ARG0/1,ARG1/1,ARG2/125</t>
  </si>
  <si>
    <t xml:space="preserve">EFF-&gt;ARG0/1,ARG1/22,ARG2/125</t>
  </si>
  <si>
    <t xml:space="preserve">"označit-002"</t>
  </si>
  <si>
    <t xml:space="preserve">ACT-&gt;ARG0/218</t>
  </si>
  <si>
    <t xml:space="preserve">"označit-003"</t>
  </si>
  <si>
    <t xml:space="preserve">"označovat-001"</t>
  </si>
  <si>
    <t xml:space="preserve">ACT-&gt;ARG0/290</t>
  </si>
  <si>
    <t xml:space="preserve">PAT-&gt;ARG1/3438,ARG2/297</t>
  </si>
  <si>
    <t xml:space="preserve">EFF-&gt;ARG0/1,ARG1/182,ARG2/3907</t>
  </si>
  <si>
    <t xml:space="preserve">"označovat-002"</t>
  </si>
  <si>
    <t xml:space="preserve">PAT-&gt;ARG1/184</t>
  </si>
  <si>
    <t xml:space="preserve">"označovat-003"</t>
  </si>
  <si>
    <t xml:space="preserve">"oznámit-001"</t>
  </si>
  <si>
    <t xml:space="preserve">ACT-&gt;ARG0/13728,ARG1/42</t>
  </si>
  <si>
    <t xml:space="preserve">PAT: 4; ↓že; ↓aby; ↓c; .s</t>
  </si>
  <si>
    <t xml:space="preserve">PAT-&gt;ARG0/2,ARG1/12408,ARG2/64</t>
  </si>
  <si>
    <t xml:space="preserve">ADDR-&gt;ARG1/56,ARG2/349</t>
  </si>
  <si>
    <t xml:space="preserve">ACT-&gt;ARG0/13771,ARG1/42</t>
  </si>
  <si>
    <t xml:space="preserve">PAT-&gt;ARG0/3,ARG1/12465,ARG2/4</t>
  </si>
  <si>
    <t xml:space="preserve">ADDR-&gt;ARG0/1,ARG1/3,ARG2/352</t>
  </si>
  <si>
    <t xml:space="preserve">"oznámit-002"</t>
  </si>
  <si>
    <t xml:space="preserve">ACT-&gt;ARG0/261</t>
  </si>
  <si>
    <t xml:space="preserve">EFF-&gt;ARG1/277</t>
  </si>
  <si>
    <t xml:space="preserve">ACT-&gt;ARG0/13970,ARG1/66</t>
  </si>
  <si>
    <t xml:space="preserve">ADDR-&gt;ARG1/88,ARG2/351</t>
  </si>
  <si>
    <t xml:space="preserve">EFF-&gt;ARG0/2,ARG1/12555,ARG2/85</t>
  </si>
  <si>
    <t xml:space="preserve">PAT-&gt;ARG0/2,ARG1/23,ARG2/1,ARG3/30</t>
  </si>
  <si>
    <t xml:space="preserve">"oznámit-003"</t>
  </si>
  <si>
    <t xml:space="preserve">"oznámit-004"</t>
  </si>
  <si>
    <t xml:space="preserve">"ozvat-se-001"</t>
  </si>
  <si>
    <t xml:space="preserve">ACT-&gt;ARG2/7</t>
  </si>
  <si>
    <t xml:space="preserve">"ozvat-se-002"</t>
  </si>
  <si>
    <t xml:space="preserve">"ozvat-se-003"</t>
  </si>
  <si>
    <t xml:space="preserve">ACT: 1; .s</t>
  </si>
  <si>
    <t xml:space="preserve">"ozářit-001"</t>
  </si>
  <si>
    <t xml:space="preserve">"ozářit-002"</t>
  </si>
  <si>
    <t xml:space="preserve">"ozývat-se-001"</t>
  </si>
  <si>
    <t xml:space="preserve">"ozývat-se-002"</t>
  </si>
  <si>
    <t xml:space="preserve">"ozývat-se-003"</t>
  </si>
  <si>
    <t xml:space="preserve">ACT-&gt;ARG1/31,ARG2/1</t>
  </si>
  <si>
    <t xml:space="preserve">"ozřejmit-001"</t>
  </si>
  <si>
    <t xml:space="preserve">PAT: 4; ↓jak-2; ↓že; ↓zda; ↓jestli; ↓c; .s</t>
  </si>
  <si>
    <t xml:space="preserve">"ozřejmovat-001"</t>
  </si>
  <si>
    <t xml:space="preserve">"očarovávat-001"</t>
  </si>
  <si>
    <t xml:space="preserve">"očekávat-001"</t>
  </si>
  <si>
    <t xml:space="preserve">ACT-&gt;ARG0/1491,ARG1/26,ARG2/1</t>
  </si>
  <si>
    <t xml:space="preserve">PAT-&gt;ARG1/2253,ARG2/3520</t>
  </si>
  <si>
    <t xml:space="preserve">ORIG-&gt;ARG1/8,ARG2/13</t>
  </si>
  <si>
    <t xml:space="preserve">ORIG-&gt;ARG1/2</t>
  </si>
  <si>
    <t xml:space="preserve">"očekávat-002"</t>
  </si>
  <si>
    <t xml:space="preserve">ACT-&gt;ARG0/1437,ARG1/3175,ARG2/297</t>
  </si>
  <si>
    <t xml:space="preserve">ACT-&gt;ARG0/151,ARG1/87,ARG2/2</t>
  </si>
  <si>
    <t xml:space="preserve">PAT: 4; ↓že; ↓jestli; ↓zda</t>
  </si>
  <si>
    <t xml:space="preserve">PAT-&gt;ARG1/1695,ARG2/97,ARGm-TMP/1</t>
  </si>
  <si>
    <t xml:space="preserve">PAT-&gt;ARG1/162,ARG2/103,ARGM-TMP/2</t>
  </si>
  <si>
    <t xml:space="preserve">"očekávat-003"</t>
  </si>
  <si>
    <t xml:space="preserve">ACT-&gt;ARG0/648,ARG1/1</t>
  </si>
  <si>
    <t xml:space="preserve">PAT-&gt;ARG1/739</t>
  </si>
  <si>
    <t xml:space="preserve">"očekávat-004"</t>
  </si>
  <si>
    <t xml:space="preserve">"očernit-001"</t>
  </si>
  <si>
    <t xml:space="preserve">"očerňovat-001"</t>
  </si>
  <si>
    <t xml:space="preserve">"očesat-001"</t>
  </si>
  <si>
    <t xml:space="preserve">PAT-&gt;ARG0/1,ARG1/3</t>
  </si>
  <si>
    <t xml:space="preserve">PAT-&gt;ARG0/1,ARG1/7</t>
  </si>
  <si>
    <t xml:space="preserve">PAT-&gt;ARG0/2,ARG1/10</t>
  </si>
  <si>
    <t xml:space="preserve">"očesávat-001"</t>
  </si>
  <si>
    <t xml:space="preserve">"očesávat-002"</t>
  </si>
  <si>
    <t xml:space="preserve">"očistit-001"</t>
  </si>
  <si>
    <t xml:space="preserve">PAT-&gt;ARG1/28,ARG2/4</t>
  </si>
  <si>
    <t xml:space="preserve">PAT-&gt;ARG1/97,ARG2/18</t>
  </si>
  <si>
    <t xml:space="preserve">ORIG-&gt;ARG1/3,ARG2/3</t>
  </si>
  <si>
    <t xml:space="preserve">ORIG-&gt;ARG1/14,ARG2/28</t>
  </si>
  <si>
    <t xml:space="preserve">"očistit-002"</t>
  </si>
  <si>
    <t xml:space="preserve">ORIG-&gt;ARG1/1,ARG2/6</t>
  </si>
  <si>
    <t xml:space="preserve">"očistit-003"</t>
  </si>
  <si>
    <t xml:space="preserve">"--očistit-004"</t>
  </si>
  <si>
    <t xml:space="preserve">"očišťovat-001"</t>
  </si>
  <si>
    <t xml:space="preserve">PAT-&gt;ARG1/73,ARG2/16</t>
  </si>
  <si>
    <t xml:space="preserve">"očkovat-001"</t>
  </si>
  <si>
    <t xml:space="preserve">"očuchávat-001"</t>
  </si>
  <si>
    <t xml:space="preserve">"očíslovat-001"</t>
  </si>
  <si>
    <t xml:space="preserve">"ořezat-001"</t>
  </si>
  <si>
    <t xml:space="preserve">"ořezat-002"</t>
  </si>
  <si>
    <t xml:space="preserve">ORIG-&gt;ARG2/5,ARG3/45,ARG4/1</t>
  </si>
  <si>
    <t xml:space="preserve">?EFF: na+4; v+4; k+3</t>
  </si>
  <si>
    <t xml:space="preserve">EFF-&gt;ARG4/5</t>
  </si>
  <si>
    <t xml:space="preserve">EFF-&gt;ARG2/46,ARG4/82</t>
  </si>
  <si>
    <t xml:space="preserve">"ořezat-003"</t>
  </si>
  <si>
    <t xml:space="preserve">"ořezávat-001"</t>
  </si>
  <si>
    <t xml:space="preserve">"oříznout-001"</t>
  </si>
  <si>
    <t xml:space="preserve">"ošetřit-001"</t>
  </si>
  <si>
    <t xml:space="preserve">"ošetřit-002"</t>
  </si>
  <si>
    <t xml:space="preserve">ACT-&gt;ARG0/152</t>
  </si>
  <si>
    <t xml:space="preserve">PAT-&gt;ARG1/386,ARG2/7</t>
  </si>
  <si>
    <t xml:space="preserve">"ošetřovat-001"</t>
  </si>
  <si>
    <t xml:space="preserve">PAT-&gt;ARG1/11,ARG2/14</t>
  </si>
  <si>
    <t xml:space="preserve">"ošidit-001"</t>
  </si>
  <si>
    <t xml:space="preserve">"ošklíbat-se-001"</t>
  </si>
  <si>
    <t xml:space="preserve">?PAT: na-1[.2]</t>
  </si>
  <si>
    <t xml:space="preserve">"oškrábat-001"</t>
  </si>
  <si>
    <t xml:space="preserve">"oškubat-001"</t>
  </si>
  <si>
    <t xml:space="preserve">"ošlapat-001"</t>
  </si>
  <si>
    <t xml:space="preserve">"ošoustat-001"</t>
  </si>
  <si>
    <t xml:space="preserve">"ošplouchnout-001"</t>
  </si>
  <si>
    <t xml:space="preserve">"oštipovat-001"</t>
  </si>
  <si>
    <t xml:space="preserve">"ošukat-001"</t>
  </si>
  <si>
    <t xml:space="preserve">"ošálit-001"</t>
  </si>
  <si>
    <t xml:space="preserve">"oťukat-001"</t>
  </si>
  <si>
    <t xml:space="preserve">PAT: 4; ↓jestli; ↓zda</t>
  </si>
  <si>
    <t xml:space="preserve">"ožebračit-001"</t>
  </si>
  <si>
    <t xml:space="preserve">"ožebračovat-001"</t>
  </si>
  <si>
    <t xml:space="preserve">"oženit-001"</t>
  </si>
  <si>
    <t xml:space="preserve">"oženit-se-001"</t>
  </si>
  <si>
    <t xml:space="preserve">ACT-&gt;ARG0/21,ARG1/6</t>
  </si>
  <si>
    <t xml:space="preserve">PAT-&gt;ARG1/21,ARG2/3</t>
  </si>
  <si>
    <t xml:space="preserve">"oživit-001"</t>
  </si>
  <si>
    <t xml:space="preserve">ACT-&gt;ARG0/198</t>
  </si>
  <si>
    <t xml:space="preserve">ACT-&gt;ARG0/658,ARG1/197,ARG2/6</t>
  </si>
  <si>
    <t xml:space="preserve">PAT-&gt;ARG0/109,ARG1/460,ARG2/4</t>
  </si>
  <si>
    <t xml:space="preserve">PAT-&gt;ARG1/847,ARG2/1</t>
  </si>
  <si>
    <t xml:space="preserve">"oživit-002"</t>
  </si>
  <si>
    <t xml:space="preserve">"oživit-003"</t>
  </si>
  <si>
    <t xml:space="preserve">"oživnout-001"</t>
  </si>
  <si>
    <t xml:space="preserve">"oživovat-001"</t>
  </si>
  <si>
    <t xml:space="preserve">ACT-&gt;ARG0/43,ARG1/12</t>
  </si>
  <si>
    <t xml:space="preserve">"oživovat-002"</t>
  </si>
  <si>
    <t xml:space="preserve">"oživovat-003"</t>
  </si>
  <si>
    <t xml:space="preserve">"ožrat-001"</t>
  </si>
  <si>
    <t xml:space="preserve">"ožírat-001"</t>
  </si>
  <si>
    <t xml:space="preserve">"ožít-001"</t>
  </si>
  <si>
    <t xml:space="preserve">"ožít-002"</t>
  </si>
  <si>
    <t xml:space="preserve">"ožívat-001"</t>
  </si>
  <si>
    <t xml:space="preserve">"ožívat-002"</t>
  </si>
  <si>
    <t xml:space="preserve">"pachtit-se-001"</t>
  </si>
  <si>
    <t xml:space="preserve">"pachtit-se-002"</t>
  </si>
  <si>
    <t xml:space="preserve">"pacifikovat-001"</t>
  </si>
  <si>
    <t xml:space="preserve">"padat-001"</t>
  </si>
  <si>
    <t xml:space="preserve">ACT-&gt;ARG1/729,ARG2/4</t>
  </si>
  <si>
    <t xml:space="preserve">PAT-&gt;ARG2/6,ARG4/474</t>
  </si>
  <si>
    <t xml:space="preserve">ORIG-&gt;ARG3/163,ARG4/1</t>
  </si>
  <si>
    <t xml:space="preserve">"padat-002"</t>
  </si>
  <si>
    <t xml:space="preserve">"padat-003"</t>
  </si>
  <si>
    <t xml:space="preserve">"padat-004"</t>
  </si>
  <si>
    <t xml:space="preserve">ACT-&gt;ARG1/898,ARG2/4</t>
  </si>
  <si>
    <t xml:space="preserve">ACT-&gt;ARG1/189</t>
  </si>
  <si>
    <t xml:space="preserve">"padat-005"</t>
  </si>
  <si>
    <t xml:space="preserve">"padat-006"</t>
  </si>
  <si>
    <t xml:space="preserve">DPHR: kopat:S$2&lt;B&gt;$8&lt;3&gt;$9&lt;P&gt;$11&lt;A&gt;$12&lt;A&gt;[kdo:M1,jiný:MS3@1$11&lt;A&gt;,jáma.S4,sám:MS1],do-1[on-1.FS2$8&lt;3&gt;]</t>
  </si>
  <si>
    <t xml:space="preserve">DPHR-&gt;ARG1/101</t>
  </si>
  <si>
    <t xml:space="preserve">"padat-007"</t>
  </si>
  <si>
    <t xml:space="preserve">"padat-008"</t>
  </si>
  <si>
    <t xml:space="preserve">"padnout-001"</t>
  </si>
  <si>
    <t xml:space="preserve">"padnout-002"</t>
  </si>
  <si>
    <t xml:space="preserve">"padnout-003"</t>
  </si>
  <si>
    <t xml:space="preserve">"padnout-004"</t>
  </si>
  <si>
    <t xml:space="preserve">"padnout-005"</t>
  </si>
  <si>
    <t xml:space="preserve">"padnout-006"</t>
  </si>
  <si>
    <t xml:space="preserve">"padnout-007"</t>
  </si>
  <si>
    <t xml:space="preserve">"padnout-008"</t>
  </si>
  <si>
    <t xml:space="preserve">"padnout-009"</t>
  </si>
  <si>
    <t xml:space="preserve">ACT-&gt;ARG1/45</t>
  </si>
  <si>
    <t xml:space="preserve">ACT-&gt;ARG0/29,ARG1/151</t>
  </si>
  <si>
    <t xml:space="preserve">ACT-&gt;ARG0/29,ARG1/148</t>
  </si>
  <si>
    <t xml:space="preserve">"padnout-010"</t>
  </si>
  <si>
    <t xml:space="preserve">"padnout-011"</t>
  </si>
  <si>
    <t xml:space="preserve">"padnout-012"</t>
  </si>
  <si>
    <t xml:space="preserve">"padnout-013"</t>
  </si>
  <si>
    <t xml:space="preserve">"padnout-014"</t>
  </si>
  <si>
    <t xml:space="preserve">"padnout-015"</t>
  </si>
  <si>
    <t xml:space="preserve">CPHR: {návrh,otázka,poznámka,rozhodnutí,slovo,zmínka,...}.1</t>
  </si>
  <si>
    <t xml:space="preserve">"padnout-016"</t>
  </si>
  <si>
    <t xml:space="preserve">DPHR: do-1[oko.S2]</t>
  </si>
  <si>
    <t xml:space="preserve">"padnout-017"</t>
  </si>
  <si>
    <t xml:space="preserve">"padnout-018"</t>
  </si>
  <si>
    <t xml:space="preserve">DPHR: jako[ulitý.1]; jak-3[ulitý.1]</t>
  </si>
  <si>
    <t xml:space="preserve">PAT: 3; na+4</t>
  </si>
  <si>
    <t xml:space="preserve">"padnout-019"</t>
  </si>
  <si>
    <t xml:space="preserve">DPHR: za-1[oběť.S4]</t>
  </si>
  <si>
    <t xml:space="preserve">DPHR-&gt;ARG4/2</t>
  </si>
  <si>
    <t xml:space="preserve">PAT-&gt;ARG4/1</t>
  </si>
  <si>
    <t xml:space="preserve">"padnout-020"</t>
  </si>
  <si>
    <t xml:space="preserve">DPHR: padnout,kdo.3</t>
  </si>
  <si>
    <t xml:space="preserve">"padnout-021"</t>
  </si>
  <si>
    <t xml:space="preserve">DPHR: do-1[ruka.S2]</t>
  </si>
  <si>
    <t xml:space="preserve">"padnout-022"</t>
  </si>
  <si>
    <t xml:space="preserve">"padnout-si-001"</t>
  </si>
  <si>
    <t xml:space="preserve">"padělat-001"</t>
  </si>
  <si>
    <t xml:space="preserve">"pakovat-001"</t>
  </si>
  <si>
    <t xml:space="preserve">"pakovat-se-001"</t>
  </si>
  <si>
    <t xml:space="preserve">"paličkovat-001"</t>
  </si>
  <si>
    <t xml:space="preserve">"pamatovat-001"</t>
  </si>
  <si>
    <t xml:space="preserve">PAT: 4; na+4; ↓že; ↓jak; ↓c</t>
  </si>
  <si>
    <t xml:space="preserve">PAT-&gt;ARG1/114</t>
  </si>
  <si>
    <t xml:space="preserve">"pamatovat-002"</t>
  </si>
  <si>
    <t xml:space="preserve">"pamatovat-se-001"</t>
  </si>
  <si>
    <t xml:space="preserve">PAT: na+4; ↓že; ↓zda; ↓jestli; ↓c; ↓jak; 4</t>
  </si>
  <si>
    <t xml:space="preserve">"pamatovat-si-001"</t>
  </si>
  <si>
    <t xml:space="preserve">PAT: 4; ↓že; na+4; ↓když; ↓jak-2; ↓jestli; ↓c</t>
  </si>
  <si>
    <t xml:space="preserve">"pamatovat-si-002"</t>
  </si>
  <si>
    <t xml:space="preserve">"panikařit-001"</t>
  </si>
  <si>
    <t xml:space="preserve">ACT-&gt;ARG0/5,ARG1/9</t>
  </si>
  <si>
    <t xml:space="preserve">"panovat-001"</t>
  </si>
  <si>
    <t xml:space="preserve">ACT-&gt;ARG0/2,ARG1/3512,ARG2/387</t>
  </si>
  <si>
    <t xml:space="preserve">"parafovat-001"</t>
  </si>
  <si>
    <t xml:space="preserve">"paralyzovat-001"</t>
  </si>
  <si>
    <t xml:space="preserve">ACT-&gt;ARG0/149</t>
  </si>
  <si>
    <t xml:space="preserve">PAT-&gt;ARG1/208</t>
  </si>
  <si>
    <t xml:space="preserve">"parazitovat-001"</t>
  </si>
  <si>
    <t xml:space="preserve">"parazitovat-002"</t>
  </si>
  <si>
    <t xml:space="preserve">"parkovat-001"</t>
  </si>
  <si>
    <t xml:space="preserve">"parkovat-002"</t>
  </si>
  <si>
    <t xml:space="preserve">"parodovat-001"</t>
  </si>
  <si>
    <t xml:space="preserve">"participovat-001"</t>
  </si>
  <si>
    <t xml:space="preserve">"pasovat-001"</t>
  </si>
  <si>
    <t xml:space="preserve">EFF: do+2; na+4</t>
  </si>
  <si>
    <t xml:space="preserve">"pasovat-002"</t>
  </si>
  <si>
    <t xml:space="preserve">"pasovat-003"</t>
  </si>
  <si>
    <t xml:space="preserve">"pasovat-004"</t>
  </si>
  <si>
    <t xml:space="preserve">"pasovat-005"</t>
  </si>
  <si>
    <t xml:space="preserve">"patentovat-001"</t>
  </si>
  <si>
    <t xml:space="preserve">"patřit-001"</t>
  </si>
  <si>
    <t xml:space="preserve">PAT: 3; k+3; pod+4; na+4</t>
  </si>
  <si>
    <t xml:space="preserve">ACT-&gt;ARG0/311,ARG1/4695,ARG2/301</t>
  </si>
  <si>
    <t xml:space="preserve">ACT-&gt;ARG1/270</t>
  </si>
  <si>
    <t xml:space="preserve">PAT-&gt;ARG0/186,ARG1/424,ARG2/4342</t>
  </si>
  <si>
    <t xml:space="preserve">PAT-&gt;ARG0/293</t>
  </si>
  <si>
    <t xml:space="preserve">"patřit-002"</t>
  </si>
  <si>
    <t xml:space="preserve">"patřit-003"</t>
  </si>
  <si>
    <t xml:space="preserve">ACT-&gt;ARG0/25,ARG1/4574,ARG2/309</t>
  </si>
  <si>
    <t xml:space="preserve">DIR3-&gt;ARG0/13,ARG1/159,ARG2/4263</t>
  </si>
  <si>
    <t xml:space="preserve">"patřit-004"</t>
  </si>
  <si>
    <t xml:space="preserve">DIR3-&gt;ARG1/121,ARG2/3451</t>
  </si>
  <si>
    <t xml:space="preserve">"patřit-005"</t>
  </si>
  <si>
    <t xml:space="preserve">"patřit-se-001"</t>
  </si>
  <si>
    <t xml:space="preserve">?PAT: na+4; :3</t>
  </si>
  <si>
    <t xml:space="preserve">"pašovat-001"</t>
  </si>
  <si>
    <t xml:space="preserve">PAT-&gt;ARG3/1</t>
  </si>
  <si>
    <t xml:space="preserve">PAT-&gt;ARG1/29,ARG3/1</t>
  </si>
  <si>
    <t xml:space="preserve">"pelášit-001"</t>
  </si>
  <si>
    <t xml:space="preserve">"penalizovat-001"</t>
  </si>
  <si>
    <t xml:space="preserve">"pendlovat-001"</t>
  </si>
  <si>
    <t xml:space="preserve">"penzionovat-001"</t>
  </si>
  <si>
    <t xml:space="preserve">"persekuovat-001"</t>
  </si>
  <si>
    <t xml:space="preserve">"perzekuovat-001"</t>
  </si>
  <si>
    <t xml:space="preserve">"perzekvovat-001"</t>
  </si>
  <si>
    <t xml:space="preserve">"peskovat-001"</t>
  </si>
  <si>
    <t xml:space="preserve">"pečovat-001"</t>
  </si>
  <si>
    <t xml:space="preserve">PAT-&gt;ARG1/23,ARG2/7</t>
  </si>
  <si>
    <t xml:space="preserve">"pilovat-001"</t>
  </si>
  <si>
    <t xml:space="preserve">"pilovat-002"</t>
  </si>
  <si>
    <t xml:space="preserve">"pinkat-si-001"</t>
  </si>
  <si>
    <t xml:space="preserve">"piplat-001"</t>
  </si>
  <si>
    <t xml:space="preserve">"pitvat-001"</t>
  </si>
  <si>
    <t xml:space="preserve">"pitvat-002"</t>
  </si>
  <si>
    <t xml:space="preserve">"pitvořit-se-001"</t>
  </si>
  <si>
    <t xml:space="preserve">"plachtit-001"</t>
  </si>
  <si>
    <t xml:space="preserve">"plachtit-002"</t>
  </si>
  <si>
    <t xml:space="preserve">"plahočit-se-001"</t>
  </si>
  <si>
    <t xml:space="preserve">"plakat-001"</t>
  </si>
  <si>
    <t xml:space="preserve">"plakat-002"</t>
  </si>
  <si>
    <t xml:space="preserve">DPHR: na-1[hrob.S6[špatný.#]]</t>
  </si>
  <si>
    <t xml:space="preserve">"plandat-001"</t>
  </si>
  <si>
    <t xml:space="preserve">"planout-001"</t>
  </si>
  <si>
    <t xml:space="preserve">ACT-&gt;ARG0/194,ARG1/6</t>
  </si>
  <si>
    <t xml:space="preserve">"planout-002"</t>
  </si>
  <si>
    <t xml:space="preserve">"platit-001"</t>
  </si>
  <si>
    <t xml:space="preserve">ACT-&gt;ARG0/410,ARG1/3104,ARG2/297</t>
  </si>
  <si>
    <t xml:space="preserve">PAT-&gt;ARG0/1,ARG1/2920,ARG2/3466,ARG3/18</t>
  </si>
  <si>
    <t xml:space="preserve">ADDR-&gt;ARG0/1,ARG1/1,ARG2/144,ARG3/4</t>
  </si>
  <si>
    <t xml:space="preserve">EFF-&gt;ARG1/4,ARG2/16,ARG3/188</t>
  </si>
  <si>
    <t xml:space="preserve">"platit-002"</t>
  </si>
  <si>
    <t xml:space="preserve">"platit-003"</t>
  </si>
  <si>
    <t xml:space="preserve">"platit-004"</t>
  </si>
  <si>
    <t xml:space="preserve">ACT-&gt;ARG0/333,ARG1/1,ARG2/1</t>
  </si>
  <si>
    <t xml:space="preserve">ACT-&gt;ARG0/378,ARG1/4,ARG2/8</t>
  </si>
  <si>
    <t xml:space="preserve">PAT-&gt;ARG1/419,ARG2/13,ARG3/9</t>
  </si>
  <si>
    <t xml:space="preserve">PAT-&gt;ARG0/1,ARG1/110,ARG2/145,ARG3/4</t>
  </si>
  <si>
    <t xml:space="preserve">"platit-005"</t>
  </si>
  <si>
    <t xml:space="preserve">"platit-006"</t>
  </si>
  <si>
    <t xml:space="preserve">"platit-007"</t>
  </si>
  <si>
    <t xml:space="preserve">"platit-008"</t>
  </si>
  <si>
    <t xml:space="preserve">ACT-&gt;ARG0/284,ARG1/1,ARG2/1</t>
  </si>
  <si>
    <t xml:space="preserve">EXT-&gt;ARG1/337,ARG2/11,ARG3/9</t>
  </si>
  <si>
    <t xml:space="preserve">EXT-&gt;ARG1/987,ARG2/42,ARG3/46</t>
  </si>
  <si>
    <t xml:space="preserve">PAT-&gt;ARG1/3,ARG2/16,ARG3/186</t>
  </si>
  <si>
    <t xml:space="preserve">ADDR-&gt;ARG0/1,ARG1/1,ARG2/128,ARG3/4</t>
  </si>
  <si>
    <t xml:space="preserve">"platit-009"</t>
  </si>
  <si>
    <t xml:space="preserve">ACT-&gt;ARG1/3998,ARG2/299</t>
  </si>
  <si>
    <t xml:space="preserve">"platívat-001"</t>
  </si>
  <si>
    <t xml:space="preserve">"plavat-001"</t>
  </si>
  <si>
    <t xml:space="preserve">"plavat-002"</t>
  </si>
  <si>
    <t xml:space="preserve">"plavat-003"</t>
  </si>
  <si>
    <t xml:space="preserve">"plavat-004"</t>
  </si>
  <si>
    <t xml:space="preserve">"plavit-se-001"</t>
  </si>
  <si>
    <t xml:space="preserve">"plazit-se-001"</t>
  </si>
  <si>
    <t xml:space="preserve">"plašit-001"</t>
  </si>
  <si>
    <t xml:space="preserve">"plašit-se-001"</t>
  </si>
  <si>
    <t xml:space="preserve">"plenit-001"</t>
  </si>
  <si>
    <t xml:space="preserve">"plesknout-001"</t>
  </si>
  <si>
    <t xml:space="preserve">"plešatět-001"</t>
  </si>
  <si>
    <t xml:space="preserve">"plivat-001"</t>
  </si>
  <si>
    <t xml:space="preserve">"plivnout-001"</t>
  </si>
  <si>
    <t xml:space="preserve">"plnit-001"</t>
  </si>
  <si>
    <t xml:space="preserve">"plnit-002"</t>
  </si>
  <si>
    <t xml:space="preserve">ACT-&gt;ARG0/147,ARG1/144,ARG2/1</t>
  </si>
  <si>
    <t xml:space="preserve">ACT-&gt;ARG0/341,ARG1/20,ARG3/1</t>
  </si>
  <si>
    <t xml:space="preserve">PAT-&gt;ARG1/251,ARG2/144,ARGm-LOC/1</t>
  </si>
  <si>
    <t xml:space="preserve">PAT-&gt;ARG1/519,ARG2/20</t>
  </si>
  <si>
    <t xml:space="preserve">"plnit-si-001"</t>
  </si>
  <si>
    <t xml:space="preserve">"plodit-001"</t>
  </si>
  <si>
    <t xml:space="preserve">"plodit-002"</t>
  </si>
  <si>
    <t xml:space="preserve">"plodit-003"</t>
  </si>
  <si>
    <t xml:space="preserve">"plout-001"</t>
  </si>
  <si>
    <t xml:space="preserve">"plout-002"</t>
  </si>
  <si>
    <t xml:space="preserve">"ploužit-se-001"</t>
  </si>
  <si>
    <t xml:space="preserve">"plužit-001"</t>
  </si>
  <si>
    <t xml:space="preserve">"plynout-001"</t>
  </si>
  <si>
    <t xml:space="preserve">PAT-&gt;ARG0/20,ARG1/1</t>
  </si>
  <si>
    <t xml:space="preserve">"plynout-002"</t>
  </si>
  <si>
    <t xml:space="preserve">"plynout-003"</t>
  </si>
  <si>
    <t xml:space="preserve">ACT-&gt;ARG1/68</t>
  </si>
  <si>
    <t xml:space="preserve">"plynovat-001"</t>
  </si>
  <si>
    <t xml:space="preserve">"plácat-001"</t>
  </si>
  <si>
    <t xml:space="preserve">PAT: .7,s+7</t>
  </si>
  <si>
    <t xml:space="preserve">"plácat-se-001"</t>
  </si>
  <si>
    <t xml:space="preserve">"plácnout-001"</t>
  </si>
  <si>
    <t xml:space="preserve">"plácnout-002"</t>
  </si>
  <si>
    <t xml:space="preserve">"plácnout-003"</t>
  </si>
  <si>
    <t xml:space="preserve">"plánovat-001"</t>
  </si>
  <si>
    <t xml:space="preserve">ACT-&gt;ARG0/1737,ARG1/8</t>
  </si>
  <si>
    <t xml:space="preserve">PAT: 4; ↓že; ↓c; .f; .s; .v</t>
  </si>
  <si>
    <t xml:space="preserve">PAT-&gt;ARG1/1913,ARG2/72</t>
  </si>
  <si>
    <t xml:space="preserve">"plédovat-001"</t>
  </si>
  <si>
    <t xml:space="preserve">"plést-001"</t>
  </si>
  <si>
    <t xml:space="preserve">EFF: s+7; za+4</t>
  </si>
  <si>
    <t xml:space="preserve">"plést-002"</t>
  </si>
  <si>
    <t xml:space="preserve">"plést-003"</t>
  </si>
  <si>
    <t xml:space="preserve">"plést-004"</t>
  </si>
  <si>
    <t xml:space="preserve">"plést-se-001"</t>
  </si>
  <si>
    <t xml:space="preserve">"plést-se-002"</t>
  </si>
  <si>
    <t xml:space="preserve">"plést-se-003"</t>
  </si>
  <si>
    <t xml:space="preserve">"plést-se-004"</t>
  </si>
  <si>
    <t xml:space="preserve">"plést-si-001"</t>
  </si>
  <si>
    <t xml:space="preserve">"plést-si-002"</t>
  </si>
  <si>
    <t xml:space="preserve">"plísnit-001"</t>
  </si>
  <si>
    <t xml:space="preserve">"plít-001"</t>
  </si>
  <si>
    <t xml:space="preserve">"plížit-se-001"</t>
  </si>
  <si>
    <t xml:space="preserve">"plýtvat-001"</t>
  </si>
  <si>
    <t xml:space="preserve">"pobabit-se-001"</t>
  </si>
  <si>
    <t xml:space="preserve">"pobalit-001"</t>
  </si>
  <si>
    <t xml:space="preserve">"pobavit-001"</t>
  </si>
  <si>
    <t xml:space="preserve">PAT-&gt;ARG0/36,ARG1/2</t>
  </si>
  <si>
    <t xml:space="preserve">"pobavit-se-001"</t>
  </si>
  <si>
    <t xml:space="preserve">"poblahopřát-001"</t>
  </si>
  <si>
    <t xml:space="preserve">"pobláznit-001"</t>
  </si>
  <si>
    <t xml:space="preserve">"pobodat-001"</t>
  </si>
  <si>
    <t xml:space="preserve">"pobouřit-001"</t>
  </si>
  <si>
    <t xml:space="preserve">"pobrat-001"</t>
  </si>
  <si>
    <t xml:space="preserve">"pobrat-002"</t>
  </si>
  <si>
    <t xml:space="preserve">"pobrat-003"</t>
  </si>
  <si>
    <t xml:space="preserve">"pobrat-004"</t>
  </si>
  <si>
    <t xml:space="preserve">"pobrukovat-si-001"</t>
  </si>
  <si>
    <t xml:space="preserve">EFF-&gt;ARG1/2</t>
  </si>
  <si>
    <t xml:space="preserve">EFF-&gt;ARG1/11</t>
  </si>
  <si>
    <t xml:space="preserve">"pobuřovat-001"</t>
  </si>
  <si>
    <t xml:space="preserve">"pobídnout-001"</t>
  </si>
  <si>
    <t xml:space="preserve">ACT-&gt;ARG0/8,ARG2/30</t>
  </si>
  <si>
    <t xml:space="preserve">PAT: k+3; ↓aby; .f; .s</t>
  </si>
  <si>
    <t xml:space="preserve">PAT-&gt;ARG1/16,ARG2/31</t>
  </si>
  <si>
    <t xml:space="preserve">PAT-&gt;ARG1/16,ARG2/30</t>
  </si>
  <si>
    <t xml:space="preserve">ADDR-&gt;ARG1/39</t>
  </si>
  <si>
    <t xml:space="preserve">ADDR-&gt;ARG1/32,ARG2/5</t>
  </si>
  <si>
    <t xml:space="preserve">ADDR-&gt;ARG1/31,ARG2/5</t>
  </si>
  <si>
    <t xml:space="preserve">PAT-&gt;ARG1/1,ARG2/25</t>
  </si>
  <si>
    <t xml:space="preserve">ADDR-&gt;ARG1/29</t>
  </si>
  <si>
    <t xml:space="preserve">"pobíhat-001"</t>
  </si>
  <si>
    <t xml:space="preserve">ACT-&gt;ARG0/29,ARG1/19</t>
  </si>
  <si>
    <t xml:space="preserve">"pobírat-001"</t>
  </si>
  <si>
    <t xml:space="preserve">PAT-&gt;ARG1/366</t>
  </si>
  <si>
    <t xml:space="preserve">"pobít-001"</t>
  </si>
  <si>
    <t xml:space="preserve">"pobít-002"</t>
  </si>
  <si>
    <t xml:space="preserve">"pobít-003"</t>
  </si>
  <si>
    <t xml:space="preserve">"pobízet-001"</t>
  </si>
  <si>
    <t xml:space="preserve">PAT: k+3; ↓aby; na+4; .f</t>
  </si>
  <si>
    <t xml:space="preserve">ADDR-&gt;ARG1/8</t>
  </si>
  <si>
    <t xml:space="preserve">"pobýt-001"</t>
  </si>
  <si>
    <t xml:space="preserve">"pobýt-002"</t>
  </si>
  <si>
    <t xml:space="preserve">"pobývat-001"</t>
  </si>
  <si>
    <t xml:space="preserve">"pochlubit-se-001"</t>
  </si>
  <si>
    <t xml:space="preserve">PAT: 7; ↓že; .s; s+7</t>
  </si>
  <si>
    <t xml:space="preserve">"pochodit-001"</t>
  </si>
  <si>
    <t xml:space="preserve">"pochodit-002"</t>
  </si>
  <si>
    <t xml:space="preserve">"pochodit-003"</t>
  </si>
  <si>
    <t xml:space="preserve">ACT-&gt;ARG0/23,ARGm-MNR/2</t>
  </si>
  <si>
    <t xml:space="preserve">MANN-&gt;ARGm-MNR/22</t>
  </si>
  <si>
    <t xml:space="preserve">"pochodovat-001"</t>
  </si>
  <si>
    <t xml:space="preserve">"pochopit-001"</t>
  </si>
  <si>
    <t xml:space="preserve">ACT-&gt;ARG0/464,ARG1/1</t>
  </si>
  <si>
    <t xml:space="preserve">PAT: 4; ↓že; ↓zda; ↓c; .v</t>
  </si>
  <si>
    <t xml:space="preserve">PAT-&gt;ARG1/617,ARG2/1</t>
  </si>
  <si>
    <t xml:space="preserve">"pochovat-001"</t>
  </si>
  <si>
    <t xml:space="preserve">"pochovat-002"</t>
  </si>
  <si>
    <t xml:space="preserve">"pochovávat-001"</t>
  </si>
  <si>
    <t xml:space="preserve">"pochroumat-001"</t>
  </si>
  <si>
    <t xml:space="preserve">"pochutnat-si-001"</t>
  </si>
  <si>
    <t xml:space="preserve">"pochutnávat-si-001"</t>
  </si>
  <si>
    <t xml:space="preserve">"pochvalovat-si-001"</t>
  </si>
  <si>
    <t xml:space="preserve">"pochválit-001"</t>
  </si>
  <si>
    <t xml:space="preserve">"pochybit-001"</t>
  </si>
  <si>
    <t xml:space="preserve">"pochybovat-001"</t>
  </si>
  <si>
    <t xml:space="preserve">ACT-&gt;ARG0/59,ARG1/3102,ARG2/296</t>
  </si>
  <si>
    <t xml:space="preserve">ACT-&gt;ARG0/177,ARG1/11</t>
  </si>
  <si>
    <t xml:space="preserve">PAT: o+6; ↓že; ↓zda; ↓jestli; ↓c; .s</t>
  </si>
  <si>
    <t xml:space="preserve">PAT-&gt;ARG1/185,ARG2/13</t>
  </si>
  <si>
    <t xml:space="preserve">"pochytat-001"</t>
  </si>
  <si>
    <t xml:space="preserve">"pochytit-001"</t>
  </si>
  <si>
    <t xml:space="preserve">"pochytit-002"</t>
  </si>
  <si>
    <t xml:space="preserve">"pocházet-001"</t>
  </si>
  <si>
    <t xml:space="preserve">ACT-&gt;ARG1/3392,ARG2/296</t>
  </si>
  <si>
    <t xml:space="preserve">ACT-&gt;ARG1/104,ARG2/22</t>
  </si>
  <si>
    <t xml:space="preserve">PAT-&gt;ARG0/127,ARG1/121,ARG2/3530</t>
  </si>
  <si>
    <t xml:space="preserve">PAT-&gt;ARG0/2,ARG1/50,ARG2/84</t>
  </si>
  <si>
    <t xml:space="preserve">"pocházet-002"</t>
  </si>
  <si>
    <t xml:space="preserve">ACT-&gt;ARG0/1,ARG1/654,ARG2/3</t>
  </si>
  <si>
    <t xml:space="preserve">ACT-&gt;ARG0/1,ARG1/57</t>
  </si>
  <si>
    <t xml:space="preserve">DIR1-&gt;ARG0/127,ARG1/2,ARG2/288</t>
  </si>
  <si>
    <t xml:space="preserve">"pocházet-003"</t>
  </si>
  <si>
    <t xml:space="preserve">TFRWH: *</t>
  </si>
  <si>
    <t xml:space="preserve">TFRWH-&gt;ARG2/13</t>
  </si>
  <si>
    <t xml:space="preserve">"pociťovat-001"</t>
  </si>
  <si>
    <t xml:space="preserve">EFF: 4[{jako,jakožto}:/AuxY]; .a4[{jako,jakožto}:/AuxY]; za+4</t>
  </si>
  <si>
    <t xml:space="preserve">"pociťovat-002"</t>
  </si>
  <si>
    <t xml:space="preserve">"pociťovat-003"</t>
  </si>
  <si>
    <t xml:space="preserve">ACT-&gt;ARG0/402,ARG1/8</t>
  </si>
  <si>
    <t xml:space="preserve">PAT-&gt;ARG1/502,ARG2/1,ARG4/1</t>
  </si>
  <si>
    <t xml:space="preserve">"pociťovat-004"</t>
  </si>
  <si>
    <t xml:space="preserve">CPHR: {averze,nutkání,potřeba,tlak,...}.4</t>
  </si>
  <si>
    <t xml:space="preserve">CPHR-&gt;ARG1/134,ARG2/1</t>
  </si>
  <si>
    <t xml:space="preserve">"poctít-001"</t>
  </si>
  <si>
    <t xml:space="preserve">"pocítit-001"</t>
  </si>
  <si>
    <t xml:space="preserve">"pocítit-002"</t>
  </si>
  <si>
    <t xml:space="preserve">CPHR: {nutkání,potřeba,radost,strach,vina,...}.4</t>
  </si>
  <si>
    <t xml:space="preserve">CPHR-&gt;ARG1/66</t>
  </si>
  <si>
    <t xml:space="preserve">"pocítit-003"</t>
  </si>
  <si>
    <t xml:space="preserve">CPHR: {dopad,oživení,poptávka,...}.4</t>
  </si>
  <si>
    <t xml:space="preserve">"pocítit-004"</t>
  </si>
  <si>
    <t xml:space="preserve">PAT-&gt;ARG1/80,ARG2/1</t>
  </si>
  <si>
    <t xml:space="preserve">?DPHR: na-1[kůže:S4[vlastní-1:#]]</t>
  </si>
  <si>
    <t xml:space="preserve">"podarovat-001"</t>
  </si>
  <si>
    <t xml:space="preserve">"podat-001"</t>
  </si>
  <si>
    <t xml:space="preserve">ADDR-&gt;ARG2/24</t>
  </si>
  <si>
    <t xml:space="preserve">"podat-002"</t>
  </si>
  <si>
    <t xml:space="preserve">ACT-&gt;ARG0/418</t>
  </si>
  <si>
    <t xml:space="preserve">PAT-&gt;ARG1/646,ARG2/1</t>
  </si>
  <si>
    <t xml:space="preserve">ADDR-&gt;ARG1/7,ARG2/327</t>
  </si>
  <si>
    <t xml:space="preserve">"podat-003"</t>
  </si>
  <si>
    <t xml:space="preserve">PAT-&gt;ARG1/382,ARG2/1</t>
  </si>
  <si>
    <t xml:space="preserve">ADDR-&gt;ARG1/4,ARG2/318,ARG3/1</t>
  </si>
  <si>
    <t xml:space="preserve">"podat-004"</t>
  </si>
  <si>
    <t xml:space="preserve">"podat-005"</t>
  </si>
  <si>
    <t xml:space="preserve">"podat-006"</t>
  </si>
  <si>
    <t xml:space="preserve">"podat-007"</t>
  </si>
  <si>
    <t xml:space="preserve">"podat-008"</t>
  </si>
  <si>
    <t xml:space="preserve">CPHR: {důkaz,hlášení,informace,komentář,nabídka,námitka,návod,návrh,obvinění,obžaloba,odvolání,oznámení,podnět,pokyn,protest,protest,protižaloba,protižaloba,přhláška,příkaz,registrace,stížnost,svědectví,výpověď,vysvětlení,zpráva,žádost,žaloba,...}.4</t>
  </si>
  <si>
    <t xml:space="preserve">ACT-&gt;ARG0/913,ARG1/2</t>
  </si>
  <si>
    <t xml:space="preserve">CPHR-&gt;ARG1/1258,ARG2/2,ARG3/1</t>
  </si>
  <si>
    <t xml:space="preserve">ADDR-&gt;ARG1/23,ARG2/149,ARG3/79</t>
  </si>
  <si>
    <t xml:space="preserve">ACT-&gt;ARG0/589,ARG1/1</t>
  </si>
  <si>
    <t xml:space="preserve">CPHR-&gt;ARG0/1,ARG1/808,ARG3/3</t>
  </si>
  <si>
    <t xml:space="preserve">ADDR-&gt;ARG2/9,ARG3/1</t>
  </si>
  <si>
    <t xml:space="preserve">ACT-&gt;ARG0/412,ARG1/1</t>
  </si>
  <si>
    <t xml:space="preserve">ACT-&gt;ARG0/1041,ARG1/5,ARG2/4</t>
  </si>
  <si>
    <t xml:space="preserve">CPHR-&gt;ARG1/586</t>
  </si>
  <si>
    <t xml:space="preserve">CPHR-&gt;ARG1/1372,ARG2/134,ARG3/1</t>
  </si>
  <si>
    <t xml:space="preserve">ADDR-&gt;ARG1/85,ARG2/356,ARG3/86</t>
  </si>
  <si>
    <t xml:space="preserve">"podat-009"</t>
  </si>
  <si>
    <t xml:space="preserve">ACT-&gt;ARG0/322</t>
  </si>
  <si>
    <t xml:space="preserve">CPHR: {důkaz,informace,námitka,návrh,obvinění,obžaloba,odpověď,oznámení,podnět,protest,protest,protižaloba,příkaz,registrace,stížnost,výpověď,zpráva,žádost,žaloba,...}.4</t>
  </si>
  <si>
    <t xml:space="preserve">CPHR-&gt;ARG1/432,ARG2/1</t>
  </si>
  <si>
    <t xml:space="preserve">LOC-&gt;ARG1/85,ARG2/356,ARG3/86</t>
  </si>
  <si>
    <t xml:space="preserve">ACT-&gt;ARG0/192</t>
  </si>
  <si>
    <t xml:space="preserve">CPHR-&gt;ARG1/214</t>
  </si>
  <si>
    <t xml:space="preserve">LOC-&gt;ARG2/7</t>
  </si>
  <si>
    <t xml:space="preserve">"podat-010"</t>
  </si>
  <si>
    <t xml:space="preserve">CPHR: {důkaz,informace,námitka,návrh,odvolání,oznámení,podnět,protest,protižaloba,příkaz,registrace,stížnost,výpověď,zpráva,žádost,žaloba,...}.4</t>
  </si>
  <si>
    <t xml:space="preserve">CPHR-&gt;ARG1/82</t>
  </si>
  <si>
    <t xml:space="preserve">ACT-&gt;ARG0/119</t>
  </si>
  <si>
    <t xml:space="preserve">CPHR-&gt;ARG1/131</t>
  </si>
  <si>
    <t xml:space="preserve">"podat-011"</t>
  </si>
  <si>
    <t xml:space="preserve">CPHR: {demise,odvolání,...}</t>
  </si>
  <si>
    <t xml:space="preserve">"podat-012"</t>
  </si>
  <si>
    <t xml:space="preserve">CPHR: {výkon,...}.4</t>
  </si>
  <si>
    <t xml:space="preserve">"podat-si-001"</t>
  </si>
  <si>
    <t xml:space="preserve">"podat-si-002"</t>
  </si>
  <si>
    <t xml:space="preserve">DPHR: ruka.4</t>
  </si>
  <si>
    <t xml:space="preserve">"podařit-se-001"</t>
  </si>
  <si>
    <t xml:space="preserve">ACT-&gt;ARG0/371,ARG1/3250,ARG2/296</t>
  </si>
  <si>
    <t xml:space="preserve">ACT-&gt;ARG0/594,ARG1/156</t>
  </si>
  <si>
    <t xml:space="preserve">PAT: 1; ↓že; ↓aby; .f</t>
  </si>
  <si>
    <t xml:space="preserve">PAT-&gt;ARG1/515,ARG2/199</t>
  </si>
  <si>
    <t xml:space="preserve">PAT-&gt;ARG0/2,ARG1/838,ARG2/144</t>
  </si>
  <si>
    <t xml:space="preserve">"podbarvit-001"</t>
  </si>
  <si>
    <t xml:space="preserve">"podbíjet-001"</t>
  </si>
  <si>
    <t xml:space="preserve">"podbízet-se-001"</t>
  </si>
  <si>
    <t xml:space="preserve">"podcenit-001"</t>
  </si>
  <si>
    <t xml:space="preserve">"podceňovat-001"</t>
  </si>
  <si>
    <t xml:space="preserve">"podchytit-001"</t>
  </si>
  <si>
    <t xml:space="preserve">"poddat-se-001"</t>
  </si>
  <si>
    <t xml:space="preserve">PAT-&gt;ARG1/30,ARG2/4</t>
  </si>
  <si>
    <t xml:space="preserve">"poddávat-se-001"</t>
  </si>
  <si>
    <t xml:space="preserve">"podebatovat-001"</t>
  </si>
  <si>
    <t xml:space="preserve">"podepisovat-001"</t>
  </si>
  <si>
    <t xml:space="preserve">"podepisovat-002"</t>
  </si>
  <si>
    <t xml:space="preserve">"podepisovat-se-001"</t>
  </si>
  <si>
    <t xml:space="preserve">PAT-&gt;ARG1/344</t>
  </si>
  <si>
    <t xml:space="preserve">"podepsat-001"</t>
  </si>
  <si>
    <t xml:space="preserve">ACT-&gt;ARG0/307,ARG1/171</t>
  </si>
  <si>
    <t xml:space="preserve">PAT-&gt;ARG0/75,ARG1/317,ARG3/6</t>
  </si>
  <si>
    <t xml:space="preserve">"podepsat-002"</t>
  </si>
  <si>
    <t xml:space="preserve">ACT-&gt;ARG0/155</t>
  </si>
  <si>
    <t xml:space="preserve">PAT-&gt;ARG1/221</t>
  </si>
  <si>
    <t xml:space="preserve">"podepsat-se-001"</t>
  </si>
  <si>
    <t xml:space="preserve">"podepřít-001"</t>
  </si>
  <si>
    <t xml:space="preserve">"podepřít-002"</t>
  </si>
  <si>
    <t xml:space="preserve">"podestlat-001"</t>
  </si>
  <si>
    <t xml:space="preserve">"podestlat-002"</t>
  </si>
  <si>
    <t xml:space="preserve">"podezírat-001"</t>
  </si>
  <si>
    <t xml:space="preserve">"podezřívat-001"</t>
  </si>
  <si>
    <t xml:space="preserve">ADDR-&gt;ARG2/3</t>
  </si>
  <si>
    <t xml:space="preserve">"podhlodat-001"</t>
  </si>
  <si>
    <t xml:space="preserve">"podhodnocovat-001"</t>
  </si>
  <si>
    <t xml:space="preserve">"podhodnotit-001"</t>
  </si>
  <si>
    <t xml:space="preserve">"podivit-se-001"</t>
  </si>
  <si>
    <t xml:space="preserve">PAT: 3; nad+7; ↓že; ↓zda; ↓jestli; ↓c</t>
  </si>
  <si>
    <t xml:space="preserve">"podivovat-se-001"</t>
  </si>
  <si>
    <t xml:space="preserve">"podjet-001"</t>
  </si>
  <si>
    <t xml:space="preserve">"podjet-002"</t>
  </si>
  <si>
    <t xml:space="preserve">"podkluzovat-001"</t>
  </si>
  <si>
    <t xml:space="preserve">"podkládat-001"</t>
  </si>
  <si>
    <t xml:space="preserve">PAT-&gt;ARG1/94,ARG2/8</t>
  </si>
  <si>
    <t xml:space="preserve">ADDR-&gt;ARG1/4,ARG2/124</t>
  </si>
  <si>
    <t xml:space="preserve">"podkládat-002"</t>
  </si>
  <si>
    <t xml:space="preserve">"podkopat-001"</t>
  </si>
  <si>
    <t xml:space="preserve">ACT-&gt;ARG0/187,ARG2/83</t>
  </si>
  <si>
    <t xml:space="preserve">"podkopávat-001"</t>
  </si>
  <si>
    <t xml:space="preserve">"podlamovat-se-001"</t>
  </si>
  <si>
    <t xml:space="preserve">"podlehnout-001"</t>
  </si>
  <si>
    <t xml:space="preserve">"podlehnout-002"</t>
  </si>
  <si>
    <t xml:space="preserve">PAT-&gt;ARG1/8,ARG2/1,ARG4/1</t>
  </si>
  <si>
    <t xml:space="preserve">"podlomit-001"</t>
  </si>
  <si>
    <t xml:space="preserve">"podložit-001"</t>
  </si>
  <si>
    <t xml:space="preserve">"podložit-002"</t>
  </si>
  <si>
    <t xml:space="preserve">"podléhat-001"</t>
  </si>
  <si>
    <t xml:space="preserve">ACT-&gt;ARG0/342,ARG1/3132,ARG2/300</t>
  </si>
  <si>
    <t xml:space="preserve">PAT-&gt;ARG1/484,ARG2/2</t>
  </si>
  <si>
    <t xml:space="preserve">"podléhat-002"</t>
  </si>
  <si>
    <t xml:space="preserve">"podlézat-001"</t>
  </si>
  <si>
    <t xml:space="preserve">PAT-&gt;ARG1/10,ARG2/3</t>
  </si>
  <si>
    <t xml:space="preserve">"podlézt-001"</t>
  </si>
  <si>
    <t xml:space="preserve">"podmalovávat-001"</t>
  </si>
  <si>
    <t xml:space="preserve">"podmanit-si-001"</t>
  </si>
  <si>
    <t xml:space="preserve">"podmaňovat-si-001"</t>
  </si>
  <si>
    <t xml:space="preserve">"podminovat-001"</t>
  </si>
  <si>
    <t xml:space="preserve">"podmiňovat-001"</t>
  </si>
  <si>
    <t xml:space="preserve">"podmiňovat-002"</t>
  </si>
  <si>
    <t xml:space="preserve">"podmínit-001"</t>
  </si>
  <si>
    <t xml:space="preserve">"podmínit-002"</t>
  </si>
  <si>
    <t xml:space="preserve">"podnikat-001"</t>
  </si>
  <si>
    <t xml:space="preserve">ACT-&gt;ARG0/155,ARG1/1</t>
  </si>
  <si>
    <t xml:space="preserve">"podnikat-002"</t>
  </si>
  <si>
    <t xml:space="preserve">ACT-&gt;ARG0/314,ARG1/64</t>
  </si>
  <si>
    <t xml:space="preserve">"podnikat-003"</t>
  </si>
  <si>
    <t xml:space="preserve">ACT-&gt;ARG0/227,ARG1/25</t>
  </si>
  <si>
    <t xml:space="preserve">CPHR: {krok,opatření,...}.4</t>
  </si>
  <si>
    <t xml:space="preserve">CPHR-&gt;ARG1/298,ARG2/26</t>
  </si>
  <si>
    <t xml:space="preserve">CPHR-&gt;ARG1/357</t>
  </si>
  <si>
    <t xml:space="preserve">"podnikat-004"</t>
  </si>
  <si>
    <t xml:space="preserve">CPHR: {túra,výlet}.4</t>
  </si>
  <si>
    <t xml:space="preserve">"podniknout-001"</t>
  </si>
  <si>
    <t xml:space="preserve">ACT-&gt;ARG0/443,ARG1/27</t>
  </si>
  <si>
    <t xml:space="preserve">ACT-&gt;ARG0/270</t>
  </si>
  <si>
    <t xml:space="preserve">PAT-&gt;ARG1/551,ARG2/26</t>
  </si>
  <si>
    <t xml:space="preserve">PAT-&gt;ARG1/475</t>
  </si>
  <si>
    <t xml:space="preserve">"podniknout-002"</t>
  </si>
  <si>
    <t xml:space="preserve">CPHR: {cesta,invaze,mise,nájezd,obsazení,útok,výlet,výprava,zájezd,...}.4</t>
  </si>
  <si>
    <t xml:space="preserve">ACT-&gt;ARG0/253,ARG1/26</t>
  </si>
  <si>
    <t xml:space="preserve">CPHR-&gt;ARG1/294,ARG2/26</t>
  </si>
  <si>
    <t xml:space="preserve">"podniknout-003"</t>
  </si>
  <si>
    <t xml:space="preserve">CPHR: {aktivita,krok,opatření,operace,pokus,restrukturalizace,...}.4</t>
  </si>
  <si>
    <t xml:space="preserve">CPHR-&gt;ARG1/19</t>
  </si>
  <si>
    <t xml:space="preserve">ACT-&gt;ARG0/341,ARG1/26</t>
  </si>
  <si>
    <t xml:space="preserve">CPHR-&gt;ARG0/1,ARG1/416,ARG2/26,ARG3/3</t>
  </si>
  <si>
    <t xml:space="preserve">ACT-&gt;ARG0/204,ARG1/25</t>
  </si>
  <si>
    <t xml:space="preserve">CPHR-&gt;ARG1/232,ARG2/26</t>
  </si>
  <si>
    <t xml:space="preserve">"podnítit-001"</t>
  </si>
  <si>
    <t xml:space="preserve">ACT-&gt;ARG0/81,ARG2/34</t>
  </si>
  <si>
    <t xml:space="preserve">PAT: k+3; proti+3,aby[.v]</t>
  </si>
  <si>
    <t xml:space="preserve">PAT-&gt;ARG1/40,ARG2/66</t>
  </si>
  <si>
    <t xml:space="preserve">ADDR-&gt;ARG1/109,ARG2/2</t>
  </si>
  <si>
    <t xml:space="preserve">"podnítit-002"</t>
  </si>
  <si>
    <t xml:space="preserve">ACT-&gt;ARG0/412,ARG1/6,ARG2/63</t>
  </si>
  <si>
    <t xml:space="preserve">PAT-&gt;ARG1/696,ARG2/1,ARG4/6</t>
  </si>
  <si>
    <t xml:space="preserve">"podnítit-003"</t>
  </si>
  <si>
    <t xml:space="preserve">EFF-&gt;ARG2/1,ARG4/37</t>
  </si>
  <si>
    <t xml:space="preserve">"podněcovat-001"</t>
  </si>
  <si>
    <t xml:space="preserve">ACT-&gt;ARG0/44,ARG1/1,ARG2/4</t>
  </si>
  <si>
    <t xml:space="preserve">PAT: k+3; ↓aby</t>
  </si>
  <si>
    <t xml:space="preserve">PAT-&gt;ARG1/1,ARG2/55</t>
  </si>
  <si>
    <t xml:space="preserve">ADDR-&gt;ARG1/41,ARG2/2</t>
  </si>
  <si>
    <t xml:space="preserve">"podněcovat-002"</t>
  </si>
  <si>
    <t xml:space="preserve">ACT-&gt;ARG0/59,ARG2/31</t>
  </si>
  <si>
    <t xml:space="preserve">PAT-&gt;ARG1/152</t>
  </si>
  <si>
    <t xml:space="preserve">"podobat-se-001"</t>
  </si>
  <si>
    <t xml:space="preserve">ACT-&gt;ARG0/40,ARG1/14,ARG2/9</t>
  </si>
  <si>
    <t xml:space="preserve">PAT-&gt;ARG1/63,ARG2/21</t>
  </si>
  <si>
    <t xml:space="preserve">"podojit-001"</t>
  </si>
  <si>
    <t xml:space="preserve">"podotknout-001"</t>
  </si>
  <si>
    <t xml:space="preserve">ACT-&gt;ARG0/12317,ARG1/36</t>
  </si>
  <si>
    <t xml:space="preserve">ACT-&gt;ARG0/215</t>
  </si>
  <si>
    <t xml:space="preserve">EFF: 4; ↓že; ↓zda; ↓aby; ↓ať; .s; ↓c</t>
  </si>
  <si>
    <t xml:space="preserve">EFF-&gt;ARG0/2,ARG1/10689,ARG2/2</t>
  </si>
  <si>
    <t xml:space="preserve">EFF-&gt;ARG1/245</t>
  </si>
  <si>
    <t xml:space="preserve">?PAT: o+6; k+3</t>
  </si>
  <si>
    <t xml:space="preserve">PAT-&gt;ARG0/2,ARG1/8,ARG2/1,ARG3/30</t>
  </si>
  <si>
    <t xml:space="preserve">"podotýkat-001"</t>
  </si>
  <si>
    <t xml:space="preserve">"podpisovat-001"</t>
  </si>
  <si>
    <t xml:space="preserve">"podpisovat-002"</t>
  </si>
  <si>
    <t xml:space="preserve">"podpisovat-se-001"</t>
  </si>
  <si>
    <t xml:space="preserve">"podpisovat-se-002"</t>
  </si>
  <si>
    <t xml:space="preserve">"podplatit-001"</t>
  </si>
  <si>
    <t xml:space="preserve">"podplácet-001"</t>
  </si>
  <si>
    <t xml:space="preserve">"podporovat-001"</t>
  </si>
  <si>
    <t xml:space="preserve">ACT-&gt;ARG0/424,ARG1/3102,ARG2/332</t>
  </si>
  <si>
    <t xml:space="preserve">ACT-&gt;ARG0/900,ARG1/7,ARG2/2,ARG3/9</t>
  </si>
  <si>
    <t xml:space="preserve">PAT-&gt;ARG1/698,ARG2/3474</t>
  </si>
  <si>
    <t xml:space="preserve">PAT-&gt;ARG1/1199,ARG2/30</t>
  </si>
  <si>
    <t xml:space="preserve">"podporovat-002"</t>
  </si>
  <si>
    <t xml:space="preserve">ADDR-&gt;ARG1/192,ARG2/5</t>
  </si>
  <si>
    <t xml:space="preserve">"podporovat-003"</t>
  </si>
  <si>
    <t xml:space="preserve">"podpořit-001"</t>
  </si>
  <si>
    <t xml:space="preserve">ACT-&gt;ARG0/543,ARG1/6,ARG2/64,ARG3/9</t>
  </si>
  <si>
    <t xml:space="preserve">PAT-&gt;ARG0/3,ARG1/824,ARG2/39</t>
  </si>
  <si>
    <t xml:space="preserve">"podpořit-002"</t>
  </si>
  <si>
    <t xml:space="preserve">ADDR-&gt;ARG1/33,ARG2/2</t>
  </si>
  <si>
    <t xml:space="preserve">?PAT: v+6; ↓aby</t>
  </si>
  <si>
    <t xml:space="preserve">ACT-&gt;ARG0/134</t>
  </si>
  <si>
    <t xml:space="preserve">ADDR-&gt;ARG1/159</t>
  </si>
  <si>
    <t xml:space="preserve">PAT-&gt;ARG1/16,ARG2/7</t>
  </si>
  <si>
    <t xml:space="preserve">"podpírat-001"</t>
  </si>
  <si>
    <t xml:space="preserve">"podrazit-001"</t>
  </si>
  <si>
    <t xml:space="preserve">"podrazit-002"</t>
  </si>
  <si>
    <t xml:space="preserve">"podražit-001"</t>
  </si>
  <si>
    <t xml:space="preserve">"podrobit-001"</t>
  </si>
  <si>
    <t xml:space="preserve">PAT-&gt;ARG1/16,ARG2/13</t>
  </si>
  <si>
    <t xml:space="preserve">ADDR-&gt;ARG1/10,ARG2/13</t>
  </si>
  <si>
    <t xml:space="preserve">"podrobit-se-001"</t>
  </si>
  <si>
    <t xml:space="preserve">"podrobovat-001"</t>
  </si>
  <si>
    <t xml:space="preserve">"podrobovat-se-001"</t>
  </si>
  <si>
    <t xml:space="preserve">ACT-&gt;ARG0/100,ARG1/1</t>
  </si>
  <si>
    <t xml:space="preserve">"podráždit-001"</t>
  </si>
  <si>
    <t xml:space="preserve">PAT-&gt;ARG0/7</t>
  </si>
  <si>
    <t xml:space="preserve">"podrýt-001"</t>
  </si>
  <si>
    <t xml:space="preserve">ACT-&gt;ARG0/315,ARG1/3,ARG2/121</t>
  </si>
  <si>
    <t xml:space="preserve">PAT-&gt;ARG1/579,ARG2/4</t>
  </si>
  <si>
    <t xml:space="preserve">"podrývat-001"</t>
  </si>
  <si>
    <t xml:space="preserve">"podržet-001"</t>
  </si>
  <si>
    <t xml:space="preserve">ACT-&gt;ARG0/700</t>
  </si>
  <si>
    <t xml:space="preserve">ACT-&gt;ARG0/415,ARG1/162</t>
  </si>
  <si>
    <t xml:space="preserve">PAT-&gt;ARG1/767</t>
  </si>
  <si>
    <t xml:space="preserve">PAT-&gt;ARG1/637</t>
  </si>
  <si>
    <t xml:space="preserve">"podržet-002"</t>
  </si>
  <si>
    <t xml:space="preserve">ADDR-&gt;ARG1/149</t>
  </si>
  <si>
    <t xml:space="preserve">"podsekat-001"</t>
  </si>
  <si>
    <t xml:space="preserve">"podsouvat-001"</t>
  </si>
  <si>
    <t xml:space="preserve">ACT-&gt;ARG0/135,ARG1/1</t>
  </si>
  <si>
    <t xml:space="preserve">PAT-&gt;ARG1/147,ARG2/56</t>
  </si>
  <si>
    <t xml:space="preserve">ADDR-&gt;ARG1/7,ARG2/39</t>
  </si>
  <si>
    <t xml:space="preserve">"podstoupit-001"</t>
  </si>
  <si>
    <t xml:space="preserve">ACT-&gt;ARG0/310,ARG1/33</t>
  </si>
  <si>
    <t xml:space="preserve">ACT-&gt;ARG0/45,ARG1/10</t>
  </si>
  <si>
    <t xml:space="preserve">PAT-&gt;ARG1/390,ARG2/37</t>
  </si>
  <si>
    <t xml:space="preserve">PAT-&gt;ARG1/48,ARG2/10</t>
  </si>
  <si>
    <t xml:space="preserve">"podstrojovat-001"</t>
  </si>
  <si>
    <t xml:space="preserve">"podstrčit-001"</t>
  </si>
  <si>
    <t xml:space="preserve">"podstupovat-001"</t>
  </si>
  <si>
    <t xml:space="preserve">ACT-&gt;ARG0/218,ARG1/33</t>
  </si>
  <si>
    <t xml:space="preserve">PAT-&gt;ARG1/241,ARG2/39</t>
  </si>
  <si>
    <t xml:space="preserve">"podtrhnout-001"</t>
  </si>
  <si>
    <t xml:space="preserve">PAT: 4; ↓že; :s; ↓c</t>
  </si>
  <si>
    <t xml:space="preserve">PAT-&gt;ARG1/112</t>
  </si>
  <si>
    <t xml:space="preserve">"podtrhnout-002"</t>
  </si>
  <si>
    <t xml:space="preserve">"podtrhovat-001"</t>
  </si>
  <si>
    <t xml:space="preserve">PAT-&gt;ARG1/22,ARG2/6</t>
  </si>
  <si>
    <t xml:space="preserve">"podtrhávat-001"</t>
  </si>
  <si>
    <t xml:space="preserve">"podtrhávat-002"</t>
  </si>
  <si>
    <t xml:space="preserve">"podupávat-001"</t>
  </si>
  <si>
    <t xml:space="preserve">"podupávat-si-001"</t>
  </si>
  <si>
    <t xml:space="preserve">"podvazovat-001"</t>
  </si>
  <si>
    <t xml:space="preserve">"podvolit-se-001"</t>
  </si>
  <si>
    <t xml:space="preserve">"podvolovat-se-001"</t>
  </si>
  <si>
    <t xml:space="preserve">"podvrhnout-001"</t>
  </si>
  <si>
    <t xml:space="preserve">"podvrhnout-002"</t>
  </si>
  <si>
    <t xml:space="preserve">"podvádět-001"</t>
  </si>
  <si>
    <t xml:space="preserve">"podvázat-001"</t>
  </si>
  <si>
    <t xml:space="preserve">"podvést-001"</t>
  </si>
  <si>
    <t xml:space="preserve">PAT-&gt;ARG1/10,ARG2/1</t>
  </si>
  <si>
    <t xml:space="preserve">"podvést-002"</t>
  </si>
  <si>
    <t xml:space="preserve">"podávat-001"</t>
  </si>
  <si>
    <t xml:space="preserve">"podávat-002"</t>
  </si>
  <si>
    <t xml:space="preserve">ACT-&gt;ARG0/4,ARG1/401</t>
  </si>
  <si>
    <t xml:space="preserve">"podávat-003"</t>
  </si>
  <si>
    <t xml:space="preserve">"podávat-004"</t>
  </si>
  <si>
    <t xml:space="preserve">"podávat-005"</t>
  </si>
  <si>
    <t xml:space="preserve">"podávat-006"</t>
  </si>
  <si>
    <t xml:space="preserve">"podávat-007"</t>
  </si>
  <si>
    <t xml:space="preserve">"podávat-008"</t>
  </si>
  <si>
    <t xml:space="preserve">ACT-&gt;ARG0/897,ARG1/2</t>
  </si>
  <si>
    <t xml:space="preserve">CPHR: {důkaz,hlášení,informace,nabídka,návod,návrh,odvolání,podnět,protest,příklad,stížnost,svědectví,výpověď,zpráva,žádost,žaloba,...}.4</t>
  </si>
  <si>
    <t xml:space="preserve">CPHR-&gt;ARG1/1133,ARG2/61,ARG3/1</t>
  </si>
  <si>
    <t xml:space="preserve">ADDR-&gt;ARG1/13,ARG2/216,ARG3/93</t>
  </si>
  <si>
    <t xml:space="preserve">ACT-&gt;ARG0/2638,ARG1/21</t>
  </si>
  <si>
    <t xml:space="preserve">CPHR-&gt;ARG0/1,ARG1/2906,ARG2/2,ARG3/1</t>
  </si>
  <si>
    <t xml:space="preserve">ADDR-&gt;ARG1/4,ARG2/37,ARG3/78</t>
  </si>
  <si>
    <t xml:space="preserve">ACT-&gt;ARG0/411</t>
  </si>
  <si>
    <t xml:space="preserve">CPHR-&gt;ARG1/480</t>
  </si>
  <si>
    <t xml:space="preserve">ADDR-&gt;ARG2/10,ARG3/1</t>
  </si>
  <si>
    <t xml:space="preserve">"podávat-009"</t>
  </si>
  <si>
    <t xml:space="preserve">CPHR: {důkaz,informace,návrh,protest,stížnost,zpráva,žádost,žaloba,...}.4</t>
  </si>
  <si>
    <t xml:space="preserve">CPHR-&gt;ARG1/63</t>
  </si>
  <si>
    <t xml:space="preserve">"podávat-010"</t>
  </si>
  <si>
    <t xml:space="preserve">ACT-&gt;ARG0/584,ARG1/1</t>
  </si>
  <si>
    <t xml:space="preserve">CPHR: {důkaz,informace,návrh,podnět,protest,stížnost,zpráva,žádost,žaloba,...}.4</t>
  </si>
  <si>
    <t xml:space="preserve">CPHR-&gt;ARG1/638</t>
  </si>
  <si>
    <t xml:space="preserve">DIR3-&gt;ARG2/9</t>
  </si>
  <si>
    <t xml:space="preserve">"podávat-011"</t>
  </si>
  <si>
    <t xml:space="preserve">"podávat-012"</t>
  </si>
  <si>
    <t xml:space="preserve">"podávat-013"</t>
  </si>
  <si>
    <t xml:space="preserve">"podílet-se-001"</t>
  </si>
  <si>
    <t xml:space="preserve">ACT-&gt;ARG0/2700,ARG1/3155,ARG2/376</t>
  </si>
  <si>
    <t xml:space="preserve">ACT-&gt;ARG0/1318,ARG1/170,ARG2/19,ARG3/1</t>
  </si>
  <si>
    <t xml:space="preserve">PAT-&gt;ARG1/453,ARG2/230,ARG3/1</t>
  </si>
  <si>
    <t xml:space="preserve">PAT-&gt;ARG0/2,ARG1/1255,ARG2/391,ARG3/2</t>
  </si>
  <si>
    <t xml:space="preserve">"podít-se-001"</t>
  </si>
  <si>
    <t xml:space="preserve">ACT-&gt;ARG1/358,ARG2/3</t>
  </si>
  <si>
    <t xml:space="preserve">"podívat-001"</t>
  </si>
  <si>
    <t xml:space="preserve">"podívat-se-001"</t>
  </si>
  <si>
    <t xml:space="preserve">"podívat-se-002"</t>
  </si>
  <si>
    <t xml:space="preserve">PAT-&gt;ARG1/76,ARG2/1</t>
  </si>
  <si>
    <t xml:space="preserve">"podívat-se-003"</t>
  </si>
  <si>
    <t xml:space="preserve">"podívat-se-004"</t>
  </si>
  <si>
    <t xml:space="preserve">DIR3-&gt;ARG1/75,ARG2/1</t>
  </si>
  <si>
    <t xml:space="preserve">"podívat-se-005"</t>
  </si>
  <si>
    <t xml:space="preserve">"podívat-se-006"</t>
  </si>
  <si>
    <t xml:space="preserve">"podívat-se-007"</t>
  </si>
  <si>
    <t xml:space="preserve">PAT: na+4; ↓zda; ↓jestli</t>
  </si>
  <si>
    <t xml:space="preserve">"podívat-se-008"</t>
  </si>
  <si>
    <t xml:space="preserve">"podědit-001"</t>
  </si>
  <si>
    <t xml:space="preserve">"poděkovat-001"</t>
  </si>
  <si>
    <t xml:space="preserve">?PAT: za+4; ↓že; ↓c</t>
  </si>
  <si>
    <t xml:space="preserve">"poděkovat-se-001"</t>
  </si>
  <si>
    <t xml:space="preserve">"podělit-001"</t>
  </si>
  <si>
    <t xml:space="preserve">"podělit-002"</t>
  </si>
  <si>
    <t xml:space="preserve">"podělit-se-001"</t>
  </si>
  <si>
    <t xml:space="preserve">ACT-&gt;ARG0/320,ARG1/2</t>
  </si>
  <si>
    <t xml:space="preserve">PAT-&gt;ARG1/431,ARG2/2,ARG3/1</t>
  </si>
  <si>
    <t xml:space="preserve">ADDR-&gt;ARG1/2,ARG2/20,ARG3/78</t>
  </si>
  <si>
    <t xml:space="preserve">"poděsit-001"</t>
  </si>
  <si>
    <t xml:space="preserve">"podřadit-001"</t>
  </si>
  <si>
    <t xml:space="preserve">"podřezat-001"</t>
  </si>
  <si>
    <t xml:space="preserve">"podřezat-002"</t>
  </si>
  <si>
    <t xml:space="preserve">DPHR: se.3$2&lt;7&gt;,pod-1[se.7$2&lt;6&gt;],větev.S4</t>
  </si>
  <si>
    <t xml:space="preserve">"podřezávat-001"</t>
  </si>
  <si>
    <t xml:space="preserve">"podřimovat-001"</t>
  </si>
  <si>
    <t xml:space="preserve">"podřizovat-001"</t>
  </si>
  <si>
    <t xml:space="preserve">"podřizovat-se-001"</t>
  </si>
  <si>
    <t xml:space="preserve">"podřídit-001"</t>
  </si>
  <si>
    <t xml:space="preserve">ACT-&gt;ARG0/240</t>
  </si>
  <si>
    <t xml:space="preserve">PAT-&gt;ARG0/9,ARG1/352,ARG2/1</t>
  </si>
  <si>
    <t xml:space="preserve">ADDR-&gt;ARG0/19,ARG1/4,ARG2/328</t>
  </si>
  <si>
    <t xml:space="preserve">"podřídit-se-001"</t>
  </si>
  <si>
    <t xml:space="preserve">"podříznout-001"</t>
  </si>
  <si>
    <t xml:space="preserve">"poflakovat-se-001"</t>
  </si>
  <si>
    <t xml:space="preserve">"pofoukat-001"</t>
  </si>
  <si>
    <t xml:space="preserve">"pogratulovat-001"</t>
  </si>
  <si>
    <t xml:space="preserve">"pohasnout-001"</t>
  </si>
  <si>
    <t xml:space="preserve">ACT-&gt;ARG0/14,ARG1/895,ARG2/4</t>
  </si>
  <si>
    <t xml:space="preserve">"pohladit-001"</t>
  </si>
  <si>
    <t xml:space="preserve">"pohladit-si-001"</t>
  </si>
  <si>
    <t xml:space="preserve">"pohlcovat-001"</t>
  </si>
  <si>
    <t xml:space="preserve">"pohledávat-001"</t>
  </si>
  <si>
    <t xml:space="preserve">"pohltit-001"</t>
  </si>
  <si>
    <t xml:space="preserve">ACT-&gt;ARG0/353,ARG1/1</t>
  </si>
  <si>
    <t xml:space="preserve">PAT-&gt;ARG0/1,ARG1/55</t>
  </si>
  <si>
    <t xml:space="preserve">PAT-&gt;ARG1/679,ARG2/1</t>
  </si>
  <si>
    <t xml:space="preserve">"pohlédnout-001"</t>
  </si>
  <si>
    <t xml:space="preserve">"pohlédnout-002"</t>
  </si>
  <si>
    <t xml:space="preserve">"pohlídat-001"</t>
  </si>
  <si>
    <t xml:space="preserve">"pohlížet-001"</t>
  </si>
  <si>
    <t xml:space="preserve">ACT-&gt;ARG0/150,ARG1/1,ARG2/1</t>
  </si>
  <si>
    <t xml:space="preserve">EFF: na-1[.4[{jako,jakožto}:/AuxY]]; na-1[.a4[{jako,jakožto}:/AuxY]]</t>
  </si>
  <si>
    <t xml:space="preserve">EFF-&gt;ARG1/27,ARG2/110</t>
  </si>
  <si>
    <t xml:space="preserve">"pohlížet-002"</t>
  </si>
  <si>
    <t xml:space="preserve">ACT-&gt;ARG0/342,ARG1/25</t>
  </si>
  <si>
    <t xml:space="preserve">PAT-&gt;ARG1/219,ARG2/1</t>
  </si>
  <si>
    <t xml:space="preserve">MANN-&gt;ARG1/251,ARG2/127</t>
  </si>
  <si>
    <t xml:space="preserve">"pohlížet-003"</t>
  </si>
  <si>
    <t xml:space="preserve">"pohnat-001"</t>
  </si>
  <si>
    <t xml:space="preserve">DIR3-&gt;ARG1/1,ARG2/3</t>
  </si>
  <si>
    <t xml:space="preserve">"pohnat-002"</t>
  </si>
  <si>
    <t xml:space="preserve">"pohnout-001"</t>
  </si>
  <si>
    <t xml:space="preserve">ACT-&gt;ARG0/57,ARG1/1,ARG2/4</t>
  </si>
  <si>
    <t xml:space="preserve">PAT-&gt;ARG1/111</t>
  </si>
  <si>
    <t xml:space="preserve">"pohnout-se-001"</t>
  </si>
  <si>
    <t xml:space="preserve">ACT-&gt;ARG0/22,ARG1/109</t>
  </si>
  <si>
    <t xml:space="preserve">"pohodit-001"</t>
  </si>
  <si>
    <t xml:space="preserve">"pohodnout-se-001"</t>
  </si>
  <si>
    <t xml:space="preserve">"pohoršit-001"</t>
  </si>
  <si>
    <t xml:space="preserve">"pohoršit-002"</t>
  </si>
  <si>
    <t xml:space="preserve">"pohoršit-si-001"</t>
  </si>
  <si>
    <t xml:space="preserve">"pohoršit-si-002"</t>
  </si>
  <si>
    <t xml:space="preserve">"pohostit-001"</t>
  </si>
  <si>
    <t xml:space="preserve">"pohovořit-001"</t>
  </si>
  <si>
    <t xml:space="preserve">?ADDR: k+3</t>
  </si>
  <si>
    <t xml:space="preserve">"pohovořit-002"</t>
  </si>
  <si>
    <t xml:space="preserve">"pohořet-001"</t>
  </si>
  <si>
    <t xml:space="preserve">"pohořet-002"</t>
  </si>
  <si>
    <t xml:space="preserve">"pohrabovat-001"</t>
  </si>
  <si>
    <t xml:space="preserve">"pohrdat-001"</t>
  </si>
  <si>
    <t xml:space="preserve">"pohrdnout-001"</t>
  </si>
  <si>
    <t xml:space="preserve">"pohroužit-se-001"</t>
  </si>
  <si>
    <t xml:space="preserve">PAT: do+2; v+4</t>
  </si>
  <si>
    <t xml:space="preserve">"pohrozit-001"</t>
  </si>
  <si>
    <t xml:space="preserve">PAT: 7; ↓že; .s; ↓c</t>
  </si>
  <si>
    <t xml:space="preserve">PAT-&gt;ARG1/48,ARG2/8</t>
  </si>
  <si>
    <t xml:space="preserve">"pohrát-si-001"</t>
  </si>
  <si>
    <t xml:space="preserve">"pohrávat-si-001"</t>
  </si>
  <si>
    <t xml:space="preserve">"pohupovat-001"</t>
  </si>
  <si>
    <t xml:space="preserve">"pohupovat-se-001"</t>
  </si>
  <si>
    <t xml:space="preserve">"pohvizdovat-si-001"</t>
  </si>
  <si>
    <t xml:space="preserve">?PAT: 4; .s</t>
  </si>
  <si>
    <t xml:space="preserve">"pohybovat-001"</t>
  </si>
  <si>
    <t xml:space="preserve">"pohybovat-se-001"</t>
  </si>
  <si>
    <t xml:space="preserve">ACT-&gt;ARG0/293,ARG1/3611,ARG2/300</t>
  </si>
  <si>
    <t xml:space="preserve">LOC-&gt;ARG1/462,ARG2/3793,ARG3/9</t>
  </si>
  <si>
    <t xml:space="preserve">LOC-&gt;ARG1/2,ARG2/305,ARG4/163</t>
  </si>
  <si>
    <t xml:space="preserve">"pohybovat-se-002"</t>
  </si>
  <si>
    <t xml:space="preserve">ACT-&gt;ARG0/20,ARG1/280,ARG2/3</t>
  </si>
  <si>
    <t xml:space="preserve">ACT-&gt;ARG0/74,ARG1/64</t>
  </si>
  <si>
    <t xml:space="preserve">LOC-&gt;ARG1/2,ARG2/279</t>
  </si>
  <si>
    <t xml:space="preserve">"pohybovat-se-003"</t>
  </si>
  <si>
    <t xml:space="preserve">ACT-&gt;ARG0/27,ARG1/205</t>
  </si>
  <si>
    <t xml:space="preserve">"pohybovat-se-004"</t>
  </si>
  <si>
    <t xml:space="preserve">ACT-&gt;ARG0/3,ARG1/37</t>
  </si>
  <si>
    <t xml:space="preserve">"pohádat-se-001"</t>
  </si>
  <si>
    <t xml:space="preserve">"pohánět-001"</t>
  </si>
  <si>
    <t xml:space="preserve">ACT-&gt;ARG0/25,ARG2/64</t>
  </si>
  <si>
    <t xml:space="preserve">"pohánět-002"</t>
  </si>
  <si>
    <t xml:space="preserve">ACT-&gt;ARG0/19,ARG2/33</t>
  </si>
  <si>
    <t xml:space="preserve">PAT-&gt;ARG1/32,ARG2/5</t>
  </si>
  <si>
    <t xml:space="preserve">PAT-&gt;ARG1/31,ARG2/5</t>
  </si>
  <si>
    <t xml:space="preserve">"pohřbít-001"</t>
  </si>
  <si>
    <t xml:space="preserve">"pohřbít-002"</t>
  </si>
  <si>
    <t xml:space="preserve">"pohřbívat-001"</t>
  </si>
  <si>
    <t xml:space="preserve">"pohřešovat-001"</t>
  </si>
  <si>
    <t xml:space="preserve">"pojednat-001"</t>
  </si>
  <si>
    <t xml:space="preserve">"pojednat-002"</t>
  </si>
  <si>
    <t xml:space="preserve">"pojednat-003"</t>
  </si>
  <si>
    <t xml:space="preserve">"pojednat-004"</t>
  </si>
  <si>
    <t xml:space="preserve">"pojednávat-001"</t>
  </si>
  <si>
    <t xml:space="preserve">"pojistit-001"</t>
  </si>
  <si>
    <t xml:space="preserve">ACT-&gt;ARG0/29,ARG1/1,ARG2/53</t>
  </si>
  <si>
    <t xml:space="preserve">"pojit-001"</t>
  </si>
  <si>
    <t xml:space="preserve">"pojit-002"</t>
  </si>
  <si>
    <t xml:space="preserve">"pojit-se-001"</t>
  </si>
  <si>
    <t xml:space="preserve">EFF-&gt;ARG1/5,ARG2/3,ARG3/2</t>
  </si>
  <si>
    <t xml:space="preserve">"pojišťovat-001"</t>
  </si>
  <si>
    <t xml:space="preserve">"pojmenovat-001"</t>
  </si>
  <si>
    <t xml:space="preserve">?EFF: 1; 7; na+4</t>
  </si>
  <si>
    <t xml:space="preserve">ACT-&gt;ARG0/33,ARG1/1</t>
  </si>
  <si>
    <t xml:space="preserve">PAT-&gt;ARG1/253,ARG2/2</t>
  </si>
  <si>
    <t xml:space="preserve">EFF-&gt;ARG2/240</t>
  </si>
  <si>
    <t xml:space="preserve">"pojmenovat-002"</t>
  </si>
  <si>
    <t xml:space="preserve">PAT-&gt;ARG1/43,ARG2/5</t>
  </si>
  <si>
    <t xml:space="preserve">"pojmenovat-003"</t>
  </si>
  <si>
    <t xml:space="preserve">"pojmenovávat-001"</t>
  </si>
  <si>
    <t xml:space="preserve">"pojmenovávat-002"</t>
  </si>
  <si>
    <t xml:space="preserve">"pojmenovávat-003"</t>
  </si>
  <si>
    <t xml:space="preserve">"pojmout-001"</t>
  </si>
  <si>
    <t xml:space="preserve">"pojmout-002"</t>
  </si>
  <si>
    <t xml:space="preserve">ACT-&gt;ARG0/58,ARG1/1,ARG2/1</t>
  </si>
  <si>
    <t xml:space="preserve">"pojmout-003"</t>
  </si>
  <si>
    <t xml:space="preserve">"pojmout-004"</t>
  </si>
  <si>
    <t xml:space="preserve">CPHR-&gt;ARG2/32</t>
  </si>
  <si>
    <t xml:space="preserve">"pojídat-001"</t>
  </si>
  <si>
    <t xml:space="preserve">"pojídat-se-001"</t>
  </si>
  <si>
    <t xml:space="preserve">"pojímat-001"</t>
  </si>
  <si>
    <t xml:space="preserve">"pojímat-002"</t>
  </si>
  <si>
    <t xml:space="preserve">"pojímat-003"</t>
  </si>
  <si>
    <t xml:space="preserve">"pojíst-001"</t>
  </si>
  <si>
    <t xml:space="preserve">"pojíst-si-001"</t>
  </si>
  <si>
    <t xml:space="preserve">"pojít-001"</t>
  </si>
  <si>
    <t xml:space="preserve">"pokazit-001"</t>
  </si>
  <si>
    <t xml:space="preserve">"pokazit-se-001"</t>
  </si>
  <si>
    <t xml:space="preserve">ACT-&gt;ARG1/53</t>
  </si>
  <si>
    <t xml:space="preserve">"pokašlávat-001"</t>
  </si>
  <si>
    <t xml:space="preserve">"pokecat-001"</t>
  </si>
  <si>
    <t xml:space="preserve">"pokleknout-001"</t>
  </si>
  <si>
    <t xml:space="preserve">"poklepat-001"</t>
  </si>
  <si>
    <t xml:space="preserve">"poklesnout-001"</t>
  </si>
  <si>
    <t xml:space="preserve">ACT-&gt;ARG0/9,ARG1/1611,ARG2/5</t>
  </si>
  <si>
    <t xml:space="preserve">PAT-&gt;ARG1/15,ARG2/29,ARG4/893,ARGm-LOC/2</t>
  </si>
  <si>
    <t xml:space="preserve">ORIG-&gt;ARG2/8,ARG3/276,ARG4/5,ARGm-LOC/1</t>
  </si>
  <si>
    <t xml:space="preserve">"poklesnout-002"</t>
  </si>
  <si>
    <t xml:space="preserve">"poklidit-001"</t>
  </si>
  <si>
    <t xml:space="preserve">"poklonit-se-001"</t>
  </si>
  <si>
    <t xml:space="preserve">"poklonit-se-002"</t>
  </si>
  <si>
    <t xml:space="preserve">"pokládat-001"</t>
  </si>
  <si>
    <t xml:space="preserve">"pokládat-002"</t>
  </si>
  <si>
    <t xml:space="preserve">ACT-&gt;ARG0/456,ARG1/4,ARG2/1</t>
  </si>
  <si>
    <t xml:space="preserve">PAT: 4; .f; ↓když; ↓že; ↓aby</t>
  </si>
  <si>
    <t xml:space="preserve">PAT-&gt;ARG1/203,ARG2/2</t>
  </si>
  <si>
    <t xml:space="preserve">EFF: za+4; za-1[.a]</t>
  </si>
  <si>
    <t xml:space="preserve">EFF-&gt;ARG1/405,ARG2/99</t>
  </si>
  <si>
    <t xml:space="preserve">"pokládat-003"</t>
  </si>
  <si>
    <t xml:space="preserve">"pokládat-004"</t>
  </si>
  <si>
    <t xml:space="preserve">"pokládat-005"</t>
  </si>
  <si>
    <t xml:space="preserve">"pokládat-006"</t>
  </si>
  <si>
    <t xml:space="preserve">"pokládat-se-001"</t>
  </si>
  <si>
    <t xml:space="preserve">"pokmínovat-001"</t>
  </si>
  <si>
    <t xml:space="preserve">"pokoupit-001"</t>
  </si>
  <si>
    <t xml:space="preserve">"pokousat-001"</t>
  </si>
  <si>
    <t xml:space="preserve">"pokoušet-001"</t>
  </si>
  <si>
    <t xml:space="preserve">"pokoušet-002"</t>
  </si>
  <si>
    <t xml:space="preserve">PAT-&gt;ARG1/3,ARG3/1</t>
  </si>
  <si>
    <t xml:space="preserve">"pokoušet-se-001"</t>
  </si>
  <si>
    <t xml:space="preserve">ACT-&gt;ARG0/414,ARG1/1</t>
  </si>
  <si>
    <t xml:space="preserve">PAT: o+4; .f; ↓aby</t>
  </si>
  <si>
    <t xml:space="preserve">PAT-&gt;ARG1/547</t>
  </si>
  <si>
    <t xml:space="preserve">"pokořit-001"</t>
  </si>
  <si>
    <t xml:space="preserve">"pokořit-002"</t>
  </si>
  <si>
    <t xml:space="preserve">"pokořit-se-001"</t>
  </si>
  <si>
    <t xml:space="preserve">ACT-&gt;ARG0/4,ARG1/9</t>
  </si>
  <si>
    <t xml:space="preserve">"pokračovat-001"</t>
  </si>
  <si>
    <t xml:space="preserve">PAT: v+6; s+7; na+6; 4; ↓c</t>
  </si>
  <si>
    <t xml:space="preserve">ACT-&gt;ARG0/428,ARG1/586,ARG2/5</t>
  </si>
  <si>
    <t xml:space="preserve">PAT-&gt;ARG1/577,ARG2/7</t>
  </si>
  <si>
    <t xml:space="preserve">ACT-&gt;ARG0/762,ARG1/54,ARG2/18,ARG3/1</t>
  </si>
  <si>
    <t xml:space="preserve">PAT-&gt;ARG0/1,ARG1/975,ARG2/60,ARG3/1</t>
  </si>
  <si>
    <t xml:space="preserve">"pokračovat-002"</t>
  </si>
  <si>
    <t xml:space="preserve">ACT-&gt;ARG0/5,ARG1/7</t>
  </si>
  <si>
    <t xml:space="preserve">EFF: .s; ↓že; ↓c</t>
  </si>
  <si>
    <t xml:space="preserve">EFF-&gt;ARG1/4</t>
  </si>
  <si>
    <t xml:space="preserve">"pokračovat-003"</t>
  </si>
  <si>
    <t xml:space="preserve">"pokračovat-004"</t>
  </si>
  <si>
    <t xml:space="preserve">ACT-&gt;ARG0/70,ARG1/602</t>
  </si>
  <si>
    <t xml:space="preserve">"pokropit-001"</t>
  </si>
  <si>
    <t xml:space="preserve">"pokročit-001"</t>
  </si>
  <si>
    <t xml:space="preserve">PAT-&gt;ARG4/70</t>
  </si>
  <si>
    <t xml:space="preserve">"pokročit-002"</t>
  </si>
  <si>
    <t xml:space="preserve">ACT-&gt;ARG0/90,ARG1/67</t>
  </si>
  <si>
    <t xml:space="preserve">"--pokročit-003"</t>
  </si>
  <si>
    <t xml:space="preserve">"pokrýt-001"</t>
  </si>
  <si>
    <t xml:space="preserve">ACT-&gt;ARG0/106,ARG2/49</t>
  </si>
  <si>
    <t xml:space="preserve">PAT-&gt;ARG1/276,ARG2/1</t>
  </si>
  <si>
    <t xml:space="preserve">"pokrýt-002"</t>
  </si>
  <si>
    <t xml:space="preserve">ACT-&gt;ARG0/71,ARG2/51</t>
  </si>
  <si>
    <t xml:space="preserve">PAT-&gt;ARG1/304,ARG2/1</t>
  </si>
  <si>
    <t xml:space="preserve">"pokrýt-003"</t>
  </si>
  <si>
    <t xml:space="preserve">ACT-&gt;ARG0/1,ARG2/4</t>
  </si>
  <si>
    <t xml:space="preserve">"pokrýt-004"</t>
  </si>
  <si>
    <t xml:space="preserve">"pokrývat-001"</t>
  </si>
  <si>
    <t xml:space="preserve">ACT-&gt;ARG0/14,ARG2/49</t>
  </si>
  <si>
    <t xml:space="preserve">PAT-&gt;ARG1/145,ARG2/1</t>
  </si>
  <si>
    <t xml:space="preserve">"pokrývat-002"</t>
  </si>
  <si>
    <t xml:space="preserve">"pokrývat-003"</t>
  </si>
  <si>
    <t xml:space="preserve">ACT-&gt;ARG0/2229,ARG1/3121,ARG2/345</t>
  </si>
  <si>
    <t xml:space="preserve">PAT-&gt;ARG0/1,ARG1/2678,ARG2/3452</t>
  </si>
  <si>
    <t xml:space="preserve">"pokrývat-004"</t>
  </si>
  <si>
    <t xml:space="preserve">"pokrčit-001"</t>
  </si>
  <si>
    <t xml:space="preserve">"pokrčit-002"</t>
  </si>
  <si>
    <t xml:space="preserve">DPHR: rameno.P7</t>
  </si>
  <si>
    <t xml:space="preserve">"pokulhávat-001"</t>
  </si>
  <si>
    <t xml:space="preserve">"pokulhávat-002"</t>
  </si>
  <si>
    <t xml:space="preserve">"pokulhávat-003"</t>
  </si>
  <si>
    <t xml:space="preserve">"pokusit-se-001"</t>
  </si>
  <si>
    <t xml:space="preserve">ACT-&gt;ARG0/993,ARG1/2,ARG2/1</t>
  </si>
  <si>
    <t xml:space="preserve">PAT-&gt;ARG1/1360,ARG2/4,ARG3/1</t>
  </si>
  <si>
    <t xml:space="preserve">"pokutovat-001"</t>
  </si>
  <si>
    <t xml:space="preserve">"pokvasit-001"</t>
  </si>
  <si>
    <t xml:space="preserve">"pokydat-001"</t>
  </si>
  <si>
    <t xml:space="preserve">"pokynout-001"</t>
  </si>
  <si>
    <t xml:space="preserve">"pokácet-001"</t>
  </si>
  <si>
    <t xml:space="preserve">"pokálet-001"</t>
  </si>
  <si>
    <t xml:space="preserve">"pokárat-001"</t>
  </si>
  <si>
    <t xml:space="preserve">"pokývnout-001"</t>
  </si>
  <si>
    <t xml:space="preserve">"pokřikovat-001"</t>
  </si>
  <si>
    <t xml:space="preserve">"pokřtít-001"</t>
  </si>
  <si>
    <t xml:space="preserve">?EFF: 1; 7</t>
  </si>
  <si>
    <t xml:space="preserve">"polapit-001"</t>
  </si>
  <si>
    <t xml:space="preserve">"polarizovat-001"</t>
  </si>
  <si>
    <t xml:space="preserve">"polechtat-001"</t>
  </si>
  <si>
    <t xml:space="preserve">"polehávat-001"</t>
  </si>
  <si>
    <t xml:space="preserve">"polekat-se-001"</t>
  </si>
  <si>
    <t xml:space="preserve">ACT-&gt;ARG0/1,ARG1/3,ARG2/3</t>
  </si>
  <si>
    <t xml:space="preserve">PAT-&gt;ARG0/20,ARG2/5</t>
  </si>
  <si>
    <t xml:space="preserve">"polemizovat-001"</t>
  </si>
  <si>
    <t xml:space="preserve">PAT: o+6; .s; ↓c</t>
  </si>
  <si>
    <t xml:space="preserve">"polemizovat-002"</t>
  </si>
  <si>
    <t xml:space="preserve">PAT-&gt;ARG1/1,ARG2/13</t>
  </si>
  <si>
    <t xml:space="preserve">"polepit-001"</t>
  </si>
  <si>
    <t xml:space="preserve">"poleptat-001"</t>
  </si>
  <si>
    <t xml:space="preserve">"polepšit-si-001"</t>
  </si>
  <si>
    <t xml:space="preserve">"poletovat-001"</t>
  </si>
  <si>
    <t xml:space="preserve">"poletovat-si-001"</t>
  </si>
  <si>
    <t xml:space="preserve">"polevit-001"</t>
  </si>
  <si>
    <t xml:space="preserve">"polevit-002"</t>
  </si>
  <si>
    <t xml:space="preserve">"polevit-003"</t>
  </si>
  <si>
    <t xml:space="preserve">PAT-&gt;ARG4/23</t>
  </si>
  <si>
    <t xml:space="preserve">"polevovat-001"</t>
  </si>
  <si>
    <t xml:space="preserve">ACT-&gt;ARG1/36</t>
  </si>
  <si>
    <t xml:space="preserve">"polichotit-001"</t>
  </si>
  <si>
    <t xml:space="preserve">"politizovat-001"</t>
  </si>
  <si>
    <t xml:space="preserve">"politovat-001"</t>
  </si>
  <si>
    <t xml:space="preserve">"pololhát-001"</t>
  </si>
  <si>
    <t xml:space="preserve">"položit-001"</t>
  </si>
  <si>
    <t xml:space="preserve">"položit-002"</t>
  </si>
  <si>
    <t xml:space="preserve">LOC-&gt;ARG2/27</t>
  </si>
  <si>
    <t xml:space="preserve">"položit-003"</t>
  </si>
  <si>
    <t xml:space="preserve">"položit-004"</t>
  </si>
  <si>
    <t xml:space="preserve">"položit-005"</t>
  </si>
  <si>
    <t xml:space="preserve">"položit-006"</t>
  </si>
  <si>
    <t xml:space="preserve">"položit-007"</t>
  </si>
  <si>
    <t xml:space="preserve">ACT-&gt;ARG0/97</t>
  </si>
  <si>
    <t xml:space="preserve">CPHR-&gt;ARG1/157</t>
  </si>
  <si>
    <t xml:space="preserve">"položit-008"</t>
  </si>
  <si>
    <t xml:space="preserve">CPHR: {důraz,důraz,...}.4</t>
  </si>
  <si>
    <t xml:space="preserve">"položit-009"</t>
  </si>
  <si>
    <t xml:space="preserve">DPHR: na-1[lopatka.P4]</t>
  </si>
  <si>
    <t xml:space="preserve">DPHR-&gt;ARG0/1,ARG1/65</t>
  </si>
  <si>
    <t xml:space="preserve">"položit-010"</t>
  </si>
  <si>
    <t xml:space="preserve">DPHR: život.4</t>
  </si>
  <si>
    <t xml:space="preserve">"položit-011"</t>
  </si>
  <si>
    <t xml:space="preserve">"položit-012"</t>
  </si>
  <si>
    <t xml:space="preserve">"položit-se-001"</t>
  </si>
  <si>
    <t xml:space="preserve">"položit-se-002"</t>
  </si>
  <si>
    <t xml:space="preserve">"polykat-001"</t>
  </si>
  <si>
    <t xml:space="preserve">"polykat-002"</t>
  </si>
  <si>
    <t xml:space="preserve">"polámat-001"</t>
  </si>
  <si>
    <t xml:space="preserve">"polévat-001"</t>
  </si>
  <si>
    <t xml:space="preserve">"polévat-002"</t>
  </si>
  <si>
    <t xml:space="preserve">"políbit-001"</t>
  </si>
  <si>
    <t xml:space="preserve">"polít-001"</t>
  </si>
  <si>
    <t xml:space="preserve">"políčit-001"</t>
  </si>
  <si>
    <t xml:space="preserve">"pomalovat-001"</t>
  </si>
  <si>
    <t xml:space="preserve">"pomazlit-001"</t>
  </si>
  <si>
    <t xml:space="preserve">"pomazávat-001"</t>
  </si>
  <si>
    <t xml:space="preserve">"pomačkat-001"</t>
  </si>
  <si>
    <t xml:space="preserve">"pomilovat-se-001"</t>
  </si>
  <si>
    <t xml:space="preserve">"pominout-001"</t>
  </si>
  <si>
    <t xml:space="preserve">ACT-&gt;ARG0/40,ARG1/1</t>
  </si>
  <si>
    <t xml:space="preserve">"pominout-002"</t>
  </si>
  <si>
    <t xml:space="preserve">"pomlouvat-001"</t>
  </si>
  <si>
    <t xml:space="preserve">"pomluvit-001"</t>
  </si>
  <si>
    <t xml:space="preserve">"pomoci-001"</t>
  </si>
  <si>
    <t xml:space="preserve">"pomoci-002"</t>
  </si>
  <si>
    <t xml:space="preserve">?PAT: 4; s+7; .f; v+6</t>
  </si>
  <si>
    <t xml:space="preserve">ACT-&gt;ARG0/458,ARG1/8</t>
  </si>
  <si>
    <t xml:space="preserve">ADDR-&gt;ARG1/252,ARG2/62</t>
  </si>
  <si>
    <t xml:space="preserve">PAT-&gt;ARG0/1,ARG1/372,ARG2/20</t>
  </si>
  <si>
    <t xml:space="preserve">"pomoci-003"</t>
  </si>
  <si>
    <t xml:space="preserve">ACT: 1; ↓když; ↓kdyby; ↓že</t>
  </si>
  <si>
    <t xml:space="preserve">?PAT: do+2; k+3; od+2; .f; ↓aby; z+2</t>
  </si>
  <si>
    <t xml:space="preserve">PAT-&gt;ARG0/1,ARG1/381</t>
  </si>
  <si>
    <t xml:space="preserve">"pomoci-004"</t>
  </si>
  <si>
    <t xml:space="preserve">DPHR: na-1[noha:P4[vlastní-1.#]]</t>
  </si>
  <si>
    <t xml:space="preserve">"pomoci-005"</t>
  </si>
  <si>
    <t xml:space="preserve">PAT-&gt;ARG1/113,ARG2/57</t>
  </si>
  <si>
    <t xml:space="preserve">"pomoci-si-001"</t>
  </si>
  <si>
    <t xml:space="preserve">"pomodlit-se-001"</t>
  </si>
  <si>
    <t xml:space="preserve">"pomočit-se-001"</t>
  </si>
  <si>
    <t xml:space="preserve">"pomrznout-001"</t>
  </si>
  <si>
    <t xml:space="preserve">"pomstít-001"</t>
  </si>
  <si>
    <t xml:space="preserve">"pomstít-se-001"</t>
  </si>
  <si>
    <t xml:space="preserve">"pomuchlat-001"</t>
  </si>
  <si>
    <t xml:space="preserve">"pomyslet-001"</t>
  </si>
  <si>
    <t xml:space="preserve">PAT-&gt;ARG1/6,ARG2/46</t>
  </si>
  <si>
    <t xml:space="preserve">"pomyslet-002"</t>
  </si>
  <si>
    <t xml:space="preserve">EFF: 4; ↓že; ↓c; .s</t>
  </si>
  <si>
    <t xml:space="preserve">"pomyslet-si-001"</t>
  </si>
  <si>
    <t xml:space="preserve">EFF-&gt;ARG1/465,ARG2/1</t>
  </si>
  <si>
    <t xml:space="preserve">"pomyslit-001"</t>
  </si>
  <si>
    <t xml:space="preserve">PAT-&gt;ARG1/1,ARG2/36</t>
  </si>
  <si>
    <t xml:space="preserve">"pomyslit-si-001"</t>
  </si>
  <si>
    <t xml:space="preserve">"pomáhat-001"</t>
  </si>
  <si>
    <t xml:space="preserve">"pomáhat-002"</t>
  </si>
  <si>
    <t xml:space="preserve">?PAT: k+3; do+2; od+2; .f</t>
  </si>
  <si>
    <t xml:space="preserve">ACT-&gt;ARG0/321,ARG1/3105,ARG2/296</t>
  </si>
  <si>
    <t xml:space="preserve">"pomáhat-003"</t>
  </si>
  <si>
    <t xml:space="preserve">ACT-&gt;ARG0/535,ARG1/5,ARG3/1</t>
  </si>
  <si>
    <t xml:space="preserve">ADDR-&gt;ARG1/189,ARG2/67</t>
  </si>
  <si>
    <t xml:space="preserve">?PAT: 4; .f; s+7; v+6; při+6</t>
  </si>
  <si>
    <t xml:space="preserve">PAT-&gt;ARG0/1,ARG1/361,ARG2/23</t>
  </si>
  <si>
    <t xml:space="preserve">"--pomáhat-si-001"</t>
  </si>
  <si>
    <t xml:space="preserve">?PAT: s+7; v+6</t>
  </si>
  <si>
    <t xml:space="preserve">"pomíjet-001"</t>
  </si>
  <si>
    <t xml:space="preserve">"pomíjet-002"</t>
  </si>
  <si>
    <t xml:space="preserve">"pomýšlet-001"</t>
  </si>
  <si>
    <t xml:space="preserve">ACT-&gt;ARG0/400</t>
  </si>
  <si>
    <t xml:space="preserve">PAT-&gt;ARG1/368,ARG2/46</t>
  </si>
  <si>
    <t xml:space="preserve">"poměřit-001"</t>
  </si>
  <si>
    <t xml:space="preserve">"poměřit-002"</t>
  </si>
  <si>
    <t xml:space="preserve">"poměřovat-001"</t>
  </si>
  <si>
    <t xml:space="preserve">ACT-&gt;ARG0/5,ARG2/16</t>
  </si>
  <si>
    <t xml:space="preserve">"poměřovat-002"</t>
  </si>
  <si>
    <t xml:space="preserve">"ponaučit-001"</t>
  </si>
  <si>
    <t xml:space="preserve">PAT: o+6; ↓že; ↓aby; ↓ať; .s; ↓c</t>
  </si>
  <si>
    <t xml:space="preserve">"ponechat-001"</t>
  </si>
  <si>
    <t xml:space="preserve">PAT: 4; ↓aby; ↓c</t>
  </si>
  <si>
    <t xml:space="preserve">ADDR-&gt;ARG0/10,ARG1/4,ARG2/21</t>
  </si>
  <si>
    <t xml:space="preserve">"ponechat-002"</t>
  </si>
  <si>
    <t xml:space="preserve">ACT-&gt;ARG0/380,ARG1/3</t>
  </si>
  <si>
    <t xml:space="preserve">ACT-&gt;ARG0/150</t>
  </si>
  <si>
    <t xml:space="preserve">PAT-&gt;ARG1/428,ARG2/47</t>
  </si>
  <si>
    <t xml:space="preserve">ADDR-&gt;ARG1/79,ARG2/17</t>
  </si>
  <si>
    <t xml:space="preserve">ADDR-&gt;ARG0/108,ARG1/1,ARG2/21</t>
  </si>
  <si>
    <t xml:space="preserve">ADDR-&gt;ARG0/108,ARG1/1,ARG2/19</t>
  </si>
  <si>
    <t xml:space="preserve">"ponechat-003"</t>
  </si>
  <si>
    <t xml:space="preserve">"ponechat-004"</t>
  </si>
  <si>
    <t xml:space="preserve">ACT-&gt;ARG0/99</t>
  </si>
  <si>
    <t xml:space="preserve">PAT-&gt;ARG0/2,ARG1/168</t>
  </si>
  <si>
    <t xml:space="preserve">EFF-&gt;ARG1/197</t>
  </si>
  <si>
    <t xml:space="preserve">ACT-&gt;ARG0/204</t>
  </si>
  <si>
    <t xml:space="preserve">PAT-&gt;ARG0/2,ARG1/311,ARG2/3</t>
  </si>
  <si>
    <t xml:space="preserve">EFF-&gt;ARG1/200,ARG2/46</t>
  </si>
  <si>
    <t xml:space="preserve">ACT-&gt;ARG0/271</t>
  </si>
  <si>
    <t xml:space="preserve">PAT-&gt;ARG1/52,ARG2/312</t>
  </si>
  <si>
    <t xml:space="preserve">"ponechat-005"</t>
  </si>
  <si>
    <t xml:space="preserve">PAT: 4; ↓zda</t>
  </si>
  <si>
    <t xml:space="preserve">PAT-&gt;ARG1/157,ARG2/3</t>
  </si>
  <si>
    <t xml:space="preserve">LOC-&gt;ARG1/6,ARG2/77</t>
  </si>
  <si>
    <t xml:space="preserve">"ponechat-006"</t>
  </si>
  <si>
    <t xml:space="preserve">ACT-&gt;ARG0/59,ARG1/1</t>
  </si>
  <si>
    <t xml:space="preserve">"ponechat-007"</t>
  </si>
  <si>
    <t xml:space="preserve">"ponechat-008"</t>
  </si>
  <si>
    <t xml:space="preserve">DPHR: napospas; na-1[pospas.S4]</t>
  </si>
  <si>
    <t xml:space="preserve">"ponechat-009"</t>
  </si>
  <si>
    <t xml:space="preserve">EFF: 4[{jako,jakožto}:/AuxY]</t>
  </si>
  <si>
    <t xml:space="preserve">"ponechávat-001"</t>
  </si>
  <si>
    <t xml:space="preserve">PAT: 4; ↓aby; ↓zda; ↓jestli; ↓c</t>
  </si>
  <si>
    <t xml:space="preserve">"ponechávat-002"</t>
  </si>
  <si>
    <t xml:space="preserve">ADDR-&gt;ARG0/9,ARG1/5,ARG2/13</t>
  </si>
  <si>
    <t xml:space="preserve">"ponechávat-003"</t>
  </si>
  <si>
    <t xml:space="preserve">EFF: .a; .f</t>
  </si>
  <si>
    <t xml:space="preserve">"ponechávat-004"</t>
  </si>
  <si>
    <t xml:space="preserve">LOC-&gt;ARG2/4</t>
  </si>
  <si>
    <t xml:space="preserve">"ponechávat-005"</t>
  </si>
  <si>
    <t xml:space="preserve">ADDR: napospas-1[.3]</t>
  </si>
  <si>
    <t xml:space="preserve">ADDR-&gt;ARG1/3,ARG2/46</t>
  </si>
  <si>
    <t xml:space="preserve">"poničit-001"</t>
  </si>
  <si>
    <t xml:space="preserve">ACT-&gt;ARG0/1,ARG2/1</t>
  </si>
  <si>
    <t xml:space="preserve">ACT-&gt;ARG0/213,ARG1/3,ARG2/44</t>
  </si>
  <si>
    <t xml:space="preserve">ACT-&gt;ARG0/212,ARG1/3,ARG2/44</t>
  </si>
  <si>
    <t xml:space="preserve">PAT-&gt;ARG1/402,ARG2/4</t>
  </si>
  <si>
    <t xml:space="preserve">PAT-&gt;ARG1/401,ARG2/4</t>
  </si>
  <si>
    <t xml:space="preserve">"ponižovat-001"</t>
  </si>
  <si>
    <t xml:space="preserve">"ponižovat-se-001"</t>
  </si>
  <si>
    <t xml:space="preserve">"ponořit-001"</t>
  </si>
  <si>
    <t xml:space="preserve">"ponořit-se-001"</t>
  </si>
  <si>
    <t xml:space="preserve">PAT-&gt;ARG4/9</t>
  </si>
  <si>
    <t xml:space="preserve">"ponořit-se-002"</t>
  </si>
  <si>
    <t xml:space="preserve">PAT-&gt;ARG1/6,ARG2/3</t>
  </si>
  <si>
    <t xml:space="preserve">"ponížit-001"</t>
  </si>
  <si>
    <t xml:space="preserve">"ponížit-002"</t>
  </si>
  <si>
    <t xml:space="preserve">"poněmčovat-001"</t>
  </si>
  <si>
    <t xml:space="preserve">"poobědvat-001"</t>
  </si>
  <si>
    <t xml:space="preserve">"poodhalit-001"</t>
  </si>
  <si>
    <t xml:space="preserve">"poodhalovat-001"</t>
  </si>
  <si>
    <t xml:space="preserve">PAT-&gt;ARG2/21</t>
  </si>
  <si>
    <t xml:space="preserve">"poohlédnout-se-001"</t>
  </si>
  <si>
    <t xml:space="preserve">PAT-&gt;ARG1/119,ARG2/1</t>
  </si>
  <si>
    <t xml:space="preserve">"poohlížet-se-001"</t>
  </si>
  <si>
    <t xml:space="preserve">"pookřát-001"</t>
  </si>
  <si>
    <t xml:space="preserve">"poopravit-001"</t>
  </si>
  <si>
    <t xml:space="preserve">"pootevřít-001"</t>
  </si>
  <si>
    <t xml:space="preserve">"pootočit-001"</t>
  </si>
  <si>
    <t xml:space="preserve">"pootáčet-001"</t>
  </si>
  <si>
    <t xml:space="preserve">"poočišťovat-001"</t>
  </si>
  <si>
    <t xml:space="preserve">"popadat-001"</t>
  </si>
  <si>
    <t xml:space="preserve">"popadat-002"</t>
  </si>
  <si>
    <t xml:space="preserve">"popadnout-001"</t>
  </si>
  <si>
    <t xml:space="preserve">"popadnout-002"</t>
  </si>
  <si>
    <t xml:space="preserve">CPHR: {vztek,...}.1</t>
  </si>
  <si>
    <t xml:space="preserve">"popadnout-003"</t>
  </si>
  <si>
    <t xml:space="preserve">DPHR: dech.S4</t>
  </si>
  <si>
    <t xml:space="preserve">"popichovat-001"</t>
  </si>
  <si>
    <t xml:space="preserve">"popisovat-001"</t>
  </si>
  <si>
    <t xml:space="preserve">"poplakat-si-001"</t>
  </si>
  <si>
    <t xml:space="preserve">"poplatit-001"</t>
  </si>
  <si>
    <t xml:space="preserve">"popleskat-001"</t>
  </si>
  <si>
    <t xml:space="preserve">"poplivat-001"</t>
  </si>
  <si>
    <t xml:space="preserve">"poplácávat-001"</t>
  </si>
  <si>
    <t xml:space="preserve">"poplést-001"</t>
  </si>
  <si>
    <t xml:space="preserve">"poplést-se-001"</t>
  </si>
  <si>
    <t xml:space="preserve">"poplést-se-002"</t>
  </si>
  <si>
    <t xml:space="preserve">ACT-&gt;ARG1/6,ARG2/2</t>
  </si>
  <si>
    <t xml:space="preserve">PAT-&gt;ARG0/5,ARG1/1</t>
  </si>
  <si>
    <t xml:space="preserve">"poplést-si-001"</t>
  </si>
  <si>
    <t xml:space="preserve">?EFF: s+7</t>
  </si>
  <si>
    <t xml:space="preserve">"popobíhat-001"</t>
  </si>
  <si>
    <t xml:space="preserve">"popohnat-001"</t>
  </si>
  <si>
    <t xml:space="preserve">ACT-&gt;ARG0/41,ARG2/30</t>
  </si>
  <si>
    <t xml:space="preserve">ACT-&gt;ARG0/76,ARG2/30</t>
  </si>
  <si>
    <t xml:space="preserve">"popohánět-001"</t>
  </si>
  <si>
    <t xml:space="preserve">"popojet-001"</t>
  </si>
  <si>
    <t xml:space="preserve">"popojet-002"</t>
  </si>
  <si>
    <t xml:space="preserve">"popojít-001"</t>
  </si>
  <si>
    <t xml:space="preserve">"popojíždět-001"</t>
  </si>
  <si>
    <t xml:space="preserve">"poponést-001"</t>
  </si>
  <si>
    <t xml:space="preserve">"poporůst-001"</t>
  </si>
  <si>
    <t xml:space="preserve">"popouzet-001"</t>
  </si>
  <si>
    <t xml:space="preserve">"popovézt-001"</t>
  </si>
  <si>
    <t xml:space="preserve">"popovídat-001"</t>
  </si>
  <si>
    <t xml:space="preserve">"popovídat-002"</t>
  </si>
  <si>
    <t xml:space="preserve">"popovídat-si-001"</t>
  </si>
  <si>
    <t xml:space="preserve">"popovídat-si-002"</t>
  </si>
  <si>
    <t xml:space="preserve">"popraskat-001"</t>
  </si>
  <si>
    <t xml:space="preserve">"popraskat-002"</t>
  </si>
  <si>
    <t xml:space="preserve">ACT-&gt;ARG0/1,ARG1/10</t>
  </si>
  <si>
    <t xml:space="preserve">"poprat-se-001"</t>
  </si>
  <si>
    <t xml:space="preserve">"popravit-001"</t>
  </si>
  <si>
    <t xml:space="preserve">"poprosit-001"</t>
  </si>
  <si>
    <t xml:space="preserve">PAT: o+4; .f; ↓zda; ↓aby; ↓ať; .s; ↓c</t>
  </si>
  <si>
    <t xml:space="preserve">ADDR-&gt;ARG1/8,ARG2/3</t>
  </si>
  <si>
    <t xml:space="preserve">"popsat-001"</t>
  </si>
  <si>
    <t xml:space="preserve">"popsat-002"</t>
  </si>
  <si>
    <t xml:space="preserve">"popsat-003"</t>
  </si>
  <si>
    <t xml:space="preserve">"poptávat-001"</t>
  </si>
  <si>
    <t xml:space="preserve">ACT-&gt;ARG0/521,ARG1/6,ARG2/5</t>
  </si>
  <si>
    <t xml:space="preserve">PAT-&gt;ARG1/670,ARG2/2</t>
  </si>
  <si>
    <t xml:space="preserve">"popudit-001"</t>
  </si>
  <si>
    <t xml:space="preserve">"popudit-002"</t>
  </si>
  <si>
    <t xml:space="preserve">"popudit-003"</t>
  </si>
  <si>
    <t xml:space="preserve">"popularizovat-001"</t>
  </si>
  <si>
    <t xml:space="preserve">"poputovat-001"</t>
  </si>
  <si>
    <t xml:space="preserve">"popuzovat-001"</t>
  </si>
  <si>
    <t xml:space="preserve">"popálit-001"</t>
  </si>
  <si>
    <t xml:space="preserve">"popásat-001"</t>
  </si>
  <si>
    <t xml:space="preserve">"popíchnout-001"</t>
  </si>
  <si>
    <t xml:space="preserve">"popíjet-001"</t>
  </si>
  <si>
    <t xml:space="preserve">"popírat-001"</t>
  </si>
  <si>
    <t xml:space="preserve">PAT-&gt;ARG1/166,ARG2/13</t>
  </si>
  <si>
    <t xml:space="preserve">"popít-001"</t>
  </si>
  <si>
    <t xml:space="preserve">"popít-si-001"</t>
  </si>
  <si>
    <t xml:space="preserve">"popřemýšlet-001"</t>
  </si>
  <si>
    <t xml:space="preserve">"popřát-001"</t>
  </si>
  <si>
    <t xml:space="preserve">PAT: 2; 4; ↓aby; ↓ať; .s; ↓c</t>
  </si>
  <si>
    <t xml:space="preserve">"popřávat-001"</t>
  </si>
  <si>
    <t xml:space="preserve">DPHR: sluch.2</t>
  </si>
  <si>
    <t xml:space="preserve">"popřít-001"</t>
  </si>
  <si>
    <t xml:space="preserve">ACT-&gt;ARG0/12213,ARG1/36</t>
  </si>
  <si>
    <t xml:space="preserve">PAT-&gt;ARG0/2,ARG1/10591,ARG2/3</t>
  </si>
  <si>
    <t xml:space="preserve">"poradit-001"</t>
  </si>
  <si>
    <t xml:space="preserve">ACT-&gt;ARG0/607,ARG1/8</t>
  </si>
  <si>
    <t xml:space="preserve">PAT: 4; .f; ↓že; ↓aby; ↓ať; s+7; ↓c</t>
  </si>
  <si>
    <t xml:space="preserve">PAT-&gt;ARG1/683,ARG2/61,ARG4/1</t>
  </si>
  <si>
    <t xml:space="preserve">ADDR-&gt;ARG1/55,ARG2/324</t>
  </si>
  <si>
    <t xml:space="preserve">"poradit-se-001"</t>
  </si>
  <si>
    <t xml:space="preserve">"poradit-si-001"</t>
  </si>
  <si>
    <t xml:space="preserve">?PAT: s+7; ↓c</t>
  </si>
  <si>
    <t xml:space="preserve">PAT-&gt;ARG1/223</t>
  </si>
  <si>
    <t xml:space="preserve">"poranit-001"</t>
  </si>
  <si>
    <t xml:space="preserve">"poranit-se-001"</t>
  </si>
  <si>
    <t xml:space="preserve">"porazit-001"</t>
  </si>
  <si>
    <t xml:space="preserve">"porazit-002"</t>
  </si>
  <si>
    <t xml:space="preserve">"porazit-003"</t>
  </si>
  <si>
    <t xml:space="preserve">"porcovat-001"</t>
  </si>
  <si>
    <t xml:space="preserve">DPHR: medvěda.S4</t>
  </si>
  <si>
    <t xml:space="preserve">"porcovat-002"</t>
  </si>
  <si>
    <t xml:space="preserve">"porodit-001"</t>
  </si>
  <si>
    <t xml:space="preserve">"porouchat-se-001"</t>
  </si>
  <si>
    <t xml:space="preserve">"poroučet-001"</t>
  </si>
  <si>
    <t xml:space="preserve">"porovnat-001"</t>
  </si>
  <si>
    <t xml:space="preserve">EFF-&gt;ARG1/1,ARG2/94</t>
  </si>
  <si>
    <t xml:space="preserve">EFF-&gt;ARG1/1,ARG2/55</t>
  </si>
  <si>
    <t xml:space="preserve">"porovnávat-001"</t>
  </si>
  <si>
    <t xml:space="preserve">EFF-&gt;ARG1/1,ARG2/93</t>
  </si>
  <si>
    <t xml:space="preserve">"porovnávat-002"</t>
  </si>
  <si>
    <t xml:space="preserve">"porozhlédnout-se-001"</t>
  </si>
  <si>
    <t xml:space="preserve">"porozhlédnout-se-002"</t>
  </si>
  <si>
    <t xml:space="preserve">"--porozhlédnout-se-003"</t>
  </si>
  <si>
    <t xml:space="preserve">"porozhlížet-se-001"</t>
  </si>
  <si>
    <t xml:space="preserve">"porozmýšlet-001"</t>
  </si>
  <si>
    <t xml:space="preserve">"porozumět-001"</t>
  </si>
  <si>
    <t xml:space="preserve">"porozumět-002"</t>
  </si>
  <si>
    <t xml:space="preserve">PAT: 3; s+7</t>
  </si>
  <si>
    <t xml:space="preserve">"porozumět-003"</t>
  </si>
  <si>
    <t xml:space="preserve">ACT-&gt;ARG0/56,ARG1/4</t>
  </si>
  <si>
    <t xml:space="preserve">PAT: 3; ↓že; ↓zda; ↓c</t>
  </si>
  <si>
    <t xml:space="preserve">PAT-&gt;ARG1/79,ARG2/7</t>
  </si>
  <si>
    <t xml:space="preserve">"portrétovat-001"</t>
  </si>
  <si>
    <t xml:space="preserve">"poručit-001"</t>
  </si>
  <si>
    <t xml:space="preserve">"poručit-002"</t>
  </si>
  <si>
    <t xml:space="preserve">?BEN: 3; pro+4</t>
  </si>
  <si>
    <t xml:space="preserve">"porušit-001"</t>
  </si>
  <si>
    <t xml:space="preserve">ACT-&gt;ARG0/190,ARG1/155</t>
  </si>
  <si>
    <t xml:space="preserve">PAT-&gt;ARG1/266,ARG2/144</t>
  </si>
  <si>
    <t xml:space="preserve">"porušit-002"</t>
  </si>
  <si>
    <t xml:space="preserve">"porušovat-001"</t>
  </si>
  <si>
    <t xml:space="preserve">"porušovat-002"</t>
  </si>
  <si>
    <t xml:space="preserve">"porvat-se-001"</t>
  </si>
  <si>
    <t xml:space="preserve">"porážet-001"</t>
  </si>
  <si>
    <t xml:space="preserve">"porážet-002"</t>
  </si>
  <si>
    <t xml:space="preserve">"porážet-003"</t>
  </si>
  <si>
    <t xml:space="preserve">"posadit-001"</t>
  </si>
  <si>
    <t xml:space="preserve">"posadit-002"</t>
  </si>
  <si>
    <t xml:space="preserve">"posadit-se-001"</t>
  </si>
  <si>
    <t xml:space="preserve">"posbírat-001"</t>
  </si>
  <si>
    <t xml:space="preserve">"posbírat-002"</t>
  </si>
  <si>
    <t xml:space="preserve">CPHR: {odvaha,vědomost,zkušenost,...}.4</t>
  </si>
  <si>
    <t xml:space="preserve">"poschovávat-001"</t>
  </si>
  <si>
    <t xml:space="preserve">"posedávat-001"</t>
  </si>
  <si>
    <t xml:space="preserve">ACT-&gt;ARG1/52</t>
  </si>
  <si>
    <t xml:space="preserve">"posedět-001"</t>
  </si>
  <si>
    <t xml:space="preserve">"posedět-si-001"</t>
  </si>
  <si>
    <t xml:space="preserve">"posekat-001"</t>
  </si>
  <si>
    <t xml:space="preserve">"posestřit-se-001"</t>
  </si>
  <si>
    <t xml:space="preserve">"posečkat-001"</t>
  </si>
  <si>
    <t xml:space="preserve">"posilnit-001"</t>
  </si>
  <si>
    <t xml:space="preserve">"posilovat-001"</t>
  </si>
  <si>
    <t xml:space="preserve">ACT-&gt;ARG0/234,ARG1/8,ARG2/12</t>
  </si>
  <si>
    <t xml:space="preserve">"posilovat-002"</t>
  </si>
  <si>
    <t xml:space="preserve">ACT-&gt;ARG1/128</t>
  </si>
  <si>
    <t xml:space="preserve">PAT-&gt;ARG2/1,ARG4/83</t>
  </si>
  <si>
    <t xml:space="preserve">ORIG-&gt;ARG3/18</t>
  </si>
  <si>
    <t xml:space="preserve">"posilovat-003"</t>
  </si>
  <si>
    <t xml:space="preserve">"posilovat-004"</t>
  </si>
  <si>
    <t xml:space="preserve">ACT-&gt;ARG0/31,ARG2/1</t>
  </si>
  <si>
    <t xml:space="preserve">ACT-&gt;ARG0/73,ARG2/33</t>
  </si>
  <si>
    <t xml:space="preserve">"posilovat-se-001"</t>
  </si>
  <si>
    <t xml:space="preserve">"poskakovat-001"</t>
  </si>
  <si>
    <t xml:space="preserve">"poskakovat-002"</t>
  </si>
  <si>
    <t xml:space="preserve">PAT: kolem-1[2]</t>
  </si>
  <si>
    <t xml:space="preserve">"poskládat-001"</t>
  </si>
  <si>
    <t xml:space="preserve">ACT-&gt;ARG0/523,ARG1/5,ARG2/3</t>
  </si>
  <si>
    <t xml:space="preserve">ACT-&gt;ARG0/1276,ARG1/9,ARG2/3</t>
  </si>
  <si>
    <t xml:space="preserve">PAT-&gt;ARG1/919,ARG3/1,ARG4/5</t>
  </si>
  <si>
    <t xml:space="preserve">PAT-&gt;ARG1/2130,ARG2/2,ARG3/1,ARG4/5</t>
  </si>
  <si>
    <t xml:space="preserve">ORIG-&gt;ARG1/2,ARG2/56</t>
  </si>
  <si>
    <t xml:space="preserve">?EFF: do+2; .d</t>
  </si>
  <si>
    <t xml:space="preserve">"poskládat-002"</t>
  </si>
  <si>
    <t xml:space="preserve">"poskočit-001"</t>
  </si>
  <si>
    <t xml:space="preserve">ACT-&gt;ARG0/3,ARG1/147</t>
  </si>
  <si>
    <t xml:space="preserve">PAT-&gt;ARG4/125</t>
  </si>
  <si>
    <t xml:space="preserve">ORIG-&gt;ARG3/29</t>
  </si>
  <si>
    <t xml:space="preserve">"poskvrnit-001"</t>
  </si>
  <si>
    <t xml:space="preserve">"poskytnout-001"</t>
  </si>
  <si>
    <t xml:space="preserve">ACT-&gt;ARG0/256</t>
  </si>
  <si>
    <t xml:space="preserve">ACT-&gt;ARG0/1517,ARG2/1</t>
  </si>
  <si>
    <t xml:space="preserve">PAT-&gt;ARG1/2164,ARG2/14</t>
  </si>
  <si>
    <t xml:space="preserve">ADDR-&gt;ARG1/18,ARG2/122</t>
  </si>
  <si>
    <t xml:space="preserve">ADDR-&gt;ARG1/69,ARG2/1320,ARG4/2</t>
  </si>
  <si>
    <t xml:space="preserve">ACT-&gt;ARG0/1361,ARG1/6</t>
  </si>
  <si>
    <t xml:space="preserve">PAT-&gt;ARG1/1902,ARG2/52,ARG3/1</t>
  </si>
  <si>
    <t xml:space="preserve">ADDR-&gt;ARG1/92,ARG2/748,ARG3/78</t>
  </si>
  <si>
    <t xml:space="preserve">"poskytnout-002"</t>
  </si>
  <si>
    <t xml:space="preserve">ACT-&gt;ARG0/1247,ARG1/3,ARG2/3</t>
  </si>
  <si>
    <t xml:space="preserve">ACT-&gt;ARG0/1252,ARG1/3,ARG2/3</t>
  </si>
  <si>
    <t xml:space="preserve">ACT-&gt;ARG0/1520,ARG1/3,ARG2/4</t>
  </si>
  <si>
    <t xml:space="preserve">CPHR: {čas,definice,dotace,důkaz,flexibilita,garance,hodnota,informace,komentář,kompenzace,kontrola,léčení,likvidita,možnost,nabídka,nárok,odlehčení,odpověď,odškodnění,ochrana,oprávnění,páka,péče,platba,podpora,pojištění,pomoc,poradenství,právo,pravomoc,příležitost,příspěvek,půjčka,rada-1,rozhovor,sleva,služba,statistika,subvence,svoboda,ubytování,upřesnění,útěcha,úvěr,výhoda,výchova,vyjádření,výmluva,vysvětlení,vzdělání,zajištění,záminka,záruka,zaškolení,...}.4</t>
  </si>
  <si>
    <t xml:space="preserve">CPHR-&gt;ARG1/386</t>
  </si>
  <si>
    <t xml:space="preserve">CPHR-&gt;ARG1/1772,ARG2/61,ARG3/1</t>
  </si>
  <si>
    <t xml:space="preserve">ADDR-&gt;ARG1/54,ARG2/504,ARG3/120</t>
  </si>
  <si>
    <t xml:space="preserve">ADDR-&gt;ARG1/54,ARG2/511,ARG3/120</t>
  </si>
  <si>
    <t xml:space="preserve">ADDR-&gt;ARG1/82,ARG2/657,ARG3/120</t>
  </si>
  <si>
    <t xml:space="preserve">ACT-&gt;ARG0/493</t>
  </si>
  <si>
    <t xml:space="preserve">CPHR-&gt;ARG1/728,ARG2/1</t>
  </si>
  <si>
    <t xml:space="preserve">ADDR-&gt;ARG1/22,ARG2/431</t>
  </si>
  <si>
    <t xml:space="preserve">ACT-&gt;ARG0/778</t>
  </si>
  <si>
    <t xml:space="preserve">CPHR-&gt;ARG0/1,ARG1/3383,ARG2/3</t>
  </si>
  <si>
    <t xml:space="preserve">ADDR-&gt;ARG0/2154,ARG1/56,ARG2/672</t>
  </si>
  <si>
    <t xml:space="preserve">ACT-&gt;ARG0/364</t>
  </si>
  <si>
    <t xml:space="preserve">CPHR-&gt;ARG1/545</t>
  </si>
  <si>
    <t xml:space="preserve">ADDR-&gt;ARG1/26,ARG2/276</t>
  </si>
  <si>
    <t xml:space="preserve">CPHR-&gt;ARG1/209</t>
  </si>
  <si>
    <t xml:space="preserve">ACT-&gt;ARG0/1190,ARG1/145</t>
  </si>
  <si>
    <t xml:space="preserve">CPHR-&gt;ARG1/1711,ARG2/147,ARG3/1</t>
  </si>
  <si>
    <t xml:space="preserve">ADDR-&gt;ARG1/35,ARG2/637,ARG3/78</t>
  </si>
  <si>
    <t xml:space="preserve">ACT-&gt;ARG0/659,ARG1/27,ARG2/1</t>
  </si>
  <si>
    <t xml:space="preserve">CPHR-&gt;ARG1/937,ARG2/1</t>
  </si>
  <si>
    <t xml:space="preserve">ADDR-&gt;ARG1/15,ARG2/494</t>
  </si>
  <si>
    <t xml:space="preserve">ACT-&gt;ARG0/746,ARG1/2,ARG2/1</t>
  </si>
  <si>
    <t xml:space="preserve">CPHR-&gt;ARG1/1087,ARG2/1</t>
  </si>
  <si>
    <t xml:space="preserve">ADDR-&gt;ARG1/30,ARG2/489</t>
  </si>
  <si>
    <t xml:space="preserve">"poskytovat-001"</t>
  </si>
  <si>
    <t xml:space="preserve">ACT-&gt;ARG0/1211,ARG1/4,ARG2/3</t>
  </si>
  <si>
    <t xml:space="preserve">PAT-&gt;ARG1/1757,ARG2/3,ARG3/1</t>
  </si>
  <si>
    <t xml:space="preserve">ADDR-&gt;ARG1/37,ARG2/678,ARG3/78</t>
  </si>
  <si>
    <t xml:space="preserve">"poskytovat-002"</t>
  </si>
  <si>
    <t xml:space="preserve">CPHR: {činnost,dotace,informace,jistota,krytí,léčba,léčení,možnost,nárok,ochrana,oprávnění,péče,pobídka,podpora,pojištění,pomoc,poradenství,právo,pravomoc,problém,příklad,příležitost,příspěvek,půjčka,rada-1,sleva,služba,subvence,školení,údržba,úhrada,úleva,vodítko,výhoda,výkon,výnos,výpověď,výuka,zajištění,záloha,záruka,způsob,...}.4</t>
  </si>
  <si>
    <t xml:space="preserve">ACT-&gt;ARG0/254</t>
  </si>
  <si>
    <t xml:space="preserve">ACT-&gt;ARG0/771,ARG2/1</t>
  </si>
  <si>
    <t xml:space="preserve">CPHR-&gt;ARG1/1170,ARG2/16</t>
  </si>
  <si>
    <t xml:space="preserve">ADDR-&gt;ARG1/27,ARG2/512</t>
  </si>
  <si>
    <t xml:space="preserve">ACT-&gt;ARG0/500</t>
  </si>
  <si>
    <t xml:space="preserve">CPHR-&gt;ARG1/738,ARG2/1</t>
  </si>
  <si>
    <t xml:space="preserve">ADDR-&gt;ARG1/22,ARG2/441</t>
  </si>
  <si>
    <t xml:space="preserve">ACT-&gt;ARG0/1515,ARG1/3,ARG2/6</t>
  </si>
  <si>
    <t xml:space="preserve">ACT-&gt;ARG0/1520,ARG1/3,ARG2/6</t>
  </si>
  <si>
    <t xml:space="preserve">ACT-&gt;ARG0/1788,ARG1/3,ARG2/7</t>
  </si>
  <si>
    <t xml:space="preserve">CPHR-&gt;ARG1/2245,ARG2/66,ARG3/1</t>
  </si>
  <si>
    <t xml:space="preserve">ADDR-&gt;ARG1/66,ARG2/678,ARG3/149</t>
  </si>
  <si>
    <t xml:space="preserve">ADDR-&gt;ARG1/66,ARG2/685,ARG3/149</t>
  </si>
  <si>
    <t xml:space="preserve">ADDR-&gt;ARG1/94,ARG2/831,ARG3/149</t>
  </si>
  <si>
    <t xml:space="preserve">ACT-&gt;ARG0/354</t>
  </si>
  <si>
    <t xml:space="preserve">CPHR-&gt;ARG1/525</t>
  </si>
  <si>
    <t xml:space="preserve">ACT-&gt;ARG0/1184,ARG1/2</t>
  </si>
  <si>
    <t xml:space="preserve">CPHR-&gt;ARG1/1707,ARG2/3,ARG3/1</t>
  </si>
  <si>
    <t xml:space="preserve">ADDR-&gt;ARG1/38,ARG2/689,ARG3/78</t>
  </si>
  <si>
    <t xml:space="preserve">"poslat-001"</t>
  </si>
  <si>
    <t xml:space="preserve">ACT-&gt;ARG0/214,ARG2/1</t>
  </si>
  <si>
    <t xml:space="preserve">PAT-&gt;ARG1/281</t>
  </si>
  <si>
    <t xml:space="preserve">ADDR-&gt;ARG2/87</t>
  </si>
  <si>
    <t xml:space="preserve">"poslat-002"</t>
  </si>
  <si>
    <t xml:space="preserve">"poslat-003"</t>
  </si>
  <si>
    <t xml:space="preserve">ACT-&gt;ARG0/190,ARG1/52</t>
  </si>
  <si>
    <t xml:space="preserve">PAT-&gt;ARG1/320</t>
  </si>
  <si>
    <t xml:space="preserve">DIR3-&gt;ARG2/73</t>
  </si>
  <si>
    <t xml:space="preserve">"poslat-004"</t>
  </si>
  <si>
    <t xml:space="preserve">ACT-&gt;ARG0/109</t>
  </si>
  <si>
    <t xml:space="preserve">PAT-&gt;ARG1/170</t>
  </si>
  <si>
    <t xml:space="preserve">DIR3-&gt;ARG2/68</t>
  </si>
  <si>
    <t xml:space="preserve">DIR3-&gt;ARG2/74</t>
  </si>
  <si>
    <t xml:space="preserve">"poslat-005"</t>
  </si>
  <si>
    <t xml:space="preserve">"--poslat-si-001"</t>
  </si>
  <si>
    <t xml:space="preserve">"poslechnout-001"</t>
  </si>
  <si>
    <t xml:space="preserve">"poslechnout-si-001"</t>
  </si>
  <si>
    <t xml:space="preserve">"poslouchat-001"</t>
  </si>
  <si>
    <t xml:space="preserve">PAT: 4; ↓že; ↓zda; ↓jestli; ↓c; ↓jak-2</t>
  </si>
  <si>
    <t xml:space="preserve">PAT-&gt;ARG1/101,ARG2/4</t>
  </si>
  <si>
    <t xml:space="preserve">"poslouchat-002"</t>
  </si>
  <si>
    <t xml:space="preserve">"poslouchat-003"</t>
  </si>
  <si>
    <t xml:space="preserve">EFF-&gt;ARG1/117</t>
  </si>
  <si>
    <t xml:space="preserve">ORIG-&gt;ARG2/15</t>
  </si>
  <si>
    <t xml:space="preserve">"posloužit-001"</t>
  </si>
  <si>
    <t xml:space="preserve">ACT-&gt;ARG0/29,ARG1/7</t>
  </si>
  <si>
    <t xml:space="preserve">PAT-&gt;ARG1/11,ARG2/28</t>
  </si>
  <si>
    <t xml:space="preserve">?EFF: 1[{jako,jakožto}:/AuxY]; za+4</t>
  </si>
  <si>
    <t xml:space="preserve">EFF-&gt;ARG2/7</t>
  </si>
  <si>
    <t xml:space="preserve">"posloužit-002"</t>
  </si>
  <si>
    <t xml:space="preserve">"posmívat-se-001"</t>
  </si>
  <si>
    <t xml:space="preserve">"posolit-001"</t>
  </si>
  <si>
    <t xml:space="preserve">"posoudit-001"</t>
  </si>
  <si>
    <t xml:space="preserve">ACT-&gt;ARG0/262</t>
  </si>
  <si>
    <t xml:space="preserve">ACT-&gt;ARG0/295,ARG3/2</t>
  </si>
  <si>
    <t xml:space="preserve">PAT: 4; ↓že; ↓zda; ↓zdali; ↓jestli; ↓c</t>
  </si>
  <si>
    <t xml:space="preserve">PAT-&gt;ARG1/538,ARG2/1</t>
  </si>
  <si>
    <t xml:space="preserve">PAT-&gt;ARG1/426,ARG2/37,ARG3/1</t>
  </si>
  <si>
    <t xml:space="preserve">"posouvat-001"</t>
  </si>
  <si>
    <t xml:space="preserve">"posouvat-002"</t>
  </si>
  <si>
    <t xml:space="preserve">"posouvat-se-001"</t>
  </si>
  <si>
    <t xml:space="preserve">"pospravovat-001"</t>
  </si>
  <si>
    <t xml:space="preserve">"pospíchat-001"</t>
  </si>
  <si>
    <t xml:space="preserve">PAT: s+7; .f</t>
  </si>
  <si>
    <t xml:space="preserve">ACT-&gt;ARG0/1,ARG1/25,ARG2/1</t>
  </si>
  <si>
    <t xml:space="preserve">"pospíchat-002"</t>
  </si>
  <si>
    <t xml:space="preserve">ACT-&gt;ARG0/55,ARG1/30,ARG2/1</t>
  </si>
  <si>
    <t xml:space="preserve">DIR3-&gt;ARG1/26,ARG2/3</t>
  </si>
  <si>
    <t xml:space="preserve">"pospíšit-si-001"</t>
  </si>
  <si>
    <t xml:space="preserve">"pospíšit-si-002"</t>
  </si>
  <si>
    <t xml:space="preserve">"postarat-se-001"</t>
  </si>
  <si>
    <t xml:space="preserve">ACT-&gt;ARG0/366,ARG1/2</t>
  </si>
  <si>
    <t xml:space="preserve">PAT: o+4; ↓c; ↓zda; ↓jestli; ↓aby</t>
  </si>
  <si>
    <t xml:space="preserve">PAT-&gt;ARG1/481,ARG2/52</t>
  </si>
  <si>
    <t xml:space="preserve">"postavit-001"</t>
  </si>
  <si>
    <t xml:space="preserve">PAT-&gt;ARG1/228</t>
  </si>
  <si>
    <t xml:space="preserve">PAT-&gt;ARG1/359</t>
  </si>
  <si>
    <t xml:space="preserve">ORIG-&gt;ARG1/1,ARG2/208</t>
  </si>
  <si>
    <t xml:space="preserve">"postavit-002"</t>
  </si>
  <si>
    <t xml:space="preserve">ACT-&gt;ARG0/1275,ARG1/9,ARG2/3</t>
  </si>
  <si>
    <t xml:space="preserve">PAT-&gt;ARG1/624,ARG2/3</t>
  </si>
  <si>
    <t xml:space="preserve">PAT-&gt;ARG1/2129,ARG2/2,ARG3/1,ARG4/5</t>
  </si>
  <si>
    <t xml:space="preserve">"postavit-003"</t>
  </si>
  <si>
    <t xml:space="preserve">EFF: 4[{jako,jakožto}:/AuxY]; za+4</t>
  </si>
  <si>
    <t xml:space="preserve">"postavit-004"</t>
  </si>
  <si>
    <t xml:space="preserve">PAT-&gt;ARG1/265</t>
  </si>
  <si>
    <t xml:space="preserve">"postavit-005"</t>
  </si>
  <si>
    <t xml:space="preserve">PAT-&gt;ARG0/5,ARG1/390,ARG2/11</t>
  </si>
  <si>
    <t xml:space="preserve">DIR3-&gt;ARG1/6,ARG2/164,ARG3/2</t>
  </si>
  <si>
    <t xml:space="preserve">"postavit-006"</t>
  </si>
  <si>
    <t xml:space="preserve">ACT-&gt;ARG0/146</t>
  </si>
  <si>
    <t xml:space="preserve">PAT-&gt;ARG0/170,ARG1/238,ARG2/1</t>
  </si>
  <si>
    <t xml:space="preserve">DIR3-&gt;ARG1/199</t>
  </si>
  <si>
    <t xml:space="preserve">"postavit-007"</t>
  </si>
  <si>
    <t xml:space="preserve">PAT-&gt;ARG0/170,ARG1/230</t>
  </si>
  <si>
    <t xml:space="preserve">"postavit-008"</t>
  </si>
  <si>
    <t xml:space="preserve">"postavit-009"</t>
  </si>
  <si>
    <t xml:space="preserve">"postavit-010"</t>
  </si>
  <si>
    <t xml:space="preserve">DPHR: překážka.P4</t>
  </si>
  <si>
    <t xml:space="preserve">"postavit-011"</t>
  </si>
  <si>
    <t xml:space="preserve">DPHR: na-1[noha.P4]</t>
  </si>
  <si>
    <t xml:space="preserve">"postavit-se-001"</t>
  </si>
  <si>
    <t xml:space="preserve">ACT-&gt;ARG0/252,ARG1/9</t>
  </si>
  <si>
    <t xml:space="preserve">ACT-&gt;ARG0/261,ARG1/4</t>
  </si>
  <si>
    <t xml:space="preserve">PAT: 3; proti+3</t>
  </si>
  <si>
    <t xml:space="preserve">PAT-&gt;ARG1/299</t>
  </si>
  <si>
    <t xml:space="preserve">PAT-&gt;ARG1/309</t>
  </si>
  <si>
    <t xml:space="preserve">"postavit-se-002"</t>
  </si>
  <si>
    <t xml:space="preserve">"postavit-se-003"</t>
  </si>
  <si>
    <t xml:space="preserve">ACT-&gt;ARG0/275,ARG2/2</t>
  </si>
  <si>
    <t xml:space="preserve">PAT-&gt;ARG1/358,ARG2/13</t>
  </si>
  <si>
    <t xml:space="preserve">"postavit-se-004"</t>
  </si>
  <si>
    <t xml:space="preserve">ACT-&gt;ARG0/186,ARG1/3</t>
  </si>
  <si>
    <t xml:space="preserve">DIR3-&gt;ARG1/224,ARG2/26</t>
  </si>
  <si>
    <t xml:space="preserve">"postavit-se-005"</t>
  </si>
  <si>
    <t xml:space="preserve">"postavit-se-006"</t>
  </si>
  <si>
    <t xml:space="preserve">DPHR: na-1[noha:P4[vlastní-1.#]]; na-1[noha:P4]</t>
  </si>
  <si>
    <t xml:space="preserve">"postavit-se-007"</t>
  </si>
  <si>
    <t xml:space="preserve">"postavit-se-008"</t>
  </si>
  <si>
    <t xml:space="preserve">DPHR: na-1[hlava.S4]</t>
  </si>
  <si>
    <t xml:space="preserve">"postavit-si-001"</t>
  </si>
  <si>
    <t xml:space="preserve">DPHR: hlava.S4</t>
  </si>
  <si>
    <t xml:space="preserve">"postačit-001"</t>
  </si>
  <si>
    <t xml:space="preserve">"postačovat-001"</t>
  </si>
  <si>
    <t xml:space="preserve">"postesknout-si-001"</t>
  </si>
  <si>
    <t xml:space="preserve">?PAT: na+4; nad+7; ↓že; .s; ↓c</t>
  </si>
  <si>
    <t xml:space="preserve">"postihnout-001"</t>
  </si>
  <si>
    <t xml:space="preserve">PAT: 4; ↓že; ↓jestli; ↓c</t>
  </si>
  <si>
    <t xml:space="preserve">"postihnout-002"</t>
  </si>
  <si>
    <t xml:space="preserve">ACT-&gt;ARG0/168,ARG1/5428,ARG2/409</t>
  </si>
  <si>
    <t xml:space="preserve">ACT-&gt;ARG0/503,ARG1/3,ARG2/197</t>
  </si>
  <si>
    <t xml:space="preserve">PAT-&gt;ARG0/2227,ARG1/368</t>
  </si>
  <si>
    <t xml:space="preserve">PAT-&gt;ARG1/923,ARG2/4</t>
  </si>
  <si>
    <t xml:space="preserve">"postihovat-001"</t>
  </si>
  <si>
    <t xml:space="preserve">ACT-&gt;ARG0/9,ARG2/8</t>
  </si>
  <si>
    <t xml:space="preserve">"postihovat-002"</t>
  </si>
  <si>
    <t xml:space="preserve">"postit-se-001"</t>
  </si>
  <si>
    <t xml:space="preserve">"postonávat-001"</t>
  </si>
  <si>
    <t xml:space="preserve">"postoupit-001"</t>
  </si>
  <si>
    <t xml:space="preserve">PAT-&gt;ARG1/8,ARG2/7</t>
  </si>
  <si>
    <t xml:space="preserve">ADDR: 3; na+4</t>
  </si>
  <si>
    <t xml:space="preserve">ADDR-&gt;ARG1/7,ARG2/127</t>
  </si>
  <si>
    <t xml:space="preserve">ADDR-&gt;ARG1/7,ARG2/128</t>
  </si>
  <si>
    <t xml:space="preserve">ADDR-&gt;ARG1/1,ARG2/64</t>
  </si>
  <si>
    <t xml:space="preserve">"postoupit-002"</t>
  </si>
  <si>
    <t xml:space="preserve">ACT-&gt;ARG1/103</t>
  </si>
  <si>
    <t xml:space="preserve">PAT-&gt;ARG4/170</t>
  </si>
  <si>
    <t xml:space="preserve">"postoupit-003"</t>
  </si>
  <si>
    <t xml:space="preserve">ACT-&gt;ARG0/205,ARG1/1053,ARG2/4</t>
  </si>
  <si>
    <t xml:space="preserve">DIR3-&gt;ARG1/224,ARG2/32,ARG4/773</t>
  </si>
  <si>
    <t xml:space="preserve">"postoupit-004"</t>
  </si>
  <si>
    <t xml:space="preserve">"postrašit-001"</t>
  </si>
  <si>
    <t xml:space="preserve">"postrkovat-001"</t>
  </si>
  <si>
    <t xml:space="preserve">"postrkovat-002"</t>
  </si>
  <si>
    <t xml:space="preserve">"postrádat-001"</t>
  </si>
  <si>
    <t xml:space="preserve">ACT-&gt;ARG0/36,ARG1/3102,ARG2/296</t>
  </si>
  <si>
    <t xml:space="preserve">"postrádat-002"</t>
  </si>
  <si>
    <t xml:space="preserve">PAT-&gt;ARG1/56,ARG2/1</t>
  </si>
  <si>
    <t xml:space="preserve">"postrčit-001"</t>
  </si>
  <si>
    <t xml:space="preserve">PAT-&gt;ARG1/54,ARG2/10</t>
  </si>
  <si>
    <t xml:space="preserve">"postrčit-002"</t>
  </si>
  <si>
    <t xml:space="preserve">"postupovat-001"</t>
  </si>
  <si>
    <t xml:space="preserve">"postupovat-002"</t>
  </si>
  <si>
    <t xml:space="preserve">"postupovat-003"</t>
  </si>
  <si>
    <t xml:space="preserve">ACT-&gt;ARG0/94,ARG1/75</t>
  </si>
  <si>
    <t xml:space="preserve">"postupovat-004"</t>
  </si>
  <si>
    <t xml:space="preserve">ALT-REG: </t>
  </si>
  <si>
    <t xml:space="preserve">ACT-&gt;ARG0/103,ARG1/148</t>
  </si>
  <si>
    <t xml:space="preserve">MANN-&gt;ARG1/8</t>
  </si>
  <si>
    <t xml:space="preserve">CRIT-&gt;ARG1/53,ARG2/1</t>
  </si>
  <si>
    <t xml:space="preserve">"postát-001"</t>
  </si>
  <si>
    <t xml:space="preserve">"postát-002"</t>
  </si>
  <si>
    <t xml:space="preserve">"postávat-001"</t>
  </si>
  <si>
    <t xml:space="preserve">"postěžovat-si-001"</t>
  </si>
  <si>
    <t xml:space="preserve">PAT: na+4; ↓že; .s; ↓c</t>
  </si>
  <si>
    <t xml:space="preserve">"postřehnout-001"</t>
  </si>
  <si>
    <t xml:space="preserve">PAT-&gt;ARG1/591,ARG2/1,ARG3/4</t>
  </si>
  <si>
    <t xml:space="preserve">"postřelit-001"</t>
  </si>
  <si>
    <t xml:space="preserve">"postříkat-001"</t>
  </si>
  <si>
    <t xml:space="preserve">"postřílet-001"</t>
  </si>
  <si>
    <t xml:space="preserve">"posunkovat-001"</t>
  </si>
  <si>
    <t xml:space="preserve">"posunout-001"</t>
  </si>
  <si>
    <t xml:space="preserve">ACT-&gt;ARG0/107,ARG1/1</t>
  </si>
  <si>
    <t xml:space="preserve">PAT-&gt;ARG1/198</t>
  </si>
  <si>
    <t xml:space="preserve">"posunout-002"</t>
  </si>
  <si>
    <t xml:space="preserve">ACT-&gt;ARG0/49,ARG1/1</t>
  </si>
  <si>
    <t xml:space="preserve">"posunout-se-001"</t>
  </si>
  <si>
    <t xml:space="preserve">ACT-&gt;ARG0/7,ARG1/128</t>
  </si>
  <si>
    <t xml:space="preserve">"posunovat-001"</t>
  </si>
  <si>
    <t xml:space="preserve">"posunovat-se-001"</t>
  </si>
  <si>
    <t xml:space="preserve">"posuzovat-001"</t>
  </si>
  <si>
    <t xml:space="preserve">ACT-&gt;ARG0/248,ARG3/2</t>
  </si>
  <si>
    <t xml:space="preserve">ACT-&gt;ARG0/280,ARG1/1,ARG2/1</t>
  </si>
  <si>
    <t xml:space="preserve">PAT-&gt;ARG0/26,ARG1/355,ARG2/1,ARG3/1</t>
  </si>
  <si>
    <t xml:space="preserve">PAT-&gt;ARG1/500</t>
  </si>
  <si>
    <t xml:space="preserve">"posvačit-001"</t>
  </si>
  <si>
    <t xml:space="preserve">"posvítit-001"</t>
  </si>
  <si>
    <t xml:space="preserve">"posvítit-si-001"</t>
  </si>
  <si>
    <t xml:space="preserve">"posvěcovat-001"</t>
  </si>
  <si>
    <t xml:space="preserve">"posvětit-001"</t>
  </si>
  <si>
    <t xml:space="preserve">"posypat-001"</t>
  </si>
  <si>
    <t xml:space="preserve">"posázet-001"</t>
  </si>
  <si>
    <t xml:space="preserve">"posílat-001"</t>
  </si>
  <si>
    <t xml:space="preserve">PAT-&gt;ARG0/1,ARG1/207</t>
  </si>
  <si>
    <t xml:space="preserve">ADDR-&gt;ARG2/81</t>
  </si>
  <si>
    <t xml:space="preserve">"posílat-002"</t>
  </si>
  <si>
    <t xml:space="preserve">PAT-&gt;ARG1/207</t>
  </si>
  <si>
    <t xml:space="preserve">"posílat-003"</t>
  </si>
  <si>
    <t xml:space="preserve">"posílit-001"</t>
  </si>
  <si>
    <t xml:space="preserve">EFF-&gt;ARG4/9</t>
  </si>
  <si>
    <t xml:space="preserve">ACT-&gt;ARG0/119,ARG1/1281,ARG2/4</t>
  </si>
  <si>
    <t xml:space="preserve">PAT-&gt;ARG1/182,ARG2/6,ARG4/773</t>
  </si>
  <si>
    <t xml:space="preserve">ORIG-&gt;ARG3/401</t>
  </si>
  <si>
    <t xml:space="preserve">EFF-&gt;ARG2/8,ARG4/418</t>
  </si>
  <si>
    <t xml:space="preserve">"posílit-002"</t>
  </si>
  <si>
    <t xml:space="preserve">ACT-&gt;ARG0/70,ARG1/1459,ARG2/4</t>
  </si>
  <si>
    <t xml:space="preserve">PAT-&gt;ARG1/74,ARG2/15,ARG4/1227</t>
  </si>
  <si>
    <t xml:space="preserve">ORIG-&gt;ARG2/4,ARG3/398</t>
  </si>
  <si>
    <t xml:space="preserve">"posílit-003"</t>
  </si>
  <si>
    <t xml:space="preserve">PAT-&gt;ARG1/268</t>
  </si>
  <si>
    <t xml:space="preserve">"posílit-004"</t>
  </si>
  <si>
    <t xml:space="preserve">ACT-&gt;ARG0/394,ARG1/3113,ARG2/364</t>
  </si>
  <si>
    <t xml:space="preserve">PAT-&gt;ARG1/811,ARG2/3457,ARG4/6</t>
  </si>
  <si>
    <t xml:space="preserve">"posílit-se-001"</t>
  </si>
  <si>
    <t xml:space="preserve">ACT-&gt;ARG1/964,ARG2/4</t>
  </si>
  <si>
    <t xml:space="preserve">"posílit-se-002"</t>
  </si>
  <si>
    <t xml:space="preserve">ACT-&gt;ARG1/277,ARG2/1,ARG4/6</t>
  </si>
  <si>
    <t xml:space="preserve">"potahovat-001"</t>
  </si>
  <si>
    <t xml:space="preserve">"potatit-se-001"</t>
  </si>
  <si>
    <t xml:space="preserve">"potisknout-001"</t>
  </si>
  <si>
    <t xml:space="preserve">"potit-001"</t>
  </si>
  <si>
    <t xml:space="preserve">DPHR: krev.S4</t>
  </si>
  <si>
    <t xml:space="preserve">"potit-se-001"</t>
  </si>
  <si>
    <t xml:space="preserve">"potkat-001"</t>
  </si>
  <si>
    <t xml:space="preserve">"potkat-002"</t>
  </si>
  <si>
    <t xml:space="preserve">ACT-&gt;ARG0/408,ARG1/335,ARG2/22</t>
  </si>
  <si>
    <t xml:space="preserve">PAT-&gt;ARG0/226,ARG1/441,ARG2/16</t>
  </si>
  <si>
    <t xml:space="preserve">"potkat-003"</t>
  </si>
  <si>
    <t xml:space="preserve">"potkat-se-001"</t>
  </si>
  <si>
    <t xml:space="preserve">ACT-&gt;ARG0/102,ARG1/3</t>
  </si>
  <si>
    <t xml:space="preserve">"--potkat-se-002"</t>
  </si>
  <si>
    <t xml:space="preserve">"potkávat-001"</t>
  </si>
  <si>
    <t xml:space="preserve">"potkávat-002"</t>
  </si>
  <si>
    <t xml:space="preserve">ACT-&gt;ARG0/446,ARG1/1</t>
  </si>
  <si>
    <t xml:space="preserve">PAT-&gt;ARG1/543,ARG2/1</t>
  </si>
  <si>
    <t xml:space="preserve">"--potkávat-se-001"</t>
  </si>
  <si>
    <t xml:space="preserve">"potlačit-001"</t>
  </si>
  <si>
    <t xml:space="preserve">PAT-&gt;ARG1/483,ARG2/6</t>
  </si>
  <si>
    <t xml:space="preserve">"potlačovat-001"</t>
  </si>
  <si>
    <t xml:space="preserve">PAT-&gt;ARG1/97,ARG2/1,ARG3/1</t>
  </si>
  <si>
    <t xml:space="preserve">"potloukat-se-001"</t>
  </si>
  <si>
    <t xml:space="preserve">"potopit-001"</t>
  </si>
  <si>
    <t xml:space="preserve">"potopit-002"</t>
  </si>
  <si>
    <t xml:space="preserve">"potopit-se-001"</t>
  </si>
  <si>
    <t xml:space="preserve">ACT-&gt;ARG0/76,ARG1/1644,ARG2/5</t>
  </si>
  <si>
    <t xml:space="preserve">ACT-&gt;ARG0/76,ARG1/1321,ARG2/4</t>
  </si>
  <si>
    <t xml:space="preserve">"potopit-se-002"</t>
  </si>
  <si>
    <t xml:space="preserve">"potratit-001"</t>
  </si>
  <si>
    <t xml:space="preserve">"potrefit-001"</t>
  </si>
  <si>
    <t xml:space="preserve">"potrestat-001"</t>
  </si>
  <si>
    <t xml:space="preserve">ACT-&gt;ARG0/7,ARG2/55</t>
  </si>
  <si>
    <t xml:space="preserve">"potrhat-se-001"</t>
  </si>
  <si>
    <t xml:space="preserve">DPHR: smích.P7</t>
  </si>
  <si>
    <t xml:space="preserve">"potrpět-si-001"</t>
  </si>
  <si>
    <t xml:space="preserve">"potrvat-001"</t>
  </si>
  <si>
    <t xml:space="preserve">"potrápit-001"</t>
  </si>
  <si>
    <t xml:space="preserve">"potulovat-se-001"</t>
  </si>
  <si>
    <t xml:space="preserve">"potupovat-001"</t>
  </si>
  <si>
    <t xml:space="preserve">"potvrdit-001"</t>
  </si>
  <si>
    <t xml:space="preserve">ACT: 1; z+2; ↓c</t>
  </si>
  <si>
    <t xml:space="preserve">ACT-&gt;ARG0/503,ARG1/3</t>
  </si>
  <si>
    <t xml:space="preserve">PAT-&gt;ARG0/1,ARG1/719</t>
  </si>
  <si>
    <t xml:space="preserve">"potvrdit-002"</t>
  </si>
  <si>
    <t xml:space="preserve">EFF: v+6</t>
  </si>
  <si>
    <t xml:space="preserve">"potvrdit-se-001"</t>
  </si>
  <si>
    <t xml:space="preserve">ACT-&gt;ARG1/63</t>
  </si>
  <si>
    <t xml:space="preserve">"potvrzovat-001"</t>
  </si>
  <si>
    <t xml:space="preserve">ACT-&gt;ARG0/474,ARG1/5</t>
  </si>
  <si>
    <t xml:space="preserve">PAT-&gt;ARG1/920</t>
  </si>
  <si>
    <t xml:space="preserve">"potvrzovat-002"</t>
  </si>
  <si>
    <t xml:space="preserve">"potvrzovat-se-001"</t>
  </si>
  <si>
    <t xml:space="preserve">"potácet-se-001"</t>
  </si>
  <si>
    <t xml:space="preserve">"potáhnout-001"</t>
  </si>
  <si>
    <t xml:space="preserve">"potáhnout-002"</t>
  </si>
  <si>
    <t xml:space="preserve">"potápět-001"</t>
  </si>
  <si>
    <t xml:space="preserve">"potápět-002"</t>
  </si>
  <si>
    <t xml:space="preserve">"potápět-003"</t>
  </si>
  <si>
    <t xml:space="preserve">"potápět-se-001"</t>
  </si>
  <si>
    <t xml:space="preserve">"potápět-se-002"</t>
  </si>
  <si>
    <t xml:space="preserve">"potírat-001"</t>
  </si>
  <si>
    <t xml:space="preserve">"potírat-002"</t>
  </si>
  <si>
    <t xml:space="preserve">"potýkat-se-001"</t>
  </si>
  <si>
    <t xml:space="preserve">ACT-&gt;ARG0/2401,ARG1/24</t>
  </si>
  <si>
    <t xml:space="preserve">PAT-&gt;ARG0/1,ARG1/2548</t>
  </si>
  <si>
    <t xml:space="preserve">"potýrat-001"</t>
  </si>
  <si>
    <t xml:space="preserve">"potěšit-001"</t>
  </si>
  <si>
    <t xml:space="preserve">ACT: 1; ↓že; .f; ↓když</t>
  </si>
  <si>
    <t xml:space="preserve">ACT-&gt;ARG0/8,ARG1/1,ARG2/4</t>
  </si>
  <si>
    <t xml:space="preserve">ACT-&gt;ARG0/16,ARG1/63,ARG2/9</t>
  </si>
  <si>
    <t xml:space="preserve">PAT-&gt;ARG1/3121,ARG2/297</t>
  </si>
  <si>
    <t xml:space="preserve">PAT-&gt;ARG0/58,ARG1/33</t>
  </si>
  <si>
    <t xml:space="preserve">"potěšit-se-001"</t>
  </si>
  <si>
    <t xml:space="preserve">"potěžkávat-001"</t>
  </si>
  <si>
    <t xml:space="preserve">"potřebovat-001"</t>
  </si>
  <si>
    <t xml:space="preserve">ACT-&gt;ARG0/1056,ARG1/4,ARG2/4</t>
  </si>
  <si>
    <t xml:space="preserve">ACT-&gt;ARG0/458,ARG1/4,ARG2/4</t>
  </si>
  <si>
    <t xml:space="preserve">PAT-&gt;ARG1/4322,ARG2/298</t>
  </si>
  <si>
    <t xml:space="preserve">PAT-&gt;ARG1/597,ARG2/2</t>
  </si>
  <si>
    <t xml:space="preserve">ORIG-&gt;ARG1/3,ARG2/43</t>
  </si>
  <si>
    <t xml:space="preserve">"potřebovat-002"</t>
  </si>
  <si>
    <t xml:space="preserve">ACT-&gt;ARG0/3588,ARG1/26,ARG2/5</t>
  </si>
  <si>
    <t xml:space="preserve">PAT: 4; .f; ↓aby; ↓c</t>
  </si>
  <si>
    <t xml:space="preserve">PAT-&gt;ARG1/2320,ARG2/3</t>
  </si>
  <si>
    <t xml:space="preserve">"potřebovat-003"</t>
  </si>
  <si>
    <t xml:space="preserve">ACT-&gt;ARG0/286,ARG1/1</t>
  </si>
  <si>
    <t xml:space="preserve">PAT-&gt;ARG1/312</t>
  </si>
  <si>
    <t xml:space="preserve">"potřásat-001"</t>
  </si>
  <si>
    <t xml:space="preserve">"potřást-001"</t>
  </si>
  <si>
    <t xml:space="preserve">?ADDR: :3; s+7</t>
  </si>
  <si>
    <t xml:space="preserve">ADDR-&gt;ARG3/1</t>
  </si>
  <si>
    <t xml:space="preserve">"potřísnit-001"</t>
  </si>
  <si>
    <t xml:space="preserve">"poukazovat-001"</t>
  </si>
  <si>
    <t xml:space="preserve">ACT-&gt;ARG0/504</t>
  </si>
  <si>
    <t xml:space="preserve">PAT: na+4; ↓že; .s</t>
  </si>
  <si>
    <t xml:space="preserve">PAT-&gt;ARG0/1,ARG1/914,ARG2/2</t>
  </si>
  <si>
    <t xml:space="preserve">PAT-&gt;ARG1/56,ARG2/30</t>
  </si>
  <si>
    <t xml:space="preserve">"poukázat-001"</t>
  </si>
  <si>
    <t xml:space="preserve">"poukázat-002"</t>
  </si>
  <si>
    <t xml:space="preserve">PAT-&gt;ARG1/679</t>
  </si>
  <si>
    <t xml:space="preserve">"pousmát-se-001"</t>
  </si>
  <si>
    <t xml:space="preserve">"poutat-001"</t>
  </si>
  <si>
    <t xml:space="preserve">"poutat-002"</t>
  </si>
  <si>
    <t xml:space="preserve">"poučit-001"</t>
  </si>
  <si>
    <t xml:space="preserve">?PAT: o+6; ↓že; ↓aby; ↓ať; .s; ↓c</t>
  </si>
  <si>
    <t xml:space="preserve">"poučit-se-001"</t>
  </si>
  <si>
    <t xml:space="preserve">PAT: o+6; ↓že; ↓c</t>
  </si>
  <si>
    <t xml:space="preserve">ORIG-&gt;ARG1/6,ARG2/14</t>
  </si>
  <si>
    <t xml:space="preserve">"poučovat-001"</t>
  </si>
  <si>
    <t xml:space="preserve">PAT-&gt;ARG1/1,ARG2/6</t>
  </si>
  <si>
    <t xml:space="preserve">"poučovat-se-001"</t>
  </si>
  <si>
    <t xml:space="preserve">"pouštět-001"</t>
  </si>
  <si>
    <t xml:space="preserve">"pouštět-002"</t>
  </si>
  <si>
    <t xml:space="preserve">"pouštět-003"</t>
  </si>
  <si>
    <t xml:space="preserve">"pouštět-004"</t>
  </si>
  <si>
    <t xml:space="preserve">"pouštět-005"</t>
  </si>
  <si>
    <t xml:space="preserve">"pouštět-006"</t>
  </si>
  <si>
    <t xml:space="preserve">"pouštět-007"</t>
  </si>
  <si>
    <t xml:space="preserve">"pouštět-008"</t>
  </si>
  <si>
    <t xml:space="preserve">"pouštět-se-001"</t>
  </si>
  <si>
    <t xml:space="preserve">PAT-&gt;ARG1/298,ARG2/26</t>
  </si>
  <si>
    <t xml:space="preserve">"pouštět-se-002"</t>
  </si>
  <si>
    <t xml:space="preserve">"pouštět-se-003"</t>
  </si>
  <si>
    <t xml:space="preserve">CPHR: do-1[{hospodaření,kontakt,počet,podnik,polemika,popis,práce,výklad,výroba,...}.2]</t>
  </si>
  <si>
    <t xml:space="preserve">CPHR-&gt;ARG1/97</t>
  </si>
  <si>
    <t xml:space="preserve">"pouštět-se-004"</t>
  </si>
  <si>
    <t xml:space="preserve">"--pouštět-se-005"</t>
  </si>
  <si>
    <t xml:space="preserve">"použít-001"</t>
  </si>
  <si>
    <t xml:space="preserve">ACT-&gt;ARG0/530,ARG1/3,ARG2/34,ARG3/1</t>
  </si>
  <si>
    <t xml:space="preserve">PAT-&gt;ARG1/990,ARG2/1</t>
  </si>
  <si>
    <t xml:space="preserve">ACT-&gt;ARG0/345,ARG1/1</t>
  </si>
  <si>
    <t xml:space="preserve">PAT-&gt;ARG1/672,ARG2/1</t>
  </si>
  <si>
    <t xml:space="preserve">"použít-002"</t>
  </si>
  <si>
    <t xml:space="preserve">EFF: jako[.4]</t>
  </si>
  <si>
    <t xml:space="preserve">"používat-001"</t>
  </si>
  <si>
    <t xml:space="preserve">ACT-&gt;ARG0/555,ARG1/27</t>
  </si>
  <si>
    <t xml:space="preserve">PAT-&gt;ARG1/883,ARG2/63</t>
  </si>
  <si>
    <t xml:space="preserve">"povalit-001"</t>
  </si>
  <si>
    <t xml:space="preserve">"povařit-001"</t>
  </si>
  <si>
    <t xml:space="preserve">"považovat-001"</t>
  </si>
  <si>
    <t xml:space="preserve">ACT-&gt;ARG0/13635,ARG1/189,ARG2/1</t>
  </si>
  <si>
    <t xml:space="preserve">PAT: 4; .f; ↓že; ↓aby; ↓když; ↓c</t>
  </si>
  <si>
    <t xml:space="preserve">PAT-&gt;ARG0/2,ARG1/4135,ARG2/461</t>
  </si>
  <si>
    <t xml:space="preserve">EFF: za+4; za-1[.a4]; .a4[{jako,jakožto}:/AuxY]</t>
  </si>
  <si>
    <t xml:space="preserve">EFF-&gt;ARG0/2,ARG1/11648,ARG2/3693</t>
  </si>
  <si>
    <t xml:space="preserve">"považovat-se-001"</t>
  </si>
  <si>
    <t xml:space="preserve">ACT-&gt;ARG0/108,ARG1/177,ARG2/1</t>
  </si>
  <si>
    <t xml:space="preserve">PAT-&gt;ARG1/3,ARG2/156</t>
  </si>
  <si>
    <t xml:space="preserve">"považovat-si-001"</t>
  </si>
  <si>
    <t xml:space="preserve">"povdávat-se-001"</t>
  </si>
  <si>
    <t xml:space="preserve">"povinovat-001"</t>
  </si>
  <si>
    <t xml:space="preserve">PAT-&gt;ARG1/2,ARG2/145</t>
  </si>
  <si>
    <t xml:space="preserve">ADDR-&gt;ARG1/139,ARG2/5</t>
  </si>
  <si>
    <t xml:space="preserve">"povolat-001"</t>
  </si>
  <si>
    <t xml:space="preserve">"povolit-001"</t>
  </si>
  <si>
    <t xml:space="preserve">ACT-&gt;ARG0/732,ARG1/35,ARG2/3</t>
  </si>
  <si>
    <t xml:space="preserve">PAT: 4; .f; ↓aby; ↓ať; ↓že</t>
  </si>
  <si>
    <t xml:space="preserve">PAT-&gt;ARG1/885,ARG2/2,ARG4/23</t>
  </si>
  <si>
    <t xml:space="preserve">ADDR-&gt;ARG1/6,ARG2/40</t>
  </si>
  <si>
    <t xml:space="preserve">"povolit-002"</t>
  </si>
  <si>
    <t xml:space="preserve">ORIG-&gt;ARG3/6</t>
  </si>
  <si>
    <t xml:space="preserve">"povolit-003"</t>
  </si>
  <si>
    <t xml:space="preserve">ACT-&gt;ARG0/111,ARG1/2</t>
  </si>
  <si>
    <t xml:space="preserve">PAT-&gt;ARG1/215,ARG2/1</t>
  </si>
  <si>
    <t xml:space="preserve">"povolit-004"</t>
  </si>
  <si>
    <t xml:space="preserve">"povolovat-001"</t>
  </si>
  <si>
    <t xml:space="preserve">ACT-&gt;ARG0/431,ARG1/1</t>
  </si>
  <si>
    <t xml:space="preserve">PAT: 4; ↓aby; .f; ↓že; ↓c</t>
  </si>
  <si>
    <t xml:space="preserve">PAT-&gt;ARG1/688</t>
  </si>
  <si>
    <t xml:space="preserve">"povolávat-001"</t>
  </si>
  <si>
    <t xml:space="preserve">"povozit-001"</t>
  </si>
  <si>
    <t xml:space="preserve">"povozit-se-001"</t>
  </si>
  <si>
    <t xml:space="preserve">"povstat-001"</t>
  </si>
  <si>
    <t xml:space="preserve">"povstat-002"</t>
  </si>
  <si>
    <t xml:space="preserve">"povstat-003"</t>
  </si>
  <si>
    <t xml:space="preserve">"povstat-004"</t>
  </si>
  <si>
    <t xml:space="preserve">"povstávat-001"</t>
  </si>
  <si>
    <t xml:space="preserve">"povykládat-001"</t>
  </si>
  <si>
    <t xml:space="preserve">"povykládat-si-001"</t>
  </si>
  <si>
    <t xml:space="preserve">"povyprávět-001"</t>
  </si>
  <si>
    <t xml:space="preserve">"povyrazit-si-001"</t>
  </si>
  <si>
    <t xml:space="preserve">"povyrůst-001"</t>
  </si>
  <si>
    <t xml:space="preserve">"povyrůst-002"</t>
  </si>
  <si>
    <t xml:space="preserve">"povyšovat-001"</t>
  </si>
  <si>
    <t xml:space="preserve">ACT-&gt;ARG0/137,ARG1/5</t>
  </si>
  <si>
    <t xml:space="preserve">PAT-&gt;ARG1/291,ARG2/2,ARG3/2</t>
  </si>
  <si>
    <t xml:space="preserve">EFF-&gt;ARG1/2,ARG2/98,ARG3/2,ARG4/27</t>
  </si>
  <si>
    <t xml:space="preserve">"povyšovat-se-001"</t>
  </si>
  <si>
    <t xml:space="preserve">"povzbudit-001"</t>
  </si>
  <si>
    <t xml:space="preserve">PAT: k+3; ↓aby; do+2</t>
  </si>
  <si>
    <t xml:space="preserve">ACT-&gt;ARG0/76,ARG2/1</t>
  </si>
  <si>
    <t xml:space="preserve">PAT-&gt;ARG1/42,ARG2/44</t>
  </si>
  <si>
    <t xml:space="preserve">ADDR-&gt;ARG1/52,ARG2/2</t>
  </si>
  <si>
    <t xml:space="preserve">ADDR-&gt;ARG1/44,ARG2/2</t>
  </si>
  <si>
    <t xml:space="preserve">"povzbudit-002"</t>
  </si>
  <si>
    <t xml:space="preserve">ACT-&gt;ARG0/156,ARG2/31</t>
  </si>
  <si>
    <t xml:space="preserve">"povzbuzovat-001"</t>
  </si>
  <si>
    <t xml:space="preserve">PAT: k+3; ↓aby; .f; v+6</t>
  </si>
  <si>
    <t xml:space="preserve">"povzbuzovat-002"</t>
  </si>
  <si>
    <t xml:space="preserve">ACT-&gt;ARG0/37,ARG2/1</t>
  </si>
  <si>
    <t xml:space="preserve">ACT-&gt;ARG0/663,ARG1/7,ARG3/9</t>
  </si>
  <si>
    <t xml:space="preserve">PAT-&gt;ARG1/886,ARG2/19</t>
  </si>
  <si>
    <t xml:space="preserve">"povzdechnout-si-001"</t>
  </si>
  <si>
    <t xml:space="preserve">"povzdychnout-si-001"</t>
  </si>
  <si>
    <t xml:space="preserve">"povzdychnout-si-002"</t>
  </si>
  <si>
    <t xml:space="preserve">EFF-&gt;ARG1/90</t>
  </si>
  <si>
    <t xml:space="preserve">"povznést-001"</t>
  </si>
  <si>
    <t xml:space="preserve">"povznést-se-001"</t>
  </si>
  <si>
    <t xml:space="preserve">"povážit-001"</t>
  </si>
  <si>
    <t xml:space="preserve">PAT: 4; ↓že; ↓jestli; ↓zda; ↓c; .f</t>
  </si>
  <si>
    <t xml:space="preserve">"povést-se-001"</t>
  </si>
  <si>
    <t xml:space="preserve">ACT-&gt;ARG0/197,ARG1/55</t>
  </si>
  <si>
    <t xml:space="preserve">"povídat-001"</t>
  </si>
  <si>
    <t xml:space="preserve">PAT-&gt;ARG0/4,ARG1/10918,ARG2/3,ARG3/29</t>
  </si>
  <si>
    <t xml:space="preserve">"povídat-002"</t>
  </si>
  <si>
    <t xml:space="preserve">"povídat-003"</t>
  </si>
  <si>
    <t xml:space="preserve">EFF: .s</t>
  </si>
  <si>
    <t xml:space="preserve">"povídat-004"</t>
  </si>
  <si>
    <t xml:space="preserve">"povídat-005"</t>
  </si>
  <si>
    <t xml:space="preserve">PAT: ↓jestli</t>
  </si>
  <si>
    <t xml:space="preserve">"povídat-si-001"</t>
  </si>
  <si>
    <t xml:space="preserve">?PAT: o+6; ↓zda; ↓c</t>
  </si>
  <si>
    <t xml:space="preserve">"povídat-si-002"</t>
  </si>
  <si>
    <t xml:space="preserve">"povýšit-001"</t>
  </si>
  <si>
    <t xml:space="preserve">ACT-&gt;ARG0/17,ARG1/8</t>
  </si>
  <si>
    <t xml:space="preserve">ACT-&gt;ARG0/168,ARG1/5</t>
  </si>
  <si>
    <t xml:space="preserve">PAT-&gt;ARG1/456,ARG2/9,ARG3/2</t>
  </si>
  <si>
    <t xml:space="preserve">EFF-&gt;ARG1/3,ARG2/185,ARG3/2,ARG4/27</t>
  </si>
  <si>
    <t xml:space="preserve">"povýšit-002"</t>
  </si>
  <si>
    <t xml:space="preserve">"povědět-001"</t>
  </si>
  <si>
    <t xml:space="preserve">ACT-&gt;ARG0/26351,ARG1/85</t>
  </si>
  <si>
    <t xml:space="preserve">ADDR-&gt;ARG1/24,ARG2/372</t>
  </si>
  <si>
    <t xml:space="preserve">EFF-&gt;ARG0/9,ARG1/23488,ARG2/28,ARG3/58</t>
  </si>
  <si>
    <t xml:space="preserve">PAT-&gt;ARG0/9,ARG1/23488,ARG2/28,ARG3/58</t>
  </si>
  <si>
    <t xml:space="preserve">"pověsit-001"</t>
  </si>
  <si>
    <t xml:space="preserve">ACT-&gt;ARG0/161,ARG1/1</t>
  </si>
  <si>
    <t xml:space="preserve">PAT-&gt;ARG1/261,ARG2/4</t>
  </si>
  <si>
    <t xml:space="preserve">"pověsit-se-001"</t>
  </si>
  <si>
    <t xml:space="preserve">"pověřit-001"</t>
  </si>
  <si>
    <t xml:space="preserve">ACT-&gt;ARG0/354,ARG1/1</t>
  </si>
  <si>
    <t xml:space="preserve">ACT-&gt;ARG0/321</t>
  </si>
  <si>
    <t xml:space="preserve">PAT: 7; .f; k+3; ↓aby</t>
  </si>
  <si>
    <t xml:space="preserve">PAT-&gt;ARG1/354,ARG2/229</t>
  </si>
  <si>
    <t xml:space="preserve">PAT-&gt;ARG1/460,ARG2/1</t>
  </si>
  <si>
    <t xml:space="preserve">ADDR-&gt;ARG1/360,ARG2/320</t>
  </si>
  <si>
    <t xml:space="preserve">ADDR-&gt;ARG1/4,ARG2/380</t>
  </si>
  <si>
    <t xml:space="preserve">"pověřovat-001"</t>
  </si>
  <si>
    <t xml:space="preserve">PAT: 7; k+3; ↓aby; .f</t>
  </si>
  <si>
    <t xml:space="preserve">ADDR-&gt;ARG2/71</t>
  </si>
  <si>
    <t xml:space="preserve">"povšimnout-si-001"</t>
  </si>
  <si>
    <t xml:space="preserve">ACT-&gt;ARG0/247,ARG1/2</t>
  </si>
  <si>
    <t xml:space="preserve">ACT-&gt;ARG0/427,ARG1/1</t>
  </si>
  <si>
    <t xml:space="preserve">PAT: 2; ↓že; ↓zda; ↓jestli; ↓c</t>
  </si>
  <si>
    <t xml:space="preserve">PAT-&gt;ARG1/224,ARG2/52</t>
  </si>
  <si>
    <t xml:space="preserve">PAT-&gt;ARG1/583,ARG2/1,ARG3/1</t>
  </si>
  <si>
    <t xml:space="preserve">"pozabíjet-001"</t>
  </si>
  <si>
    <t xml:space="preserve">"pozapomenout-001"</t>
  </si>
  <si>
    <t xml:space="preserve">PAT: 4; na+4; ↓že; ↓zda; ↓c; .f</t>
  </si>
  <si>
    <t xml:space="preserve">"pozastavit-001"</t>
  </si>
  <si>
    <t xml:space="preserve">ACT-&gt;ARG0/151,ARG1/3,ARG3/6</t>
  </si>
  <si>
    <t xml:space="preserve">ACT-&gt;ARG0/245,ARG1/3,ARG3/3</t>
  </si>
  <si>
    <t xml:space="preserve">PAT-&gt;ARG0/1,ARG1/275,ARG2/15</t>
  </si>
  <si>
    <t xml:space="preserve">PAT-&gt;ARG0/6,ARG1/457</t>
  </si>
  <si>
    <t xml:space="preserve">"pozastavit-se-001"</t>
  </si>
  <si>
    <t xml:space="preserve">"pozastavit-se-002"</t>
  </si>
  <si>
    <t xml:space="preserve">"pozastavit-se-003"</t>
  </si>
  <si>
    <t xml:space="preserve">"pozastavovat-001"</t>
  </si>
  <si>
    <t xml:space="preserve">"pozastavovat-002"</t>
  </si>
  <si>
    <t xml:space="preserve">"pozastavovat-se-001"</t>
  </si>
  <si>
    <t xml:space="preserve">"pozatýkat-001"</t>
  </si>
  <si>
    <t xml:space="preserve">"pozbýt-001"</t>
  </si>
  <si>
    <t xml:space="preserve">"pozbýt-002"</t>
  </si>
  <si>
    <t xml:space="preserve">CPHR: {naděje,odvaha,smysl,vtipnost,...}.2; {naděje,odvaha,smysl,vtipnost,...}.4</t>
  </si>
  <si>
    <t xml:space="preserve">"pozbývat-001"</t>
  </si>
  <si>
    <t xml:space="preserve">CPHR: {naděje,odvaha,platnost,smysl,vtipnost,...}.2; {naděje,odvaha,platnost,smysl,vtipnost,...}.4</t>
  </si>
  <si>
    <t xml:space="preserve">"pozdravit-001"</t>
  </si>
  <si>
    <t xml:space="preserve">PAT-&gt;ARG1/33,ARG2/20</t>
  </si>
  <si>
    <t xml:space="preserve">"pozdravit-002"</t>
  </si>
  <si>
    <t xml:space="preserve">"--pozdravit-se-001"</t>
  </si>
  <si>
    <t xml:space="preserve">"pozdravovat-001"</t>
  </si>
  <si>
    <t xml:space="preserve">"pozdržet-001"</t>
  </si>
  <si>
    <t xml:space="preserve">PAT-&gt;ARG1/91</t>
  </si>
  <si>
    <t xml:space="preserve">"pozdržovat-001"</t>
  </si>
  <si>
    <t xml:space="preserve">"pozdvihnout-001"</t>
  </si>
  <si>
    <t xml:space="preserve">"pozměnit-001"</t>
  </si>
  <si>
    <t xml:space="preserve">PAT-&gt;ARG1/106,ARG2/2</t>
  </si>
  <si>
    <t xml:space="preserve">EFF-&gt;ARG2/52</t>
  </si>
  <si>
    <t xml:space="preserve">"pozměňovat-001"</t>
  </si>
  <si>
    <t xml:space="preserve">"poznamenat-001"</t>
  </si>
  <si>
    <t xml:space="preserve">"poznamenat-002"</t>
  </si>
  <si>
    <t xml:space="preserve">ACT-&gt;ARG0/129,ARG2/76</t>
  </si>
  <si>
    <t xml:space="preserve">PAT-&gt;ARG1/253</t>
  </si>
  <si>
    <t xml:space="preserve">"poznamenat-003"</t>
  </si>
  <si>
    <t xml:space="preserve">ACT-&gt;ARG0/12326,ARG1/36</t>
  </si>
  <si>
    <t xml:space="preserve">EFF: 4; ↓že; ↓ať; ↓aby; ↓zda; ↓jak-2; .s; ↓c</t>
  </si>
  <si>
    <t xml:space="preserve">EFF-&gt;ARG0/2,ARG1/10698,ARG2/2</t>
  </si>
  <si>
    <t xml:space="preserve">"poznamenat-004"</t>
  </si>
  <si>
    <t xml:space="preserve">EFF: 4; ↓že; ↓ať; ↓aby; ↓zda; .s; ↓c</t>
  </si>
  <si>
    <t xml:space="preserve">EFF-&gt;ARG1/211</t>
  </si>
  <si>
    <t xml:space="preserve">"poznamenat-005"</t>
  </si>
  <si>
    <t xml:space="preserve">"poznamenat-se-001"</t>
  </si>
  <si>
    <t xml:space="preserve">"poznamenávat-001"</t>
  </si>
  <si>
    <t xml:space="preserve">"poznamenávat-002"</t>
  </si>
  <si>
    <t xml:space="preserve">"poznamenávat-003"</t>
  </si>
  <si>
    <t xml:space="preserve">"poznamenávat-004"</t>
  </si>
  <si>
    <t xml:space="preserve">"poznat-001"</t>
  </si>
  <si>
    <t xml:space="preserve">"poznat-002"</t>
  </si>
  <si>
    <t xml:space="preserve">"poznat-003"</t>
  </si>
  <si>
    <t xml:space="preserve">ACT-&gt;ARG0/386,ARG1/11</t>
  </si>
  <si>
    <t xml:space="preserve">PAT: 4; 2; ↓že; ↓zda; ↓jestli; ↓c</t>
  </si>
  <si>
    <t xml:space="preserve">PAT-&gt;ARG1/457,ARG2/17</t>
  </si>
  <si>
    <t xml:space="preserve">"poznat-004"</t>
  </si>
  <si>
    <t xml:space="preserve">PAT: 4; ↓c; ↓že; ↓jestli</t>
  </si>
  <si>
    <t xml:space="preserve">ACT-&gt;ARG0/406,ARG1/1</t>
  </si>
  <si>
    <t xml:space="preserve">PAT-&gt;ARG1/570,ARG2/21</t>
  </si>
  <si>
    <t xml:space="preserve">"poznat-005"</t>
  </si>
  <si>
    <t xml:space="preserve">PAT-&gt;ARG1/15,ARG2/2</t>
  </si>
  <si>
    <t xml:space="preserve">"--poznat-se-001"</t>
  </si>
  <si>
    <t xml:space="preserve">"poznačit-001"</t>
  </si>
  <si>
    <t xml:space="preserve">"poznávat-001"</t>
  </si>
  <si>
    <t xml:space="preserve">"poznávat-002"</t>
  </si>
  <si>
    <t xml:space="preserve">"poznávat-003"</t>
  </si>
  <si>
    <t xml:space="preserve">"pozorovat-001"</t>
  </si>
  <si>
    <t xml:space="preserve">ACT-&gt;ARG0/414,ARG1/2</t>
  </si>
  <si>
    <t xml:space="preserve">PAT-&gt;ARG1/789,ARG2/1</t>
  </si>
  <si>
    <t xml:space="preserve">"pozorovat-002"</t>
  </si>
  <si>
    <t xml:space="preserve">ACT-&gt;ARG0/369,ARG1/1</t>
  </si>
  <si>
    <t xml:space="preserve">ACT-&gt;ARG0/470,ARG1/6</t>
  </si>
  <si>
    <t xml:space="preserve">PAT-&gt;ARG1/648,ARG2/1,ARG3/4</t>
  </si>
  <si>
    <t xml:space="preserve">"poztrácet-001"</t>
  </si>
  <si>
    <t xml:space="preserve">"pozvat-001"</t>
  </si>
  <si>
    <t xml:space="preserve">"pozvedat-001"</t>
  </si>
  <si>
    <t xml:space="preserve">"pozvednout-001"</t>
  </si>
  <si>
    <t xml:space="preserve">"pozvednout-002"</t>
  </si>
  <si>
    <t xml:space="preserve">ACT-&gt;ARG0/236,ARG2/12</t>
  </si>
  <si>
    <t xml:space="preserve">ACT-&gt;ARG0/803,ARG1/74,ARG2/17,ARG3/9</t>
  </si>
  <si>
    <t xml:space="preserve">PAT-&gt;ARG1/1196,ARG2/17,ARG4/70</t>
  </si>
  <si>
    <t xml:space="preserve">"pozvednout-003"</t>
  </si>
  <si>
    <t xml:space="preserve">DPHR: obočí.S4</t>
  </si>
  <si>
    <t xml:space="preserve">"pozvednout-se-001"</t>
  </si>
  <si>
    <t xml:space="preserve">"pozvedávat-001"</t>
  </si>
  <si>
    <t xml:space="preserve">"pozvedávat-002"</t>
  </si>
  <si>
    <t xml:space="preserve">"pozřít-001"</t>
  </si>
  <si>
    <t xml:space="preserve">"pozůstavit-001"</t>
  </si>
  <si>
    <t xml:space="preserve">"počastovat-001"</t>
  </si>
  <si>
    <t xml:space="preserve">"počeštit-001"</t>
  </si>
  <si>
    <t xml:space="preserve">"počešťovat-001"</t>
  </si>
  <si>
    <t xml:space="preserve">"počkat-001"</t>
  </si>
  <si>
    <t xml:space="preserve">PAT: na+4; ↓jestli; ↓až-2; ↓zda; ↓dokud; ↓c; ↓než-2</t>
  </si>
  <si>
    <t xml:space="preserve">ACT-&gt;ARG1/87,ARG2/2</t>
  </si>
  <si>
    <t xml:space="preserve">PAT-&gt;ARG2/96,ARGm-TMP/12</t>
  </si>
  <si>
    <t xml:space="preserve">ACT-&gt;ARG1/16,ARG2/1</t>
  </si>
  <si>
    <t xml:space="preserve">PAT-&gt;ARG2/3,ARGm-TMP/11</t>
  </si>
  <si>
    <t xml:space="preserve">ACT-&gt;ARG0/544,ARG1/49,ARG2/1</t>
  </si>
  <si>
    <t xml:space="preserve">PAT-&gt;ARG1/678,ARG2/1</t>
  </si>
  <si>
    <t xml:space="preserve">"počkat-si-001"</t>
  </si>
  <si>
    <t xml:space="preserve">PAT: na+4; ↓c; ↓až-2</t>
  </si>
  <si>
    <t xml:space="preserve">PAT-&gt;ARG2/8,ARGm-TMP/1</t>
  </si>
  <si>
    <t xml:space="preserve">"počurat-se-001"</t>
  </si>
  <si>
    <t xml:space="preserve">"počíhat-si-001"</t>
  </si>
  <si>
    <t xml:space="preserve">"počínat-001"</t>
  </si>
  <si>
    <t xml:space="preserve">ACT-&gt;ARG1/27</t>
  </si>
  <si>
    <t xml:space="preserve">"--počínat-se-001"</t>
  </si>
  <si>
    <t xml:space="preserve">"počínat-si-001"</t>
  </si>
  <si>
    <t xml:space="preserve">"počíst-si-001"</t>
  </si>
  <si>
    <t xml:space="preserve">?EFF: 4</t>
  </si>
  <si>
    <t xml:space="preserve">"počít-001"</t>
  </si>
  <si>
    <t xml:space="preserve">"počít-002"</t>
  </si>
  <si>
    <t xml:space="preserve">ACT-&gt;ARG0/111,ARG1/42,ARG2/1</t>
  </si>
  <si>
    <t xml:space="preserve">PAT-&gt;ARG1/123,ARG2/1</t>
  </si>
  <si>
    <t xml:space="preserve">"počít-si-001"</t>
  </si>
  <si>
    <t xml:space="preserve">DPHR: co-1.P4</t>
  </si>
  <si>
    <t xml:space="preserve">"počítat-001"</t>
  </si>
  <si>
    <t xml:space="preserve">"počítat-002"</t>
  </si>
  <si>
    <t xml:space="preserve">ACT-&gt;ARG0/42,ARG1/1</t>
  </si>
  <si>
    <t xml:space="preserve">PAT-&gt;ARG1/412</t>
  </si>
  <si>
    <t xml:space="preserve">"počítat-003"</t>
  </si>
  <si>
    <t xml:space="preserve">EFF: za+4; 4[{jako,jakožto}:/AuxY]</t>
  </si>
  <si>
    <t xml:space="preserve">"počítat-004"</t>
  </si>
  <si>
    <t xml:space="preserve">"počítat-005"</t>
  </si>
  <si>
    <t xml:space="preserve">"počítat-006"</t>
  </si>
  <si>
    <t xml:space="preserve">ACT-&gt;ARG0/70,ARG1/1</t>
  </si>
  <si>
    <t xml:space="preserve">PAT: 4; ↓že; ↓zda; ↓jestli; .v[kolik]</t>
  </si>
  <si>
    <t xml:space="preserve">PAT-&gt;ARG1/494</t>
  </si>
  <si>
    <t xml:space="preserve">"počítat-007"</t>
  </si>
  <si>
    <t xml:space="preserve">ACT-&gt;ARG0/1334,ARG1/3106,ARG2/749</t>
  </si>
  <si>
    <t xml:space="preserve">PAT-&gt;ARG1/2588,ARG2/3457</t>
  </si>
  <si>
    <t xml:space="preserve">"pořezat-se-001"</t>
  </si>
  <si>
    <t xml:space="preserve">"pořizovat-001"</t>
  </si>
  <si>
    <t xml:space="preserve">"pořizovat-002"</t>
  </si>
  <si>
    <t xml:space="preserve">CPHR: {dopis,fotka,fotografie,kopie,výstup,zápis,záznam,...}.4</t>
  </si>
  <si>
    <t xml:space="preserve">ACT-&gt;ARG0/156,ARG1/2,ARG2/3</t>
  </si>
  <si>
    <t xml:space="preserve">CPHR-&gt;ARG1/245</t>
  </si>
  <si>
    <t xml:space="preserve">CPHR-&gt;ARG1/918,ARG3/1,ARG4/5</t>
  </si>
  <si>
    <t xml:space="preserve">"pořizovat-003"</t>
  </si>
  <si>
    <t xml:space="preserve">"pořádat-001"</t>
  </si>
  <si>
    <t xml:space="preserve">ACT-&gt;ARG0/416,ARG1/2</t>
  </si>
  <si>
    <t xml:space="preserve">ACT-&gt;ARG0/496,ARG1/1</t>
  </si>
  <si>
    <t xml:space="preserve">PAT-&gt;ARG1/471</t>
  </si>
  <si>
    <t xml:space="preserve">PAT-&gt;ARG1/775</t>
  </si>
  <si>
    <t xml:space="preserve">"pořídit-001"</t>
  </si>
  <si>
    <t xml:space="preserve">ACT-&gt;ARG0/647,ARG1/7</t>
  </si>
  <si>
    <t xml:space="preserve">PAT-&gt;ARG0/2,ARG1/1077,ARG3/1,ARG4/1</t>
  </si>
  <si>
    <t xml:space="preserve">ADDR-&gt;ARG4/6</t>
  </si>
  <si>
    <t xml:space="preserve">ORIG-&gt;ARG1/4,ARG2/84</t>
  </si>
  <si>
    <t xml:space="preserve">"pořídit-002"</t>
  </si>
  <si>
    <t xml:space="preserve">BEN-&gt;ARG1/2,ARG2/2,ARGM-MNR/22</t>
  </si>
  <si>
    <t xml:space="preserve">MEANS-&gt;ARG1/2,ARG2/2,ARGM-MNR/22</t>
  </si>
  <si>
    <t xml:space="preserve">ACMP-&gt;ARG1/2,ARG2/2,ARGM-MNR/22</t>
  </si>
  <si>
    <t xml:space="preserve">CRIT-&gt;ARG1/2,ARG2/2,ARGM-MNR/22</t>
  </si>
  <si>
    <t xml:space="preserve">CPR-&gt;ARG1/2,ARG2/2,ARGM-MNR/22</t>
  </si>
  <si>
    <t xml:space="preserve">"pořídit-003"</t>
  </si>
  <si>
    <t xml:space="preserve">CPHR: {dokumentace,fotka,fotografie,obrázek,snímek,záběr,zápis,záznam,...}.4</t>
  </si>
  <si>
    <t xml:space="preserve">"pořídit-004"</t>
  </si>
  <si>
    <t xml:space="preserve">"pořídit-005"</t>
  </si>
  <si>
    <t xml:space="preserve">"pošeptat-001"</t>
  </si>
  <si>
    <t xml:space="preserve">EFF: 4; ↓že; ↓aby; ↓ať; ↓jak-2; .s; ↓c</t>
  </si>
  <si>
    <t xml:space="preserve">"poškodit-001"</t>
  </si>
  <si>
    <t xml:space="preserve">ACT-&gt;ARG0/170,ARG1/3102,ARG2/372</t>
  </si>
  <si>
    <t xml:space="preserve">PAT-&gt;ARG1/332</t>
  </si>
  <si>
    <t xml:space="preserve">"poškorpit-se-001"</t>
  </si>
  <si>
    <t xml:space="preserve">?PAT: o+4; ↓zda; ↓jestli; ↓c; .s</t>
  </si>
  <si>
    <t xml:space="preserve">"poškozovat-001"</t>
  </si>
  <si>
    <t xml:space="preserve">ACT-&gt;ARG0/64,ARG1/1,ARG2/83</t>
  </si>
  <si>
    <t xml:space="preserve">PAT-&gt;ARG1/192</t>
  </si>
  <si>
    <t xml:space="preserve">"poškrábat-001"</t>
  </si>
  <si>
    <t xml:space="preserve">"pošlapávat-001"</t>
  </si>
  <si>
    <t xml:space="preserve">"pošpinit-001"</t>
  </si>
  <si>
    <t xml:space="preserve">ACT-&gt;ARG0/99,ARG2/3</t>
  </si>
  <si>
    <t xml:space="preserve">PAT-&gt;ARG1/139</t>
  </si>
  <si>
    <t xml:space="preserve">"pošramotit-001"</t>
  </si>
  <si>
    <t xml:space="preserve">ACT-&gt;ARG0/139,ARG1/3,ARG2/41</t>
  </si>
  <si>
    <t xml:space="preserve">PAT-&gt;ARG1/239,ARG2/4</t>
  </si>
  <si>
    <t xml:space="preserve">"poštvat-001"</t>
  </si>
  <si>
    <t xml:space="preserve">PAT: proti+3; na+4</t>
  </si>
  <si>
    <t xml:space="preserve">"poštvávat-001"</t>
  </si>
  <si>
    <t xml:space="preserve">"poštípat-001"</t>
  </si>
  <si>
    <t xml:space="preserve">"poštěstit-se-001"</t>
  </si>
  <si>
    <t xml:space="preserve">"pošupovat-001"</t>
  </si>
  <si>
    <t xml:space="preserve">"pošušňávat-si-001"</t>
  </si>
  <si>
    <t xml:space="preserve">"pošťuchovat-se-001"</t>
  </si>
  <si>
    <t xml:space="preserve">"požadovat-001"</t>
  </si>
  <si>
    <t xml:space="preserve">ACT-&gt;ARG0/1539,ARG1/5,ARG2/5</t>
  </si>
  <si>
    <t xml:space="preserve">ACT-&gt;ARG0/1221,ARG1/3,ARG2/4</t>
  </si>
  <si>
    <t xml:space="preserve">PAT: 4; ↓aby; ↓ať; .f</t>
  </si>
  <si>
    <t xml:space="preserve">PAT-&gt;ARG0/1,ARG1/1868,ARG2/213,ARG3/2</t>
  </si>
  <si>
    <t xml:space="preserve">PAT-&gt;ARG1/1411,ARG2/84</t>
  </si>
  <si>
    <t xml:space="preserve">?ORIG: od+2; po+6; na+6</t>
  </si>
  <si>
    <t xml:space="preserve">ORIG-&gt;ARG1/11,ARG2/179</t>
  </si>
  <si>
    <t xml:space="preserve">"požehnat-001"</t>
  </si>
  <si>
    <t xml:space="preserve">"požehnat-002"</t>
  </si>
  <si>
    <t xml:space="preserve">"požádat-001"</t>
  </si>
  <si>
    <t xml:space="preserve">PAT: o+4; ↓aby; ↓ať; ↓zda; ↓jestli; .s; ↓že</t>
  </si>
  <si>
    <t xml:space="preserve">ACT-&gt;ARG0/1032,ARG1/3,ARG2/5</t>
  </si>
  <si>
    <t xml:space="preserve">PAT-&gt;ARG1/1243,ARG2/91</t>
  </si>
  <si>
    <t xml:space="preserve">ADDR-&gt;ARG1/91,ARG2/170</t>
  </si>
  <si>
    <t xml:space="preserve">ADDR-&gt;ARG1/75,ARG2/180</t>
  </si>
  <si>
    <t xml:space="preserve">"požírat-001"</t>
  </si>
  <si>
    <t xml:space="preserve">"požírat-002"</t>
  </si>
  <si>
    <t xml:space="preserve">"požít-001"</t>
  </si>
  <si>
    <t xml:space="preserve">"požívat-001"</t>
  </si>
  <si>
    <t xml:space="preserve">"požívat-002"</t>
  </si>
  <si>
    <t xml:space="preserve">"pracovat-001"</t>
  </si>
  <si>
    <t xml:space="preserve">ACT-&gt;ARG0/353,ARG1/280,ARG2/3</t>
  </si>
  <si>
    <t xml:space="preserve">ACT-&gt;ARG0/231,ARG1/1</t>
  </si>
  <si>
    <t xml:space="preserve">PAT-&gt;ARG1/233,ARG2/3,ARG3/1</t>
  </si>
  <si>
    <t xml:space="preserve">PAT-&gt;ARG1/120,ARG2/37,ARG3/1</t>
  </si>
  <si>
    <t xml:space="preserve">"pracovat-002"</t>
  </si>
  <si>
    <t xml:space="preserve">ACT-&gt;ARG0/202,ARG1/5</t>
  </si>
  <si>
    <t xml:space="preserve">PAT-&gt;ARG1/36,ARG2/1,ARG3/45,ARG4/2</t>
  </si>
  <si>
    <t xml:space="preserve">"pracovat-003"</t>
  </si>
  <si>
    <t xml:space="preserve">ACT-&gt;ARG0/299,ARG1/64</t>
  </si>
  <si>
    <t xml:space="preserve">PAT-&gt;ARG1/4,ARG2/7,ARG3/46</t>
  </si>
  <si>
    <t xml:space="preserve">"pracovat-004"</t>
  </si>
  <si>
    <t xml:space="preserve">ACT-&gt;ARG0/531,ARG1/3474,ARG2/299,ARG3/1</t>
  </si>
  <si>
    <t xml:space="preserve">ACT-&gt;ARG0/427,ARG1/3</t>
  </si>
  <si>
    <t xml:space="preserve">"pracovat-005"</t>
  </si>
  <si>
    <t xml:space="preserve">ACT-&gt;ARG0/271,ARG1/74</t>
  </si>
  <si>
    <t xml:space="preserve">"pracovat-006"</t>
  </si>
  <si>
    <t xml:space="preserve">"prahnout-001"</t>
  </si>
  <si>
    <t xml:space="preserve">"praktikovat-001"</t>
  </si>
  <si>
    <t xml:space="preserve">"pramenit-001"</t>
  </si>
  <si>
    <t xml:space="preserve">ACT-&gt;ARG1/121,ARG2/4</t>
  </si>
  <si>
    <t xml:space="preserve">PAT: z+2; od+2; odtud; odsud; odkudkoliv; odevšad; odtamtud; odjinud; odkud; odněkud; odnikud; odkudsi</t>
  </si>
  <si>
    <t xml:space="preserve">PAT-&gt;ARG1/4,ARG2/99</t>
  </si>
  <si>
    <t xml:space="preserve">"pramenit-002"</t>
  </si>
  <si>
    <t xml:space="preserve">"pranýřovat-001"</t>
  </si>
  <si>
    <t xml:space="preserve">"praskat-001"</t>
  </si>
  <si>
    <t xml:space="preserve">"praskat-002"</t>
  </si>
  <si>
    <t xml:space="preserve">DPHR: v-1[šev.P6]</t>
  </si>
  <si>
    <t xml:space="preserve">"prasknout-001"</t>
  </si>
  <si>
    <t xml:space="preserve">"prasknout-002"</t>
  </si>
  <si>
    <t xml:space="preserve">"pravit-001"</t>
  </si>
  <si>
    <t xml:space="preserve">"pravit-002"</t>
  </si>
  <si>
    <t xml:space="preserve">PAT: tak-3</t>
  </si>
  <si>
    <t xml:space="preserve">"pravit-003"</t>
  </si>
  <si>
    <t xml:space="preserve">EFF: 4; ↓že; ↓aby; ↓ať; ↓jak-2; ↓jestli; tak.d; .s; ↓c</t>
  </si>
  <si>
    <t xml:space="preserve">"praštit-001"</t>
  </si>
  <si>
    <t xml:space="preserve">"praštit-002"</t>
  </si>
  <si>
    <t xml:space="preserve">"praštit-003"</t>
  </si>
  <si>
    <t xml:space="preserve">"praštět-001"</t>
  </si>
  <si>
    <t xml:space="preserve">"pražit-001"</t>
  </si>
  <si>
    <t xml:space="preserve">"prchat-001"</t>
  </si>
  <si>
    <t xml:space="preserve">?PAT: 3; před+7</t>
  </si>
  <si>
    <t xml:space="preserve">"prchat-002"</t>
  </si>
  <si>
    <t xml:space="preserve">"prchnout-001"</t>
  </si>
  <si>
    <t xml:space="preserve">"predisponovat-001"</t>
  </si>
  <si>
    <t xml:space="preserve">"preferovat-001"</t>
  </si>
  <si>
    <t xml:space="preserve">PAT-&gt;ARG1/164</t>
  </si>
  <si>
    <t xml:space="preserve">?EFF: před+7; proti+3; oproti+3</t>
  </si>
  <si>
    <t xml:space="preserve">"prezentovat-001"</t>
  </si>
  <si>
    <t xml:space="preserve">ADDR-&gt;ARG2/13</t>
  </si>
  <si>
    <t xml:space="preserve">"prezentovat-002"</t>
  </si>
  <si>
    <t xml:space="preserve">"prezentovat-se-001"</t>
  </si>
  <si>
    <t xml:space="preserve">ACT-&gt;ARG0/34,ARG1/44</t>
  </si>
  <si>
    <t xml:space="preserve">"prezentovat-se-002"</t>
  </si>
  <si>
    <t xml:space="preserve">MANN-&gt;ARG1/143</t>
  </si>
  <si>
    <t xml:space="preserve">"privatizovat-001"</t>
  </si>
  <si>
    <t xml:space="preserve">"probarvovat-001"</t>
  </si>
  <si>
    <t xml:space="preserve">"probdít-001"</t>
  </si>
  <si>
    <t xml:space="preserve">"problematizovat-001"</t>
  </si>
  <si>
    <t xml:space="preserve">"problesknout-001"</t>
  </si>
  <si>
    <t xml:space="preserve">ACT-&gt;ARG0/1,ARG1/145</t>
  </si>
  <si>
    <t xml:space="preserve">"probleskovat-001"</t>
  </si>
  <si>
    <t xml:space="preserve">"probodnout-001"</t>
  </si>
  <si>
    <t xml:space="preserve">"probojovat-se-001"</t>
  </si>
  <si>
    <t xml:space="preserve">"probouzet-001"</t>
  </si>
  <si>
    <t xml:space="preserve">CPHR: {dojem,nostalgie,pocit,pohoršení,touha,zájem,žárlivost,...}.4</t>
  </si>
  <si>
    <t xml:space="preserve">"probouzet-002"</t>
  </si>
  <si>
    <t xml:space="preserve">"probouzet-se-001"</t>
  </si>
  <si>
    <t xml:space="preserve">ACT-&gt;ARG1/172</t>
  </si>
  <si>
    <t xml:space="preserve">"probořit-se-001"</t>
  </si>
  <si>
    <t xml:space="preserve">"probrat-001"</t>
  </si>
  <si>
    <t xml:space="preserve">ACT-&gt;ARG0/205,ARG1/2</t>
  </si>
  <si>
    <t xml:space="preserve">"probrat-002"</t>
  </si>
  <si>
    <t xml:space="preserve">"probrat-003"</t>
  </si>
  <si>
    <t xml:space="preserve">"probrat-004"</t>
  </si>
  <si>
    <t xml:space="preserve">"probrat-se-001"</t>
  </si>
  <si>
    <t xml:space="preserve">"probrat-se-002"</t>
  </si>
  <si>
    <t xml:space="preserve">DIR2-&gt;ARG1/6</t>
  </si>
  <si>
    <t xml:space="preserve">"probudit-001"</t>
  </si>
  <si>
    <t xml:space="preserve">ACT-&gt;ARG0/3,ARG1/9</t>
  </si>
  <si>
    <t xml:space="preserve">PAT-&gt;ARG0/1,ARG1/12</t>
  </si>
  <si>
    <t xml:space="preserve">"probudit-002"</t>
  </si>
  <si>
    <t xml:space="preserve">"probudit-003"</t>
  </si>
  <si>
    <t xml:space="preserve">CPHR: {dojem,nostalgie,pocit,pohoršení,povaha,touha,zájem,zdání,zvědavost,...}.4</t>
  </si>
  <si>
    <t xml:space="preserve">LOC-&gt;ARG1/25,ARG2/1</t>
  </si>
  <si>
    <t xml:space="preserve">"probudit-se-001"</t>
  </si>
  <si>
    <t xml:space="preserve">"probudit-se-002"</t>
  </si>
  <si>
    <t xml:space="preserve">"probudit-se-003"</t>
  </si>
  <si>
    <t xml:space="preserve">DPHR: k-1[život.S3]</t>
  </si>
  <si>
    <t xml:space="preserve">"probádat-001"</t>
  </si>
  <si>
    <t xml:space="preserve">"probíhat-001"</t>
  </si>
  <si>
    <t xml:space="preserve">"probíhat-002"</t>
  </si>
  <si>
    <t xml:space="preserve">ACT-&gt;ARG0/13,ARG1/4502,ARG2/301</t>
  </si>
  <si>
    <t xml:space="preserve">"probíhat-003"</t>
  </si>
  <si>
    <t xml:space="preserve">DPHR: jako[po-1[máslo.S6]]</t>
  </si>
  <si>
    <t xml:space="preserve">"probíhat-004"</t>
  </si>
  <si>
    <t xml:space="preserve">"probírat-001"</t>
  </si>
  <si>
    <t xml:space="preserve">"probírat-002"</t>
  </si>
  <si>
    <t xml:space="preserve">"probírat-003"</t>
  </si>
  <si>
    <t xml:space="preserve">"probírat-004"</t>
  </si>
  <si>
    <t xml:space="preserve">"probírat-se-001"</t>
  </si>
  <si>
    <t xml:space="preserve">"probírat-se-002"</t>
  </si>
  <si>
    <t xml:space="preserve">"probít-se-001"</t>
  </si>
  <si>
    <t xml:space="preserve">"proběhnout-001"</t>
  </si>
  <si>
    <t xml:space="preserve">"proběhnout-002"</t>
  </si>
  <si>
    <t xml:space="preserve">"proběhnout-003"</t>
  </si>
  <si>
    <t xml:space="preserve">ACT-&gt;ARG0/278,ARG1/4597,ARG2/323</t>
  </si>
  <si>
    <t xml:space="preserve">"proběhnout-004"</t>
  </si>
  <si>
    <t xml:space="preserve">"proběhnout-se-001"</t>
  </si>
  <si>
    <t xml:space="preserve">"procedit-001"</t>
  </si>
  <si>
    <t xml:space="preserve">"procedit-002"</t>
  </si>
  <si>
    <t xml:space="preserve">"procestovat-001"</t>
  </si>
  <si>
    <t xml:space="preserve">"prochodit-001"</t>
  </si>
  <si>
    <t xml:space="preserve">"procházet-001"</t>
  </si>
  <si>
    <t xml:space="preserve">"procházet-002"</t>
  </si>
  <si>
    <t xml:space="preserve">"procházet-003"</t>
  </si>
  <si>
    <t xml:space="preserve">ACT-&gt;ARG0/41,ARG1/136</t>
  </si>
  <si>
    <t xml:space="preserve">DIR2-&gt;ARG1/45,ARG2/112</t>
  </si>
  <si>
    <t xml:space="preserve">DIR2-&gt;ARG1/48,ARG2/10</t>
  </si>
  <si>
    <t xml:space="preserve">"procházet-004"</t>
  </si>
  <si>
    <t xml:space="preserve">ACT-&gt;ARG0/25,ARG1/175</t>
  </si>
  <si>
    <t xml:space="preserve">ACT-&gt;ARG0/3,ARG1/13</t>
  </si>
  <si>
    <t xml:space="preserve">ACT-&gt;ARG0/42,ARG1/13</t>
  </si>
  <si>
    <t xml:space="preserve">DIR2-&gt;ARG1/8</t>
  </si>
  <si>
    <t xml:space="preserve">"procházet-005"</t>
  </si>
  <si>
    <t xml:space="preserve">DPHR: zkouška.S7[oheň.S7]</t>
  </si>
  <si>
    <t xml:space="preserve">DPHR-&gt;ARG2/10</t>
  </si>
  <si>
    <t xml:space="preserve">DPHR-&gt;ARG1/48,ARG2/10</t>
  </si>
  <si>
    <t xml:space="preserve">"procházet-006"</t>
  </si>
  <si>
    <t xml:space="preserve">"procházet-se-001"</t>
  </si>
  <si>
    <t xml:space="preserve">"procitnout-001"</t>
  </si>
  <si>
    <t xml:space="preserve">"proclít-001"</t>
  </si>
  <si>
    <t xml:space="preserve">"proclívat-001"</t>
  </si>
  <si>
    <t xml:space="preserve">"procvičit-001"</t>
  </si>
  <si>
    <t xml:space="preserve">"procvičit-002"</t>
  </si>
  <si>
    <t xml:space="preserve">"procvičovat-001"</t>
  </si>
  <si>
    <t xml:space="preserve">"procvičovat-002"</t>
  </si>
  <si>
    <t xml:space="preserve">"prodat-001"</t>
  </si>
  <si>
    <t xml:space="preserve">ACT-&gt;ARG0/645,ARG1/5,ARG2/5</t>
  </si>
  <si>
    <t xml:space="preserve">PAT-&gt;ARG0/8,ARG1/1322,ARG2/3</t>
  </si>
  <si>
    <t xml:space="preserve">ADDR-&gt;ARG2/229</t>
  </si>
  <si>
    <t xml:space="preserve">"prodchnout-001"</t>
  </si>
  <si>
    <t xml:space="preserve">PAT-&gt;ARG1/144,ARG2/4</t>
  </si>
  <si>
    <t xml:space="preserve">"prodiskutovat-001"</t>
  </si>
  <si>
    <t xml:space="preserve">"prodiskutovávat-001"</t>
  </si>
  <si>
    <t xml:space="preserve">"prodloužit-001"</t>
  </si>
  <si>
    <t xml:space="preserve">ACT-&gt;ARG0/309,ARG1/162</t>
  </si>
  <si>
    <t xml:space="preserve">ACT-&gt;ARG0/299,ARG1/171</t>
  </si>
  <si>
    <t xml:space="preserve">PAT-&gt;ARG0/249,ARG1/494</t>
  </si>
  <si>
    <t xml:space="preserve">PAT-&gt;ARG1/460</t>
  </si>
  <si>
    <t xml:space="preserve">ORIG-&gt;ARG1/3,ARG2/30,ARG3/6</t>
  </si>
  <si>
    <t xml:space="preserve">EFF-&gt;ARG1/2,ARG2/18,ARG4/16</t>
  </si>
  <si>
    <t xml:space="preserve">EFF-&gt;ARG1/4,ARG2/32,ARG4/2</t>
  </si>
  <si>
    <t xml:space="preserve">"prodloužit-se-001"</t>
  </si>
  <si>
    <t xml:space="preserve">ACT-&gt;ARG0/257,ARG1/552</t>
  </si>
  <si>
    <t xml:space="preserve">"prodlužovat-001"</t>
  </si>
  <si>
    <t xml:space="preserve">"prodlužovat-se-001"</t>
  </si>
  <si>
    <t xml:space="preserve">ACT-&gt;ARG0/257,ARG1/549</t>
  </si>
  <si>
    <t xml:space="preserve">"prodrat-se-001"</t>
  </si>
  <si>
    <t xml:space="preserve">DIR2-&gt;ARG0/1,ARG1/241</t>
  </si>
  <si>
    <t xml:space="preserve">"prodrat-se-002"</t>
  </si>
  <si>
    <t xml:space="preserve">"prodražit-001"</t>
  </si>
  <si>
    <t xml:space="preserve">"prodražit-se-001"</t>
  </si>
  <si>
    <t xml:space="preserve">"prodražovat-001"</t>
  </si>
  <si>
    <t xml:space="preserve">"prodražovat-se-001"</t>
  </si>
  <si>
    <t xml:space="preserve">"produkovat-001"</t>
  </si>
  <si>
    <t xml:space="preserve">ACT-&gt;ARG0/435,ARG1/5,ARG2/3</t>
  </si>
  <si>
    <t xml:space="preserve">ACT-&gt;ARG0/719,ARG1/8,ARG2/3</t>
  </si>
  <si>
    <t xml:space="preserve">PAT-&gt;ARG1/763</t>
  </si>
  <si>
    <t xml:space="preserve">PAT-&gt;ARG1/1203,ARG3/1,ARG4/5</t>
  </si>
  <si>
    <t xml:space="preserve">ORIG-&gt;ARG1/1,ARG2/41</t>
  </si>
  <si>
    <t xml:space="preserve">"prodávat-001"</t>
  </si>
  <si>
    <t xml:space="preserve">ACT-&gt;ARG0/682,ARG1/5,ARG2/5</t>
  </si>
  <si>
    <t xml:space="preserve">PAT-&gt;ARG0/11,ARG1/1477,ARG2/4</t>
  </si>
  <si>
    <t xml:space="preserve">ADDR-&gt;ARG1/1,ARG2/237</t>
  </si>
  <si>
    <t xml:space="preserve">"prodírat-se-001"</t>
  </si>
  <si>
    <t xml:space="preserve">"prodělat-001"</t>
  </si>
  <si>
    <t xml:space="preserve">ACT-&gt;ARG0/200,ARG1/2</t>
  </si>
  <si>
    <t xml:space="preserve">PAT-&gt;ARG0/1,ARG1/214,ARG2/2</t>
  </si>
  <si>
    <t xml:space="preserve">"prodělat-002"</t>
  </si>
  <si>
    <t xml:space="preserve">ACT-&gt;ARG0/237,ARG1/35</t>
  </si>
  <si>
    <t xml:space="preserve">PAT-&gt;ARG1/266,ARG2/37</t>
  </si>
  <si>
    <t xml:space="preserve">"prodělávat-001"</t>
  </si>
  <si>
    <t xml:space="preserve">"prodělávat-002"</t>
  </si>
  <si>
    <t xml:space="preserve">"profanovat-001"</t>
  </si>
  <si>
    <t xml:space="preserve">"profesionalizovat-001"</t>
  </si>
  <si>
    <t xml:space="preserve">"profilovat-001"</t>
  </si>
  <si>
    <t xml:space="preserve">"profitovat-001"</t>
  </si>
  <si>
    <t xml:space="preserve">ACT-&gt;ARG0/10,ARG1/47</t>
  </si>
  <si>
    <t xml:space="preserve">ACT-&gt;ARG0/23,ARG1/80</t>
  </si>
  <si>
    <t xml:space="preserve">PAT: z+2; na+6</t>
  </si>
  <si>
    <t xml:space="preserve">PAT-&gt;ARG0/45,ARG1/16</t>
  </si>
  <si>
    <t xml:space="preserve">PAT-&gt;ARG0/66,ARG1/44</t>
  </si>
  <si>
    <t xml:space="preserve">ACT-&gt;ARG0/11,ARG1/80</t>
  </si>
  <si>
    <t xml:space="preserve">PAT-&gt;ARG0/66,ARG1/17</t>
  </si>
  <si>
    <t xml:space="preserve">"profrčet-001"</t>
  </si>
  <si>
    <t xml:space="preserve">"prognózovat-001"</t>
  </si>
  <si>
    <t xml:space="preserve">"programovat-001"</t>
  </si>
  <si>
    <t xml:space="preserve">"prohazovat-001"</t>
  </si>
  <si>
    <t xml:space="preserve">"prohazovat-002"</t>
  </si>
  <si>
    <t xml:space="preserve">"prohlašovat-001"</t>
  </si>
  <si>
    <t xml:space="preserve">ACT-&gt;ARG0/103,ARG1/1</t>
  </si>
  <si>
    <t xml:space="preserve">EFF: 7; za+4</t>
  </si>
  <si>
    <t xml:space="preserve">EFF-&gt;ARG1/123,ARG2/1</t>
  </si>
  <si>
    <t xml:space="preserve">EFF-&gt;ARG1/95,ARG2/14</t>
  </si>
  <si>
    <t xml:space="preserve">"prohlašovat-002"</t>
  </si>
  <si>
    <t xml:space="preserve">"prohlašovat-003"</t>
  </si>
  <si>
    <t xml:space="preserve">ACT-&gt;ARG0/12629,ARG1/37</t>
  </si>
  <si>
    <t xml:space="preserve">EFF-&gt;ARG0/2,ARG1/11059,ARG2/3</t>
  </si>
  <si>
    <t xml:space="preserve">"prohledat-001"</t>
  </si>
  <si>
    <t xml:space="preserve">"prohledávat-001"</t>
  </si>
  <si>
    <t xml:space="preserve">"prohloubit-001"</t>
  </si>
  <si>
    <t xml:space="preserve">ACT-&gt;ARG0/33,ARG1/28</t>
  </si>
  <si>
    <t xml:space="preserve">PAT-&gt;ARG1/18,ARG4/14</t>
  </si>
  <si>
    <t xml:space="preserve">PAT-&gt;ARG1/99,ARG2/1</t>
  </si>
  <si>
    <t xml:space="preserve">"prohloubit-002"</t>
  </si>
  <si>
    <t xml:space="preserve">"prohloubit-se-001"</t>
  </si>
  <si>
    <t xml:space="preserve">ACT-&gt;ARG0/1,ARG1/987,ARG2/4</t>
  </si>
  <si>
    <t xml:space="preserve">PAT-&gt;ARG1/1,ARG2/6,ARG4/787</t>
  </si>
  <si>
    <t xml:space="preserve">ORIG-&gt;ARG3/358</t>
  </si>
  <si>
    <t xml:space="preserve">"prohloubit-se-002"</t>
  </si>
  <si>
    <t xml:space="preserve">"prohlubovat-001"</t>
  </si>
  <si>
    <t xml:space="preserve">"prohlubovat-002"</t>
  </si>
  <si>
    <t xml:space="preserve">"prohlubovat-se-001"</t>
  </si>
  <si>
    <t xml:space="preserve">PAT-&gt;ARG1/1,ARG4/14</t>
  </si>
  <si>
    <t xml:space="preserve">ORIG-&gt;ARG3/7</t>
  </si>
  <si>
    <t xml:space="preserve">"prohlásit-001"</t>
  </si>
  <si>
    <t xml:space="preserve">EFF: 7; za+4; za-1.4[.a4]</t>
  </si>
  <si>
    <t xml:space="preserve">EFF-&gt;ARG1/9</t>
  </si>
  <si>
    <t xml:space="preserve">ACT-&gt;ARG0/12129,ARG1/36</t>
  </si>
  <si>
    <t xml:space="preserve">PAT-&gt;ARG0/2,ARG1/21,ARG2/1,ARG3/29</t>
  </si>
  <si>
    <t xml:space="preserve">EFF-&gt;ARG0/2,ARG1/10507,ARG2/2</t>
  </si>
  <si>
    <t xml:space="preserve">"prohlásit-002"</t>
  </si>
  <si>
    <t xml:space="preserve">"prohlásit-003"</t>
  </si>
  <si>
    <t xml:space="preserve">ACT-&gt;ARG0/13082,ARG1/40</t>
  </si>
  <si>
    <t xml:space="preserve">EFF-&gt;ARG0/3,ARG1/11585,ARG2/3</t>
  </si>
  <si>
    <t xml:space="preserve">"prohlédnout-001"</t>
  </si>
  <si>
    <t xml:space="preserve">ACT-&gt;ARG0/334</t>
  </si>
  <si>
    <t xml:space="preserve">PAT-&gt;ARG1/474,ARG2/1</t>
  </si>
  <si>
    <t xml:space="preserve">"prohlédnout-si-001"</t>
  </si>
  <si>
    <t xml:space="preserve">PAT-&gt;ARG1/179,ARG2/2</t>
  </si>
  <si>
    <t xml:space="preserve">"prohlídnout-001"</t>
  </si>
  <si>
    <t xml:space="preserve">"prohlídnout-si-001"</t>
  </si>
  <si>
    <t xml:space="preserve">"prohlížet-001"</t>
  </si>
  <si>
    <t xml:space="preserve">"prohlížet-002"</t>
  </si>
  <si>
    <t xml:space="preserve">"prohlížet-si-001"</t>
  </si>
  <si>
    <t xml:space="preserve">"prohnat-se-001"</t>
  </si>
  <si>
    <t xml:space="preserve">ACT-&gt;ARG0/5,ARG1/2</t>
  </si>
  <si>
    <t xml:space="preserve">"prohnout-001"</t>
  </si>
  <si>
    <t xml:space="preserve">"prohnout-se-001"</t>
  </si>
  <si>
    <t xml:space="preserve">"prohnout-se-002"</t>
  </si>
  <si>
    <t xml:space="preserve">"prohodit-001"</t>
  </si>
  <si>
    <t xml:space="preserve">"prohodit-002"</t>
  </si>
  <si>
    <t xml:space="preserve">"prohodit-003"</t>
  </si>
  <si>
    <t xml:space="preserve">"prohodit-004"</t>
  </si>
  <si>
    <t xml:space="preserve">"prohodit-si-001"</t>
  </si>
  <si>
    <t xml:space="preserve">"prohovořit-001"</t>
  </si>
  <si>
    <t xml:space="preserve">"prohrabovat-001"</t>
  </si>
  <si>
    <t xml:space="preserve">"prohrabávat-001"</t>
  </si>
  <si>
    <t xml:space="preserve">"prohrabávat-se-001"</t>
  </si>
  <si>
    <t xml:space="preserve">"prohrát-001"</t>
  </si>
  <si>
    <t xml:space="preserve">PAT: 4; v+6</t>
  </si>
  <si>
    <t xml:space="preserve">ACT-&gt;ARG0/200,ARG1/46</t>
  </si>
  <si>
    <t xml:space="preserve">PAT-&gt;ARG0/1,ARG1/213,ARG2/3,ARG4/63</t>
  </si>
  <si>
    <t xml:space="preserve">PAT-&gt;ARG0/1,ARG1/16</t>
  </si>
  <si>
    <t xml:space="preserve">ADDR-&gt;ARG1/1,ARG2/21</t>
  </si>
  <si>
    <t xml:space="preserve">"prohrávat-001"</t>
  </si>
  <si>
    <t xml:space="preserve">PAT-&gt;ARG0/2,ARG1/34,ARG2/1</t>
  </si>
  <si>
    <t xml:space="preserve">"prohánět-001"</t>
  </si>
  <si>
    <t xml:space="preserve">"prohánět-se-001"</t>
  </si>
  <si>
    <t xml:space="preserve">"prohánět-se-002"</t>
  </si>
  <si>
    <t xml:space="preserve">"proházet-001"</t>
  </si>
  <si>
    <t xml:space="preserve">"prohřešit-se-001"</t>
  </si>
  <si>
    <t xml:space="preserve">"prohřívat-001"</t>
  </si>
  <si>
    <t xml:space="preserve">"proinvestovat-001"</t>
  </si>
  <si>
    <t xml:space="preserve">PAT-&gt;ARG0/1,ARG1/54,ARG2/6</t>
  </si>
  <si>
    <t xml:space="preserve">"projednat-001"</t>
  </si>
  <si>
    <t xml:space="preserve">ACT-&gt;ARG0/212,ARG1/1</t>
  </si>
  <si>
    <t xml:space="preserve">ACT-&gt;ARG0/573,ARG1/2</t>
  </si>
  <si>
    <t xml:space="preserve">PAT-&gt;ARG1/275,ARG2/63</t>
  </si>
  <si>
    <t xml:space="preserve">PAT-&gt;ARG1/565,ARG2/69</t>
  </si>
  <si>
    <t xml:space="preserve">ADDR-&gt;ARG1/124,ARG2/403</t>
  </si>
  <si>
    <t xml:space="preserve">"projednat-002"</t>
  </si>
  <si>
    <t xml:space="preserve">ACT-&gt;ARG0/262,ARG2/49</t>
  </si>
  <si>
    <t xml:space="preserve">PAT: 4; ↓že; ↓aby; ↓zda; ↓c</t>
  </si>
  <si>
    <t xml:space="preserve">PAT-&gt;ARG1/523,ARG2/64</t>
  </si>
  <si>
    <t xml:space="preserve">"projednávat-001"</t>
  </si>
  <si>
    <t xml:space="preserve">PAT-&gt;ARG1/234,ARG2/68</t>
  </si>
  <si>
    <t xml:space="preserve">ADDR-&gt;ARG1/49,ARG2/25</t>
  </si>
  <si>
    <t xml:space="preserve">"projednávat-002"</t>
  </si>
  <si>
    <t xml:space="preserve">ACT-&gt;ARG0/144</t>
  </si>
  <si>
    <t xml:space="preserve">PAT-&gt;ARG1/652,ARG2/63</t>
  </si>
  <si>
    <t xml:space="preserve">"projektovat-001"</t>
  </si>
  <si>
    <t xml:space="preserve">"projet-001"</t>
  </si>
  <si>
    <t xml:space="preserve">"projet-002"</t>
  </si>
  <si>
    <t xml:space="preserve">"projet-003"</t>
  </si>
  <si>
    <t xml:space="preserve">DIR2-&gt;ARG1/27</t>
  </si>
  <si>
    <t xml:space="preserve">DIR2-&gt;ARG1/1</t>
  </si>
  <si>
    <t xml:space="preserve">DIR2-&gt;ARG1/13</t>
  </si>
  <si>
    <t xml:space="preserve">DIR2-&gt;ARG1/21</t>
  </si>
  <si>
    <t xml:space="preserve">"projet-004"</t>
  </si>
  <si>
    <t xml:space="preserve">"projet-005"</t>
  </si>
  <si>
    <t xml:space="preserve">"projet-se-001"</t>
  </si>
  <si>
    <t xml:space="preserve">"projevit-001"</t>
  </si>
  <si>
    <t xml:space="preserve">PAT-&gt;ARG1/423</t>
  </si>
  <si>
    <t xml:space="preserve">"projevit-002"</t>
  </si>
  <si>
    <t xml:space="preserve">CPHR: {důvěra,náklonnost,nedůvěra,soustrast,úcta,uznání,...}.4</t>
  </si>
  <si>
    <t xml:space="preserve">CPHR-&gt;ARG1/50</t>
  </si>
  <si>
    <t xml:space="preserve">"projevit-003"</t>
  </si>
  <si>
    <t xml:space="preserve">ACT-&gt;ARG0/211,ARG1/36</t>
  </si>
  <si>
    <t xml:space="preserve">CPHR: {lítost,nadšení,náklonnost,náznak,názor,nesouhlas,nezájem,obava,ochota,přání,souhlas,zájem,zdvořilost,...}.4</t>
  </si>
  <si>
    <t xml:space="preserve">CPHR-&gt;ARG1/74</t>
  </si>
  <si>
    <t xml:space="preserve">ACT-&gt;ARG0/235,ARG1/427,ARG2/6</t>
  </si>
  <si>
    <t xml:space="preserve">CPHR-&gt;ARG1/285</t>
  </si>
  <si>
    <t xml:space="preserve">ACT-&gt;ARG1/3122,ARG2/296</t>
  </si>
  <si>
    <t xml:space="preserve">CPHR-&gt;ARG1/498,ARG2/3451</t>
  </si>
  <si>
    <t xml:space="preserve">"projevit-se-001"</t>
  </si>
  <si>
    <t xml:space="preserve">PAT: 7; v+6</t>
  </si>
  <si>
    <t xml:space="preserve">"projevit-se-002"</t>
  </si>
  <si>
    <t xml:space="preserve">ACT-&gt;ARG1/218</t>
  </si>
  <si>
    <t xml:space="preserve">"projevit-se-003"</t>
  </si>
  <si>
    <t xml:space="preserve">BEN-&gt;ARG1/241,ARG2/55,ARG3/10</t>
  </si>
  <si>
    <t xml:space="preserve">MANN-&gt;ARG1/377</t>
  </si>
  <si>
    <t xml:space="preserve">MEANS-&gt;ARG1/241,ARG2/55,ARG3/10</t>
  </si>
  <si>
    <t xml:space="preserve">ACMP-&gt;ARG1/241,ARG2/55,ARG3/10</t>
  </si>
  <si>
    <t xml:space="preserve">CRIT-&gt;ARG1/241,ARG2/55,ARG3/10</t>
  </si>
  <si>
    <t xml:space="preserve">CPR-&gt;ARG1/241,ARG2/55,ARG3/10</t>
  </si>
  <si>
    <t xml:space="preserve">"projevovat-001"</t>
  </si>
  <si>
    <t xml:space="preserve">PAT-&gt;ARG1/126</t>
  </si>
  <si>
    <t xml:space="preserve">"projevovat-002"</t>
  </si>
  <si>
    <t xml:space="preserve">CPHR: {důvěra,soustrast,úcta,uznání,...}.4</t>
  </si>
  <si>
    <t xml:space="preserve">"projevovat-003"</t>
  </si>
  <si>
    <t xml:space="preserve">CPHR: {lítost,nadšení,nesouhlas,odolnost,přání,zájem,...}.4</t>
  </si>
  <si>
    <t xml:space="preserve">CPHR-&gt;ARG1/73</t>
  </si>
  <si>
    <t xml:space="preserve">"projevovat-se-001"</t>
  </si>
  <si>
    <t xml:space="preserve">PAT: v+6; 7</t>
  </si>
  <si>
    <t xml:space="preserve">"projevovat-se-002"</t>
  </si>
  <si>
    <t xml:space="preserve">ACT-&gt;ARG0/230,ARG1/32</t>
  </si>
  <si>
    <t xml:space="preserve">"projevovat-se-003"</t>
  </si>
  <si>
    <t xml:space="preserve">ACT-&gt;ARG0/2154,ARG1/32</t>
  </si>
  <si>
    <t xml:space="preserve">MANN-&gt;ARG1/50</t>
  </si>
  <si>
    <t xml:space="preserve">CRIT-&gt;ARG0/2,ARG1/244,ARG2/65,ARG3/11</t>
  </si>
  <si>
    <t xml:space="preserve">COMPL-&gt;ARG1/241,ARG2/55,ARG3/10</t>
  </si>
  <si>
    <t xml:space="preserve">"projezdit-001"</t>
  </si>
  <si>
    <t xml:space="preserve">"projít-001"</t>
  </si>
  <si>
    <t xml:space="preserve">"projít-002"</t>
  </si>
  <si>
    <t xml:space="preserve">PAT-&gt;ARG2/10</t>
  </si>
  <si>
    <t xml:space="preserve">"projít-003"</t>
  </si>
  <si>
    <t xml:space="preserve">ACT-&gt;ARG0/6,ARG1/20</t>
  </si>
  <si>
    <t xml:space="preserve">PAT-&gt;ARG1/6,ARG2/23</t>
  </si>
  <si>
    <t xml:space="preserve">"projít-004"</t>
  </si>
  <si>
    <t xml:space="preserve">ACT-&gt;ARG0/1,ARG1/128,ARG2/1</t>
  </si>
  <si>
    <t xml:space="preserve">"projít-005"</t>
  </si>
  <si>
    <t xml:space="preserve">ACT-&gt;ARG0/62,ARG1/6</t>
  </si>
  <si>
    <t xml:space="preserve">ACT-&gt;ARG0/1,ARG1/11</t>
  </si>
  <si>
    <t xml:space="preserve">ACT-&gt;ARG0/40,ARG1/11</t>
  </si>
  <si>
    <t xml:space="preserve">DIR2-&gt;ARG1/56,ARG2/1,ARGm-MNR/1</t>
  </si>
  <si>
    <t xml:space="preserve">"projít-006"</t>
  </si>
  <si>
    <t xml:space="preserve">ACT-&gt;ARG0/688,ARG1/359,ARG2/1</t>
  </si>
  <si>
    <t xml:space="preserve">ACT-&gt;ARG0/29,ARG1/136</t>
  </si>
  <si>
    <t xml:space="preserve">ACT-&gt;ARG0/29,ARG1/133</t>
  </si>
  <si>
    <t xml:space="preserve">"projít-007"</t>
  </si>
  <si>
    <t xml:space="preserve">"projít-008"</t>
  </si>
  <si>
    <t xml:space="preserve">"projít-009"</t>
  </si>
  <si>
    <t xml:space="preserve">"projít-010"</t>
  </si>
  <si>
    <t xml:space="preserve">"projít-se-001"</t>
  </si>
  <si>
    <t xml:space="preserve">"projít-si-001"</t>
  </si>
  <si>
    <t xml:space="preserve">"projít-si-002"</t>
  </si>
  <si>
    <t xml:space="preserve">"projíždět-001"</t>
  </si>
  <si>
    <t xml:space="preserve">ACT-&gt;ARG0/19,ARG1/7</t>
  </si>
  <si>
    <t xml:space="preserve">"projíždět-002"</t>
  </si>
  <si>
    <t xml:space="preserve">"projíždět-se-001"</t>
  </si>
  <si>
    <t xml:space="preserve">"prokazovat-001"</t>
  </si>
  <si>
    <t xml:space="preserve">"prokazovat-002"</t>
  </si>
  <si>
    <t xml:space="preserve">PAT-&gt;ARG1/536</t>
  </si>
  <si>
    <t xml:space="preserve">"prokazovat-003"</t>
  </si>
  <si>
    <t xml:space="preserve">PAT-&gt;ARG1/377</t>
  </si>
  <si>
    <t xml:space="preserve">"proklamovat-001"</t>
  </si>
  <si>
    <t xml:space="preserve">"proklestit-001"</t>
  </si>
  <si>
    <t xml:space="preserve">"proklimbat-001"</t>
  </si>
  <si>
    <t xml:space="preserve">"prokličkovat-001"</t>
  </si>
  <si>
    <t xml:space="preserve">"proklouznout-001"</t>
  </si>
  <si>
    <t xml:space="preserve">"prokládat-001"</t>
  </si>
  <si>
    <t xml:space="preserve">"proklít-001"</t>
  </si>
  <si>
    <t xml:space="preserve">"prokopat-se-001"</t>
  </si>
  <si>
    <t xml:space="preserve">"prokopnout-se-001"</t>
  </si>
  <si>
    <t xml:space="preserve">"prokouknout-001"</t>
  </si>
  <si>
    <t xml:space="preserve">"prokousat-se-001"</t>
  </si>
  <si>
    <t xml:space="preserve">"prokousávat-se-001"</t>
  </si>
  <si>
    <t xml:space="preserve">"prokrvovat-se-001"</t>
  </si>
  <si>
    <t xml:space="preserve">"prokázat-001"</t>
  </si>
  <si>
    <t xml:space="preserve">ACT-&gt;ARG0/155,ARG1/27</t>
  </si>
  <si>
    <t xml:space="preserve">PAT-&gt;ARG1/645</t>
  </si>
  <si>
    <t xml:space="preserve">PAT-&gt;ARG1/690</t>
  </si>
  <si>
    <t xml:space="preserve">"prokázat-002"</t>
  </si>
  <si>
    <t xml:space="preserve">ACT-&gt;ARG0/110,ARG1/29</t>
  </si>
  <si>
    <t xml:space="preserve">PAT-&gt;ARG1/669</t>
  </si>
  <si>
    <t xml:space="preserve">"prokázat-003"</t>
  </si>
  <si>
    <t xml:space="preserve">"prokázat-se-001"</t>
  </si>
  <si>
    <t xml:space="preserve">"prokázat-se-002"</t>
  </si>
  <si>
    <t xml:space="preserve">PAT: 7; .a1; 1[{jako,jakožto}:/AuxY]; .a1[{jako,jakožto}:/AuxY]</t>
  </si>
  <si>
    <t xml:space="preserve">"prokázat-se-003"</t>
  </si>
  <si>
    <t xml:space="preserve">ACT: 1; ↓že; ↓zda; ↓jak-2</t>
  </si>
  <si>
    <t xml:space="preserve">ACT-&gt;ARG0/4,ARG1/27</t>
  </si>
  <si>
    <t xml:space="preserve">"prokňučet-001"</t>
  </si>
  <si>
    <t xml:space="preserve">"prokřičet-se-001"</t>
  </si>
  <si>
    <t xml:space="preserve">"prolamovat-001"</t>
  </si>
  <si>
    <t xml:space="preserve">"proletět-001"</t>
  </si>
  <si>
    <t xml:space="preserve">"proletět-se-001"</t>
  </si>
  <si>
    <t xml:space="preserve">"proležet-001"</t>
  </si>
  <si>
    <t xml:space="preserve">"proležet-002"</t>
  </si>
  <si>
    <t xml:space="preserve">"prolistovat-001"</t>
  </si>
  <si>
    <t xml:space="preserve">"prolnout-001"</t>
  </si>
  <si>
    <t xml:space="preserve">"prolomit-001"</t>
  </si>
  <si>
    <t xml:space="preserve">"prolomit-002"</t>
  </si>
  <si>
    <t xml:space="preserve">"prolomit-se-001"</t>
  </si>
  <si>
    <t xml:space="preserve">ACT-&gt;ARG0/53,ARG1/1</t>
  </si>
  <si>
    <t xml:space="preserve">"prolomit-se-002"</t>
  </si>
  <si>
    <t xml:space="preserve">"prolongovat-001"</t>
  </si>
  <si>
    <t xml:space="preserve">"prolétnout-001"</t>
  </si>
  <si>
    <t xml:space="preserve">"prolévat-001"</t>
  </si>
  <si>
    <t xml:space="preserve">"prolézat-001"</t>
  </si>
  <si>
    <t xml:space="preserve">"prolézt-001"</t>
  </si>
  <si>
    <t xml:space="preserve">"prolínat-se-001"</t>
  </si>
  <si>
    <t xml:space="preserve">"prolínat-se-002"</t>
  </si>
  <si>
    <t xml:space="preserve">"prolítnout-001"</t>
  </si>
  <si>
    <t xml:space="preserve">DPHR: hlava.S7</t>
  </si>
  <si>
    <t xml:space="preserve">"promarnit-001"</t>
  </si>
  <si>
    <t xml:space="preserve">PAT-&gt;ARG1/8,ARG2/8</t>
  </si>
  <si>
    <t xml:space="preserve">"promarodit-001"</t>
  </si>
  <si>
    <t xml:space="preserve">"promenádovat-se-001"</t>
  </si>
  <si>
    <t xml:space="preserve">"promeškat-001"</t>
  </si>
  <si>
    <t xml:space="preserve">ACT-&gt;ARG0/19,ARG1/10</t>
  </si>
  <si>
    <t xml:space="preserve">PAT-&gt;ARG1/22,ARG2/8</t>
  </si>
  <si>
    <t xml:space="preserve">"prominout-001"</t>
  </si>
  <si>
    <t xml:space="preserve">PAT-&gt;ARG1/19,ARG2/7</t>
  </si>
  <si>
    <t xml:space="preserve">"promlouvat-001"</t>
  </si>
  <si>
    <t xml:space="preserve">?ADDR: k+3; s+7</t>
  </si>
  <si>
    <t xml:space="preserve">"promluvit-001"</t>
  </si>
  <si>
    <t xml:space="preserve">ACT-&gt;ARG0/116</t>
  </si>
  <si>
    <t xml:space="preserve">"promluvit-002"</t>
  </si>
  <si>
    <t xml:space="preserve">"promluvit-003"</t>
  </si>
  <si>
    <t xml:space="preserve">"promluvit-004"</t>
  </si>
  <si>
    <t xml:space="preserve">"promluvit-si-001"</t>
  </si>
  <si>
    <t xml:space="preserve">"promlčet-001"</t>
  </si>
  <si>
    <t xml:space="preserve">---: .$2&lt;s&gt;; .v[se:/AuxR]</t>
  </si>
  <si>
    <t xml:space="preserve">"promnout-001"</t>
  </si>
  <si>
    <t xml:space="preserve">"promnout-se-001"</t>
  </si>
  <si>
    <t xml:space="preserve">"promovat-001"</t>
  </si>
  <si>
    <t xml:space="preserve">"promočit-001"</t>
  </si>
  <si>
    <t xml:space="preserve">"promrhat-001"</t>
  </si>
  <si>
    <t xml:space="preserve">"promrhávat-001"</t>
  </si>
  <si>
    <t xml:space="preserve">"promrzat-001"</t>
  </si>
  <si>
    <t xml:space="preserve">"promyslet-001"</t>
  </si>
  <si>
    <t xml:space="preserve">"promyslit-001"</t>
  </si>
  <si>
    <t xml:space="preserve">"promáčet-001"</t>
  </si>
  <si>
    <t xml:space="preserve">"promíchat-001"</t>
  </si>
  <si>
    <t xml:space="preserve">PAT-&gt;ARG1/69,ARG2/31,ARG3/1</t>
  </si>
  <si>
    <t xml:space="preserve">"promíchat-002"</t>
  </si>
  <si>
    <t xml:space="preserve">"promíjet-001"</t>
  </si>
  <si>
    <t xml:space="preserve">"promítat-001"</t>
  </si>
  <si>
    <t xml:space="preserve">PAT-&gt;ARG1/862,ARG2/1</t>
  </si>
  <si>
    <t xml:space="preserve">"promítat-se-001"</t>
  </si>
  <si>
    <t xml:space="preserve">"promítat-se-002"</t>
  </si>
  <si>
    <t xml:space="preserve">DIR3-&gt;ARG1/8,ARG2/8</t>
  </si>
  <si>
    <t xml:space="preserve">DIR3-&gt;ARG2/6</t>
  </si>
  <si>
    <t xml:space="preserve">"promítnout-001"</t>
  </si>
  <si>
    <t xml:space="preserve">"promítnout-002"</t>
  </si>
  <si>
    <t xml:space="preserve">"promítnout-003"</t>
  </si>
  <si>
    <t xml:space="preserve">"promítnout-se-001"</t>
  </si>
  <si>
    <t xml:space="preserve">LOC-&gt;ARG2/6</t>
  </si>
  <si>
    <t xml:space="preserve">"promítnout-se-002"</t>
  </si>
  <si>
    <t xml:space="preserve">ACT-&gt;ARG1/17,ARG2/1</t>
  </si>
  <si>
    <t xml:space="preserve">DIR3-&gt;ARG2/18,ARG3/1</t>
  </si>
  <si>
    <t xml:space="preserve">"promítnout-si-001"</t>
  </si>
  <si>
    <t xml:space="preserve">"promýšlet-001"</t>
  </si>
  <si>
    <t xml:space="preserve">PAT: 4; ↓zda; ↓jestli; ↓c; .s</t>
  </si>
  <si>
    <t xml:space="preserve">"proměnit-001"</t>
  </si>
  <si>
    <t xml:space="preserve">ACT-&gt;ARG0/235</t>
  </si>
  <si>
    <t xml:space="preserve">PAT-&gt;ARG1/384,ARG2/1</t>
  </si>
  <si>
    <t xml:space="preserve">ORIG-&gt;ARG3/4</t>
  </si>
  <si>
    <t xml:space="preserve">EFF-&gt;ARG1/264,ARG2/117</t>
  </si>
  <si>
    <t xml:space="preserve">"proměnit-002"</t>
  </si>
  <si>
    <t xml:space="preserve">ACT-&gt;ARG0/175,ARG1/6</t>
  </si>
  <si>
    <t xml:space="preserve">PAT-&gt;ARG1/390,ARG2/4,ARG3/2</t>
  </si>
  <si>
    <t xml:space="preserve">EFF: v+4; do+2</t>
  </si>
  <si>
    <t xml:space="preserve">EFF-&gt;ARG2/104,ARG3/1</t>
  </si>
  <si>
    <t xml:space="preserve">EFF-&gt;ARG1/2,ARG2/200,ARG3/3,ARG4/27</t>
  </si>
  <si>
    <t xml:space="preserve">"proměnit-003"</t>
  </si>
  <si>
    <t xml:space="preserve">?EFF: za+4; na+4</t>
  </si>
  <si>
    <t xml:space="preserve">"proměnit-se-001"</t>
  </si>
  <si>
    <t xml:space="preserve">ACT-&gt;ARG0/24,ARG1/112,ARG2/1</t>
  </si>
  <si>
    <t xml:space="preserve">PAT: na+4; v+4</t>
  </si>
  <si>
    <t xml:space="preserve">PAT-&gt;ARG2/158,ARG3/1</t>
  </si>
  <si>
    <t xml:space="preserve">"proměňovat-001"</t>
  </si>
  <si>
    <t xml:space="preserve">"proměňovat-002"</t>
  </si>
  <si>
    <t xml:space="preserve">PAT-&gt;ARG1/104,ARG2/2</t>
  </si>
  <si>
    <t xml:space="preserve">"proměňovat-se-001"</t>
  </si>
  <si>
    <t xml:space="preserve">"pronajmout-001"</t>
  </si>
  <si>
    <t xml:space="preserve">"pronajmout-002"</t>
  </si>
  <si>
    <t xml:space="preserve">"pronajímat-001"</t>
  </si>
  <si>
    <t xml:space="preserve">"pronajímat-002"</t>
  </si>
  <si>
    <t xml:space="preserve">"pronikat-001"</t>
  </si>
  <si>
    <t xml:space="preserve">ACT-&gt;ARG0/11,ARG1/38</t>
  </si>
  <si>
    <t xml:space="preserve">"proniknout-001"</t>
  </si>
  <si>
    <t xml:space="preserve">"proniknout-002"</t>
  </si>
  <si>
    <t xml:space="preserve">"proniknout-003"</t>
  </si>
  <si>
    <t xml:space="preserve">ACT-&gt;ARG0/79,ARG1/30</t>
  </si>
  <si>
    <t xml:space="preserve">"proniknout-004"</t>
  </si>
  <si>
    <t xml:space="preserve">"pronásledovat-001"</t>
  </si>
  <si>
    <t xml:space="preserve">PAT-&gt;ARG0/1,ARG1/30</t>
  </si>
  <si>
    <t xml:space="preserve">"pronášet-001"</t>
  </si>
  <si>
    <t xml:space="preserve">"pronášet-002"</t>
  </si>
  <si>
    <t xml:space="preserve">EFF-&gt;ARG1/16</t>
  </si>
  <si>
    <t xml:space="preserve">"pronést-001"</t>
  </si>
  <si>
    <t xml:space="preserve">ACT-&gt;ARG0/12209,ARG1/36</t>
  </si>
  <si>
    <t xml:space="preserve">PAT-&gt;ARG0/2,ARG1/136,ARG2/1,ARG3/29</t>
  </si>
  <si>
    <t xml:space="preserve">"pronést-002"</t>
  </si>
  <si>
    <t xml:space="preserve">ACT-&gt;ARG0/12137,ARG1/36</t>
  </si>
  <si>
    <t xml:space="preserve">EFF-&gt;ARG0/2,ARG1/10506,ARG2/2</t>
  </si>
  <si>
    <t xml:space="preserve">"propadat-001"</t>
  </si>
  <si>
    <t xml:space="preserve">PAT-&gt;ARG2/32</t>
  </si>
  <si>
    <t xml:space="preserve">"propadat-002"</t>
  </si>
  <si>
    <t xml:space="preserve">"propadat-003"</t>
  </si>
  <si>
    <t xml:space="preserve">"propadat-004"</t>
  </si>
  <si>
    <t xml:space="preserve">"propadat-se-001"</t>
  </si>
  <si>
    <t xml:space="preserve">ACT-&gt;ARG1/715,ARG2/5</t>
  </si>
  <si>
    <t xml:space="preserve">PAT-&gt;ARG2/42,ARG4/476</t>
  </si>
  <si>
    <t xml:space="preserve">ORIG-&gt;ARG3/174,ARG4/1</t>
  </si>
  <si>
    <t xml:space="preserve">ACT-&gt;ARG1/384</t>
  </si>
  <si>
    <t xml:space="preserve">PAT-&gt;ARG2/2,ARG4/244,ARGm-LOC/1</t>
  </si>
  <si>
    <t xml:space="preserve">ORIG-&gt;ARG3/55,ARG4/4</t>
  </si>
  <si>
    <t xml:space="preserve">"propadat-se-002"</t>
  </si>
  <si>
    <t xml:space="preserve">"propadnout-001"</t>
  </si>
  <si>
    <t xml:space="preserve">ACT-&gt;ARG0/1,ARG1/1104,ARG2/5</t>
  </si>
  <si>
    <t xml:space="preserve">PAT-&gt;ARG2/13,ARG4/773</t>
  </si>
  <si>
    <t xml:space="preserve">ORIG-&gt;ARG3/224,ARG4/5,ARGm-LOC/2</t>
  </si>
  <si>
    <t xml:space="preserve">"propadnout-002"</t>
  </si>
  <si>
    <t xml:space="preserve">"propadnout-003"</t>
  </si>
  <si>
    <t xml:space="preserve">"propadnout-004"</t>
  </si>
  <si>
    <t xml:space="preserve">ACT-&gt;ARG1/70,ARG2/1</t>
  </si>
  <si>
    <t xml:space="preserve">"propadnout-005"</t>
  </si>
  <si>
    <t xml:space="preserve">"propadnout-se-001"</t>
  </si>
  <si>
    <t xml:space="preserve">ACT-&gt;ARG1/803,ARG2/5</t>
  </si>
  <si>
    <t xml:space="preserve">PAT-&gt;ARG2/10,ARG4/479,ARGm-LOC/1</t>
  </si>
  <si>
    <t xml:space="preserve">ORIG-&gt;ARG3/173,ARG4/1</t>
  </si>
  <si>
    <t xml:space="preserve">ACT-&gt;ARG1/1088,ARG2/5</t>
  </si>
  <si>
    <t xml:space="preserve">ACT-&gt;ARG1/1129,ARG2/5</t>
  </si>
  <si>
    <t xml:space="preserve">PAT-&gt;ARG2/12,ARG4/720,ARGm-LOC/1</t>
  </si>
  <si>
    <t xml:space="preserve">ORIG-&gt;ARG3/228,ARG4/5</t>
  </si>
  <si>
    <t xml:space="preserve">PAT-&gt;ARG2/5,ARG4/41</t>
  </si>
  <si>
    <t xml:space="preserve">ORIG-&gt;ARG3/16</t>
  </si>
  <si>
    <t xml:space="preserve">"propadnout-se-002"</t>
  </si>
  <si>
    <t xml:space="preserve">"propagovat-001"</t>
  </si>
  <si>
    <t xml:space="preserve">ACT-&gt;ARG0/177</t>
  </si>
  <si>
    <t xml:space="preserve">PAT-&gt;ARG1/283,ARG2/20</t>
  </si>
  <si>
    <t xml:space="preserve">"propašovat-001"</t>
  </si>
  <si>
    <t xml:space="preserve">ACT-&gt;ARG0/274</t>
  </si>
  <si>
    <t xml:space="preserve">PAT-&gt;ARG0/2,ARG1/504,ARG2/1,ARG3/1</t>
  </si>
  <si>
    <t xml:space="preserve">DIR3-&gt;ARG2/82</t>
  </si>
  <si>
    <t xml:space="preserve">"proplachovat-001"</t>
  </si>
  <si>
    <t xml:space="preserve">"proplakat-001"</t>
  </si>
  <si>
    <t xml:space="preserve">"proplatit-001"</t>
  </si>
  <si>
    <t xml:space="preserve">PAT-&gt;ARG1/9,ARG3/2</t>
  </si>
  <si>
    <t xml:space="preserve">"proplout-001"</t>
  </si>
  <si>
    <t xml:space="preserve">"proplouvat-001"</t>
  </si>
  <si>
    <t xml:space="preserve">"proplácet-001"</t>
  </si>
  <si>
    <t xml:space="preserve">ACT-&gt;ARG0/55,ARG1/1</t>
  </si>
  <si>
    <t xml:space="preserve">PAT-&gt;ARG1/89,ARG2/2,ARG3/10</t>
  </si>
  <si>
    <t xml:space="preserve">"proplést-001"</t>
  </si>
  <si>
    <t xml:space="preserve">"proplétat-001"</t>
  </si>
  <si>
    <t xml:space="preserve">"proplétat-se-001"</t>
  </si>
  <si>
    <t xml:space="preserve">"proplétat-se-002"</t>
  </si>
  <si>
    <t xml:space="preserve">"proplétat-se-003"</t>
  </si>
  <si>
    <t xml:space="preserve">"proplít-001"</t>
  </si>
  <si>
    <t xml:space="preserve">"proplížit-se-001"</t>
  </si>
  <si>
    <t xml:space="preserve">DIR3-&gt;ARG1/1,ARG2/1</t>
  </si>
  <si>
    <t xml:space="preserve">"proplýtvat-001"</t>
  </si>
  <si>
    <t xml:space="preserve">"propojit-001"</t>
  </si>
  <si>
    <t xml:space="preserve">PAT-&gt;ARG1/172,ARG2/4</t>
  </si>
  <si>
    <t xml:space="preserve">ADDR-&gt;ARG1/40</t>
  </si>
  <si>
    <t xml:space="preserve">ADDR-&gt;ARG1/98,ARG2/93,ARG3/1</t>
  </si>
  <si>
    <t xml:space="preserve">?EFF: do-1[.4]; v+4</t>
  </si>
  <si>
    <t xml:space="preserve">"propojit-002"</t>
  </si>
  <si>
    <t xml:space="preserve">ADDR: s+7; do+2</t>
  </si>
  <si>
    <t xml:space="preserve">ADDR-&gt;ARG1/42</t>
  </si>
  <si>
    <t xml:space="preserve">ADDR-&gt;ARG1/96,ARG2/82</t>
  </si>
  <si>
    <t xml:space="preserve">"propojit-003"</t>
  </si>
  <si>
    <t xml:space="preserve">"propojit-004"</t>
  </si>
  <si>
    <t xml:space="preserve">"propojit-se-001"</t>
  </si>
  <si>
    <t xml:space="preserve">"propojovat-001"</t>
  </si>
  <si>
    <t xml:space="preserve">"propojovat-002"</t>
  </si>
  <si>
    <t xml:space="preserve">"propouštět-001"</t>
  </si>
  <si>
    <t xml:space="preserve">"propouštět-002"</t>
  </si>
  <si>
    <t xml:space="preserve">"propočíst-001"</t>
  </si>
  <si>
    <t xml:space="preserve">"propočítávat-001"</t>
  </si>
  <si>
    <t xml:space="preserve">"propracovat-001"</t>
  </si>
  <si>
    <t xml:space="preserve">"propracovat-se-001"</t>
  </si>
  <si>
    <t xml:space="preserve">"propracovat-se-002"</t>
  </si>
  <si>
    <t xml:space="preserve">"propracovávat-se-001"</t>
  </si>
  <si>
    <t xml:space="preserve">"propršet-001"</t>
  </si>
  <si>
    <t xml:space="preserve">"propsat-001"</t>
  </si>
  <si>
    <t xml:space="preserve">"propukat-001"</t>
  </si>
  <si>
    <t xml:space="preserve">"propuknout-001"</t>
  </si>
  <si>
    <t xml:space="preserve">ACT-&gt;ARG0/37,ARG1/10</t>
  </si>
  <si>
    <t xml:space="preserve">"propuknout-002"</t>
  </si>
  <si>
    <t xml:space="preserve">"propustit-001"</t>
  </si>
  <si>
    <t xml:space="preserve">ACT-&gt;ARG0/313</t>
  </si>
  <si>
    <t xml:space="preserve">PAT-&gt;ARG1/617</t>
  </si>
  <si>
    <t xml:space="preserve">"propustit-002"</t>
  </si>
  <si>
    <t xml:space="preserve">"propálit-001"</t>
  </si>
  <si>
    <t xml:space="preserve">"propálit-se-001"</t>
  </si>
  <si>
    <t xml:space="preserve">"propálit-se-002"</t>
  </si>
  <si>
    <t xml:space="preserve">"propásnout-001"</t>
  </si>
  <si>
    <t xml:space="preserve">"propást-001"</t>
  </si>
  <si>
    <t xml:space="preserve">"propíchat-001"</t>
  </si>
  <si>
    <t xml:space="preserve">"propíchnout-001"</t>
  </si>
  <si>
    <t xml:space="preserve">"propírat-001"</t>
  </si>
  <si>
    <t xml:space="preserve">"propít-001"</t>
  </si>
  <si>
    <t xml:space="preserve">"propůjčit-001"</t>
  </si>
  <si>
    <t xml:space="preserve">ACT-&gt;ARG0/1214,ARG2/1</t>
  </si>
  <si>
    <t xml:space="preserve">PAT-&gt;ARG1/1739,ARG2/12</t>
  </si>
  <si>
    <t xml:space="preserve">ADDR-&gt;ARG1/2,ARG2/22</t>
  </si>
  <si>
    <t xml:space="preserve">ADDR-&gt;ARG1/63,ARG2/965</t>
  </si>
  <si>
    <t xml:space="preserve">"propůjčovat-001"</t>
  </si>
  <si>
    <t xml:space="preserve">ACT-&gt;ARG0/1002,ARG2/1</t>
  </si>
  <si>
    <t xml:space="preserve">ACT-&gt;ARG0/1307,ARG2/1</t>
  </si>
  <si>
    <t xml:space="preserve">PAT-&gt;ARG1/192,ARG2/2</t>
  </si>
  <si>
    <t xml:space="preserve">PAT-&gt;ARG1/1426,ARG2/12</t>
  </si>
  <si>
    <t xml:space="preserve">PAT-&gt;ARG1/1885,ARG2/14</t>
  </si>
  <si>
    <t xml:space="preserve">ADDR-&gt;ARG1/10,ARG2/179</t>
  </si>
  <si>
    <t xml:space="preserve">ADDR-&gt;ARG1/50,ARG2/922</t>
  </si>
  <si>
    <t xml:space="preserve">ADDR-&gt;ARG1/70,ARG2/1093</t>
  </si>
  <si>
    <t xml:space="preserve">"prorazit-001"</t>
  </si>
  <si>
    <t xml:space="preserve">"prorazit-002"</t>
  </si>
  <si>
    <t xml:space="preserve">"prorazit-003"</t>
  </si>
  <si>
    <t xml:space="preserve">ACT-&gt;ARG0/4,ARG1/6</t>
  </si>
  <si>
    <t xml:space="preserve">"prorazit-004"</t>
  </si>
  <si>
    <t xml:space="preserve">"prorazit-005"</t>
  </si>
  <si>
    <t xml:space="preserve">"prorezavět-001"</t>
  </si>
  <si>
    <t xml:space="preserve">"prorokovat-001"</t>
  </si>
  <si>
    <t xml:space="preserve">"prorážet-001"</t>
  </si>
  <si>
    <t xml:space="preserve">"prorážet-002"</t>
  </si>
  <si>
    <t xml:space="preserve">"prorůstat-001"</t>
  </si>
  <si>
    <t xml:space="preserve">"prorůstat-002"</t>
  </si>
  <si>
    <t xml:space="preserve">"prorůstat-003"</t>
  </si>
  <si>
    <t xml:space="preserve">"prosadit-001"</t>
  </si>
  <si>
    <t xml:space="preserve">"prosadit-002"</t>
  </si>
  <si>
    <t xml:space="preserve">ACT-&gt;ARG0/2416,ARG1/19</t>
  </si>
  <si>
    <t xml:space="preserve">PAT-&gt;ARG0/1,ARG1/2653,ARG2/33</t>
  </si>
  <si>
    <t xml:space="preserve">"prosadit-003"</t>
  </si>
  <si>
    <t xml:space="preserve">ACT-&gt;ARG0/2160,ARG1/19</t>
  </si>
  <si>
    <t xml:space="preserve">ACT-&gt;ARG0/136,ARG1/3</t>
  </si>
  <si>
    <t xml:space="preserve">DPHR: svůj-1.FS4</t>
  </si>
  <si>
    <t xml:space="preserve">DPHR-&gt;ARG1/147,ARG2/56</t>
  </si>
  <si>
    <t xml:space="preserve">"prosadit-se-001"</t>
  </si>
  <si>
    <t xml:space="preserve">"prosakovat-001"</t>
  </si>
  <si>
    <t xml:space="preserve">"prosakovat-002"</t>
  </si>
  <si>
    <t xml:space="preserve">"prosakovat-003"</t>
  </si>
  <si>
    <t xml:space="preserve">"prosazovat-001"</t>
  </si>
  <si>
    <t xml:space="preserve">ACT-&gt;ARG0/2369,ARG1/20</t>
  </si>
  <si>
    <t xml:space="preserve">PAT: 4; ↓aby; ↓že; ↓c</t>
  </si>
  <si>
    <t xml:space="preserve">PAT-&gt;ARG0/1,ARG1/2559,ARG2/62</t>
  </si>
  <si>
    <t xml:space="preserve">"prosazovat-se-001"</t>
  </si>
  <si>
    <t xml:space="preserve">ACT-&gt;ARG0/1,ARG1/3102,ARG2/296</t>
  </si>
  <si>
    <t xml:space="preserve">"prosedět-001"</t>
  </si>
  <si>
    <t xml:space="preserve">"prosekat-001"</t>
  </si>
  <si>
    <t xml:space="preserve">"prosekat-se-001"</t>
  </si>
  <si>
    <t xml:space="preserve">DIR2-&gt;ARG1/9</t>
  </si>
  <si>
    <t xml:space="preserve">"prosekávat-001"</t>
  </si>
  <si>
    <t xml:space="preserve">"prosit-001"</t>
  </si>
  <si>
    <t xml:space="preserve">PAT: o+4; .f; ↓zda; ↓aby; ↓ať; .s; ↓c; 4; ↓jestli; ↓kdyby</t>
  </si>
  <si>
    <t xml:space="preserve">ACT-&gt;ARG0/188</t>
  </si>
  <si>
    <t xml:space="preserve">PAT-&gt;ARG1/278</t>
  </si>
  <si>
    <t xml:space="preserve">ADDR-&gt;ARG1/1,ARG2/3</t>
  </si>
  <si>
    <t xml:space="preserve">"proskočit-001"</t>
  </si>
  <si>
    <t xml:space="preserve">"proskočit-002"</t>
  </si>
  <si>
    <t xml:space="preserve">"proslavit-001"</t>
  </si>
  <si>
    <t xml:space="preserve">"proslavit-se-001"</t>
  </si>
  <si>
    <t xml:space="preserve">"proslechnout-se-001"</t>
  </si>
  <si>
    <t xml:space="preserve">"proslout-001"</t>
  </si>
  <si>
    <t xml:space="preserve">"proslovit-001"</t>
  </si>
  <si>
    <t xml:space="preserve">"proslýchat-se-001"</t>
  </si>
  <si>
    <t xml:space="preserve">ACT-&gt;ARG1/4,ARG2/2</t>
  </si>
  <si>
    <t xml:space="preserve">"prosmát-001"</t>
  </si>
  <si>
    <t xml:space="preserve">"prosmát-se-001"</t>
  </si>
  <si>
    <t xml:space="preserve">"prosmát-se-002"</t>
  </si>
  <si>
    <t xml:space="preserve">"prosolovat-001"</t>
  </si>
  <si>
    <t xml:space="preserve">"prospat-001"</t>
  </si>
  <si>
    <t xml:space="preserve">"prospat-se-001"</t>
  </si>
  <si>
    <t xml:space="preserve">"prosperovat-001"</t>
  </si>
  <si>
    <t xml:space="preserve">?PAT: z+2; na+6</t>
  </si>
  <si>
    <t xml:space="preserve">ACT-&gt;ARG0/2,ARG1/56</t>
  </si>
  <si>
    <t xml:space="preserve">"prospívat-001"</t>
  </si>
  <si>
    <t xml:space="preserve">"prospívat-002"</t>
  </si>
  <si>
    <t xml:space="preserve">"prospět-001"</t>
  </si>
  <si>
    <t xml:space="preserve">ACT-&gt;ARG0/90,ARG1/4</t>
  </si>
  <si>
    <t xml:space="preserve">"prospět-002"</t>
  </si>
  <si>
    <t xml:space="preserve">"prostavět-001"</t>
  </si>
  <si>
    <t xml:space="preserve">"prostavět-002"</t>
  </si>
  <si>
    <t xml:space="preserve">"prostavět-003"</t>
  </si>
  <si>
    <t xml:space="preserve">"prostavět-se-001"</t>
  </si>
  <si>
    <t xml:space="preserve">"prostituovat-se-001"</t>
  </si>
  <si>
    <t xml:space="preserve">"prostoupit-001"</t>
  </si>
  <si>
    <t xml:space="preserve">ACT-&gt;ARG1/2,ARG2/3</t>
  </si>
  <si>
    <t xml:space="preserve">PAT-&gt;ARG0/1,ARG1/1,ARG2/1</t>
  </si>
  <si>
    <t xml:space="preserve">"prostoupit-002"</t>
  </si>
  <si>
    <t xml:space="preserve">"prostrkat-001"</t>
  </si>
  <si>
    <t xml:space="preserve">"prostrčit-001"</t>
  </si>
  <si>
    <t xml:space="preserve">"prostrčit-002"</t>
  </si>
  <si>
    <t xml:space="preserve">"prostudovat-001"</t>
  </si>
  <si>
    <t xml:space="preserve">"prostudovávat-001"</t>
  </si>
  <si>
    <t xml:space="preserve">"prostupovat-001"</t>
  </si>
  <si>
    <t xml:space="preserve">"prostupovat-002"</t>
  </si>
  <si>
    <t xml:space="preserve">"prostřelit-001"</t>
  </si>
  <si>
    <t xml:space="preserve">"prostřihnout-001"</t>
  </si>
  <si>
    <t xml:space="preserve">"prostřídat-se-001"</t>
  </si>
  <si>
    <t xml:space="preserve">"prostříhat-001"</t>
  </si>
  <si>
    <t xml:space="preserve">"prostříhat-002"</t>
  </si>
  <si>
    <t xml:space="preserve">"prostřít-001"</t>
  </si>
  <si>
    <t xml:space="preserve">"prosvištět-001"</t>
  </si>
  <si>
    <t xml:space="preserve">"prosvítat-001"</t>
  </si>
  <si>
    <t xml:space="preserve">"prosvítit-001"</t>
  </si>
  <si>
    <t xml:space="preserve">"prosvětlit-001"</t>
  </si>
  <si>
    <t xml:space="preserve">"prosvětlovat-001"</t>
  </si>
  <si>
    <t xml:space="preserve">"prosychat-001"</t>
  </si>
  <si>
    <t xml:space="preserve">"prosáknout-001"</t>
  </si>
  <si>
    <t xml:space="preserve">"prosáknout-002"</t>
  </si>
  <si>
    <t xml:space="preserve">"prosáknout-003"</t>
  </si>
  <si>
    <t xml:space="preserve">"prosít-001"</t>
  </si>
  <si>
    <t xml:space="preserve">"protahovat-001"</t>
  </si>
  <si>
    <t xml:space="preserve">"protahovat-002"</t>
  </si>
  <si>
    <t xml:space="preserve">"protahovat-003"</t>
  </si>
  <si>
    <t xml:space="preserve">"protancovat-001"</t>
  </si>
  <si>
    <t xml:space="preserve">"protavit-se-001"</t>
  </si>
  <si>
    <t xml:space="preserve">"protestovat-001"</t>
  </si>
  <si>
    <t xml:space="preserve">PAT: proti+3; oproti+3; ↓že; za+4</t>
  </si>
  <si>
    <t xml:space="preserve">ACT-&gt;ARG0/187,ARG1/1</t>
  </si>
  <si>
    <t xml:space="preserve">PAT-&gt;ARG1/200</t>
  </si>
  <si>
    <t xml:space="preserve">ACT-&gt;ARG0/130,ARG1/1</t>
  </si>
  <si>
    <t xml:space="preserve">"protežovat-001"</t>
  </si>
  <si>
    <t xml:space="preserve">"protiřečit-001"</t>
  </si>
  <si>
    <t xml:space="preserve">"protkat-001"</t>
  </si>
  <si>
    <t xml:space="preserve">"protkávat-001"</t>
  </si>
  <si>
    <t xml:space="preserve">"protlačit-001"</t>
  </si>
  <si>
    <t xml:space="preserve">PAT-&gt;ARG1/54,ARG2/21</t>
  </si>
  <si>
    <t xml:space="preserve">"protlačovat-001"</t>
  </si>
  <si>
    <t xml:space="preserve">"protloukat-001"</t>
  </si>
  <si>
    <t xml:space="preserve">"protloukat-se-001"</t>
  </si>
  <si>
    <t xml:space="preserve">"protnout-001"</t>
  </si>
  <si>
    <t xml:space="preserve">"protnout-002"</t>
  </si>
  <si>
    <t xml:space="preserve">ACT-&gt;ARG0/22,ARG1/35</t>
  </si>
  <si>
    <t xml:space="preserve">PAT-&gt;ARG1/23,ARG2/24</t>
  </si>
  <si>
    <t xml:space="preserve">"--protnout-se-001"</t>
  </si>
  <si>
    <t xml:space="preserve">"protrhat-se-001"</t>
  </si>
  <si>
    <t xml:space="preserve">"protrhnout-001"</t>
  </si>
  <si>
    <t xml:space="preserve">"protrhnout-002"</t>
  </si>
  <si>
    <t xml:space="preserve">"protrhnout-003"</t>
  </si>
  <si>
    <t xml:space="preserve">"protrhnout-se-001"</t>
  </si>
  <si>
    <t xml:space="preserve">"protrhávat-001"</t>
  </si>
  <si>
    <t xml:space="preserve">"protrhávat-se-001"</t>
  </si>
  <si>
    <t xml:space="preserve">"protrpět-001"</t>
  </si>
  <si>
    <t xml:space="preserve">ACT-&gt;ARG0/46,ARG1/45</t>
  </si>
  <si>
    <t xml:space="preserve">PAT-&gt;ARG1/42,ARG2/10</t>
  </si>
  <si>
    <t xml:space="preserve">"protáhnout-001"</t>
  </si>
  <si>
    <t xml:space="preserve">"protáhnout-002"</t>
  </si>
  <si>
    <t xml:space="preserve">"protáhnout-003"</t>
  </si>
  <si>
    <t xml:space="preserve">"protáhnout-se-001"</t>
  </si>
  <si>
    <t xml:space="preserve">ACT-&gt;ARG0/5,ARG1/6</t>
  </si>
  <si>
    <t xml:space="preserve">ACT-&gt;ARG0/262,ARG1/555</t>
  </si>
  <si>
    <t xml:space="preserve">ACT-&gt;ARG1/54</t>
  </si>
  <si>
    <t xml:space="preserve">"protáhnout-se-002"</t>
  </si>
  <si>
    <t xml:space="preserve">"protáhnout-se-003"</t>
  </si>
  <si>
    <t xml:space="preserve">"protáhnout-se-004"</t>
  </si>
  <si>
    <t xml:space="preserve">"protáhnout-se-005"</t>
  </si>
  <si>
    <t xml:space="preserve">"protéci-001"</t>
  </si>
  <si>
    <t xml:space="preserve">"protékat-001"</t>
  </si>
  <si>
    <t xml:space="preserve">"protékat-002"</t>
  </si>
  <si>
    <t xml:space="preserve">"protínat-001"</t>
  </si>
  <si>
    <t xml:space="preserve">"--protínat-se-001"</t>
  </si>
  <si>
    <t xml:space="preserve">"protřást-001"</t>
  </si>
  <si>
    <t xml:space="preserve">"protřídit-001"</t>
  </si>
  <si>
    <t xml:space="preserve">"proudit-001"</t>
  </si>
  <si>
    <t xml:space="preserve">ACT-&gt;ARG0/6,ARG1/103</t>
  </si>
  <si>
    <t xml:space="preserve">ACT-&gt;ARG0/1,ARG1/21</t>
  </si>
  <si>
    <t xml:space="preserve">"proukázat-001"</t>
  </si>
  <si>
    <t xml:space="preserve">"provalit-001"</t>
  </si>
  <si>
    <t xml:space="preserve">"provalit-se-001"</t>
  </si>
  <si>
    <t xml:space="preserve">"provalit-se-002"</t>
  </si>
  <si>
    <t xml:space="preserve">"provdat-001"</t>
  </si>
  <si>
    <t xml:space="preserve">?ADDR: za+4</t>
  </si>
  <si>
    <t xml:space="preserve">"provdat-se-001"</t>
  </si>
  <si>
    <t xml:space="preserve">"provinit-se-001"</t>
  </si>
  <si>
    <t xml:space="preserve">"provokovat-001"</t>
  </si>
  <si>
    <t xml:space="preserve">ACT-&gt;ARG0/2,ARG2/33</t>
  </si>
  <si>
    <t xml:space="preserve">"provolat-001"</t>
  </si>
  <si>
    <t xml:space="preserve">"provolat-002"</t>
  </si>
  <si>
    <t xml:space="preserve">PAT-&gt;ARG1/12,ARG2/1</t>
  </si>
  <si>
    <t xml:space="preserve">"provolávat-001"</t>
  </si>
  <si>
    <t xml:space="preserve">"provozovat-001"</t>
  </si>
  <si>
    <t xml:space="preserve">ACT-&gt;ARG0/2489,ARG1/304,ARG2/3,ARG3/1</t>
  </si>
  <si>
    <t xml:space="preserve">ACT-&gt;ARG0/744,ARG1/41,ARG2/18,ARG3/1</t>
  </si>
  <si>
    <t xml:space="preserve">PAT-&gt;ARG0/2,ARG1/2791,ARG2/280</t>
  </si>
  <si>
    <t xml:space="preserve">PAT-&gt;ARG0/1,ARG1/901,ARG2/59,ARG3/1</t>
  </si>
  <si>
    <t xml:space="preserve">"provozovat-002"</t>
  </si>
  <si>
    <t xml:space="preserve">CPHR: {podnikání,...}.4</t>
  </si>
  <si>
    <t xml:space="preserve">"provozovat-003"</t>
  </si>
  <si>
    <t xml:space="preserve">"provrtat-001"</t>
  </si>
  <si>
    <t xml:space="preserve">"provádět-001"</t>
  </si>
  <si>
    <t xml:space="preserve">?ADDR: 3; s+7</t>
  </si>
  <si>
    <t xml:space="preserve">"provádět-002"</t>
  </si>
  <si>
    <t xml:space="preserve">"provádět-003"</t>
  </si>
  <si>
    <t xml:space="preserve">ACT-&gt;ARG0/593,ARG1/6,ARG3/1</t>
  </si>
  <si>
    <t xml:space="preserve">ACT-&gt;ARG0/1138,ARG1/43,ARG2/18,ARG3/2</t>
  </si>
  <si>
    <t xml:space="preserve">PAT-&gt;ARG0/1,ARG1/1517,ARG2/1</t>
  </si>
  <si>
    <t xml:space="preserve">PAT-&gt;ARG0/1,ARG1/1565,ARG2/59,ARG3/1</t>
  </si>
  <si>
    <t xml:space="preserve">"provádět-004"</t>
  </si>
  <si>
    <t xml:space="preserve">CPHR: {operace,...}.4</t>
  </si>
  <si>
    <t xml:space="preserve">CPHR-&gt;ARG0/1,ARG1/21</t>
  </si>
  <si>
    <t xml:space="preserve">"provádět-005"</t>
  </si>
  <si>
    <t xml:space="preserve">CPHR: {debata,dialog,hovor,rozhovor,...}.4</t>
  </si>
  <si>
    <t xml:space="preserve">"provádět-006"</t>
  </si>
  <si>
    <t xml:space="preserve">CPHR: {aktivita,aktualizace,analýza,arbitráž,barvení,cvičení,čin,činnost,dozor,hodnocení,hra,instruktáž,kontrola,lumpárna,nabídka,nábor,obchod,obchodování,odběr,odkup,odstranění,odpis,ohledání,opatření,operace,oprava,orání,platba,pochod,pozorování,práce,prodej,průzkum,přeceňování,přehodnocení,přepadení,přesměrování,převzetí,příkaz,půjčování,reorganizace,restrukturalizace,revize,rozhodnutí,servis,studie,test,testování,transakce,údržba,úkon,úpis,úprava,vklad,vyhledávání,výkop,výpad,výpočet,vyšetřování,vývoj,výzkum,zápis,změna,zpracování,zpracovávání,...}.4</t>
  </si>
  <si>
    <t xml:space="preserve">ACT-&gt;ARG0/175,ARG1/2,ARG3/1</t>
  </si>
  <si>
    <t xml:space="preserve">CPHR-&gt;ARG1/238</t>
  </si>
  <si>
    <t xml:space="preserve">ACT-&gt;ARG0/213,ARG1/1</t>
  </si>
  <si>
    <t xml:space="preserve">CPHR-&gt;ARG0/1,ARG1/316</t>
  </si>
  <si>
    <t xml:space="preserve">CPHR-&gt;ARG1/196</t>
  </si>
  <si>
    <t xml:space="preserve">ACT-&gt;ARG0/611,ARG1/5,ARG2/3,ARG3/1</t>
  </si>
  <si>
    <t xml:space="preserve">ACT-&gt;ARG0/1106,ARG1/40,ARG2/18,ARG3/1</t>
  </si>
  <si>
    <t xml:space="preserve">CPHR-&gt;ARG0/1,ARG1/930</t>
  </si>
  <si>
    <t xml:space="preserve">CPHR-&gt;ARG0/1,ARG1/1531,ARG2/59,ARG3/1</t>
  </si>
  <si>
    <t xml:space="preserve">"provádět-007"</t>
  </si>
  <si>
    <t xml:space="preserve">CPHR: {pokus}.4</t>
  </si>
  <si>
    <t xml:space="preserve">"provádět-008"</t>
  </si>
  <si>
    <t xml:space="preserve">CPHR: {lisování,orání,pletí,sestřih,sběr,řez,...}.4</t>
  </si>
  <si>
    <t xml:space="preserve">"proválčit-001"</t>
  </si>
  <si>
    <t xml:space="preserve">"proválčit-002"</t>
  </si>
  <si>
    <t xml:space="preserve">"provázet-001"</t>
  </si>
  <si>
    <t xml:space="preserve">ACT-&gt;ARG0/26,ARG3/4</t>
  </si>
  <si>
    <t xml:space="preserve">"provázet-002"</t>
  </si>
  <si>
    <t xml:space="preserve">ACT-&gt;ARG0/26,ARG1/10</t>
  </si>
  <si>
    <t xml:space="preserve">"provážet-001"</t>
  </si>
  <si>
    <t xml:space="preserve">"provést-001"</t>
  </si>
  <si>
    <t xml:space="preserve">"provést-002"</t>
  </si>
  <si>
    <t xml:space="preserve">ACT-&gt;ARG0/1176,ARG1/72,ARG3/1</t>
  </si>
  <si>
    <t xml:space="preserve">ACT-&gt;ARG0/484,ARG1/3,ARG3/1</t>
  </si>
  <si>
    <t xml:space="preserve">PAT-&gt;ARG0/18,ARG1/1716,ARG2/26,ARG4/5</t>
  </si>
  <si>
    <t xml:space="preserve">PAT-&gt;ARG1/789</t>
  </si>
  <si>
    <t xml:space="preserve">"provést-003"</t>
  </si>
  <si>
    <t xml:space="preserve">"provést-004"</t>
  </si>
  <si>
    <t xml:space="preserve">CPHR: {aktualizace,akvizice,fixace,hodnocení,instruktáž,jmenování,kontrola,krok,likvidace,lumpárna,modernizace,nabídka,náhrada,nákup,navýšení,obnova,obrat,odhad,odpis,odškodnění,ohledání,opatření,operace,oprava,oznámení,platba,platba,podání,prodej,průzkum,přestupek,převzetí,redukce,reforma,renovace,reorganizace,restrukturalizace,revize,rozbor,rozhodnutí,sběr,snížení,snižování,spekulace,splavnění,spravedlnost,srovnání,statistika,střídání,studie,test,testování,transakce,transformace,údržba,úprava,vklad,výkop,výměna,vyplacení,vyšetření,výzkum,změna,znárodnění,zrušení,zvrat,...}.4</t>
  </si>
  <si>
    <t xml:space="preserve">CPHR-&gt;ARG1/129</t>
  </si>
  <si>
    <t xml:space="preserve">CPHR-&gt;ARG1/291</t>
  </si>
  <si>
    <t xml:space="preserve">ACT-&gt;ARG0/1065,ARG1/26</t>
  </si>
  <si>
    <t xml:space="preserve">CPHR-&gt;ARG1/1214,ARG2/26</t>
  </si>
  <si>
    <t xml:space="preserve">ACT-&gt;ARG0/788,ARG1/4,ARG2/1,ARG3/1</t>
  </si>
  <si>
    <t xml:space="preserve">CPHR-&gt;ARG0/2,ARG1/1139,ARG3/3</t>
  </si>
  <si>
    <t xml:space="preserve">CPHR-&gt;ARG1/220</t>
  </si>
  <si>
    <t xml:space="preserve">CPHR-&gt;ARG1/51</t>
  </si>
  <si>
    <t xml:space="preserve">ACT-&gt;ARG0/475</t>
  </si>
  <si>
    <t xml:space="preserve">CPHR-&gt;ARG1/25</t>
  </si>
  <si>
    <t xml:space="preserve">CPHR-&gt;ARG1/793</t>
  </si>
  <si>
    <t xml:space="preserve">ACT-&gt;ARG0/419,ARG1/3</t>
  </si>
  <si>
    <t xml:space="preserve">CPHR-&gt;ARG0/1,ARG1/586</t>
  </si>
  <si>
    <t xml:space="preserve">CPHR-&gt;ARG1/144</t>
  </si>
  <si>
    <t xml:space="preserve">CPHR-&gt;ARG1/71</t>
  </si>
  <si>
    <t xml:space="preserve">"provést-005"</t>
  </si>
  <si>
    <t xml:space="preserve">CPHR: {debata,dialog,hovor,rozhovor,slyšení,...}.4</t>
  </si>
  <si>
    <t xml:space="preserve">"provést-006"</t>
  </si>
  <si>
    <t xml:space="preserve">CPHR: {lumpárna}.4</t>
  </si>
  <si>
    <t xml:space="preserve">"provést-007"</t>
  </si>
  <si>
    <t xml:space="preserve">"provézt-001"</t>
  </si>
  <si>
    <t xml:space="preserve">"provětrat-001"</t>
  </si>
  <si>
    <t xml:space="preserve">"provětrat-002"</t>
  </si>
  <si>
    <t xml:space="preserve">"provětrávat-001"</t>
  </si>
  <si>
    <t xml:space="preserve">"prověřit-001"</t>
  </si>
  <si>
    <t xml:space="preserve">"prověřovat-001"</t>
  </si>
  <si>
    <t xml:space="preserve">"prozkoumat-001"</t>
  </si>
  <si>
    <t xml:space="preserve">ACT-&gt;ARG0/438</t>
  </si>
  <si>
    <t xml:space="preserve">PAT-&gt;ARG1/209</t>
  </si>
  <si>
    <t xml:space="preserve">PAT-&gt;ARG1/722</t>
  </si>
  <si>
    <t xml:space="preserve">"prozkoumat-002"</t>
  </si>
  <si>
    <t xml:space="preserve">PAT: 4; ↓zda; ↓c</t>
  </si>
  <si>
    <t xml:space="preserve">"prozkoumávat-001"</t>
  </si>
  <si>
    <t xml:space="preserve">"prozpívat-001"</t>
  </si>
  <si>
    <t xml:space="preserve">"prozpívat-se-001"</t>
  </si>
  <si>
    <t xml:space="preserve">"prozpívat-se-002"</t>
  </si>
  <si>
    <t xml:space="preserve">"prozpěvovat-001"</t>
  </si>
  <si>
    <t xml:space="preserve">EFF: 4; ↓že; ↓zda; ↓jestli; ↓c; .s</t>
  </si>
  <si>
    <t xml:space="preserve">"prozradit-001"</t>
  </si>
  <si>
    <t xml:space="preserve">ADDR-&gt;ARG2/16</t>
  </si>
  <si>
    <t xml:space="preserve">EFF: 4; ↓že; ↓zda; ↓c; .s</t>
  </si>
  <si>
    <t xml:space="preserve">EFF-&gt;ARG0/2,ARG1/10798,ARG2/2</t>
  </si>
  <si>
    <t xml:space="preserve">?PAT: na+4; o+6</t>
  </si>
  <si>
    <t xml:space="preserve">"prozradit-se-001"</t>
  </si>
  <si>
    <t xml:space="preserve">"prozrazovat-001"</t>
  </si>
  <si>
    <t xml:space="preserve">ACT-&gt;ARG0/122</t>
  </si>
  <si>
    <t xml:space="preserve">EFF-&gt;ARG1/243</t>
  </si>
  <si>
    <t xml:space="preserve">"pročesat-001"</t>
  </si>
  <si>
    <t xml:space="preserve">"pročesat-002"</t>
  </si>
  <si>
    <t xml:space="preserve">"pročesávat-001"</t>
  </si>
  <si>
    <t xml:space="preserve">"pročesávat-002"</t>
  </si>
  <si>
    <t xml:space="preserve">"pročistit-001"</t>
  </si>
  <si>
    <t xml:space="preserve">"pročíst-001"</t>
  </si>
  <si>
    <t xml:space="preserve">"pročítat-001"</t>
  </si>
  <si>
    <t xml:space="preserve">PAT-&gt;ARG1/63,ARG3/4</t>
  </si>
  <si>
    <t xml:space="preserve">"pročítat-002"</t>
  </si>
  <si>
    <t xml:space="preserve">"prořeknout-001"</t>
  </si>
  <si>
    <t xml:space="preserve">"prořeknout-se-001"</t>
  </si>
  <si>
    <t xml:space="preserve">"prořídnout-001"</t>
  </si>
  <si>
    <t xml:space="preserve">"prořítit-se-001"</t>
  </si>
  <si>
    <t xml:space="preserve">"prošetřit-001"</t>
  </si>
  <si>
    <t xml:space="preserve">"prošetřovat-001"</t>
  </si>
  <si>
    <t xml:space="preserve">"proškolit-001"</t>
  </si>
  <si>
    <t xml:space="preserve">"proškolovat-001"</t>
  </si>
  <si>
    <t xml:space="preserve">"prošlapat-001"</t>
  </si>
  <si>
    <t xml:space="preserve">"prošlapávat-001"</t>
  </si>
  <si>
    <t xml:space="preserve">"prošlechťovat-001"</t>
  </si>
  <si>
    <t xml:space="preserve">"prošlápnout-001"</t>
  </si>
  <si>
    <t xml:space="preserve">"prošoupat-001"</t>
  </si>
  <si>
    <t xml:space="preserve">"prošoupávat-001"</t>
  </si>
  <si>
    <t xml:space="preserve">"prošpikovat-001"</t>
  </si>
  <si>
    <t xml:space="preserve">"prošťouchávat-001"</t>
  </si>
  <si>
    <t xml:space="preserve">"prožrat-001"</t>
  </si>
  <si>
    <t xml:space="preserve">"prožít-001"</t>
  </si>
  <si>
    <t xml:space="preserve">"prožít-002"</t>
  </si>
  <si>
    <t xml:space="preserve">ACT-&gt;ARG0/2230,ARG1/29</t>
  </si>
  <si>
    <t xml:space="preserve">PAT-&gt;ARG0/1,ARG1/2344,ARG2/10</t>
  </si>
  <si>
    <t xml:space="preserve">"prožít-003"</t>
  </si>
  <si>
    <t xml:space="preserve">"prožít-004"</t>
  </si>
  <si>
    <t xml:space="preserve">DPHR: na-1[kůže:S4[vlastní-1:#]]</t>
  </si>
  <si>
    <t xml:space="preserve">"prožít-si-001"</t>
  </si>
  <si>
    <t xml:space="preserve">"prožívat-001"</t>
  </si>
  <si>
    <t xml:space="preserve">ACT-&gt;ARG0/75,ARG1/101</t>
  </si>
  <si>
    <t xml:space="preserve">PAT-&gt;ARG1/88,ARG2/91</t>
  </si>
  <si>
    <t xml:space="preserve">"prožívat-002"</t>
  </si>
  <si>
    <t xml:space="preserve">"prát-001"</t>
  </si>
  <si>
    <t xml:space="preserve">DPHR: peníze.P4; peníze.P4[špinavý.#]</t>
  </si>
  <si>
    <t xml:space="preserve">"prát-002"</t>
  </si>
  <si>
    <t xml:space="preserve">"--prát-003"</t>
  </si>
  <si>
    <t xml:space="preserve">"--prát-004"</t>
  </si>
  <si>
    <t xml:space="preserve">DPHR: peníze</t>
  </si>
  <si>
    <t xml:space="preserve">"prát-se-001"</t>
  </si>
  <si>
    <t xml:space="preserve">"prýštit-001"</t>
  </si>
  <si>
    <t xml:space="preserve">"pršet-001"</t>
  </si>
  <si>
    <t xml:space="preserve">"pršet-002"</t>
  </si>
  <si>
    <t xml:space="preserve">"psát-001"</t>
  </si>
  <si>
    <t xml:space="preserve">"psát-002"</t>
  </si>
  <si>
    <t xml:space="preserve">PAT: 4; ↓že; ↓aby; .s</t>
  </si>
  <si>
    <t xml:space="preserve">"psát-003"</t>
  </si>
  <si>
    <t xml:space="preserve">ACT-&gt;ARG0/597,ARG1/1</t>
  </si>
  <si>
    <t xml:space="preserve">PAT-&gt;ARG1/629</t>
  </si>
  <si>
    <t xml:space="preserve">"psát-004"</t>
  </si>
  <si>
    <t xml:space="preserve">"psát-005"</t>
  </si>
  <si>
    <t xml:space="preserve">"psát-006"</t>
  </si>
  <si>
    <t xml:space="preserve">"psát-007"</t>
  </si>
  <si>
    <t xml:space="preserve">EFF: 4; ↓že; ↓aby; .s; ↓c; ↓jestli; ↓jak-2; ↓ať</t>
  </si>
  <si>
    <t xml:space="preserve">ACT-&gt;ARG0/12898,ARG1/39,ARG3/1</t>
  </si>
  <si>
    <t xml:space="preserve">EFF-&gt;ARG0/2,ARG1/10742,ARG2/2</t>
  </si>
  <si>
    <t xml:space="preserve">PAT-&gt;ARG0/2,ARG1/652,ARG2/1,ARG3/29</t>
  </si>
  <si>
    <t xml:space="preserve">"psát-008"</t>
  </si>
  <si>
    <t xml:space="preserve">ACT-&gt;ARG0/315,ARG1/1</t>
  </si>
  <si>
    <t xml:space="preserve">"psát-si-001"</t>
  </si>
  <si>
    <t xml:space="preserve">"--psát-si-002"</t>
  </si>
  <si>
    <t xml:space="preserve">"psávat-001"</t>
  </si>
  <si>
    <t xml:space="preserve">"ptát-se-001"</t>
  </si>
  <si>
    <t xml:space="preserve">ACT-&gt;ARG0/12396,ARG1/36</t>
  </si>
  <si>
    <t xml:space="preserve">PAT-&gt;ARG0/2,ARG1/10755,ARG2/3</t>
  </si>
  <si>
    <t xml:space="preserve">ADDR-&gt;ARG1/5,ARG2/165</t>
  </si>
  <si>
    <t xml:space="preserve">"ptát-se-002"</t>
  </si>
  <si>
    <t xml:space="preserve">?ADDR: 2</t>
  </si>
  <si>
    <t xml:space="preserve">"ptávat-se-001"</t>
  </si>
  <si>
    <t xml:space="preserve">"publikovat-001"</t>
  </si>
  <si>
    <t xml:space="preserve">ACT-&gt;ARG0/559,ARG1/1</t>
  </si>
  <si>
    <t xml:space="preserve">ACT-&gt;ARG0/209,ARG1/1,ARG2/1</t>
  </si>
  <si>
    <t xml:space="preserve">PAT-&gt;ARG0/1,ARG1/647</t>
  </si>
  <si>
    <t xml:space="preserve">PAT-&gt;ARG0/1,ARG1/303</t>
  </si>
  <si>
    <t xml:space="preserve">"publikovat-002"</t>
  </si>
  <si>
    <t xml:space="preserve">"pukat-001"</t>
  </si>
  <si>
    <t xml:space="preserve">"puknout-001"</t>
  </si>
  <si>
    <t xml:space="preserve">"pulsovat-001"</t>
  </si>
  <si>
    <t xml:space="preserve">"pumpovat-001"</t>
  </si>
  <si>
    <t xml:space="preserve">"pumpovat-002"</t>
  </si>
  <si>
    <t xml:space="preserve">"puncovat-001"</t>
  </si>
  <si>
    <t xml:space="preserve">"pusinkovat-001"</t>
  </si>
  <si>
    <t xml:space="preserve">"pusinkovat-002"</t>
  </si>
  <si>
    <t xml:space="preserve">"pustit-001"</t>
  </si>
  <si>
    <t xml:space="preserve">"pustit-002"</t>
  </si>
  <si>
    <t xml:space="preserve">DIR3-&gt;ARG1/119,ARG2/18</t>
  </si>
  <si>
    <t xml:space="preserve">"pustit-003"</t>
  </si>
  <si>
    <t xml:space="preserve">"pustit-004"</t>
  </si>
  <si>
    <t xml:space="preserve">PAT-&gt;ARG1/148,ARG2/2</t>
  </si>
  <si>
    <t xml:space="preserve">"pustit-005"</t>
  </si>
  <si>
    <t xml:space="preserve">"pustit-006"</t>
  </si>
  <si>
    <t xml:space="preserve">DPHR: k-1[slovo.S3]</t>
  </si>
  <si>
    <t xml:space="preserve">"pustit-007"</t>
  </si>
  <si>
    <t xml:space="preserve">DPHR: k-1[voda.S3]</t>
  </si>
  <si>
    <t xml:space="preserve">"pustit-008"</t>
  </si>
  <si>
    <t xml:space="preserve">"pustit-009"</t>
  </si>
  <si>
    <t xml:space="preserve">"pustit-se-001"</t>
  </si>
  <si>
    <t xml:space="preserve">ACT-&gt;ARG0/37,ARG1/4</t>
  </si>
  <si>
    <t xml:space="preserve">PAT-&gt;ARG1/41,ARG2/6</t>
  </si>
  <si>
    <t xml:space="preserve">"pustit-se-002"</t>
  </si>
  <si>
    <t xml:space="preserve">"pustit-se-003"</t>
  </si>
  <si>
    <t xml:space="preserve">CPHR: do-1[{akce,boj,bojkot,čtení,hospodaření,hra,investice,obchodování,podnikání,polemika,práce,projekt,překládání,přestavba,příprava,psaní,řešení,spekulace,testování,výklad,výroba,výstavba,vývoj,výzva,...}.2]</t>
  </si>
  <si>
    <t xml:space="preserve">ACT-&gt;ARG0/84,ARG1/1</t>
  </si>
  <si>
    <t xml:space="preserve">ACT-&gt;ARG0/198,ARG1/67,ARG2/3</t>
  </si>
  <si>
    <t xml:space="preserve">ACT-&gt;ARG0/1074,ARG1/410,ARG2/11</t>
  </si>
  <si>
    <t xml:space="preserve">CPHR-&gt;ARG1/263</t>
  </si>
  <si>
    <t xml:space="preserve">CPHR-&gt;ARG1/713,ARG2/1</t>
  </si>
  <si>
    <t xml:space="preserve">CPHR-&gt;ARG1/1278,ARG2/2</t>
  </si>
  <si>
    <t xml:space="preserve">"pustit-se-004"</t>
  </si>
  <si>
    <t xml:space="preserve">"pustit-se-005"</t>
  </si>
  <si>
    <t xml:space="preserve">"putovat-001"</t>
  </si>
  <si>
    <t xml:space="preserve">ACT-&gt;ARG0/19,ARG1/39</t>
  </si>
  <si>
    <t xml:space="preserve">"pykat-001"</t>
  </si>
  <si>
    <t xml:space="preserve">"pytlačit-001"</t>
  </si>
  <si>
    <t xml:space="preserve">"pyšnit-se-001"</t>
  </si>
  <si>
    <t xml:space="preserve">ACT-&gt;ARG0/120,ARG1/1</t>
  </si>
  <si>
    <t xml:space="preserve">"páchat-001"</t>
  </si>
  <si>
    <t xml:space="preserve">"páchnout-001"</t>
  </si>
  <si>
    <t xml:space="preserve">?PAT: 7; po+6</t>
  </si>
  <si>
    <t xml:space="preserve">"pádlovat-001"</t>
  </si>
  <si>
    <t xml:space="preserve">"pálit-001"</t>
  </si>
  <si>
    <t xml:space="preserve">PAT-&gt;ARG0/1,ARG1/11</t>
  </si>
  <si>
    <t xml:space="preserve">"pálit-002"</t>
  </si>
  <si>
    <t xml:space="preserve">"pálit-003"</t>
  </si>
  <si>
    <t xml:space="preserve">"pálit-004"</t>
  </si>
  <si>
    <t xml:space="preserve">"pálit-005"</t>
  </si>
  <si>
    <t xml:space="preserve">"pálit-si-001"</t>
  </si>
  <si>
    <t xml:space="preserve">DPHR: prst.P4</t>
  </si>
  <si>
    <t xml:space="preserve">"párovat-001"</t>
  </si>
  <si>
    <t xml:space="preserve">EFF-&gt;ARG1/2,ARG2/11,ARG3/1</t>
  </si>
  <si>
    <t xml:space="preserve">"--párovat-002"</t>
  </si>
  <si>
    <t xml:space="preserve">"--párovat-se-001"</t>
  </si>
  <si>
    <t xml:space="preserve">"pást-001"</t>
  </si>
  <si>
    <t xml:space="preserve">"pást-002"</t>
  </si>
  <si>
    <t xml:space="preserve">"pást-se-001"</t>
  </si>
  <si>
    <t xml:space="preserve">"pást-se-002"</t>
  </si>
  <si>
    <t xml:space="preserve">"pátrat-001"</t>
  </si>
  <si>
    <t xml:space="preserve">PAT: po+6; ↓jestli; ↓c</t>
  </si>
  <si>
    <t xml:space="preserve">ACT-&gt;ARG0/351,ARG2/1</t>
  </si>
  <si>
    <t xml:space="preserve">PAT-&gt;ARG1/483,ARG2/5</t>
  </si>
  <si>
    <t xml:space="preserve">"péci-001"</t>
  </si>
  <si>
    <t xml:space="preserve">"--péci-002"</t>
  </si>
  <si>
    <t xml:space="preserve">"píchat-001"</t>
  </si>
  <si>
    <t xml:space="preserve">"píchat-002"</t>
  </si>
  <si>
    <t xml:space="preserve">"píchat-003"</t>
  </si>
  <si>
    <t xml:space="preserve">"píchat-004"</t>
  </si>
  <si>
    <t xml:space="preserve">"píchnout-001"</t>
  </si>
  <si>
    <t xml:space="preserve">"píchnout-002"</t>
  </si>
  <si>
    <t xml:space="preserve">"píchnout-003"</t>
  </si>
  <si>
    <t xml:space="preserve">"píct-001"</t>
  </si>
  <si>
    <t xml:space="preserve">"pídit-se-001"</t>
  </si>
  <si>
    <t xml:space="preserve">"pípat-001"</t>
  </si>
  <si>
    <t xml:space="preserve">"pískat-001"</t>
  </si>
  <si>
    <t xml:space="preserve">"pískat-002"</t>
  </si>
  <si>
    <t xml:space="preserve">"písknout-001"</t>
  </si>
  <si>
    <t xml:space="preserve">"pít-001"</t>
  </si>
  <si>
    <t xml:space="preserve">"pít-002"</t>
  </si>
  <si>
    <t xml:space="preserve">"pózovat-001"</t>
  </si>
  <si>
    <t xml:space="preserve">"pěstovat-001"</t>
  </si>
  <si>
    <t xml:space="preserve">ACT-&gt;ARG0/319,ARG1/3</t>
  </si>
  <si>
    <t xml:space="preserve">PAT-&gt;ARG1/479,ARG2/2</t>
  </si>
  <si>
    <t xml:space="preserve">"pěstovat-002"</t>
  </si>
  <si>
    <t xml:space="preserve">"pěstovat-si-001"</t>
  </si>
  <si>
    <t xml:space="preserve">"pěstovávat-001"</t>
  </si>
  <si>
    <t xml:space="preserve">"pět-001"</t>
  </si>
  <si>
    <t xml:space="preserve">"pět-002"</t>
  </si>
  <si>
    <t xml:space="preserve">"pět-003"</t>
  </si>
  <si>
    <t xml:space="preserve">PAT: na+4; 3</t>
  </si>
  <si>
    <t xml:space="preserve">"pět-004"</t>
  </si>
  <si>
    <t xml:space="preserve">"pět-005"</t>
  </si>
  <si>
    <t xml:space="preserve">"přebalit-001"</t>
  </si>
  <si>
    <t xml:space="preserve">"přebalovat-001"</t>
  </si>
  <si>
    <t xml:space="preserve">"přebolet-001"</t>
  </si>
  <si>
    <t xml:space="preserve">"přebrat-001"</t>
  </si>
  <si>
    <t xml:space="preserve">ORIG-&gt;ARG2/13</t>
  </si>
  <si>
    <t xml:space="preserve">"přebrat-002"</t>
  </si>
  <si>
    <t xml:space="preserve">DPHR: na-1[se.S4]</t>
  </si>
  <si>
    <t xml:space="preserve">"přebrodit-001"</t>
  </si>
  <si>
    <t xml:space="preserve">"přebudovat-001"</t>
  </si>
  <si>
    <t xml:space="preserve">"přebudovávat-001"</t>
  </si>
  <si>
    <t xml:space="preserve">"přebásnit-001"</t>
  </si>
  <si>
    <t xml:space="preserve">"přebíhat-001"</t>
  </si>
  <si>
    <t xml:space="preserve">"přebíhat-002"</t>
  </si>
  <si>
    <t xml:space="preserve">"přebíhat-003"</t>
  </si>
  <si>
    <t xml:space="preserve">"přebíjet-001"</t>
  </si>
  <si>
    <t xml:space="preserve">"přebírat-001"</t>
  </si>
  <si>
    <t xml:space="preserve">ACT-&gt;ARG0/482,ARG1/26</t>
  </si>
  <si>
    <t xml:space="preserve">PAT-&gt;ARG1/676,ARG2/26</t>
  </si>
  <si>
    <t xml:space="preserve">ORIG-&gt;ARG2/33</t>
  </si>
  <si>
    <t xml:space="preserve">"přebírat-002"</t>
  </si>
  <si>
    <t xml:space="preserve">"přebírat-003"</t>
  </si>
  <si>
    <t xml:space="preserve">"přebít-001"</t>
  </si>
  <si>
    <t xml:space="preserve">PAT-&gt;ARG1/16,ARG2/1</t>
  </si>
  <si>
    <t xml:space="preserve">"přebývat-001"</t>
  </si>
  <si>
    <t xml:space="preserve">"přebývat-002"</t>
  </si>
  <si>
    <t xml:space="preserve">LOC-&gt;ARG3/32</t>
  </si>
  <si>
    <t xml:space="preserve">"přeběhnout-001"</t>
  </si>
  <si>
    <t xml:space="preserve">"přeběhnout-002"</t>
  </si>
  <si>
    <t xml:space="preserve">"přecedit-001"</t>
  </si>
  <si>
    <t xml:space="preserve">"přecenit-001"</t>
  </si>
  <si>
    <t xml:space="preserve">"přeceňovat-001"</t>
  </si>
  <si>
    <t xml:space="preserve">"přechodit-001"</t>
  </si>
  <si>
    <t xml:space="preserve">"přechovávat-001"</t>
  </si>
  <si>
    <t xml:space="preserve">"přechytračit-001"</t>
  </si>
  <si>
    <t xml:space="preserve">"přecházet-001"</t>
  </si>
  <si>
    <t xml:space="preserve">ACT-&gt;ARG0/21,ARG1/78</t>
  </si>
  <si>
    <t xml:space="preserve">ACT-&gt;ARG0/18,ARG1/12</t>
  </si>
  <si>
    <t xml:space="preserve">PAT: k+3; na+4; v+4</t>
  </si>
  <si>
    <t xml:space="preserve">PAT-&gt;ARG1/2,ARG2/31</t>
  </si>
  <si>
    <t xml:space="preserve">PAT-&gt;ARG1/2,ARG2/25</t>
  </si>
  <si>
    <t xml:space="preserve">ORIG-&gt;ARG2/1,ARG3/2</t>
  </si>
  <si>
    <t xml:space="preserve">"přecházet-002"</t>
  </si>
  <si>
    <t xml:space="preserve">"přecházet-003"</t>
  </si>
  <si>
    <t xml:space="preserve">"přecházet-004"</t>
  </si>
  <si>
    <t xml:space="preserve">"přecházet-005"</t>
  </si>
  <si>
    <t xml:space="preserve">"přecházet-006"</t>
  </si>
  <si>
    <t xml:space="preserve">ACT-&gt;ARG0/19,ARG1/109</t>
  </si>
  <si>
    <t xml:space="preserve">"přecházet-007"</t>
  </si>
  <si>
    <t xml:space="preserve">"přecházet-008"</t>
  </si>
  <si>
    <t xml:space="preserve">ACT-&gt;ARG1/18</t>
  </si>
  <si>
    <t xml:space="preserve">"přecházet-009"</t>
  </si>
  <si>
    <t xml:space="preserve">"předat-001"</t>
  </si>
  <si>
    <t xml:space="preserve">ACT-&gt;ARG0/481</t>
  </si>
  <si>
    <t xml:space="preserve">PAT-&gt;ARG1/770,ARG2/2</t>
  </si>
  <si>
    <t xml:space="preserve">ADDR-&gt;ARG1/6,ARG2/458,ARG3/1</t>
  </si>
  <si>
    <t xml:space="preserve">"předat-002"</t>
  </si>
  <si>
    <t xml:space="preserve">ACT-&gt;ARG0/97,ARG1/1</t>
  </si>
  <si>
    <t xml:space="preserve">PAT-&gt;ARG1/174</t>
  </si>
  <si>
    <t xml:space="preserve">DIR3-&gt;ARG2/12</t>
  </si>
  <si>
    <t xml:space="preserve">"předat-003"</t>
  </si>
  <si>
    <t xml:space="preserve">CPHR: {informace,podnět,tajemství,zpráva,...}.4</t>
  </si>
  <si>
    <t xml:space="preserve">CPHR-&gt;ARG1/135,ARG2/2</t>
  </si>
  <si>
    <t xml:space="preserve">CPHR-&gt;ARG1/146,ARG2/2</t>
  </si>
  <si>
    <t xml:space="preserve">ADDR-&gt;ARG1/7,ARG2/148</t>
  </si>
  <si>
    <t xml:space="preserve">CPHR-&gt;ARG0/1,ARG1/68</t>
  </si>
  <si>
    <t xml:space="preserve">"předat-004"</t>
  </si>
  <si>
    <t xml:space="preserve">"předat-se-001"</t>
  </si>
  <si>
    <t xml:space="preserve">"--předat-si-001"</t>
  </si>
  <si>
    <t xml:space="preserve">"předbíhat-001"</t>
  </si>
  <si>
    <t xml:space="preserve">"předbíhat-002"</t>
  </si>
  <si>
    <t xml:space="preserve">"předbíhat-se-001"</t>
  </si>
  <si>
    <t xml:space="preserve">"předběhnout-001"</t>
  </si>
  <si>
    <t xml:space="preserve">PAT: 4; 3</t>
  </si>
  <si>
    <t xml:space="preserve">"předběhnout-002"</t>
  </si>
  <si>
    <t xml:space="preserve">"předcházet-001"</t>
  </si>
  <si>
    <t xml:space="preserve">ACT-&gt;ARG0/46,ARG1/2,ARG3/13</t>
  </si>
  <si>
    <t xml:space="preserve">ACT-&gt;ARG0/4,ARG1/2</t>
  </si>
  <si>
    <t xml:space="preserve">PAT-&gt;ARG1/77,ARG2/56</t>
  </si>
  <si>
    <t xml:space="preserve">PAT-&gt;ARG1/7,ARG2/3</t>
  </si>
  <si>
    <t xml:space="preserve">"předcházet-002"</t>
  </si>
  <si>
    <t xml:space="preserve">DPHR: pýcha.S1,pád.S4</t>
  </si>
  <si>
    <t xml:space="preserve">"předcházet-003"</t>
  </si>
  <si>
    <t xml:space="preserve">"předcházet-004"</t>
  </si>
  <si>
    <t xml:space="preserve">ACT-&gt;ARG0/21,ARG3/3</t>
  </si>
  <si>
    <t xml:space="preserve">"předcvičovat-001"</t>
  </si>
  <si>
    <t xml:space="preserve">"předehnat-001"</t>
  </si>
  <si>
    <t xml:space="preserve">"předehrát-001"</t>
  </si>
  <si>
    <t xml:space="preserve">"předejet-001"</t>
  </si>
  <si>
    <t xml:space="preserve">"předejmout-001"</t>
  </si>
  <si>
    <t xml:space="preserve">"předejít-001"</t>
  </si>
  <si>
    <t xml:space="preserve">"předejít-002"</t>
  </si>
  <si>
    <t xml:space="preserve">"předepisovat-001"</t>
  </si>
  <si>
    <t xml:space="preserve">PAT: 4; ↓že; ↓aby; ↓ať</t>
  </si>
  <si>
    <t xml:space="preserve">"předepsat-001"</t>
  </si>
  <si>
    <t xml:space="preserve">PAT: 4; ↓že; ↓aby; ↓ať; ↓c</t>
  </si>
  <si>
    <t xml:space="preserve">"předeslat-001"</t>
  </si>
  <si>
    <t xml:space="preserve">"předestřít-001"</t>
  </si>
  <si>
    <t xml:space="preserve">"předhazovat-001"</t>
  </si>
  <si>
    <t xml:space="preserve">PAT: 4; ↓že; ↓c; .v</t>
  </si>
  <si>
    <t xml:space="preserve">"předhánět-001"</t>
  </si>
  <si>
    <t xml:space="preserve">"předhánět-se-001"</t>
  </si>
  <si>
    <t xml:space="preserve">?PAT: o+4; v+6</t>
  </si>
  <si>
    <t xml:space="preserve">"předimenzovat-001"</t>
  </si>
  <si>
    <t xml:space="preserve">"předjet-001"</t>
  </si>
  <si>
    <t xml:space="preserve">"předjímat-001"</t>
  </si>
  <si>
    <t xml:space="preserve">"předjíždět-001"</t>
  </si>
  <si>
    <t xml:space="preserve">"předklonit-se-001"</t>
  </si>
  <si>
    <t xml:space="preserve">"předkládat-001"</t>
  </si>
  <si>
    <t xml:space="preserve">PAT-&gt;ARG1/337</t>
  </si>
  <si>
    <t xml:space="preserve">"předložit-001"</t>
  </si>
  <si>
    <t xml:space="preserve">ACT-&gt;ARG0/1306,ARG1/7</t>
  </si>
  <si>
    <t xml:space="preserve">ACT-&gt;ARG0/602,ARG1/31</t>
  </si>
  <si>
    <t xml:space="preserve">PAT-&gt;ARG1/1830,ARG2/2,ARG3/1</t>
  </si>
  <si>
    <t xml:space="preserve">PAT-&gt;ARG1/850,ARG2/53,ARG3/1</t>
  </si>
  <si>
    <t xml:space="preserve">ADDR-&gt;ARG1/7,ARG2/69,ARG3/95</t>
  </si>
  <si>
    <t xml:space="preserve">ADDR-&gt;ARG1/11,ARG2/181,ARG3/86</t>
  </si>
  <si>
    <t xml:space="preserve">"předložit-002"</t>
  </si>
  <si>
    <t xml:space="preserve">LOC-&gt;ARG2/9,ARG3/1</t>
  </si>
  <si>
    <t xml:space="preserve">LOC-&gt;ARG1/10,ARG2/176,ARG3/86</t>
  </si>
  <si>
    <t xml:space="preserve">"předložit-003"</t>
  </si>
  <si>
    <t xml:space="preserve">DIR3-&gt;ARG3/6</t>
  </si>
  <si>
    <t xml:space="preserve">DIR3-&gt;ARG1/3,ARG2/16,ARG3/7</t>
  </si>
  <si>
    <t xml:space="preserve">"přednášet-001"</t>
  </si>
  <si>
    <t xml:space="preserve">PAT: o+6; na-1[téma.4]</t>
  </si>
  <si>
    <t xml:space="preserve">"přednášet-002"</t>
  </si>
  <si>
    <t xml:space="preserve">PAT-&gt;ARG1/575</t>
  </si>
  <si>
    <t xml:space="preserve">"přednášet-003"</t>
  </si>
  <si>
    <t xml:space="preserve">"přednášet-004"</t>
  </si>
  <si>
    <t xml:space="preserve">"přednést-001"</t>
  </si>
  <si>
    <t xml:space="preserve">ACT-&gt;ARG0/620,ARG1/2,ARG2/3</t>
  </si>
  <si>
    <t xml:space="preserve">PAT-&gt;ARG1/942,ARG2/1</t>
  </si>
  <si>
    <t xml:space="preserve">ADDR-&gt;ARG1/4,ARG2/320,ARG3/3</t>
  </si>
  <si>
    <t xml:space="preserve">"předpisovat-001"</t>
  </si>
  <si>
    <t xml:space="preserve">"předplatit-001"</t>
  </si>
  <si>
    <t xml:space="preserve">"předplácet-001"</t>
  </si>
  <si>
    <t xml:space="preserve">"předpokládat-001"</t>
  </si>
  <si>
    <t xml:space="preserve">ACT: 1; .f; ↓aby; ↓že</t>
  </si>
  <si>
    <t xml:space="preserve">ACT-&gt;ARG0/4196,ARG1/25</t>
  </si>
  <si>
    <t xml:space="preserve">ACT-&gt;ARG0/736,ARG1/1</t>
  </si>
  <si>
    <t xml:space="preserve">PAT: 4; ↓aby; ↓že; .f</t>
  </si>
  <si>
    <t xml:space="preserve">PAT-&gt;ARG0/1,ARG1/4653,ARG2/42</t>
  </si>
  <si>
    <t xml:space="preserve">PAT-&gt;ARG1/836</t>
  </si>
  <si>
    <t xml:space="preserve">"předpokládat-002"</t>
  </si>
  <si>
    <t xml:space="preserve">ACT-&gt;ARG0/1651,ARG1/6</t>
  </si>
  <si>
    <t xml:space="preserve">EFF-&gt;ARG1/1925,ARG2/43</t>
  </si>
  <si>
    <t xml:space="preserve">"předpovídat-001"</t>
  </si>
  <si>
    <t xml:space="preserve">PAT-&gt;ARG1/303</t>
  </si>
  <si>
    <t xml:space="preserve">"předpovědět-001"</t>
  </si>
  <si>
    <t xml:space="preserve">ACT-&gt;ARG0/592</t>
  </si>
  <si>
    <t xml:space="preserve">PAT: 4; ↓že; ↓zda; .s; ↓c</t>
  </si>
  <si>
    <t xml:space="preserve">PAT-&gt;ARG1/717,ARG2/3</t>
  </si>
  <si>
    <t xml:space="preserve">"předražit-001"</t>
  </si>
  <si>
    <t xml:space="preserve">"předražovat-001"</t>
  </si>
  <si>
    <t xml:space="preserve">"předsedat-001"</t>
  </si>
  <si>
    <t xml:space="preserve">"předsevzít-si-001"</t>
  </si>
  <si>
    <t xml:space="preserve">"představit-001"</t>
  </si>
  <si>
    <t xml:space="preserve">PAT-&gt;ARG1/133</t>
  </si>
  <si>
    <t xml:space="preserve">"představit-002"</t>
  </si>
  <si>
    <t xml:space="preserve">ACT-&gt;ARG0/853,ARG1/2</t>
  </si>
  <si>
    <t xml:space="preserve">ACT-&gt;ARG0/148,ARG1/1</t>
  </si>
  <si>
    <t xml:space="preserve">PAT-&gt;ARG0/1,ARG1/1122,ARG2/1</t>
  </si>
  <si>
    <t xml:space="preserve">PAT-&gt;ARG1/217</t>
  </si>
  <si>
    <t xml:space="preserve">ADDR-&gt;ARG2/28</t>
  </si>
  <si>
    <t xml:space="preserve">"představit-003"</t>
  </si>
  <si>
    <t xml:space="preserve">"představit-004"</t>
  </si>
  <si>
    <t xml:space="preserve">"představit-se-001"</t>
  </si>
  <si>
    <t xml:space="preserve">ACT-&gt;ARG0/31,ARG1/44</t>
  </si>
  <si>
    <t xml:space="preserve">PAT-&gt;ARG1/6,ARG2/14</t>
  </si>
  <si>
    <t xml:space="preserve">"představit-si-001"</t>
  </si>
  <si>
    <t xml:space="preserve">"představit-si-002"</t>
  </si>
  <si>
    <t xml:space="preserve">PAT: 4; ↓že; ↓jak-2; ↓c; .f</t>
  </si>
  <si>
    <t xml:space="preserve">ACT-&gt;ARG0/418,ARG1/1</t>
  </si>
  <si>
    <t xml:space="preserve">PAT-&gt;ARG1/573,ARG2/1</t>
  </si>
  <si>
    <t xml:space="preserve">"představit-si-003"</t>
  </si>
  <si>
    <t xml:space="preserve">"představovat-001"</t>
  </si>
  <si>
    <t xml:space="preserve">"představovat-002"</t>
  </si>
  <si>
    <t xml:space="preserve">PAT-&gt;ARG1/576</t>
  </si>
  <si>
    <t xml:space="preserve">"představovat-003"</t>
  </si>
  <si>
    <t xml:space="preserve">ACT-&gt;ARG0/748,ARG1/3359,ARG2/297</t>
  </si>
  <si>
    <t xml:space="preserve">ACT-&gt;ARG0/18,ARG1/524,ARG2/123</t>
  </si>
  <si>
    <t xml:space="preserve">PAT-&gt;ARG0/152,ARG1/3426,ARG2/3595</t>
  </si>
  <si>
    <t xml:space="preserve">PAT-&gt;ARG0/114,ARG1/78,ARG2/150</t>
  </si>
  <si>
    <t xml:space="preserve">"představovat-se-001"</t>
  </si>
  <si>
    <t xml:space="preserve">"představovat-si-001"</t>
  </si>
  <si>
    <t xml:space="preserve">"představovat-si-002"</t>
  </si>
  <si>
    <t xml:space="preserve">"představovat-si-003"</t>
  </si>
  <si>
    <t xml:space="preserve">"předstihnout-001"</t>
  </si>
  <si>
    <t xml:space="preserve">PAT-&gt;ARG1/52</t>
  </si>
  <si>
    <t xml:space="preserve">"předstihovat-001"</t>
  </si>
  <si>
    <t xml:space="preserve">"předstoupit-001"</t>
  </si>
  <si>
    <t xml:space="preserve">ACT-&gt;ARG0/197,ARG1/204</t>
  </si>
  <si>
    <t xml:space="preserve">DIR3-&gt;ARG1/17,ARG2/34</t>
  </si>
  <si>
    <t xml:space="preserve">"předstupovat-001"</t>
  </si>
  <si>
    <t xml:space="preserve">"předstírat-001"</t>
  </si>
  <si>
    <t xml:space="preserve">"předtočit-001"</t>
  </si>
  <si>
    <t xml:space="preserve">"předurčit-001"</t>
  </si>
  <si>
    <t xml:space="preserve">"předurčit-002"</t>
  </si>
  <si>
    <t xml:space="preserve">EFF: 7; za+4; 4[{jako,jakožto}:/AuxY]</t>
  </si>
  <si>
    <t xml:space="preserve">"předurčit-003"</t>
  </si>
  <si>
    <t xml:space="preserve">"předurčovat-001"</t>
  </si>
  <si>
    <t xml:space="preserve">"předurčovat-002"</t>
  </si>
  <si>
    <t xml:space="preserve">"předurčovat-003"</t>
  </si>
  <si>
    <t xml:space="preserve">"předvolat-001"</t>
  </si>
  <si>
    <t xml:space="preserve">ACT-&gt;ARG0/330,ARG1/1</t>
  </si>
  <si>
    <t xml:space="preserve">PAT-&gt;ARG1/448</t>
  </si>
  <si>
    <t xml:space="preserve">"předvolávat-001"</t>
  </si>
  <si>
    <t xml:space="preserve">"předvádět-001"</t>
  </si>
  <si>
    <t xml:space="preserve">ACT-&gt;ARG0/175,ARG1/1</t>
  </si>
  <si>
    <t xml:space="preserve">PAT: 4; ↓že; ↓aby; ↓ať; ↓zda; ↓c</t>
  </si>
  <si>
    <t xml:space="preserve">PAT-&gt;ARG1/615</t>
  </si>
  <si>
    <t xml:space="preserve">"předvádět-se-001"</t>
  </si>
  <si>
    <t xml:space="preserve">"předvést-001"</t>
  </si>
  <si>
    <t xml:space="preserve">ACT-&gt;ARG0/186,ARG1/129,ARG2/3451</t>
  </si>
  <si>
    <t xml:space="preserve">ACT-&gt;ARG0/186,ARG1/1</t>
  </si>
  <si>
    <t xml:space="preserve">PAT-&gt;ARG1/3792,ARG2/306</t>
  </si>
  <si>
    <t xml:space="preserve">PAT-&gt;ARG1/631</t>
  </si>
  <si>
    <t xml:space="preserve">"předvést-002"</t>
  </si>
  <si>
    <t xml:space="preserve">"předvést-se-001"</t>
  </si>
  <si>
    <t xml:space="preserve">ACT: 1; ↓že; ↓jak-2</t>
  </si>
  <si>
    <t xml:space="preserve">PAT: 7; 1[{jako,jakožto}:/AuxY]; být[.7]</t>
  </si>
  <si>
    <t xml:space="preserve">"předvést-se-002"</t>
  </si>
  <si>
    <t xml:space="preserve">"předvídat-001"</t>
  </si>
  <si>
    <t xml:space="preserve">ACT-&gt;ARG0/1343,ARG1/2</t>
  </si>
  <si>
    <t xml:space="preserve">PAT-&gt;ARG1/1490,ARG2/1</t>
  </si>
  <si>
    <t xml:space="preserve">"předznamenat-001"</t>
  </si>
  <si>
    <t xml:space="preserve">PAT: 4; ↓že; ↓zda; ↓jestli</t>
  </si>
  <si>
    <t xml:space="preserve">"předznamenávat-001"</t>
  </si>
  <si>
    <t xml:space="preserve">"předzásobit-001"</t>
  </si>
  <si>
    <t xml:space="preserve">"předávat-001"</t>
  </si>
  <si>
    <t xml:space="preserve">PAT-&gt;ARG1/13,ARG2/1</t>
  </si>
  <si>
    <t xml:space="preserve">ADDR-&gt;ARG1/1,ARG2/12</t>
  </si>
  <si>
    <t xml:space="preserve">"předávat-002"</t>
  </si>
  <si>
    <t xml:space="preserve">"předávat-003"</t>
  </si>
  <si>
    <t xml:space="preserve">CPHR: {informace,podnět,zpráva,...}.4</t>
  </si>
  <si>
    <t xml:space="preserve">"předávat-004"</t>
  </si>
  <si>
    <t xml:space="preserve">"--předávat-si-001"</t>
  </si>
  <si>
    <t xml:space="preserve">"předávkovat-001"</t>
  </si>
  <si>
    <t xml:space="preserve">"předávkovat-se-001"</t>
  </si>
  <si>
    <t xml:space="preserve">"předčit-001"</t>
  </si>
  <si>
    <t xml:space="preserve">ACT-&gt;ARG0/119,ARG1/3102,ARG2/299</t>
  </si>
  <si>
    <t xml:space="preserve">ACT-&gt;ARG0/296,ARG1/13</t>
  </si>
  <si>
    <t xml:space="preserve">PAT-&gt;ARG0/1,ARG1/288,ARG2/3451</t>
  </si>
  <si>
    <t xml:space="preserve">PAT-&gt;ARG0/2,ARG1/406,ARG2/14</t>
  </si>
  <si>
    <t xml:space="preserve">"předčítat-001"</t>
  </si>
  <si>
    <t xml:space="preserve">EFF: 4; ↓že; ↓jak-2; ↓zda; ↓jestli; ↓c; .s</t>
  </si>
  <si>
    <t xml:space="preserve">EFF-&gt;ARG1/66,ARG3/4</t>
  </si>
  <si>
    <t xml:space="preserve">EFF-&gt;ARG1/72,ARG3/4</t>
  </si>
  <si>
    <t xml:space="preserve">PAT-&gt;ARG1/72,ARG3/4</t>
  </si>
  <si>
    <t xml:space="preserve">"předělat-001"</t>
  </si>
  <si>
    <t xml:space="preserve">"předělávat-001"</t>
  </si>
  <si>
    <t xml:space="preserve">"předřadit-001"</t>
  </si>
  <si>
    <t xml:space="preserve">"předříkávat-001"</t>
  </si>
  <si>
    <t xml:space="preserve">"předřít-se-001"</t>
  </si>
  <si>
    <t xml:space="preserve">"přefakturovat-001"</t>
  </si>
  <si>
    <t xml:space="preserve">"přefilmovat-001"</t>
  </si>
  <si>
    <t xml:space="preserve">"přeformulovat-001"</t>
  </si>
  <si>
    <t xml:space="preserve">"přehazovat-001"</t>
  </si>
  <si>
    <t xml:space="preserve">"přehazovat-002"</t>
  </si>
  <si>
    <t xml:space="preserve">"přehazovat-003"</t>
  </si>
  <si>
    <t xml:space="preserve">"přehlasovat-001"</t>
  </si>
  <si>
    <t xml:space="preserve">"přehlavičkovat-001"</t>
  </si>
  <si>
    <t xml:space="preserve">"přehlcovat-001"</t>
  </si>
  <si>
    <t xml:space="preserve">"přehltit-001"</t>
  </si>
  <si>
    <t xml:space="preserve">"přehlušit-001"</t>
  </si>
  <si>
    <t xml:space="preserve">"přehlédnout-001"</t>
  </si>
  <si>
    <t xml:space="preserve">PAT: 4; ↓že; ↓zda; ↓jestli; ↓kdyby; ↓c</t>
  </si>
  <si>
    <t xml:space="preserve">"přehlédnout-002"</t>
  </si>
  <si>
    <t xml:space="preserve">"přehlížet-001"</t>
  </si>
  <si>
    <t xml:space="preserve">"přehnat-001"</t>
  </si>
  <si>
    <t xml:space="preserve">"přehnat-002"</t>
  </si>
  <si>
    <t xml:space="preserve">"přehnat-003"</t>
  </si>
  <si>
    <t xml:space="preserve">"přehnat-se-001"</t>
  </si>
  <si>
    <t xml:space="preserve">"přehnat-se-002"</t>
  </si>
  <si>
    <t xml:space="preserve">"přehodit-001"</t>
  </si>
  <si>
    <t xml:space="preserve">"přehodit-002"</t>
  </si>
  <si>
    <t xml:space="preserve">"přehodit-003"</t>
  </si>
  <si>
    <t xml:space="preserve">"přehodnocovat-001"</t>
  </si>
  <si>
    <t xml:space="preserve">"přehodnocovat-002"</t>
  </si>
  <si>
    <t xml:space="preserve">"přehodnotit-001"</t>
  </si>
  <si>
    <t xml:space="preserve">"přehodnotit-002"</t>
  </si>
  <si>
    <t xml:space="preserve">"přehoupnout-se-001"</t>
  </si>
  <si>
    <t xml:space="preserve">"přehrabovat-se-001"</t>
  </si>
  <si>
    <t xml:space="preserve">"přehradit-001"</t>
  </si>
  <si>
    <t xml:space="preserve">"přehrát-001"</t>
  </si>
  <si>
    <t xml:space="preserve">"přehrát-002"</t>
  </si>
  <si>
    <t xml:space="preserve">"přehrát-003"</t>
  </si>
  <si>
    <t xml:space="preserve">"přehrát-004"</t>
  </si>
  <si>
    <t xml:space="preserve">"přehrávat-001"</t>
  </si>
  <si>
    <t xml:space="preserve">"přehrávat-002"</t>
  </si>
  <si>
    <t xml:space="preserve">"přehrávat-003"</t>
  </si>
  <si>
    <t xml:space="preserve">"přehrávat-se-001"</t>
  </si>
  <si>
    <t xml:space="preserve">"přehrávat-si-001"</t>
  </si>
  <si>
    <t xml:space="preserve">"přehustit-001"</t>
  </si>
  <si>
    <t xml:space="preserve">"přehustit-002"</t>
  </si>
  <si>
    <t xml:space="preserve">"přehánět-001"</t>
  </si>
  <si>
    <t xml:space="preserve">"přehřát-001"</t>
  </si>
  <si>
    <t xml:space="preserve">"přehřát-se-001"</t>
  </si>
  <si>
    <t xml:space="preserve">"přehřívat-se-001"</t>
  </si>
  <si>
    <t xml:space="preserve">"přejet-001"</t>
  </si>
  <si>
    <t xml:space="preserve">"přejet-002"</t>
  </si>
  <si>
    <t xml:space="preserve">"přejet-003"</t>
  </si>
  <si>
    <t xml:space="preserve">"přejet-004"</t>
  </si>
  <si>
    <t xml:space="preserve">ACT-&gt;ARG0/10,ARG1/22</t>
  </si>
  <si>
    <t xml:space="preserve">DIR2-&gt;ARG0/12,ARG1/12</t>
  </si>
  <si>
    <t xml:space="preserve">"přejet-005"</t>
  </si>
  <si>
    <t xml:space="preserve">"přejet-006"</t>
  </si>
  <si>
    <t xml:space="preserve">"přejet-007"</t>
  </si>
  <si>
    <t xml:space="preserve">"přejmenovat-001"</t>
  </si>
  <si>
    <t xml:space="preserve">EFF-&gt;ARG2/8</t>
  </si>
  <si>
    <t xml:space="preserve">"přejmout-001"</t>
  </si>
  <si>
    <t xml:space="preserve">"přejmout-002"</t>
  </si>
  <si>
    <t xml:space="preserve">"přejímat-001"</t>
  </si>
  <si>
    <t xml:space="preserve">"přejíst-se-001"</t>
  </si>
  <si>
    <t xml:space="preserve">"přejít-001"</t>
  </si>
  <si>
    <t xml:space="preserve">ACT-&gt;ARG0/195,ARG1/181</t>
  </si>
  <si>
    <t xml:space="preserve">PAT: v+4; na+4; k+3</t>
  </si>
  <si>
    <t xml:space="preserve">PAT-&gt;ARG1/141,ARG2/59</t>
  </si>
  <si>
    <t xml:space="preserve">ORIG-&gt;ARG2/1,ARG3/11</t>
  </si>
  <si>
    <t xml:space="preserve">"přejít-002"</t>
  </si>
  <si>
    <t xml:space="preserve">"přejít-003"</t>
  </si>
  <si>
    <t xml:space="preserve">"přejít-004"</t>
  </si>
  <si>
    <t xml:space="preserve">PAT: pod+4; do+2; na+4; k+3</t>
  </si>
  <si>
    <t xml:space="preserve">PAT-&gt;ARG1/2,ARG2/23</t>
  </si>
  <si>
    <t xml:space="preserve">"přejít-005"</t>
  </si>
  <si>
    <t xml:space="preserve">"přejít-006"</t>
  </si>
  <si>
    <t xml:space="preserve">ACT-&gt;ARG0/90,ARG1/72</t>
  </si>
  <si>
    <t xml:space="preserve">DIR1-&gt;ARG1/55,ARG2/1,ARG3/2</t>
  </si>
  <si>
    <t xml:space="preserve">DIR3-&gt;ARG1/2,ARG2/63</t>
  </si>
  <si>
    <t xml:space="preserve">"přejít-007"</t>
  </si>
  <si>
    <t xml:space="preserve">"přejít-008"</t>
  </si>
  <si>
    <t xml:space="preserve">ACT-&gt;ARG0/105,ARG1/3</t>
  </si>
  <si>
    <t xml:space="preserve">DIR3-&gt;ARG1/141</t>
  </si>
  <si>
    <t xml:space="preserve">"přejít-009"</t>
  </si>
  <si>
    <t xml:space="preserve">DPHR: do-1[zbraň.S2]</t>
  </si>
  <si>
    <t xml:space="preserve">"přejíždět-001"</t>
  </si>
  <si>
    <t xml:space="preserve">"přejíždět-002"</t>
  </si>
  <si>
    <t xml:space="preserve">"přejíždět-003"</t>
  </si>
  <si>
    <t xml:space="preserve">"přejíždět-004"</t>
  </si>
  <si>
    <t xml:space="preserve">"překazit-001"</t>
  </si>
  <si>
    <t xml:space="preserve">PAT-&gt;ARG1/57,ARG2/1</t>
  </si>
  <si>
    <t xml:space="preserve">"překlasifikovat-001"</t>
  </si>
  <si>
    <t xml:space="preserve">"překlasifikovat-002"</t>
  </si>
  <si>
    <t xml:space="preserve">EFF-&gt;ARG1/2,ARG2/99,ARG3/2,ARG4/27</t>
  </si>
  <si>
    <t xml:space="preserve">"překlenout-001"</t>
  </si>
  <si>
    <t xml:space="preserve">"překlenout-002"</t>
  </si>
  <si>
    <t xml:space="preserve">"překlopit-001"</t>
  </si>
  <si>
    <t xml:space="preserve">"překládat-001"</t>
  </si>
  <si>
    <t xml:space="preserve">"překlápět-se-001"</t>
  </si>
  <si>
    <t xml:space="preserve">"překonat-001"</t>
  </si>
  <si>
    <t xml:space="preserve">ACT-&gt;ARG0/154,ARG1/74</t>
  </si>
  <si>
    <t xml:space="preserve">PAT-&gt;ARG0/1,ARG1/247</t>
  </si>
  <si>
    <t xml:space="preserve">"překonat-002"</t>
  </si>
  <si>
    <t xml:space="preserve">PAT-&gt;ARG0/1,ARG1/119</t>
  </si>
  <si>
    <t xml:space="preserve">"překonat-003"</t>
  </si>
  <si>
    <t xml:space="preserve">ACT-&gt;ARG0/134,ARG1/13</t>
  </si>
  <si>
    <t xml:space="preserve">PAT-&gt;ARG0/1,ARG1/103</t>
  </si>
  <si>
    <t xml:space="preserve">PAT-&gt;ARG0/1,ARG1/162,ARG2/13</t>
  </si>
  <si>
    <t xml:space="preserve">"překonat-se-001"</t>
  </si>
  <si>
    <t xml:space="preserve">"překontrolovat-001"</t>
  </si>
  <si>
    <t xml:space="preserve">PAT: 4; ↓že; ↓aby; ↓jestli; ↓zda; ↓c</t>
  </si>
  <si>
    <t xml:space="preserve">"překonávat-001"</t>
  </si>
  <si>
    <t xml:space="preserve">ACT-&gt;ARG0/292,ARG1/13</t>
  </si>
  <si>
    <t xml:space="preserve">PAT-&gt;ARG0/1,ARG1/115</t>
  </si>
  <si>
    <t xml:space="preserve">PAT-&gt;ARG0/2,ARG1/403,ARG2/13</t>
  </si>
  <si>
    <t xml:space="preserve">"překonávat-se-001"</t>
  </si>
  <si>
    <t xml:space="preserve">"překopnout-001"</t>
  </si>
  <si>
    <t xml:space="preserve">"překopnout-002"</t>
  </si>
  <si>
    <t xml:space="preserve">"překousnout-001"</t>
  </si>
  <si>
    <t xml:space="preserve">"překračovat-001"</t>
  </si>
  <si>
    <t xml:space="preserve">PAT-&gt;ARG0/1,ARG1/113</t>
  </si>
  <si>
    <t xml:space="preserve">"překračovat-002"</t>
  </si>
  <si>
    <t xml:space="preserve">PAT-&gt;ARG0/1,ARG1/108</t>
  </si>
  <si>
    <t xml:space="preserve">"překračovat-003"</t>
  </si>
  <si>
    <t xml:space="preserve">"překračovat-004"</t>
  </si>
  <si>
    <t xml:space="preserve">"překreslovat-001"</t>
  </si>
  <si>
    <t xml:space="preserve">"překrmovat-001"</t>
  </si>
  <si>
    <t xml:space="preserve">"překroutit-001"</t>
  </si>
  <si>
    <t xml:space="preserve">"překročit-001"</t>
  </si>
  <si>
    <t xml:space="preserve">ACT-&gt;ARG0/79,ARG1/12</t>
  </si>
  <si>
    <t xml:space="preserve">PAT-&gt;ARG0/1,ARG1/96</t>
  </si>
  <si>
    <t xml:space="preserve">"překročit-002"</t>
  </si>
  <si>
    <t xml:space="preserve">ACT-&gt;ARG0/147,ARG1/1072,ARG2/5</t>
  </si>
  <si>
    <t xml:space="preserve">PAT-&gt;ARG0/1,ARG1/201,ARG2/720,ARG4/4</t>
  </si>
  <si>
    <t xml:space="preserve">"překročit-003"</t>
  </si>
  <si>
    <t xml:space="preserve">"překrucovat-001"</t>
  </si>
  <si>
    <t xml:space="preserve">"překrýt-001"</t>
  </si>
  <si>
    <t xml:space="preserve">"překrýt-002"</t>
  </si>
  <si>
    <t xml:space="preserve">"překrýt-003"</t>
  </si>
  <si>
    <t xml:space="preserve">"překrývat-001"</t>
  </si>
  <si>
    <t xml:space="preserve">"překrývat-002"</t>
  </si>
  <si>
    <t xml:space="preserve">"překrývat-se-001"</t>
  </si>
  <si>
    <t xml:space="preserve">"překulit-se-001"</t>
  </si>
  <si>
    <t xml:space="preserve">"překulit-se-002"</t>
  </si>
  <si>
    <t xml:space="preserve">"překvapit-001"</t>
  </si>
  <si>
    <t xml:space="preserve">ACT-&gt;ARG0/621,ARG1/1</t>
  </si>
  <si>
    <t xml:space="preserve">PAT-&gt;ARG0/1,ARG1/654</t>
  </si>
  <si>
    <t xml:space="preserve">"překvapit-002"</t>
  </si>
  <si>
    <t xml:space="preserve">"překvapovat-001"</t>
  </si>
  <si>
    <t xml:space="preserve">ACT-&gt;ARG0/23,ARG1/1</t>
  </si>
  <si>
    <t xml:space="preserve">PAT-&gt;ARG0/1,ARG1/3133,ARG2/296</t>
  </si>
  <si>
    <t xml:space="preserve">"překvapovat-002"</t>
  </si>
  <si>
    <t xml:space="preserve">"překypovat-001"</t>
  </si>
  <si>
    <t xml:space="preserve">"překypovat-002"</t>
  </si>
  <si>
    <t xml:space="preserve">"překypět-001"</t>
  </si>
  <si>
    <t xml:space="preserve">"překážet-001"</t>
  </si>
  <si>
    <t xml:space="preserve">?PAT: v+6; .f; ↓aby; při+6</t>
  </si>
  <si>
    <t xml:space="preserve">PAT-&gt;ARG1/17,ARG2/1</t>
  </si>
  <si>
    <t xml:space="preserve">"překážet-002"</t>
  </si>
  <si>
    <t xml:space="preserve">"překřikovat-001"</t>
  </si>
  <si>
    <t xml:space="preserve">"překřtít-001"</t>
  </si>
  <si>
    <t xml:space="preserve">"překřížit-001"</t>
  </si>
  <si>
    <t xml:space="preserve">"překřížit-002"</t>
  </si>
  <si>
    <t xml:space="preserve">DPHR: cesta.4</t>
  </si>
  <si>
    <t xml:space="preserve">"přeladit-se-001"</t>
  </si>
  <si>
    <t xml:space="preserve">"přelarvovat-001"</t>
  </si>
  <si>
    <t xml:space="preserve">"přelaďovat-001"</t>
  </si>
  <si>
    <t xml:space="preserve">"přeletět-001"</t>
  </si>
  <si>
    <t xml:space="preserve">"přeletět-002"</t>
  </si>
  <si>
    <t xml:space="preserve">"přelidnit-001"</t>
  </si>
  <si>
    <t xml:space="preserve">"přelidnit-se-001"</t>
  </si>
  <si>
    <t xml:space="preserve">"přeložit-001"</t>
  </si>
  <si>
    <t xml:space="preserve">"přeložit-002"</t>
  </si>
  <si>
    <t xml:space="preserve">EFF: 4[{jako,jakožto}:/AuxY]; .s</t>
  </si>
  <si>
    <t xml:space="preserve">"přeložit-003"</t>
  </si>
  <si>
    <t xml:space="preserve">ACT-&gt;ARG0/63,ARG1/1</t>
  </si>
  <si>
    <t xml:space="preserve">DIR1-&gt;ARG3/1</t>
  </si>
  <si>
    <t xml:space="preserve">DIR3-&gt;ARG2/1,ARG3/1</t>
  </si>
  <si>
    <t xml:space="preserve">"přeložit-004"</t>
  </si>
  <si>
    <t xml:space="preserve">PAT-&gt;ARG1/226</t>
  </si>
  <si>
    <t xml:space="preserve">TFRWH-&gt;ARG3/1</t>
  </si>
  <si>
    <t xml:space="preserve">TOWH-&gt;ARG3/2</t>
  </si>
  <si>
    <t xml:space="preserve">TOWH-&gt;ARG2/5,ARG3/2,ARG4/5</t>
  </si>
  <si>
    <t xml:space="preserve">"přelstít-001"</t>
  </si>
  <si>
    <t xml:space="preserve">"přelámat-001"</t>
  </si>
  <si>
    <t xml:space="preserve">"přelétnout-001"</t>
  </si>
  <si>
    <t xml:space="preserve">"přelétávat-001"</t>
  </si>
  <si>
    <t xml:space="preserve">"přelétávat-002"</t>
  </si>
  <si>
    <t xml:space="preserve">"přelévat-001"</t>
  </si>
  <si>
    <t xml:space="preserve">"přelévat-se-001"</t>
  </si>
  <si>
    <t xml:space="preserve">"přelézt-001"</t>
  </si>
  <si>
    <t xml:space="preserve">"přelézt-002"</t>
  </si>
  <si>
    <t xml:space="preserve">"přelít-001"</t>
  </si>
  <si>
    <t xml:space="preserve">"přelítnout-001"</t>
  </si>
  <si>
    <t xml:space="preserve">"přemalovat-001"</t>
  </si>
  <si>
    <t xml:space="preserve">"přemisťovat-001"</t>
  </si>
  <si>
    <t xml:space="preserve">"přemlouvat-001"</t>
  </si>
  <si>
    <t xml:space="preserve">ADDR-&gt;ARG1/32</t>
  </si>
  <si>
    <t xml:space="preserve">?PAT: k+3; ↓aby; ↓ať; .s</t>
  </si>
  <si>
    <t xml:space="preserve">"přemluvit-001"</t>
  </si>
  <si>
    <t xml:space="preserve">"přemnožit-se-001"</t>
  </si>
  <si>
    <t xml:space="preserve">"přemoci-001"</t>
  </si>
  <si>
    <t xml:space="preserve">"přemostit-001"</t>
  </si>
  <si>
    <t xml:space="preserve">"přemáhat-se-001"</t>
  </si>
  <si>
    <t xml:space="preserve">"přemístit-001"</t>
  </si>
  <si>
    <t xml:space="preserve">"přemístit-002"</t>
  </si>
  <si>
    <t xml:space="preserve">"přemístit-se-001"</t>
  </si>
  <si>
    <t xml:space="preserve">"přemítat-001"</t>
  </si>
  <si>
    <t xml:space="preserve">"přemýšlet-001"</t>
  </si>
  <si>
    <t xml:space="preserve">ACT-&gt;ARG0/174</t>
  </si>
  <si>
    <t xml:space="preserve">ACT-&gt;ARG0/153,ARG3/2</t>
  </si>
  <si>
    <t xml:space="preserve">PAT-&gt;ARG1/174,ARG2/36</t>
  </si>
  <si>
    <t xml:space="preserve">PAT-&gt;ARG1/105,ARG2/37,ARG3/1</t>
  </si>
  <si>
    <t xml:space="preserve">"přeměnit-001"</t>
  </si>
  <si>
    <t xml:space="preserve">PAT-&gt;ARG1/134,ARG2/1</t>
  </si>
  <si>
    <t xml:space="preserve">EFF-&gt;ARG2/123</t>
  </si>
  <si>
    <t xml:space="preserve">"přeměnit-se-001"</t>
  </si>
  <si>
    <t xml:space="preserve">ACT-&gt;ARG0/15,ARG1/448,ARG2/6</t>
  </si>
  <si>
    <t xml:space="preserve">?PAT: v+4; na+4; do+2; k+3</t>
  </si>
  <si>
    <t xml:space="preserve">PAT-&gt;ARG2/498</t>
  </si>
  <si>
    <t xml:space="preserve">"přeměňovat-001"</t>
  </si>
  <si>
    <t xml:space="preserve">"přeměřit-001"</t>
  </si>
  <si>
    <t xml:space="preserve">"přeměřovat-001"</t>
  </si>
  <si>
    <t xml:space="preserve">"přendat-001"</t>
  </si>
  <si>
    <t xml:space="preserve">"přendávat-001"</t>
  </si>
  <si>
    <t xml:space="preserve">"přenechat-001"</t>
  </si>
  <si>
    <t xml:space="preserve">PAT-&gt;ARG1/206</t>
  </si>
  <si>
    <t xml:space="preserve">ADDR-&gt;ARG1/129,ARG2/29</t>
  </si>
  <si>
    <t xml:space="preserve">"přenechat-002"</t>
  </si>
  <si>
    <t xml:space="preserve">"přenechávat-001"</t>
  </si>
  <si>
    <t xml:space="preserve">"přenocovat-001"</t>
  </si>
  <si>
    <t xml:space="preserve">"přenášet-001"</t>
  </si>
  <si>
    <t xml:space="preserve">ADDR-&gt;ARG2/74</t>
  </si>
  <si>
    <t xml:space="preserve">"přenášet-002"</t>
  </si>
  <si>
    <t xml:space="preserve">"přenášet-003"</t>
  </si>
  <si>
    <t xml:space="preserve">"přenášet-004"</t>
  </si>
  <si>
    <t xml:space="preserve">"přenášet-005"</t>
  </si>
  <si>
    <t xml:space="preserve">"přenášet-se-001"</t>
  </si>
  <si>
    <t xml:space="preserve">"přenést-001"</t>
  </si>
  <si>
    <t xml:space="preserve">PAT-&gt;ARG0/15,ARG1/32</t>
  </si>
  <si>
    <t xml:space="preserve">ADDR-&gt;ARG1/2,ARG2/27</t>
  </si>
  <si>
    <t xml:space="preserve">"přenést-002"</t>
  </si>
  <si>
    <t xml:space="preserve">"přenést-003"</t>
  </si>
  <si>
    <t xml:space="preserve">DIR3-&gt;ARG2/10</t>
  </si>
  <si>
    <t xml:space="preserve">"přenést-004"</t>
  </si>
  <si>
    <t xml:space="preserve">"přenést-005"</t>
  </si>
  <si>
    <t xml:space="preserve">"přenést-se-001"</t>
  </si>
  <si>
    <t xml:space="preserve">"přenést-se-002"</t>
  </si>
  <si>
    <t xml:space="preserve">"přenést-se-003"</t>
  </si>
  <si>
    <t xml:space="preserve">"přeorganizovat-001"</t>
  </si>
  <si>
    <t xml:space="preserve">"přeorientovat-001"</t>
  </si>
  <si>
    <t xml:space="preserve">"přeorientovat-se-001"</t>
  </si>
  <si>
    <t xml:space="preserve">PAT-&gt;ARG1/2,ARG2/27</t>
  </si>
  <si>
    <t xml:space="preserve">"přeorientovat-se-002"</t>
  </si>
  <si>
    <t xml:space="preserve">"přepadat-001"</t>
  </si>
  <si>
    <t xml:space="preserve">"přepadnout-001"</t>
  </si>
  <si>
    <t xml:space="preserve">"přepadnout-002"</t>
  </si>
  <si>
    <t xml:space="preserve">"přepadávat-001"</t>
  </si>
  <si>
    <t xml:space="preserve">"přepalovat-se-001"</t>
  </si>
  <si>
    <t xml:space="preserve">"--přepalovat-se-002"</t>
  </si>
  <si>
    <t xml:space="preserve">"přepisovat-001"</t>
  </si>
  <si>
    <t xml:space="preserve">"přeplatit-001"</t>
  </si>
  <si>
    <t xml:space="preserve">"přeplavat-001"</t>
  </si>
  <si>
    <t xml:space="preserve">"přeplavat-002"</t>
  </si>
  <si>
    <t xml:space="preserve">"přeplavit-001"</t>
  </si>
  <si>
    <t xml:space="preserve">"přeplnit-001"</t>
  </si>
  <si>
    <t xml:space="preserve">"přeplnit-002"</t>
  </si>
  <si>
    <t xml:space="preserve">"přeplácet-001"</t>
  </si>
  <si>
    <t xml:space="preserve">"přeplánovat-001"</t>
  </si>
  <si>
    <t xml:space="preserve">"přepnout-001"</t>
  </si>
  <si>
    <t xml:space="preserve">"přepnout-002"</t>
  </si>
  <si>
    <t xml:space="preserve">"přepnout-se-001"</t>
  </si>
  <si>
    <t xml:space="preserve">PAT-&gt;ARG1/2,ARG2/5</t>
  </si>
  <si>
    <t xml:space="preserve">"přepojit-001"</t>
  </si>
  <si>
    <t xml:space="preserve">"přeposílat-001"</t>
  </si>
  <si>
    <t xml:space="preserve">ACT-&gt;ARG0/358,ARG1/1</t>
  </si>
  <si>
    <t xml:space="preserve">PAT-&gt;ARG0/1,ARG1/667,ARG2/2</t>
  </si>
  <si>
    <t xml:space="preserve">PAT-&gt;ARG0/1,ARG1/678,ARG2/2</t>
  </si>
  <si>
    <t xml:space="preserve">ADDR-&gt;ARG1/8,ARG2/311</t>
  </si>
  <si>
    <t xml:space="preserve">ADDR-&gt;ARG1/8,ARG2/312</t>
  </si>
  <si>
    <t xml:space="preserve">"přepočíst-001"</t>
  </si>
  <si>
    <t xml:space="preserve">"přepočítat-001"</t>
  </si>
  <si>
    <t xml:space="preserve">ACT-&gt;ARG0/7,ARG1/3</t>
  </si>
  <si>
    <t xml:space="preserve">PAT-&gt;ARG1/42,ARG2/1</t>
  </si>
  <si>
    <t xml:space="preserve">EFF-&gt;ARG2/12,ARG3/1</t>
  </si>
  <si>
    <t xml:space="preserve">"přepočítat-002"</t>
  </si>
  <si>
    <t xml:space="preserve">"přepočítat-se-001"</t>
  </si>
  <si>
    <t xml:space="preserve">"přepočítávat-001"</t>
  </si>
  <si>
    <t xml:space="preserve">"přepracovat-001"</t>
  </si>
  <si>
    <t xml:space="preserve">ACT-&gt;ARG0/305,ARG1/5</t>
  </si>
  <si>
    <t xml:space="preserve">PAT-&gt;ARG1/610,ARG2/2,ARG3/2</t>
  </si>
  <si>
    <t xml:space="preserve">"přepracovávat-001"</t>
  </si>
  <si>
    <t xml:space="preserve">"přeprat-001"</t>
  </si>
  <si>
    <t xml:space="preserve">"přepravit-001"</t>
  </si>
  <si>
    <t xml:space="preserve">"přepravovat-001"</t>
  </si>
  <si>
    <t xml:space="preserve">"přepsat-001"</t>
  </si>
  <si>
    <t xml:space="preserve">"přepsat-002"</t>
  </si>
  <si>
    <t xml:space="preserve">"přepustit-001"</t>
  </si>
  <si>
    <t xml:space="preserve">"přepínat-001"</t>
  </si>
  <si>
    <t xml:space="preserve">"přerazit-001"</t>
  </si>
  <si>
    <t xml:space="preserve">EFF-&gt;ARG2/2,ARG3/1</t>
  </si>
  <si>
    <t xml:space="preserve">"přerazítkovat-001"</t>
  </si>
  <si>
    <t xml:space="preserve">"přeregistrovat-001"</t>
  </si>
  <si>
    <t xml:space="preserve">"přeregistrovat-002"</t>
  </si>
  <si>
    <t xml:space="preserve">"přeregistrovávat-001"</t>
  </si>
  <si>
    <t xml:space="preserve">"přerozdělit-001"</t>
  </si>
  <si>
    <t xml:space="preserve">ADDR-&gt;ARG1/1,ARG2/15</t>
  </si>
  <si>
    <t xml:space="preserve">"přerozdělovat-001"</t>
  </si>
  <si>
    <t xml:space="preserve">"přerušit-001"</t>
  </si>
  <si>
    <t xml:space="preserve">ACT-&gt;ARG0/234,ARG1/3</t>
  </si>
  <si>
    <t xml:space="preserve">ACT-&gt;ARG0/125,ARG1/3,ARG3/3</t>
  </si>
  <si>
    <t xml:space="preserve">PAT-&gt;ARG0/7,ARG1/3930,ARG2/324</t>
  </si>
  <si>
    <t xml:space="preserve">PAT-&gt;ARG0/1,ARG1/229</t>
  </si>
  <si>
    <t xml:space="preserve">"přerušit-002"</t>
  </si>
  <si>
    <t xml:space="preserve">"přerušit-003"</t>
  </si>
  <si>
    <t xml:space="preserve">"přerušit-004"</t>
  </si>
  <si>
    <t xml:space="preserve">"přerušovat-001"</t>
  </si>
  <si>
    <t xml:space="preserve">"přerušovat-002"</t>
  </si>
  <si>
    <t xml:space="preserve">"přervat-001"</t>
  </si>
  <si>
    <t xml:space="preserve">"přerůst-001"</t>
  </si>
  <si>
    <t xml:space="preserve">PAT: 4; nad+7</t>
  </si>
  <si>
    <t xml:space="preserve">"přerůst-002"</t>
  </si>
  <si>
    <t xml:space="preserve">"přerůst-003"</t>
  </si>
  <si>
    <t xml:space="preserve">DPHR: přes-1[hlava.S4]</t>
  </si>
  <si>
    <t xml:space="preserve">"přerůstat-001"</t>
  </si>
  <si>
    <t xml:space="preserve">"přerůstat-002"</t>
  </si>
  <si>
    <t xml:space="preserve">"přesadit-001"</t>
  </si>
  <si>
    <t xml:space="preserve">"přesahovat-001"</t>
  </si>
  <si>
    <t xml:space="preserve">ACT-&gt;ARG0/119,ARG1/30,ARG2/1</t>
  </si>
  <si>
    <t xml:space="preserve">PAT-&gt;ARG0/1,ARG1/154</t>
  </si>
  <si>
    <t xml:space="preserve">"přesahovat-002"</t>
  </si>
  <si>
    <t xml:space="preserve">"přesahovat-003"</t>
  </si>
  <si>
    <t xml:space="preserve">"přesedlat-001"</t>
  </si>
  <si>
    <t xml:space="preserve">"přesedlat-002"</t>
  </si>
  <si>
    <t xml:space="preserve">"přesedlávat-001"</t>
  </si>
  <si>
    <t xml:space="preserve">"přesednout-001"</t>
  </si>
  <si>
    <t xml:space="preserve">"přesednout-si-001"</t>
  </si>
  <si>
    <t xml:space="preserve">"přeseknout-001"</t>
  </si>
  <si>
    <t xml:space="preserve">"přeskakovat-001"</t>
  </si>
  <si>
    <t xml:space="preserve">"přeskakovat-002"</t>
  </si>
  <si>
    <t xml:space="preserve">"přeskočit-001"</t>
  </si>
  <si>
    <t xml:space="preserve">"přeskočit-002"</t>
  </si>
  <si>
    <t xml:space="preserve">"přeskočit-003"</t>
  </si>
  <si>
    <t xml:space="preserve">"přeskočit-004"</t>
  </si>
  <si>
    <t xml:space="preserve">"přeskočit-005"</t>
  </si>
  <si>
    <t xml:space="preserve">"přeskočit-006"</t>
  </si>
  <si>
    <t xml:space="preserve">"přeskupit-001"</t>
  </si>
  <si>
    <t xml:space="preserve">"přeskupovat-001"</t>
  </si>
  <si>
    <t xml:space="preserve">"přeskupovat-se-001"</t>
  </si>
  <si>
    <t xml:space="preserve">"přeslechnout-001"</t>
  </si>
  <si>
    <t xml:space="preserve">"přesluhovat-001"</t>
  </si>
  <si>
    <t xml:space="preserve">"přesměrovat-001"</t>
  </si>
  <si>
    <t xml:space="preserve">"přesměrovávat-001"</t>
  </si>
  <si>
    <t xml:space="preserve">"přesouvat-001"</t>
  </si>
  <si>
    <t xml:space="preserve">PAT-&gt;ARG0/5,ARG1/243</t>
  </si>
  <si>
    <t xml:space="preserve">"přesouvat-002"</t>
  </si>
  <si>
    <t xml:space="preserve">PAT-&gt;ARG0/4,ARG1/75</t>
  </si>
  <si>
    <t xml:space="preserve">"přesouvat-003"</t>
  </si>
  <si>
    <t xml:space="preserve">"přesouvat-se-001"</t>
  </si>
  <si>
    <t xml:space="preserve">ACT-&gt;ARG0/4,ARG1/76</t>
  </si>
  <si>
    <t xml:space="preserve">"přespat-001"</t>
  </si>
  <si>
    <t xml:space="preserve">"přesprintovat-001"</t>
  </si>
  <si>
    <t xml:space="preserve">"přespávat-001"</t>
  </si>
  <si>
    <t xml:space="preserve">"přestat-001"</t>
  </si>
  <si>
    <t xml:space="preserve">ACT-&gt;ARG0/140,ARG1/249</t>
  </si>
  <si>
    <t xml:space="preserve">PAT-&gt;ARG1/236,ARG2/207</t>
  </si>
  <si>
    <t xml:space="preserve">"přestat-002"</t>
  </si>
  <si>
    <t xml:space="preserve">"přestavit-001"</t>
  </si>
  <si>
    <t xml:space="preserve">"přestavovat-001"</t>
  </si>
  <si>
    <t xml:space="preserve">"přestavět-001"</t>
  </si>
  <si>
    <t xml:space="preserve">EFF: na+4,v+4</t>
  </si>
  <si>
    <t xml:space="preserve">PAT-&gt;ARG1/102,ARG2/2</t>
  </si>
  <si>
    <t xml:space="preserve">EFF-&gt;ARG2/51,ARG3/1</t>
  </si>
  <si>
    <t xml:space="preserve">"přestoupit-001"</t>
  </si>
  <si>
    <t xml:space="preserve">"přestoupit-002"</t>
  </si>
  <si>
    <t xml:space="preserve">"přestoupit-003"</t>
  </si>
  <si>
    <t xml:space="preserve">"přestrukturovat-001"</t>
  </si>
  <si>
    <t xml:space="preserve">"přestupovat-001"</t>
  </si>
  <si>
    <t xml:space="preserve">"přestát-001"</t>
  </si>
  <si>
    <t xml:space="preserve">ACT-&gt;ARG0/48,ARG1/8</t>
  </si>
  <si>
    <t xml:space="preserve">PAT-&gt;ARG1/44,ARG2/10</t>
  </si>
  <si>
    <t xml:space="preserve">"přestávat-001"</t>
  </si>
  <si>
    <t xml:space="preserve">ACT-&gt;ARG0/216,ARG1/169</t>
  </si>
  <si>
    <t xml:space="preserve">"přestávat-002"</t>
  </si>
  <si>
    <t xml:space="preserve">"přestěhovat-001"</t>
  </si>
  <si>
    <t xml:space="preserve">ACT-&gt;ARG0/44,ARG1/1</t>
  </si>
  <si>
    <t xml:space="preserve">"přestěhovat-se-001"</t>
  </si>
  <si>
    <t xml:space="preserve">"přestřelit-001"</t>
  </si>
  <si>
    <t xml:space="preserve">"přestřihnout-001"</t>
  </si>
  <si>
    <t xml:space="preserve">"přestřihnout-002"</t>
  </si>
  <si>
    <t xml:space="preserve">"přesunout-001"</t>
  </si>
  <si>
    <t xml:space="preserve">ACT-&gt;ARG0/50,ARG1/1</t>
  </si>
  <si>
    <t xml:space="preserve">"přesunout-002"</t>
  </si>
  <si>
    <t xml:space="preserve">?EFF: k+3; na+4</t>
  </si>
  <si>
    <t xml:space="preserve">"přesunout-003"</t>
  </si>
  <si>
    <t xml:space="preserve">ACT-&gt;ARG0/139,ARG1/2</t>
  </si>
  <si>
    <t xml:space="preserve">PAT-&gt;ARG0/4,ARG1/357</t>
  </si>
  <si>
    <t xml:space="preserve">PAT-&gt;ARG0/1,ARG1/340</t>
  </si>
  <si>
    <t xml:space="preserve">DIR3-&gt;ARG3/1</t>
  </si>
  <si>
    <t xml:space="preserve">DIR3-&gt;ARG2/75,ARG3/1</t>
  </si>
  <si>
    <t xml:space="preserve">"přesunout-004"</t>
  </si>
  <si>
    <t xml:space="preserve">"přesunout-se-001"</t>
  </si>
  <si>
    <t xml:space="preserve">ACT-&gt;ARG0/25,ARG1/95</t>
  </si>
  <si>
    <t xml:space="preserve">"přesunout-se-002"</t>
  </si>
  <si>
    <t xml:space="preserve">"přesunovat-001"</t>
  </si>
  <si>
    <t xml:space="preserve">"přesunovat-002"</t>
  </si>
  <si>
    <t xml:space="preserve">"přesunovat-se-001"</t>
  </si>
  <si>
    <t xml:space="preserve">"přesvědčit-001"</t>
  </si>
  <si>
    <t xml:space="preserve">ACT-&gt;ARG0/117,ARG1/1,ARG2/5</t>
  </si>
  <si>
    <t xml:space="preserve">PAT: o+6; k+3; .f; ↓že; ↓aby; ↓ať; .s; ↓c</t>
  </si>
  <si>
    <t xml:space="preserve">PAT-&gt;ARG1/365,ARG2/184</t>
  </si>
  <si>
    <t xml:space="preserve">ADDR-&gt;ARG0/323,ARG1/206,ARG2/7</t>
  </si>
  <si>
    <t xml:space="preserve">"přesvědčit-se-001"</t>
  </si>
  <si>
    <t xml:space="preserve">"přesvědčit-se-002"</t>
  </si>
  <si>
    <t xml:space="preserve">EFF: ↓že; ↓zda; ↓jestli; ↓c</t>
  </si>
  <si>
    <t xml:space="preserve">EFF-&gt;ARG1/6,ARG2/3</t>
  </si>
  <si>
    <t xml:space="preserve">"přesvědčovat-001"</t>
  </si>
  <si>
    <t xml:space="preserve">PAT: o+6; .f; ↓že; ↓aby; ↓ať; .s; ↓c; k+3</t>
  </si>
  <si>
    <t xml:space="preserve">PAT-&gt;ARG2/101</t>
  </si>
  <si>
    <t xml:space="preserve">ADDR-&gt;ARG1/95,ARG2/2</t>
  </si>
  <si>
    <t xml:space="preserve">"přesvědčovat-se-001"</t>
  </si>
  <si>
    <t xml:space="preserve">"přesvědčovat-se-002"</t>
  </si>
  <si>
    <t xml:space="preserve">"přesytit-001"</t>
  </si>
  <si>
    <t xml:space="preserve">ACT-&gt;ARG0/18,ARG1/2,ARG2/8</t>
  </si>
  <si>
    <t xml:space="preserve">ACT-&gt;ARG0/19,ARG1/2,ARG2/8</t>
  </si>
  <si>
    <t xml:space="preserve">PAT-&gt;ARG1/41,ARG2/4</t>
  </si>
  <si>
    <t xml:space="preserve">PAT-&gt;ARG0/1,ARG1/41,ARG2/4</t>
  </si>
  <si>
    <t xml:space="preserve">"přesytit-se-001"</t>
  </si>
  <si>
    <t xml:space="preserve">ACT-&gt;ARG0/7,ARG1/17,ARG2/4</t>
  </si>
  <si>
    <t xml:space="preserve">ACT-&gt;ARG0/9,ARG1/17</t>
  </si>
  <si>
    <t xml:space="preserve">"přesáhnout-001"</t>
  </si>
  <si>
    <t xml:space="preserve">ACT-&gt;ARG0/105,ARG1/3217,ARG2/298</t>
  </si>
  <si>
    <t xml:space="preserve">PAT-&gt;ARG0/1,ARG1/251,ARG2/3585</t>
  </si>
  <si>
    <t xml:space="preserve">"přesídlit-001"</t>
  </si>
  <si>
    <t xml:space="preserve">"přesílat-001"</t>
  </si>
  <si>
    <t xml:space="preserve">"přesýpat-001"</t>
  </si>
  <si>
    <t xml:space="preserve">"přetahovat-001"</t>
  </si>
  <si>
    <t xml:space="preserve">"přetahovat-se-001"</t>
  </si>
  <si>
    <t xml:space="preserve">"přetahovat-se-002"</t>
  </si>
  <si>
    <t xml:space="preserve">"přetavit-se-001"</t>
  </si>
  <si>
    <t xml:space="preserve">PAT: v+4; na+4</t>
  </si>
  <si>
    <t xml:space="preserve">"přetavovat-001"</t>
  </si>
  <si>
    <t xml:space="preserve">"přetisknout-001"</t>
  </si>
  <si>
    <t xml:space="preserve">"přetlumočit-001"</t>
  </si>
  <si>
    <t xml:space="preserve">"přetočit-001"</t>
  </si>
  <si>
    <t xml:space="preserve">"přetransformovat-001"</t>
  </si>
  <si>
    <t xml:space="preserve">PAT-&gt;ARG1/109,ARG2/1,ARG3/2</t>
  </si>
  <si>
    <t xml:space="preserve">EFF-&gt;ARG1/1,ARG2/76,ARG3/1</t>
  </si>
  <si>
    <t xml:space="preserve">"přetrhnout-001"</t>
  </si>
  <si>
    <t xml:space="preserve">"přetrhnout-002"</t>
  </si>
  <si>
    <t xml:space="preserve">"přetrhnout-se-001"</t>
  </si>
  <si>
    <t xml:space="preserve">"přetrhnout-se-002"</t>
  </si>
  <si>
    <t xml:space="preserve">"přetrhávat-001"</t>
  </si>
  <si>
    <t xml:space="preserve">"přetrpět-001"</t>
  </si>
  <si>
    <t xml:space="preserve">"přetrvat-001"</t>
  </si>
  <si>
    <t xml:space="preserve">"přetrvat-002"</t>
  </si>
  <si>
    <t xml:space="preserve">ACT-&gt;ARG0/55,ARG1/269</t>
  </si>
  <si>
    <t xml:space="preserve">"přetrvávat-001"</t>
  </si>
  <si>
    <t xml:space="preserve">ACT-&gt;ARG0/236,ARG1/419,ARG3/290</t>
  </si>
  <si>
    <t xml:space="preserve">ACT-&gt;ARG0/26,ARG1/3857,ARG2/296,ARG3/1</t>
  </si>
  <si>
    <t xml:space="preserve">"přetvařovat-se-001"</t>
  </si>
  <si>
    <t xml:space="preserve">"přetvořit-001"</t>
  </si>
  <si>
    <t xml:space="preserve">?EFF: v+4; do+2; na+4</t>
  </si>
  <si>
    <t xml:space="preserve">"přetvářet-001"</t>
  </si>
  <si>
    <t xml:space="preserve">EFF-&gt;ARG2/25</t>
  </si>
  <si>
    <t xml:space="preserve">"přetáhnout-001"</t>
  </si>
  <si>
    <t xml:space="preserve">PAT-&gt;ARG1/132,ARG2/2</t>
  </si>
  <si>
    <t xml:space="preserve">"přetáhnout-002"</t>
  </si>
  <si>
    <t xml:space="preserve">"přetápět-001"</t>
  </si>
  <si>
    <t xml:space="preserve">"přetéci-001"</t>
  </si>
  <si>
    <t xml:space="preserve">"přetékat-001"</t>
  </si>
  <si>
    <t xml:space="preserve">"přetékat-002"</t>
  </si>
  <si>
    <t xml:space="preserve">"přetékat-003"</t>
  </si>
  <si>
    <t xml:space="preserve">"přetížit-001"</t>
  </si>
  <si>
    <t xml:space="preserve">"přetěžovat-001"</t>
  </si>
  <si>
    <t xml:space="preserve">"přetřásat-001"</t>
  </si>
  <si>
    <t xml:space="preserve">"přetřít-001"</t>
  </si>
  <si>
    <t xml:space="preserve">"převalit-se-001"</t>
  </si>
  <si>
    <t xml:space="preserve">"převalit-se-002"</t>
  </si>
  <si>
    <t xml:space="preserve">"převalovat-se-001"</t>
  </si>
  <si>
    <t xml:space="preserve">"převažovat-001"</t>
  </si>
  <si>
    <t xml:space="preserve">"převažovat-002"</t>
  </si>
  <si>
    <t xml:space="preserve">ACT-&gt;ARG0/16,ARG1/8</t>
  </si>
  <si>
    <t xml:space="preserve">?PAT: nad+7; před+7</t>
  </si>
  <si>
    <t xml:space="preserve">"převelet-001"</t>
  </si>
  <si>
    <t xml:space="preserve">ACT-&gt;ARGA/1</t>
  </si>
  <si>
    <t xml:space="preserve">"převelit-001"</t>
  </si>
  <si>
    <t xml:space="preserve">"převládat-001"</t>
  </si>
  <si>
    <t xml:space="preserve">ACT-&gt;ARG0/10,ARG1/3110,ARG2/296</t>
  </si>
  <si>
    <t xml:space="preserve">"převládnout-001"</t>
  </si>
  <si>
    <t xml:space="preserve">"převléci-001"</t>
  </si>
  <si>
    <t xml:space="preserve">"převléci-002"</t>
  </si>
  <si>
    <t xml:space="preserve">"převlékat-001"</t>
  </si>
  <si>
    <t xml:space="preserve">"převléknout-001"</t>
  </si>
  <si>
    <t xml:space="preserve">DPHR: kabát.S4</t>
  </si>
  <si>
    <t xml:space="preserve">"převléknout-002"</t>
  </si>
  <si>
    <t xml:space="preserve">"převlíct-001"</t>
  </si>
  <si>
    <t xml:space="preserve">"převlíkat-001"</t>
  </si>
  <si>
    <t xml:space="preserve">"převlíknout-001"</t>
  </si>
  <si>
    <t xml:space="preserve">"převracet-se-001"</t>
  </si>
  <si>
    <t xml:space="preserve">"převrhnout-001"</t>
  </si>
  <si>
    <t xml:space="preserve">"převrhnout-se-001"</t>
  </si>
  <si>
    <t xml:space="preserve">"převrátit-001"</t>
  </si>
  <si>
    <t xml:space="preserve">"převrátit-se-001"</t>
  </si>
  <si>
    <t xml:space="preserve">"převrátit-se-002"</t>
  </si>
  <si>
    <t xml:space="preserve">"převychovat-001"</t>
  </si>
  <si>
    <t xml:space="preserve">"převychovávat-001"</t>
  </si>
  <si>
    <t xml:space="preserve">"převyprávět-001"</t>
  </si>
  <si>
    <t xml:space="preserve">EFF-&gt;ARG0/4,ARG1/10918,ARG2/3,ARG3/29</t>
  </si>
  <si>
    <t xml:space="preserve">"převyšovat-001"</t>
  </si>
  <si>
    <t xml:space="preserve">ACT-&gt;ARG0/94,ARG1/379,ARG2/3</t>
  </si>
  <si>
    <t xml:space="preserve">ACT-&gt;ARG0/141,ARG1/13</t>
  </si>
  <si>
    <t xml:space="preserve">ACT-&gt;ARG0/142,ARG1/13</t>
  </si>
  <si>
    <t xml:space="preserve">PAT-&gt;ARG0/1,ARG1/116,ARG2/279</t>
  </si>
  <si>
    <t xml:space="preserve">PAT-&gt;ARG0/1,ARG1/169,ARG2/13</t>
  </si>
  <si>
    <t xml:space="preserve">PAT-&gt;ARG0/2,ARG1/169,ARG2/13</t>
  </si>
  <si>
    <t xml:space="preserve">"převzít-001"</t>
  </si>
  <si>
    <t xml:space="preserve">ACT-&gt;ARG0/3526,ARG1/47</t>
  </si>
  <si>
    <t xml:space="preserve">ACT-&gt;ARG0/81,ARG1/1</t>
  </si>
  <si>
    <t xml:space="preserve">ACT-&gt;ARG0/911,ARG1/12</t>
  </si>
  <si>
    <t xml:space="preserve">PAT-&gt;ARG0/1,ARG1/3868,ARG2/78</t>
  </si>
  <si>
    <t xml:space="preserve">PAT-&gt;ARG1/1263,ARG2/2,ARG4/1</t>
  </si>
  <si>
    <t xml:space="preserve">?ORIG: od+2; po+6</t>
  </si>
  <si>
    <t xml:space="preserve">ORIG-&gt;ARG1/2,ARG2/46,ARG3/1</t>
  </si>
  <si>
    <t xml:space="preserve">ORIG-&gt;ARG1/5,ARG2/159,ARG3/12</t>
  </si>
  <si>
    <t xml:space="preserve">"převzít-002"</t>
  </si>
  <si>
    <t xml:space="preserve">ACT-&gt;ARG0/577,ARG1/2</t>
  </si>
  <si>
    <t xml:space="preserve">PAT-&gt;ARG1/755</t>
  </si>
  <si>
    <t xml:space="preserve">ORIG-&gt;ARG1/3,ARG2/120,ARG3/5</t>
  </si>
  <si>
    <t xml:space="preserve">"převzít-003"</t>
  </si>
  <si>
    <t xml:space="preserve">ACT-&gt;ARG0/78,ARG1/1</t>
  </si>
  <si>
    <t xml:space="preserve">DIR1-&gt;ARG3/4</t>
  </si>
  <si>
    <t xml:space="preserve">"převzít-004"</t>
  </si>
  <si>
    <t xml:space="preserve">"převzít-005"</t>
  </si>
  <si>
    <t xml:space="preserve">ORIG-&gt;ARG1/1</t>
  </si>
  <si>
    <t xml:space="preserve">"převzít-006"</t>
  </si>
  <si>
    <t xml:space="preserve">CPHR: {odpovědnost,zodpovědnost,...}.4</t>
  </si>
  <si>
    <t xml:space="preserve">CPHR-&gt;ARG1/79,ARG2/2</t>
  </si>
  <si>
    <t xml:space="preserve">CPHR-&gt;ARG1/53</t>
  </si>
  <si>
    <t xml:space="preserve">"převzít-si-001"</t>
  </si>
  <si>
    <t xml:space="preserve">"převádět-001"</t>
  </si>
  <si>
    <t xml:space="preserve">ACT-&gt;ARG0/99,ARG1/2,ARG2/2</t>
  </si>
  <si>
    <t xml:space="preserve">PAT-&gt;ARG0/2,ARG1/195,ARG2/1</t>
  </si>
  <si>
    <t xml:space="preserve">ADDR-&gt;ARG2/63</t>
  </si>
  <si>
    <t xml:space="preserve">ORIG-&gt;ARG2/1,ARG3/1</t>
  </si>
  <si>
    <t xml:space="preserve">"převádět-002"</t>
  </si>
  <si>
    <t xml:space="preserve">ACT-&gt;ARG0/21,ARG1/1</t>
  </si>
  <si>
    <t xml:space="preserve">PAT-&gt;ARG1/70,ARG2/2</t>
  </si>
  <si>
    <t xml:space="preserve">EFF-&gt;ARG2/63,ARG3/1</t>
  </si>
  <si>
    <t xml:space="preserve">"převádět-003"</t>
  </si>
  <si>
    <t xml:space="preserve">PAT-&gt;ARG1/118,ARG2/1</t>
  </si>
  <si>
    <t xml:space="preserve">DIR3-&gt;ARG2/51</t>
  </si>
  <si>
    <t xml:space="preserve">"převálcovat-001"</t>
  </si>
  <si>
    <t xml:space="preserve">"převázat-001"</t>
  </si>
  <si>
    <t xml:space="preserve">"převážet-001"</t>
  </si>
  <si>
    <t xml:space="preserve">"převážit-001"</t>
  </si>
  <si>
    <t xml:space="preserve">"převážit-002"</t>
  </si>
  <si>
    <t xml:space="preserve">ACT-&gt;ARG0/20,ARG1/21</t>
  </si>
  <si>
    <t xml:space="preserve">PAT-&gt;ARG1/10,ARG2/13</t>
  </si>
  <si>
    <t xml:space="preserve">"převést-001"</t>
  </si>
  <si>
    <t xml:space="preserve">PAT-&gt;ARG1/53,ARG2/7</t>
  </si>
  <si>
    <t xml:space="preserve">"převést-002"</t>
  </si>
  <si>
    <t xml:space="preserve">"převést-003"</t>
  </si>
  <si>
    <t xml:space="preserve">PAT-&gt;ARG1/109,ARG2/2</t>
  </si>
  <si>
    <t xml:space="preserve">"převést-004"</t>
  </si>
  <si>
    <t xml:space="preserve">PAT-&gt;ARG1/344,ARG2/1</t>
  </si>
  <si>
    <t xml:space="preserve">DIR1-&gt;ARG3/2</t>
  </si>
  <si>
    <t xml:space="preserve">"převést-005"</t>
  </si>
  <si>
    <t xml:space="preserve">"převézt-001"</t>
  </si>
  <si>
    <t xml:space="preserve">"převézt-002"</t>
  </si>
  <si>
    <t xml:space="preserve">"převýšit-001"</t>
  </si>
  <si>
    <t xml:space="preserve">ACT-&gt;ARG0/151,ARG1/13,ARG2/66</t>
  </si>
  <si>
    <t xml:space="preserve">PAT-&gt;ARG0/1,ARG1/295,ARG2/13</t>
  </si>
  <si>
    <t xml:space="preserve">"přezbrojit-001"</t>
  </si>
  <si>
    <t xml:space="preserve">"přezdívat-001"</t>
  </si>
  <si>
    <t xml:space="preserve">EFF-&gt;ARG2/16</t>
  </si>
  <si>
    <t xml:space="preserve">"přezkoumat-001"</t>
  </si>
  <si>
    <t xml:space="preserve">"přezkoumávat-001"</t>
  </si>
  <si>
    <t xml:space="preserve">PAT-&gt;ARG1/123</t>
  </si>
  <si>
    <t xml:space="preserve">"přezkušovat-001"</t>
  </si>
  <si>
    <t xml:space="preserve">"přezouvat-001"</t>
  </si>
  <si>
    <t xml:space="preserve">"přečerpat-001"</t>
  </si>
  <si>
    <t xml:space="preserve">"přečerpat-002"</t>
  </si>
  <si>
    <t xml:space="preserve">DIR1-&gt;ARG1/1</t>
  </si>
  <si>
    <t xml:space="preserve">"přečistit-001"</t>
  </si>
  <si>
    <t xml:space="preserve">"přečkat-001"</t>
  </si>
  <si>
    <t xml:space="preserve">PAT-&gt;ARG1/31,ARG2/1</t>
  </si>
  <si>
    <t xml:space="preserve">"přečkávat-001"</t>
  </si>
  <si>
    <t xml:space="preserve">"přečíslit-001"</t>
  </si>
  <si>
    <t xml:space="preserve">"přečíslovat-001"</t>
  </si>
  <si>
    <t xml:space="preserve">"přečíst-001"</t>
  </si>
  <si>
    <t xml:space="preserve">ACT-&gt;ARG0/50,ARG1/8</t>
  </si>
  <si>
    <t xml:space="preserve">ACT-&gt;ARG0/1,ARG1/8</t>
  </si>
  <si>
    <t xml:space="preserve">PAT-&gt;ARG1/66,ARG3/14</t>
  </si>
  <si>
    <t xml:space="preserve">PAT-&gt;ARG1/1,ARG3/10</t>
  </si>
  <si>
    <t xml:space="preserve">"přečíst-002"</t>
  </si>
  <si>
    <t xml:space="preserve">"přečíst-003"</t>
  </si>
  <si>
    <t xml:space="preserve">"přečíst-004"</t>
  </si>
  <si>
    <t xml:space="preserve">"přeřadit-001"</t>
  </si>
  <si>
    <t xml:space="preserve">"přeřadit-002"</t>
  </si>
  <si>
    <t xml:space="preserve">"přeřazovat-001"</t>
  </si>
  <si>
    <t xml:space="preserve">"přeřazovat-002"</t>
  </si>
  <si>
    <t xml:space="preserve">"přeřeknout-se-001"</t>
  </si>
  <si>
    <t xml:space="preserve">"přeříznout-001"</t>
  </si>
  <si>
    <t xml:space="preserve">"přešetřovat-001"</t>
  </si>
  <si>
    <t xml:space="preserve">"přeškolit-001"</t>
  </si>
  <si>
    <t xml:space="preserve">"přeškolovat-001"</t>
  </si>
  <si>
    <t xml:space="preserve">"přeškrtnout-001"</t>
  </si>
  <si>
    <t xml:space="preserve">"přešlapovat-001"</t>
  </si>
  <si>
    <t xml:space="preserve">"přešlapovat-002"</t>
  </si>
  <si>
    <t xml:space="preserve">"přešoupnout-001"</t>
  </si>
  <si>
    <t xml:space="preserve">"přeštípat-001"</t>
  </si>
  <si>
    <t xml:space="preserve">"přešít-001"</t>
  </si>
  <si>
    <t xml:space="preserve">"přežvykovat-001"</t>
  </si>
  <si>
    <t xml:space="preserve">"přežít-001"</t>
  </si>
  <si>
    <t xml:space="preserve">"přežít-002"</t>
  </si>
  <si>
    <t xml:space="preserve">"přežít-003"</t>
  </si>
  <si>
    <t xml:space="preserve">ACT-&gt;ARG0/35,ARG1/46</t>
  </si>
  <si>
    <t xml:space="preserve">"přežít-se-001"</t>
  </si>
  <si>
    <t xml:space="preserve">"přežívat-001"</t>
  </si>
  <si>
    <t xml:space="preserve">"přežívat-002"</t>
  </si>
  <si>
    <t xml:space="preserve">"přežívat-003"</t>
  </si>
  <si>
    <t xml:space="preserve">"přibalit-001"</t>
  </si>
  <si>
    <t xml:space="preserve">"přibarvovat-001"</t>
  </si>
  <si>
    <t xml:space="preserve">"přibližovat-001"</t>
  </si>
  <si>
    <t xml:space="preserve">"přibližovat-002"</t>
  </si>
  <si>
    <t xml:space="preserve">EFF: 3; k+3</t>
  </si>
  <si>
    <t xml:space="preserve">"přibližovat-003"</t>
  </si>
  <si>
    <t xml:space="preserve">"přibližovat-se-001"</t>
  </si>
  <si>
    <t xml:space="preserve">"přibližovat-se-002"</t>
  </si>
  <si>
    <t xml:space="preserve">"přibližovat-se-003"</t>
  </si>
  <si>
    <t xml:space="preserve">"přibližovat-se-004"</t>
  </si>
  <si>
    <t xml:space="preserve">"přiblížit-001"</t>
  </si>
  <si>
    <t xml:space="preserve">"přiblížit-002"</t>
  </si>
  <si>
    <t xml:space="preserve">PAT-&gt;ARG1/93,ARG2/1</t>
  </si>
  <si>
    <t xml:space="preserve">"přiblížit-003"</t>
  </si>
  <si>
    <t xml:space="preserve">"přiblížit-se-001"</t>
  </si>
  <si>
    <t xml:space="preserve">"přiblížit-se-002"</t>
  </si>
  <si>
    <t xml:space="preserve">"přiblížit-se-003"</t>
  </si>
  <si>
    <t xml:space="preserve">"přiblížit-se-004"</t>
  </si>
  <si>
    <t xml:space="preserve">"přibrat-001"</t>
  </si>
  <si>
    <t xml:space="preserve">ACT-&gt;ARG0/92,ARG1/1</t>
  </si>
  <si>
    <t xml:space="preserve">ACT-&gt;ARG0/21,ARG1/1,ARG2/27</t>
  </si>
  <si>
    <t xml:space="preserve">PAT-&gt;ARG1/1094,ARG2/2</t>
  </si>
  <si>
    <t xml:space="preserve">"přibrat-002"</t>
  </si>
  <si>
    <t xml:space="preserve">?PAT: .4,na+6</t>
  </si>
  <si>
    <t xml:space="preserve">"přibrzdit-001"</t>
  </si>
  <si>
    <t xml:space="preserve">"přibrzdit-002"</t>
  </si>
  <si>
    <t xml:space="preserve">"přibrzdit-003"</t>
  </si>
  <si>
    <t xml:space="preserve">"přibrzdit-004"</t>
  </si>
  <si>
    <t xml:space="preserve">"přibíjet-001"</t>
  </si>
  <si>
    <t xml:space="preserve">"přibírat-001"</t>
  </si>
  <si>
    <t xml:space="preserve">"přibít-001"</t>
  </si>
  <si>
    <t xml:space="preserve">"přibýt-001"</t>
  </si>
  <si>
    <t xml:space="preserve">ACT: 1; 2; ↓že</t>
  </si>
  <si>
    <t xml:space="preserve">"přibýt-002"</t>
  </si>
  <si>
    <t xml:space="preserve">ACT-&gt;ARG1/151</t>
  </si>
  <si>
    <t xml:space="preserve">"přibývat-001"</t>
  </si>
  <si>
    <t xml:space="preserve">ACT: 1; 2; na+6</t>
  </si>
  <si>
    <t xml:space="preserve">PAT-&gt;ARG0/6,ARG1/1</t>
  </si>
  <si>
    <t xml:space="preserve">"přibývat-002"</t>
  </si>
  <si>
    <t xml:space="preserve">ACT-&gt;ARG1/206,ARG2/4</t>
  </si>
  <si>
    <t xml:space="preserve">"přibývat-003"</t>
  </si>
  <si>
    <t xml:space="preserve">"přiběhnout-001"</t>
  </si>
  <si>
    <t xml:space="preserve">ACT-&gt;ARG0/2,ARG1/101</t>
  </si>
  <si>
    <t xml:space="preserve">"přicestovat-001"</t>
  </si>
  <si>
    <t xml:space="preserve">"přichystat-001"</t>
  </si>
  <si>
    <t xml:space="preserve">"přichystat-002"</t>
  </si>
  <si>
    <t xml:space="preserve">"přichystat-se-001"</t>
  </si>
  <si>
    <t xml:space="preserve">PAT: .f; na+4; k+3</t>
  </si>
  <si>
    <t xml:space="preserve">"přichytávat-se-001"</t>
  </si>
  <si>
    <t xml:space="preserve">"přicházet-001"</t>
  </si>
  <si>
    <t xml:space="preserve">ACT-&gt;ARG1/116,ARG2/2</t>
  </si>
  <si>
    <t xml:space="preserve">PAT-&gt;ARG2/136</t>
  </si>
  <si>
    <t xml:space="preserve">ADDR-&gt;ARG3/40</t>
  </si>
  <si>
    <t xml:space="preserve">"přicházet-002"</t>
  </si>
  <si>
    <t xml:space="preserve">"přicházet-003"</t>
  </si>
  <si>
    <t xml:space="preserve">"přicházet-004"</t>
  </si>
  <si>
    <t xml:space="preserve">ACT-&gt;ARG0/167,ARG1/2</t>
  </si>
  <si>
    <t xml:space="preserve">"přicházet-005"</t>
  </si>
  <si>
    <t xml:space="preserve">ACT-&gt;ARG0/167,ARG1/2,ARG2/11</t>
  </si>
  <si>
    <t xml:space="preserve">ACT-&gt;ARG0/172,ARG1/2</t>
  </si>
  <si>
    <t xml:space="preserve">PAT-&gt;ARG1/211,ARG2/1</t>
  </si>
  <si>
    <t xml:space="preserve">PAT-&gt;ARG1/199,ARG2/2</t>
  </si>
  <si>
    <t xml:space="preserve">"přicházet-006"</t>
  </si>
  <si>
    <t xml:space="preserve">ACT-&gt;ARG0/97,ARG1/296</t>
  </si>
  <si>
    <t xml:space="preserve">ACT-&gt;ARG0/296,ARG1/1,ARG2/2</t>
  </si>
  <si>
    <t xml:space="preserve">PAT-&gt;ARG1/568</t>
  </si>
  <si>
    <t xml:space="preserve">"přicházet-007"</t>
  </si>
  <si>
    <t xml:space="preserve">ACT-&gt;ARG1/86</t>
  </si>
  <si>
    <t xml:space="preserve">"přicházet-008"</t>
  </si>
  <si>
    <t xml:space="preserve">ACT-&gt;ARG0/272,ARG1/3453,ARG2/296</t>
  </si>
  <si>
    <t xml:space="preserve">ACT-&gt;ARG0/139,ARG1/375</t>
  </si>
  <si>
    <t xml:space="preserve">ACT-&gt;ARG0/139,ARG1/379</t>
  </si>
  <si>
    <t xml:space="preserve">DIR3-&gt;ARG1/346</t>
  </si>
  <si>
    <t xml:space="preserve">DIR3-&gt;ARG1/135,ARG2/18</t>
  </si>
  <si>
    <t xml:space="preserve">"přicházet-009"</t>
  </si>
  <si>
    <t xml:space="preserve">"přicházet-010"</t>
  </si>
  <si>
    <t xml:space="preserve">ACT-&gt;ARG0/4,ARG1/448</t>
  </si>
  <si>
    <t xml:space="preserve">"přicházet-011"</t>
  </si>
  <si>
    <t xml:space="preserve">CPHR: do-1[{kontakt,styk,...}.2]</t>
  </si>
  <si>
    <t xml:space="preserve">"přicházet-012"</t>
  </si>
  <si>
    <t xml:space="preserve">CPHR: na-1[{nápad,řešení,...}.4]</t>
  </si>
  <si>
    <t xml:space="preserve">"přicházet-013"</t>
  </si>
  <si>
    <t xml:space="preserve">CPHR: o-1[{iluze,možnost,právo,...}.4]</t>
  </si>
  <si>
    <t xml:space="preserve">"přicházet-014"</t>
  </si>
  <si>
    <t xml:space="preserve">ACT-&gt;ARG0/107,ARG1/1,ARG2/2</t>
  </si>
  <si>
    <t xml:space="preserve">CPHR: s-1[{nápad,návrh,opatření,...}.7]</t>
  </si>
  <si>
    <t xml:space="preserve">CPHR-&gt;ARG1/181</t>
  </si>
  <si>
    <t xml:space="preserve">"přicházet-015"</t>
  </si>
  <si>
    <t xml:space="preserve">DPHR: v-1[úvaha.S4]</t>
  </si>
  <si>
    <t xml:space="preserve">DPHR-&gt;ARG1/523,ARG2/3542</t>
  </si>
  <si>
    <t xml:space="preserve">"přicházet-016"</t>
  </si>
  <si>
    <t xml:space="preserve">DPHR: na-1[přetřes.4]</t>
  </si>
  <si>
    <t xml:space="preserve">"přicházet-017"</t>
  </si>
  <si>
    <t xml:space="preserve">ACT-&gt;ARG1/165</t>
  </si>
  <si>
    <t xml:space="preserve">DPHR: na-1[řada.4]</t>
  </si>
  <si>
    <t xml:space="preserve">"přicházet-018"</t>
  </si>
  <si>
    <t xml:space="preserve">DPHR: zkrátka</t>
  </si>
  <si>
    <t xml:space="preserve">"přicházet-019"</t>
  </si>
  <si>
    <t xml:space="preserve">DPHR: řeč.S1</t>
  </si>
  <si>
    <t xml:space="preserve">"přicházet-020"</t>
  </si>
  <si>
    <t xml:space="preserve">"přicházet-021"</t>
  </si>
  <si>
    <t xml:space="preserve">DPHR: na-1[svět.S4]</t>
  </si>
  <si>
    <t xml:space="preserve">"přicházet-022"</t>
  </si>
  <si>
    <t xml:space="preserve">ACT-&gt;ARG1/51</t>
  </si>
  <si>
    <t xml:space="preserve">"přicházet-023"</t>
  </si>
  <si>
    <t xml:space="preserve">DPHR: na-1[paměť.S4]</t>
  </si>
  <si>
    <t xml:space="preserve">"přicházet-024"</t>
  </si>
  <si>
    <t xml:space="preserve">"přicházet-si-001"</t>
  </si>
  <si>
    <t xml:space="preserve">DPHR: na-1[svůj-1.NS4]</t>
  </si>
  <si>
    <t xml:space="preserve">"přicmrdovat-001"</t>
  </si>
  <si>
    <t xml:space="preserve">?PAT: při+6; u+2</t>
  </si>
  <si>
    <t xml:space="preserve">"přidat-001"</t>
  </si>
  <si>
    <t xml:space="preserve">ACT-&gt;ARG0/124,ARG1/7</t>
  </si>
  <si>
    <t xml:space="preserve">PAT-&gt;ARG1/194</t>
  </si>
  <si>
    <t xml:space="preserve">"přidat-002"</t>
  </si>
  <si>
    <t xml:space="preserve">"přidat-003"</t>
  </si>
  <si>
    <t xml:space="preserve">ACT-&gt;ARG0/556,ARG1/6</t>
  </si>
  <si>
    <t xml:space="preserve">ACT-&gt;ARG0/127,ARG1/3,ARG2/53</t>
  </si>
  <si>
    <t xml:space="preserve">PAT-&gt;ARG1/765,ARG2/1</t>
  </si>
  <si>
    <t xml:space="preserve">PAT-&gt;ARG1/1399,ARG2/2</t>
  </si>
  <si>
    <t xml:space="preserve">DIR3-&gt;ARG1/2,ARG2/7</t>
  </si>
  <si>
    <t xml:space="preserve">DIR3-&gt;ARG0/6,ARG1/6,ARG2/503</t>
  </si>
  <si>
    <t xml:space="preserve">"přidat-004"</t>
  </si>
  <si>
    <t xml:space="preserve">ACT-&gt;ARG0/107,ARG1/52</t>
  </si>
  <si>
    <t xml:space="preserve">PAT-&gt;ARG1/194,ARG2/88</t>
  </si>
  <si>
    <t xml:space="preserve">"přidat-se-001"</t>
  </si>
  <si>
    <t xml:space="preserve">ACT-&gt;ARG0/124,ARG1/106</t>
  </si>
  <si>
    <t xml:space="preserve">"přidat-se-002"</t>
  </si>
  <si>
    <t xml:space="preserve">ACT-&gt;ARG0/109,ARG1/151</t>
  </si>
  <si>
    <t xml:space="preserve">DIR3-&gt;ARG1/147</t>
  </si>
  <si>
    <t xml:space="preserve">"přidružit-se-001"</t>
  </si>
  <si>
    <t xml:space="preserve">"přidržet-se-001"</t>
  </si>
  <si>
    <t xml:space="preserve">"přidržet-se-002"</t>
  </si>
  <si>
    <t xml:space="preserve">"přidržovat-001"</t>
  </si>
  <si>
    <t xml:space="preserve">"přidávat-001"</t>
  </si>
  <si>
    <t xml:space="preserve">"přidávat-002"</t>
  </si>
  <si>
    <t xml:space="preserve">"přidávat-003"</t>
  </si>
  <si>
    <t xml:space="preserve">ACT-&gt;ARG0/82,ARG1/13</t>
  </si>
  <si>
    <t xml:space="preserve">"přidávat-se-001"</t>
  </si>
  <si>
    <t xml:space="preserve">"přidávat-se-002"</t>
  </si>
  <si>
    <t xml:space="preserve">"přidělat-001"</t>
  </si>
  <si>
    <t xml:space="preserve">"přidělat-002"</t>
  </si>
  <si>
    <t xml:space="preserve">"přidělit-001"</t>
  </si>
  <si>
    <t xml:space="preserve">ACT-&gt;ARG0/1001,ARG2/1</t>
  </si>
  <si>
    <t xml:space="preserve">PAT-&gt;ARG1/116,ARG2/17</t>
  </si>
  <si>
    <t xml:space="preserve">PAT-&gt;ARG1/1409,ARG2/10</t>
  </si>
  <si>
    <t xml:space="preserve">ADDR-&gt;ARG1/11,ARG2/100</t>
  </si>
  <si>
    <t xml:space="preserve">ADDR-&gt;ARG1/43,ARG2/866</t>
  </si>
  <si>
    <t xml:space="preserve">"přidělit-002"</t>
  </si>
  <si>
    <t xml:space="preserve">DIR3-&gt;ARG1/4,ARG2/13</t>
  </si>
  <si>
    <t xml:space="preserve">"přidělovat-001"</t>
  </si>
  <si>
    <t xml:space="preserve">PAT-&gt;ARG1/22,ARG2/7</t>
  </si>
  <si>
    <t xml:space="preserve">ADDR-&gt;ARG1/4,ARG2/30</t>
  </si>
  <si>
    <t xml:space="preserve">"přidělovat-002"</t>
  </si>
  <si>
    <t xml:space="preserve">DIR3-&gt;ARG2/17</t>
  </si>
  <si>
    <t xml:space="preserve">"přidělávat-001"</t>
  </si>
  <si>
    <t xml:space="preserve">"přidělávat-002"</t>
  </si>
  <si>
    <t xml:space="preserve">"přifařit-se-001"</t>
  </si>
  <si>
    <t xml:space="preserve">"přihazovat-001"</t>
  </si>
  <si>
    <t xml:space="preserve">"přihlašovat-001"</t>
  </si>
  <si>
    <t xml:space="preserve">"přihlásit-001"</t>
  </si>
  <si>
    <t xml:space="preserve">?EFF: za+4; za-1[.a4]; .a4[{jako,jakožto}:/AuxY]; 4[{jako,jakožto}:/AuxY]</t>
  </si>
  <si>
    <t xml:space="preserve">"přihlásit-002"</t>
  </si>
  <si>
    <t xml:space="preserve">"přihlásit-003"</t>
  </si>
  <si>
    <t xml:space="preserve">"přihlásit-se-001"</t>
  </si>
  <si>
    <t xml:space="preserve">ACT-&gt;ARG1/232</t>
  </si>
  <si>
    <t xml:space="preserve">PAT-&gt;ARG3/6</t>
  </si>
  <si>
    <t xml:space="preserve">PAT-&gt;ARG0/182,ARG1/101,ARG3/6</t>
  </si>
  <si>
    <t xml:space="preserve">"přihlásit-se-002"</t>
  </si>
  <si>
    <t xml:space="preserve">"přihlásit-se-003"</t>
  </si>
  <si>
    <t xml:space="preserve">PAT-&gt;ARG1/137</t>
  </si>
  <si>
    <t xml:space="preserve">"přihlásit-se-004"</t>
  </si>
  <si>
    <t xml:space="preserve">"přihlásit-se-005"</t>
  </si>
  <si>
    <t xml:space="preserve">"přihlásit-se-006"</t>
  </si>
  <si>
    <t xml:space="preserve">"přihlásit-se-007"</t>
  </si>
  <si>
    <t xml:space="preserve">"přihlédnout-001"</t>
  </si>
  <si>
    <t xml:space="preserve">"přihlížet-001"</t>
  </si>
  <si>
    <t xml:space="preserve">ACT-&gt;ARG0/409,ARG1/2</t>
  </si>
  <si>
    <t xml:space="preserve">PAT: 3; ↓že; ↓když</t>
  </si>
  <si>
    <t xml:space="preserve">"přihlížet-002"</t>
  </si>
  <si>
    <t xml:space="preserve">"přihnat-001"</t>
  </si>
  <si>
    <t xml:space="preserve">"přihnat-002"</t>
  </si>
  <si>
    <t xml:space="preserve">"přihnat-se-001"</t>
  </si>
  <si>
    <t xml:space="preserve">"přihodit-001"</t>
  </si>
  <si>
    <t xml:space="preserve">"přihodit-se-001"</t>
  </si>
  <si>
    <t xml:space="preserve">"přihodit-se-002"</t>
  </si>
  <si>
    <t xml:space="preserve">ACT-&gt;ARG1/91</t>
  </si>
  <si>
    <t xml:space="preserve">"přihoršit-001"</t>
  </si>
  <si>
    <t xml:space="preserve">"přihořívat-001"</t>
  </si>
  <si>
    <t xml:space="preserve">"přihořívat-002"</t>
  </si>
  <si>
    <t xml:space="preserve">"přihrnout-001"</t>
  </si>
  <si>
    <t xml:space="preserve">"přihrát-001"</t>
  </si>
  <si>
    <t xml:space="preserve">"přihrávat-001"</t>
  </si>
  <si>
    <t xml:space="preserve">"přihustit-001"</t>
  </si>
  <si>
    <t xml:space="preserve">"přihřát-001"</t>
  </si>
  <si>
    <t xml:space="preserve">"přihřát-se-001"</t>
  </si>
  <si>
    <t xml:space="preserve">"přihřát-si-001"</t>
  </si>
  <si>
    <t xml:space="preserve">DPHR: polívčička.S4</t>
  </si>
  <si>
    <t xml:space="preserve">"přihřívat-001"</t>
  </si>
  <si>
    <t xml:space="preserve">"přijet-001"</t>
  </si>
  <si>
    <t xml:space="preserve">ACT-&gt;ARG0/19,ARG1/138</t>
  </si>
  <si>
    <t xml:space="preserve">"přijet-002"</t>
  </si>
  <si>
    <t xml:space="preserve">"přijmout-001"</t>
  </si>
  <si>
    <t xml:space="preserve">ACT-&gt;ARG0/870,ARG1/33</t>
  </si>
  <si>
    <t xml:space="preserve">PAT-&gt;ARG1/1055,ARG2/38</t>
  </si>
  <si>
    <t xml:space="preserve">ORIG-&gt;ARG1/2,ARG2/100,ARG3/5</t>
  </si>
  <si>
    <t xml:space="preserve">"přijmout-002"</t>
  </si>
  <si>
    <t xml:space="preserve">"přijmout-003"</t>
  </si>
  <si>
    <t xml:space="preserve">ACT-&gt;ARG0/824,ARG1/4</t>
  </si>
  <si>
    <t xml:space="preserve">ACT-&gt;ARG0/389,ARG1/1,ARG2/3</t>
  </si>
  <si>
    <t xml:space="preserve">PAT-&gt;ARG1/899,ARG2/54</t>
  </si>
  <si>
    <t xml:space="preserve">PAT-&gt;ARG1/512,ARG2/1</t>
  </si>
  <si>
    <t xml:space="preserve">"přijmout-004"</t>
  </si>
  <si>
    <t xml:space="preserve">ACT-&gt;ARG0/696,ARG1/55</t>
  </si>
  <si>
    <t xml:space="preserve">PAT-&gt;ARG0/105,ARG1/806,ARG2/26</t>
  </si>
  <si>
    <t xml:space="preserve">"přijmout-005"</t>
  </si>
  <si>
    <t xml:space="preserve">CPHR: {krok,nařízení,návrh,opatření,plán,postup,reforma,rozhodnutí,strategie,usnesení,závazek,závěr,změna,...}.4</t>
  </si>
  <si>
    <t xml:space="preserve">CPHR-&gt;ARG1/149</t>
  </si>
  <si>
    <t xml:space="preserve">CPHR-&gt;ARG1/354</t>
  </si>
  <si>
    <t xml:space="preserve">ACT-&gt;ARG0/425,ARG1/25</t>
  </si>
  <si>
    <t xml:space="preserve">CPHR-&gt;ARG1/551,ARG2/26</t>
  </si>
  <si>
    <t xml:space="preserve">ACT-&gt;ARG0/347,ARG1/25</t>
  </si>
  <si>
    <t xml:space="preserve">CPHR-&gt;ARG1/439,ARG2/26</t>
  </si>
  <si>
    <t xml:space="preserve">ACT-&gt;ARG0/315,ARG1/25</t>
  </si>
  <si>
    <t xml:space="preserve">CPHR-&gt;ARG1/357,ARG2/27</t>
  </si>
  <si>
    <t xml:space="preserve">"přijmout-006"</t>
  </si>
  <si>
    <t xml:space="preserve">"přijmout-007"</t>
  </si>
  <si>
    <t xml:space="preserve">DPHR: za-1[svůj-1.4]</t>
  </si>
  <si>
    <t xml:space="preserve">"přijmout-008"</t>
  </si>
  <si>
    <t xml:space="preserve">"přijmout-009"</t>
  </si>
  <si>
    <t xml:space="preserve">"přijímat-001"</t>
  </si>
  <si>
    <t xml:space="preserve">ACT-&gt;ARG0/721,ARG1/27</t>
  </si>
  <si>
    <t xml:space="preserve">PAT-&gt;ARG1/860,ARG2/26</t>
  </si>
  <si>
    <t xml:space="preserve">ORIG-&gt;ARG1/4,ARG2/103,ARG3/5</t>
  </si>
  <si>
    <t xml:space="preserve">"přijímat-002"</t>
  </si>
  <si>
    <t xml:space="preserve">"přijímat-003"</t>
  </si>
  <si>
    <t xml:space="preserve">ACT-&gt;ARG0/677,ARG1/27</t>
  </si>
  <si>
    <t xml:space="preserve">PAT-&gt;ARG1/796,ARG2/26</t>
  </si>
  <si>
    <t xml:space="preserve">"přijímat-004"</t>
  </si>
  <si>
    <t xml:space="preserve">ACT-&gt;ARG0/284,ARG1/25</t>
  </si>
  <si>
    <t xml:space="preserve">PAT-&gt;ARG1/360,ARG2/26</t>
  </si>
  <si>
    <t xml:space="preserve">"přijímat-005"</t>
  </si>
  <si>
    <t xml:space="preserve">"přijímat-006"</t>
  </si>
  <si>
    <t xml:space="preserve">PAT-&gt;ARG1/510</t>
  </si>
  <si>
    <t xml:space="preserve">"přijímat-007"</t>
  </si>
  <si>
    <t xml:space="preserve">"přijímat-008"</t>
  </si>
  <si>
    <t xml:space="preserve">CPHR: {návrh,opatření,rozhodnutí,řešení,...}.4</t>
  </si>
  <si>
    <t xml:space="preserve">CPHR-&gt;ARG1/43,ARG2/1</t>
  </si>
  <si>
    <t xml:space="preserve">CPHR-&gt;ARG1/30</t>
  </si>
  <si>
    <t xml:space="preserve">"přijít-001"</t>
  </si>
  <si>
    <t xml:space="preserve">ACT-&gt;ARG0/15,ARG1/3230,ARG2/298</t>
  </si>
  <si>
    <t xml:space="preserve">PAT-&gt;ARG1/143,ARG2/3597</t>
  </si>
  <si>
    <t xml:space="preserve">"přijít-002"</t>
  </si>
  <si>
    <t xml:space="preserve">EFF: 1[{jako,jakožto}:/AuxY]; být[.7]; .a1; .a7; .a1[{jako,jakožto}:/AuxY]; ↓že; k+3; .a2; zatěžko</t>
  </si>
  <si>
    <t xml:space="preserve">"přijít-003"</t>
  </si>
  <si>
    <t xml:space="preserve">"přijít-004"</t>
  </si>
  <si>
    <t xml:space="preserve">ACT-&gt;ARG0/122,ARG1/54</t>
  </si>
  <si>
    <t xml:space="preserve">PAT-&gt;ARG0/1,ARG1/130,ARG2/6</t>
  </si>
  <si>
    <t xml:space="preserve">"přijít-005"</t>
  </si>
  <si>
    <t xml:space="preserve">ACT-&gt;ARG0/125,ARG1/2</t>
  </si>
  <si>
    <t xml:space="preserve">PAT-&gt;ARG0/1,ARG1/155</t>
  </si>
  <si>
    <t xml:space="preserve">"přijít-006"</t>
  </si>
  <si>
    <t xml:space="preserve">ACT-&gt;ARG0/197,ARG1/3246,ARG2/307,ARG3/40</t>
  </si>
  <si>
    <t xml:space="preserve">PAT-&gt;ARG1/383,ARG2/3683,ARG4/63</t>
  </si>
  <si>
    <t xml:space="preserve">"přijít-007"</t>
  </si>
  <si>
    <t xml:space="preserve">ACT-&gt;ARG0/2370,ARG1/334,ARG2/2</t>
  </si>
  <si>
    <t xml:space="preserve">PAT-&gt;ARG0/1,ARG1/2604,ARG2/3</t>
  </si>
  <si>
    <t xml:space="preserve">"přijít-008"</t>
  </si>
  <si>
    <t xml:space="preserve">"přijít-009"</t>
  </si>
  <si>
    <t xml:space="preserve">"přijít-010"</t>
  </si>
  <si>
    <t xml:space="preserve">ACT-&gt;ARG0/148,ARG1/983,ARG2/1,ARG4/1</t>
  </si>
  <si>
    <t xml:space="preserve">DIR3-&gt;ARG1/141,ARG2/20,ARGm-LOC/1</t>
  </si>
  <si>
    <t xml:space="preserve">"přijít-011"</t>
  </si>
  <si>
    <t xml:space="preserve">ACT-&gt;ARG1/3108,ARG2/296</t>
  </si>
  <si>
    <t xml:space="preserve">"přijít-012"</t>
  </si>
  <si>
    <t xml:space="preserve">MANN-&gt;ARG1/121,ARG2/3451</t>
  </si>
  <si>
    <t xml:space="preserve">"přijít-013"</t>
  </si>
  <si>
    <t xml:space="preserve">ACT-&gt;ARG0/254,ARG1/6195,ARG2/296</t>
  </si>
  <si>
    <t xml:space="preserve">"přijít-014"</t>
  </si>
  <si>
    <t xml:space="preserve">"přijít-015"</t>
  </si>
  <si>
    <t xml:space="preserve">"přijít-016"</t>
  </si>
  <si>
    <t xml:space="preserve">"přijít-017"</t>
  </si>
  <si>
    <t xml:space="preserve">CPHR: o-1[{iluze,možnost,právo,výhoda,...}.4]</t>
  </si>
  <si>
    <t xml:space="preserve">"přijít-018"</t>
  </si>
  <si>
    <t xml:space="preserve">CPHR: s-1[{myšlenka,nápad,návrh,požadavek,prohlášení,řešení,tvrzení,...}.7]</t>
  </si>
  <si>
    <t xml:space="preserve">CPHR-&gt;ARG1/33</t>
  </si>
  <si>
    <t xml:space="preserve">"--přijít-019"</t>
  </si>
  <si>
    <t xml:space="preserve">CPHR: s-1[{nápad,...}.7]</t>
  </si>
  <si>
    <t xml:space="preserve">"přijít-020"</t>
  </si>
  <si>
    <t xml:space="preserve">DPHR: na-1[pomoc.S4]</t>
  </si>
  <si>
    <t xml:space="preserve">"přijít-021"</t>
  </si>
  <si>
    <t xml:space="preserve">DPHR: na-1[chuť.S4]</t>
  </si>
  <si>
    <t xml:space="preserve">"přijít-022"</t>
  </si>
  <si>
    <t xml:space="preserve">DPHR: na-1[mysl.S4]</t>
  </si>
  <si>
    <t xml:space="preserve">"přijít-023"</t>
  </si>
  <si>
    <t xml:space="preserve">DPHR: na-1[mysl:S4]</t>
  </si>
  <si>
    <t xml:space="preserve">PAT: 1; ↓.f,že</t>
  </si>
  <si>
    <t xml:space="preserve">"přijít-024"</t>
  </si>
  <si>
    <t xml:space="preserve">DPHR: vhod</t>
  </si>
  <si>
    <t xml:space="preserve">"přijít-025"</t>
  </si>
  <si>
    <t xml:space="preserve">DPHR: k-1[čest:S3]</t>
  </si>
  <si>
    <t xml:space="preserve">"přijít-026"</t>
  </si>
  <si>
    <t xml:space="preserve">DPHR: k-1[rozum.S3]</t>
  </si>
  <si>
    <t xml:space="preserve">"přijít-027"</t>
  </si>
  <si>
    <t xml:space="preserve">DPHR: k-1[se.3]</t>
  </si>
  <si>
    <t xml:space="preserve">"přijít-028"</t>
  </si>
  <si>
    <t xml:space="preserve">"přijít-029"</t>
  </si>
  <si>
    <t xml:space="preserve">DPHR: na-1[pořad:S4[den.S2]]</t>
  </si>
  <si>
    <t xml:space="preserve">"přijít-030"</t>
  </si>
  <si>
    <t xml:space="preserve">"přijít-031"</t>
  </si>
  <si>
    <t xml:space="preserve">ACT-&gt;ARG1/174</t>
  </si>
  <si>
    <t xml:space="preserve">"přijít-032"</t>
  </si>
  <si>
    <t xml:space="preserve">"přijít-033"</t>
  </si>
  <si>
    <t xml:space="preserve">DPHR: nazmar</t>
  </si>
  <si>
    <t xml:space="preserve">DPHR-&gt;ARG1/7</t>
  </si>
  <si>
    <t xml:space="preserve">"přijít-034"</t>
  </si>
  <si>
    <t xml:space="preserve">"přijít-035"</t>
  </si>
  <si>
    <t xml:space="preserve">"přijít-036"</t>
  </si>
  <si>
    <t xml:space="preserve">"přijít-037"</t>
  </si>
  <si>
    <t xml:space="preserve">"přijít-038"</t>
  </si>
  <si>
    <t xml:space="preserve">DPHR: na-1[program.S4]</t>
  </si>
  <si>
    <t xml:space="preserve">"přijít-039"</t>
  </si>
  <si>
    <t xml:space="preserve">PAT-&gt;ARG2/12</t>
  </si>
  <si>
    <t xml:space="preserve">"přijít-040"</t>
  </si>
  <si>
    <t xml:space="preserve">DPHR: do-1[šrot.S2]</t>
  </si>
  <si>
    <t xml:space="preserve">"přijít-041"</t>
  </si>
  <si>
    <t xml:space="preserve">DPHR: k-1[úhona.S3]</t>
  </si>
  <si>
    <t xml:space="preserve">"--přijít-042"</t>
  </si>
  <si>
    <t xml:space="preserve">"přijít-043"</t>
  </si>
  <si>
    <t xml:space="preserve">"přijít-044"</t>
  </si>
  <si>
    <t xml:space="preserve">"přijít-045"</t>
  </si>
  <si>
    <t xml:space="preserve">DPHR: pod-1[ruka.S4]</t>
  </si>
  <si>
    <t xml:space="preserve">"přijít-046"</t>
  </si>
  <si>
    <t xml:space="preserve">"přijít-047"</t>
  </si>
  <si>
    <t xml:space="preserve">"přijít-048"</t>
  </si>
  <si>
    <t xml:space="preserve">DPHR: k-1[názor.S3]</t>
  </si>
  <si>
    <t xml:space="preserve">"přijít-049"</t>
  </si>
  <si>
    <t xml:space="preserve">"přijít-050"</t>
  </si>
  <si>
    <t xml:space="preserve">"přijít-051"</t>
  </si>
  <si>
    <t xml:space="preserve">"přijít-052"</t>
  </si>
  <si>
    <t xml:space="preserve">"přijít-053"</t>
  </si>
  <si>
    <t xml:space="preserve">"přijít-si-001"</t>
  </si>
  <si>
    <t xml:space="preserve">"přijít-si-002"</t>
  </si>
  <si>
    <t xml:space="preserve">"přijít-si-003"</t>
  </si>
  <si>
    <t xml:space="preserve">"přijíždět-001"</t>
  </si>
  <si>
    <t xml:space="preserve">ACT-&gt;ARG0/19,ARG1/3102,ARG2/296</t>
  </si>
  <si>
    <t xml:space="preserve">"přikazovat-001"</t>
  </si>
  <si>
    <t xml:space="preserve">ACT-&gt;ARG0/172,ARG1/3,ARG2/4</t>
  </si>
  <si>
    <t xml:space="preserve">PAT-&gt;ARG1/285,ARG2/2</t>
  </si>
  <si>
    <t xml:space="preserve">ADDR-&gt;ARG1/3,ARG2/43</t>
  </si>
  <si>
    <t xml:space="preserve">"přiklonit-se-001"</t>
  </si>
  <si>
    <t xml:space="preserve">"přiklonit-se-002"</t>
  </si>
  <si>
    <t xml:space="preserve">DIR3-&gt;ARG4/1</t>
  </si>
  <si>
    <t xml:space="preserve">DIR3-&gt;ARG1/842,ARG2/17</t>
  </si>
  <si>
    <t xml:space="preserve">"přiklonit-se-003"</t>
  </si>
  <si>
    <t xml:space="preserve">"přikládat-001"</t>
  </si>
  <si>
    <t xml:space="preserve">PAT-&gt;ARG1/697,ARG2/1</t>
  </si>
  <si>
    <t xml:space="preserve">ADDR-&gt;ARG0/180</t>
  </si>
  <si>
    <t xml:space="preserve">"přikládat-002"</t>
  </si>
  <si>
    <t xml:space="preserve">"přiklánět-se-001"</t>
  </si>
  <si>
    <t xml:space="preserve">"přiklánět-se-002"</t>
  </si>
  <si>
    <t xml:space="preserve">DIR3-&gt;ARG1/103</t>
  </si>
  <si>
    <t xml:space="preserve">"přiklánět-se-003"</t>
  </si>
  <si>
    <t xml:space="preserve">ACT-&gt;ARG0/18,ARG1/10</t>
  </si>
  <si>
    <t xml:space="preserve">ACT-&gt;ARG0/20,ARG1/36</t>
  </si>
  <si>
    <t xml:space="preserve">"přikoupit-001"</t>
  </si>
  <si>
    <t xml:space="preserve">ACT-&gt;ARG0/398,ARG1/1</t>
  </si>
  <si>
    <t xml:space="preserve">PAT-&gt;ARG0/2,ARG1/736,ARG3/1</t>
  </si>
  <si>
    <t xml:space="preserve">ORIG-&gt;ARG1/1,ARG2/54</t>
  </si>
  <si>
    <t xml:space="preserve">"přikovat-001"</t>
  </si>
  <si>
    <t xml:space="preserve">"přikračovat-001"</t>
  </si>
  <si>
    <t xml:space="preserve">"přikreslit-001"</t>
  </si>
  <si>
    <t xml:space="preserve">"přikrmit-001"</t>
  </si>
  <si>
    <t xml:space="preserve">"přikrmovat-001"</t>
  </si>
  <si>
    <t xml:space="preserve">"přikročit-001"</t>
  </si>
  <si>
    <t xml:space="preserve">ACT-&gt;ARG0/33,ARG1/90</t>
  </si>
  <si>
    <t xml:space="preserve">ACT-&gt;ARG0/498,ARG1/224,ARG2/5</t>
  </si>
  <si>
    <t xml:space="preserve">PAT-&gt;ARG1/33,ARG2/18</t>
  </si>
  <si>
    <t xml:space="preserve">PAT-&gt;ARG1/585,ARG2/1</t>
  </si>
  <si>
    <t xml:space="preserve">"přikročit-002"</t>
  </si>
  <si>
    <t xml:space="preserve">"přikráčet-001"</t>
  </si>
  <si>
    <t xml:space="preserve">"přikrášlit-001"</t>
  </si>
  <si>
    <t xml:space="preserve">"přikrýt-001"</t>
  </si>
  <si>
    <t xml:space="preserve">"přikrýt-002"</t>
  </si>
  <si>
    <t xml:space="preserve">"přikrčit-se-001"</t>
  </si>
  <si>
    <t xml:space="preserve">"přikusovat-001"</t>
  </si>
  <si>
    <t xml:space="preserve">ADDR: k+3</t>
  </si>
  <si>
    <t xml:space="preserve">"přikyvovat-001"</t>
  </si>
  <si>
    <t xml:space="preserve">DPHR: na-1[souhlas.S4]</t>
  </si>
  <si>
    <t xml:space="preserve">DPHR-&gt;ARG0/1,ARG1/166,ARG2/7</t>
  </si>
  <si>
    <t xml:space="preserve">PAT-&gt;ARG1/27,ARG2/50</t>
  </si>
  <si>
    <t xml:space="preserve">"přikyvovat-002"</t>
  </si>
  <si>
    <t xml:space="preserve">"přikázat-001"</t>
  </si>
  <si>
    <t xml:space="preserve">ACT-&gt;ARG0/361,ARG1/2</t>
  </si>
  <si>
    <t xml:space="preserve">PAT-&gt;ARG1/365,ARG2/72</t>
  </si>
  <si>
    <t xml:space="preserve">ADDR-&gt;ARG1/53,ARG2/325</t>
  </si>
  <si>
    <t xml:space="preserve">"přikývnout-001"</t>
  </si>
  <si>
    <t xml:space="preserve">"přilepit-001"</t>
  </si>
  <si>
    <t xml:space="preserve">"přilepit-se-001"</t>
  </si>
  <si>
    <t xml:space="preserve">"přilepšit-001"</t>
  </si>
  <si>
    <t xml:space="preserve">"přiletět-001"</t>
  </si>
  <si>
    <t xml:space="preserve">ACT-&gt;ARG0/140,ARG1/270</t>
  </si>
  <si>
    <t xml:space="preserve">"přiletět-002"</t>
  </si>
  <si>
    <t xml:space="preserve">"přilnout-001"</t>
  </si>
  <si>
    <t xml:space="preserve">"přilnout-002"</t>
  </si>
  <si>
    <t xml:space="preserve">DPHR: k-1[srdce.3]</t>
  </si>
  <si>
    <t xml:space="preserve">"přilnout-003"</t>
  </si>
  <si>
    <t xml:space="preserve">"přiložit-001"</t>
  </si>
  <si>
    <t xml:space="preserve">"přiložit-002"</t>
  </si>
  <si>
    <t xml:space="preserve">ACT-&gt;ARG0/115,ARG1/2,ARG2/27</t>
  </si>
  <si>
    <t xml:space="preserve">PAT-&gt;ARG1/167</t>
  </si>
  <si>
    <t xml:space="preserve">PAT-&gt;ARG0/26,ARG1/307</t>
  </si>
  <si>
    <t xml:space="preserve">DIR3-&gt;ARG1/38,ARG2/14</t>
  </si>
  <si>
    <t xml:space="preserve">"přiložit-003"</t>
  </si>
  <si>
    <t xml:space="preserve">"přilákat-001"</t>
  </si>
  <si>
    <t xml:space="preserve">"přilákat-002"</t>
  </si>
  <si>
    <t xml:space="preserve">ACT-&gt;ARG0/76,ARG1/1</t>
  </si>
  <si>
    <t xml:space="preserve">ADDR-&gt;ARG1/144,ARG3/1</t>
  </si>
  <si>
    <t xml:space="preserve">PAT-&gt;ARG0/1,ARG1/20,ARG2/2,ARG3/2</t>
  </si>
  <si>
    <t xml:space="preserve">"přiléhat-001"</t>
  </si>
  <si>
    <t xml:space="preserve">"přiléhat-002"</t>
  </si>
  <si>
    <t xml:space="preserve">"přilétnout-001"</t>
  </si>
  <si>
    <t xml:space="preserve">"přilévat-001"</t>
  </si>
  <si>
    <t xml:space="preserve">"přilévat-002"</t>
  </si>
  <si>
    <t xml:space="preserve">DPHR: olej.S4,do-1[oheň.S2]</t>
  </si>
  <si>
    <t xml:space="preserve">"přilít-001"</t>
  </si>
  <si>
    <t xml:space="preserve">"přilít-002"</t>
  </si>
  <si>
    <t xml:space="preserve">ACT-&gt;ARG0/86,ARG1/1,ARG2/33</t>
  </si>
  <si>
    <t xml:space="preserve">DPHR: olej.S4,do-1[oheň.S2]; olej.S2,do-1[oheň.S2]</t>
  </si>
  <si>
    <t xml:space="preserve">DPHR-&gt;ARG1/189</t>
  </si>
  <si>
    <t xml:space="preserve">"přilítnout-001"</t>
  </si>
  <si>
    <t xml:space="preserve">"přilítnout-002"</t>
  </si>
  <si>
    <t xml:space="preserve">"přilívat-001"</t>
  </si>
  <si>
    <t xml:space="preserve">"přimhouřit-001"</t>
  </si>
  <si>
    <t xml:space="preserve">DPHR: oko.S4,oko.P4</t>
  </si>
  <si>
    <t xml:space="preserve">"--přimhouřit-002"</t>
  </si>
  <si>
    <t xml:space="preserve">"přimknout-se-001"</t>
  </si>
  <si>
    <t xml:space="preserve">"přimknout-se-002"</t>
  </si>
  <si>
    <t xml:space="preserve">"přimlouvat-se-001"</t>
  </si>
  <si>
    <t xml:space="preserve">"přimluvit-se-001"</t>
  </si>
  <si>
    <t xml:space="preserve">"přimontovat-001"</t>
  </si>
  <si>
    <t xml:space="preserve">"přimáčknout-001"</t>
  </si>
  <si>
    <t xml:space="preserve">"přimíchat-se-001"</t>
  </si>
  <si>
    <t xml:space="preserve">"přimět-001"</t>
  </si>
  <si>
    <t xml:space="preserve">ACT-&gt;ARG0/294,ARG1/75</t>
  </si>
  <si>
    <t xml:space="preserve">PAT-&gt;ARG1/283,ARG2/170</t>
  </si>
  <si>
    <t xml:space="preserve">ADDR-&gt;ARG1/486,ARG2/5</t>
  </si>
  <si>
    <t xml:space="preserve">ACT-&gt;ARG0/582,ARG1/76</t>
  </si>
  <si>
    <t xml:space="preserve">PAT-&gt;ARG0/1,ARG1/551,ARG2/273</t>
  </si>
  <si>
    <t xml:space="preserve">ADDR-&gt;ARG1/589,ARG2/10</t>
  </si>
  <si>
    <t xml:space="preserve">"přinutit-001"</t>
  </si>
  <si>
    <t xml:space="preserve">ACT-&gt;ARG0/249</t>
  </si>
  <si>
    <t xml:space="preserve">PAT-&gt;ARG1/278,ARG2/145</t>
  </si>
  <si>
    <t xml:space="preserve">ADDR-&gt;ARG1/421,ARG2/5</t>
  </si>
  <si>
    <t xml:space="preserve">ACT-&gt;ARG0/258</t>
  </si>
  <si>
    <t xml:space="preserve">PAT-&gt;ARG1/279,ARG2/161</t>
  </si>
  <si>
    <t xml:space="preserve">ADDR-&gt;ARG1/439,ARG2/7</t>
  </si>
  <si>
    <t xml:space="preserve">"přináležet-001"</t>
  </si>
  <si>
    <t xml:space="preserve">"přináležet-002"</t>
  </si>
  <si>
    <t xml:space="preserve">"přinášet-001"</t>
  </si>
  <si>
    <t xml:space="preserve">ACT-&gt;ARG0/1436,ARG1/8</t>
  </si>
  <si>
    <t xml:space="preserve">PAT-&gt;ARG1/2064,ARG2/3,ARG3/1</t>
  </si>
  <si>
    <t xml:space="preserve">ADDR-&gt;ARG1/20,ARG2/141,ARG3/90</t>
  </si>
  <si>
    <t xml:space="preserve">"přinášet-002"</t>
  </si>
  <si>
    <t xml:space="preserve">DIR3-&gt;ARG1/1,ARG2/10,ARG3/1</t>
  </si>
  <si>
    <t xml:space="preserve">"přinášet-003"</t>
  </si>
  <si>
    <t xml:space="preserve">ACT-&gt;ARG0/1256,ARG1/232</t>
  </si>
  <si>
    <t xml:space="preserve">PAT-&gt;ARG0/2,ARG1/2347,ARG2/169,ARG3/62</t>
  </si>
  <si>
    <t xml:space="preserve">"přinášet-004"</t>
  </si>
  <si>
    <t xml:space="preserve">"přinášet-005"</t>
  </si>
  <si>
    <t xml:space="preserve">"přinášet-006"</t>
  </si>
  <si>
    <t xml:space="preserve">CPHR: {možnost}</t>
  </si>
  <si>
    <t xml:space="preserve">"přinést-001"</t>
  </si>
  <si>
    <t xml:space="preserve">ACT-&gt;ARG0/2653,ARG1/3209,ARG2/297</t>
  </si>
  <si>
    <t xml:space="preserve">PAT-&gt;ARG0/3,ARG1/3287,ARG2/3551</t>
  </si>
  <si>
    <t xml:space="preserve">ADDR-&gt;ARG1/12,ARG2/358,ARG3/22</t>
  </si>
  <si>
    <t xml:space="preserve">"přinést-002"</t>
  </si>
  <si>
    <t xml:space="preserve">ADDR-&gt;ARG1/1,ARG2/10,ARG3/1</t>
  </si>
  <si>
    <t xml:space="preserve">ADDR-&gt;ARG2/4,ARG3/1</t>
  </si>
  <si>
    <t xml:space="preserve">ACT-&gt;ARG0/1551,ARG1/3117,ARG2/296</t>
  </si>
  <si>
    <t xml:space="preserve">PAT-&gt;ARG0/4,ARG1/2396,ARG2/3452</t>
  </si>
  <si>
    <t xml:space="preserve">ACT-&gt;ARG0/998,ARG1/6,ARG2/33</t>
  </si>
  <si>
    <t xml:space="preserve">PAT-&gt;ARG0/1,ARG1/1518,ARG2/2,ARG3/1</t>
  </si>
  <si>
    <t xml:space="preserve">ADDR-&gt;ARG1/25,ARG2/459,ARG3/13</t>
  </si>
  <si>
    <t xml:space="preserve">"přinést-003"</t>
  </si>
  <si>
    <t xml:space="preserve">ACT-&gt;ARG0/163,ARG1/1</t>
  </si>
  <si>
    <t xml:space="preserve">PAT-&gt;ARG1/265,ARG2/1,ARG3/9</t>
  </si>
  <si>
    <t xml:space="preserve">DIR3-&gt;ARG1/8</t>
  </si>
  <si>
    <t xml:space="preserve">"přinést-004"</t>
  </si>
  <si>
    <t xml:space="preserve">"přinést-005"</t>
  </si>
  <si>
    <t xml:space="preserve">DPHR: ovoce.4[svůj-1.#]</t>
  </si>
  <si>
    <t xml:space="preserve">"přinést-006"</t>
  </si>
  <si>
    <t xml:space="preserve">"--přinést-007"</t>
  </si>
  <si>
    <t xml:space="preserve">CPHR: {úleva}.4</t>
  </si>
  <si>
    <t xml:space="preserve">"--přinést-008"</t>
  </si>
  <si>
    <t xml:space="preserve">"přiobjednat-001"</t>
  </si>
  <si>
    <t xml:space="preserve">"přiopravit-001"</t>
  </si>
  <si>
    <t xml:space="preserve">"přiostřit-001"</t>
  </si>
  <si>
    <t xml:space="preserve">"přiostřit-002"</t>
  </si>
  <si>
    <t xml:space="preserve">"přiostřit-se-001"</t>
  </si>
  <si>
    <t xml:space="preserve">ACT-&gt;ARG0/1,ARG1/36</t>
  </si>
  <si>
    <t xml:space="preserve">ACT-&gt;ARG0/13,ARG1/56</t>
  </si>
  <si>
    <t xml:space="preserve">"přiostřovat-001"</t>
  </si>
  <si>
    <t xml:space="preserve">"přiotrávit-001"</t>
  </si>
  <si>
    <t xml:space="preserve">"připachtovat-si-001"</t>
  </si>
  <si>
    <t xml:space="preserve">"připadat-001"</t>
  </si>
  <si>
    <t xml:space="preserve">PAT: 1; ↓že; ↓aby; ↓kdyby; .f; ↓když</t>
  </si>
  <si>
    <t xml:space="preserve">EFF: .a1; .a7; 1[{jako,jakožto}:/AuxY]; .a1[{jako,jakožto}:/AuxY]; ↓že</t>
  </si>
  <si>
    <t xml:space="preserve">ACT-&gt;ARG0/125,ARG1/3105,ARG2/298,ARG3/3</t>
  </si>
  <si>
    <t xml:space="preserve">PAT-&gt;ARG0/51,ARG1/236,ARG2/2</t>
  </si>
  <si>
    <t xml:space="preserve">EFF-&gt;ARG1/425,ARG2/3485</t>
  </si>
  <si>
    <t xml:space="preserve">"připadat-002"</t>
  </si>
  <si>
    <t xml:space="preserve">"připadat-003"</t>
  </si>
  <si>
    <t xml:space="preserve">ACT-&gt;ARG0/1,ARG1/139</t>
  </si>
  <si>
    <t xml:space="preserve">PAT-&gt;ARG0/125,ARG1/1</t>
  </si>
  <si>
    <t xml:space="preserve">"připadat-004"</t>
  </si>
  <si>
    <t xml:space="preserve">ACT-&gt;ARG1/4,ARG2/7</t>
  </si>
  <si>
    <t xml:space="preserve">ACT-&gt;ARG0/40,ARG1/6,ARG2/8</t>
  </si>
  <si>
    <t xml:space="preserve">"připadat-005"</t>
  </si>
  <si>
    <t xml:space="preserve">TOWH: na+4</t>
  </si>
  <si>
    <t xml:space="preserve">TOWH-&gt;ARG2/1</t>
  </si>
  <si>
    <t xml:space="preserve">"připadat-006"</t>
  </si>
  <si>
    <t xml:space="preserve">"připadat-007"</t>
  </si>
  <si>
    <t xml:space="preserve">"připadat-si-001"</t>
  </si>
  <si>
    <t xml:space="preserve">PAT: být[.1]; být[.7]; .a1</t>
  </si>
  <si>
    <t xml:space="preserve">"připadat-si-002"</t>
  </si>
  <si>
    <t xml:space="preserve">"připadnout-001"</t>
  </si>
  <si>
    <t xml:space="preserve">PAT: 1; ↓že</t>
  </si>
  <si>
    <t xml:space="preserve">EFF: 1[{jako,jakožto}:/AuxY]; .a1[{jako,jakožto}:/AuxY]; .a1</t>
  </si>
  <si>
    <t xml:space="preserve">"připadnout-002"</t>
  </si>
  <si>
    <t xml:space="preserve">ACT-&gt;ARG1/42</t>
  </si>
  <si>
    <t xml:space="preserve">PAT-&gt;ARG2/34,ARG4/3</t>
  </si>
  <si>
    <t xml:space="preserve">"připadnout-003"</t>
  </si>
  <si>
    <t xml:space="preserve">PAT-&gt;ARG4/3</t>
  </si>
  <si>
    <t xml:space="preserve">"připadnout-004"</t>
  </si>
  <si>
    <t xml:space="preserve">"připadnout-005"</t>
  </si>
  <si>
    <t xml:space="preserve">"připadnout-006"</t>
  </si>
  <si>
    <t xml:space="preserve">"připadnout-007"</t>
  </si>
  <si>
    <t xml:space="preserve">"připevnit-001"</t>
  </si>
  <si>
    <t xml:space="preserve">"připevňovat-001"</t>
  </si>
  <si>
    <t xml:space="preserve">"připisovat-001"</t>
  </si>
  <si>
    <t xml:space="preserve">ACT-&gt;ARG0/241,ARG1/1</t>
  </si>
  <si>
    <t xml:space="preserve">PAT-&gt;ARG1/178,ARG2/60</t>
  </si>
  <si>
    <t xml:space="preserve">ADDR-&gt;ARG1/74,ARG2/117</t>
  </si>
  <si>
    <t xml:space="preserve">"připisovat-002"</t>
  </si>
  <si>
    <t xml:space="preserve">"připlatit-001"</t>
  </si>
  <si>
    <t xml:space="preserve">ACT-&gt;ARG0/286,ARG1/1,ARG2/1</t>
  </si>
  <si>
    <t xml:space="preserve">"připlavat-001"</t>
  </si>
  <si>
    <t xml:space="preserve">"připlout-001"</t>
  </si>
  <si>
    <t xml:space="preserve">"připlouvat-001"</t>
  </si>
  <si>
    <t xml:space="preserve">"připlynout-001"</t>
  </si>
  <si>
    <t xml:space="preserve">"připlácet-001"</t>
  </si>
  <si>
    <t xml:space="preserve">"připlést-se-001"</t>
  </si>
  <si>
    <t xml:space="preserve">DIR3-&gt;ARG1/5,ARG2/36</t>
  </si>
  <si>
    <t xml:space="preserve">"připlížit-se-001"</t>
  </si>
  <si>
    <t xml:space="preserve">"připnout-001"</t>
  </si>
  <si>
    <t xml:space="preserve">"připodobňovat-001"</t>
  </si>
  <si>
    <t xml:space="preserve">PAT-&gt;ARG1/55,ARG2/2</t>
  </si>
  <si>
    <t xml:space="preserve">ADDR-&gt;ARG1/3,ARG2/61</t>
  </si>
  <si>
    <t xml:space="preserve">"připojistit-001"</t>
  </si>
  <si>
    <t xml:space="preserve">"připojit-001"</t>
  </si>
  <si>
    <t xml:space="preserve">ACT-&gt;ARG0/65,ARG1/1,ARG2/26</t>
  </si>
  <si>
    <t xml:space="preserve">ACT-&gt;ARG0/147,ARG1/2,ARG2/26</t>
  </si>
  <si>
    <t xml:space="preserve">PAT-&gt;ARG1/449,ARG2/4</t>
  </si>
  <si>
    <t xml:space="preserve">DIR3-&gt;ARG1/42,ARG2/3</t>
  </si>
  <si>
    <t xml:space="preserve">DIR3-&gt;ARG1/96,ARG2/93</t>
  </si>
  <si>
    <t xml:space="preserve">DIR3-&gt;ARG1/14,ARG2/1</t>
  </si>
  <si>
    <t xml:space="preserve">"připojit-002"</t>
  </si>
  <si>
    <t xml:space="preserve">ACT-&gt;ARG0/371,ARG1/4</t>
  </si>
  <si>
    <t xml:space="preserve">EFF-&gt;ARG1/415</t>
  </si>
  <si>
    <t xml:space="preserve">"připojit-003"</t>
  </si>
  <si>
    <t xml:space="preserve">ACT-&gt;ARG0/45,ARG1/1</t>
  </si>
  <si>
    <t xml:space="preserve">PAT-&gt;ARG1/156,ARG2/4</t>
  </si>
  <si>
    <t xml:space="preserve">DIR3-&gt;ARG1/110,ARG2/85</t>
  </si>
  <si>
    <t xml:space="preserve">"připojit-se-001"</t>
  </si>
  <si>
    <t xml:space="preserve">ACT-&gt;ARG0/109,ARG1/1</t>
  </si>
  <si>
    <t xml:space="preserve">ACT-&gt;ARG0/5,ARG1/18</t>
  </si>
  <si>
    <t xml:space="preserve">ACT-&gt;ARG0/5,ARG1/17</t>
  </si>
  <si>
    <t xml:space="preserve">PAT-&gt;ARG1/141,ARG2/3</t>
  </si>
  <si>
    <t xml:space="preserve">PAT-&gt;ARG1/4,ARG2/13</t>
  </si>
  <si>
    <t xml:space="preserve">"připojit-se-002"</t>
  </si>
  <si>
    <t xml:space="preserve">ACT-&gt;ARG0/126,ARG1/106</t>
  </si>
  <si>
    <t xml:space="preserve">DIR3-&gt;ARG1/146</t>
  </si>
  <si>
    <t xml:space="preserve">"připojit-se-003"</t>
  </si>
  <si>
    <t xml:space="preserve">"připojovat-001"</t>
  </si>
  <si>
    <t xml:space="preserve">"připojovat-002"</t>
  </si>
  <si>
    <t xml:space="preserve">DIR3-&gt;ARG2/3</t>
  </si>
  <si>
    <t xml:space="preserve">"připojovat-003"</t>
  </si>
  <si>
    <t xml:space="preserve">"připojovat-se-001"</t>
  </si>
  <si>
    <t xml:space="preserve">"připomenout-001"</t>
  </si>
  <si>
    <t xml:space="preserve">ACT-&gt;ARG0/455,ARG1/1</t>
  </si>
  <si>
    <t xml:space="preserve">PAT: 4; ↓že; ↓zda; ↓aby; ↓ať; ↓jak-2; ↓c; .s</t>
  </si>
  <si>
    <t xml:space="preserve">PAT-&gt;ARG1/649</t>
  </si>
  <si>
    <t xml:space="preserve">ADDR-&gt;ARG2/18,ARG3/1</t>
  </si>
  <si>
    <t xml:space="preserve">"připomenout-002"</t>
  </si>
  <si>
    <t xml:space="preserve">ACT-&gt;ARG0/365</t>
  </si>
  <si>
    <t xml:space="preserve">ACT-&gt;ARG0/13,ARG1/13</t>
  </si>
  <si>
    <t xml:space="preserve">PAT-&gt;ARG1/552</t>
  </si>
  <si>
    <t xml:space="preserve">PAT-&gt;ARG1/15,ARG2/21</t>
  </si>
  <si>
    <t xml:space="preserve">"připomínat-001"</t>
  </si>
  <si>
    <t xml:space="preserve">ACT-&gt;ARG0/405</t>
  </si>
  <si>
    <t xml:space="preserve">PAT-&gt;ARG1/460,ARG2/75</t>
  </si>
  <si>
    <t xml:space="preserve">ADDR-&gt;ARG1/67,ARG2/20,ARG3/1</t>
  </si>
  <si>
    <t xml:space="preserve">"připomínat-002"</t>
  </si>
  <si>
    <t xml:space="preserve">ACT-&gt;ARG0/433,ARG1/33,ARG2/2</t>
  </si>
  <si>
    <t xml:space="preserve">PAT-&gt;ARG1/448,ARG2/41</t>
  </si>
  <si>
    <t xml:space="preserve">"připoutat-001"</t>
  </si>
  <si>
    <t xml:space="preserve">"připoutávat-001"</t>
  </si>
  <si>
    <t xml:space="preserve">"připoutávat-002"</t>
  </si>
  <si>
    <t xml:space="preserve">"připouštět-001"</t>
  </si>
  <si>
    <t xml:space="preserve">"připouštět-002"</t>
  </si>
  <si>
    <t xml:space="preserve">"připouštět-003"</t>
  </si>
  <si>
    <t xml:space="preserve">ACT-&gt;ARG0/195,ARG1/3</t>
  </si>
  <si>
    <t xml:space="preserve">PAT: 4; ↓že; .s</t>
  </si>
  <si>
    <t xml:space="preserve">"připouštět-004"</t>
  </si>
  <si>
    <t xml:space="preserve">"připouštět-si-001"</t>
  </si>
  <si>
    <t xml:space="preserve">"připozastavit-001"</t>
  </si>
  <si>
    <t xml:space="preserve">"připočíst-001"</t>
  </si>
  <si>
    <t xml:space="preserve">"připočíst-002"</t>
  </si>
  <si>
    <t xml:space="preserve">"připočítávat-001"</t>
  </si>
  <si>
    <t xml:space="preserve">"připravit-001"</t>
  </si>
  <si>
    <t xml:space="preserve">PAT-&gt;ARG1/26,ARG2/1,ARG3/3</t>
  </si>
  <si>
    <t xml:space="preserve">ADDR-&gt;ARG1/14,ARG2/20</t>
  </si>
  <si>
    <t xml:space="preserve">ADDR-&gt;ARG1/15</t>
  </si>
  <si>
    <t xml:space="preserve">"připravit-002"</t>
  </si>
  <si>
    <t xml:space="preserve">ACT-&gt;ARG0/2984,ARG1/19</t>
  </si>
  <si>
    <t xml:space="preserve">ACT-&gt;ARG0/220,ARG1/3</t>
  </si>
  <si>
    <t xml:space="preserve">ACT-&gt;ARG0/973,ARG1/7</t>
  </si>
  <si>
    <t xml:space="preserve">ACT-&gt;ARG0/995,ARG1/7</t>
  </si>
  <si>
    <t xml:space="preserve">PAT-&gt;ARG0/1,ARG1/3191,ARG2/19</t>
  </si>
  <si>
    <t xml:space="preserve">PAT-&gt;ARG1/1515,ARG2/3</t>
  </si>
  <si>
    <t xml:space="preserve">PAT-&gt;ARG1/1535,ARG2/3</t>
  </si>
  <si>
    <t xml:space="preserve">ORIG-&gt;ARG1/1,ARG2/20</t>
  </si>
  <si>
    <t xml:space="preserve">"připravit-003"</t>
  </si>
  <si>
    <t xml:space="preserve">ACT-&gt;ARG0/221</t>
  </si>
  <si>
    <t xml:space="preserve">"připravit-004"</t>
  </si>
  <si>
    <t xml:space="preserve">ACT-&gt;ARG0/909,ARG1/5</t>
  </si>
  <si>
    <t xml:space="preserve">PAT-&gt;ARG1/19,ARG2/11</t>
  </si>
  <si>
    <t xml:space="preserve">PAT-&gt;ARG1/1409,ARG2/3</t>
  </si>
  <si>
    <t xml:space="preserve">ACT-&gt;ARG0/187,ARG1/4</t>
  </si>
  <si>
    <t xml:space="preserve">PAT-&gt;ARG1/3393,ARG2/314</t>
  </si>
  <si>
    <t xml:space="preserve">"připravit-se-001"</t>
  </si>
  <si>
    <t xml:space="preserve">ACT-&gt;ARG0/66,ARG1/3</t>
  </si>
  <si>
    <t xml:space="preserve">PAT-&gt;ARG1/55,ARG2/39</t>
  </si>
  <si>
    <t xml:space="preserve">"připravovat-001"</t>
  </si>
  <si>
    <t xml:space="preserve">"připravovat-002"</t>
  </si>
  <si>
    <t xml:space="preserve">ACT-&gt;ARG0/217,ARG1/3</t>
  </si>
  <si>
    <t xml:space="preserve">ACT-&gt;ARG0/239,ARG1/3</t>
  </si>
  <si>
    <t xml:space="preserve">PAT-&gt;ARG1/19,ARG2/17</t>
  </si>
  <si>
    <t xml:space="preserve">PAT-&gt;ARG1/321</t>
  </si>
  <si>
    <t xml:space="preserve">"připravovat-003"</t>
  </si>
  <si>
    <t xml:space="preserve">ACT-&gt;ARG0/581,ARG1/12,ARG2/3</t>
  </si>
  <si>
    <t xml:space="preserve">PAT-&gt;ARG1/701,ARG2/79</t>
  </si>
  <si>
    <t xml:space="preserve">"připravovat-004"</t>
  </si>
  <si>
    <t xml:space="preserve">ACT-&gt;ARG0/439,ARG1/4</t>
  </si>
  <si>
    <t xml:space="preserve">ACT-&gt;ARG0/206,ARG1/1</t>
  </si>
  <si>
    <t xml:space="preserve">PAT-&gt;ARG1/822,ARG2/12</t>
  </si>
  <si>
    <t xml:space="preserve">PAT-&gt;ARG1/308</t>
  </si>
  <si>
    <t xml:space="preserve">"připravovat-se-001"</t>
  </si>
  <si>
    <t xml:space="preserve">PAT: .f; na+4; k+3; ↓c</t>
  </si>
  <si>
    <t xml:space="preserve">ACT-&gt;ARG0/103,ARG1/3105,ARG2/296</t>
  </si>
  <si>
    <t xml:space="preserve">PAT-&gt;ARG1/91,ARG2/44</t>
  </si>
  <si>
    <t xml:space="preserve">"připravovat-se-002"</t>
  </si>
  <si>
    <t xml:space="preserve">"připsat-001"</t>
  </si>
  <si>
    <t xml:space="preserve">PAT-&gt;ARG1/89,ARG2/7</t>
  </si>
  <si>
    <t xml:space="preserve">ADDR-&gt;ARG1/7,ARG2/123</t>
  </si>
  <si>
    <t xml:space="preserve">"připsat-002"</t>
  </si>
  <si>
    <t xml:space="preserve">"připsat-003"</t>
  </si>
  <si>
    <t xml:space="preserve">"připsat-004"</t>
  </si>
  <si>
    <t xml:space="preserve">DPHR: k-1[dobro.3]</t>
  </si>
  <si>
    <t xml:space="preserve">"připustit-001"</t>
  </si>
  <si>
    <t xml:space="preserve">"připustit-002"</t>
  </si>
  <si>
    <t xml:space="preserve">DIR3: k+3; ↓aby; *</t>
  </si>
  <si>
    <t xml:space="preserve">"připustit-003"</t>
  </si>
  <si>
    <t xml:space="preserve">ACT-&gt;ARG0/220,ARG1/1</t>
  </si>
  <si>
    <t xml:space="preserve">PAT-&gt;ARG1/351</t>
  </si>
  <si>
    <t xml:space="preserve">"připustit-004"</t>
  </si>
  <si>
    <t xml:space="preserve">ACT-&gt;ARG0/762,ARG1/4</t>
  </si>
  <si>
    <t xml:space="preserve">PAT-&gt;ARG1/709</t>
  </si>
  <si>
    <t xml:space="preserve">"připustit-005"</t>
  </si>
  <si>
    <t xml:space="preserve">"připustit-si-001"</t>
  </si>
  <si>
    <t xml:space="preserve">"připustit-si-002"</t>
  </si>
  <si>
    <t xml:space="preserve">DPHR: k-1[tělo.S3]</t>
  </si>
  <si>
    <t xml:space="preserve">"připálit-001"</t>
  </si>
  <si>
    <t xml:space="preserve">"připíchnout-001"</t>
  </si>
  <si>
    <t xml:space="preserve">"připíchávat-001"</t>
  </si>
  <si>
    <t xml:space="preserve">"připíjet-001"</t>
  </si>
  <si>
    <t xml:space="preserve">"--připíjet-si-001"</t>
  </si>
  <si>
    <t xml:space="preserve">"připínat-001"</t>
  </si>
  <si>
    <t xml:space="preserve">"připít-001"</t>
  </si>
  <si>
    <t xml:space="preserve">"--připít-si-001"</t>
  </si>
  <si>
    <t xml:space="preserve">"přirovnat-001"</t>
  </si>
  <si>
    <t xml:space="preserve">PAT-&gt;ARG1/2,ARG2/57</t>
  </si>
  <si>
    <t xml:space="preserve">ADDR-&gt;ARG1/55</t>
  </si>
  <si>
    <t xml:space="preserve">"přirovnávat-001"</t>
  </si>
  <si>
    <t xml:space="preserve">PAT-&gt;ARG1/1,ARG2/57</t>
  </si>
  <si>
    <t xml:space="preserve">"přirážet-001"</t>
  </si>
  <si>
    <t xml:space="preserve">"přirůst-001"</t>
  </si>
  <si>
    <t xml:space="preserve">"přirůstat-001"</t>
  </si>
  <si>
    <t xml:space="preserve">"přisadit-si-001"</t>
  </si>
  <si>
    <t xml:space="preserve">"přisedat-si-001"</t>
  </si>
  <si>
    <t xml:space="preserve">"přisednout-si-001"</t>
  </si>
  <si>
    <t xml:space="preserve">"přiskakovat-001"</t>
  </si>
  <si>
    <t xml:space="preserve">"přiskočit-001"</t>
  </si>
  <si>
    <t xml:space="preserve">"přiskřípnout-001"</t>
  </si>
  <si>
    <t xml:space="preserve">"přisladit-001"</t>
  </si>
  <si>
    <t xml:space="preserve">"přislíbit-001"</t>
  </si>
  <si>
    <t xml:space="preserve">ACT-&gt;ARG0/533,ARG2/1</t>
  </si>
  <si>
    <t xml:space="preserve">ACT-&gt;ARG0/99,ARG2/1</t>
  </si>
  <si>
    <t xml:space="preserve">PAT: 4; .f; ↓že; .s</t>
  </si>
  <si>
    <t xml:space="preserve">PAT-&gt;ARG1/344,ARG2/90</t>
  </si>
  <si>
    <t xml:space="preserve">PAT-&gt;ARG1/26,ARG2/90</t>
  </si>
  <si>
    <t xml:space="preserve">ADDR-&gt;ARG0/2,ARG1/28</t>
  </si>
  <si>
    <t xml:space="preserve">"přisoudit-001"</t>
  </si>
  <si>
    <t xml:space="preserve">ADDR-&gt;ARG2/109</t>
  </si>
  <si>
    <t xml:space="preserve">"přispívat-001"</t>
  </si>
  <si>
    <t xml:space="preserve">PAT-&gt;ARG1/3,ARG2/112</t>
  </si>
  <si>
    <t xml:space="preserve">PAT-&gt;ARG1/30,ARG2/2,ARG3/1</t>
  </si>
  <si>
    <t xml:space="preserve">ADDR-&gt;ARG1/3,ARG2/128</t>
  </si>
  <si>
    <t xml:space="preserve">"přispívat-002"</t>
  </si>
  <si>
    <t xml:space="preserve">PAT: k+3; na+4; 3</t>
  </si>
  <si>
    <t xml:space="preserve">ACT-&gt;ARG0/338,ARG1/23</t>
  </si>
  <si>
    <t xml:space="preserve">PAT-&gt;ARG1/83,ARG2/153</t>
  </si>
  <si>
    <t xml:space="preserve">"přispívat-003"</t>
  </si>
  <si>
    <t xml:space="preserve">"přispěchat-001"</t>
  </si>
  <si>
    <t xml:space="preserve">"přispět-001"</t>
  </si>
  <si>
    <t xml:space="preserve">PAT-&gt;ARG1/40,ARG3/1</t>
  </si>
  <si>
    <t xml:space="preserve">ADDR-&gt;ARG2/26</t>
  </si>
  <si>
    <t xml:space="preserve">ACT-&gt;ARG0/115,ARG1/1</t>
  </si>
  <si>
    <t xml:space="preserve">"přispět-002"</t>
  </si>
  <si>
    <t xml:space="preserve">ACT-&gt;ARG0/778,ARG1/162</t>
  </si>
  <si>
    <t xml:space="preserve">PAT-&gt;ARG0/1,ARG1/668,ARG2/285</t>
  </si>
  <si>
    <t xml:space="preserve">"přispět-003"</t>
  </si>
  <si>
    <t xml:space="preserve">ACT-&gt;ARG0/142,ARG1/1</t>
  </si>
  <si>
    <t xml:space="preserve">DIR3-&gt;ARG1/3,ARG2/123</t>
  </si>
  <si>
    <t xml:space="preserve">"přistavit-001"</t>
  </si>
  <si>
    <t xml:space="preserve">"přistavit-002"</t>
  </si>
  <si>
    <t xml:space="preserve">"přistavovat-001"</t>
  </si>
  <si>
    <t xml:space="preserve">"přistavět-001"</t>
  </si>
  <si>
    <t xml:space="preserve">"přistihnout-001"</t>
  </si>
  <si>
    <t xml:space="preserve">ACT-&gt;ARG0/202,ARG1/1</t>
  </si>
  <si>
    <t xml:space="preserve">PAT-&gt;ARG0/2,ARG1/324,ARG2/1</t>
  </si>
  <si>
    <t xml:space="preserve">"přistoupit-001"</t>
  </si>
  <si>
    <t xml:space="preserve">ACT-&gt;ARG0/50,ARG1/80</t>
  </si>
  <si>
    <t xml:space="preserve">PAT-&gt;ARG1/1278,ARG2/2</t>
  </si>
  <si>
    <t xml:space="preserve">"přistoupit-002"</t>
  </si>
  <si>
    <t xml:space="preserve">ACT-&gt;ARG0/441,ARG1/1</t>
  </si>
  <si>
    <t xml:space="preserve">PAT-&gt;ARG1/409</t>
  </si>
  <si>
    <t xml:space="preserve">"přistoupit-003"</t>
  </si>
  <si>
    <t xml:space="preserve">"přistoupit-004"</t>
  </si>
  <si>
    <t xml:space="preserve">"přistoupit-005"</t>
  </si>
  <si>
    <t xml:space="preserve">CPHR: k-1[{hlasování,jednání,kontrola,krok,likvidace,nařízení,opatření,plán,použití,přeměna,realizace,řešení,řízení,stimulace,udělení,uhrazení,utahování,vypovídání,změna,...}.3]; {řízení}</t>
  </si>
  <si>
    <t xml:space="preserve">ACT-&gt;ARG0/21,ARG1/2</t>
  </si>
  <si>
    <t xml:space="preserve">CPHR-&gt;ARG1/20,ARG2/1,ARG4/25</t>
  </si>
  <si>
    <t xml:space="preserve">CPHR-&gt;ARG1/224,ARG2/26</t>
  </si>
  <si>
    <t xml:space="preserve">"přistoupit-006"</t>
  </si>
  <si>
    <t xml:space="preserve">PAT: k+3; vůči+3</t>
  </si>
  <si>
    <t xml:space="preserve">PAT-&gt;ARG2/18</t>
  </si>
  <si>
    <t xml:space="preserve">ACMP-&gt;ARG2/21,ARG3/1</t>
  </si>
  <si>
    <t xml:space="preserve">CRIT-&gt;ARG2/21,ARG3/1</t>
  </si>
  <si>
    <t xml:space="preserve">CPR-&gt;ARG2/21,ARG3/1</t>
  </si>
  <si>
    <t xml:space="preserve">COMPL-&gt;ARG2/21,ARG3/1</t>
  </si>
  <si>
    <t xml:space="preserve">"přistrojit-001"</t>
  </si>
  <si>
    <t xml:space="preserve">"přistupovat-001"</t>
  </si>
  <si>
    <t xml:space="preserve">ACT-&gt;ARG0/20,ARG1/15</t>
  </si>
  <si>
    <t xml:space="preserve">PAT: k+3; vůči+3; stran[.2]</t>
  </si>
  <si>
    <t xml:space="preserve">PAT-&gt;ARG1/34,ARG2/18</t>
  </si>
  <si>
    <t xml:space="preserve">MANN-&gt;ARG2/28</t>
  </si>
  <si>
    <t xml:space="preserve">"přistupovat-002"</t>
  </si>
  <si>
    <t xml:space="preserve">"přistupovat-003"</t>
  </si>
  <si>
    <t xml:space="preserve">"přistupovat-004"</t>
  </si>
  <si>
    <t xml:space="preserve">DIR3-&gt;ARG2/20</t>
  </si>
  <si>
    <t xml:space="preserve">"přistupovat-005"</t>
  </si>
  <si>
    <t xml:space="preserve">"přistupovat-006"</t>
  </si>
  <si>
    <t xml:space="preserve">CPHR: k-1[{hlasování,modernizace,obnova,plán,realizace,udělení,změna,...}.3]</t>
  </si>
  <si>
    <t xml:space="preserve">"přistát-001"</t>
  </si>
  <si>
    <t xml:space="preserve">ACT-&gt;ARG0/60,ARG1/9</t>
  </si>
  <si>
    <t xml:space="preserve">LOC-&gt;ARG1/68</t>
  </si>
  <si>
    <t xml:space="preserve">"přistát-002"</t>
  </si>
  <si>
    <t xml:space="preserve">"přistávat-001"</t>
  </si>
  <si>
    <t xml:space="preserve">"přistávat-002"</t>
  </si>
  <si>
    <t xml:space="preserve">"přistínit-001"</t>
  </si>
  <si>
    <t xml:space="preserve">"přistěhovat-se-001"</t>
  </si>
  <si>
    <t xml:space="preserve">"přistřihnout-001"</t>
  </si>
  <si>
    <t xml:space="preserve">"přisunout-001"</t>
  </si>
  <si>
    <t xml:space="preserve">"přisuzovat-001"</t>
  </si>
  <si>
    <t xml:space="preserve">ACT-&gt;ARG0/208</t>
  </si>
  <si>
    <t xml:space="preserve">PAT-&gt;ARG1/249,ARG2/21</t>
  </si>
  <si>
    <t xml:space="preserve">ADDR-&gt;ARG1/32,ARG2/275</t>
  </si>
  <si>
    <t xml:space="preserve">"přisvojit-si-001"</t>
  </si>
  <si>
    <t xml:space="preserve">"přisypávat-001"</t>
  </si>
  <si>
    <t xml:space="preserve">PAT-&gt;ARG0/26,ARG1/2</t>
  </si>
  <si>
    <t xml:space="preserve">DIR3-&gt;ARG1/38,ARG2/3</t>
  </si>
  <si>
    <t xml:space="preserve">"přitahovat-001"</t>
  </si>
  <si>
    <t xml:space="preserve">ACT-&gt;ARG0/82,ARG1/6,ARG2/2</t>
  </si>
  <si>
    <t xml:space="preserve">PAT-&gt;ARG0/2,ARG1/152,ARG2/3</t>
  </si>
  <si>
    <t xml:space="preserve">"přitlačit-001"</t>
  </si>
  <si>
    <t xml:space="preserve">"přitlouci-001"</t>
  </si>
  <si>
    <t xml:space="preserve">"přitopit-001"</t>
  </si>
  <si>
    <t xml:space="preserve">"přitopit-002"</t>
  </si>
  <si>
    <t xml:space="preserve">"přituhnout-001"</t>
  </si>
  <si>
    <t xml:space="preserve">"přituhovat-001"</t>
  </si>
  <si>
    <t xml:space="preserve">"přitvrdit-001"</t>
  </si>
  <si>
    <t xml:space="preserve">"--přitvrdit-002"</t>
  </si>
  <si>
    <t xml:space="preserve">"přitvrzovat-001"</t>
  </si>
  <si>
    <t xml:space="preserve">"--přitvrzovat-002"</t>
  </si>
  <si>
    <t xml:space="preserve">"přitáhnout-001"</t>
  </si>
  <si>
    <t xml:space="preserve">"přitáhnout-002"</t>
  </si>
  <si>
    <t xml:space="preserve">ACT-&gt;ARG0/203,ARG1/1</t>
  </si>
  <si>
    <t xml:space="preserve">PAT-&gt;ARG0/2,ARG1/307</t>
  </si>
  <si>
    <t xml:space="preserve">"přitáhnout-003"</t>
  </si>
  <si>
    <t xml:space="preserve">"přitáhnout-004"</t>
  </si>
  <si>
    <t xml:space="preserve">ACT-&gt;ARG0/74,ARG1/98,ARG2/10,ARG3/2</t>
  </si>
  <si>
    <t xml:space="preserve">CPHR: {pozornost}.4</t>
  </si>
  <si>
    <t xml:space="preserve">CPHR-&gt;ARG1/9</t>
  </si>
  <si>
    <t xml:space="preserve">CPHR-&gt;ARG0/1,ARG1/60,ARG2/5,ARG3/1</t>
  </si>
  <si>
    <t xml:space="preserve">"přitáhnout-005"</t>
  </si>
  <si>
    <t xml:space="preserve">DPHR: uzda.S4</t>
  </si>
  <si>
    <t xml:space="preserve">"přitéci-001"</t>
  </si>
  <si>
    <t xml:space="preserve">"přitékat-001"</t>
  </si>
  <si>
    <t xml:space="preserve">"přitížit-001"</t>
  </si>
  <si>
    <t xml:space="preserve">"přitížit-se-001"</t>
  </si>
  <si>
    <t xml:space="preserve">"přitěžovat-001"</t>
  </si>
  <si>
    <t xml:space="preserve">"přiupravit-001"</t>
  </si>
  <si>
    <t xml:space="preserve">"přiučit-se-001"</t>
  </si>
  <si>
    <t xml:space="preserve">"přivařit-001"</t>
  </si>
  <si>
    <t xml:space="preserve">"přivdat-se-001"</t>
  </si>
  <si>
    <t xml:space="preserve">"přivlastnit-si-001"</t>
  </si>
  <si>
    <t xml:space="preserve">"přivlastňovat-si-001"</t>
  </si>
  <si>
    <t xml:space="preserve">"přivodit-001"</t>
  </si>
  <si>
    <t xml:space="preserve">PAT-&gt;ARG1/43,ARG2/2</t>
  </si>
  <si>
    <t xml:space="preserve">"přivolat-001"</t>
  </si>
  <si>
    <t xml:space="preserve">ACT-&gt;ARG0/342,ARG1/1</t>
  </si>
  <si>
    <t xml:space="preserve">PAT-&gt;ARG1/468</t>
  </si>
  <si>
    <t xml:space="preserve">"přivolit-001"</t>
  </si>
  <si>
    <t xml:space="preserve">"přivonět-001"</t>
  </si>
  <si>
    <t xml:space="preserve">"přivrhnout-001"</t>
  </si>
  <si>
    <t xml:space="preserve">"přivydělat-001"</t>
  </si>
  <si>
    <t xml:space="preserve">"přivydělat-si-001"</t>
  </si>
  <si>
    <t xml:space="preserve">"přivydělávat-001"</t>
  </si>
  <si>
    <t xml:space="preserve">"přivydělávat-si-001"</t>
  </si>
  <si>
    <t xml:space="preserve">"přivyknout-001"</t>
  </si>
  <si>
    <t xml:space="preserve">ACT-&gt;ARG0/39,ARG1/9</t>
  </si>
  <si>
    <t xml:space="preserve">ACT-&gt;ARG0/103,ARG1/9</t>
  </si>
  <si>
    <t xml:space="preserve">PAT: 3; .f; ↓že</t>
  </si>
  <si>
    <t xml:space="preserve">PAT-&gt;ARG1/127,ARG2/17,ARG3/3,ARG4/5</t>
  </si>
  <si>
    <t xml:space="preserve">PAT-&gt;ARG1/263,ARG2/17,ARG3/3,ARG4/5</t>
  </si>
  <si>
    <t xml:space="preserve">"přivábit-001"</t>
  </si>
  <si>
    <t xml:space="preserve">"přivádět-001"</t>
  </si>
  <si>
    <t xml:space="preserve">PAT-&gt;ARG1/264</t>
  </si>
  <si>
    <t xml:space="preserve">ADDR-&gt;ARG1/267</t>
  </si>
  <si>
    <t xml:space="preserve">"přivádět-002"</t>
  </si>
  <si>
    <t xml:space="preserve">DIR3-&gt;ARG2/2,ARG3/37,ARG4/2</t>
  </si>
  <si>
    <t xml:space="preserve">"přivádět-003"</t>
  </si>
  <si>
    <t xml:space="preserve">ACT-&gt;ARG0/208,ARG1/3</t>
  </si>
  <si>
    <t xml:space="preserve">PAT-&gt;ARG1/306</t>
  </si>
  <si>
    <t xml:space="preserve">"přivádět-004"</t>
  </si>
  <si>
    <t xml:space="preserve">"přivázat-001"</t>
  </si>
  <si>
    <t xml:space="preserve">"přivážet-001"</t>
  </si>
  <si>
    <t xml:space="preserve">"přivést-001"</t>
  </si>
  <si>
    <t xml:space="preserve">PAT-&gt;ARG1/60,ARG2/11,ARG3/37</t>
  </si>
  <si>
    <t xml:space="preserve">ADDR-&gt;ARG1/47</t>
  </si>
  <si>
    <t xml:space="preserve">"přivést-002"</t>
  </si>
  <si>
    <t xml:space="preserve">ACT-&gt;ARG0/255</t>
  </si>
  <si>
    <t xml:space="preserve">PAT-&gt;ARG1/389</t>
  </si>
  <si>
    <t xml:space="preserve">DIR3-&gt;ARG1/264</t>
  </si>
  <si>
    <t xml:space="preserve">ACT-&gt;ARG0/253</t>
  </si>
  <si>
    <t xml:space="preserve">DIR3-&gt;ARG1/1,ARG2/149,ARG3/37</t>
  </si>
  <si>
    <t xml:space="preserve">"přivést-003"</t>
  </si>
  <si>
    <t xml:space="preserve">PAT-&gt;ARG1/230,ARG2/1</t>
  </si>
  <si>
    <t xml:space="preserve">DIR3-&gt;ARG3/9</t>
  </si>
  <si>
    <t xml:space="preserve">"přivést-004"</t>
  </si>
  <si>
    <t xml:space="preserve">"přivést-005"</t>
  </si>
  <si>
    <t xml:space="preserve">"přivést-006"</t>
  </si>
  <si>
    <t xml:space="preserve">"přivést-007"</t>
  </si>
  <si>
    <t xml:space="preserve">DPHR: na-1[buben.S4]</t>
  </si>
  <si>
    <t xml:space="preserve">"přivést-008"</t>
  </si>
  <si>
    <t xml:space="preserve">"přivézt-001"</t>
  </si>
  <si>
    <t xml:space="preserve">PAT-&gt;ARG1/92,ARG2/1</t>
  </si>
  <si>
    <t xml:space="preserve">"přivézt-002"</t>
  </si>
  <si>
    <t xml:space="preserve">PAT-&gt;ARG1/228,ARG2/1</t>
  </si>
  <si>
    <t xml:space="preserve">"přivítat-001"</t>
  </si>
  <si>
    <t xml:space="preserve">PAT: 4; ↓aby; ↓jestli; ↓že; ↓kdyby; ↓c</t>
  </si>
  <si>
    <t xml:space="preserve">"přivítat-002"</t>
  </si>
  <si>
    <t xml:space="preserve">"přivřít-001"</t>
  </si>
  <si>
    <t xml:space="preserve">"přivřít-002"</t>
  </si>
  <si>
    <t xml:space="preserve">"přizdobit-001"</t>
  </si>
  <si>
    <t xml:space="preserve">"přiznat-001"</t>
  </si>
  <si>
    <t xml:space="preserve">PAT-&gt;ARG1/433</t>
  </si>
  <si>
    <t xml:space="preserve">ADDR-&gt;ARG0/336,ARG1/2,ARG2/57</t>
  </si>
  <si>
    <t xml:space="preserve">"přiznat-002"</t>
  </si>
  <si>
    <t xml:space="preserve">ACT-&gt;ARG0/12869,ARG1/39</t>
  </si>
  <si>
    <t xml:space="preserve">PAT: 4; ↓že; ↓jak-2; ↓jestli; .s; ↓c</t>
  </si>
  <si>
    <t xml:space="preserve">PAT-&gt;ARG0/2,ARG1/11306,ARG2/2</t>
  </si>
  <si>
    <t xml:space="preserve">ADDR-&gt;ARG1/5,ARG2/46</t>
  </si>
  <si>
    <t xml:space="preserve">"přiznat-se-001"</t>
  </si>
  <si>
    <t xml:space="preserve">PAT: k+3; ↓že; ↓jak-2; ↓c; .s; ↓jestli</t>
  </si>
  <si>
    <t xml:space="preserve">PAT-&gt;ARG1/141,ARG2/28</t>
  </si>
  <si>
    <t xml:space="preserve">"přiznávat-001"</t>
  </si>
  <si>
    <t xml:space="preserve">"přiznávat-002"</t>
  </si>
  <si>
    <t xml:space="preserve">ACT-&gt;ARG0/737,ARG1/3</t>
  </si>
  <si>
    <t xml:space="preserve">PAT-&gt;ARG1/807</t>
  </si>
  <si>
    <t xml:space="preserve">"přiznávat-se-001"</t>
  </si>
  <si>
    <t xml:space="preserve">"přizpůsobit-001"</t>
  </si>
  <si>
    <t xml:space="preserve">ACT-&gt;ARG0/13,ARG1/30</t>
  </si>
  <si>
    <t xml:space="preserve">ADDR-&gt;ARG1/48,ARG2/1,ARG4/25</t>
  </si>
  <si>
    <t xml:space="preserve">ADDR-&gt;ARG2/1,ARG4/25</t>
  </si>
  <si>
    <t xml:space="preserve">"přizpůsobit-se-001"</t>
  </si>
  <si>
    <t xml:space="preserve">ACT-&gt;ARG0/26,ARG1/24</t>
  </si>
  <si>
    <t xml:space="preserve">ACT-&gt;ARG0/203,ARG1/10</t>
  </si>
  <si>
    <t xml:space="preserve">PAT-&gt;ARG1/89,ARG2/17,ARG3/3,ARG4/5</t>
  </si>
  <si>
    <t xml:space="preserve">PAT-&gt;ARG1/421,ARG2/18,ARG3/3,ARG4/5</t>
  </si>
  <si>
    <t xml:space="preserve">"přizpůsobovat-001"</t>
  </si>
  <si>
    <t xml:space="preserve">ACT-&gt;ARG0/11,ARG1/2</t>
  </si>
  <si>
    <t xml:space="preserve">PAT-&gt;ARG1/41,ARG2/3</t>
  </si>
  <si>
    <t xml:space="preserve">ADDR-&gt;ARG1/6,ARG2/1,ARG4/25</t>
  </si>
  <si>
    <t xml:space="preserve">"přizpůsobovat-se-001"</t>
  </si>
  <si>
    <t xml:space="preserve">ACT-&gt;ARG0/10,ARG1/31</t>
  </si>
  <si>
    <t xml:space="preserve">PAT-&gt;ARG1/48,ARG2/5,ARG3/3,ARG4/5</t>
  </si>
  <si>
    <t xml:space="preserve">"přizvat-001"</t>
  </si>
  <si>
    <t xml:space="preserve">"přičichnout-001"</t>
  </si>
  <si>
    <t xml:space="preserve">"přičinit-se-001"</t>
  </si>
  <si>
    <t xml:space="preserve">PAT: o+4; ↓aby; .f</t>
  </si>
  <si>
    <t xml:space="preserve">"přičlenit-001"</t>
  </si>
  <si>
    <t xml:space="preserve">"přičíst-001"</t>
  </si>
  <si>
    <t xml:space="preserve">ADDR: 3; na-1[vrub.4[.2]]; na-1[vrub.4[.u#]]</t>
  </si>
  <si>
    <t xml:space="preserve">"přičíst-002"</t>
  </si>
  <si>
    <t xml:space="preserve">ACT-&gt;ARG0/107,ARG1/2</t>
  </si>
  <si>
    <t xml:space="preserve">"přičítat-001"</t>
  </si>
  <si>
    <t xml:space="preserve">ACT-&gt;ARG0/335</t>
  </si>
  <si>
    <t xml:space="preserve">PAT-&gt;ARG1/424,ARG2/22</t>
  </si>
  <si>
    <t xml:space="preserve">ADDR-&gt;ARG1/28,ARG2/419</t>
  </si>
  <si>
    <t xml:space="preserve">"přičítat-002"</t>
  </si>
  <si>
    <t xml:space="preserve">DIR3-&gt;ARG2/109</t>
  </si>
  <si>
    <t xml:space="preserve">"přiřadit-001"</t>
  </si>
  <si>
    <t xml:space="preserve">"přiřadit-002"</t>
  </si>
  <si>
    <t xml:space="preserve">"přiřadit-003"</t>
  </si>
  <si>
    <t xml:space="preserve">"přiřadit-se-001"</t>
  </si>
  <si>
    <t xml:space="preserve">"přiřadit-se-002"</t>
  </si>
  <si>
    <t xml:space="preserve">"přiřazovat-001"</t>
  </si>
  <si>
    <t xml:space="preserve">"přiřazovat-002"</t>
  </si>
  <si>
    <t xml:space="preserve">"přiřazovat-se-001"</t>
  </si>
  <si>
    <t xml:space="preserve">"přiřazovat-se-002"</t>
  </si>
  <si>
    <t xml:space="preserve">"přiřknout-001"</t>
  </si>
  <si>
    <t xml:space="preserve">"přiřítit-se-001"</t>
  </si>
  <si>
    <t xml:space="preserve">"přišroubovat-001"</t>
  </si>
  <si>
    <t xml:space="preserve">"přišít-001"</t>
  </si>
  <si>
    <t xml:space="preserve">"přišít-002"</t>
  </si>
  <si>
    <t xml:space="preserve">"přišívat-001"</t>
  </si>
  <si>
    <t xml:space="preserve">"přiťukat-001"</t>
  </si>
  <si>
    <t xml:space="preserve">"přiťuknout-001"</t>
  </si>
  <si>
    <t xml:space="preserve">"přiťuknout-002"</t>
  </si>
  <si>
    <t xml:space="preserve">"--přiťuknout-si-001"</t>
  </si>
  <si>
    <t xml:space="preserve">"přiženit-se-001"</t>
  </si>
  <si>
    <t xml:space="preserve">"přiživit-001"</t>
  </si>
  <si>
    <t xml:space="preserve">"přiživit-se-001"</t>
  </si>
  <si>
    <t xml:space="preserve">PAT: na+6; z+2</t>
  </si>
  <si>
    <t xml:space="preserve">"přiživovat-se-001"</t>
  </si>
  <si>
    <t xml:space="preserve">"přát-001"</t>
  </si>
  <si>
    <t xml:space="preserve">PAT: 2; 4; ↓aby; ↓ať; .s</t>
  </si>
  <si>
    <t xml:space="preserve">"přát-002"</t>
  </si>
  <si>
    <t xml:space="preserve">PAT: 2; 4; .f; ↓aby; ↓ať; .s</t>
  </si>
  <si>
    <t xml:space="preserve">"přát-003"</t>
  </si>
  <si>
    <t xml:space="preserve">"přát-si-001"</t>
  </si>
  <si>
    <t xml:space="preserve">PAT: 4; ↓aby; ↓ať</t>
  </si>
  <si>
    <t xml:space="preserve">ORIG-&gt;ARG1/8,ARG2/3</t>
  </si>
  <si>
    <t xml:space="preserve">"přát-si-002"</t>
  </si>
  <si>
    <t xml:space="preserve">ACT-&gt;ARG0/1207,ARG1/3102,ARG2/296</t>
  </si>
  <si>
    <t xml:space="preserve">ACT-&gt;ARG0/1458</t>
  </si>
  <si>
    <t xml:space="preserve">PAT: 4; ↓aby; ↓ať; .f; být[.a]; 2</t>
  </si>
  <si>
    <t xml:space="preserve">PAT-&gt;ARG1/1285</t>
  </si>
  <si>
    <t xml:space="preserve">PAT-&gt;ARG1/1524,ARG2/3</t>
  </si>
  <si>
    <t xml:space="preserve">"přátelit-se-001"</t>
  </si>
  <si>
    <t xml:space="preserve">"přísahat-001"</t>
  </si>
  <si>
    <t xml:space="preserve">"příslušet-001"</t>
  </si>
  <si>
    <t xml:space="preserve">"příslušet-002"</t>
  </si>
  <si>
    <t xml:space="preserve">"příslušet-003"</t>
  </si>
  <si>
    <t xml:space="preserve">"příslušet-004"</t>
  </si>
  <si>
    <t xml:space="preserve">"příslušet-se-001"</t>
  </si>
  <si>
    <t xml:space="preserve">"příst-001"</t>
  </si>
  <si>
    <t xml:space="preserve">"příst-002"</t>
  </si>
  <si>
    <t xml:space="preserve">"přít-se-001"</t>
  </si>
  <si>
    <t xml:space="preserve">?PAT: o+4; o+6; ↓zda; ↓jestli; ↓c; .s; ↓že</t>
  </si>
  <si>
    <t xml:space="preserve">ADDR-&gt;ARG1/7,ARG2/2</t>
  </si>
  <si>
    <t xml:space="preserve">PAT-&gt;ARG1/5,ARG2/14</t>
  </si>
  <si>
    <t xml:space="preserve">"příčit-se-001"</t>
  </si>
  <si>
    <t xml:space="preserve">"půjčit-001"</t>
  </si>
  <si>
    <t xml:space="preserve">PAT-&gt;ARG1/63,ARG2/2</t>
  </si>
  <si>
    <t xml:space="preserve">ADDR-&gt;ARG1/2,ARG2/36,ARG3/1</t>
  </si>
  <si>
    <t xml:space="preserve">"půjčit-si-001"</t>
  </si>
  <si>
    <t xml:space="preserve">ORIG-&gt;ARG2/12,ARG3/1</t>
  </si>
  <si>
    <t xml:space="preserve">"půjčovat-001"</t>
  </si>
  <si>
    <t xml:space="preserve">PAT-&gt;ARG1/81,ARG2/2</t>
  </si>
  <si>
    <t xml:space="preserve">ADDR-&gt;ARG1/4,ARG2/48</t>
  </si>
  <si>
    <t xml:space="preserve">"půjčovat-si-001"</t>
  </si>
  <si>
    <t xml:space="preserve">PAT-&gt;ARG1/122</t>
  </si>
  <si>
    <t xml:space="preserve">"působit-001"</t>
  </si>
  <si>
    <t xml:space="preserve">ACT-&gt;ARG0/147,ARG1/3103,ARG2/296</t>
  </si>
  <si>
    <t xml:space="preserve">PAT-&gt;ARG0/1,ARG1/285,ARG2/3451</t>
  </si>
  <si>
    <t xml:space="preserve">"působit-002"</t>
  </si>
  <si>
    <t xml:space="preserve">PAT: proti+3; pro+4; vůči+3</t>
  </si>
  <si>
    <t xml:space="preserve">"působit-003"</t>
  </si>
  <si>
    <t xml:space="preserve">ACT-&gt;ARG0/35,ARG1/3142,ARG2/296</t>
  </si>
  <si>
    <t xml:space="preserve">PAT-&gt;ARG0/37</t>
  </si>
  <si>
    <t xml:space="preserve">ACT-&gt;ARG0/2428,ARG1/3667,ARG2/296</t>
  </si>
  <si>
    <t xml:space="preserve">PAT-&gt;ARG1/7,ARG2/13,ARG3/1</t>
  </si>
  <si>
    <t xml:space="preserve">"působit-004"</t>
  </si>
  <si>
    <t xml:space="preserve">ACT-&gt;ARG0/190,ARG1/3176,ARG2/296</t>
  </si>
  <si>
    <t xml:space="preserve">ACT-&gt;ARG0/80,ARG1/64</t>
  </si>
  <si>
    <t xml:space="preserve">LOC-&gt;ARG1/172,ARG2/16</t>
  </si>
  <si>
    <t xml:space="preserve">"působit-005"</t>
  </si>
  <si>
    <t xml:space="preserve">ACT: 1; ↓že; ↓když</t>
  </si>
  <si>
    <t xml:space="preserve">ALT-RESL: </t>
  </si>
  <si>
    <t xml:space="preserve">ACT-&gt;ARG0/36,ARG1/243</t>
  </si>
  <si>
    <t xml:space="preserve">MANN-&gt;ARG1/138,ARG2/92</t>
  </si>
  <si>
    <t xml:space="preserve">"působit-006"</t>
  </si>
  <si>
    <t xml:space="preserve">ACT-&gt;ARG0/1,ARG1/64</t>
  </si>
  <si>
    <t xml:space="preserve">"působit-007"</t>
  </si>
  <si>
    <t xml:space="preserve">"--působit-008"</t>
  </si>
  <si>
    <t xml:space="preserve">"rabovat-001"</t>
  </si>
  <si>
    <t xml:space="preserve">"--rabovat-002"</t>
  </si>
  <si>
    <t xml:space="preserve">"--rabovat-003"</t>
  </si>
  <si>
    <t xml:space="preserve">"--rabovat-004"</t>
  </si>
  <si>
    <t xml:space="preserve">"rabovat-005"</t>
  </si>
  <si>
    <t xml:space="preserve">"rachotit-001"</t>
  </si>
  <si>
    <t xml:space="preserve">"rachtat-001"</t>
  </si>
  <si>
    <t xml:space="preserve">"racionalizovat-001"</t>
  </si>
  <si>
    <t xml:space="preserve">"radikalizovat-001"</t>
  </si>
  <si>
    <t xml:space="preserve">"radit-001"</t>
  </si>
  <si>
    <t xml:space="preserve">PAT: 4; k+3; s+7,.f; ↓že; ↓aby; ↓ať; .s; ↓c</t>
  </si>
  <si>
    <t xml:space="preserve">PAT-&gt;ARG2/68</t>
  </si>
  <si>
    <t xml:space="preserve">ADDR-&gt;ARG1/57,ARG2/2</t>
  </si>
  <si>
    <t xml:space="preserve">ACT-&gt;ARG0/12179,ARG1/36</t>
  </si>
  <si>
    <t xml:space="preserve">PAT-&gt;ARG0/2,ARG1/10492,ARG2/70</t>
  </si>
  <si>
    <t xml:space="preserve">ADDR-&gt;ARG1/55,ARG2/11</t>
  </si>
  <si>
    <t xml:space="preserve">"radit-002"</t>
  </si>
  <si>
    <t xml:space="preserve">"radit-se-001"</t>
  </si>
  <si>
    <t xml:space="preserve">ADDR-&gt;ARG1/15,ARG2/1</t>
  </si>
  <si>
    <t xml:space="preserve">?PAT: o+6; ↓c</t>
  </si>
  <si>
    <t xml:space="preserve">ACT-&gt;ARG0/7,ARG1/53,ARG2/1</t>
  </si>
  <si>
    <t xml:space="preserve">ADDR-&gt;ARG0/56,ARG1/18,ARG2/1</t>
  </si>
  <si>
    <t xml:space="preserve">PAT-&gt;ARG2/66</t>
  </si>
  <si>
    <t xml:space="preserve">"radovat-se-001"</t>
  </si>
  <si>
    <t xml:space="preserve">ACT-&gt;ARG0/39,ARG1/3,ARG2/1</t>
  </si>
  <si>
    <t xml:space="preserve">"ranit-001"</t>
  </si>
  <si>
    <t xml:space="preserve">ACT-&gt;ARG0/27,ARG2/76</t>
  </si>
  <si>
    <t xml:space="preserve">"ranit-002"</t>
  </si>
  <si>
    <t xml:space="preserve">"ratifikovat-001"</t>
  </si>
  <si>
    <t xml:space="preserve">"razit-001"</t>
  </si>
  <si>
    <t xml:space="preserve">"razit-002"</t>
  </si>
  <si>
    <t xml:space="preserve">"razítkovat-001"</t>
  </si>
  <si>
    <t xml:space="preserve">"reagovat-001"</t>
  </si>
  <si>
    <t xml:space="preserve">ACT-&gt;ARG0/2856,ARG1/141,ARG2/1</t>
  </si>
  <si>
    <t xml:space="preserve">PAT-&gt;ARG1/829,ARG2/2</t>
  </si>
  <si>
    <t xml:space="preserve">"reagovat-002"</t>
  </si>
  <si>
    <t xml:space="preserve">EFF: .s; ↓c; ↓že</t>
  </si>
  <si>
    <t xml:space="preserve">"realizovat-001"</t>
  </si>
  <si>
    <t xml:space="preserve">ACT-&gt;ARG0/260,ARG1/1</t>
  </si>
  <si>
    <t xml:space="preserve">PAT-&gt;ARG0/2,ARG1/268</t>
  </si>
  <si>
    <t xml:space="preserve">PAT-&gt;ARG1/400</t>
  </si>
  <si>
    <t xml:space="preserve">"realizovat-002"</t>
  </si>
  <si>
    <t xml:space="preserve">ACT-&gt;ARG0/974,ARG1/8,ARG3/1</t>
  </si>
  <si>
    <t xml:space="preserve">ACT-&gt;ARG0/939,ARG1/4</t>
  </si>
  <si>
    <t xml:space="preserve">ACT-&gt;ARG0/939,ARG1/63</t>
  </si>
  <si>
    <t xml:space="preserve">PAT-&gt;ARG0/60,ARG1/1540,ARG2/2,ARG3/1</t>
  </si>
  <si>
    <t xml:space="preserve">PAT-&gt;ARG1/357</t>
  </si>
  <si>
    <t xml:space="preserve">PAT-&gt;ARG1/1568,ARG2/2</t>
  </si>
  <si>
    <t xml:space="preserve">PAT-&gt;ARG1/1627,ARG2/2</t>
  </si>
  <si>
    <t xml:space="preserve">"realizovat-se-001"</t>
  </si>
  <si>
    <t xml:space="preserve">"recenzovat-001"</t>
  </si>
  <si>
    <t xml:space="preserve">"recitovat-001"</t>
  </si>
  <si>
    <t xml:space="preserve">"recyklovat-001"</t>
  </si>
  <si>
    <t xml:space="preserve">"redefinovat-001"</t>
  </si>
  <si>
    <t xml:space="preserve">"redigovat-001"</t>
  </si>
  <si>
    <t xml:space="preserve">"redukovat-001"</t>
  </si>
  <si>
    <t xml:space="preserve">ACT-&gt;ARG0/268</t>
  </si>
  <si>
    <t xml:space="preserve">ORIG-&gt;ARG2/1,ARG3/40,ARG4/1</t>
  </si>
  <si>
    <t xml:space="preserve">EFF-&gt;ARG2/13,ARG4/72</t>
  </si>
  <si>
    <t xml:space="preserve">"referovat-001"</t>
  </si>
  <si>
    <t xml:space="preserve">ACT-&gt;ARG0/523,ARG1/1</t>
  </si>
  <si>
    <t xml:space="preserve">PAT-&gt;ARG1/584</t>
  </si>
  <si>
    <t xml:space="preserve">"referovat-002"</t>
  </si>
  <si>
    <t xml:space="preserve">"refinancovat-001"</t>
  </si>
  <si>
    <t xml:space="preserve">"reflektovat-001"</t>
  </si>
  <si>
    <t xml:space="preserve">"reformovat-001"</t>
  </si>
  <si>
    <t xml:space="preserve">"regenerovat-001"</t>
  </si>
  <si>
    <t xml:space="preserve">"registrovat-001"</t>
  </si>
  <si>
    <t xml:space="preserve">PAT: 4; ↓zda; ↓že; ↓c</t>
  </si>
  <si>
    <t xml:space="preserve">"registrovat-002"</t>
  </si>
  <si>
    <t xml:space="preserve">PAT-&gt;ARG1/97,ARG3/2</t>
  </si>
  <si>
    <t xml:space="preserve">PAT-&gt;ARG1/103,ARG2/1,ARG3/2</t>
  </si>
  <si>
    <t xml:space="preserve">"regulovat-001"</t>
  </si>
  <si>
    <t xml:space="preserve">ACT-&gt;ARG0/116,ARG1/2</t>
  </si>
  <si>
    <t xml:space="preserve">"rehabilitovat-001"</t>
  </si>
  <si>
    <t xml:space="preserve">"reinvestovat-001"</t>
  </si>
  <si>
    <t xml:space="preserve">"rekapitalizovat-001"</t>
  </si>
  <si>
    <t xml:space="preserve">"reklamovat-001"</t>
  </si>
  <si>
    <t xml:space="preserve">"rekonstruovat-001"</t>
  </si>
  <si>
    <t xml:space="preserve">ACT-&gt;ARG0/142,ARG1/5</t>
  </si>
  <si>
    <t xml:space="preserve">PAT-&gt;ARG1/323,ARG2/2,ARG3/2</t>
  </si>
  <si>
    <t xml:space="preserve">"rekonstruovat-002"</t>
  </si>
  <si>
    <t xml:space="preserve">"rekreovat-se-001"</t>
  </si>
  <si>
    <t xml:space="preserve">"rekrutovat-001"</t>
  </si>
  <si>
    <t xml:space="preserve">"rekrutovat-se-001"</t>
  </si>
  <si>
    <t xml:space="preserve">"rekvalifikovat-se-001"</t>
  </si>
  <si>
    <t xml:space="preserve">"relativizovat-001"</t>
  </si>
  <si>
    <t xml:space="preserve">"relaxovat-001"</t>
  </si>
  <si>
    <t xml:space="preserve">"relaxovat-se-001"</t>
  </si>
  <si>
    <t xml:space="preserve">"remizovat-001"</t>
  </si>
  <si>
    <t xml:space="preserve">"remízovat-001"</t>
  </si>
  <si>
    <t xml:space="preserve">"renovovat-001"</t>
  </si>
  <si>
    <t xml:space="preserve">"reorganizovat-001"</t>
  </si>
  <si>
    <t xml:space="preserve">"repatriovat-001"</t>
  </si>
  <si>
    <t xml:space="preserve">"reprezentovat-001"</t>
  </si>
  <si>
    <t xml:space="preserve">"reprodukovat-001"</t>
  </si>
  <si>
    <t xml:space="preserve">"reprodukovat-002"</t>
  </si>
  <si>
    <t xml:space="preserve">"reprodukovat-003"</t>
  </si>
  <si>
    <t xml:space="preserve">"reprodukovat-se-001"</t>
  </si>
  <si>
    <t xml:space="preserve">"reptat-001"</t>
  </si>
  <si>
    <t xml:space="preserve">"respektovat-001"</t>
  </si>
  <si>
    <t xml:space="preserve">ACT-&gt;ARG0/47,ARG1/2</t>
  </si>
  <si>
    <t xml:space="preserve">"restaurovat-001"</t>
  </si>
  <si>
    <t xml:space="preserve">"restituovat-001"</t>
  </si>
  <si>
    <t xml:space="preserve">"restrukturalizovat-001"</t>
  </si>
  <si>
    <t xml:space="preserve">PAT-&gt;ARG1/32,ARG3/2</t>
  </si>
  <si>
    <t xml:space="preserve">"restrukturalizovat-se-001"</t>
  </si>
  <si>
    <t xml:space="preserve">ACT-&gt;ARG0/9,ARG1/5</t>
  </si>
  <si>
    <t xml:space="preserve">"restrukturovat-001"</t>
  </si>
  <si>
    <t xml:space="preserve">PAT-&gt;ARG0/9,ARG1/33,ARG3/2</t>
  </si>
  <si>
    <t xml:space="preserve">"retardovat-001"</t>
  </si>
  <si>
    <t xml:space="preserve">"revalvovat-001"</t>
  </si>
  <si>
    <t xml:space="preserve">"revalvovat-002"</t>
  </si>
  <si>
    <t xml:space="preserve">"revidovat-001"</t>
  </si>
  <si>
    <t xml:space="preserve">ACT-&gt;ARG0/226</t>
  </si>
  <si>
    <t xml:space="preserve">PAT-&gt;ARG1/428</t>
  </si>
  <si>
    <t xml:space="preserve">"revokovat-001"</t>
  </si>
  <si>
    <t xml:space="preserve">"rezavět-001"</t>
  </si>
  <si>
    <t xml:space="preserve">"rezervovat-001"</t>
  </si>
  <si>
    <t xml:space="preserve">ACT-&gt;ARG0/90,ARG1/6</t>
  </si>
  <si>
    <t xml:space="preserve">"rezignovat-001"</t>
  </si>
  <si>
    <t xml:space="preserve">PAT: na+4; z+2</t>
  </si>
  <si>
    <t xml:space="preserve">"rezivět-001"</t>
  </si>
  <si>
    <t xml:space="preserve">"rezonovat-001"</t>
  </si>
  <si>
    <t xml:space="preserve">"rezonovat-002"</t>
  </si>
  <si>
    <t xml:space="preserve">"rezultovat-001"</t>
  </si>
  <si>
    <t xml:space="preserve">"režírovat-001"</t>
  </si>
  <si>
    <t xml:space="preserve">"riffovat-001"</t>
  </si>
  <si>
    <t xml:space="preserve">"risknout-001"</t>
  </si>
  <si>
    <t xml:space="preserve">"riskovat-001"</t>
  </si>
  <si>
    <t xml:space="preserve">?PAT: 4; ↓že</t>
  </si>
  <si>
    <t xml:space="preserve">"rmoutit-001"</t>
  </si>
  <si>
    <t xml:space="preserve">"rodit-001"</t>
  </si>
  <si>
    <t xml:space="preserve">"rodit-002"</t>
  </si>
  <si>
    <t xml:space="preserve">"rodit-se-001"</t>
  </si>
  <si>
    <t xml:space="preserve">ACT-&gt;ARG0/1,ARG1/420</t>
  </si>
  <si>
    <t xml:space="preserve">"rodit-se-002"</t>
  </si>
  <si>
    <t xml:space="preserve">"rodit-se-003"</t>
  </si>
  <si>
    <t xml:space="preserve">"rojit-se-001"</t>
  </si>
  <si>
    <t xml:space="preserve">"rojit-se-002"</t>
  </si>
  <si>
    <t xml:space="preserve">MEANS: 7</t>
  </si>
  <si>
    <t xml:space="preserve">"rokovat-001"</t>
  </si>
  <si>
    <t xml:space="preserve">"rotovat-001"</t>
  </si>
  <si>
    <t xml:space="preserve">"rovnat-001"</t>
  </si>
  <si>
    <t xml:space="preserve">"rovnat-se-001"</t>
  </si>
  <si>
    <t xml:space="preserve">PAT-&gt;ARG2/61</t>
  </si>
  <si>
    <t xml:space="preserve">"rovnat-se-002"</t>
  </si>
  <si>
    <t xml:space="preserve">ACT-&gt;ARG0/4,ARG1/3164,ARG2/296</t>
  </si>
  <si>
    <t xml:space="preserve">PAT-&gt;ARG1/169,ARG2/3494</t>
  </si>
  <si>
    <t xml:space="preserve">"rovnat-se-003"</t>
  </si>
  <si>
    <t xml:space="preserve">"rozbalit-001"</t>
  </si>
  <si>
    <t xml:space="preserve">"rozbalovat-001"</t>
  </si>
  <si>
    <t xml:space="preserve">"rozbalovat-se-001"</t>
  </si>
  <si>
    <t xml:space="preserve">"rozbourat-001"</t>
  </si>
  <si>
    <t xml:space="preserve">"rozbouřit-001"</t>
  </si>
  <si>
    <t xml:space="preserve">"rozbouřit-se-001"</t>
  </si>
  <si>
    <t xml:space="preserve">"rozbořit-001"</t>
  </si>
  <si>
    <t xml:space="preserve">"rozbrečet-se-001"</t>
  </si>
  <si>
    <t xml:space="preserve">"rozbušit-se-001"</t>
  </si>
  <si>
    <t xml:space="preserve">"rozbíhat-001"</t>
  </si>
  <si>
    <t xml:space="preserve">"rozbíhat-se-001"</t>
  </si>
  <si>
    <t xml:space="preserve">"rozbíjet-001"</t>
  </si>
  <si>
    <t xml:space="preserve">ACT-&gt;ARG0/123,ARG2/6</t>
  </si>
  <si>
    <t xml:space="preserve">ACT-&gt;ARG0/122,ARG2/6</t>
  </si>
  <si>
    <t xml:space="preserve">PAT-&gt;ARG1/258</t>
  </si>
  <si>
    <t xml:space="preserve">EFF-&gt;ARG1/179,ARG2/2,ARG3/1</t>
  </si>
  <si>
    <t xml:space="preserve">EFF-&gt;ARG1/178,ARG2/2,ARG3/1</t>
  </si>
  <si>
    <t xml:space="preserve">"rozbít-001"</t>
  </si>
  <si>
    <t xml:space="preserve">"rozbít-002"</t>
  </si>
  <si>
    <t xml:space="preserve">"rozbít-se-001"</t>
  </si>
  <si>
    <t xml:space="preserve">ACT-&gt;ARG1/38</t>
  </si>
  <si>
    <t xml:space="preserve">"rozběhnout-001"</t>
  </si>
  <si>
    <t xml:space="preserve">"rozběhnout-se-001"</t>
  </si>
  <si>
    <t xml:space="preserve">ACT-&gt;ARG0/3,ARG1/280</t>
  </si>
  <si>
    <t xml:space="preserve">"rozběhnout-se-002"</t>
  </si>
  <si>
    <t xml:space="preserve">"rozchodit-001"</t>
  </si>
  <si>
    <t xml:space="preserve">"rozchvátit-001"</t>
  </si>
  <si>
    <t xml:space="preserve">"rozcházet-se-001"</t>
  </si>
  <si>
    <t xml:space="preserve">ACT-&gt;ARG0/26,ARG1/18</t>
  </si>
  <si>
    <t xml:space="preserve">ACT-&gt;ARG0/329,ARG1/18</t>
  </si>
  <si>
    <t xml:space="preserve">PAT-&gt;ARG1/2,ARG2/6</t>
  </si>
  <si>
    <t xml:space="preserve">PAT-&gt;ARG0/1,ARG1/232,ARG2/14</t>
  </si>
  <si>
    <t xml:space="preserve">ADDR-&gt;ARG0/5,ARG1/1,ARG2/5</t>
  </si>
  <si>
    <t xml:space="preserve">ADDR-&gt;ARG1/50,ARG2/58</t>
  </si>
  <si>
    <t xml:space="preserve">"rozcházet-se-002"</t>
  </si>
  <si>
    <t xml:space="preserve">ACT-&gt;ARG0/16,ARG1/55</t>
  </si>
  <si>
    <t xml:space="preserve">PAT-&gt;ARG1/15,ARG2/13,ARG3/1</t>
  </si>
  <si>
    <t xml:space="preserve">"rozcházet-se-003"</t>
  </si>
  <si>
    <t xml:space="preserve">"rozcházet-se-004"</t>
  </si>
  <si>
    <t xml:space="preserve">"rozcupovat-001"</t>
  </si>
  <si>
    <t xml:space="preserve">"rozcvičovat-001"</t>
  </si>
  <si>
    <t xml:space="preserve">"rozcvičovat-se-001"</t>
  </si>
  <si>
    <t xml:space="preserve">"rozdat-001"</t>
  </si>
  <si>
    <t xml:space="preserve">ADDR: 3; mezi+4</t>
  </si>
  <si>
    <t xml:space="preserve">"rozdat-002"</t>
  </si>
  <si>
    <t xml:space="preserve">ACT-&gt;ARG0/475,ARG1/1</t>
  </si>
  <si>
    <t xml:space="preserve">PAT-&gt;ARG1/781,ARG2/2</t>
  </si>
  <si>
    <t xml:space="preserve">ADDR-&gt;ARG1/7,ARG2/465,ARG4/2</t>
  </si>
  <si>
    <t xml:space="preserve">"rozdat-si-001"</t>
  </si>
  <si>
    <t xml:space="preserve">"rozdmýchat-001"</t>
  </si>
  <si>
    <t xml:space="preserve">ACT-&gt;ARG0/22,ARG2/4</t>
  </si>
  <si>
    <t xml:space="preserve">"rozdrobit-001"</t>
  </si>
  <si>
    <t xml:space="preserve">"rozdrobit-002"</t>
  </si>
  <si>
    <t xml:space="preserve">"rozdrolit-se-001"</t>
  </si>
  <si>
    <t xml:space="preserve">"rozdrtit-001"</t>
  </si>
  <si>
    <t xml:space="preserve">"rozdrtit-002"</t>
  </si>
  <si>
    <t xml:space="preserve">"rozdvojit-001"</t>
  </si>
  <si>
    <t xml:space="preserve">"rozdávat-001"</t>
  </si>
  <si>
    <t xml:space="preserve">ACT-&gt;ARG0/286</t>
  </si>
  <si>
    <t xml:space="preserve">PAT-&gt;ARG1/412,ARG2/1</t>
  </si>
  <si>
    <t xml:space="preserve">ADDR-&gt;ARG1/5,ARG2/322</t>
  </si>
  <si>
    <t xml:space="preserve">"rozdýchat-001"</t>
  </si>
  <si>
    <t xml:space="preserve">"rozdýchat-002"</t>
  </si>
  <si>
    <t xml:space="preserve">"rozdýchávat-001"</t>
  </si>
  <si>
    <t xml:space="preserve">"rozdělat-001"</t>
  </si>
  <si>
    <t xml:space="preserve">"rozdělit-001"</t>
  </si>
  <si>
    <t xml:space="preserve">?ADDR: mezi+4</t>
  </si>
  <si>
    <t xml:space="preserve">"rozdělit-002"</t>
  </si>
  <si>
    <t xml:space="preserve">ACT-&gt;ARG0/31,ARG1/1</t>
  </si>
  <si>
    <t xml:space="preserve">?ADDR: 3; mezi+4; mezi+7,na+4; do+2</t>
  </si>
  <si>
    <t xml:space="preserve">ADDR-&gt;ARG1/1,ARG2/20,ARG3/6,ARG4/1</t>
  </si>
  <si>
    <t xml:space="preserve">"rozdělit-003"</t>
  </si>
  <si>
    <t xml:space="preserve">ACT-&gt;ARG0/41,ARG1/1</t>
  </si>
  <si>
    <t xml:space="preserve">ACT-&gt;ARG0/39,ARG1/6</t>
  </si>
  <si>
    <t xml:space="preserve">PAT-&gt;ARG1/87,ARG2/2</t>
  </si>
  <si>
    <t xml:space="preserve">EFF-&gt;ARG1/2,ARG2/28</t>
  </si>
  <si>
    <t xml:space="preserve">EFF-&gt;ARG1/4,ARG2/33</t>
  </si>
  <si>
    <t xml:space="preserve">"rozdělit-se-001"</t>
  </si>
  <si>
    <t xml:space="preserve">"rozdělit-se-002"</t>
  </si>
  <si>
    <t xml:space="preserve">ACT-&gt;ARG0/8,ARG1/13</t>
  </si>
  <si>
    <t xml:space="preserve">PAT: na+4; do+2; v+4</t>
  </si>
  <si>
    <t xml:space="preserve">"rozdělit-se-003"</t>
  </si>
  <si>
    <t xml:space="preserve">"rozdělovat-001"</t>
  </si>
  <si>
    <t xml:space="preserve">ADDR-&gt;ARG1/1,ARG2/31</t>
  </si>
  <si>
    <t xml:space="preserve">"rozdělovat-002"</t>
  </si>
  <si>
    <t xml:space="preserve">ACT-&gt;ARG0/13,ARG1/3</t>
  </si>
  <si>
    <t xml:space="preserve">"--rozdělovat-se-001"</t>
  </si>
  <si>
    <t xml:space="preserve">"rozdělávat-001"</t>
  </si>
  <si>
    <t xml:space="preserve">"rozdělávat-002"</t>
  </si>
  <si>
    <t xml:space="preserve">"rozebrat-001"</t>
  </si>
  <si>
    <t xml:space="preserve">"rozebrat-002"</t>
  </si>
  <si>
    <t xml:space="preserve">"rozebrat-003"</t>
  </si>
  <si>
    <t xml:space="preserve">"rozebírat-001"</t>
  </si>
  <si>
    <t xml:space="preserve">"rozebírat-002"</t>
  </si>
  <si>
    <t xml:space="preserve">PAT-&gt;ARG1/129</t>
  </si>
  <si>
    <t xml:space="preserve">EFF-&gt;ARG1/2,ARG2/20,ARG3/1</t>
  </si>
  <si>
    <t xml:space="preserve">"rozeběhnout-se-001"</t>
  </si>
  <si>
    <t xml:space="preserve">"rozechvívat-001"</t>
  </si>
  <si>
    <t xml:space="preserve">"rozechvět-001"</t>
  </si>
  <si>
    <t xml:space="preserve">"rozechvět-002"</t>
  </si>
  <si>
    <t xml:space="preserve">"rozednít-se-001"</t>
  </si>
  <si>
    <t xml:space="preserve">"rozednívat-se-001"</t>
  </si>
  <si>
    <t xml:space="preserve">"rozednívat-se-002"</t>
  </si>
  <si>
    <t xml:space="preserve">"rozehnat-001"</t>
  </si>
  <si>
    <t xml:space="preserve">"rozehrát-001"</t>
  </si>
  <si>
    <t xml:space="preserve">"rozehrát-002"</t>
  </si>
  <si>
    <t xml:space="preserve">"rozehrát-se-001"</t>
  </si>
  <si>
    <t xml:space="preserve">"rozehrávat-001"</t>
  </si>
  <si>
    <t xml:space="preserve">"rozehřát-001"</t>
  </si>
  <si>
    <t xml:space="preserve">"rozehřát-002"</t>
  </si>
  <si>
    <t xml:space="preserve">"rozejít-se-001"</t>
  </si>
  <si>
    <t xml:space="preserve">"rozejít-se-002"</t>
  </si>
  <si>
    <t xml:space="preserve">"rozemlít-001"</t>
  </si>
  <si>
    <t xml:space="preserve">"rozepisovat-001"</t>
  </si>
  <si>
    <t xml:space="preserve">"rozervat-001"</t>
  </si>
  <si>
    <t xml:space="preserve">"rozesadit-001"</t>
  </si>
  <si>
    <t xml:space="preserve">"rozesadit-002"</t>
  </si>
  <si>
    <t xml:space="preserve">"rozeslat-001"</t>
  </si>
  <si>
    <t xml:space="preserve">ACT-&gt;ARG0/208,ARG2/1</t>
  </si>
  <si>
    <t xml:space="preserve">PAT-&gt;ARG1/293</t>
  </si>
  <si>
    <t xml:space="preserve">ADDR-&gt;ARG1/1,ARG2/100</t>
  </si>
  <si>
    <t xml:space="preserve">"rozeslat-002"</t>
  </si>
  <si>
    <t xml:space="preserve">"rozesmutnit-001"</t>
  </si>
  <si>
    <t xml:space="preserve">"rozesmát-001"</t>
  </si>
  <si>
    <t xml:space="preserve">PAT-&gt;ARG1/33,ARG2/2</t>
  </si>
  <si>
    <t xml:space="preserve">"rozesmávat-001"</t>
  </si>
  <si>
    <t xml:space="preserve">"rozesmívat-001"</t>
  </si>
  <si>
    <t xml:space="preserve">"rozestavit-001"</t>
  </si>
  <si>
    <t xml:space="preserve">"rozestavit-002"</t>
  </si>
  <si>
    <t xml:space="preserve">"rozestavět-001"</t>
  </si>
  <si>
    <t xml:space="preserve">"rozestavět-002"</t>
  </si>
  <si>
    <t xml:space="preserve">"rozestavět-003"</t>
  </si>
  <si>
    <t xml:space="preserve">"rozestoupit-se-001"</t>
  </si>
  <si>
    <t xml:space="preserve">"rozesílat-001"</t>
  </si>
  <si>
    <t xml:space="preserve">ADDR-&gt;ARG2/68</t>
  </si>
  <si>
    <t xml:space="preserve">"rozesílat-002"</t>
  </si>
  <si>
    <t xml:space="preserve">"rozetnout-001"</t>
  </si>
  <si>
    <t xml:space="preserve">"rozetnout-002"</t>
  </si>
  <si>
    <t xml:space="preserve">"rozevírat-001"</t>
  </si>
  <si>
    <t xml:space="preserve">"rozevřít-001"</t>
  </si>
  <si>
    <t xml:space="preserve">"rozevřít-se-001"</t>
  </si>
  <si>
    <t xml:space="preserve">"rozeznat-001"</t>
  </si>
  <si>
    <t xml:space="preserve">"rozeznat-002"</t>
  </si>
  <si>
    <t xml:space="preserve">"rozeznávat-001"</t>
  </si>
  <si>
    <t xml:space="preserve">"rozeznávat-002"</t>
  </si>
  <si>
    <t xml:space="preserve">"rozeznít-001"</t>
  </si>
  <si>
    <t xml:space="preserve">"rozeznít-se-001"</t>
  </si>
  <si>
    <t xml:space="preserve">"rozeznívat-001"</t>
  </si>
  <si>
    <t xml:space="preserve">"rozeznívat-se-001"</t>
  </si>
  <si>
    <t xml:space="preserve">"rozezvučet-001"</t>
  </si>
  <si>
    <t xml:space="preserve">"rozežrat-001"</t>
  </si>
  <si>
    <t xml:space="preserve">"rozfázovat-001"</t>
  </si>
  <si>
    <t xml:space="preserve">TFHL: *</t>
  </si>
  <si>
    <t xml:space="preserve">"rozhazovat-001"</t>
  </si>
  <si>
    <t xml:space="preserve">"rozhazovat-002"</t>
  </si>
  <si>
    <t xml:space="preserve">"rozhazovat-003"</t>
  </si>
  <si>
    <t xml:space="preserve">"rozhlašovat-001"</t>
  </si>
  <si>
    <t xml:space="preserve">"rozhlédnout-se-001"</t>
  </si>
  <si>
    <t xml:space="preserve">"rozhlédnout-se-002"</t>
  </si>
  <si>
    <t xml:space="preserve">"rozhlížet-se-001"</t>
  </si>
  <si>
    <t xml:space="preserve">"rozhlížet-se-002"</t>
  </si>
  <si>
    <t xml:space="preserve">"rozhněvat-001"</t>
  </si>
  <si>
    <t xml:space="preserve">"rozhněvat-se-001"</t>
  </si>
  <si>
    <t xml:space="preserve">"rozhodit-001"</t>
  </si>
  <si>
    <t xml:space="preserve">PAT-&gt;ARG0/6,ARG1/58</t>
  </si>
  <si>
    <t xml:space="preserve">"rozhodit-002"</t>
  </si>
  <si>
    <t xml:space="preserve">"rozhodit-003"</t>
  </si>
  <si>
    <t xml:space="preserve">"rozhodnout-001"</t>
  </si>
  <si>
    <t xml:space="preserve">?ORIG: mezi+7</t>
  </si>
  <si>
    <t xml:space="preserve">"rozhodnout-002"</t>
  </si>
  <si>
    <t xml:space="preserve">ACT: 1; ↓že; ↓jak-2; ↓zda; ↓c</t>
  </si>
  <si>
    <t xml:space="preserve">PAT: 4; o+6; ↓že; ↓zda; ↓ať; ↓aby; ↓jestli; .s; .f; ↓c; tak-3</t>
  </si>
  <si>
    <t xml:space="preserve">ACT-&gt;ARG0/322,ARG1/3102,ARG2/296</t>
  </si>
  <si>
    <t xml:space="preserve">PAT-&gt;ARG1/458</t>
  </si>
  <si>
    <t xml:space="preserve">"rozhodnout-003"</t>
  </si>
  <si>
    <t xml:space="preserve">ACT-&gt;ARG0/196,ARG2/1</t>
  </si>
  <si>
    <t xml:space="preserve">"rozhodnout-004"</t>
  </si>
  <si>
    <t xml:space="preserve">EFF-&gt;ARG1/340</t>
  </si>
  <si>
    <t xml:space="preserve">EFF-&gt;ARG1/1,ARG3/2</t>
  </si>
  <si>
    <t xml:space="preserve">"rozhodnout-se-001"</t>
  </si>
  <si>
    <t xml:space="preserve">ACT-&gt;ARG0/255,ARG1/77</t>
  </si>
  <si>
    <t xml:space="preserve">ACT-&gt;ARG0/108</t>
  </si>
  <si>
    <t xml:space="preserve">PAT-&gt;ARG1/266</t>
  </si>
  <si>
    <t xml:space="preserve">PAT-&gt;ARG1/133,ARG3/2</t>
  </si>
  <si>
    <t xml:space="preserve">?ORIG: z+2; mezi+7</t>
  </si>
  <si>
    <t xml:space="preserve">ORIG-&gt;ARG1/5</t>
  </si>
  <si>
    <t xml:space="preserve">ORIG-&gt;ARG1/1,ARG2/3</t>
  </si>
  <si>
    <t xml:space="preserve">"rozhodnout-se-002"</t>
  </si>
  <si>
    <t xml:space="preserve">ACT-&gt;ARG0/759,ARG1/2</t>
  </si>
  <si>
    <t xml:space="preserve">ACT-&gt;ARG0/269</t>
  </si>
  <si>
    <t xml:space="preserve">PAT: k+3; o+6; .f; ↓že; ↓zda; ↓c; ↓jestli; .s</t>
  </si>
  <si>
    <t xml:space="preserve">PAT-&gt;ARG1/763,ARG2/7</t>
  </si>
  <si>
    <t xml:space="preserve">PAT-&gt;ARG1/361</t>
  </si>
  <si>
    <t xml:space="preserve">"rozhodnout-se-003"</t>
  </si>
  <si>
    <t xml:space="preserve">BEN-&gt;ARG1/14</t>
  </si>
  <si>
    <t xml:space="preserve">MANN-&gt;ARG1/175</t>
  </si>
  <si>
    <t xml:space="preserve">"rozhodovat-001"</t>
  </si>
  <si>
    <t xml:space="preserve">"rozhodovat-002"</t>
  </si>
  <si>
    <t xml:space="preserve">ACT: 1; ↓že; ↓jak-2; ↓zda; ↓jestli; ↓c</t>
  </si>
  <si>
    <t xml:space="preserve">PAT: 4; o+6; ↓že; ↓zda; ↓ať; ↓aby; ↓jak-2; .f; ↓c; ↓jestli</t>
  </si>
  <si>
    <t xml:space="preserve">ACT-&gt;ARG0/487,ARG1/1</t>
  </si>
  <si>
    <t xml:space="preserve">PAT-&gt;ARG1/544</t>
  </si>
  <si>
    <t xml:space="preserve">"rozhodovat-003"</t>
  </si>
  <si>
    <t xml:space="preserve">"rozhodovat-004"</t>
  </si>
  <si>
    <t xml:space="preserve">"rozhodovat-se-001"</t>
  </si>
  <si>
    <t xml:space="preserve">"rozhodovat-se-002"</t>
  </si>
  <si>
    <t xml:space="preserve">"rozhorlit-se-001"</t>
  </si>
  <si>
    <t xml:space="preserve">"rozhostit-se-001"</t>
  </si>
  <si>
    <t xml:space="preserve">ACT-&gt;ARG0/39,ARG1/403</t>
  </si>
  <si>
    <t xml:space="preserve">"rozhoupat-001"</t>
  </si>
  <si>
    <t xml:space="preserve">"rozhoupat-se-001"</t>
  </si>
  <si>
    <t xml:space="preserve">"rozhoupat-se-002"</t>
  </si>
  <si>
    <t xml:space="preserve">"rozhoupat-se-003"</t>
  </si>
  <si>
    <t xml:space="preserve">"rozhoupat-se-004"</t>
  </si>
  <si>
    <t xml:space="preserve">"rozhovořit-se-001"</t>
  </si>
  <si>
    <t xml:space="preserve">"rozhořet-se-001"</t>
  </si>
  <si>
    <t xml:space="preserve">"rozhořčit-001"</t>
  </si>
  <si>
    <t xml:space="preserve">"rozhořčovat-se-001"</t>
  </si>
  <si>
    <t xml:space="preserve">"rozhádat-se-001"</t>
  </si>
  <si>
    <t xml:space="preserve">"rozházet-001"</t>
  </si>
  <si>
    <t xml:space="preserve">"rozházet-002"</t>
  </si>
  <si>
    <t xml:space="preserve">"rozházet-003"</t>
  </si>
  <si>
    <t xml:space="preserve">"rozházet-si-001"</t>
  </si>
  <si>
    <t xml:space="preserve">"rozhýbat-001"</t>
  </si>
  <si>
    <t xml:space="preserve">"rozhýbat-se-001"</t>
  </si>
  <si>
    <t xml:space="preserve">"rozjet-001"</t>
  </si>
  <si>
    <t xml:space="preserve">ACT-&gt;ARG0/197,ARG1/142,ARG2/3</t>
  </si>
  <si>
    <t xml:space="preserve">PAT-&gt;ARG1/365</t>
  </si>
  <si>
    <t xml:space="preserve">"rozjet-002"</t>
  </si>
  <si>
    <t xml:space="preserve">"rozjet-se-001"</t>
  </si>
  <si>
    <t xml:space="preserve">"rozjet-se-002"</t>
  </si>
  <si>
    <t xml:space="preserve">"rozjet-se-003"</t>
  </si>
  <si>
    <t xml:space="preserve">"rozjásat-001"</t>
  </si>
  <si>
    <t xml:space="preserve">"rozjásávat-001"</t>
  </si>
  <si>
    <t xml:space="preserve">"rozjíždět-001"</t>
  </si>
  <si>
    <t xml:space="preserve">"rozjíždět-se-001"</t>
  </si>
  <si>
    <t xml:space="preserve">"rozjíždět-se-002"</t>
  </si>
  <si>
    <t xml:space="preserve">"rozkazovat-001"</t>
  </si>
  <si>
    <t xml:space="preserve">PAT: 4; .f,.c</t>
  </si>
  <si>
    <t xml:space="preserve">"rozklepat-se-001"</t>
  </si>
  <si>
    <t xml:space="preserve">"rozkládat-001"</t>
  </si>
  <si>
    <t xml:space="preserve">PAT: o+6; ↓že; ↓zda</t>
  </si>
  <si>
    <t xml:space="preserve">"rozkládat-002"</t>
  </si>
  <si>
    <t xml:space="preserve">"rozkládat-se-001"</t>
  </si>
  <si>
    <t xml:space="preserve">"rozkládat-se-002"</t>
  </si>
  <si>
    <t xml:space="preserve">"rozkládat-se-003"</t>
  </si>
  <si>
    <t xml:space="preserve">"rozkládat-se-004"</t>
  </si>
  <si>
    <t xml:space="preserve">"rozkmitat-001"</t>
  </si>
  <si>
    <t xml:space="preserve">"rozkmotřit-se-001"</t>
  </si>
  <si>
    <t xml:space="preserve">"rozkrajovat-001"</t>
  </si>
  <si>
    <t xml:space="preserve">"rozkramařit-001"</t>
  </si>
  <si>
    <t xml:space="preserve">"rozkrojovat-001"</t>
  </si>
  <si>
    <t xml:space="preserve">"rozkročit-se-001"</t>
  </si>
  <si>
    <t xml:space="preserve">"rozkrájet-001"</t>
  </si>
  <si>
    <t xml:space="preserve">"rozkrást-001"</t>
  </si>
  <si>
    <t xml:space="preserve">"rozkvést-001"</t>
  </si>
  <si>
    <t xml:space="preserve">"rozkvést-002"</t>
  </si>
  <si>
    <t xml:space="preserve">"rozkvétat-001"</t>
  </si>
  <si>
    <t xml:space="preserve">"rozkázat-001"</t>
  </si>
  <si>
    <t xml:space="preserve">"rozkřiknout-001"</t>
  </si>
  <si>
    <t xml:space="preserve">"rozkřiknout-se-001"</t>
  </si>
  <si>
    <t xml:space="preserve">"rozkřičet-001"</t>
  </si>
  <si>
    <t xml:space="preserve">"rozladit-001"</t>
  </si>
  <si>
    <t xml:space="preserve">"rozlehnout-se-001"</t>
  </si>
  <si>
    <t xml:space="preserve">"rozlepit-001"</t>
  </si>
  <si>
    <t xml:space="preserve">"rozležet-se-001"</t>
  </si>
  <si>
    <t xml:space="preserve">"rozlišit-001"</t>
  </si>
  <si>
    <t xml:space="preserve">"rozlišit-002"</t>
  </si>
  <si>
    <t xml:space="preserve">"rozlišovat-001"</t>
  </si>
  <si>
    <t xml:space="preserve">"rozlišovat-002"</t>
  </si>
  <si>
    <t xml:space="preserve">"rozloučit-001"</t>
  </si>
  <si>
    <t xml:space="preserve">"rozloučit-se-001"</t>
  </si>
  <si>
    <t xml:space="preserve">"rozložit-001"</t>
  </si>
  <si>
    <t xml:space="preserve">ACT-&gt;ARG0/4,ARGA/1</t>
  </si>
  <si>
    <t xml:space="preserve">"rozložit-002"</t>
  </si>
  <si>
    <t xml:space="preserve">"rozložit-003"</t>
  </si>
  <si>
    <t xml:space="preserve">PAT-&gt;ARG0/4,ARG1/66</t>
  </si>
  <si>
    <t xml:space="preserve">"rozložit-004"</t>
  </si>
  <si>
    <t xml:space="preserve">"rozložit-005"</t>
  </si>
  <si>
    <t xml:space="preserve">"rozložit-se-001"</t>
  </si>
  <si>
    <t xml:space="preserve">"rozložit-se-002"</t>
  </si>
  <si>
    <t xml:space="preserve">"rozlučovat-001"</t>
  </si>
  <si>
    <t xml:space="preserve">"rozluštit-001"</t>
  </si>
  <si>
    <t xml:space="preserve">PAT-&gt;ARG1/220,ARG3/1</t>
  </si>
  <si>
    <t xml:space="preserve">"rozlámat-001"</t>
  </si>
  <si>
    <t xml:space="preserve">"rozléhat-se-001"</t>
  </si>
  <si>
    <t xml:space="preserve">"rozlít-si-001"</t>
  </si>
  <si>
    <t xml:space="preserve">PAT: s+7; u+2</t>
  </si>
  <si>
    <t xml:space="preserve">"rozlítit-001"</t>
  </si>
  <si>
    <t xml:space="preserve">"rozmachovat-se-001"</t>
  </si>
  <si>
    <t xml:space="preserve">"rozmazlovat-001"</t>
  </si>
  <si>
    <t xml:space="preserve">"rozmazávat-001"</t>
  </si>
  <si>
    <t xml:space="preserve">"rozmačkat-001"</t>
  </si>
  <si>
    <t xml:space="preserve">"rozmetat-001"</t>
  </si>
  <si>
    <t xml:space="preserve">"rozmlouvat-001"</t>
  </si>
  <si>
    <t xml:space="preserve">"rozmlouvat-002"</t>
  </si>
  <si>
    <t xml:space="preserve">"rozmluvit-001"</t>
  </si>
  <si>
    <t xml:space="preserve">"rozmluvit-se-001"</t>
  </si>
  <si>
    <t xml:space="preserve">"rozmlátit-001"</t>
  </si>
  <si>
    <t xml:space="preserve">"rozmnožit-001"</t>
  </si>
  <si>
    <t xml:space="preserve">"rozmnožit-002"</t>
  </si>
  <si>
    <t xml:space="preserve">"rozmnožit-se-001"</t>
  </si>
  <si>
    <t xml:space="preserve">"rozmnožovat-001"</t>
  </si>
  <si>
    <t xml:space="preserve">"rozmoci-se-001"</t>
  </si>
  <si>
    <t xml:space="preserve">"rozmotat-001"</t>
  </si>
  <si>
    <t xml:space="preserve">"rozmrazovat-001"</t>
  </si>
  <si>
    <t xml:space="preserve">"rozmrznout-001"</t>
  </si>
  <si>
    <t xml:space="preserve">"rozmyslet-se-001"</t>
  </si>
  <si>
    <t xml:space="preserve">"rozmyslet-si-001"</t>
  </si>
  <si>
    <t xml:space="preserve">PAT: 4; ↓jestli; ↓zda; ↓c; ↓že; .f</t>
  </si>
  <si>
    <t xml:space="preserve">"rozmyslit-si-001"</t>
  </si>
  <si>
    <t xml:space="preserve">"rozmáchnout-se-001"</t>
  </si>
  <si>
    <t xml:space="preserve">"rozmáhat-se-001"</t>
  </si>
  <si>
    <t xml:space="preserve">"rozmíchat-001"</t>
  </si>
  <si>
    <t xml:space="preserve">"rozmístit-001"</t>
  </si>
  <si>
    <t xml:space="preserve">"rozmístit-002"</t>
  </si>
  <si>
    <t xml:space="preserve">"rozmístit-se-001"</t>
  </si>
  <si>
    <t xml:space="preserve">"rozmísťovat-001"</t>
  </si>
  <si>
    <t xml:space="preserve">"rozmísťovat-002"</t>
  </si>
  <si>
    <t xml:space="preserve">"rozmýšlet-001"</t>
  </si>
  <si>
    <t xml:space="preserve">"rozmýšlet-se-001"</t>
  </si>
  <si>
    <t xml:space="preserve">PAT: ↓že; ↓zda; ↓c; ↓jestli; .s</t>
  </si>
  <si>
    <t xml:space="preserve">"rozmýšlet-si-001"</t>
  </si>
  <si>
    <t xml:space="preserve">"rozmělňovat-001"</t>
  </si>
  <si>
    <t xml:space="preserve">"rozměnit-001"</t>
  </si>
  <si>
    <t xml:space="preserve">EFF: na+4; za+4</t>
  </si>
  <si>
    <t xml:space="preserve">"roznásobovat-001"</t>
  </si>
  <si>
    <t xml:space="preserve">"roznášet-001"</t>
  </si>
  <si>
    <t xml:space="preserve">"roznášet-002"</t>
  </si>
  <si>
    <t xml:space="preserve">"roznášet-003"</t>
  </si>
  <si>
    <t xml:space="preserve">"roznést-001"</t>
  </si>
  <si>
    <t xml:space="preserve">ACT-&gt;ARG0/181,ARG1/1</t>
  </si>
  <si>
    <t xml:space="preserve">PAT-&gt;ARG1/370</t>
  </si>
  <si>
    <t xml:space="preserve">"roznést-002"</t>
  </si>
  <si>
    <t xml:space="preserve">"roznést-003"</t>
  </si>
  <si>
    <t xml:space="preserve">DPHR: na-1[kopyto.P6]</t>
  </si>
  <si>
    <t xml:space="preserve">"roznítit-001"</t>
  </si>
  <si>
    <t xml:space="preserve">ACT-&gt;ARG0/594,ARG1/186,ARG2/6</t>
  </si>
  <si>
    <t xml:space="preserve">PAT-&gt;ARG1/722,ARG2/1</t>
  </si>
  <si>
    <t xml:space="preserve">"rozněcovat-001"</t>
  </si>
  <si>
    <t xml:space="preserve">"rozněžňovat-001"</t>
  </si>
  <si>
    <t xml:space="preserve">"rozohnit-se-001"</t>
  </si>
  <si>
    <t xml:space="preserve">"rozpadat-se-001"</t>
  </si>
  <si>
    <t xml:space="preserve">"rozpadat-se-002"</t>
  </si>
  <si>
    <t xml:space="preserve">"rozpadnout-se-001"</t>
  </si>
  <si>
    <t xml:space="preserve">"rozpadnout-se-002"</t>
  </si>
  <si>
    <t xml:space="preserve">"rozpakovat-se-001"</t>
  </si>
  <si>
    <t xml:space="preserve">ACT-&gt;ARG0/41,ARG1/13</t>
  </si>
  <si>
    <t xml:space="preserve">PAT-&gt;ARG1/40,ARG2/4</t>
  </si>
  <si>
    <t xml:space="preserve">"rozpalovat-001"</t>
  </si>
  <si>
    <t xml:space="preserve">"rozpalovat-002"</t>
  </si>
  <si>
    <t xml:space="preserve">"rozpažovat-001"</t>
  </si>
  <si>
    <t xml:space="preserve">"rozpitvávat-001"</t>
  </si>
  <si>
    <t xml:space="preserve">"rozplakat-001"</t>
  </si>
  <si>
    <t xml:space="preserve">"rozplakat-se-001"</t>
  </si>
  <si>
    <t xml:space="preserve">"rozplakávat-001"</t>
  </si>
  <si>
    <t xml:space="preserve">"rozplynout-se-001"</t>
  </si>
  <si>
    <t xml:space="preserve">ACT-&gt;ARG1/491,ARG2/1</t>
  </si>
  <si>
    <t xml:space="preserve">"rozplácnout-001"</t>
  </si>
  <si>
    <t xml:space="preserve">"rozplést-001"</t>
  </si>
  <si>
    <t xml:space="preserve">"rozplétat-001"</t>
  </si>
  <si>
    <t xml:space="preserve">PAT: </t>
  </si>
  <si>
    <t xml:space="preserve">"rozplývat-se-001"</t>
  </si>
  <si>
    <t xml:space="preserve">"rozplývat-se-002"</t>
  </si>
  <si>
    <t xml:space="preserve">"rozpojit-se-001"</t>
  </si>
  <si>
    <t xml:space="preserve">"rozpoltit-001"</t>
  </si>
  <si>
    <t xml:space="preserve">"rozpomínat-se-001"</t>
  </si>
  <si>
    <t xml:space="preserve">PAT: na+4; ↓že; ↓zda; ↓jestli; .s; ↓c</t>
  </si>
  <si>
    <t xml:space="preserve">"rozporcovat-001"</t>
  </si>
  <si>
    <t xml:space="preserve">"rozpoutat-001"</t>
  </si>
  <si>
    <t xml:space="preserve">"rozpoutat-se-001"</t>
  </si>
  <si>
    <t xml:space="preserve">"rozpoutávat-001"</t>
  </si>
  <si>
    <t xml:space="preserve">"rozpouštět-001"</t>
  </si>
  <si>
    <t xml:space="preserve">"rozpouštět-002"</t>
  </si>
  <si>
    <t xml:space="preserve">"rozpouštět-se-001"</t>
  </si>
  <si>
    <t xml:space="preserve">"rozpovídat-se-001"</t>
  </si>
  <si>
    <t xml:space="preserve">"rozpoznat-001"</t>
  </si>
  <si>
    <t xml:space="preserve">"rozpoznat-002"</t>
  </si>
  <si>
    <t xml:space="preserve">ACT-&gt;ARG0/402,ARG1/2</t>
  </si>
  <si>
    <t xml:space="preserve">PAT: 4; ↓že; ↓jak-2; ↓jestli; ↓zda; ↓c</t>
  </si>
  <si>
    <t xml:space="preserve">PAT-&gt;ARG1/497,ARG2/16,ARG3/1</t>
  </si>
  <si>
    <t xml:space="preserve">"rozpoznávat-001"</t>
  </si>
  <si>
    <t xml:space="preserve">"rozpoznávat-002"</t>
  </si>
  <si>
    <t xml:space="preserve">"rozpočíst-001"</t>
  </si>
  <si>
    <t xml:space="preserve">"rozpočíst-se-001"</t>
  </si>
  <si>
    <t xml:space="preserve">"rozpočítat-001"</t>
  </si>
  <si>
    <t xml:space="preserve">"rozpracovat-001"</t>
  </si>
  <si>
    <t xml:space="preserve">"rozpracovávat-001"</t>
  </si>
  <si>
    <t xml:space="preserve">"rozpraskat-001"</t>
  </si>
  <si>
    <t xml:space="preserve">"rozprchnout-se-001"</t>
  </si>
  <si>
    <t xml:space="preserve">"rozprchávat-se-001"</t>
  </si>
  <si>
    <t xml:space="preserve">"rozprodat-001"</t>
  </si>
  <si>
    <t xml:space="preserve">ACT-&gt;ARG0/547,ARG1/2,ARG2/1</t>
  </si>
  <si>
    <t xml:space="preserve">PAT-&gt;ARG0/1,ARG1/1015,ARG2/1</t>
  </si>
  <si>
    <t xml:space="preserve">"rozprodávat-001"</t>
  </si>
  <si>
    <t xml:space="preserve">"rozprostírat-001"</t>
  </si>
  <si>
    <t xml:space="preserve">"rozprostírat-se-001"</t>
  </si>
  <si>
    <t xml:space="preserve">"rozprostřít-001"</t>
  </si>
  <si>
    <t xml:space="preserve">"rozprostřít-002"</t>
  </si>
  <si>
    <t xml:space="preserve">"rozprostřít-003"</t>
  </si>
  <si>
    <t xml:space="preserve">"rozprostřít-004"</t>
  </si>
  <si>
    <t xml:space="preserve">"rozprostřít-se-001"</t>
  </si>
  <si>
    <t xml:space="preserve">"rozproudit-001"</t>
  </si>
  <si>
    <t xml:space="preserve">ACT-&gt;ARG0/5,ARG2/37</t>
  </si>
  <si>
    <t xml:space="preserve">"rozproudit-se-001"</t>
  </si>
  <si>
    <t xml:space="preserve">"rozprsknout-se-001"</t>
  </si>
  <si>
    <t xml:space="preserve">"rozprášit-001"</t>
  </si>
  <si>
    <t xml:space="preserve">"rozptylovat-001"</t>
  </si>
  <si>
    <t xml:space="preserve">"rozptylovat-se-001"</t>
  </si>
  <si>
    <t xml:space="preserve">"rozptýlit-001"</t>
  </si>
  <si>
    <t xml:space="preserve">"rozptýlit-002"</t>
  </si>
  <si>
    <t xml:space="preserve">"rozptýlit-se-001"</t>
  </si>
  <si>
    <t xml:space="preserve">"rozptýlit-se-002"</t>
  </si>
  <si>
    <t xml:space="preserve">"rozptýlit-se-003"</t>
  </si>
  <si>
    <t xml:space="preserve">"rozpustit-001"</t>
  </si>
  <si>
    <t xml:space="preserve">"rozpustit-002"</t>
  </si>
  <si>
    <t xml:space="preserve">"rozpálit-001"</t>
  </si>
  <si>
    <t xml:space="preserve">"rozpíjet-se-001"</t>
  </si>
  <si>
    <t xml:space="preserve">"rozpínat-se-001"</t>
  </si>
  <si>
    <t xml:space="preserve">ACT-&gt;ARG0/2,ARG1/52</t>
  </si>
  <si>
    <t xml:space="preserve">"rozpůjčovat-001"</t>
  </si>
  <si>
    <t xml:space="preserve">"rozpůlit-001"</t>
  </si>
  <si>
    <t xml:space="preserve">"rozrazit-001"</t>
  </si>
  <si>
    <t xml:space="preserve">"rozrušit-001"</t>
  </si>
  <si>
    <t xml:space="preserve">"rozrušit-002"</t>
  </si>
  <si>
    <t xml:space="preserve">PAT-&gt;ARG0/2,ARG1/3</t>
  </si>
  <si>
    <t xml:space="preserve">"--rozrušit-003"</t>
  </si>
  <si>
    <t xml:space="preserve">"rozrušovat-001"</t>
  </si>
  <si>
    <t xml:space="preserve">"rozrýt-001"</t>
  </si>
  <si>
    <t xml:space="preserve">"rozrůst-se-001"</t>
  </si>
  <si>
    <t xml:space="preserve">ACT-&gt;ARG0/3,ARG1/397,ARG2/4</t>
  </si>
  <si>
    <t xml:space="preserve">PAT-&gt;ARG2/1,ARG3/16,ARG4/45,ARGm-LOC/1</t>
  </si>
  <si>
    <t xml:space="preserve">PAT-&gt;ARG3/540,ARG4/1</t>
  </si>
  <si>
    <t xml:space="preserve">EFF-&gt;ARG1/1,ARG2/2,ARG4/53</t>
  </si>
  <si>
    <t xml:space="preserve">EFF-&gt;ARG1/9,ARG2/48,ARG4/1380</t>
  </si>
  <si>
    <t xml:space="preserve">"rozrůst-se-002"</t>
  </si>
  <si>
    <t xml:space="preserve">"rozrůstat-se-001"</t>
  </si>
  <si>
    <t xml:space="preserve">ACT-&gt;ARG0/3,ARG1/374,ARG2/5</t>
  </si>
  <si>
    <t xml:space="preserve">PAT-&gt;ARG1/1,ARG3/31</t>
  </si>
  <si>
    <t xml:space="preserve">EFF-&gt;ARG1/1,ARG2/142,ARG4/73</t>
  </si>
  <si>
    <t xml:space="preserve">"rozrůstat-se-002"</t>
  </si>
  <si>
    <t xml:space="preserve">"rozrůznit-se-001"</t>
  </si>
  <si>
    <t xml:space="preserve">"rozsazovat-001"</t>
  </si>
  <si>
    <t xml:space="preserve">"rozsazovat-002"</t>
  </si>
  <si>
    <t xml:space="preserve">"rozsekat-001"</t>
  </si>
  <si>
    <t xml:space="preserve">"rozseknout-001"</t>
  </si>
  <si>
    <t xml:space="preserve">"rozsoudit-001"</t>
  </si>
  <si>
    <t xml:space="preserve">"rozstřikovat-001"</t>
  </si>
  <si>
    <t xml:space="preserve">"rozstříhat-001"</t>
  </si>
  <si>
    <t xml:space="preserve">"rozstřílet-001"</t>
  </si>
  <si>
    <t xml:space="preserve">"rozstřílet-002"</t>
  </si>
  <si>
    <t xml:space="preserve">"rozsvítit-001"</t>
  </si>
  <si>
    <t xml:space="preserve">"rozsvítit-se-001"</t>
  </si>
  <si>
    <t xml:space="preserve">"rozsvěcet-001"</t>
  </si>
  <si>
    <t xml:space="preserve">"rozsvěcovat-se-001"</t>
  </si>
  <si>
    <t xml:space="preserve">"rozsypat-001"</t>
  </si>
  <si>
    <t xml:space="preserve">"rozsypat-se-001"</t>
  </si>
  <si>
    <t xml:space="preserve">"rozsypávat-se-001"</t>
  </si>
  <si>
    <t xml:space="preserve">"rozsít-001"</t>
  </si>
  <si>
    <t xml:space="preserve">"rozsít-002"</t>
  </si>
  <si>
    <t xml:space="preserve">"roztahovat-001"</t>
  </si>
  <si>
    <t xml:space="preserve">"roztahovat-002"</t>
  </si>
  <si>
    <t xml:space="preserve">"roztahovat-se-001"</t>
  </si>
  <si>
    <t xml:space="preserve">ACT-&gt;ARG0/2,ARG1/54</t>
  </si>
  <si>
    <t xml:space="preserve">"roztancovat-001"</t>
  </si>
  <si>
    <t xml:space="preserve">"roztančit-001"</t>
  </si>
  <si>
    <t xml:space="preserve">"roztavit-001"</t>
  </si>
  <si>
    <t xml:space="preserve">"roztavit-se-001"</t>
  </si>
  <si>
    <t xml:space="preserve">"roztleskat-001"</t>
  </si>
  <si>
    <t xml:space="preserve">"roztlouci-001"</t>
  </si>
  <si>
    <t xml:space="preserve">"roztloukat-001"</t>
  </si>
  <si>
    <t xml:space="preserve">"roztočit-001"</t>
  </si>
  <si>
    <t xml:space="preserve">"roztočit-002"</t>
  </si>
  <si>
    <t xml:space="preserve">"roztočit-003"</t>
  </si>
  <si>
    <t xml:space="preserve">"roztrhat-001"</t>
  </si>
  <si>
    <t xml:space="preserve">"roztrhat-se-001"</t>
  </si>
  <si>
    <t xml:space="preserve">ACT-&gt;ARG0/95,ARG1/221,ARG2/6</t>
  </si>
  <si>
    <t xml:space="preserve">ACT-&gt;ARG0/94,ARG1/220,ARG2/6</t>
  </si>
  <si>
    <t xml:space="preserve">"roztrhnout-001"</t>
  </si>
  <si>
    <t xml:space="preserve">"roztrhnout-se-001"</t>
  </si>
  <si>
    <t xml:space="preserve">"roztrousit-001"</t>
  </si>
  <si>
    <t xml:space="preserve">PAT-&gt;ARG0/1,ARG2/2</t>
  </si>
  <si>
    <t xml:space="preserve">"roztrousit-002"</t>
  </si>
  <si>
    <t xml:space="preserve">LOC-&gt;ARG2/5</t>
  </si>
  <si>
    <t xml:space="preserve">"roztrpčit-001"</t>
  </si>
  <si>
    <t xml:space="preserve">"roztrpčovat-001"</t>
  </si>
  <si>
    <t xml:space="preserve">"roztáhnout-001"</t>
  </si>
  <si>
    <t xml:space="preserve">"roztáhnout-se-001"</t>
  </si>
  <si>
    <t xml:space="preserve">"roztát-001"</t>
  </si>
  <si>
    <t xml:space="preserve">"roztáčet-001"</t>
  </si>
  <si>
    <t xml:space="preserve">"roztáčet-002"</t>
  </si>
  <si>
    <t xml:space="preserve">"roztáčet-003"</t>
  </si>
  <si>
    <t xml:space="preserve">"roztéci-se-001"</t>
  </si>
  <si>
    <t xml:space="preserve">"roztékat-se-001"</t>
  </si>
  <si>
    <t xml:space="preserve">"roztřiďovat-001"</t>
  </si>
  <si>
    <t xml:space="preserve">"roztřídit-001"</t>
  </si>
  <si>
    <t xml:space="preserve">"roztříštit-001"</t>
  </si>
  <si>
    <t xml:space="preserve">"roztříštit-002"</t>
  </si>
  <si>
    <t xml:space="preserve">"roztříštit-se-001"</t>
  </si>
  <si>
    <t xml:space="preserve">"rozumět-001"</t>
  </si>
  <si>
    <t xml:space="preserve">ADDR-&gt;ARG1/74</t>
  </si>
  <si>
    <t xml:space="preserve">"rozumět-002"</t>
  </si>
  <si>
    <t xml:space="preserve">PAT: 3; ↓jak-2; ↓že; ↓zda; ↓c</t>
  </si>
  <si>
    <t xml:space="preserve">"rozumět-003"</t>
  </si>
  <si>
    <t xml:space="preserve">"rozumět-004"</t>
  </si>
  <si>
    <t xml:space="preserve">EFF: 4; .f</t>
  </si>
  <si>
    <t xml:space="preserve">"rozumět-005"</t>
  </si>
  <si>
    <t xml:space="preserve">"--rozumět-si-001"</t>
  </si>
  <si>
    <t xml:space="preserve">"rozutéci-se-001"</t>
  </si>
  <si>
    <t xml:space="preserve">"rozutíkávat-se-001"</t>
  </si>
  <si>
    <t xml:space="preserve">"rozuzlit-001"</t>
  </si>
  <si>
    <t xml:space="preserve">"rozvazovat-001"</t>
  </si>
  <si>
    <t xml:space="preserve">"rozvažovat-001"</t>
  </si>
  <si>
    <t xml:space="preserve">"rozvinout-001"</t>
  </si>
  <si>
    <t xml:space="preserve">"rozvinout-002"</t>
  </si>
  <si>
    <t xml:space="preserve">PAT-&gt;ARG1/171,ARG2/2</t>
  </si>
  <si>
    <t xml:space="preserve">"rozvinout-003"</t>
  </si>
  <si>
    <t xml:space="preserve">"rozvinout-se-001"</t>
  </si>
  <si>
    <t xml:space="preserve">ACT-&gt;ARG0/6,ARG1/22,ARG2/2</t>
  </si>
  <si>
    <t xml:space="preserve">"rozvinout-se-002"</t>
  </si>
  <si>
    <t xml:space="preserve">"rozvinovat-001"</t>
  </si>
  <si>
    <t xml:space="preserve">"rozvinovat-se-001"</t>
  </si>
  <si>
    <t xml:space="preserve">"rozvodnit-se-001"</t>
  </si>
  <si>
    <t xml:space="preserve">"rozvracet-001"</t>
  </si>
  <si>
    <t xml:space="preserve">ACT-&gt;ARG0/265,ARG2/83</t>
  </si>
  <si>
    <t xml:space="preserve">PAT-&gt;ARG1/455,ARG2/1</t>
  </si>
  <si>
    <t xml:space="preserve">"rozvrhnout-001"</t>
  </si>
  <si>
    <t xml:space="preserve">"rozvrstvit-001"</t>
  </si>
  <si>
    <t xml:space="preserve">"rozvrátit-001"</t>
  </si>
  <si>
    <t xml:space="preserve">ACT-&gt;ARG0/272,ARG2/89</t>
  </si>
  <si>
    <t xml:space="preserve">ACT-&gt;ARG0/271,ARG2/89</t>
  </si>
  <si>
    <t xml:space="preserve">PAT-&gt;ARG1/535</t>
  </si>
  <si>
    <t xml:space="preserve">PAT-&gt;ARG1/534</t>
  </si>
  <si>
    <t xml:space="preserve">"rozvádět-001"</t>
  </si>
  <si>
    <t xml:space="preserve">"rozvádět-002"</t>
  </si>
  <si>
    <t xml:space="preserve">"rozvádět-se-001"</t>
  </si>
  <si>
    <t xml:space="preserve">"rozvázat-001"</t>
  </si>
  <si>
    <t xml:space="preserve">"rozvázat-002"</t>
  </si>
  <si>
    <t xml:space="preserve">DPHR: jazyk.4</t>
  </si>
  <si>
    <t xml:space="preserve">"rozvázat-003"</t>
  </si>
  <si>
    <t xml:space="preserve">DPHR: jazyk.4[.u#]; jazyk.4[.a#]; jazyk.4[.n2]</t>
  </si>
  <si>
    <t xml:space="preserve">"rozvázat-004"</t>
  </si>
  <si>
    <t xml:space="preserve">"rozvážet-001"</t>
  </si>
  <si>
    <t xml:space="preserve">"rozvážit-001"</t>
  </si>
  <si>
    <t xml:space="preserve">"rozvést-001"</t>
  </si>
  <si>
    <t xml:space="preserve">"rozvést-002"</t>
  </si>
  <si>
    <t xml:space="preserve">"rozvést-003"</t>
  </si>
  <si>
    <t xml:space="preserve">"rozvést-se-001"</t>
  </si>
  <si>
    <t xml:space="preserve">"rozvíjet-001"</t>
  </si>
  <si>
    <t xml:space="preserve">PAT-&gt;ARG1/160,ARG2/2</t>
  </si>
  <si>
    <t xml:space="preserve">"rozvíjet-002"</t>
  </si>
  <si>
    <t xml:space="preserve">"rozvíjet-se-001"</t>
  </si>
  <si>
    <t xml:space="preserve">ACT-&gt;ARG0/115,ARG1/221,ARG2/6</t>
  </si>
  <si>
    <t xml:space="preserve">"rozvíjet-se-002"</t>
  </si>
  <si>
    <t xml:space="preserve">"rozvířit-001"</t>
  </si>
  <si>
    <t xml:space="preserve">"rozvěsit-001"</t>
  </si>
  <si>
    <t xml:space="preserve">"rozvětvovat-se-001"</t>
  </si>
  <si>
    <t xml:space="preserve">"rozzlobit-001"</t>
  </si>
  <si>
    <t xml:space="preserve">"rozzlobit-se-001"</t>
  </si>
  <si>
    <t xml:space="preserve">"rozzuřit-001"</t>
  </si>
  <si>
    <t xml:space="preserve">"rozzářit-se-001"</t>
  </si>
  <si>
    <t xml:space="preserve">"rozčarovat-001"</t>
  </si>
  <si>
    <t xml:space="preserve">ACT: 1; ↓jak-2; ↓že</t>
  </si>
  <si>
    <t xml:space="preserve">PAT-&gt;ARG1/20,ARG2/1</t>
  </si>
  <si>
    <t xml:space="preserve">"rozčeřit-001"</t>
  </si>
  <si>
    <t xml:space="preserve">"rozčilit-se-001"</t>
  </si>
  <si>
    <t xml:space="preserve">?PAT: ↓že; nad+7; na+4</t>
  </si>
  <si>
    <t xml:space="preserve">"rozčilovat-001"</t>
  </si>
  <si>
    <t xml:space="preserve">ACT: 1; ↓c; ↓že</t>
  </si>
  <si>
    <t xml:space="preserve">PAT-&gt;ARG0/5,ARG1/2</t>
  </si>
  <si>
    <t xml:space="preserve">"rozčilovat-se-001"</t>
  </si>
  <si>
    <t xml:space="preserve">"rozčlenit-001"</t>
  </si>
  <si>
    <t xml:space="preserve">"rozčlenit-002"</t>
  </si>
  <si>
    <t xml:space="preserve">"rozčílit-001"</t>
  </si>
  <si>
    <t xml:space="preserve">"rozčílit-se-001"</t>
  </si>
  <si>
    <t xml:space="preserve">"rozředit-001"</t>
  </si>
  <si>
    <t xml:space="preserve">EFF-&gt;ARG4/1</t>
  </si>
  <si>
    <t xml:space="preserve">"rozřezat-001"</t>
  </si>
  <si>
    <t xml:space="preserve">ACT-&gt;ARG0/145,ARG2/6</t>
  </si>
  <si>
    <t xml:space="preserve">ACT-&gt;ARG0/144,ARG2/6</t>
  </si>
  <si>
    <t xml:space="preserve">PAT-&gt;ARG1/307</t>
  </si>
  <si>
    <t xml:space="preserve">EFF-&gt;ARG1/181,ARG2/20,ARG3/1</t>
  </si>
  <si>
    <t xml:space="preserve">EFF-&gt;ARG1/180,ARG2/20,ARG3/1</t>
  </si>
  <si>
    <t xml:space="preserve">"rozřezávat-001"</t>
  </si>
  <si>
    <t xml:space="preserve">"rozřeďovat-se-001"</t>
  </si>
  <si>
    <t xml:space="preserve">"rozřešit-001"</t>
  </si>
  <si>
    <t xml:space="preserve">"rozříznout-001"</t>
  </si>
  <si>
    <t xml:space="preserve">"rozšiřovat-001"</t>
  </si>
  <si>
    <t xml:space="preserve">ACT-&gt;ARG0/258,ARG1/6,ARG2/5</t>
  </si>
  <si>
    <t xml:space="preserve">PAT-&gt;ARG0/2,ARG1/496,ARG2/21,ARG4/6</t>
  </si>
  <si>
    <t xml:space="preserve">ORIG-&gt;ARG3/42</t>
  </si>
  <si>
    <t xml:space="preserve">?EFF: na+4; o+4</t>
  </si>
  <si>
    <t xml:space="preserve">EFF-&gt;ARG1/2,ARG2/18,ARG4/102</t>
  </si>
  <si>
    <t xml:space="preserve">"rozšiřovat-002"</t>
  </si>
  <si>
    <t xml:space="preserve">"rozšiřovat-003"</t>
  </si>
  <si>
    <t xml:space="preserve">"rozšiřovat-se-001"</t>
  </si>
  <si>
    <t xml:space="preserve">ACT-&gt;ARG0/2,ARG1/568,ARG2/1</t>
  </si>
  <si>
    <t xml:space="preserve">"rozšlapat-001"</t>
  </si>
  <si>
    <t xml:space="preserve">"rozšlehat-001"</t>
  </si>
  <si>
    <t xml:space="preserve">"rozšoupnout-se-001"</t>
  </si>
  <si>
    <t xml:space="preserve">"rozštipovat-se-001"</t>
  </si>
  <si>
    <t xml:space="preserve">"rozštěpit-001"</t>
  </si>
  <si>
    <t xml:space="preserve">ACT-&gt;ARG0/1,ARG1/6</t>
  </si>
  <si>
    <t xml:space="preserve">"rozšířit-001"</t>
  </si>
  <si>
    <t xml:space="preserve">ACT-&gt;ARG0/474,ARG1/29,ARG2/5</t>
  </si>
  <si>
    <t xml:space="preserve">PAT-&gt;ARG0/4,ARG1/1024,ARG2/3,ARG4/20</t>
  </si>
  <si>
    <t xml:space="preserve">ORIG-&gt;ARG2/1,ARG3/119</t>
  </si>
  <si>
    <t xml:space="preserve">EFF-&gt;ARG1/4,ARG2/33,ARG4/231</t>
  </si>
  <si>
    <t xml:space="preserve">"rozšířit-002"</t>
  </si>
  <si>
    <t xml:space="preserve">"rozšířit-003"</t>
  </si>
  <si>
    <t xml:space="preserve">ACT-&gt;ARG0/88,ARG1/1</t>
  </si>
  <si>
    <t xml:space="preserve">"rozšířit-004"</t>
  </si>
  <si>
    <t xml:space="preserve">"rozšířit-se-001"</t>
  </si>
  <si>
    <t xml:space="preserve">ACT-&gt;ARG0/1,ARG1/218</t>
  </si>
  <si>
    <t xml:space="preserve">"rozšířit-se-002"</t>
  </si>
  <si>
    <t xml:space="preserve">ACT-&gt;ARG0/1,ARG1/34</t>
  </si>
  <si>
    <t xml:space="preserve">PAT-&gt;ARG1/1,ARG4/22</t>
  </si>
  <si>
    <t xml:space="preserve">ORIG-&gt;ARG3/9</t>
  </si>
  <si>
    <t xml:space="preserve">"ruinovat-001"</t>
  </si>
  <si>
    <t xml:space="preserve">"rukovat-001"</t>
  </si>
  <si>
    <t xml:space="preserve">"rupnout-001"</t>
  </si>
  <si>
    <t xml:space="preserve">"ručit-001"</t>
  </si>
  <si>
    <t xml:space="preserve">PAT: za+4; ↓že</t>
  </si>
  <si>
    <t xml:space="preserve">"rušit-001"</t>
  </si>
  <si>
    <t xml:space="preserve">"rušit-002"</t>
  </si>
  <si>
    <t xml:space="preserve">"rušit-003"</t>
  </si>
  <si>
    <t xml:space="preserve">"rvát-001"</t>
  </si>
  <si>
    <t xml:space="preserve">"rvát-se-001"</t>
  </si>
  <si>
    <t xml:space="preserve">"rybařit-001"</t>
  </si>
  <si>
    <t xml:space="preserve">"rychtovat-001"</t>
  </si>
  <si>
    <t xml:space="preserve">"rámovat-001"</t>
  </si>
  <si>
    <t xml:space="preserve">"ráčit-001"</t>
  </si>
  <si>
    <t xml:space="preserve">"ráčkovat-001"</t>
  </si>
  <si>
    <t xml:space="preserve">"rýmovat-001"</t>
  </si>
  <si>
    <t xml:space="preserve">"rýmovat-se-001"</t>
  </si>
  <si>
    <t xml:space="preserve">"rýpnout-si-001"</t>
  </si>
  <si>
    <t xml:space="preserve">"rýsovat-001"</t>
  </si>
  <si>
    <t xml:space="preserve">"rýsovat-se-001"</t>
  </si>
  <si>
    <t xml:space="preserve">ACT-&gt;ARG0/197,ARG1/42</t>
  </si>
  <si>
    <t xml:space="preserve">ACT-&gt;ARG1/17</t>
  </si>
  <si>
    <t xml:space="preserve">"rýt-001"</t>
  </si>
  <si>
    <t xml:space="preserve">"--rýt-002"</t>
  </si>
  <si>
    <t xml:space="preserve">"rýžovat-001"</t>
  </si>
  <si>
    <t xml:space="preserve">"rýžovat-002"</t>
  </si>
  <si>
    <t xml:space="preserve">"růst-001"</t>
  </si>
  <si>
    <t xml:space="preserve">"růst-002"</t>
  </si>
  <si>
    <t xml:space="preserve">ACT-&gt;ARG0/4,ARG1/1582,ARG2/8</t>
  </si>
  <si>
    <t xml:space="preserve">PAT-&gt;ARG1/1,ARG2/9,ARG4/921</t>
  </si>
  <si>
    <t xml:space="preserve">ORIG-&gt;ARG1/1,ARG2/10,ARG3/428</t>
  </si>
  <si>
    <t xml:space="preserve">ACT-&gt;ARG0/5,ARG1/1734,ARG2/8</t>
  </si>
  <si>
    <t xml:space="preserve">PAT-&gt;ARG1/1,ARG2/12,ARG4/1056</t>
  </si>
  <si>
    <t xml:space="preserve">ORIG-&gt;ARG2/1,ARG3/486,ARG4/1,ARGm-LOC/1</t>
  </si>
  <si>
    <t xml:space="preserve">"růst-003"</t>
  </si>
  <si>
    <t xml:space="preserve">"růst-004"</t>
  </si>
  <si>
    <t xml:space="preserve">ACT-&gt;ARG0/3,ARG1/1489,ARG2/8</t>
  </si>
  <si>
    <t xml:space="preserve">"růst-005"</t>
  </si>
  <si>
    <t xml:space="preserve">DPHR: jako[houba.P1[po-1[déšť.S6]]]</t>
  </si>
  <si>
    <t xml:space="preserve">"různit-se-001"</t>
  </si>
  <si>
    <t xml:space="preserve">"sabotovat-001"</t>
  </si>
  <si>
    <t xml:space="preserve">"sahat-001"</t>
  </si>
  <si>
    <t xml:space="preserve">PAT: k+3; po+6; na+4</t>
  </si>
  <si>
    <t xml:space="preserve">"sahat-002"</t>
  </si>
  <si>
    <t xml:space="preserve">"sahat-003"</t>
  </si>
  <si>
    <t xml:space="preserve">"sahat-004"</t>
  </si>
  <si>
    <t xml:space="preserve">ACT-&gt;ARG1/73,ARG2/1</t>
  </si>
  <si>
    <t xml:space="preserve">DIR3-&gt;ARG4/2</t>
  </si>
  <si>
    <t xml:space="preserve">"samopojišťovat-se-001"</t>
  </si>
  <si>
    <t xml:space="preserve">ACT-&gt;ARG0/14,ARG1/34</t>
  </si>
  <si>
    <t xml:space="preserve">"sankcionovat-001"</t>
  </si>
  <si>
    <t xml:space="preserve">"sbalit-001"</t>
  </si>
  <si>
    <t xml:space="preserve">"sbalit-002"</t>
  </si>
  <si>
    <t xml:space="preserve">"sbalit-003"</t>
  </si>
  <si>
    <t xml:space="preserve">"sbalit-004"</t>
  </si>
  <si>
    <t xml:space="preserve">"sbližovat-001"</t>
  </si>
  <si>
    <t xml:space="preserve">"sblížit-001"</t>
  </si>
  <si>
    <t xml:space="preserve">"sblížit-se-001"</t>
  </si>
  <si>
    <t xml:space="preserve">"sbuchnout-001"</t>
  </si>
  <si>
    <t xml:space="preserve">"sbíhat-se-001"</t>
  </si>
  <si>
    <t xml:space="preserve">"sbíhat-se-002"</t>
  </si>
  <si>
    <t xml:space="preserve">DPHR: slina.P1</t>
  </si>
  <si>
    <t xml:space="preserve">"sbírat-001"</t>
  </si>
  <si>
    <t xml:space="preserve">ACT-&gt;ARG0/223,ARG1/25</t>
  </si>
  <si>
    <t xml:space="preserve">PAT-&gt;ARG1/269,ARG2/26</t>
  </si>
  <si>
    <t xml:space="preserve">"sbírat-002"</t>
  </si>
  <si>
    <t xml:space="preserve">CPHR: {odvaha,zkušenost,...}.4</t>
  </si>
  <si>
    <t xml:space="preserve">"sbírat-003"</t>
  </si>
  <si>
    <t xml:space="preserve">"sbírat-004"</t>
  </si>
  <si>
    <t xml:space="preserve">"scelovat-001"</t>
  </si>
  <si>
    <t xml:space="preserve">"schnout-001"</t>
  </si>
  <si>
    <t xml:space="preserve">"schovat-001"</t>
  </si>
  <si>
    <t xml:space="preserve">"schovat-002"</t>
  </si>
  <si>
    <t xml:space="preserve">EFF: 4; ↓že; ↓jak-2; ↓zda; .s; ↓c</t>
  </si>
  <si>
    <t xml:space="preserve">"schovávat-001"</t>
  </si>
  <si>
    <t xml:space="preserve">ACT-&gt;ARG0/189,ARG1/2</t>
  </si>
  <si>
    <t xml:space="preserve">"schovávat-002"</t>
  </si>
  <si>
    <t xml:space="preserve">"schrastit-001"</t>
  </si>
  <si>
    <t xml:space="preserve">"schraňovat-001"</t>
  </si>
  <si>
    <t xml:space="preserve">"schvalovat-001"</t>
  </si>
  <si>
    <t xml:space="preserve">"schvalovat-002"</t>
  </si>
  <si>
    <t xml:space="preserve">ACT-&gt;ARG0/251</t>
  </si>
  <si>
    <t xml:space="preserve">PAT-&gt;ARG1/282,ARG2/1</t>
  </si>
  <si>
    <t xml:space="preserve">"schválit-001"</t>
  </si>
  <si>
    <t xml:space="preserve">"schválit-002"</t>
  </si>
  <si>
    <t xml:space="preserve">ACT-&gt;ARG0/892,ARG1/57,ARG2/1</t>
  </si>
  <si>
    <t xml:space="preserve">PAT-&gt;ARG0/42,ARG1/925,ARG2/1</t>
  </si>
  <si>
    <t xml:space="preserve">"schvátit-001"</t>
  </si>
  <si>
    <t xml:space="preserve">"schylovat-se-001"</t>
  </si>
  <si>
    <t xml:space="preserve">"schylovat-se-002"</t>
  </si>
  <si>
    <t xml:space="preserve">"schytat-001"</t>
  </si>
  <si>
    <t xml:space="preserve">"--schytnout-001"</t>
  </si>
  <si>
    <t xml:space="preserve">"schytnout-002"</t>
  </si>
  <si>
    <t xml:space="preserve">"scházet-001"</t>
  </si>
  <si>
    <t xml:space="preserve">"scházet-002"</t>
  </si>
  <si>
    <t xml:space="preserve">"scházet-se-001"</t>
  </si>
  <si>
    <t xml:space="preserve">ACT-&gt;ARG0/82,ARG1/10</t>
  </si>
  <si>
    <t xml:space="preserve">"scházet-se-002"</t>
  </si>
  <si>
    <t xml:space="preserve">"scházívat-se-001"</t>
  </si>
  <si>
    <t xml:space="preserve">"scupovat-001"</t>
  </si>
  <si>
    <t xml:space="preserve">"scvakat-001"</t>
  </si>
  <si>
    <t xml:space="preserve">"scvrknout-se-001"</t>
  </si>
  <si>
    <t xml:space="preserve">"scvrknout-se-002"</t>
  </si>
  <si>
    <t xml:space="preserve">"scvrkávat-se-001"</t>
  </si>
  <si>
    <t xml:space="preserve">"sdrkotat-001"</t>
  </si>
  <si>
    <t xml:space="preserve">"sdružit-001"</t>
  </si>
  <si>
    <t xml:space="preserve">ADDR-&gt;ARG1/7,ARG2/29,ARG3/1</t>
  </si>
  <si>
    <t xml:space="preserve">"sdružit-se-001"</t>
  </si>
  <si>
    <t xml:space="preserve">"sdružovat-001"</t>
  </si>
  <si>
    <t xml:space="preserve">ACT-&gt;ARG0/20,ARG1/3,ARG2/427</t>
  </si>
  <si>
    <t xml:space="preserve">PAT-&gt;ARG1/969,ARG2/3</t>
  </si>
  <si>
    <t xml:space="preserve">ADDR-&gt;ARG1/1,ARG2/29</t>
  </si>
  <si>
    <t xml:space="preserve">"sdružovat-se-001"</t>
  </si>
  <si>
    <t xml:space="preserve">"sdílet-001"</t>
  </si>
  <si>
    <t xml:space="preserve">"sdělat-001"</t>
  </si>
  <si>
    <t xml:space="preserve">"sdělit-001"</t>
  </si>
  <si>
    <t xml:space="preserve">ACT-&gt;ARG0/12846,ARG1/38</t>
  </si>
  <si>
    <t xml:space="preserve">PAT-&gt;ARG0/2,ARG1/11398,ARG2/63</t>
  </si>
  <si>
    <t xml:space="preserve">ADDR-&gt;ARG1/63,ARG2/495</t>
  </si>
  <si>
    <t xml:space="preserve">"sdělit-002"</t>
  </si>
  <si>
    <t xml:space="preserve">ACT-&gt;ARG0/12935,ARG1/40</t>
  </si>
  <si>
    <t xml:space="preserve">ADDR-&gt;ARG1/109,ARG2/345,ARG3/78</t>
  </si>
  <si>
    <t xml:space="preserve">EFF: 4; ↓že; ↓aby; ↓ať; ↓zda; ↓jestli; .s; ↓c</t>
  </si>
  <si>
    <t xml:space="preserve">EFF-&gt;ARG0/2,ARG1/11487,ARG2/106,ARG3/1</t>
  </si>
  <si>
    <t xml:space="preserve">PAT-&gt;ARG0/2,ARG1/34,ARG2/1,ARG3/29</t>
  </si>
  <si>
    <t xml:space="preserve">"sdělovat-001"</t>
  </si>
  <si>
    <t xml:space="preserve">"sdělovat-002"</t>
  </si>
  <si>
    <t xml:space="preserve">ACT-&gt;ARG0/922,ARG1/3</t>
  </si>
  <si>
    <t xml:space="preserve">ADDR-&gt;ARG1/2,ARG2/338</t>
  </si>
  <si>
    <t xml:space="preserve">EFF-&gt;ARG1/1131</t>
  </si>
  <si>
    <t xml:space="preserve">?PAT: k+3; o+6</t>
  </si>
  <si>
    <t xml:space="preserve">"sebrat-001"</t>
  </si>
  <si>
    <t xml:space="preserve">ACT-&gt;ARG0/5,ARG2/19</t>
  </si>
  <si>
    <t xml:space="preserve">PAT-&gt;ARG1/209,ARG2/1</t>
  </si>
  <si>
    <t xml:space="preserve">ADDR-&gt;ARG0/167,ARG1/2,ARG2/2</t>
  </si>
  <si>
    <t xml:space="preserve">"sebrat-002"</t>
  </si>
  <si>
    <t xml:space="preserve">"sebrat-003"</t>
  </si>
  <si>
    <t xml:space="preserve">"sebrat-004"</t>
  </si>
  <si>
    <t xml:space="preserve">"sebrat-005"</t>
  </si>
  <si>
    <t xml:space="preserve">"sebrat-006"</t>
  </si>
  <si>
    <t xml:space="preserve">"sebrat-007"</t>
  </si>
  <si>
    <t xml:space="preserve">"sebrat-008"</t>
  </si>
  <si>
    <t xml:space="preserve">"sebrat-se-001"</t>
  </si>
  <si>
    <t xml:space="preserve">"sebrat-se-002"</t>
  </si>
  <si>
    <t xml:space="preserve">"seběhnout-001"</t>
  </si>
  <si>
    <t xml:space="preserve">"seběhnout-se-001"</t>
  </si>
  <si>
    <t xml:space="preserve">"seběhnout-se-002"</t>
  </si>
  <si>
    <t xml:space="preserve">"seběhnout-se-003"</t>
  </si>
  <si>
    <t xml:space="preserve">"secvičit-001"</t>
  </si>
  <si>
    <t xml:space="preserve">"secvičovat-001"</t>
  </si>
  <si>
    <t xml:space="preserve">"secvičovat-se-001"</t>
  </si>
  <si>
    <t xml:space="preserve">"sedat-001"</t>
  </si>
  <si>
    <t xml:space="preserve">"sedat-002"</t>
  </si>
  <si>
    <t xml:space="preserve">"sedat-si-001"</t>
  </si>
  <si>
    <t xml:space="preserve">"sedlat-001"</t>
  </si>
  <si>
    <t xml:space="preserve">"sednout-001"</t>
  </si>
  <si>
    <t xml:space="preserve">"sednout-si-001"</t>
  </si>
  <si>
    <t xml:space="preserve">"sednout-si-002"</t>
  </si>
  <si>
    <t xml:space="preserve">"sednout-si-003"</t>
  </si>
  <si>
    <t xml:space="preserve">PAT: k+3; za+4</t>
  </si>
  <si>
    <t xml:space="preserve">"sedávat-001"</t>
  </si>
  <si>
    <t xml:space="preserve">"sedět-001"</t>
  </si>
  <si>
    <t xml:space="preserve">"sedět-002"</t>
  </si>
  <si>
    <t xml:space="preserve">ACT-&gt;ARG1/334,ARG2/3</t>
  </si>
  <si>
    <t xml:space="preserve">"sedět-003"</t>
  </si>
  <si>
    <t xml:space="preserve">ACT-&gt;ARG0/342,ARG1/345,ARG2/3</t>
  </si>
  <si>
    <t xml:space="preserve">"sedět-004"</t>
  </si>
  <si>
    <t xml:space="preserve">"sedět-005"</t>
  </si>
  <si>
    <t xml:space="preserve">"sedět-006"</t>
  </si>
  <si>
    <t xml:space="preserve">"sedět-007"</t>
  </si>
  <si>
    <t xml:space="preserve">DPHR: na-1[židle.P6[dva.#]]</t>
  </si>
  <si>
    <t xml:space="preserve">"sedět-008"</t>
  </si>
  <si>
    <t xml:space="preserve">DPHR: s-1[ruce.P7[založený.#]]</t>
  </si>
  <si>
    <t xml:space="preserve">"sedět-009"</t>
  </si>
  <si>
    <t xml:space="preserve">"sedřít-001"</t>
  </si>
  <si>
    <t xml:space="preserve">DPHR: kůže.S4,z[tělo.S2]</t>
  </si>
  <si>
    <t xml:space="preserve">DPHR-&gt;ARG2/1</t>
  </si>
  <si>
    <t xml:space="preserve">"segmentovat-001"</t>
  </si>
  <si>
    <t xml:space="preserve">"sehnat-001"</t>
  </si>
  <si>
    <t xml:space="preserve">ACT-&gt;ARG0/2621,ARG1/28,ARG2/8</t>
  </si>
  <si>
    <t xml:space="preserve">PAT-&gt;ARG0/1,ARG1/3118,ARG4/1</t>
  </si>
  <si>
    <t xml:space="preserve">"sehnout-se-001"</t>
  </si>
  <si>
    <t xml:space="preserve">"sehrát-001"</t>
  </si>
  <si>
    <t xml:space="preserve">"sehrát-002"</t>
  </si>
  <si>
    <t xml:space="preserve">"sehrát-003"</t>
  </si>
  <si>
    <t xml:space="preserve">"sehrát-004"</t>
  </si>
  <si>
    <t xml:space="preserve">ACT-&gt;ARG0/167,ARG1/2,ARG3/1</t>
  </si>
  <si>
    <t xml:space="preserve">DPHR-&gt;ARG1/234</t>
  </si>
  <si>
    <t xml:space="preserve">"sehrávat-001"</t>
  </si>
  <si>
    <t xml:space="preserve">"sehrávat-002"</t>
  </si>
  <si>
    <t xml:space="preserve">"sejmout-001"</t>
  </si>
  <si>
    <t xml:space="preserve">"sejmout-002"</t>
  </si>
  <si>
    <t xml:space="preserve">"sejmout-003"</t>
  </si>
  <si>
    <t xml:space="preserve">"sejmout-004"</t>
  </si>
  <si>
    <t xml:space="preserve">"sejít-001"</t>
  </si>
  <si>
    <t xml:space="preserve">"sejít-002"</t>
  </si>
  <si>
    <t xml:space="preserve">"sejít-003"</t>
  </si>
  <si>
    <t xml:space="preserve">ACT-&gt;ARG0/67,ARG1/374</t>
  </si>
  <si>
    <t xml:space="preserve">"sejít-004"</t>
  </si>
  <si>
    <t xml:space="preserve">DIR1: z+2</t>
  </si>
  <si>
    <t xml:space="preserve">"sejít-005"</t>
  </si>
  <si>
    <t xml:space="preserve">"sejít-006"</t>
  </si>
  <si>
    <t xml:space="preserve">"sejít-007"</t>
  </si>
  <si>
    <t xml:space="preserve">ACT: z+2</t>
  </si>
  <si>
    <t xml:space="preserve">"sejít-008"</t>
  </si>
  <si>
    <t xml:space="preserve">DPHR: z-1[oko.P2]</t>
  </si>
  <si>
    <t xml:space="preserve">"sejít-009"</t>
  </si>
  <si>
    <t xml:space="preserve">"sejít-010"</t>
  </si>
  <si>
    <t xml:space="preserve">DPHR: z-1[mysl.S2]</t>
  </si>
  <si>
    <t xml:space="preserve">"sejít-se-001"</t>
  </si>
  <si>
    <t xml:space="preserve">ACT-&gt;ARG0/87,ARG1/3</t>
  </si>
  <si>
    <t xml:space="preserve">"sejít-se-002"</t>
  </si>
  <si>
    <t xml:space="preserve">"sekat-001"</t>
  </si>
  <si>
    <t xml:space="preserve">"sekat-002"</t>
  </si>
  <si>
    <t xml:space="preserve">DPHR: do-1[tučný.S2]</t>
  </si>
  <si>
    <t xml:space="preserve">"seknout-001"</t>
  </si>
  <si>
    <t xml:space="preserve">"seknout-002"</t>
  </si>
  <si>
    <t xml:space="preserve">"seknout-se-001"</t>
  </si>
  <si>
    <t xml:space="preserve">"sekundovat-001"</t>
  </si>
  <si>
    <t xml:space="preserve">"sekundovat-002"</t>
  </si>
  <si>
    <t xml:space="preserve">"selhat-001"</t>
  </si>
  <si>
    <t xml:space="preserve">ACT-&gt;ARG1/176</t>
  </si>
  <si>
    <t xml:space="preserve">"selhávat-001"</t>
  </si>
  <si>
    <t xml:space="preserve">"semknout-001"</t>
  </si>
  <si>
    <t xml:space="preserve">"semknout-se-001"</t>
  </si>
  <si>
    <t xml:space="preserve">"semlít-001"</t>
  </si>
  <si>
    <t xml:space="preserve">"separovat-001"</t>
  </si>
  <si>
    <t xml:space="preserve">"separovat-se-001"</t>
  </si>
  <si>
    <t xml:space="preserve">"sepisovat-001"</t>
  </si>
  <si>
    <t xml:space="preserve">"sepisovat-002"</t>
  </si>
  <si>
    <t xml:space="preserve">"sepnout-001"</t>
  </si>
  <si>
    <t xml:space="preserve">ACT-&gt;ARG0/13,ARG1/9</t>
  </si>
  <si>
    <t xml:space="preserve">"sepsat-001"</t>
  </si>
  <si>
    <t xml:space="preserve">"sepsout-001"</t>
  </si>
  <si>
    <t xml:space="preserve">"serializovat-001"</t>
  </si>
  <si>
    <t xml:space="preserve">"servírovat-001"</t>
  </si>
  <si>
    <t xml:space="preserve">"servírovat-002"</t>
  </si>
  <si>
    <t xml:space="preserve">"sesadit-001"</t>
  </si>
  <si>
    <t xml:space="preserve">"sesadit-002"</t>
  </si>
  <si>
    <t xml:space="preserve">"sesbírat-001"</t>
  </si>
  <si>
    <t xml:space="preserve">ACT-&gt;ARG0/64,ARG1/1</t>
  </si>
  <si>
    <t xml:space="preserve">"sesednout-001"</t>
  </si>
  <si>
    <t xml:space="preserve">"seskočit-001"</t>
  </si>
  <si>
    <t xml:space="preserve">"seskupit-se-001"</t>
  </si>
  <si>
    <t xml:space="preserve">"seskupovat-001"</t>
  </si>
  <si>
    <t xml:space="preserve">"sesmolit-001"</t>
  </si>
  <si>
    <t xml:space="preserve">"sesmolit-002"</t>
  </si>
  <si>
    <t xml:space="preserve">EFF-&gt;ARG1/1,ARG2/1</t>
  </si>
  <si>
    <t xml:space="preserve">"sesout-se-001"</t>
  </si>
  <si>
    <t xml:space="preserve">"sestavit-001"</t>
  </si>
  <si>
    <t xml:space="preserve">ACT-&gt;ARG0/334,ARG1/1</t>
  </si>
  <si>
    <t xml:space="preserve">PAT-&gt;ARG1/571,ARG2/2</t>
  </si>
  <si>
    <t xml:space="preserve">"sestavit-002"</t>
  </si>
  <si>
    <t xml:space="preserve">"sestavovat-001"</t>
  </si>
  <si>
    <t xml:space="preserve">PAT-&gt;ARG0/16,ARG1/305</t>
  </si>
  <si>
    <t xml:space="preserve">"sestavovat-002"</t>
  </si>
  <si>
    <t xml:space="preserve">"sestoupit-001"</t>
  </si>
  <si>
    <t xml:space="preserve">"sestrojit-001"</t>
  </si>
  <si>
    <t xml:space="preserve">"sestupovat-001"</t>
  </si>
  <si>
    <t xml:space="preserve">ACT-&gt;ARG1/102</t>
  </si>
  <si>
    <t xml:space="preserve">ACT-&gt;ARG0/4,ARG1/294</t>
  </si>
  <si>
    <t xml:space="preserve">"sestykovat-001"</t>
  </si>
  <si>
    <t xml:space="preserve">"sestávat-001"</t>
  </si>
  <si>
    <t xml:space="preserve">ACT-&gt;ARG0/3,ARG1/57</t>
  </si>
  <si>
    <t xml:space="preserve">PAT-&gt;ARG0/29,ARG1/2,ARG2/84</t>
  </si>
  <si>
    <t xml:space="preserve">"sestřelit-001"</t>
  </si>
  <si>
    <t xml:space="preserve">"sestřihávat-001"</t>
  </si>
  <si>
    <t xml:space="preserve">"sesumírovat-001"</t>
  </si>
  <si>
    <t xml:space="preserve">"sesunout-se-001"</t>
  </si>
  <si>
    <t xml:space="preserve">"sesypat-se-001"</t>
  </si>
  <si>
    <t xml:space="preserve">"setkat-se-001"</t>
  </si>
  <si>
    <t xml:space="preserve">ACT-&gt;ARG0/683,ARG1/16</t>
  </si>
  <si>
    <t xml:space="preserve">PAT-&gt;ARG1/889,ARG2/16</t>
  </si>
  <si>
    <t xml:space="preserve">"setkat-se-002"</t>
  </si>
  <si>
    <t xml:space="preserve">ACT-&gt;ARG0/1238,ARG1/8</t>
  </si>
  <si>
    <t xml:space="preserve">PAT-&gt;ARG1/1545,ARG2/1</t>
  </si>
  <si>
    <t xml:space="preserve">"setkávat-se-001"</t>
  </si>
  <si>
    <t xml:space="preserve">ACT-&gt;ARG0/121,ARG1/2</t>
  </si>
  <si>
    <t xml:space="preserve">"setkávat-se-002"</t>
  </si>
  <si>
    <t xml:space="preserve">ACT-&gt;ARG0/91,ARG1/42</t>
  </si>
  <si>
    <t xml:space="preserve">"setmít-se-001"</t>
  </si>
  <si>
    <t xml:space="preserve">"setrvat-001"</t>
  </si>
  <si>
    <t xml:space="preserve">"setrvat-002"</t>
  </si>
  <si>
    <t xml:space="preserve">LOC-&gt;ARG1/124,ARG2/3551,ARG3/415</t>
  </si>
  <si>
    <t xml:space="preserve">MANN-&gt;ARG1/124,ARG2/3551,ARG3/415</t>
  </si>
  <si>
    <t xml:space="preserve">ACMP-&gt;ARG1/124,ARG2/3551,ARG3/415</t>
  </si>
  <si>
    <t xml:space="preserve">"setrvávat-001"</t>
  </si>
  <si>
    <t xml:space="preserve">ACT-&gt;ARG0/156,ARG1/47</t>
  </si>
  <si>
    <t xml:space="preserve">PAT: na+6; v+6</t>
  </si>
  <si>
    <t xml:space="preserve">"setrvávat-002"</t>
  </si>
  <si>
    <t xml:space="preserve">"setrvávat-003"</t>
  </si>
  <si>
    <t xml:space="preserve">"setřást-001"</t>
  </si>
  <si>
    <t xml:space="preserve">"setřít-001"</t>
  </si>
  <si>
    <t xml:space="preserve">"setřít-002"</t>
  </si>
  <si>
    <t xml:space="preserve">"sevřít-001"</t>
  </si>
  <si>
    <t xml:space="preserve">PAT-&gt;ARG1/238</t>
  </si>
  <si>
    <t xml:space="preserve">"sevřít-se-001"</t>
  </si>
  <si>
    <t xml:space="preserve">"seznamovat-001"</t>
  </si>
  <si>
    <t xml:space="preserve">"seznamovat-se-001"</t>
  </si>
  <si>
    <t xml:space="preserve">"seznamovat-se-002"</t>
  </si>
  <si>
    <t xml:space="preserve">"seznat-001"</t>
  </si>
  <si>
    <t xml:space="preserve">PAT: 4; 4; .f</t>
  </si>
  <si>
    <t xml:space="preserve">PAT-&gt;ARG0/2,ARG1/63,ARG2/1</t>
  </si>
  <si>
    <t xml:space="preserve">EFF: 7; za+4; 4[{jako,jakožto}:/AuxY]; .a4[{jako,jakožto}:/AuxY]</t>
  </si>
  <si>
    <t xml:space="preserve">EFF-&gt;ARG1/59</t>
  </si>
  <si>
    <t xml:space="preserve">"seznat-002"</t>
  </si>
  <si>
    <t xml:space="preserve">"seznámit-001"</t>
  </si>
  <si>
    <t xml:space="preserve">ACT-&gt;ARG0/397,ARG1/2</t>
  </si>
  <si>
    <t xml:space="preserve">PAT-&gt;ARG1/516,ARG2/1</t>
  </si>
  <si>
    <t xml:space="preserve">ADDR-&gt;ARG1/1,ARG2/41</t>
  </si>
  <si>
    <t xml:space="preserve">"seznámit-se-001"</t>
  </si>
  <si>
    <t xml:space="preserve">ACT-&gt;ARG0/91</t>
  </si>
  <si>
    <t xml:space="preserve">"seznámit-se-002"</t>
  </si>
  <si>
    <t xml:space="preserve">"sezvat-001"</t>
  </si>
  <si>
    <t xml:space="preserve">"sečíst-001"</t>
  </si>
  <si>
    <t xml:space="preserve">"sečíst-002"</t>
  </si>
  <si>
    <t xml:space="preserve">PAT: 4; ↓jestli; ↓c</t>
  </si>
  <si>
    <t xml:space="preserve">ACT-&gt;ARG1/121</t>
  </si>
  <si>
    <t xml:space="preserve">PAT-&gt;ARG2/179</t>
  </si>
  <si>
    <t xml:space="preserve">"--sečíst-003"</t>
  </si>
  <si>
    <t xml:space="preserve">"sečítat-001"</t>
  </si>
  <si>
    <t xml:space="preserve">"seřadit-001"</t>
  </si>
  <si>
    <t xml:space="preserve">"seřadit-se-001"</t>
  </si>
  <si>
    <t xml:space="preserve">"seřazovat-001"</t>
  </si>
  <si>
    <t xml:space="preserve">"seřizovat-001"</t>
  </si>
  <si>
    <t xml:space="preserve">"seřvat-001"</t>
  </si>
  <si>
    <t xml:space="preserve">"seřvávat-001"</t>
  </si>
  <si>
    <t xml:space="preserve">"seřídit-001"</t>
  </si>
  <si>
    <t xml:space="preserve">"seříznout-001"</t>
  </si>
  <si>
    <t xml:space="preserve">"sešikovat-001"</t>
  </si>
  <si>
    <t xml:space="preserve">"seškrtat-001"</t>
  </si>
  <si>
    <t xml:space="preserve">"seškrtnout-001"</t>
  </si>
  <si>
    <t xml:space="preserve">"sešlápnout-001"</t>
  </si>
  <si>
    <t xml:space="preserve">"sešoupat-001"</t>
  </si>
  <si>
    <t xml:space="preserve">"sešroubovávat-001"</t>
  </si>
  <si>
    <t xml:space="preserve">"sešít-001"</t>
  </si>
  <si>
    <t xml:space="preserve">"sešít-002"</t>
  </si>
  <si>
    <t xml:space="preserve">"sešívat-001"</t>
  </si>
  <si>
    <t xml:space="preserve">"sežrat-001"</t>
  </si>
  <si>
    <t xml:space="preserve">ACT-&gt;ARG0/47,ARG1/1</t>
  </si>
  <si>
    <t xml:space="preserve">"sežrat-002"</t>
  </si>
  <si>
    <t xml:space="preserve">"shazovat-001"</t>
  </si>
  <si>
    <t xml:space="preserve">"shazovat-002"</t>
  </si>
  <si>
    <t xml:space="preserve">"shazovat-003"</t>
  </si>
  <si>
    <t xml:space="preserve">PAT-&gt;ARG0/2,ARG1/11</t>
  </si>
  <si>
    <t xml:space="preserve">"shazovat-004"</t>
  </si>
  <si>
    <t xml:space="preserve">"shazovat-005"</t>
  </si>
  <si>
    <t xml:space="preserve">DPHR: na-1[váha.S6]</t>
  </si>
  <si>
    <t xml:space="preserve">"shledat-001"</t>
  </si>
  <si>
    <t xml:space="preserve">PAT-&gt;ARG0/2,ARG1/87,ARG2/1</t>
  </si>
  <si>
    <t xml:space="preserve">EFF: 7; za+4; za-1[.a]</t>
  </si>
  <si>
    <t xml:space="preserve">EFF-&gt;ARG1/119</t>
  </si>
  <si>
    <t xml:space="preserve">"shledat-002"</t>
  </si>
  <si>
    <t xml:space="preserve">PAT-&gt;ARG0/1,ARG1/175</t>
  </si>
  <si>
    <t xml:space="preserve">"shledat-se-001"</t>
  </si>
  <si>
    <t xml:space="preserve">"shledávat-001"</t>
  </si>
  <si>
    <t xml:space="preserve">"shledávat-002"</t>
  </si>
  <si>
    <t xml:space="preserve">ACT-&gt;ARG0/159,ARG1/1</t>
  </si>
  <si>
    <t xml:space="preserve">PAT-&gt;ARG0/1,ARG1/171</t>
  </si>
  <si>
    <t xml:space="preserve">"shluknout-se-001"</t>
  </si>
  <si>
    <t xml:space="preserve">"shlukovat-se-001"</t>
  </si>
  <si>
    <t xml:space="preserve">"shlížet-001"</t>
  </si>
  <si>
    <t xml:space="preserve">"shnít-001"</t>
  </si>
  <si>
    <t xml:space="preserve">"shodit-001"</t>
  </si>
  <si>
    <t xml:space="preserve">"shodit-002"</t>
  </si>
  <si>
    <t xml:space="preserve">DPHR: pod-1[stůl.S4]</t>
  </si>
  <si>
    <t xml:space="preserve">"shodit-003"</t>
  </si>
  <si>
    <t xml:space="preserve">"shodnout-se-001"</t>
  </si>
  <si>
    <t xml:space="preserve">?PAT: ↓že; v+6; na+6; ↓c</t>
  </si>
  <si>
    <t xml:space="preserve">PAT-&gt;ARG0/1,ARG1/24</t>
  </si>
  <si>
    <t xml:space="preserve">ACT-&gt;ARG0/555</t>
  </si>
  <si>
    <t xml:space="preserve">ADDR-&gt;ARG1/17,ARG2/32</t>
  </si>
  <si>
    <t xml:space="preserve">PAT-&gt;ARG0/1,ARG1/453,ARG2/7</t>
  </si>
  <si>
    <t xml:space="preserve">"shodovat-se-001"</t>
  </si>
  <si>
    <t xml:space="preserve">PAT: ↓že; v+6; na+6; ↓zda</t>
  </si>
  <si>
    <t xml:space="preserve">ACT-&gt;ARG0/12244,ARG1/54</t>
  </si>
  <si>
    <t xml:space="preserve">PAT-&gt;ARG0/3,ARG1/10579,ARG2/2</t>
  </si>
  <si>
    <t xml:space="preserve">"shodovat-se-002"</t>
  </si>
  <si>
    <t xml:space="preserve">ACT-&gt;ARG0/74,ARG1/28</t>
  </si>
  <si>
    <t xml:space="preserve">PAT-&gt;ARG1/195,ARG2/4</t>
  </si>
  <si>
    <t xml:space="preserve">"shořet-001"</t>
  </si>
  <si>
    <t xml:space="preserve">"shrabat-001"</t>
  </si>
  <si>
    <t xml:space="preserve">"shrabat-002"</t>
  </si>
  <si>
    <t xml:space="preserve">"shrabovat-001"</t>
  </si>
  <si>
    <t xml:space="preserve">"shrabávat-001"</t>
  </si>
  <si>
    <t xml:space="preserve">"shrnout-001"</t>
  </si>
  <si>
    <t xml:space="preserve">ACT-&gt;ARG0/4,ARG2/2</t>
  </si>
  <si>
    <t xml:space="preserve">PAT: 4; ↓že; .s; ↓c</t>
  </si>
  <si>
    <t xml:space="preserve">"shrnout-002"</t>
  </si>
  <si>
    <t xml:space="preserve">"shrnovat-001"</t>
  </si>
  <si>
    <t xml:space="preserve">ACT-&gt;ARG0/535,ARG1/1</t>
  </si>
  <si>
    <t xml:space="preserve">PAT: 4; ↓že; .s; ↓c; .v</t>
  </si>
  <si>
    <t xml:space="preserve">PAT-&gt;ARG1/580</t>
  </si>
  <si>
    <t xml:space="preserve">"shrnovat-002"</t>
  </si>
  <si>
    <t xml:space="preserve">"shrnovat-003"</t>
  </si>
  <si>
    <t xml:space="preserve">"shromažďovat-001"</t>
  </si>
  <si>
    <t xml:space="preserve">"shromažďovat-se-001"</t>
  </si>
  <si>
    <t xml:space="preserve">"shromáždit-001"</t>
  </si>
  <si>
    <t xml:space="preserve">ACT-&gt;ARG0/51,ARG1/9</t>
  </si>
  <si>
    <t xml:space="preserve">"shromáždit-se-001"</t>
  </si>
  <si>
    <t xml:space="preserve">ACT-&gt;ARG0/7,ARG1/10</t>
  </si>
  <si>
    <t xml:space="preserve">"shromáždit-se-002"</t>
  </si>
  <si>
    <t xml:space="preserve">"shrábnout-001"</t>
  </si>
  <si>
    <t xml:space="preserve">"shánět-001"</t>
  </si>
  <si>
    <t xml:space="preserve">ACT-&gt;ARG0/310,ARG2/1</t>
  </si>
  <si>
    <t xml:space="preserve">PAT-&gt;ARG1/492</t>
  </si>
  <si>
    <t xml:space="preserve">"shánět-se-001"</t>
  </si>
  <si>
    <t xml:space="preserve">"shýbnout-se-001"</t>
  </si>
  <si>
    <t xml:space="preserve">?PAT: pro+4</t>
  </si>
  <si>
    <t xml:space="preserve">"signalizovat-001"</t>
  </si>
  <si>
    <t xml:space="preserve">ACT-&gt;ARG0/531,ARG1/2</t>
  </si>
  <si>
    <t xml:space="preserve">ACT-&gt;ARG0/479,ARG1/2</t>
  </si>
  <si>
    <t xml:space="preserve">PAT-&gt;ARG0/1,ARG1/482</t>
  </si>
  <si>
    <t xml:space="preserve">PAT-&gt;ARG0/1,ARG1/609</t>
  </si>
  <si>
    <t xml:space="preserve">PAT-&gt;ARG1/554</t>
  </si>
  <si>
    <t xml:space="preserve">ADDR-&gt;ARG0/1</t>
  </si>
  <si>
    <t xml:space="preserve">ADDR-&gt;ARG0/1,ARG2/18</t>
  </si>
  <si>
    <t xml:space="preserve">"signalizovat-002"</t>
  </si>
  <si>
    <t xml:space="preserve">"signalizovat-003"</t>
  </si>
  <si>
    <t xml:space="preserve">"signovat-001"</t>
  </si>
  <si>
    <t xml:space="preserve">"simulovat-001"</t>
  </si>
  <si>
    <t xml:space="preserve">"situovat-001"</t>
  </si>
  <si>
    <t xml:space="preserve">"sjednat-001"</t>
  </si>
  <si>
    <t xml:space="preserve">ACT-&gt;ARG0/643,ARG1/1</t>
  </si>
  <si>
    <t xml:space="preserve">PAT: 4; ↓že; ↓c; ↓zda; ↓jestli; ↓aby</t>
  </si>
  <si>
    <t xml:space="preserve">PAT-&gt;ARG0/2,ARG1/1025,ARG2/63,ARG3/1</t>
  </si>
  <si>
    <t xml:space="preserve">ADDR-&gt;ARG1/35,ARG2/3,ARG4/7</t>
  </si>
  <si>
    <t xml:space="preserve">"sjednocovat-001"</t>
  </si>
  <si>
    <t xml:space="preserve">?EFF: do+2; v+4; na+4</t>
  </si>
  <si>
    <t xml:space="preserve">"sjednotit-001"</t>
  </si>
  <si>
    <t xml:space="preserve">ACT-&gt;ARG0/24,ARG1/1</t>
  </si>
  <si>
    <t xml:space="preserve">PAT-&gt;ARG1/64,ARG2/2</t>
  </si>
  <si>
    <t xml:space="preserve">"sjednotit-se-001"</t>
  </si>
  <si>
    <t xml:space="preserve">"sjednávat-001"</t>
  </si>
  <si>
    <t xml:space="preserve">PAT-&gt;ARG1/115,ARG2/63</t>
  </si>
  <si>
    <t xml:space="preserve">"sjednávat-002"</t>
  </si>
  <si>
    <t xml:space="preserve">DPHR: pořádek.S4</t>
  </si>
  <si>
    <t xml:space="preserve">"sjet-001"</t>
  </si>
  <si>
    <t xml:space="preserve">"sjet-002"</t>
  </si>
  <si>
    <t xml:space="preserve">"sjet-003"</t>
  </si>
  <si>
    <t xml:space="preserve">"sjet-004"</t>
  </si>
  <si>
    <t xml:space="preserve">"sjet-se-001"</t>
  </si>
  <si>
    <t xml:space="preserve">"sjet-se-002"</t>
  </si>
  <si>
    <t xml:space="preserve">"sjezdit-001"</t>
  </si>
  <si>
    <t xml:space="preserve">"sjezdovat-001"</t>
  </si>
  <si>
    <t xml:space="preserve">"sjíždět-001"</t>
  </si>
  <si>
    <t xml:space="preserve">DIR1-&gt;ARG1/3,ARG2/1</t>
  </si>
  <si>
    <t xml:space="preserve">"sjíždět-002"</t>
  </si>
  <si>
    <t xml:space="preserve">"sjíždět-se-001"</t>
  </si>
  <si>
    <t xml:space="preserve">"sjíždět-se-002"</t>
  </si>
  <si>
    <t xml:space="preserve">"sjíždět-se-003"</t>
  </si>
  <si>
    <t xml:space="preserve">"skamarádit-se-001"</t>
  </si>
  <si>
    <t xml:space="preserve">"skandalizovat-001"</t>
  </si>
  <si>
    <t xml:space="preserve">"skandovat-001"</t>
  </si>
  <si>
    <t xml:space="preserve">"skartovat-001"</t>
  </si>
  <si>
    <t xml:space="preserve">"skautovat-001"</t>
  </si>
  <si>
    <t xml:space="preserve">"skejsnout-001"</t>
  </si>
  <si>
    <t xml:space="preserve">"skenovat-001"</t>
  </si>
  <si>
    <t xml:space="preserve">"skladovat-001"</t>
  </si>
  <si>
    <t xml:space="preserve">"sklapnout-001"</t>
  </si>
  <si>
    <t xml:space="preserve">"sklapnout-002"</t>
  </si>
  <si>
    <t xml:space="preserve">"sklapnout-003"</t>
  </si>
  <si>
    <t xml:space="preserve">"sklepnout-001"</t>
  </si>
  <si>
    <t xml:space="preserve">"sklidit-001"</t>
  </si>
  <si>
    <t xml:space="preserve">"sklidit-002"</t>
  </si>
  <si>
    <t xml:space="preserve">"sklidit-003"</t>
  </si>
  <si>
    <t xml:space="preserve">"sklonit-001"</t>
  </si>
  <si>
    <t xml:space="preserve">DPHR: hlava.4</t>
  </si>
  <si>
    <t xml:space="preserve">"sklonit-se-001"</t>
  </si>
  <si>
    <t xml:space="preserve">"sklonit-se-002"</t>
  </si>
  <si>
    <t xml:space="preserve">"sklopit-001"</t>
  </si>
  <si>
    <t xml:space="preserve">"skloubit-001"</t>
  </si>
  <si>
    <t xml:space="preserve">"sklouznout-001"</t>
  </si>
  <si>
    <t xml:space="preserve">ACT-&gt;ARG1/194</t>
  </si>
  <si>
    <t xml:space="preserve">PAT-&gt;ARG2/2,ARG4/82,ARGm-LOC/1</t>
  </si>
  <si>
    <t xml:space="preserve">ORIG-&gt;ARG3/10,ARGm-LOC/1</t>
  </si>
  <si>
    <t xml:space="preserve">"sklouznout-002"</t>
  </si>
  <si>
    <t xml:space="preserve">"sklouznout-se-001"</t>
  </si>
  <si>
    <t xml:space="preserve">"sklouzávat-001"</t>
  </si>
  <si>
    <t xml:space="preserve">ACT-&gt;ARG0/5,ARG1/1302,ARG2/4</t>
  </si>
  <si>
    <t xml:space="preserve">DIR3-&gt;ARGm-LOC/1</t>
  </si>
  <si>
    <t xml:space="preserve">DIR3-&gt;ARG2/12,ARG4/772,ARGM-LOC/1</t>
  </si>
  <si>
    <t xml:space="preserve">"skládat-001"</t>
  </si>
  <si>
    <t xml:space="preserve">"skládat-002"</t>
  </si>
  <si>
    <t xml:space="preserve">"skládat-003"</t>
  </si>
  <si>
    <t xml:space="preserve">"skládat-004"</t>
  </si>
  <si>
    <t xml:space="preserve">"skládat-005"</t>
  </si>
  <si>
    <t xml:space="preserve">DPHR: poklona.4</t>
  </si>
  <si>
    <t xml:space="preserve">"skládat-006"</t>
  </si>
  <si>
    <t xml:space="preserve">"skládat-007"</t>
  </si>
  <si>
    <t xml:space="preserve">"skládat-se-001"</t>
  </si>
  <si>
    <t xml:space="preserve">"skládat-se-002"</t>
  </si>
  <si>
    <t xml:space="preserve">ACT-&gt;ARG0/3,ARG1/64,ARG2/1</t>
  </si>
  <si>
    <t xml:space="preserve">PAT-&gt;ARG0/29,ARG1/3,ARG2/113</t>
  </si>
  <si>
    <t xml:space="preserve">"sklánět-se-001"</t>
  </si>
  <si>
    <t xml:space="preserve">"sklánět-se-002"</t>
  </si>
  <si>
    <t xml:space="preserve">"sklápět-001"</t>
  </si>
  <si>
    <t xml:space="preserve">"sklízet-001"</t>
  </si>
  <si>
    <t xml:space="preserve">"sklízet-002"</t>
  </si>
  <si>
    <t xml:space="preserve">"skolit-001"</t>
  </si>
  <si>
    <t xml:space="preserve">"skoncovat-001"</t>
  </si>
  <si>
    <t xml:space="preserve">"skončit-001"</t>
  </si>
  <si>
    <t xml:space="preserve">ACT-&gt;ARG0/27,ARG1/3463,ARG2/296</t>
  </si>
  <si>
    <t xml:space="preserve">PAT-&gt;ARG1/67,ARGm-EXT/352,ARGm-MNR/260</t>
  </si>
  <si>
    <t xml:space="preserve">"skončit-002"</t>
  </si>
  <si>
    <t xml:space="preserve">ACT-&gt;ARG0/69,ARG1/76</t>
  </si>
  <si>
    <t xml:space="preserve">PAT-&gt;ARG1/122,ARG2/16,ARGm-MNR/8</t>
  </si>
  <si>
    <t xml:space="preserve">"skončit-003"</t>
  </si>
  <si>
    <t xml:space="preserve">LOC-&gt;ARG2/8</t>
  </si>
  <si>
    <t xml:space="preserve">LOC-&gt;ARG2/16</t>
  </si>
  <si>
    <t xml:space="preserve">"skončit-004"</t>
  </si>
  <si>
    <t xml:space="preserve">ACT-&gt;ARG1/406</t>
  </si>
  <si>
    <t xml:space="preserve">ACT-&gt;ARG1/421</t>
  </si>
  <si>
    <t xml:space="preserve">LOC-&gt;ARG1/1,ARG2/22,ARG4/29,ARGm-EXT/392,ARGm-MNR/281</t>
  </si>
  <si>
    <t xml:space="preserve">LOC-&gt;ARG1/1,ARG2/22,ARG4/38,ARGM-EXT/392,ARGM-MNR/281</t>
  </si>
  <si>
    <t xml:space="preserve">ACT-&gt;ARG0/1,ARG1/114</t>
  </si>
  <si>
    <t xml:space="preserve">LOC-&gt;ARG2/22,ARG4/29,ARGm-EXT/40,ARGm-MNR/21</t>
  </si>
  <si>
    <t xml:space="preserve">ACT-&gt;ARG0/1,ARG1/563,ARG4/1</t>
  </si>
  <si>
    <t xml:space="preserve">LOC-&gt;ARG1/10,ARG2/68,ARG4/60,ARGm-EXT/397,ARGm-MNR/284</t>
  </si>
  <si>
    <t xml:space="preserve">"skončit-005"</t>
  </si>
  <si>
    <t xml:space="preserve">ACT-&gt;ARG0/19,ARG1/3702,ARG2/296</t>
  </si>
  <si>
    <t xml:space="preserve">"skončit-006"</t>
  </si>
  <si>
    <t xml:space="preserve">ACT-&gt;ARG0/133,ARG1/608</t>
  </si>
  <si>
    <t xml:space="preserve">MANN-&gt;ARG1/46,ARG2/151,ARGm-EXT/1,ARGm-MNR/7</t>
  </si>
  <si>
    <t xml:space="preserve">MEANS-&gt;ARG2/101,ARGm-EXT/40,ARGm-MNR/21</t>
  </si>
  <si>
    <t xml:space="preserve">MEANS-&gt;ARG1/37,ARG2/113</t>
  </si>
  <si>
    <t xml:space="preserve">ACMP-&gt;ARG1/3,ARG2/66,ARG4/29</t>
  </si>
  <si>
    <t xml:space="preserve">"skončit-007"</t>
  </si>
  <si>
    <t xml:space="preserve">MANN-&gt;ARG2/3</t>
  </si>
  <si>
    <t xml:space="preserve">MEANS-&gt;ARG2/10</t>
  </si>
  <si>
    <t xml:space="preserve">ACMP-&gt;ARG1/9,ARG2/16</t>
  </si>
  <si>
    <t xml:space="preserve">"skončit-008"</t>
  </si>
  <si>
    <t xml:space="preserve">ACT-&gt;ARG1/65</t>
  </si>
  <si>
    <t xml:space="preserve">PAT: změnit.v$2&lt;s&gt;</t>
  </si>
  <si>
    <t xml:space="preserve">PAT-&gt;ARG2/14,ARG4/29</t>
  </si>
  <si>
    <t xml:space="preserve">"--skončit-009"</t>
  </si>
  <si>
    <t xml:space="preserve">"--skončit-010"</t>
  </si>
  <si>
    <t xml:space="preserve">"skončit-se-001"</t>
  </si>
  <si>
    <t xml:space="preserve">"skotačit-001"</t>
  </si>
  <si>
    <t xml:space="preserve">"skoulet-001"</t>
  </si>
  <si>
    <t xml:space="preserve">"skoupit-001"</t>
  </si>
  <si>
    <t xml:space="preserve">ACT-&gt;ARG0/422,ARG1/1</t>
  </si>
  <si>
    <t xml:space="preserve">PAT-&gt;ARG0/2,ARG1/786,ARG3/1</t>
  </si>
  <si>
    <t xml:space="preserve">ORIG-&gt;ARG1/1,ARG2/57</t>
  </si>
  <si>
    <t xml:space="preserve">"skousnout-001"</t>
  </si>
  <si>
    <t xml:space="preserve">"skočit-001"</t>
  </si>
  <si>
    <t xml:space="preserve">"skočit-002"</t>
  </si>
  <si>
    <t xml:space="preserve">"skočit-003"</t>
  </si>
  <si>
    <t xml:space="preserve">"skočit-004"</t>
  </si>
  <si>
    <t xml:space="preserve">"skočit-005"</t>
  </si>
  <si>
    <t xml:space="preserve">ACT-&gt;ARG1/125</t>
  </si>
  <si>
    <t xml:space="preserve">PAT-&gt;ARG4/120</t>
  </si>
  <si>
    <t xml:space="preserve">"skočit-006"</t>
  </si>
  <si>
    <t xml:space="preserve">"skočit-007"</t>
  </si>
  <si>
    <t xml:space="preserve">"skrečovat-001"</t>
  </si>
  <si>
    <t xml:space="preserve">"skrýt-001"</t>
  </si>
  <si>
    <t xml:space="preserve">PAT-&gt;ARG0/2,ARG1/29</t>
  </si>
  <si>
    <t xml:space="preserve">"skrýt-002"</t>
  </si>
  <si>
    <t xml:space="preserve">"skrývat-001"</t>
  </si>
  <si>
    <t xml:space="preserve">ACT-&gt;ARG0/24,ARG1/2</t>
  </si>
  <si>
    <t xml:space="preserve">PAT-&gt;ARG0/2,ARG1/31</t>
  </si>
  <si>
    <t xml:space="preserve">"skrývat-002"</t>
  </si>
  <si>
    <t xml:space="preserve">"skrývat-003"</t>
  </si>
  <si>
    <t xml:space="preserve">"skrývat-se-001"</t>
  </si>
  <si>
    <t xml:space="preserve">ACT-&gt;ARG0/4,ARG1/35</t>
  </si>
  <si>
    <t xml:space="preserve">LOC-&gt;ARG2/34</t>
  </si>
  <si>
    <t xml:space="preserve">"skrčit-001"</t>
  </si>
  <si>
    <t xml:space="preserve">"skrčit-se-001"</t>
  </si>
  <si>
    <t xml:space="preserve">"skupovat-001"</t>
  </si>
  <si>
    <t xml:space="preserve">ACT-&gt;ARG0/401,ARG1/1</t>
  </si>
  <si>
    <t xml:space="preserve">"skvět-se-001"</t>
  </si>
  <si>
    <t xml:space="preserve">"skácet-se-001"</t>
  </si>
  <si>
    <t xml:space="preserve">"skácet-se-002"</t>
  </si>
  <si>
    <t xml:space="preserve">"skákat-001"</t>
  </si>
  <si>
    <t xml:space="preserve">"skákat-002"</t>
  </si>
  <si>
    <t xml:space="preserve">"skákat-003"</t>
  </si>
  <si>
    <t xml:space="preserve">"skákat-004"</t>
  </si>
  <si>
    <t xml:space="preserve">"skórovat-001"</t>
  </si>
  <si>
    <t xml:space="preserve">"skýtat-001"</t>
  </si>
  <si>
    <t xml:space="preserve">PAT-&gt;ARG1/386</t>
  </si>
  <si>
    <t xml:space="preserve">"skýtat-002"</t>
  </si>
  <si>
    <t xml:space="preserve">CPHR: {možnost,pomoc,rada-1,služba,záruka,...}.4</t>
  </si>
  <si>
    <t xml:space="preserve">"skřípat-001"</t>
  </si>
  <si>
    <t xml:space="preserve">"skřípat-002"</t>
  </si>
  <si>
    <t xml:space="preserve">"skřípat-003"</t>
  </si>
  <si>
    <t xml:space="preserve">"sladit-001"</t>
  </si>
  <si>
    <t xml:space="preserve">"sladit-002"</t>
  </si>
  <si>
    <t xml:space="preserve">"slavit-001"</t>
  </si>
  <si>
    <t xml:space="preserve">"slavit-002"</t>
  </si>
  <si>
    <t xml:space="preserve">"slavívat-001"</t>
  </si>
  <si>
    <t xml:space="preserve">"sledovat-001"</t>
  </si>
  <si>
    <t xml:space="preserve">ACT-&gt;ARG0/289,ARG1/116</t>
  </si>
  <si>
    <t xml:space="preserve">PAT-&gt;ARG1/446,ARG2/95</t>
  </si>
  <si>
    <t xml:space="preserve">"sledovat-002"</t>
  </si>
  <si>
    <t xml:space="preserve">ACT-&gt;ARG0/794,ARG1/5</t>
  </si>
  <si>
    <t xml:space="preserve">PAT: 4; ↓že; ↓jak-2; ↓zda; ↓jestli; ↓c</t>
  </si>
  <si>
    <t xml:space="preserve">PAT-&gt;ARG1/1118,ARG2/4</t>
  </si>
  <si>
    <t xml:space="preserve">"sledovat-003"</t>
  </si>
  <si>
    <t xml:space="preserve">ACT-&gt;ARG0/517,ARG1/5</t>
  </si>
  <si>
    <t xml:space="preserve">PAT-&gt;ARG0/3,ARG1/683,ARG2/1</t>
  </si>
  <si>
    <t xml:space="preserve">"sledovat-004"</t>
  </si>
  <si>
    <t xml:space="preserve">ACT-&gt;ARG0/354,ARG1/28</t>
  </si>
  <si>
    <t xml:space="preserve">PAT-&gt;ARG1/499,ARG2/28</t>
  </si>
  <si>
    <t xml:space="preserve">"sledovat-005"</t>
  </si>
  <si>
    <t xml:space="preserve">PAT-&gt;ARG0/1,ARG1/60</t>
  </si>
  <si>
    <t xml:space="preserve">"slehnout-001"</t>
  </si>
  <si>
    <t xml:space="preserve">"slehnout-002"</t>
  </si>
  <si>
    <t xml:space="preserve">"slehnout-se-001"</t>
  </si>
  <si>
    <t xml:space="preserve">DPHR: země.S1</t>
  </si>
  <si>
    <t xml:space="preserve">"slepit-001"</t>
  </si>
  <si>
    <t xml:space="preserve">"sletět-001"</t>
  </si>
  <si>
    <t xml:space="preserve">"slevit-001"</t>
  </si>
  <si>
    <t xml:space="preserve">"slevit-002"</t>
  </si>
  <si>
    <t xml:space="preserve">"slibovat-001"</t>
  </si>
  <si>
    <t xml:space="preserve">ACT-&gt;ARG0/94,ARG2/1</t>
  </si>
  <si>
    <t xml:space="preserve">PAT-&gt;ARG1/25,ARG2/87</t>
  </si>
  <si>
    <t xml:space="preserve">"slibovat-si-001"</t>
  </si>
  <si>
    <t xml:space="preserve">"slisovat-001"</t>
  </si>
  <si>
    <t xml:space="preserve">"sloupnout-001"</t>
  </si>
  <si>
    <t xml:space="preserve">"slout-001"</t>
  </si>
  <si>
    <t xml:space="preserve">"slout-002"</t>
  </si>
  <si>
    <t xml:space="preserve">PAT: {jako,jakožto}.1/AuxY</t>
  </si>
  <si>
    <t xml:space="preserve">"sloučit-001"</t>
  </si>
  <si>
    <t xml:space="preserve">ACT-&gt;ARG0/22,ARG1/15</t>
  </si>
  <si>
    <t xml:space="preserve">PAT-&gt;ARG1/75,ARG2/11</t>
  </si>
  <si>
    <t xml:space="preserve">ADDR-&gt;ARG1/2,ARG2/37</t>
  </si>
  <si>
    <t xml:space="preserve">EFF-&gt;ARG2/5,ARG3/2</t>
  </si>
  <si>
    <t xml:space="preserve">"sloučit-002"</t>
  </si>
  <si>
    <t xml:space="preserve">ACT-&gt;ARG0/20,ARG1/14</t>
  </si>
  <si>
    <t xml:space="preserve">PAT-&gt;ARG1/68,ARG2/11</t>
  </si>
  <si>
    <t xml:space="preserve">"sloučit-se-001"</t>
  </si>
  <si>
    <t xml:space="preserve">ACT-&gt;ARG0/8,ARG1/46</t>
  </si>
  <si>
    <t xml:space="preserve">PAT-&gt;ARG0/6,ARG1/7,ARG2/25</t>
  </si>
  <si>
    <t xml:space="preserve">"sloužit-001"</t>
  </si>
  <si>
    <t xml:space="preserve">ACT-&gt;ARG0/17,ARG1/5</t>
  </si>
  <si>
    <t xml:space="preserve">PAT: 3; k+3; pro+4</t>
  </si>
  <si>
    <t xml:space="preserve">PAT-&gt;ARG1/1,ARG2/34</t>
  </si>
  <si>
    <t xml:space="preserve">ACT-&gt;ARG0/86,ARG1/3102,ARG2/296</t>
  </si>
  <si>
    <t xml:space="preserve">PAT-&gt;ARG1/12,ARG2/42</t>
  </si>
  <si>
    <t xml:space="preserve">"sloužit-002"</t>
  </si>
  <si>
    <t xml:space="preserve">"sloužit-003"</t>
  </si>
  <si>
    <t xml:space="preserve">"sloužit-004"</t>
  </si>
  <si>
    <t xml:space="preserve">ACT-&gt;ARG0/109,ARG1/5</t>
  </si>
  <si>
    <t xml:space="preserve">"sloužit-005"</t>
  </si>
  <si>
    <t xml:space="preserve">ACT-&gt;ARG0/69,ARG1/3102,ARG2/296</t>
  </si>
  <si>
    <t xml:space="preserve">"sloužit-006"</t>
  </si>
  <si>
    <t xml:space="preserve">"sloužit-007"</t>
  </si>
  <si>
    <t xml:space="preserve">"složit-001"</t>
  </si>
  <si>
    <t xml:space="preserve">"složit-002"</t>
  </si>
  <si>
    <t xml:space="preserve">"složit-003"</t>
  </si>
  <si>
    <t xml:space="preserve">ORIG-&gt;ARG2/93</t>
  </si>
  <si>
    <t xml:space="preserve">"složit-004"</t>
  </si>
  <si>
    <t xml:space="preserve">"složit-005"</t>
  </si>
  <si>
    <t xml:space="preserve">"složit-006"</t>
  </si>
  <si>
    <t xml:space="preserve">"složit-007"</t>
  </si>
  <si>
    <t xml:space="preserve">"složit-008"</t>
  </si>
  <si>
    <t xml:space="preserve">DPHR: ruka:P4,do-1[klín:S2]</t>
  </si>
  <si>
    <t xml:space="preserve">"složit-009"</t>
  </si>
  <si>
    <t xml:space="preserve">"složit-010"</t>
  </si>
  <si>
    <t xml:space="preserve">DPHR: kompliment.S4</t>
  </si>
  <si>
    <t xml:space="preserve">"složit-011"</t>
  </si>
  <si>
    <t xml:space="preserve">"složit-012"</t>
  </si>
  <si>
    <t xml:space="preserve">"složit-013"</t>
  </si>
  <si>
    <t xml:space="preserve">"složit-se-001"</t>
  </si>
  <si>
    <t xml:space="preserve">ACT-&gt;ARG0/54,ARG1/1,ARG2/7</t>
  </si>
  <si>
    <t xml:space="preserve">"složit-se-002"</t>
  </si>
  <si>
    <t xml:space="preserve">"složit-se-003"</t>
  </si>
  <si>
    <t xml:space="preserve">"slunit-se-001"</t>
  </si>
  <si>
    <t xml:space="preserve">"slupnout-001"</t>
  </si>
  <si>
    <t xml:space="preserve">"slučovat-001"</t>
  </si>
  <si>
    <t xml:space="preserve">"slučovat-se-001"</t>
  </si>
  <si>
    <t xml:space="preserve">PAT-&gt;ARG1/5,ARG2/18</t>
  </si>
  <si>
    <t xml:space="preserve">"slučovat-se-002"</t>
  </si>
  <si>
    <t xml:space="preserve">"slušet-001"</t>
  </si>
  <si>
    <t xml:space="preserve">"slušet-se-001"</t>
  </si>
  <si>
    <t xml:space="preserve">"slyšet-001"</t>
  </si>
  <si>
    <t xml:space="preserve">PAT: 4; o+6</t>
  </si>
  <si>
    <t xml:space="preserve">PAT-&gt;ARG1/91,ARG2/10</t>
  </si>
  <si>
    <t xml:space="preserve">"slyšet-002"</t>
  </si>
  <si>
    <t xml:space="preserve">EFF: .f; ↓jak-2; ↓že; ↓c</t>
  </si>
  <si>
    <t xml:space="preserve">PAT-&gt;ARG1/50,ARG2/4</t>
  </si>
  <si>
    <t xml:space="preserve">EFF-&gt;ARG1/79,ARG2/4</t>
  </si>
  <si>
    <t xml:space="preserve">EFF-&gt;ARG1/50,ARG2/4</t>
  </si>
  <si>
    <t xml:space="preserve">"slyšet-003"</t>
  </si>
  <si>
    <t xml:space="preserve">PAT: 4; ↓že; ↓jak-2; ↓jestli; ↓zda; ↓c; .f</t>
  </si>
  <si>
    <t xml:space="preserve">ACT-&gt;ARG0/395,ARG1/1</t>
  </si>
  <si>
    <t xml:space="preserve">PAT-&gt;ARG1/438,ARG2/20</t>
  </si>
  <si>
    <t xml:space="preserve">"slyšet-004"</t>
  </si>
  <si>
    <t xml:space="preserve">"slyšet-005"</t>
  </si>
  <si>
    <t xml:space="preserve">"slyšet-006"</t>
  </si>
  <si>
    <t xml:space="preserve">DPHR: tráva.S4[růst.$2&lt;f&gt;$11&lt;A&gt;]</t>
  </si>
  <si>
    <t xml:space="preserve">"--slyšet-se-001"</t>
  </si>
  <si>
    <t xml:space="preserve">"slábnout-001"</t>
  </si>
  <si>
    <t xml:space="preserve">ACT-&gt;ARG1/49</t>
  </si>
  <si>
    <t xml:space="preserve">"slétat-se-001"</t>
  </si>
  <si>
    <t xml:space="preserve">"slétnout-001"</t>
  </si>
  <si>
    <t xml:space="preserve">"slévat-se-001"</t>
  </si>
  <si>
    <t xml:space="preserve">"slézat-001"</t>
  </si>
  <si>
    <t xml:space="preserve">"slézt-001"</t>
  </si>
  <si>
    <t xml:space="preserve">"slíbit-001"</t>
  </si>
  <si>
    <t xml:space="preserve">ACT-&gt;ARG0/12215,ARG1/36,ARG2/1</t>
  </si>
  <si>
    <t xml:space="preserve">PAT-&gt;ARG0/2,ARG1/10517,ARG2/92</t>
  </si>
  <si>
    <t xml:space="preserve">ADDR-&gt;ARG1/14,ARG2/9</t>
  </si>
  <si>
    <t xml:space="preserve">"slídit-001"</t>
  </si>
  <si>
    <t xml:space="preserve">"slít-se-001"</t>
  </si>
  <si>
    <t xml:space="preserve">"slýchat-001"</t>
  </si>
  <si>
    <t xml:space="preserve">PAT-&gt;ARG1/79,ARG2/4</t>
  </si>
  <si>
    <t xml:space="preserve">"slýchat-002"</t>
  </si>
  <si>
    <t xml:space="preserve">?ORIG: od+2; strana-3.S2[z-1]</t>
  </si>
  <si>
    <t xml:space="preserve">"slýchávat-001"</t>
  </si>
  <si>
    <t xml:space="preserve">"slýchávat-002"</t>
  </si>
  <si>
    <t xml:space="preserve">"smazat-001"</t>
  </si>
  <si>
    <t xml:space="preserve">"smazat-002"</t>
  </si>
  <si>
    <t xml:space="preserve">"smazávat-001"</t>
  </si>
  <si>
    <t xml:space="preserve">"smažit-001"</t>
  </si>
  <si>
    <t xml:space="preserve">"smekat-001"</t>
  </si>
  <si>
    <t xml:space="preserve">"smeknout-001"</t>
  </si>
  <si>
    <t xml:space="preserve">"smeknout-002"</t>
  </si>
  <si>
    <t xml:space="preserve">"smeknout-se-001"</t>
  </si>
  <si>
    <t xml:space="preserve">"smilovat-se-001"</t>
  </si>
  <si>
    <t xml:space="preserve">"smiřovat-se-001"</t>
  </si>
  <si>
    <t xml:space="preserve">ACT-&gt;ARG0/24,ARG1/3</t>
  </si>
  <si>
    <t xml:space="preserve">ACT-&gt;ARG0/124,ARG1/4</t>
  </si>
  <si>
    <t xml:space="preserve">PAT-&gt;ARG1/248,ARG2/2</t>
  </si>
  <si>
    <t xml:space="preserve">"smlouvat-001"</t>
  </si>
  <si>
    <t xml:space="preserve">PAT: 4; z+2; ↓že; ↓aby; ↓c</t>
  </si>
  <si>
    <t xml:space="preserve">"smlouvat-002"</t>
  </si>
  <si>
    <t xml:space="preserve">PAT-&gt;ARG1/19,ARG2/65</t>
  </si>
  <si>
    <t xml:space="preserve">"smluvit-001"</t>
  </si>
  <si>
    <t xml:space="preserve">"smolit-001"</t>
  </si>
  <si>
    <t xml:space="preserve">"smontovat-001"</t>
  </si>
  <si>
    <t xml:space="preserve">"smotat-001"</t>
  </si>
  <si>
    <t xml:space="preserve">"smočit-se-001"</t>
  </si>
  <si>
    <t xml:space="preserve">"smrdět-001"</t>
  </si>
  <si>
    <t xml:space="preserve">"smrkat-001"</t>
  </si>
  <si>
    <t xml:space="preserve">"smrsknout-se-001"</t>
  </si>
  <si>
    <t xml:space="preserve">"smrákat-se-001"</t>
  </si>
  <si>
    <t xml:space="preserve">"smrštit-se-001"</t>
  </si>
  <si>
    <t xml:space="preserve">"smršťovat-001"</t>
  </si>
  <si>
    <t xml:space="preserve">"smršťovat-se-001"</t>
  </si>
  <si>
    <t xml:space="preserve">"smát-se-001"</t>
  </si>
  <si>
    <t xml:space="preserve">"smát-se-002"</t>
  </si>
  <si>
    <t xml:space="preserve">"smést-001"</t>
  </si>
  <si>
    <t xml:space="preserve">"smést-002"</t>
  </si>
  <si>
    <t xml:space="preserve">"smést-003"</t>
  </si>
  <si>
    <t xml:space="preserve">"smíchat-001"</t>
  </si>
  <si>
    <t xml:space="preserve">"smířit-se-001"</t>
  </si>
  <si>
    <t xml:space="preserve">PAT-&gt;ARG1/2,ARG2/1,ARG3/2</t>
  </si>
  <si>
    <t xml:space="preserve">"smířit-se-002"</t>
  </si>
  <si>
    <t xml:space="preserve">"smýkat-001"</t>
  </si>
  <si>
    <t xml:space="preserve">"smýkat-002"</t>
  </si>
  <si>
    <t xml:space="preserve">"smýt-001"</t>
  </si>
  <si>
    <t xml:space="preserve">"smývat-001"</t>
  </si>
  <si>
    <t xml:space="preserve">"smýšlet-001"</t>
  </si>
  <si>
    <t xml:space="preserve">"směnit-001"</t>
  </si>
  <si>
    <t xml:space="preserve">"směnit-002"</t>
  </si>
  <si>
    <t xml:space="preserve">PAT-&gt;ARG1/429,ARG2/72,ARG3/40</t>
  </si>
  <si>
    <t xml:space="preserve">ORIG-&gt;ARG1/239,ARG2/1,ARG3/5</t>
  </si>
  <si>
    <t xml:space="preserve">"směrovat-001"</t>
  </si>
  <si>
    <t xml:space="preserve">"směrovat-002"</t>
  </si>
  <si>
    <t xml:space="preserve">"směstnat-001"</t>
  </si>
  <si>
    <t xml:space="preserve">"směstnat-002"</t>
  </si>
  <si>
    <t xml:space="preserve">"smět-001"</t>
  </si>
  <si>
    <t xml:space="preserve">"směňovat-001"</t>
  </si>
  <si>
    <t xml:space="preserve">"směřovat-001"</t>
  </si>
  <si>
    <t xml:space="preserve">"směřovat-002"</t>
  </si>
  <si>
    <t xml:space="preserve">ACT-&gt;ARG0/2316,ARG1/245</t>
  </si>
  <si>
    <t xml:space="preserve">PAT-&gt;ARG0/1,ARG1/2263,ARG2/186</t>
  </si>
  <si>
    <t xml:space="preserve">"směřovat-003"</t>
  </si>
  <si>
    <t xml:space="preserve">ACT-&gt;ARG0/35,ARG1/212</t>
  </si>
  <si>
    <t xml:space="preserve">DIR3-&gt;ARG2/105,ARG5/28</t>
  </si>
  <si>
    <t xml:space="preserve">"směřovat-004"</t>
  </si>
  <si>
    <t xml:space="preserve">ACT-&gt;ARG0/31,ARG1/163,ARG2/2</t>
  </si>
  <si>
    <t xml:space="preserve">DIR3-&gt;ARG1/21,ARG2/35</t>
  </si>
  <si>
    <t xml:space="preserve">"snažit-se-001"</t>
  </si>
  <si>
    <t xml:space="preserve">ACT-&gt;ARG0/823,ARG1/3209,ARG2/298</t>
  </si>
  <si>
    <t xml:space="preserve">ACT-&gt;ARG0/726,ARG2/2</t>
  </si>
  <si>
    <t xml:space="preserve">PAT-&gt;ARG1/1117,ARG2/8</t>
  </si>
  <si>
    <t xml:space="preserve">PAT-&gt;ARG1/970,ARG2/15</t>
  </si>
  <si>
    <t xml:space="preserve">"snižovat-001"</t>
  </si>
  <si>
    <t xml:space="preserve">ACT-&gt;ARG0/666,ARG1/167</t>
  </si>
  <si>
    <t xml:space="preserve">PAT-&gt;ARG1/1329,ARG2/2,ARG4/4</t>
  </si>
  <si>
    <t xml:space="preserve">ORIG-&gt;ARG2/1,ARG3/67,ARG4/1</t>
  </si>
  <si>
    <t xml:space="preserve">EFF-&gt;ARG2/13,ARG4/129,ARGm-LOC/1</t>
  </si>
  <si>
    <t xml:space="preserve">"snižovat-se-001"</t>
  </si>
  <si>
    <t xml:space="preserve">ACT-&gt;ARG1/348</t>
  </si>
  <si>
    <t xml:space="preserve">PAT-&gt;ARG4/80,ARGm-LOC/1</t>
  </si>
  <si>
    <t xml:space="preserve">ORIG-&gt;ARG3/44</t>
  </si>
  <si>
    <t xml:space="preserve">"snoubit-001"</t>
  </si>
  <si>
    <t xml:space="preserve">"snoubit-se-001"</t>
  </si>
  <si>
    <t xml:space="preserve">"snout-001"</t>
  </si>
  <si>
    <t xml:space="preserve">DPHR: plán.P4</t>
  </si>
  <si>
    <t xml:space="preserve">"snášet-001"</t>
  </si>
  <si>
    <t xml:space="preserve">ACT-&gt;ARG0/15,ARG1/8</t>
  </si>
  <si>
    <t xml:space="preserve">PAT-&gt;ARG1/15,ARG2/10</t>
  </si>
  <si>
    <t xml:space="preserve">"snášet-002"</t>
  </si>
  <si>
    <t xml:space="preserve">"snášet-003"</t>
  </si>
  <si>
    <t xml:space="preserve">"snášet-004"</t>
  </si>
  <si>
    <t xml:space="preserve">"--snášet-se-001"</t>
  </si>
  <si>
    <t xml:space="preserve">"snést-001"</t>
  </si>
  <si>
    <t xml:space="preserve">ACT-&gt;ARG0/347,ARG1/2</t>
  </si>
  <si>
    <t xml:space="preserve">PAT-&gt;ARG1/385</t>
  </si>
  <si>
    <t xml:space="preserve">"snést-002"</t>
  </si>
  <si>
    <t xml:space="preserve">"snést-se-001"</t>
  </si>
  <si>
    <t xml:space="preserve">"snést-se-002"</t>
  </si>
  <si>
    <t xml:space="preserve">"snídat-001"</t>
  </si>
  <si>
    <t xml:space="preserve">"snímat-001"</t>
  </si>
  <si>
    <t xml:space="preserve">"snímat-002"</t>
  </si>
  <si>
    <t xml:space="preserve">"sníst-001"</t>
  </si>
  <si>
    <t xml:space="preserve">"sníst-002"</t>
  </si>
  <si>
    <t xml:space="preserve">DPHR: hovno.4[Šalamounův.#]</t>
  </si>
  <si>
    <t xml:space="preserve">"snít-001"</t>
  </si>
  <si>
    <t xml:space="preserve">"snít-002"</t>
  </si>
  <si>
    <t xml:space="preserve">"snít-003"</t>
  </si>
  <si>
    <t xml:space="preserve">"snít-se-001"</t>
  </si>
  <si>
    <t xml:space="preserve">?EFF: o+6</t>
  </si>
  <si>
    <t xml:space="preserve">"snít-si-001"</t>
  </si>
  <si>
    <t xml:space="preserve">"snížit-001"</t>
  </si>
  <si>
    <t xml:space="preserve">ACT-&gt;ARG0/844,ARG1/654,ARG2/80</t>
  </si>
  <si>
    <t xml:space="preserve">PAT-&gt;ARG1/4731,ARG2/301,ARG4/27</t>
  </si>
  <si>
    <t xml:space="preserve">ORIG-&gt;ARG2/1,ARG3/226,ARG4/2</t>
  </si>
  <si>
    <t xml:space="preserve">EFF-&gt;ARG2/59,ARG3/1,ARG4/541,ARG5/1</t>
  </si>
  <si>
    <t xml:space="preserve">"snížit-002"</t>
  </si>
  <si>
    <t xml:space="preserve">"snížit-se-001"</t>
  </si>
  <si>
    <t xml:space="preserve">ACT-&gt;ARG1/1704,ARG2/4</t>
  </si>
  <si>
    <t xml:space="preserve">PAT-&gt;ARG2/19,ARG4/815,ARGm-LOC/1</t>
  </si>
  <si>
    <t xml:space="preserve">ORIG-&gt;ARG3/292,ARG4/6</t>
  </si>
  <si>
    <t xml:space="preserve">"snížit-se-002"</t>
  </si>
  <si>
    <t xml:space="preserve">"sněžit-001"</t>
  </si>
  <si>
    <t xml:space="preserve">"sněžit-002"</t>
  </si>
  <si>
    <t xml:space="preserve">"solit-001"</t>
  </si>
  <si>
    <t xml:space="preserve">"sondovat-001"</t>
  </si>
  <si>
    <t xml:space="preserve">"soptit-001"</t>
  </si>
  <si>
    <t xml:space="preserve">"soptit-002"</t>
  </si>
  <si>
    <t xml:space="preserve">"soucítit-001"</t>
  </si>
  <si>
    <t xml:space="preserve">"soudcovat-001"</t>
  </si>
  <si>
    <t xml:space="preserve">"soudcovat-002"</t>
  </si>
  <si>
    <t xml:space="preserve">"soudit-001"</t>
  </si>
  <si>
    <t xml:space="preserve">ACT-&gt;ARG0/5,ARG3/2</t>
  </si>
  <si>
    <t xml:space="preserve">ACT-&gt;ARG0/13,ARG3/2</t>
  </si>
  <si>
    <t xml:space="preserve">PAT-&gt;ARG1/14,ARG2/1,ARG3/1</t>
  </si>
  <si>
    <t xml:space="preserve">PAT-&gt;ARG1/48,ARG2/1,ARG3/1</t>
  </si>
  <si>
    <t xml:space="preserve">"soudit-002"</t>
  </si>
  <si>
    <t xml:space="preserve">ACT-&gt;ARG0/605,ARG1/6,ARG3/2</t>
  </si>
  <si>
    <t xml:space="preserve">ACT-&gt;ARG0/783,ARG1/24</t>
  </si>
  <si>
    <t xml:space="preserve">EFF-&gt;ARG1/666,ARG2/2</t>
  </si>
  <si>
    <t xml:space="preserve">EFF-&gt;ARG1/849,ARG2/2,ARG4/3</t>
  </si>
  <si>
    <t xml:space="preserve">PAT-&gt;ARG1/15,ARG2/4,ARG3/1</t>
  </si>
  <si>
    <t xml:space="preserve">PAT-&gt;ARG1/390,ARG2/4,ARG4/3</t>
  </si>
  <si>
    <t xml:space="preserve">"soudit-003"</t>
  </si>
  <si>
    <t xml:space="preserve">?ACT: ↓c</t>
  </si>
  <si>
    <t xml:space="preserve">DPHR: bůh.S1</t>
  </si>
  <si>
    <t xml:space="preserve">"soudit-se-001"</t>
  </si>
  <si>
    <t xml:space="preserve">PAT-&gt;ARG2/13,ARG3/2</t>
  </si>
  <si>
    <t xml:space="preserve">ADDR-&gt;ARG1/38</t>
  </si>
  <si>
    <t xml:space="preserve">"souhlasit-001"</t>
  </si>
  <si>
    <t xml:space="preserve">ACT-&gt;ARG0/458</t>
  </si>
  <si>
    <t xml:space="preserve">PAT: v+6; ↓že; ↓aby; .s</t>
  </si>
  <si>
    <t xml:space="preserve">ADDR-&gt;ARG1/13,ARG2/7</t>
  </si>
  <si>
    <t xml:space="preserve">ACT-&gt;ARG0/569</t>
  </si>
  <si>
    <t xml:space="preserve">PAT-&gt;ARG0/1,ARG1/454,ARG2/6</t>
  </si>
  <si>
    <t xml:space="preserve">ADDR-&gt;ARG1/21,ARG2/13</t>
  </si>
  <si>
    <t xml:space="preserve">"souhlasit-002"</t>
  </si>
  <si>
    <t xml:space="preserve">ACT-&gt;ARG0/26,ARG1/3</t>
  </si>
  <si>
    <t xml:space="preserve">"souhlasit-003"</t>
  </si>
  <si>
    <t xml:space="preserve">ACT-&gt;ARG0/393</t>
  </si>
  <si>
    <t xml:space="preserve">PAT: s+7; ↓aby; ↓že; .f</t>
  </si>
  <si>
    <t xml:space="preserve">PAT-&gt;ARG1/331,ARG2/10</t>
  </si>
  <si>
    <t xml:space="preserve">ACT-&gt;ARG0/870,ARG1/1</t>
  </si>
  <si>
    <t xml:space="preserve">PAT-&gt;ARG0/1,ARG1/848,ARG2/9</t>
  </si>
  <si>
    <t xml:space="preserve">ACT-&gt;ARG0/644,ARG1/12</t>
  </si>
  <si>
    <t xml:space="preserve">PAT-&gt;ARG1/629,ARG2/17</t>
  </si>
  <si>
    <t xml:space="preserve">PAT-&gt;ARG1/12,ARG2/4</t>
  </si>
  <si>
    <t xml:space="preserve">"--souhlasit-004"</t>
  </si>
  <si>
    <t xml:space="preserve">"souložit-001"</t>
  </si>
  <si>
    <t xml:space="preserve">"soupeřit-001"</t>
  </si>
  <si>
    <t xml:space="preserve">ADDR: s+7; proti+3</t>
  </si>
  <si>
    <t xml:space="preserve">?PAT: o+4; za+4; ↓c</t>
  </si>
  <si>
    <t xml:space="preserve">ADDR-&gt;ARG1/31,ARG2/1</t>
  </si>
  <si>
    <t xml:space="preserve">PAT-&gt;ARG1/1,ARG2/10</t>
  </si>
  <si>
    <t xml:space="preserve">"sousedit-001"</t>
  </si>
  <si>
    <t xml:space="preserve">"soustředit-001"</t>
  </si>
  <si>
    <t xml:space="preserve">PAT-&gt;ARG0/1,ARG1/30,ARG2/8</t>
  </si>
  <si>
    <t xml:space="preserve">EFF-&gt;ARG1/12,ARG2/4</t>
  </si>
  <si>
    <t xml:space="preserve">"soustředit-002"</t>
  </si>
  <si>
    <t xml:space="preserve">PAT-&gt;ARG1/2,ARG2/8</t>
  </si>
  <si>
    <t xml:space="preserve">"soustředit-003"</t>
  </si>
  <si>
    <t xml:space="preserve">PAT-&gt;ARG0/10,ARG1/8,ARG2/8</t>
  </si>
  <si>
    <t xml:space="preserve">DIR3-&gt;ARG1/12,ARG2/5</t>
  </si>
  <si>
    <t xml:space="preserve">"soustředit-se-001"</t>
  </si>
  <si>
    <t xml:space="preserve">ACT-&gt;ARG0/103,ARG1/7,ARG2/1</t>
  </si>
  <si>
    <t xml:space="preserve">PAT-&gt;ARG0/1,ARG1/142,ARG2/9</t>
  </si>
  <si>
    <t xml:space="preserve">"soustředit-se-002"</t>
  </si>
  <si>
    <t xml:space="preserve">"soustředit-se-003"</t>
  </si>
  <si>
    <t xml:space="preserve">"soustřeďovat-001"</t>
  </si>
  <si>
    <t xml:space="preserve">"soustřeďovat-se-001"</t>
  </si>
  <si>
    <t xml:space="preserve">ACT-&gt;ARG0/79,ARG1/7,ARG2/1</t>
  </si>
  <si>
    <t xml:space="preserve">PAT-&gt;ARG1/57,ARG2/13</t>
  </si>
  <si>
    <t xml:space="preserve">"soustřeďovat-se-002"</t>
  </si>
  <si>
    <t xml:space="preserve">"soustřeďovat-se-003"</t>
  </si>
  <si>
    <t xml:space="preserve">"soutěžit-001"</t>
  </si>
  <si>
    <t xml:space="preserve">"souviset-001"</t>
  </si>
  <si>
    <t xml:space="preserve">ACT-&gt;ARG0/40,ARG1/3413,ARG2/303</t>
  </si>
  <si>
    <t xml:space="preserve">PAT-&gt;ARG0/2154,ARG1/76,ARG2/374</t>
  </si>
  <si>
    <t xml:space="preserve">"souznít-001"</t>
  </si>
  <si>
    <t xml:space="preserve">"soužit-001"</t>
  </si>
  <si>
    <t xml:space="preserve">"spadat-001"</t>
  </si>
  <si>
    <t xml:space="preserve">ACT-&gt;ARG0/336,ARG1/32</t>
  </si>
  <si>
    <t xml:space="preserve">DIR3-&gt;ARG1/366</t>
  </si>
  <si>
    <t xml:space="preserve">"spadat-002"</t>
  </si>
  <si>
    <t xml:space="preserve">"spadnout-001"</t>
  </si>
  <si>
    <t xml:space="preserve">ACT-&gt;ARG1/1484,ARG2/5</t>
  </si>
  <si>
    <t xml:space="preserve">PAT-&gt;ARG2/13,ARG3/4,ARG4/851,ARGm-LOC/2</t>
  </si>
  <si>
    <t xml:space="preserve">ORIG-&gt;ARG2/1,ARG3/256,ARG4/15,ARGm-LOC/1</t>
  </si>
  <si>
    <t xml:space="preserve">"spadnout-002"</t>
  </si>
  <si>
    <t xml:space="preserve">ACT-&gt;ARG1/309</t>
  </si>
  <si>
    <t xml:space="preserve">ACT-&gt;ARG0/5,ARG1/1328,ARG2/4</t>
  </si>
  <si>
    <t xml:space="preserve">"spadnout-003"</t>
  </si>
  <si>
    <t xml:space="preserve">"spadnout-004"</t>
  </si>
  <si>
    <t xml:space="preserve">DPHR: do-1[klín:S2]</t>
  </si>
  <si>
    <t xml:space="preserve">"spadnout-005"</t>
  </si>
  <si>
    <t xml:space="preserve">DPHR: z-1[nebe.2]</t>
  </si>
  <si>
    <t xml:space="preserve">"spadnout-006"</t>
  </si>
  <si>
    <t xml:space="preserve">DPHR: z-1[višeň.2]</t>
  </si>
  <si>
    <t xml:space="preserve">"spadnout-007"</t>
  </si>
  <si>
    <t xml:space="preserve">"spadnout-008"</t>
  </si>
  <si>
    <t xml:space="preserve">"spakovat-001"</t>
  </si>
  <si>
    <t xml:space="preserve">"spalovat-001"</t>
  </si>
  <si>
    <t xml:space="preserve">"spalovat-002"</t>
  </si>
  <si>
    <t xml:space="preserve">"spapat-001"</t>
  </si>
  <si>
    <t xml:space="preserve">"spasit-001"</t>
  </si>
  <si>
    <t xml:space="preserve">EFF-&gt;ARG1/16,ARG2/71</t>
  </si>
  <si>
    <t xml:space="preserve">"spatřit-001"</t>
  </si>
  <si>
    <t xml:space="preserve">"spatřit-002"</t>
  </si>
  <si>
    <t xml:space="preserve">ACT-&gt;ARG0/377,ARG1/1</t>
  </si>
  <si>
    <t xml:space="preserve">ACT-&gt;ARG0/386,ARG1/1</t>
  </si>
  <si>
    <t xml:space="preserve">PAT-&gt;ARG1/20,ARG3/1</t>
  </si>
  <si>
    <t xml:space="preserve">PAT-&gt;ARG1/526,ARG2/1,ARG3/1</t>
  </si>
  <si>
    <t xml:space="preserve">EFF: .f; ↓jak-2; ↓že</t>
  </si>
  <si>
    <t xml:space="preserve">EFF-&gt;ARG1/483,ARG2/1</t>
  </si>
  <si>
    <t xml:space="preserve">"spatřit-003"</t>
  </si>
  <si>
    <t xml:space="preserve">ACT-&gt;ARG0/380,ARG1/1</t>
  </si>
  <si>
    <t xml:space="preserve">PAT-&gt;ARG1/506,ARG2/1,ARG3/1</t>
  </si>
  <si>
    <t xml:space="preserve">"spatřit-004"</t>
  </si>
  <si>
    <t xml:space="preserve">DPHR: světlo.NS4[svět.2]</t>
  </si>
  <si>
    <t xml:space="preserve">"spatřovat-001"</t>
  </si>
  <si>
    <t xml:space="preserve">ACT-&gt;ARG0/405,ARG1/1</t>
  </si>
  <si>
    <t xml:space="preserve">PAT-&gt;ARG1/510,ARG2/13</t>
  </si>
  <si>
    <t xml:space="preserve">EFF-&gt;ARG1/53</t>
  </si>
  <si>
    <t xml:space="preserve">"spatřovat-002"</t>
  </si>
  <si>
    <t xml:space="preserve">"spatřovat-003"</t>
  </si>
  <si>
    <t xml:space="preserve">"specializovat-se-001"</t>
  </si>
  <si>
    <t xml:space="preserve">ACT-&gt;ARG0/125,ARG1/2,ARG2/1</t>
  </si>
  <si>
    <t xml:space="preserve">PAT-&gt;ARG1/127,ARG2/2</t>
  </si>
  <si>
    <t xml:space="preserve">"specifikovat-001"</t>
  </si>
  <si>
    <t xml:space="preserve">"spekulovat-001"</t>
  </si>
  <si>
    <t xml:space="preserve">"spekulovat-002"</t>
  </si>
  <si>
    <t xml:space="preserve">ACT-&gt;ARG0/2184,ARG1/19</t>
  </si>
  <si>
    <t xml:space="preserve">"spelovat-001"</t>
  </si>
  <si>
    <t xml:space="preserve">"spiknout-se-001"</t>
  </si>
  <si>
    <t xml:space="preserve">"splachovat-001"</t>
  </si>
  <si>
    <t xml:space="preserve">"splachovat-002"</t>
  </si>
  <si>
    <t xml:space="preserve">"splakat-001"</t>
  </si>
  <si>
    <t xml:space="preserve">"splanýrovat-001"</t>
  </si>
  <si>
    <t xml:space="preserve">"splasknout-001"</t>
  </si>
  <si>
    <t xml:space="preserve">"splatit-001"</t>
  </si>
  <si>
    <t xml:space="preserve">ACT-&gt;ARG0/440,ARG1/2,ARG2/1</t>
  </si>
  <si>
    <t xml:space="preserve">PAT-&gt;ARG0/9,ARG1/628,ARG2/13,ARG3/23</t>
  </si>
  <si>
    <t xml:space="preserve">ADDR-&gt;ARG0/1,ARG1/14,ARG2/158,ARG3/4</t>
  </si>
  <si>
    <t xml:space="preserve">"splatit-002"</t>
  </si>
  <si>
    <t xml:space="preserve">"splavovat-001"</t>
  </si>
  <si>
    <t xml:space="preserve">"splašit-001"</t>
  </si>
  <si>
    <t xml:space="preserve">"splašit-se-001"</t>
  </si>
  <si>
    <t xml:space="preserve">"splašit-se-002"</t>
  </si>
  <si>
    <t xml:space="preserve">"splnit-001"</t>
  </si>
  <si>
    <t xml:space="preserve">ACT-&gt;ARG0/366,ARG1/20,ARG3/1</t>
  </si>
  <si>
    <t xml:space="preserve">ACT-&gt;ARG0/58,ARG1/44,ARG2/12</t>
  </si>
  <si>
    <t xml:space="preserve">PAT-&gt;ARG0/1,ARG1/599,ARG2/35</t>
  </si>
  <si>
    <t xml:space="preserve">PAT-&gt;ARG1/110,ARG2/42</t>
  </si>
  <si>
    <t xml:space="preserve">"splnit-se-001"</t>
  </si>
  <si>
    <t xml:space="preserve">"splynout-001"</t>
  </si>
  <si>
    <t xml:space="preserve">PAT-&gt;ARG1/4,ARG2/10</t>
  </si>
  <si>
    <t xml:space="preserve">"splácat-001"</t>
  </si>
  <si>
    <t xml:space="preserve">"splácet-001"</t>
  </si>
  <si>
    <t xml:space="preserve">ACT-&gt;ARG0/371,ARG1/11,ARG2/1</t>
  </si>
  <si>
    <t xml:space="preserve">PAT-&gt;ARG0/1,ARG1/549,ARG2/19,ARG3/15</t>
  </si>
  <si>
    <t xml:space="preserve">ADDR-&gt;ARG0/1,ARG1/12,ARG2/166,ARG3/4</t>
  </si>
  <si>
    <t xml:space="preserve">"splácet-002"</t>
  </si>
  <si>
    <t xml:space="preserve">"splácet-003"</t>
  </si>
  <si>
    <t xml:space="preserve">"spláchnout-001"</t>
  </si>
  <si>
    <t xml:space="preserve">"spláchnout-002"</t>
  </si>
  <si>
    <t xml:space="preserve">"splést-001"</t>
  </si>
  <si>
    <t xml:space="preserve">"splést-se-001"</t>
  </si>
  <si>
    <t xml:space="preserve">"splétat-001"</t>
  </si>
  <si>
    <t xml:space="preserve">"splývat-001"</t>
  </si>
  <si>
    <t xml:space="preserve">"splňovat-001"</t>
  </si>
  <si>
    <t xml:space="preserve">"spojit-001"</t>
  </si>
  <si>
    <t xml:space="preserve">ACT-&gt;ARG0/152,ARG1/1</t>
  </si>
  <si>
    <t xml:space="preserve">PAT-&gt;ARG0/58,ARG1/454,ARG2/1</t>
  </si>
  <si>
    <t xml:space="preserve">ADDR-&gt;ARG0/2,ARG1/113,ARG2/40</t>
  </si>
  <si>
    <t xml:space="preserve">"spojit-002"</t>
  </si>
  <si>
    <t xml:space="preserve">ACT-&gt;ARG0/138,ARG1/31,ARG2/46</t>
  </si>
  <si>
    <t xml:space="preserve">PAT-&gt;ARG0/1,ARG1/301</t>
  </si>
  <si>
    <t xml:space="preserve">ADDR-&gt;ARG1/116,ARG2/87</t>
  </si>
  <si>
    <t xml:space="preserve">"spojit-003"</t>
  </si>
  <si>
    <t xml:space="preserve">ACT-&gt;ARG0/35,ARG1/5</t>
  </si>
  <si>
    <t xml:space="preserve">PAT-&gt;ARG1/566,ARG2/16</t>
  </si>
  <si>
    <t xml:space="preserve">EFF-&gt;ARG1/85,ARG2/421</t>
  </si>
  <si>
    <t xml:space="preserve">"spojit-004"</t>
  </si>
  <si>
    <t xml:space="preserve">"spojit-005"</t>
  </si>
  <si>
    <t xml:space="preserve">"spojit-se-001"</t>
  </si>
  <si>
    <t xml:space="preserve">ACT-&gt;ARG0/165,ARG1/45</t>
  </si>
  <si>
    <t xml:space="preserve">PAT-&gt;ARG1/187,ARG2/71</t>
  </si>
  <si>
    <t xml:space="preserve">EFF-&gt;ARG1/3,ARG3/1</t>
  </si>
  <si>
    <t xml:space="preserve">"spojit-se-002"</t>
  </si>
  <si>
    <t xml:space="preserve">"spojovat-001"</t>
  </si>
  <si>
    <t xml:space="preserve">"spojovat-002"</t>
  </si>
  <si>
    <t xml:space="preserve">PAT-&gt;ARG0/2154,ARG1/111</t>
  </si>
  <si>
    <t xml:space="preserve">ADDR-&gt;ARG1/89,ARG2/2</t>
  </si>
  <si>
    <t xml:space="preserve">"spojovat-003"</t>
  </si>
  <si>
    <t xml:space="preserve">"spojovat-004"</t>
  </si>
  <si>
    <t xml:space="preserve">"spojovat-005"</t>
  </si>
  <si>
    <t xml:space="preserve">ADDR-&gt;ARG2/42</t>
  </si>
  <si>
    <t xml:space="preserve">PAT-&gt;ARG1/52,ARG2/42</t>
  </si>
  <si>
    <t xml:space="preserve">ADDR-&gt;ARG1/54,ARG2/9</t>
  </si>
  <si>
    <t xml:space="preserve">"spojovat-se-001"</t>
  </si>
  <si>
    <t xml:space="preserve">PAT-&gt;ARG0/4,ARG1/28</t>
  </si>
  <si>
    <t xml:space="preserve">EFF-&gt;ARG1/48</t>
  </si>
  <si>
    <t xml:space="preserve">"spojovat-se-002"</t>
  </si>
  <si>
    <t xml:space="preserve">PAT-&gt;ARG1/4,ARG2/18</t>
  </si>
  <si>
    <t xml:space="preserve">"spojovat-se-003"</t>
  </si>
  <si>
    <t xml:space="preserve">"spokojit-se-001"</t>
  </si>
  <si>
    <t xml:space="preserve">PAT-&gt;ARG1/1,ARG2/1,ARG3/2</t>
  </si>
  <si>
    <t xml:space="preserve">"spokojovat-se-001"</t>
  </si>
  <si>
    <t xml:space="preserve">"spolehnout-se-001"</t>
  </si>
  <si>
    <t xml:space="preserve">PAT-&gt;ARG1/46,ARG2/6</t>
  </si>
  <si>
    <t xml:space="preserve">"--spolehnout-se-002"</t>
  </si>
  <si>
    <t xml:space="preserve">"spolknout-001"</t>
  </si>
  <si>
    <t xml:space="preserve">"spolknout-002"</t>
  </si>
  <si>
    <t xml:space="preserve">"spolknout-003"</t>
  </si>
  <si>
    <t xml:space="preserve">"spolknout-004"</t>
  </si>
  <si>
    <t xml:space="preserve">"spolufinancovat-001"</t>
  </si>
  <si>
    <t xml:space="preserve">"spolupodílet-se-001"</t>
  </si>
  <si>
    <t xml:space="preserve">"spolupracovat-001"</t>
  </si>
  <si>
    <t xml:space="preserve">ACT-&gt;ARG0/475,ARG1/41,ARG3/1</t>
  </si>
  <si>
    <t xml:space="preserve">ADDR-&gt;ARG1/122,ARG2/35,ARG3/45</t>
  </si>
  <si>
    <t xml:space="preserve">"spolupůsobit-001"</t>
  </si>
  <si>
    <t xml:space="preserve">"spolusponzorovat-001"</t>
  </si>
  <si>
    <t xml:space="preserve">"spoluspravovat-001"</t>
  </si>
  <si>
    <t xml:space="preserve">PAT-&gt;ARG1/396</t>
  </si>
  <si>
    <t xml:space="preserve">ADDR-&gt;ARG0/395,ARG1/1</t>
  </si>
  <si>
    <t xml:space="preserve">"spoluvytvářet-001"</t>
  </si>
  <si>
    <t xml:space="preserve">"spoluzahájit-001"</t>
  </si>
  <si>
    <t xml:space="preserve">"spoluzajišťovat-001"</t>
  </si>
  <si>
    <t xml:space="preserve">PAT-&gt;ARG1/176,ARG2/6</t>
  </si>
  <si>
    <t xml:space="preserve">"spoluzaložit-001"</t>
  </si>
  <si>
    <t xml:space="preserve">?ORIG: na+6; z+2</t>
  </si>
  <si>
    <t xml:space="preserve">"spolužít-001"</t>
  </si>
  <si>
    <t xml:space="preserve">"spolykat-001"</t>
  </si>
  <si>
    <t xml:space="preserve">"spoléhat-001"</t>
  </si>
  <si>
    <t xml:space="preserve">PAT-&gt;ARG1/53,ARG2/10</t>
  </si>
  <si>
    <t xml:space="preserve">"spoléhat-se-001"</t>
  </si>
  <si>
    <t xml:space="preserve">ACT-&gt;ARG0/142</t>
  </si>
  <si>
    <t xml:space="preserve">PAT-&gt;ARG1/180,ARG2/11</t>
  </si>
  <si>
    <t xml:space="preserve">"spoléhat-se-002"</t>
  </si>
  <si>
    <t xml:space="preserve">ADDR-&gt;ARG1/46,ARG2/6</t>
  </si>
  <si>
    <t xml:space="preserve">PAT-&gt;ARG1/74,ARG2/4</t>
  </si>
  <si>
    <t xml:space="preserve">"spolčit-se-001"</t>
  </si>
  <si>
    <t xml:space="preserve">"sponzorovat-001"</t>
  </si>
  <si>
    <t xml:space="preserve">ACT-&gt;ARG0/181,ARG1/6</t>
  </si>
  <si>
    <t xml:space="preserve">PAT-&gt;ARG1/293,ARG2/1,ARG4/6</t>
  </si>
  <si>
    <t xml:space="preserve">"sportovat-001"</t>
  </si>
  <si>
    <t xml:space="preserve">"spotřebovat-001"</t>
  </si>
  <si>
    <t xml:space="preserve">ACT-&gt;ARG0/325,ARG1/1</t>
  </si>
  <si>
    <t xml:space="preserve">PAT-&gt;ARG1/638,ARG2/1</t>
  </si>
  <si>
    <t xml:space="preserve">PAT-&gt;ARG1/641,ARG2/1</t>
  </si>
  <si>
    <t xml:space="preserve">"spotřebovávat-001"</t>
  </si>
  <si>
    <t xml:space="preserve">PAT-&gt;ARG1/637,ARG2/1</t>
  </si>
  <si>
    <t xml:space="preserve">"spoutat-001"</t>
  </si>
  <si>
    <t xml:space="preserve">"spouštět-001"</t>
  </si>
  <si>
    <t xml:space="preserve">"spouštět-002"</t>
  </si>
  <si>
    <t xml:space="preserve">ACT-&gt;ARG0/195,ARG1/67,ARG2/3</t>
  </si>
  <si>
    <t xml:space="preserve">PAT-&gt;ARG1/242</t>
  </si>
  <si>
    <t xml:space="preserve">"spouštět-003"</t>
  </si>
  <si>
    <t xml:space="preserve">"spouštět-se-001"</t>
  </si>
  <si>
    <t xml:space="preserve">"spočinout-001"</t>
  </si>
  <si>
    <t xml:space="preserve">ACT-&gt;ARG0/5,ARG1/14</t>
  </si>
  <si>
    <t xml:space="preserve">LOC-&gt;ARG1/1,ARG4/3</t>
  </si>
  <si>
    <t xml:space="preserve">"spočinout-002"</t>
  </si>
  <si>
    <t xml:space="preserve">"spočíst-001"</t>
  </si>
  <si>
    <t xml:space="preserve">"spočítat-001"</t>
  </si>
  <si>
    <t xml:space="preserve">PAT: 4; ↓že; ↓c; ↓jestli</t>
  </si>
  <si>
    <t xml:space="preserve">ACT-&gt;ARG0/77,ARG1/1</t>
  </si>
  <si>
    <t xml:space="preserve">"spočítat-si-001"</t>
  </si>
  <si>
    <t xml:space="preserve">ACT-&gt;ARG0/51,ARG1/13</t>
  </si>
  <si>
    <t xml:space="preserve">PAT-&gt;ARG1/76,ARG2/12</t>
  </si>
  <si>
    <t xml:space="preserve">"spočívat-001"</t>
  </si>
  <si>
    <t xml:space="preserve">"spočívat-002"</t>
  </si>
  <si>
    <t xml:space="preserve">"spočívat-003"</t>
  </si>
  <si>
    <t xml:space="preserve">ACT-&gt;ARG0/1,ARG1/3466,ARG2/299</t>
  </si>
  <si>
    <t xml:space="preserve">PAT-&gt;ARG1/125,ARG2/3844</t>
  </si>
  <si>
    <t xml:space="preserve">"spočívat-004"</t>
  </si>
  <si>
    <t xml:space="preserve">"spořit-001"</t>
  </si>
  <si>
    <t xml:space="preserve">"spořádat-001"</t>
  </si>
  <si>
    <t xml:space="preserve">"spravit-001"</t>
  </si>
  <si>
    <t xml:space="preserve">"spravit-002"</t>
  </si>
  <si>
    <t xml:space="preserve">"spravit-003"</t>
  </si>
  <si>
    <t xml:space="preserve">"spravit-se-001"</t>
  </si>
  <si>
    <t xml:space="preserve">"spravovat-001"</t>
  </si>
  <si>
    <t xml:space="preserve">ACT-&gt;ARG0/2668,ARG1/23,ARG2/91</t>
  </si>
  <si>
    <t xml:space="preserve">PAT-&gt;ARG0/2,ARG1/3147</t>
  </si>
  <si>
    <t xml:space="preserve">"spravovat-002"</t>
  </si>
  <si>
    <t xml:space="preserve">"spravovat-003"</t>
  </si>
  <si>
    <t xml:space="preserve">"sprchnout-001"</t>
  </si>
  <si>
    <t xml:space="preserve">"sprchovat-001"</t>
  </si>
  <si>
    <t xml:space="preserve">"sprintovat-001"</t>
  </si>
  <si>
    <t xml:space="preserve">"sprovodit-001"</t>
  </si>
  <si>
    <t xml:space="preserve">"spráskat-001"</t>
  </si>
  <si>
    <t xml:space="preserve">"správcovat-001"</t>
  </si>
  <si>
    <t xml:space="preserve">"spustit-001"</t>
  </si>
  <si>
    <t xml:space="preserve">"spustit-002"</t>
  </si>
  <si>
    <t xml:space="preserve">ACT-&gt;ARG0/745,ARG1/111,ARG2/34</t>
  </si>
  <si>
    <t xml:space="preserve">PAT-&gt;ARG0/1,ARG1/971,ARG2/2</t>
  </si>
  <si>
    <t xml:space="preserve">"spustit-003"</t>
  </si>
  <si>
    <t xml:space="preserve">"spustit-004"</t>
  </si>
  <si>
    <t xml:space="preserve">"spustit-005"</t>
  </si>
  <si>
    <t xml:space="preserve">DPHR: oko.P4</t>
  </si>
  <si>
    <t xml:space="preserve">"spustit-006"</t>
  </si>
  <si>
    <t xml:space="preserve">"spustit-se-001"</t>
  </si>
  <si>
    <t xml:space="preserve">"spustit-se-002"</t>
  </si>
  <si>
    <t xml:space="preserve">"spustit-se-003"</t>
  </si>
  <si>
    <t xml:space="preserve">ACT-&gt;ARG0/16,ARG1/448</t>
  </si>
  <si>
    <t xml:space="preserve">"spáchat-001"</t>
  </si>
  <si>
    <t xml:space="preserve">"spáchat-002"</t>
  </si>
  <si>
    <t xml:space="preserve">"spálit-001"</t>
  </si>
  <si>
    <t xml:space="preserve">"spálit-002"</t>
  </si>
  <si>
    <t xml:space="preserve">"spálit-003"</t>
  </si>
  <si>
    <t xml:space="preserve">"spálit-004"</t>
  </si>
  <si>
    <t xml:space="preserve">"spálit-se-001"</t>
  </si>
  <si>
    <t xml:space="preserve">"spálit-se-002"</t>
  </si>
  <si>
    <t xml:space="preserve">"spást-001"</t>
  </si>
  <si>
    <t xml:space="preserve">"spát-001"</t>
  </si>
  <si>
    <t xml:space="preserve">"spát-002"</t>
  </si>
  <si>
    <t xml:space="preserve">"spávat-001"</t>
  </si>
  <si>
    <t xml:space="preserve">"spářit-001"</t>
  </si>
  <si>
    <t xml:space="preserve">"spíchnout-001"</t>
  </si>
  <si>
    <t xml:space="preserve">"spíchnout-002"</t>
  </si>
  <si>
    <t xml:space="preserve">"spílat-001"</t>
  </si>
  <si>
    <t xml:space="preserve">ADDR-&gt;ARG1/20</t>
  </si>
  <si>
    <t xml:space="preserve">?PAT: do+2; ↓že</t>
  </si>
  <si>
    <t xml:space="preserve">"spěchat-001"</t>
  </si>
  <si>
    <t xml:space="preserve">PAT: s+7; na+4; ↓aby</t>
  </si>
  <si>
    <t xml:space="preserve">ACT-&gt;ARG0/29,ARG1/29,ARG2/1</t>
  </si>
  <si>
    <t xml:space="preserve">PAT-&gt;ARG1/29,ARG2/3</t>
  </si>
  <si>
    <t xml:space="preserve">"spěchat-002"</t>
  </si>
  <si>
    <t xml:space="preserve">ACT-&gt;ARG0/1,ARG1/27,ARG2/1</t>
  </si>
  <si>
    <t xml:space="preserve">"spěchat-003"</t>
  </si>
  <si>
    <t xml:space="preserve">"spěchávat-001"</t>
  </si>
  <si>
    <t xml:space="preserve">"spět-001"</t>
  </si>
  <si>
    <t xml:space="preserve">ACT-&gt;ARG0/63,ARG1/96</t>
  </si>
  <si>
    <t xml:space="preserve">PAT-&gt;ARG1/71,ARG2/96</t>
  </si>
  <si>
    <t xml:space="preserve">"spět-002"</t>
  </si>
  <si>
    <t xml:space="preserve">"spřádat-001"</t>
  </si>
  <si>
    <t xml:space="preserve">"spřádat-002"</t>
  </si>
  <si>
    <t xml:space="preserve">CPHR: {plán,příběh,úvaha,...}.4</t>
  </si>
  <si>
    <t xml:space="preserve">"spřáhnout-se-001"</t>
  </si>
  <si>
    <t xml:space="preserve">"spřátelit-se-001"</t>
  </si>
  <si>
    <t xml:space="preserve">"srazit-001"</t>
  </si>
  <si>
    <t xml:space="preserve">ACT-&gt;ARG0/180,ARG2/2</t>
  </si>
  <si>
    <t xml:space="preserve">ORIG-&gt;ARG3/19,ARG4/1</t>
  </si>
  <si>
    <t xml:space="preserve">EFF-&gt;ARG2/10,ARG3/1,ARG4/34</t>
  </si>
  <si>
    <t xml:space="preserve">"srazit-002"</t>
  </si>
  <si>
    <t xml:space="preserve">"srazit-003"</t>
  </si>
  <si>
    <t xml:space="preserve">"srazit-004"</t>
  </si>
  <si>
    <t xml:space="preserve">DPHR: na-1[koleno.P4]; do-1[koleno.P2]</t>
  </si>
  <si>
    <t xml:space="preserve">"srazit-005"</t>
  </si>
  <si>
    <t xml:space="preserve">"srazit-se-001"</t>
  </si>
  <si>
    <t xml:space="preserve">"srkat-001"</t>
  </si>
  <si>
    <t xml:space="preserve">"srocovat-se-001"</t>
  </si>
  <si>
    <t xml:space="preserve">"srovnat-001"</t>
  </si>
  <si>
    <t xml:space="preserve">"srovnat-002"</t>
  </si>
  <si>
    <t xml:space="preserve">"srovnat-003"</t>
  </si>
  <si>
    <t xml:space="preserve">"srovnat-004"</t>
  </si>
  <si>
    <t xml:space="preserve">"srovnat-005"</t>
  </si>
  <si>
    <t xml:space="preserve">ACT-&gt;ARG0/175,ARG2/66</t>
  </si>
  <si>
    <t xml:space="preserve">PAT-&gt;ARG0/1,ARG1/210,ARG2/8</t>
  </si>
  <si>
    <t xml:space="preserve">PAT-&gt;ARG0/1,ARG1/409,ARG2/8</t>
  </si>
  <si>
    <t xml:space="preserve">"srovnat-006"</t>
  </si>
  <si>
    <t xml:space="preserve">DPHR: s-1[země.S7]</t>
  </si>
  <si>
    <t xml:space="preserve">"srovnat-007"</t>
  </si>
  <si>
    <t xml:space="preserve">"srovnat-se-001"</t>
  </si>
  <si>
    <t xml:space="preserve">"srovnat-se-002"</t>
  </si>
  <si>
    <t xml:space="preserve">"srovnat-si-001"</t>
  </si>
  <si>
    <t xml:space="preserve">"srovnávat-001"</t>
  </si>
  <si>
    <t xml:space="preserve">"srovnávat-002"</t>
  </si>
  <si>
    <t xml:space="preserve">PAT-&gt;ARG0/4,ARG1/113</t>
  </si>
  <si>
    <t xml:space="preserve">EFF-&gt;ARG1/49,ARG2/93</t>
  </si>
  <si>
    <t xml:space="preserve">"srovnávat-003"</t>
  </si>
  <si>
    <t xml:space="preserve">"srovnávat-004"</t>
  </si>
  <si>
    <t xml:space="preserve">"srát-001"</t>
  </si>
  <si>
    <t xml:space="preserve">"srážet-001"</t>
  </si>
  <si>
    <t xml:space="preserve">"srážet-002"</t>
  </si>
  <si>
    <t xml:space="preserve">ACT-&gt;ARG0/23,ARG2/2</t>
  </si>
  <si>
    <t xml:space="preserve">PAT-&gt;ARG1/27,ARG2/1</t>
  </si>
  <si>
    <t xml:space="preserve">"srážet-se-001"</t>
  </si>
  <si>
    <t xml:space="preserve">"srůst-001"</t>
  </si>
  <si>
    <t xml:space="preserve">"stabilizovat-001"</t>
  </si>
  <si>
    <t xml:space="preserve">PAT-&gt;ARG1/21,ARG2/2</t>
  </si>
  <si>
    <t xml:space="preserve">"stabilizovat-se-001"</t>
  </si>
  <si>
    <t xml:space="preserve">ACT-&gt;ARG0/7,ARG1/75,ARG4/1</t>
  </si>
  <si>
    <t xml:space="preserve">ACT-&gt;ARG0/7,ARG1/51,ARG4/1</t>
  </si>
  <si>
    <t xml:space="preserve">"stagnovat-001"</t>
  </si>
  <si>
    <t xml:space="preserve">ACT-&gt;ARG0/20,ARG1/16</t>
  </si>
  <si>
    <t xml:space="preserve">ACT-&gt;ARG0/43,ARG1/3817,ARG2/297,ARG3/1</t>
  </si>
  <si>
    <t xml:space="preserve">"stahovat-001"</t>
  </si>
  <si>
    <t xml:space="preserve">DIR1-&gt;ARG1/2,ARG2/6</t>
  </si>
  <si>
    <t xml:space="preserve">"stahovat-002"</t>
  </si>
  <si>
    <t xml:space="preserve">PAT-&gt;ARG0/3,ARG1/10</t>
  </si>
  <si>
    <t xml:space="preserve">"stahovat-003"</t>
  </si>
  <si>
    <t xml:space="preserve">PAT-&gt;ARG1/34,ARG2/13</t>
  </si>
  <si>
    <t xml:space="preserve">"stahovat-004"</t>
  </si>
  <si>
    <t xml:space="preserve">DPHR: kalhoty.P4[když[být.$2&lt;B&gt;$8&lt;3&gt;$9&lt;P&gt;$11&lt;A&gt;$12&lt;A&gt;[brod.S1,ještě,daleko-1:@1]]]</t>
  </si>
  <si>
    <t xml:space="preserve">"stahovat-005"</t>
  </si>
  <si>
    <t xml:space="preserve">"stahovat-006"</t>
  </si>
  <si>
    <t xml:space="preserve">"stahovat-se-001"</t>
  </si>
  <si>
    <t xml:space="preserve">ACT-&gt;ARG0/22,ARG1/32</t>
  </si>
  <si>
    <t xml:space="preserve">"stahovat-se-002"</t>
  </si>
  <si>
    <t xml:space="preserve">"stahovat-se-003"</t>
  </si>
  <si>
    <t xml:space="preserve">ACT: nad+7</t>
  </si>
  <si>
    <t xml:space="preserve">DPHR: mrak.1</t>
  </si>
  <si>
    <t xml:space="preserve">"standardizovat-001"</t>
  </si>
  <si>
    <t xml:space="preserve">"stanout-001"</t>
  </si>
  <si>
    <t xml:space="preserve">"stanout-002"</t>
  </si>
  <si>
    <t xml:space="preserve">LOC-&gt;ARG1/199</t>
  </si>
  <si>
    <t xml:space="preserve">LOC-&gt;ARG1/1,ARG2/35</t>
  </si>
  <si>
    <t xml:space="preserve">"stanovat-001"</t>
  </si>
  <si>
    <t xml:space="preserve">"stanovit-001"</t>
  </si>
  <si>
    <t xml:space="preserve">ACT-&gt;ARG0/374,ARG1/1</t>
  </si>
  <si>
    <t xml:space="preserve">PAT-&gt;ARG1/489,ARG2/57</t>
  </si>
  <si>
    <t xml:space="preserve">ADDR-&gt;ARG1/11,ARG2/348</t>
  </si>
  <si>
    <t xml:space="preserve">"stanovit-002"</t>
  </si>
  <si>
    <t xml:space="preserve">EFF: 7; 4[{jako,jakožto}:/AuxY]; za+4</t>
  </si>
  <si>
    <t xml:space="preserve">"stanovit-003"</t>
  </si>
  <si>
    <t xml:space="preserve">PAT-&gt;ARG1/1038,ARG2/3452</t>
  </si>
  <si>
    <t xml:space="preserve">"stanovit-004"</t>
  </si>
  <si>
    <t xml:space="preserve">PAT-&gt;ARG1/445</t>
  </si>
  <si>
    <t xml:space="preserve">ACT-&gt;ARG0/802,ARG1/7</t>
  </si>
  <si>
    <t xml:space="preserve">PAT-&gt;ARG1/1496,ARG2/172</t>
  </si>
  <si>
    <t xml:space="preserve">"stanovovat-001"</t>
  </si>
  <si>
    <t xml:space="preserve">"stanovovat-002"</t>
  </si>
  <si>
    <t xml:space="preserve">PAT-&gt;ARG1/161</t>
  </si>
  <si>
    <t xml:space="preserve">"stanovovat-003"</t>
  </si>
  <si>
    <t xml:space="preserve">PAT-&gt;ARG1/180</t>
  </si>
  <si>
    <t xml:space="preserve">"starat-se-001"</t>
  </si>
  <si>
    <t xml:space="preserve">ACT-&gt;ARG0/433,ARG1/2</t>
  </si>
  <si>
    <t xml:space="preserve">PAT-&gt;ARG1/560,ARG2/59</t>
  </si>
  <si>
    <t xml:space="preserve">"startovat-001"</t>
  </si>
  <si>
    <t xml:space="preserve">"startovat-002"</t>
  </si>
  <si>
    <t xml:space="preserve">"startovat-003"</t>
  </si>
  <si>
    <t xml:space="preserve">"startovat-004"</t>
  </si>
  <si>
    <t xml:space="preserve">"stavit-001"</t>
  </si>
  <si>
    <t xml:space="preserve">ORIG-&gt;ARG1/2,ARG2/9</t>
  </si>
  <si>
    <t xml:space="preserve">"stavit-002"</t>
  </si>
  <si>
    <t xml:space="preserve">DIR3-&gt;ARG2/7</t>
  </si>
  <si>
    <t xml:space="preserve">"stavit-003"</t>
  </si>
  <si>
    <t xml:space="preserve">"stavit-se-001"</t>
  </si>
  <si>
    <t xml:space="preserve">PAT: za+4; proti+3; k+3</t>
  </si>
  <si>
    <t xml:space="preserve">"stavit-se-002"</t>
  </si>
  <si>
    <t xml:space="preserve">"stavovat-se-001"</t>
  </si>
  <si>
    <t xml:space="preserve">"stavívat-se-001"</t>
  </si>
  <si>
    <t xml:space="preserve">"stavět-001"</t>
  </si>
  <si>
    <t xml:space="preserve">"stavět-002"</t>
  </si>
  <si>
    <t xml:space="preserve">"stavět-003"</t>
  </si>
  <si>
    <t xml:space="preserve">EFF: proti+3</t>
  </si>
  <si>
    <t xml:space="preserve">"stavět-004"</t>
  </si>
  <si>
    <t xml:space="preserve">"stavět-005"</t>
  </si>
  <si>
    <t xml:space="preserve">ACT-&gt;ARG0/364,ARG1/2</t>
  </si>
  <si>
    <t xml:space="preserve">ACT-&gt;ARG0/622,ARG1/6</t>
  </si>
  <si>
    <t xml:space="preserve">PAT-&gt;ARG1/511</t>
  </si>
  <si>
    <t xml:space="preserve">PAT-&gt;ARG1/1171,ARG2/9</t>
  </si>
  <si>
    <t xml:space="preserve">DIR3-&gt;ARG1/284,ARG2/35</t>
  </si>
  <si>
    <t xml:space="preserve">DIR3-&gt;ARG1/27,ARG2/554,ARG3/37</t>
  </si>
  <si>
    <t xml:space="preserve">"stavět-006"</t>
  </si>
  <si>
    <t xml:space="preserve">"stavět-007"</t>
  </si>
  <si>
    <t xml:space="preserve">CPHR: {bariéra,překážka,...}.4</t>
  </si>
  <si>
    <t xml:space="preserve">"stavět-008"</t>
  </si>
  <si>
    <t xml:space="preserve">CPHR: otázka.4</t>
  </si>
  <si>
    <t xml:space="preserve">"stavět-se-001"</t>
  </si>
  <si>
    <t xml:space="preserve">PAT: k+3; vůči+3; stran[.2]; ohledně[.2]</t>
  </si>
  <si>
    <t xml:space="preserve">"stavět-se-002"</t>
  </si>
  <si>
    <t xml:space="preserve">ACT-&gt;ARG0/139,ARG1/1</t>
  </si>
  <si>
    <t xml:space="preserve">PAT: za+4; proti+3</t>
  </si>
  <si>
    <t xml:space="preserve">"stavět-se-003"</t>
  </si>
  <si>
    <t xml:space="preserve">"stavět-se-004"</t>
  </si>
  <si>
    <t xml:space="preserve">"stavět-se-005"</t>
  </si>
  <si>
    <t xml:space="preserve">DPHR: na-1[odpor.S4]</t>
  </si>
  <si>
    <t xml:space="preserve">"stavět-se-006"</t>
  </si>
  <si>
    <t xml:space="preserve">"stavět-se-007"</t>
  </si>
  <si>
    <t xml:space="preserve">DPHR-&gt;ARG1/1,ARG2/35</t>
  </si>
  <si>
    <t xml:space="preserve">"stačit-001"</t>
  </si>
  <si>
    <t xml:space="preserve">?REG: v+6</t>
  </si>
  <si>
    <t xml:space="preserve">"stačit-002"</t>
  </si>
  <si>
    <t xml:space="preserve">PAT: na+4; .f; 4</t>
  </si>
  <si>
    <t xml:space="preserve">"stačit-003"</t>
  </si>
  <si>
    <t xml:space="preserve">PAT-&gt;ARG2/144</t>
  </si>
  <si>
    <t xml:space="preserve">"stačit-004"</t>
  </si>
  <si>
    <t xml:space="preserve">"stačit-005"</t>
  </si>
  <si>
    <t xml:space="preserve">ACT: 1; .f; ↓že; ↓aby; ↓když; ↓jestli; ↓kdyby</t>
  </si>
  <si>
    <t xml:space="preserve">?PAT: 3; pro+4</t>
  </si>
  <si>
    <t xml:space="preserve">ACT-&gt;ARG0/43,ARG1/313</t>
  </si>
  <si>
    <t xml:space="preserve">PAT-&gt;ARG0/286,ARG1/3115,ARG2/296</t>
  </si>
  <si>
    <t xml:space="preserve">"stačit-006"</t>
  </si>
  <si>
    <t xml:space="preserve">"stačit-007"</t>
  </si>
  <si>
    <t xml:space="preserve">DPHR: co-5,noha.P1</t>
  </si>
  <si>
    <t xml:space="preserve">"stepovat-001"</t>
  </si>
  <si>
    <t xml:space="preserve">"sterilizovat-001"</t>
  </si>
  <si>
    <t xml:space="preserve">"sterilovat-001"</t>
  </si>
  <si>
    <t xml:space="preserve">"stihnout-001"</t>
  </si>
  <si>
    <t xml:space="preserve">ACT-&gt;ARG0/38,ARG1/10</t>
  </si>
  <si>
    <t xml:space="preserve">PAT-&gt;ARG1/44,ARG2/8</t>
  </si>
  <si>
    <t xml:space="preserve">"stihnout-002"</t>
  </si>
  <si>
    <t xml:space="preserve">"stimulovat-001"</t>
  </si>
  <si>
    <t xml:space="preserve">"stimulovat-002"</t>
  </si>
  <si>
    <t xml:space="preserve">"stisknout-001"</t>
  </si>
  <si>
    <t xml:space="preserve">"stlačit-001"</t>
  </si>
  <si>
    <t xml:space="preserve">EFF-&gt;ARG2/2,ARG4/5</t>
  </si>
  <si>
    <t xml:space="preserve">"stlačit-002"</t>
  </si>
  <si>
    <t xml:space="preserve">"stlačit-003"</t>
  </si>
  <si>
    <t xml:space="preserve">"stlačovat-001"</t>
  </si>
  <si>
    <t xml:space="preserve">"stlačovat-002"</t>
  </si>
  <si>
    <t xml:space="preserve">"stlouci-001"</t>
  </si>
  <si>
    <t xml:space="preserve">"stlát-001"</t>
  </si>
  <si>
    <t xml:space="preserve">"stmelit-001"</t>
  </si>
  <si>
    <t xml:space="preserve">"stmelit-002"</t>
  </si>
  <si>
    <t xml:space="preserve">"stmelit-se-001"</t>
  </si>
  <si>
    <t xml:space="preserve">"stmelit-se-002"</t>
  </si>
  <si>
    <t xml:space="preserve">"stmívat-se-001"</t>
  </si>
  <si>
    <t xml:space="preserve">"stonat-001"</t>
  </si>
  <si>
    <t xml:space="preserve">"stopnout-001"</t>
  </si>
  <si>
    <t xml:space="preserve">"stopovat-001"</t>
  </si>
  <si>
    <t xml:space="preserve">"stornovat-001"</t>
  </si>
  <si>
    <t xml:space="preserve">"stoupat-001"</t>
  </si>
  <si>
    <t xml:space="preserve">ACT-&gt;ARG0/29,ARG1/1569,ARG2/8</t>
  </si>
  <si>
    <t xml:space="preserve">PAT-&gt;ARG1/1,ARG2/12,ARG4/1021</t>
  </si>
  <si>
    <t xml:space="preserve">ORIG-&gt;ARG3/477,ARG4/1,ARGm-LOC/1</t>
  </si>
  <si>
    <t xml:space="preserve">"stoupat-002"</t>
  </si>
  <si>
    <t xml:space="preserve">"stoupat-003"</t>
  </si>
  <si>
    <t xml:space="preserve">"stoupat-004"</t>
  </si>
  <si>
    <t xml:space="preserve">"stoupnout-001"</t>
  </si>
  <si>
    <t xml:space="preserve">ACT-&gt;ARG0/3,ARG1/2115,ARG2/8</t>
  </si>
  <si>
    <t xml:space="preserve">PAT-&gt;ARG1/2,ARG2/33,ARG4/1539</t>
  </si>
  <si>
    <t xml:space="preserve">ORIG-&gt;ARG2/8,ARG3/547,ARG4/1,ARGm-LOC/1</t>
  </si>
  <si>
    <t xml:space="preserve">"stoupnout-002"</t>
  </si>
  <si>
    <t xml:space="preserve">DPHR: na-1[oko.S4[kuří.#]]</t>
  </si>
  <si>
    <t xml:space="preserve">"stoupnout-003"</t>
  </si>
  <si>
    <t xml:space="preserve">"stoupnout-004"</t>
  </si>
  <si>
    <t xml:space="preserve">"stoupnout-si-001"</t>
  </si>
  <si>
    <t xml:space="preserve">"stoupnout-si-002"</t>
  </si>
  <si>
    <t xml:space="preserve">"stočit-001"</t>
  </si>
  <si>
    <t xml:space="preserve">"stočit-002"</t>
  </si>
  <si>
    <t xml:space="preserve">"stočit-se-001"</t>
  </si>
  <si>
    <t xml:space="preserve">"strachovat-se-001"</t>
  </si>
  <si>
    <t xml:space="preserve">PAT: o+4; ↓že</t>
  </si>
  <si>
    <t xml:space="preserve">"stranit-001"</t>
  </si>
  <si>
    <t xml:space="preserve">"stranit-se-001"</t>
  </si>
  <si>
    <t xml:space="preserve">"stravovat-se-001"</t>
  </si>
  <si>
    <t xml:space="preserve">"strašit-001"</t>
  </si>
  <si>
    <t xml:space="preserve">"strašit-002"</t>
  </si>
  <si>
    <t xml:space="preserve">LOC-&gt;ARG1/6</t>
  </si>
  <si>
    <t xml:space="preserve">"strašit-003"</t>
  </si>
  <si>
    <t xml:space="preserve">"strefit-se-001"</t>
  </si>
  <si>
    <t xml:space="preserve">"strefovat-se-001"</t>
  </si>
  <si>
    <t xml:space="preserve">"strefovat-se-002"</t>
  </si>
  <si>
    <t xml:space="preserve">DPHR: do-1[černý.S2]</t>
  </si>
  <si>
    <t xml:space="preserve">"strhat-001"</t>
  </si>
  <si>
    <t xml:space="preserve">"strhnout-001"</t>
  </si>
  <si>
    <t xml:space="preserve">ADDR-&gt;ARG0/2,ARG1/1</t>
  </si>
  <si>
    <t xml:space="preserve">"strhnout-002"</t>
  </si>
  <si>
    <t xml:space="preserve">"strhnout-003"</t>
  </si>
  <si>
    <t xml:space="preserve">"strhnout-004"</t>
  </si>
  <si>
    <t xml:space="preserve">"strhnout-005"</t>
  </si>
  <si>
    <t xml:space="preserve">?PAT: k+3; ↓aby</t>
  </si>
  <si>
    <t xml:space="preserve">"strhnout-006"</t>
  </si>
  <si>
    <t xml:space="preserve">"strhnout-007"</t>
  </si>
  <si>
    <t xml:space="preserve">"strhnout-008"</t>
  </si>
  <si>
    <t xml:space="preserve">"strhnout-se-001"</t>
  </si>
  <si>
    <t xml:space="preserve">"strhovat-001"</t>
  </si>
  <si>
    <t xml:space="preserve">"strhávat-001"</t>
  </si>
  <si>
    <t xml:space="preserve">"strhávat-002"</t>
  </si>
  <si>
    <t xml:space="preserve">"strhávat-003"</t>
  </si>
  <si>
    <t xml:space="preserve">"strhávat-si-001"</t>
  </si>
  <si>
    <t xml:space="preserve">"strkat-001"</t>
  </si>
  <si>
    <t xml:space="preserve">"strkat-002"</t>
  </si>
  <si>
    <t xml:space="preserve">"strkat-003"</t>
  </si>
  <si>
    <t xml:space="preserve">"strkat-se-001"</t>
  </si>
  <si>
    <t xml:space="preserve">"strnout-001"</t>
  </si>
  <si>
    <t xml:space="preserve">ACT-&gt;ARG0/26,ARG1/134,ARG2/1</t>
  </si>
  <si>
    <t xml:space="preserve">"strojit-001"</t>
  </si>
  <si>
    <t xml:space="preserve">"strojit-002"</t>
  </si>
  <si>
    <t xml:space="preserve">"strpět-001"</t>
  </si>
  <si>
    <t xml:space="preserve">"strpět-002"</t>
  </si>
  <si>
    <t xml:space="preserve">"strukturovat-001"</t>
  </si>
  <si>
    <t xml:space="preserve">"strádat-001"</t>
  </si>
  <si>
    <t xml:space="preserve">ACT-&gt;ARG0/15,ARG1/6</t>
  </si>
  <si>
    <t xml:space="preserve">"strávit-001"</t>
  </si>
  <si>
    <t xml:space="preserve">LOC-&gt;ARG1/4,ARG2/66</t>
  </si>
  <si>
    <t xml:space="preserve">"strávit-002"</t>
  </si>
  <si>
    <t xml:space="preserve">ACT-&gt;ARG0/71,ARG1/1</t>
  </si>
  <si>
    <t xml:space="preserve">PAT-&gt;ARG1/87,ARG2/1</t>
  </si>
  <si>
    <t xml:space="preserve">BEN-&gt;ARG1/4,ARG2/66</t>
  </si>
  <si>
    <t xml:space="preserve">MANN-&gt;ARG1/4,ARG2/66</t>
  </si>
  <si>
    <t xml:space="preserve">MEANS-&gt;ARG1/4,ARG2/84</t>
  </si>
  <si>
    <t xml:space="preserve">MEANS-&gt;ARG1/4,ARG2/66</t>
  </si>
  <si>
    <t xml:space="preserve">ACMP-&gt;ARG1/4,ARG2/66</t>
  </si>
  <si>
    <t xml:space="preserve">CRIT-&gt;ARG1/4,ARG2/66</t>
  </si>
  <si>
    <t xml:space="preserve">CPR-&gt;ARG1/4,ARG2/66</t>
  </si>
  <si>
    <t xml:space="preserve">"strávit-003"</t>
  </si>
  <si>
    <t xml:space="preserve">"strčit-001"</t>
  </si>
  <si>
    <t xml:space="preserve">"strčit-002"</t>
  </si>
  <si>
    <t xml:space="preserve">"strčit-003"</t>
  </si>
  <si>
    <t xml:space="preserve">"strčit-004"</t>
  </si>
  <si>
    <t xml:space="preserve">"strčit-005"</t>
  </si>
  <si>
    <t xml:space="preserve">"studovat-001"</t>
  </si>
  <si>
    <t xml:space="preserve">ACT-&gt;ARG0/49,ARG1/78,ARG2/2</t>
  </si>
  <si>
    <t xml:space="preserve">"studovat-002"</t>
  </si>
  <si>
    <t xml:space="preserve">"studovat-003"</t>
  </si>
  <si>
    <t xml:space="preserve">"stupňovat-001"</t>
  </si>
  <si>
    <t xml:space="preserve">ACT-&gt;ARG0/176,ARG1/6</t>
  </si>
  <si>
    <t xml:space="preserve">PAT-&gt;ARG1/301,ARG2/1,ARG4/6</t>
  </si>
  <si>
    <t xml:space="preserve">"stupňovat-se-001"</t>
  </si>
  <si>
    <t xml:space="preserve">"stvořit-001"</t>
  </si>
  <si>
    <t xml:space="preserve">ACT-&gt;ARG0/199,ARG1/1</t>
  </si>
  <si>
    <t xml:space="preserve">"stvrdit-001"</t>
  </si>
  <si>
    <t xml:space="preserve">"stvrzovat-001"</t>
  </si>
  <si>
    <t xml:space="preserve">"stydět-se-001"</t>
  </si>
  <si>
    <t xml:space="preserve">?PAT: za+4; .f; ↓c; ↓že</t>
  </si>
  <si>
    <t xml:space="preserve">"stáhnout-001"</t>
  </si>
  <si>
    <t xml:space="preserve">"stáhnout-002"</t>
  </si>
  <si>
    <t xml:space="preserve">ACT-&gt;ARG0/147</t>
  </si>
  <si>
    <t xml:space="preserve">PAT-&gt;ARG1/292,ARG2/14</t>
  </si>
  <si>
    <t xml:space="preserve">DIR1-&gt;ARG1/1,ARG2/16</t>
  </si>
  <si>
    <t xml:space="preserve">"stáhnout-003"</t>
  </si>
  <si>
    <t xml:space="preserve">"stáhnout-004"</t>
  </si>
  <si>
    <t xml:space="preserve">DIR3-&gt;ARG3/1,ARG4/2</t>
  </si>
  <si>
    <t xml:space="preserve">"stáhnout-005"</t>
  </si>
  <si>
    <t xml:space="preserve">PAT-&gt;ARG1/146,ARG2/13</t>
  </si>
  <si>
    <t xml:space="preserve">"stáhnout-006"</t>
  </si>
  <si>
    <t xml:space="preserve">PAT-&gt;ARG0/1,ARG1/41</t>
  </si>
  <si>
    <t xml:space="preserve">"stáhnout-007"</t>
  </si>
  <si>
    <t xml:space="preserve">DPHR: z-1[kůže.S2]</t>
  </si>
  <si>
    <t xml:space="preserve">"stáhnout-008"</t>
  </si>
  <si>
    <t xml:space="preserve">"stáhnout-009"</t>
  </si>
  <si>
    <t xml:space="preserve">"stáhnout-se-001"</t>
  </si>
  <si>
    <t xml:space="preserve">ACT-&gt;ARG0/47,ARG1/31</t>
  </si>
  <si>
    <t xml:space="preserve">DIR1-&gt;ARG1/13,ARG2/13</t>
  </si>
  <si>
    <t xml:space="preserve">"stáhnout-se-002"</t>
  </si>
  <si>
    <t xml:space="preserve">DIR3-&gt;ARG1/2,ARG4/2</t>
  </si>
  <si>
    <t xml:space="preserve">"stáhnout-se-003"</t>
  </si>
  <si>
    <t xml:space="preserve">"stárnout-001"</t>
  </si>
  <si>
    <t xml:space="preserve">"stát-001"</t>
  </si>
  <si>
    <t xml:space="preserve">ACT-&gt;ARG1/115,ARG2/2</t>
  </si>
  <si>
    <t xml:space="preserve">PAT-&gt;ARG1/14,ARG2/136</t>
  </si>
  <si>
    <t xml:space="preserve">ADDR-&gt;ARG0/18,ARG3/40</t>
  </si>
  <si>
    <t xml:space="preserve">"stát-002"</t>
  </si>
  <si>
    <t xml:space="preserve">ACT: 1; ↓že; .f; ↓aby; ↓jestli; ↓zda</t>
  </si>
  <si>
    <t xml:space="preserve">"stát-003"</t>
  </si>
  <si>
    <t xml:space="preserve">"stát-004"</t>
  </si>
  <si>
    <t xml:space="preserve">"stát-005"</t>
  </si>
  <si>
    <t xml:space="preserve">"stát-006"</t>
  </si>
  <si>
    <t xml:space="preserve">"stát-007"</t>
  </si>
  <si>
    <t xml:space="preserve">"stát-008"</t>
  </si>
  <si>
    <t xml:space="preserve">"stát-009"</t>
  </si>
  <si>
    <t xml:space="preserve">ACT-&gt;ARG0/152,ARG1/47</t>
  </si>
  <si>
    <t xml:space="preserve">ACT-&gt;ARG0/426,ARG1/47,ARG2/2</t>
  </si>
  <si>
    <t xml:space="preserve">PAT: za+7; při+6; proti+3; mezi+7</t>
  </si>
  <si>
    <t xml:space="preserve">PAT-&gt;ARG1/1,ARG2/35</t>
  </si>
  <si>
    <t xml:space="preserve">PAT-&gt;ARG1/173</t>
  </si>
  <si>
    <t xml:space="preserve">PAT-&gt;ARG1/530,ARG2/13</t>
  </si>
  <si>
    <t xml:space="preserve">ACT-&gt;ARG0/135,ARG1/3433,ARG2/299</t>
  </si>
  <si>
    <t xml:space="preserve">PAT-&gt;ARG1/255,ARG2/3743</t>
  </si>
  <si>
    <t xml:space="preserve">"stát-010"</t>
  </si>
  <si>
    <t xml:space="preserve">ACT-&gt;ARG0/19,ARG1/280,ARG2/3</t>
  </si>
  <si>
    <t xml:space="preserve">PAT-&gt;ARG1/10,ARG2/279</t>
  </si>
  <si>
    <t xml:space="preserve">"stát-011"</t>
  </si>
  <si>
    <t xml:space="preserve">ACT: 1; ↓že; ↓zda; ↓jak-2; ↓c; .s</t>
  </si>
  <si>
    <t xml:space="preserve">ACT-&gt;ARG0/73,ARG1/10719,ARG2/2</t>
  </si>
  <si>
    <t xml:space="preserve">LOC-&gt;ARG0/12119,ARG1/94</t>
  </si>
  <si>
    <t xml:space="preserve">"stát-012"</t>
  </si>
  <si>
    <t xml:space="preserve">ACT-&gt;ARG0/242,ARG1/375,ARG2/3</t>
  </si>
  <si>
    <t xml:space="preserve">LOC-&gt;ARG1/260,ARG2/314</t>
  </si>
  <si>
    <t xml:space="preserve">"stát-013"</t>
  </si>
  <si>
    <t xml:space="preserve">ACT-&gt;ARG0/86,ARG1/667,ARG2/3</t>
  </si>
  <si>
    <t xml:space="preserve">LOC-&gt;ARG0/170,ARG1/83,ARG2/405,ARG3/32</t>
  </si>
  <si>
    <t xml:space="preserve">"stát-014"</t>
  </si>
  <si>
    <t xml:space="preserve">ACT-&gt;ARG0/47,ARG1/3344,ARG2/298</t>
  </si>
  <si>
    <t xml:space="preserve">ACT-&gt;ARG0/58,ARG1/432,ARG2/4</t>
  </si>
  <si>
    <t xml:space="preserve">EXT-&gt;ARG1/191,ARG2/3764,ARG3/7</t>
  </si>
  <si>
    <t xml:space="preserve">EXT-&gt;ARG0/3,ARG1/52,ARG2/541,ARG3/5</t>
  </si>
  <si>
    <t xml:space="preserve">PAT-&gt;ARG3/40</t>
  </si>
  <si>
    <t xml:space="preserve">"stát-015"</t>
  </si>
  <si>
    <t xml:space="preserve">ACT-&gt;ARG0/9,ARG1/773,ARG2/3</t>
  </si>
  <si>
    <t xml:space="preserve">"stát-016"</t>
  </si>
  <si>
    <t xml:space="preserve">"stát-017"</t>
  </si>
  <si>
    <t xml:space="preserve">DPHR: co-5,stát-3.S$2&lt;i&gt;$8&lt;2&gt;$11&lt;A&gt;</t>
  </si>
  <si>
    <t xml:space="preserve">"stát-018"</t>
  </si>
  <si>
    <t xml:space="preserve">DPHR: na-1[noha.P6[vlastní.#]]</t>
  </si>
  <si>
    <t xml:space="preserve">"stát-019"</t>
  </si>
  <si>
    <t xml:space="preserve">DPHR: v-1[cesta.S6]</t>
  </si>
  <si>
    <t xml:space="preserve">"stát-020"</t>
  </si>
  <si>
    <t xml:space="preserve">"stát-021"</t>
  </si>
  <si>
    <t xml:space="preserve">"stát-022"</t>
  </si>
  <si>
    <t xml:space="preserve">"stát-se-001"</t>
  </si>
  <si>
    <t xml:space="preserve">ACT-&gt;ARG0/118,ARG1/4086,ARG2/302</t>
  </si>
  <si>
    <t xml:space="preserve">PAT: 7; .a7; .a1</t>
  </si>
  <si>
    <t xml:space="preserve">PAT-&gt;ARG1/581,ARG2/4163,ARG3/9</t>
  </si>
  <si>
    <t xml:space="preserve">"stát-se-002"</t>
  </si>
  <si>
    <t xml:space="preserve">ACT: 1; ↓c</t>
  </si>
  <si>
    <t xml:space="preserve">ACT-&gt;ARG1/44,ARG2/473</t>
  </si>
  <si>
    <t xml:space="preserve">PAT-&gt;ARG1/427,ARG2/34</t>
  </si>
  <si>
    <t xml:space="preserve">"stát-se-003"</t>
  </si>
  <si>
    <t xml:space="preserve">ACT-&gt;ARG1/632,ARG2/3979</t>
  </si>
  <si>
    <t xml:space="preserve">ACT-&gt;ARG2/626</t>
  </si>
  <si>
    <t xml:space="preserve">PAT-&gt;ARG0/155,ARG1/3851,ARG2/305,ARG3/2</t>
  </si>
  <si>
    <t xml:space="preserve">PAT-&gt;ARG1/565,ARG2/6</t>
  </si>
  <si>
    <t xml:space="preserve">"stát-se-004"</t>
  </si>
  <si>
    <t xml:space="preserve">ACT: 1; ↓že; ↓aby; tak-3</t>
  </si>
  <si>
    <t xml:space="preserve">ACT-&gt;ARG0/147,ARG1/201</t>
  </si>
  <si>
    <t xml:space="preserve">PAT-&gt;ARG0/46,ARG1/164,ARG2/28</t>
  </si>
  <si>
    <t xml:space="preserve">"stát-se-005"</t>
  </si>
  <si>
    <t xml:space="preserve">ACT: 1; tak-3; ↓že</t>
  </si>
  <si>
    <t xml:space="preserve">ACT-&gt;ARG1/271</t>
  </si>
  <si>
    <t xml:space="preserve">"stát-se-006"</t>
  </si>
  <si>
    <t xml:space="preserve">DPHR: rád.NS</t>
  </si>
  <si>
    <t xml:space="preserve">"stát-si-001"</t>
  </si>
  <si>
    <t xml:space="preserve">ACT-&gt;ARG0/157,ARG1/47</t>
  </si>
  <si>
    <t xml:space="preserve">ACT-&gt;ARG0/431,ARG1/47,ARG2/2</t>
  </si>
  <si>
    <t xml:space="preserve">PAT: za+7; na+6</t>
  </si>
  <si>
    <t xml:space="preserve">PAT-&gt;ARG1/57,ARG2/2</t>
  </si>
  <si>
    <t xml:space="preserve">PAT-&gt;ARG1/536,ARG2/13</t>
  </si>
  <si>
    <t xml:space="preserve">"stát-si-002"</t>
  </si>
  <si>
    <t xml:space="preserve">ACT-&gt;ARG0/52,ARG1/12</t>
  </si>
  <si>
    <t xml:space="preserve">"stávat-001"</t>
  </si>
  <si>
    <t xml:space="preserve">"stávat-002"</t>
  </si>
  <si>
    <t xml:space="preserve">EXT-&gt;ARG2/71</t>
  </si>
  <si>
    <t xml:space="preserve">"stávat-se-001"</t>
  </si>
  <si>
    <t xml:space="preserve">ACT-&gt;ARG1/3676,ARG2/303</t>
  </si>
  <si>
    <t xml:space="preserve">PAT-&gt;ARG1/121,ARG2/4077</t>
  </si>
  <si>
    <t xml:space="preserve">"stávat-se-002"</t>
  </si>
  <si>
    <t xml:space="preserve">ACT-&gt;ARG1/121,ARG2/3924</t>
  </si>
  <si>
    <t xml:space="preserve">PAT-&gt;ARG1/3529,ARG2/302</t>
  </si>
  <si>
    <t xml:space="preserve">"stávat-se-003"</t>
  </si>
  <si>
    <t xml:space="preserve">"stávkovat-001"</t>
  </si>
  <si>
    <t xml:space="preserve">"stáčet-001"</t>
  </si>
  <si>
    <t xml:space="preserve">"stáčet-002"</t>
  </si>
  <si>
    <t xml:space="preserve">"stáčet-se-001"</t>
  </si>
  <si>
    <t xml:space="preserve">"--stáčet-se-002"</t>
  </si>
  <si>
    <t xml:space="preserve">"stáčet-se-003"</t>
  </si>
  <si>
    <t xml:space="preserve">"stékat-001"</t>
  </si>
  <si>
    <t xml:space="preserve">"sténat-001"</t>
  </si>
  <si>
    <t xml:space="preserve">"stíhat-001"</t>
  </si>
  <si>
    <t xml:space="preserve">"stíhat-002"</t>
  </si>
  <si>
    <t xml:space="preserve">"stíhat-003"</t>
  </si>
  <si>
    <t xml:space="preserve">"stínit-001"</t>
  </si>
  <si>
    <t xml:space="preserve">"stínovat-001"</t>
  </si>
  <si>
    <t xml:space="preserve">"stírat-001"</t>
  </si>
  <si>
    <t xml:space="preserve">"stísnit-se-001"</t>
  </si>
  <si>
    <t xml:space="preserve">"stísnit-se-002"</t>
  </si>
  <si>
    <t xml:space="preserve">"stýkat-se-001"</t>
  </si>
  <si>
    <t xml:space="preserve">"stýkat-se-002"</t>
  </si>
  <si>
    <t xml:space="preserve">"stýskat-se-001"</t>
  </si>
  <si>
    <t xml:space="preserve">PAT-&gt;ARG1/64,ARG2/1</t>
  </si>
  <si>
    <t xml:space="preserve">"stěhovat-001"</t>
  </si>
  <si>
    <t xml:space="preserve">ACT-&gt;ARG0/178,ARG1/84</t>
  </si>
  <si>
    <t xml:space="preserve">PAT-&gt;ARG0/6,ARG1/414,ARGM-LOC/1</t>
  </si>
  <si>
    <t xml:space="preserve">"stěhovat-002"</t>
  </si>
  <si>
    <t xml:space="preserve">ACT-&gt;ARG0/85,ARG1/84</t>
  </si>
  <si>
    <t xml:space="preserve">PAT-&gt;ARG0/5,ARG1/238,ARGM-LOC/1</t>
  </si>
  <si>
    <t xml:space="preserve">"stěhovat-se-001"</t>
  </si>
  <si>
    <t xml:space="preserve">ACT-&gt;ARG0/128,ARG1/401,ARGM-LOC/1</t>
  </si>
  <si>
    <t xml:space="preserve">DIR3-&gt;ARG4/1,ARGM-LOC/23</t>
  </si>
  <si>
    <t xml:space="preserve">"stěsnat-001"</t>
  </si>
  <si>
    <t xml:space="preserve">"stěžovat-si-001"</t>
  </si>
  <si>
    <t xml:space="preserve">?PAT: na+4; ↓že; .s; ↓c</t>
  </si>
  <si>
    <t xml:space="preserve">"stěžovat-si-002"</t>
  </si>
  <si>
    <t xml:space="preserve">EFF: ↓že; .s; ↓c</t>
  </si>
  <si>
    <t xml:space="preserve">EFF-&gt;ARG1/83</t>
  </si>
  <si>
    <t xml:space="preserve">"stěžovávat-si-001"</t>
  </si>
  <si>
    <t xml:space="preserve">"střelit-001"</t>
  </si>
  <si>
    <t xml:space="preserve">"střelit-002"</t>
  </si>
  <si>
    <t xml:space="preserve">"střelit-003"</t>
  </si>
  <si>
    <t xml:space="preserve">"střelit-004"</t>
  </si>
  <si>
    <t xml:space="preserve">"střelit-005"</t>
  </si>
  <si>
    <t xml:space="preserve">"střelit-006"</t>
  </si>
  <si>
    <t xml:space="preserve">DPHR: veto.S7</t>
  </si>
  <si>
    <t xml:space="preserve">"střetnout-001"</t>
  </si>
  <si>
    <t xml:space="preserve">"střetnout-002"</t>
  </si>
  <si>
    <t xml:space="preserve">"střetnout-se-001"</t>
  </si>
  <si>
    <t xml:space="preserve">ACT-&gt;ARG0/3,ARG1/6</t>
  </si>
  <si>
    <t xml:space="preserve">ADDR-&gt;ARG1/3,ARG2/7</t>
  </si>
  <si>
    <t xml:space="preserve">"střetnout-se-002"</t>
  </si>
  <si>
    <t xml:space="preserve">"střetávat-001"</t>
  </si>
  <si>
    <t xml:space="preserve">"střetávat-002"</t>
  </si>
  <si>
    <t xml:space="preserve">"střetávat-se-001"</t>
  </si>
  <si>
    <t xml:space="preserve">"střetávat-se-002"</t>
  </si>
  <si>
    <t xml:space="preserve">"střežit-001"</t>
  </si>
  <si>
    <t xml:space="preserve">"střihnout-si-001"</t>
  </si>
  <si>
    <t xml:space="preserve">"střádat-001"</t>
  </si>
  <si>
    <t xml:space="preserve">"střídat-001"</t>
  </si>
  <si>
    <t xml:space="preserve">ACT-&gt;ARG0/79,ARG1/2</t>
  </si>
  <si>
    <t xml:space="preserve">?EFF: 7; s+7; za+4</t>
  </si>
  <si>
    <t xml:space="preserve">"střídat-002"</t>
  </si>
  <si>
    <t xml:space="preserve">PAT-&gt;ARG1/124,ARG2/1</t>
  </si>
  <si>
    <t xml:space="preserve">"střídat-se-001"</t>
  </si>
  <si>
    <t xml:space="preserve">"stříhat-001"</t>
  </si>
  <si>
    <t xml:space="preserve">"stříkat-001"</t>
  </si>
  <si>
    <t xml:space="preserve">"stříkat-002"</t>
  </si>
  <si>
    <t xml:space="preserve">"stříkat-003"</t>
  </si>
  <si>
    <t xml:space="preserve">"stříkat-004"</t>
  </si>
  <si>
    <t xml:space="preserve">"střílet-001"</t>
  </si>
  <si>
    <t xml:space="preserve">"střílet-002"</t>
  </si>
  <si>
    <t xml:space="preserve">"střílet-003"</t>
  </si>
  <si>
    <t xml:space="preserve">"subvencovat-001"</t>
  </si>
  <si>
    <t xml:space="preserve">"sugerovat-001"</t>
  </si>
  <si>
    <t xml:space="preserve">"sumarizovat-001"</t>
  </si>
  <si>
    <t xml:space="preserve">"sundat-001"</t>
  </si>
  <si>
    <t xml:space="preserve">"sundat-002"</t>
  </si>
  <si>
    <t xml:space="preserve">"sundávat-001"</t>
  </si>
  <si>
    <t xml:space="preserve">"sunout-se-001"</t>
  </si>
  <si>
    <t xml:space="preserve">"sunout-se-002"</t>
  </si>
  <si>
    <t xml:space="preserve">"supervidovat-001"</t>
  </si>
  <si>
    <t xml:space="preserve">"suplovat-001"</t>
  </si>
  <si>
    <t xml:space="preserve">"suplovat-002"</t>
  </si>
  <si>
    <t xml:space="preserve">"surfovat-001"</t>
  </si>
  <si>
    <t xml:space="preserve">"surfovat-002"</t>
  </si>
  <si>
    <t xml:space="preserve">"suspendovat-001"</t>
  </si>
  <si>
    <t xml:space="preserve">"sušit-001"</t>
  </si>
  <si>
    <t xml:space="preserve">"sužovat-001"</t>
  </si>
  <si>
    <t xml:space="preserve">ACT-&gt;ARG0/34,ARG2/77</t>
  </si>
  <si>
    <t xml:space="preserve">"svalit-001"</t>
  </si>
  <si>
    <t xml:space="preserve">"svalit-se-001"</t>
  </si>
  <si>
    <t xml:space="preserve">"svalovat-001"</t>
  </si>
  <si>
    <t xml:space="preserve">ACT-&gt;ARG0/367</t>
  </si>
  <si>
    <t xml:space="preserve">PAT-&gt;ARG1/205,ARG2/23</t>
  </si>
  <si>
    <t xml:space="preserve">PAT-&gt;ARG1/268,ARG2/212</t>
  </si>
  <si>
    <t xml:space="preserve">ADDR-&gt;ARG1/32,ARG2/36</t>
  </si>
  <si>
    <t xml:space="preserve">ADDR-&gt;ARG1/225,ARG2/129</t>
  </si>
  <si>
    <t xml:space="preserve">"svatořečit-001"</t>
  </si>
  <si>
    <t xml:space="preserve">"svazovat-001"</t>
  </si>
  <si>
    <t xml:space="preserve">"svazovat-002"</t>
  </si>
  <si>
    <t xml:space="preserve">"svazovat-003"</t>
  </si>
  <si>
    <t xml:space="preserve">"svačit-001"</t>
  </si>
  <si>
    <t xml:space="preserve">"svařit-001"</t>
  </si>
  <si>
    <t xml:space="preserve">"svařovat-001"</t>
  </si>
  <si>
    <t xml:space="preserve">"svažovat-se-001"</t>
  </si>
  <si>
    <t xml:space="preserve">"svitnout-001"</t>
  </si>
  <si>
    <t xml:space="preserve">"svitnout-002"</t>
  </si>
  <si>
    <t xml:space="preserve">"svištět-001"</t>
  </si>
  <si>
    <t xml:space="preserve">"svištět-002"</t>
  </si>
  <si>
    <t xml:space="preserve">"svlékat-001"</t>
  </si>
  <si>
    <t xml:space="preserve">"svlékat-002"</t>
  </si>
  <si>
    <t xml:space="preserve">"svléknout-001"</t>
  </si>
  <si>
    <t xml:space="preserve">"svléknout-002"</t>
  </si>
  <si>
    <t xml:space="preserve">"svlíkat-se-001"</t>
  </si>
  <si>
    <t xml:space="preserve">"svolat-001"</t>
  </si>
  <si>
    <t xml:space="preserve">ACT-&gt;ARG0/310,ARG1/1</t>
  </si>
  <si>
    <t xml:space="preserve">PAT-&gt;ARG1/197</t>
  </si>
  <si>
    <t xml:space="preserve">PAT-&gt;ARG1/418</t>
  </si>
  <si>
    <t xml:space="preserve">"svolit-001"</t>
  </si>
  <si>
    <t xml:space="preserve">"svolovat-001"</t>
  </si>
  <si>
    <t xml:space="preserve">"svolávat-001"</t>
  </si>
  <si>
    <t xml:space="preserve">"svolávat-002"</t>
  </si>
  <si>
    <t xml:space="preserve">"svraštět-001"</t>
  </si>
  <si>
    <t xml:space="preserve">"svrbit-001"</t>
  </si>
  <si>
    <t xml:space="preserve">"svrbit-002"</t>
  </si>
  <si>
    <t xml:space="preserve">"svrbět-001"</t>
  </si>
  <si>
    <t xml:space="preserve">"svrbět-002"</t>
  </si>
  <si>
    <t xml:space="preserve">"svrhnout-001"</t>
  </si>
  <si>
    <t xml:space="preserve">"svádět-001"</t>
  </si>
  <si>
    <t xml:space="preserve">"svádět-002"</t>
  </si>
  <si>
    <t xml:space="preserve">PAT-&gt;ARG1/34,ARG2/21</t>
  </si>
  <si>
    <t xml:space="preserve">EFF-&gt;ARG1/24,ARG2/1</t>
  </si>
  <si>
    <t xml:space="preserve">EFF-&gt;ARG1/225,ARG2/129</t>
  </si>
  <si>
    <t xml:space="preserve">"svádět-003"</t>
  </si>
  <si>
    <t xml:space="preserve">?PAT: k+3; ↓aby; ↓ať; .f</t>
  </si>
  <si>
    <t xml:space="preserve">"svázat-001"</t>
  </si>
  <si>
    <t xml:space="preserve">PAT-&gt;ARG1/49,ARG2/4</t>
  </si>
  <si>
    <t xml:space="preserve">ADDR-&gt;ARG1/33,ARG2/70</t>
  </si>
  <si>
    <t xml:space="preserve">"svázat-002"</t>
  </si>
  <si>
    <t xml:space="preserve">"svázat-003"</t>
  </si>
  <si>
    <t xml:space="preserve">"svázat-004"</t>
  </si>
  <si>
    <t xml:space="preserve">"svářet-001"</t>
  </si>
  <si>
    <t xml:space="preserve">"svážet-001"</t>
  </si>
  <si>
    <t xml:space="preserve">"svést-001"</t>
  </si>
  <si>
    <t xml:space="preserve">"svést-002"</t>
  </si>
  <si>
    <t xml:space="preserve">"svést-003"</t>
  </si>
  <si>
    <t xml:space="preserve">"svést-004"</t>
  </si>
  <si>
    <t xml:space="preserve">"svést-005"</t>
  </si>
  <si>
    <t xml:space="preserve">"svézt-001"</t>
  </si>
  <si>
    <t xml:space="preserve">"svézt-002"</t>
  </si>
  <si>
    <t xml:space="preserve">"svézt-003"</t>
  </si>
  <si>
    <t xml:space="preserve">"svézt-se-001"</t>
  </si>
  <si>
    <t xml:space="preserve">"svézt-se-002"</t>
  </si>
  <si>
    <t xml:space="preserve">"svíjet-se-001"</t>
  </si>
  <si>
    <t xml:space="preserve">"svírat-001"</t>
  </si>
  <si>
    <t xml:space="preserve">"svírat-002"</t>
  </si>
  <si>
    <t xml:space="preserve">"svírat-003"</t>
  </si>
  <si>
    <t xml:space="preserve">"svítat-001"</t>
  </si>
  <si>
    <t xml:space="preserve">"svítat-002"</t>
  </si>
  <si>
    <t xml:space="preserve">"svítit-001"</t>
  </si>
  <si>
    <t xml:space="preserve">ACT-&gt;ARG1/85</t>
  </si>
  <si>
    <t xml:space="preserve">ACT-&gt;ARG0/195,ARG1/4</t>
  </si>
  <si>
    <t xml:space="preserve">"svítit-002"</t>
  </si>
  <si>
    <t xml:space="preserve">"svědit-001"</t>
  </si>
  <si>
    <t xml:space="preserve">?PAT: 1</t>
  </si>
  <si>
    <t xml:space="preserve">"svědčit-001"</t>
  </si>
  <si>
    <t xml:space="preserve">PAT-&gt;ARG0/52</t>
  </si>
  <si>
    <t xml:space="preserve">"svědčit-002"</t>
  </si>
  <si>
    <t xml:space="preserve">PAT-&gt;ARG1/185</t>
  </si>
  <si>
    <t xml:space="preserve">"svědčit-003"</t>
  </si>
  <si>
    <t xml:space="preserve">PAT: pro+4; proti+3; ↓že; {neprospěch,prospěch}.S4/AuxP[v-1,.2]; v-1[{prospěch,neprospěch}.S4[.u#]]</t>
  </si>
  <si>
    <t xml:space="preserve">PAT-&gt;ARG1/12,ARG2/2</t>
  </si>
  <si>
    <t xml:space="preserve">"svědčit-004"</t>
  </si>
  <si>
    <t xml:space="preserve">"svědět-001"</t>
  </si>
  <si>
    <t xml:space="preserve">"svědět-002"</t>
  </si>
  <si>
    <t xml:space="preserve">"světit-001"</t>
  </si>
  <si>
    <t xml:space="preserve">"světit-002"</t>
  </si>
  <si>
    <t xml:space="preserve">"svěřit-001"</t>
  </si>
  <si>
    <t xml:space="preserve">"svěřit-002"</t>
  </si>
  <si>
    <t xml:space="preserve">ACT-&gt;ARG0/355</t>
  </si>
  <si>
    <t xml:space="preserve">PAT-&gt;ARG1/530,ARG2/1</t>
  </si>
  <si>
    <t xml:space="preserve">ADDR-&gt;ARG1/4,ARG2/369</t>
  </si>
  <si>
    <t xml:space="preserve">"svěřit-003"</t>
  </si>
  <si>
    <t xml:space="preserve">ADDR-&gt;ARG2/57</t>
  </si>
  <si>
    <t xml:space="preserve">"svěřit-004"</t>
  </si>
  <si>
    <t xml:space="preserve">"svěřit-se-001"</t>
  </si>
  <si>
    <t xml:space="preserve">PAT: s+7; ↓že; .s; ↓c</t>
  </si>
  <si>
    <t xml:space="preserve">"svěřovat-001"</t>
  </si>
  <si>
    <t xml:space="preserve">"svěřovat-002"</t>
  </si>
  <si>
    <t xml:space="preserve">"svěřovat-003"</t>
  </si>
  <si>
    <t xml:space="preserve">"svěřovat-se-001"</t>
  </si>
  <si>
    <t xml:space="preserve">ACT-&gt;ARG0/207,ARG1/2</t>
  </si>
  <si>
    <t xml:space="preserve">ACT-&gt;ARG0/297,ARG1/2</t>
  </si>
  <si>
    <t xml:space="preserve">PAT-&gt;ARG1/193,ARG2/28</t>
  </si>
  <si>
    <t xml:space="preserve">PAT-&gt;ARG1/286,ARG2/28</t>
  </si>
  <si>
    <t xml:space="preserve">"symbolizovat-001"</t>
  </si>
  <si>
    <t xml:space="preserve">"sympatizovat-001"</t>
  </si>
  <si>
    <t xml:space="preserve">"synchronizovat-001"</t>
  </si>
  <si>
    <t xml:space="preserve">"sypat-001"</t>
  </si>
  <si>
    <t xml:space="preserve">"sypat-002"</t>
  </si>
  <si>
    <t xml:space="preserve">"sypat-003"</t>
  </si>
  <si>
    <t xml:space="preserve">"sypat-004"</t>
  </si>
  <si>
    <t xml:space="preserve">"sypat-005"</t>
  </si>
  <si>
    <t xml:space="preserve">"sypat-006"</t>
  </si>
  <si>
    <t xml:space="preserve">DPHR: z-1[rukáv:S2]</t>
  </si>
  <si>
    <t xml:space="preserve">"sypat-se-001"</t>
  </si>
  <si>
    <t xml:space="preserve">"sytit-001"</t>
  </si>
  <si>
    <t xml:space="preserve">"sytit-002"</t>
  </si>
  <si>
    <t xml:space="preserve">"syčet-001"</t>
  </si>
  <si>
    <t xml:space="preserve">"sáhnout-001"</t>
  </si>
  <si>
    <t xml:space="preserve">"sáhnout-002"</t>
  </si>
  <si>
    <t xml:space="preserve">"sáhnout-003"</t>
  </si>
  <si>
    <t xml:space="preserve">"sáhnout-si-001"</t>
  </si>
  <si>
    <t xml:space="preserve">DPHR: na-1[dno.S4]</t>
  </si>
  <si>
    <t xml:space="preserve">"sápat-se-001"</t>
  </si>
  <si>
    <t xml:space="preserve">PAT: po+6,na+4</t>
  </si>
  <si>
    <t xml:space="preserve">"sát-001"</t>
  </si>
  <si>
    <t xml:space="preserve">"sázet-001"</t>
  </si>
  <si>
    <t xml:space="preserve">"sázet-002"</t>
  </si>
  <si>
    <t xml:space="preserve">"sázet-003"</t>
  </si>
  <si>
    <t xml:space="preserve">"sázet-004"</t>
  </si>
  <si>
    <t xml:space="preserve">"sázet-005"</t>
  </si>
  <si>
    <t xml:space="preserve">PAT-&gt;ARG1/1,ARG2/24</t>
  </si>
  <si>
    <t xml:space="preserve">"sázet-se-001"</t>
  </si>
  <si>
    <t xml:space="preserve">ADDR-&gt;ARG2/1,ARG3/1</t>
  </si>
  <si>
    <t xml:space="preserve">EFF: o-1[ten.NS4[že[.v]]]; o-1[ten.NS4[.c]]; ↓že</t>
  </si>
  <si>
    <t xml:space="preserve">PAT-&gt;ARG1/1,ARG2/2,ARG3/1</t>
  </si>
  <si>
    <t xml:space="preserve">"sáňkovat-001"</t>
  </si>
  <si>
    <t xml:space="preserve">"sídlit-001"</t>
  </si>
  <si>
    <t xml:space="preserve">ACT-&gt;ARG0/5,ARG1/3450,ARG2/299,ARGm-LOC/1</t>
  </si>
  <si>
    <t xml:space="preserve">LOC-&gt;ARG1/131,ARG2/3733,ARGm-LOC/137</t>
  </si>
  <si>
    <t xml:space="preserve">"sílit-001"</t>
  </si>
  <si>
    <t xml:space="preserve">ACT-&gt;ARG1/178,ARG2/4</t>
  </si>
  <si>
    <t xml:space="preserve">"sípat-001"</t>
  </si>
  <si>
    <t xml:space="preserve">"sít-001"</t>
  </si>
  <si>
    <t xml:space="preserve">"sýčkovat-001"</t>
  </si>
  <si>
    <t xml:space="preserve">EFF: 4; ↓že; ↓aby; ↓ať; ↓zda; ↓jak-2; .s</t>
  </si>
  <si>
    <t xml:space="preserve">"sčítat-001"</t>
  </si>
  <si>
    <t xml:space="preserve">"sžírat-001"</t>
  </si>
  <si>
    <t xml:space="preserve">"sžít-se-001"</t>
  </si>
  <si>
    <t xml:space="preserve">"tabuizovat-001"</t>
  </si>
  <si>
    <t xml:space="preserve">"tahat-001"</t>
  </si>
  <si>
    <t xml:space="preserve">DPHR: za-1[ucho.P4]</t>
  </si>
  <si>
    <t xml:space="preserve">"tahat-002"</t>
  </si>
  <si>
    <t xml:space="preserve">?PAT: 4; za+4</t>
  </si>
  <si>
    <t xml:space="preserve">"tahat-003"</t>
  </si>
  <si>
    <t xml:space="preserve">"tahat-004"</t>
  </si>
  <si>
    <t xml:space="preserve">"tahat-005"</t>
  </si>
  <si>
    <t xml:space="preserve">"tahat-006"</t>
  </si>
  <si>
    <t xml:space="preserve">"tahat-007"</t>
  </si>
  <si>
    <t xml:space="preserve">"tajit-001"</t>
  </si>
  <si>
    <t xml:space="preserve">PAT-&gt;ARG0/2,ARG1/22</t>
  </si>
  <si>
    <t xml:space="preserve">"tajit-002"</t>
  </si>
  <si>
    <t xml:space="preserve">"tajit-se-001"</t>
  </si>
  <si>
    <t xml:space="preserve">PAT: 7; s+7; ↓že</t>
  </si>
  <si>
    <t xml:space="preserve">"taktovat-001"</t>
  </si>
  <si>
    <t xml:space="preserve">"tancovat-001"</t>
  </si>
  <si>
    <t xml:space="preserve">"tankovat-001"</t>
  </si>
  <si>
    <t xml:space="preserve">"tanout-001"</t>
  </si>
  <si>
    <t xml:space="preserve">"tančit-001"</t>
  </si>
  <si>
    <t xml:space="preserve">"tasit-001"</t>
  </si>
  <si>
    <t xml:space="preserve">"tasit-002"</t>
  </si>
  <si>
    <t xml:space="preserve">"taxikařit-001"</t>
  </si>
  <si>
    <t xml:space="preserve">"tejpovat-001"</t>
  </si>
  <si>
    <t xml:space="preserve">"telefonovat-001"</t>
  </si>
  <si>
    <t xml:space="preserve">ADDR-&gt;ARG1/9</t>
  </si>
  <si>
    <t xml:space="preserve">"telefonovat-002"</t>
  </si>
  <si>
    <t xml:space="preserve">"telefonovat-003"</t>
  </si>
  <si>
    <t xml:space="preserve">"telefonovat-004"</t>
  </si>
  <si>
    <t xml:space="preserve">"telefonovat-005"</t>
  </si>
  <si>
    <t xml:space="preserve">DIR3-&gt;ARG1/45</t>
  </si>
  <si>
    <t xml:space="preserve">"telefonovat-006"</t>
  </si>
  <si>
    <t xml:space="preserve">"telegrafovat-001"</t>
  </si>
  <si>
    <t xml:space="preserve">"tematizovat-001"</t>
  </si>
  <si>
    <t xml:space="preserve">"tendovat-001"</t>
  </si>
  <si>
    <t xml:space="preserve">"tenčit-se-001"</t>
  </si>
  <si>
    <t xml:space="preserve">"teoretizovat-001"</t>
  </si>
  <si>
    <t xml:space="preserve">PAT: ↓že; o+6</t>
  </si>
  <si>
    <t xml:space="preserve">"tepat-001"</t>
  </si>
  <si>
    <t xml:space="preserve">"tepat-002"</t>
  </si>
  <si>
    <t xml:space="preserve">"terorizovat-001"</t>
  </si>
  <si>
    <t xml:space="preserve">"testovat-001"</t>
  </si>
  <si>
    <t xml:space="preserve">"tetovat-001"</t>
  </si>
  <si>
    <t xml:space="preserve">"textovat-001"</t>
  </si>
  <si>
    <t xml:space="preserve">"tečkovat-001"</t>
  </si>
  <si>
    <t xml:space="preserve">ACT-&gt;ARG0/1,ARG2/2</t>
  </si>
  <si>
    <t xml:space="preserve">"tečovat-001"</t>
  </si>
  <si>
    <t xml:space="preserve">"tikat-001"</t>
  </si>
  <si>
    <t xml:space="preserve">DPHR: hodina.P1[biologický.#]</t>
  </si>
  <si>
    <t xml:space="preserve">"tipnout-001"</t>
  </si>
  <si>
    <t xml:space="preserve">"tipnout-002"</t>
  </si>
  <si>
    <t xml:space="preserve">"tipovat-001"</t>
  </si>
  <si>
    <t xml:space="preserve">?EFF: na+4; do+2; a4</t>
  </si>
  <si>
    <t xml:space="preserve">"tipovat-002"</t>
  </si>
  <si>
    <t xml:space="preserve">"tisknout-001"</t>
  </si>
  <si>
    <t xml:space="preserve">"tisknout-002"</t>
  </si>
  <si>
    <t xml:space="preserve">"tkvít-001"</t>
  </si>
  <si>
    <t xml:space="preserve">ACT-&gt;ARG1/308,ARG2/3</t>
  </si>
  <si>
    <t xml:space="preserve">PAT-&gt;ARG1/2,ARG2/306</t>
  </si>
  <si>
    <t xml:space="preserve">"tkvít-002"</t>
  </si>
  <si>
    <t xml:space="preserve">"tlačit-001"</t>
  </si>
  <si>
    <t xml:space="preserve">ACT-&gt;ARG0/165,ARG1/1</t>
  </si>
  <si>
    <t xml:space="preserve">PAT-&gt;ARG1/233</t>
  </si>
  <si>
    <t xml:space="preserve">"tlačit-002"</t>
  </si>
  <si>
    <t xml:space="preserve">"tlačit-003"</t>
  </si>
  <si>
    <t xml:space="preserve">"tlačit-004"</t>
  </si>
  <si>
    <t xml:space="preserve">PAT-&gt;ARG1/25,ARG2/88</t>
  </si>
  <si>
    <t xml:space="preserve">"tlačit-005"</t>
  </si>
  <si>
    <t xml:space="preserve">ADDR: 4; na+4</t>
  </si>
  <si>
    <t xml:space="preserve">?PAT: k+3; do+2; .f; ↓aby; ↓ať</t>
  </si>
  <si>
    <t xml:space="preserve">ACT-&gt;ARG0/126,ARG1/1</t>
  </si>
  <si>
    <t xml:space="preserve">ACT-&gt;ARG0/855,ARG1/3,ARG2/4</t>
  </si>
  <si>
    <t xml:space="preserve">ADDR-&gt;ARG0/1,ARG1/124,ARG2/5</t>
  </si>
  <si>
    <t xml:space="preserve">ADDR-&gt;ARG0/1,ARG1/700,ARG2/193</t>
  </si>
  <si>
    <t xml:space="preserve">ADDR-&gt;ARG0/1,ARG1/699,ARG2/193</t>
  </si>
  <si>
    <t xml:space="preserve">PAT-&gt;ARG1/6,ARG2/113</t>
  </si>
  <si>
    <t xml:space="preserve">PAT-&gt;ARG1/903,ARG2/372</t>
  </si>
  <si>
    <t xml:space="preserve">PAT-&gt;ARG1/903,ARG2/371</t>
  </si>
  <si>
    <t xml:space="preserve">"tlačit-006"</t>
  </si>
  <si>
    <t xml:space="preserve">"tlačit-007"</t>
  </si>
  <si>
    <t xml:space="preserve">DPHR: k-1[zeď.S3]</t>
  </si>
  <si>
    <t xml:space="preserve">"tlačit-008"</t>
  </si>
  <si>
    <t xml:space="preserve">DPHR: na-1[pila.S4]</t>
  </si>
  <si>
    <t xml:space="preserve">"tlačit-009"</t>
  </si>
  <si>
    <t xml:space="preserve">"tlačit-se-001"</t>
  </si>
  <si>
    <t xml:space="preserve">"tlačit-se-002"</t>
  </si>
  <si>
    <t xml:space="preserve">"tlačit-se-003"</t>
  </si>
  <si>
    <t xml:space="preserve">"tleskat-001"</t>
  </si>
  <si>
    <t xml:space="preserve">"tlouci-001"</t>
  </si>
  <si>
    <t xml:space="preserve">"tlouci-002"</t>
  </si>
  <si>
    <t xml:space="preserve">"tlouci-003"</t>
  </si>
  <si>
    <t xml:space="preserve">"tlouci-004"</t>
  </si>
  <si>
    <t xml:space="preserve">"tlouci-se-001"</t>
  </si>
  <si>
    <t xml:space="preserve">"tloustnout-001"</t>
  </si>
  <si>
    <t xml:space="preserve">"tlumit-001"</t>
  </si>
  <si>
    <t xml:space="preserve">"tlumit-002"</t>
  </si>
  <si>
    <t xml:space="preserve">"tlumočit-001"</t>
  </si>
  <si>
    <t xml:space="preserve">"tlumočit-002"</t>
  </si>
  <si>
    <t xml:space="preserve">"tmelit-001"</t>
  </si>
  <si>
    <t xml:space="preserve">"tolerovat-001"</t>
  </si>
  <si>
    <t xml:space="preserve">"tolerovat-002"</t>
  </si>
  <si>
    <t xml:space="preserve">"tonout-001"</t>
  </si>
  <si>
    <t xml:space="preserve">"tonout-002"</t>
  </si>
  <si>
    <t xml:space="preserve">"topit-001"</t>
  </si>
  <si>
    <t xml:space="preserve">"topit-se-001"</t>
  </si>
  <si>
    <t xml:space="preserve">"topit-se-002"</t>
  </si>
  <si>
    <t xml:space="preserve">ACT-&gt;ARG1/3110,ARG2/296</t>
  </si>
  <si>
    <t xml:space="preserve">"torpédovat-001"</t>
  </si>
  <si>
    <t xml:space="preserve">"torpédovat-002"</t>
  </si>
  <si>
    <t xml:space="preserve">"toulat-se-001"</t>
  </si>
  <si>
    <t xml:space="preserve">"toužit-001"</t>
  </si>
  <si>
    <t xml:space="preserve">PAT: po+6; .f; ↓aby</t>
  </si>
  <si>
    <t xml:space="preserve">ACT-&gt;ARG0/52,ARG1/3102,ARG2/296</t>
  </si>
  <si>
    <t xml:space="preserve">ACT-&gt;ARG0/652</t>
  </si>
  <si>
    <t xml:space="preserve">PAT-&gt;ARG1/677,ARG2/3</t>
  </si>
  <si>
    <t xml:space="preserve">"točit-001"</t>
  </si>
  <si>
    <t xml:space="preserve">ACT-&gt;ARG0/349,ARG1/5,ARG2/3</t>
  </si>
  <si>
    <t xml:space="preserve">PAT-&gt;ARG1/526</t>
  </si>
  <si>
    <t xml:space="preserve">"točit-002"</t>
  </si>
  <si>
    <t xml:space="preserve">"točit-003"</t>
  </si>
  <si>
    <t xml:space="preserve">"točit-004"</t>
  </si>
  <si>
    <t xml:space="preserve">"točit-005"</t>
  </si>
  <si>
    <t xml:space="preserve">"točit-006"</t>
  </si>
  <si>
    <t xml:space="preserve">"točit-se-001"</t>
  </si>
  <si>
    <t xml:space="preserve">PAT: kolem-1[.2]</t>
  </si>
  <si>
    <t xml:space="preserve">"točit-se-002"</t>
  </si>
  <si>
    <t xml:space="preserve">"točit-se-003"</t>
  </si>
  <si>
    <t xml:space="preserve">DPHR: hlava.S1</t>
  </si>
  <si>
    <t xml:space="preserve">"točit-se-004"</t>
  </si>
  <si>
    <t xml:space="preserve">DPHR: záda.S7</t>
  </si>
  <si>
    <t xml:space="preserve">"točit-se-005"</t>
  </si>
  <si>
    <t xml:space="preserve">"tradovat-001"</t>
  </si>
  <si>
    <t xml:space="preserve">"trampovat-001"</t>
  </si>
  <si>
    <t xml:space="preserve">"transformovat-001"</t>
  </si>
  <si>
    <t xml:space="preserve">PAT-&gt;ARG0/24,ARG1/25</t>
  </si>
  <si>
    <t xml:space="preserve">?EFF: na+4; v+4; k+3; do+2</t>
  </si>
  <si>
    <t xml:space="preserve">EFF-&gt;ARG2/66</t>
  </si>
  <si>
    <t xml:space="preserve">"transformovat-se-001"</t>
  </si>
  <si>
    <t xml:space="preserve">ACT-&gt;ARG0/15,ARG1/7</t>
  </si>
  <si>
    <t xml:space="preserve">ORIG-&gt;ARG2/1,ARG3/5</t>
  </si>
  <si>
    <t xml:space="preserve">"transplantovat-001"</t>
  </si>
  <si>
    <t xml:space="preserve">"transportovat-001"</t>
  </si>
  <si>
    <t xml:space="preserve">"tratit-001"</t>
  </si>
  <si>
    <t xml:space="preserve">"traumatizovat-001"</t>
  </si>
  <si>
    <t xml:space="preserve">"trefit-001"</t>
  </si>
  <si>
    <t xml:space="preserve">"trefit-002"</t>
  </si>
  <si>
    <t xml:space="preserve">"trefit-003"</t>
  </si>
  <si>
    <t xml:space="preserve">"trefit-004"</t>
  </si>
  <si>
    <t xml:space="preserve">"trefit-005"</t>
  </si>
  <si>
    <t xml:space="preserve">DPHR: do-1[černý-1.NS2]</t>
  </si>
  <si>
    <t xml:space="preserve">"trefit-006"</t>
  </si>
  <si>
    <t xml:space="preserve">DPHR: hřebík.S4,na-1[hlavička.S4]</t>
  </si>
  <si>
    <t xml:space="preserve">"trefit-se-001"</t>
  </si>
  <si>
    <t xml:space="preserve">DIR3-&gt;ARG1/7</t>
  </si>
  <si>
    <t xml:space="preserve">"trefit-se-002"</t>
  </si>
  <si>
    <t xml:space="preserve">"trefit-se-003"</t>
  </si>
  <si>
    <t xml:space="preserve">"trefovat-se-001"</t>
  </si>
  <si>
    <t xml:space="preserve">"trestat-001"</t>
  </si>
  <si>
    <t xml:space="preserve">"trhat-001"</t>
  </si>
  <si>
    <t xml:space="preserve">"trhat-002"</t>
  </si>
  <si>
    <t xml:space="preserve">"trhat-003"</t>
  </si>
  <si>
    <t xml:space="preserve">"trhat-se-001"</t>
  </si>
  <si>
    <t xml:space="preserve">"trhnout-001"</t>
  </si>
  <si>
    <t xml:space="preserve">"trhnout-se-001"</t>
  </si>
  <si>
    <t xml:space="preserve">"trhnout-se-002"</t>
  </si>
  <si>
    <t xml:space="preserve">"triumfovat-001"</t>
  </si>
  <si>
    <t xml:space="preserve">"trivializovat-001"</t>
  </si>
  <si>
    <t xml:space="preserve">"trmácet-se-001"</t>
  </si>
  <si>
    <t xml:space="preserve">"trnout-001"</t>
  </si>
  <si>
    <t xml:space="preserve">?PAT: ↓aby; ↓zda; ↓jestli</t>
  </si>
  <si>
    <t xml:space="preserve">"tropit-001"</t>
  </si>
  <si>
    <t xml:space="preserve">"troubit-001"</t>
  </si>
  <si>
    <t xml:space="preserve">"troubit-002"</t>
  </si>
  <si>
    <t xml:space="preserve">"troubit-003"</t>
  </si>
  <si>
    <t xml:space="preserve">"troufat-si-001"</t>
  </si>
  <si>
    <t xml:space="preserve">"troufnout-si-001"</t>
  </si>
  <si>
    <t xml:space="preserve">ACT-&gt;ARG0/36,ARG1/4</t>
  </si>
  <si>
    <t xml:space="preserve">"trousit-se-001"</t>
  </si>
  <si>
    <t xml:space="preserve">"trpět-001"</t>
  </si>
  <si>
    <t xml:space="preserve">"trpět-002"</t>
  </si>
  <si>
    <t xml:space="preserve">PAT: 7; na+4</t>
  </si>
  <si>
    <t xml:space="preserve">ACT-&gt;ARG0/2259,ARG1/19,ARG2/76</t>
  </si>
  <si>
    <t xml:space="preserve">PAT-&gt;ARG0/1,ARG1/2346,ARG2/6</t>
  </si>
  <si>
    <t xml:space="preserve">"trpět-003"</t>
  </si>
  <si>
    <t xml:space="preserve">"trpět-004"</t>
  </si>
  <si>
    <t xml:space="preserve">ACT-&gt;ARG0/93,ARG1/3275,ARG2/299</t>
  </si>
  <si>
    <t xml:space="preserve">"truchlit-001"</t>
  </si>
  <si>
    <t xml:space="preserve">?PAT: nad+7; ↓že; ↓c</t>
  </si>
  <si>
    <t xml:space="preserve">"trucovat-001"</t>
  </si>
  <si>
    <t xml:space="preserve">"trumfnout-001"</t>
  </si>
  <si>
    <t xml:space="preserve">"trumfovat-001"</t>
  </si>
  <si>
    <t xml:space="preserve">ACT-&gt;ARG0/217</t>
  </si>
  <si>
    <t xml:space="preserve">"trvat-001"</t>
  </si>
  <si>
    <t xml:space="preserve">ACT: 1; .f; ↓než-2; ↓že</t>
  </si>
  <si>
    <t xml:space="preserve">ACT-&gt;ARG0/60,ARG1/403,ARG2/1</t>
  </si>
  <si>
    <t xml:space="preserve">ACT-&gt;ARG0/55,ARG1/3,ARG2/1</t>
  </si>
  <si>
    <t xml:space="preserve">"trvat-002"</t>
  </si>
  <si>
    <t xml:space="preserve">ACT-&gt;ARG0/941,ARG1/3107,ARG2/296</t>
  </si>
  <si>
    <t xml:space="preserve">ACT-&gt;ARG0/262,ARG1/47</t>
  </si>
  <si>
    <t xml:space="preserve">PAT-&gt;ARG1/988,ARG2/2</t>
  </si>
  <si>
    <t xml:space="preserve">PAT-&gt;ARG1/292</t>
  </si>
  <si>
    <t xml:space="preserve">"trvat-003"</t>
  </si>
  <si>
    <t xml:space="preserve">ACT-&gt;ARG0/53,ARG1/3462,ARG2/297</t>
  </si>
  <si>
    <t xml:space="preserve">"trvat-004"</t>
  </si>
  <si>
    <t xml:space="preserve">DPHR: na-1[svůj-1.NS6]</t>
  </si>
  <si>
    <t xml:space="preserve">"tryskat-001"</t>
  </si>
  <si>
    <t xml:space="preserve">DIR1-&gt;ARG0/2,ARG1/50,ARG2/84</t>
  </si>
  <si>
    <t xml:space="preserve">"trápit-001"</t>
  </si>
  <si>
    <t xml:space="preserve">ACT: 1; ↓zda</t>
  </si>
  <si>
    <t xml:space="preserve">ACT-&gt;ARG0/9,ARG1/11</t>
  </si>
  <si>
    <t xml:space="preserve">PAT-&gt;ARG0/9,ARG1/16</t>
  </si>
  <si>
    <t xml:space="preserve">"trápit-se-001"</t>
  </si>
  <si>
    <t xml:space="preserve">PAT: 7; s+7; nad+7; ↓c</t>
  </si>
  <si>
    <t xml:space="preserve">"trápit-se-002"</t>
  </si>
  <si>
    <t xml:space="preserve">ACT-&gt;ARG0/20,ARG1/4</t>
  </si>
  <si>
    <t xml:space="preserve">"trávit-001"</t>
  </si>
  <si>
    <t xml:space="preserve">"trávit-002"</t>
  </si>
  <si>
    <t xml:space="preserve">"trénovat-001"</t>
  </si>
  <si>
    <t xml:space="preserve">"trénovat-002"</t>
  </si>
  <si>
    <t xml:space="preserve">"trýznit-001"</t>
  </si>
  <si>
    <t xml:space="preserve">"trčet-001"</t>
  </si>
  <si>
    <t xml:space="preserve">"trčet-002"</t>
  </si>
  <si>
    <t xml:space="preserve">"tuhnout-001"</t>
  </si>
  <si>
    <t xml:space="preserve">"tulit-se-001"</t>
  </si>
  <si>
    <t xml:space="preserve">"turistovat-001"</t>
  </si>
  <si>
    <t xml:space="preserve">"tutlat-001"</t>
  </si>
  <si>
    <t xml:space="preserve">PAT: 4; ↓že; ↓jestli; ↓jak-2; ↓zda; ↓c</t>
  </si>
  <si>
    <t xml:space="preserve">"tutlat-002"</t>
  </si>
  <si>
    <t xml:space="preserve">"tušit-001"</t>
  </si>
  <si>
    <t xml:space="preserve">PAT: 4; ↓že; ↓c; ↓zda; ↓jak-2</t>
  </si>
  <si>
    <t xml:space="preserve">ACT-&gt;ARG0/2805,ARG1/24</t>
  </si>
  <si>
    <t xml:space="preserve">ACT-&gt;ARG0/397,ARG1/4,ARG2/3</t>
  </si>
  <si>
    <t xml:space="preserve">PAT-&gt;ARG1/657,ARG2/1</t>
  </si>
  <si>
    <t xml:space="preserve">PAT-&gt;ARG1/453,ARG2/22,ARG3/3</t>
  </si>
  <si>
    <t xml:space="preserve">"tvarovat-001"</t>
  </si>
  <si>
    <t xml:space="preserve">"tvarovat-002"</t>
  </si>
  <si>
    <t xml:space="preserve">"tvořit-001"</t>
  </si>
  <si>
    <t xml:space="preserve">ACT-&gt;ARG0/613,ARG1/8,ARG2/3</t>
  </si>
  <si>
    <t xml:space="preserve">PAT-&gt;ARG0/3,ARG1/1008</t>
  </si>
  <si>
    <t xml:space="preserve">ADDR-&gt;ARG1/7,ARG3/18</t>
  </si>
  <si>
    <t xml:space="preserve">"tvořit-002"</t>
  </si>
  <si>
    <t xml:space="preserve">ACT-&gt;ARG0/455,ARG1/4245,ARG2/391</t>
  </si>
  <si>
    <t xml:space="preserve">PAT-&gt;ARG0/164,ARG1/860,ARG2/3878</t>
  </si>
  <si>
    <t xml:space="preserve">"tvořit-003"</t>
  </si>
  <si>
    <t xml:space="preserve">ACT-&gt;ARG0/394,ARG1/3114,ARG2/381</t>
  </si>
  <si>
    <t xml:space="preserve">EXT-&gt;ARG0/3,ARG1/626,ARG2/3471</t>
  </si>
  <si>
    <t xml:space="preserve">"tvořit-se-001"</t>
  </si>
  <si>
    <t xml:space="preserve">"tvrdit-001"</t>
  </si>
  <si>
    <t xml:space="preserve">"tvrdit-002"</t>
  </si>
  <si>
    <t xml:space="preserve">EFF: 4; ↓že; ↓zda; .s; ↓c; ↓jestli</t>
  </si>
  <si>
    <t xml:space="preserve">ACT-&gt;ARG0/13636,ARG1/3147,ARG2/296</t>
  </si>
  <si>
    <t xml:space="preserve">EFF-&gt;ARG0/3,ARG1/12176,ARG2/3454</t>
  </si>
  <si>
    <t xml:space="preserve">PAT-&gt;ARG0/3,ARG1/135,ARG2/1,ARG3/31</t>
  </si>
  <si>
    <t xml:space="preserve">ADDR-&gt;ARG1/3,ARG2/334</t>
  </si>
  <si>
    <t xml:space="preserve">"tvrdit-003"</t>
  </si>
  <si>
    <t xml:space="preserve">DPHR: basa.S1,muzika.S4</t>
  </si>
  <si>
    <t xml:space="preserve">"tvářit-se-001"</t>
  </si>
  <si>
    <t xml:space="preserve">"tykat-001"</t>
  </si>
  <si>
    <t xml:space="preserve">"--tykat-si-001"</t>
  </si>
  <si>
    <t xml:space="preserve">"tyčit-se-001"</t>
  </si>
  <si>
    <t xml:space="preserve">"tábořit-001"</t>
  </si>
  <si>
    <t xml:space="preserve">"táhnout-001"</t>
  </si>
  <si>
    <t xml:space="preserve">"táhnout-002"</t>
  </si>
  <si>
    <t xml:space="preserve">"táhnout-003"</t>
  </si>
  <si>
    <t xml:space="preserve">PAT: na+4; 1</t>
  </si>
  <si>
    <t xml:space="preserve">"táhnout-004"</t>
  </si>
  <si>
    <t xml:space="preserve">"táhnout-005"</t>
  </si>
  <si>
    <t xml:space="preserve">?PAT: k+3; za+7</t>
  </si>
  <si>
    <t xml:space="preserve">ADDR-&gt;ARG1/25</t>
  </si>
  <si>
    <t xml:space="preserve">"táhnout-006"</t>
  </si>
  <si>
    <t xml:space="preserve">"táhnout-007"</t>
  </si>
  <si>
    <t xml:space="preserve">DPHR: příklad.1</t>
  </si>
  <si>
    <t xml:space="preserve">"táhnout-008"</t>
  </si>
  <si>
    <t xml:space="preserve">"táhnout-009"</t>
  </si>
  <si>
    <t xml:space="preserve">"táhnout-010"</t>
  </si>
  <si>
    <t xml:space="preserve">"táhnout-011"</t>
  </si>
  <si>
    <t xml:space="preserve">"--táhnout-012"</t>
  </si>
  <si>
    <t xml:space="preserve">"táhnout-013"</t>
  </si>
  <si>
    <t xml:space="preserve">"táhnout-se-001"</t>
  </si>
  <si>
    <t xml:space="preserve">"táhnout-se-002"</t>
  </si>
  <si>
    <t xml:space="preserve">"táhnout-se-003"</t>
  </si>
  <si>
    <t xml:space="preserve">"táhnout-se-004"</t>
  </si>
  <si>
    <t xml:space="preserve">"táhnout-se-005"</t>
  </si>
  <si>
    <t xml:space="preserve">"táhnout-se-006"</t>
  </si>
  <si>
    <t xml:space="preserve">"tápat-001"</t>
  </si>
  <si>
    <t xml:space="preserve">"tát-001"</t>
  </si>
  <si>
    <t xml:space="preserve">"tát-002"</t>
  </si>
  <si>
    <t xml:space="preserve">"tát-003"</t>
  </si>
  <si>
    <t xml:space="preserve">"tázat-se-001"</t>
  </si>
  <si>
    <t xml:space="preserve">PAT: na+4; ↓zda; ↓jak-2; ↓jestli; ↓c; .s; ohledně[.2]</t>
  </si>
  <si>
    <t xml:space="preserve">"téci-001"</t>
  </si>
  <si>
    <t xml:space="preserve">ACT-&gt;ARG0/10,ARG1/20</t>
  </si>
  <si>
    <t xml:space="preserve">"téci-002"</t>
  </si>
  <si>
    <t xml:space="preserve">"téci-003"</t>
  </si>
  <si>
    <t xml:space="preserve">"téci-004"</t>
  </si>
  <si>
    <t xml:space="preserve">"tíhnout-001"</t>
  </si>
  <si>
    <t xml:space="preserve">"típnout-001"</t>
  </si>
  <si>
    <t xml:space="preserve">"tísnit-se-001"</t>
  </si>
  <si>
    <t xml:space="preserve">ACT-&gt;ARG0/8,ARG2/2</t>
  </si>
  <si>
    <t xml:space="preserve">LOC-&gt;ARG1/4,ARG2/1</t>
  </si>
  <si>
    <t xml:space="preserve">"týkat-se-001"</t>
  </si>
  <si>
    <t xml:space="preserve">ACT-&gt;ARG0/339,ARG1/3177,ARG2/476</t>
  </si>
  <si>
    <t xml:space="preserve">PAT-&gt;ARG0/1,ARG1/1242,ARG2/3609</t>
  </si>
  <si>
    <t xml:space="preserve">"týrat-001"</t>
  </si>
  <si>
    <t xml:space="preserve">"těsnit-001"</t>
  </si>
  <si>
    <t xml:space="preserve">"těšit-001"</t>
  </si>
  <si>
    <t xml:space="preserve">"těšit-002"</t>
  </si>
  <si>
    <t xml:space="preserve">"těšit-se-001"</t>
  </si>
  <si>
    <t xml:space="preserve">ACT-&gt;ARG0/36,ARG1/56,ARG2/4</t>
  </si>
  <si>
    <t xml:space="preserve">"těšit-se-002"</t>
  </si>
  <si>
    <t xml:space="preserve">PAT: na+4; ↓že; ↓c; ↓jestli</t>
  </si>
  <si>
    <t xml:space="preserve">PAT-&gt;ARG1/111,ARG2/1</t>
  </si>
  <si>
    <t xml:space="preserve">"těšit-se-003"</t>
  </si>
  <si>
    <t xml:space="preserve">ACT-&gt;ARG0/87,ARG1/1</t>
  </si>
  <si>
    <t xml:space="preserve">PAT: z+2; ↓že</t>
  </si>
  <si>
    <t xml:space="preserve">PAT-&gt;ARG0/2,ARG1/110,ARG2/1</t>
  </si>
  <si>
    <t xml:space="preserve">"těšit-se-004"</t>
  </si>
  <si>
    <t xml:space="preserve">"těšívat-se-001"</t>
  </si>
  <si>
    <t xml:space="preserve">"těžit-001"</t>
  </si>
  <si>
    <t xml:space="preserve">PAT-&gt;ARG1/286,ARG2/1</t>
  </si>
  <si>
    <t xml:space="preserve">"těžit-002"</t>
  </si>
  <si>
    <t xml:space="preserve">ACT-&gt;ARG0/12,ARG1/80</t>
  </si>
  <si>
    <t xml:space="preserve">PAT-&gt;ARG0/66,ARG1/22</t>
  </si>
  <si>
    <t xml:space="preserve">"třepat-001"</t>
  </si>
  <si>
    <t xml:space="preserve">PAT: s+7; 4</t>
  </si>
  <si>
    <t xml:space="preserve">"třepetat-se-001"</t>
  </si>
  <si>
    <t xml:space="preserve">"třepit-se-001"</t>
  </si>
  <si>
    <t xml:space="preserve">"třpytit-se-001"</t>
  </si>
  <si>
    <t xml:space="preserve">"třást-se-001"</t>
  </si>
  <si>
    <t xml:space="preserve">"třást-se-002"</t>
  </si>
  <si>
    <t xml:space="preserve">"třást-si-001"</t>
  </si>
  <si>
    <t xml:space="preserve">"tříbit-001"</t>
  </si>
  <si>
    <t xml:space="preserve">"třídit-001"</t>
  </si>
  <si>
    <t xml:space="preserve">"třídit-002"</t>
  </si>
  <si>
    <t xml:space="preserve">"třímat-001"</t>
  </si>
  <si>
    <t xml:space="preserve">"třísknout-001"</t>
  </si>
  <si>
    <t xml:space="preserve">"třít-001"</t>
  </si>
  <si>
    <t xml:space="preserve">"ubezpečit-001"</t>
  </si>
  <si>
    <t xml:space="preserve">PAT: 7; o+6; ↓že; .s; ↓c</t>
  </si>
  <si>
    <t xml:space="preserve">ADDR-&gt;ARG1/23</t>
  </si>
  <si>
    <t xml:space="preserve">"ubezpečovat-001"</t>
  </si>
  <si>
    <t xml:space="preserve">"ubližovat-001"</t>
  </si>
  <si>
    <t xml:space="preserve">ACT: 1; .f; ↓kdyby</t>
  </si>
  <si>
    <t xml:space="preserve">"ublížit-001"</t>
  </si>
  <si>
    <t xml:space="preserve">ACT-&gt;ARG0/27,ARG1/4,ARG2/76</t>
  </si>
  <si>
    <t xml:space="preserve">"ubodat-001"</t>
  </si>
  <si>
    <t xml:space="preserve">"ubourat-001"</t>
  </si>
  <si>
    <t xml:space="preserve">"ubrat-001"</t>
  </si>
  <si>
    <t xml:space="preserve">PAT-&gt;ARG2/134</t>
  </si>
  <si>
    <t xml:space="preserve">"ubrat-002"</t>
  </si>
  <si>
    <t xml:space="preserve">"ubrat-003"</t>
  </si>
  <si>
    <t xml:space="preserve">DIR1-&gt;ARG1/21,ARG2/52</t>
  </si>
  <si>
    <t xml:space="preserve">"ubrat-004"</t>
  </si>
  <si>
    <t xml:space="preserve">"ubrat-005"</t>
  </si>
  <si>
    <t xml:space="preserve">"ubránit-001"</t>
  </si>
  <si>
    <t xml:space="preserve">?EFF: před+7; proti+3; 3</t>
  </si>
  <si>
    <t xml:space="preserve">"ubránit-se-001"</t>
  </si>
  <si>
    <t xml:space="preserve">"--ubránit-se-002"</t>
  </si>
  <si>
    <t xml:space="preserve">PAT: 3; před+7; proti+3</t>
  </si>
  <si>
    <t xml:space="preserve">"ubytovat-001"</t>
  </si>
  <si>
    <t xml:space="preserve">"ubytovat-se-001"</t>
  </si>
  <si>
    <t xml:space="preserve">"ubytovávat-001"</t>
  </si>
  <si>
    <t xml:space="preserve">"ubytovávat-002"</t>
  </si>
  <si>
    <t xml:space="preserve">"ubytovávat-se-001"</t>
  </si>
  <si>
    <t xml:space="preserve">"--ubytovávat-se-002"</t>
  </si>
  <si>
    <t xml:space="preserve">"ubíhat-001"</t>
  </si>
  <si>
    <t xml:space="preserve">"ubíjet-001"</t>
  </si>
  <si>
    <t xml:space="preserve">"ubírat-001"</t>
  </si>
  <si>
    <t xml:space="preserve">"ubírat-se-001"</t>
  </si>
  <si>
    <t xml:space="preserve">ACT-&gt;ARG0/4,ARG1/173,ARG2/1</t>
  </si>
  <si>
    <t xml:space="preserve">DIR2-&gt;ARG2/55</t>
  </si>
  <si>
    <t xml:space="preserve">"ubírat-se-002"</t>
  </si>
  <si>
    <t xml:space="preserve">ACT-&gt;ARG0/105,ARG1/73</t>
  </si>
  <si>
    <t xml:space="preserve">DIR3-&gt;ARG1/71,ARG2/71</t>
  </si>
  <si>
    <t xml:space="preserve">"ubít-001"</t>
  </si>
  <si>
    <t xml:space="preserve">"ubýt-001"</t>
  </si>
  <si>
    <t xml:space="preserve">ACT: 2; 1</t>
  </si>
  <si>
    <t xml:space="preserve">ACT-&gt;ARG1/317</t>
  </si>
  <si>
    <t xml:space="preserve">"ubývat-001"</t>
  </si>
  <si>
    <t xml:space="preserve">"uběhnout-001"</t>
  </si>
  <si>
    <t xml:space="preserve">"uběhnout-002"</t>
  </si>
  <si>
    <t xml:space="preserve">"ucelit-se-001"</t>
  </si>
  <si>
    <t xml:space="preserve">"uchechtávat-se-001"</t>
  </si>
  <si>
    <t xml:space="preserve">"uchlácholit-001"</t>
  </si>
  <si>
    <t xml:space="preserve">"uchopit-001"</t>
  </si>
  <si>
    <t xml:space="preserve">"uchovat-001"</t>
  </si>
  <si>
    <t xml:space="preserve">?EFF: .a</t>
  </si>
  <si>
    <t xml:space="preserve">"uchovat-se-001"</t>
  </si>
  <si>
    <t xml:space="preserve">ACT-&gt;ARG0/40,ARG1/43</t>
  </si>
  <si>
    <t xml:space="preserve">"uchovávat-001"</t>
  </si>
  <si>
    <t xml:space="preserve">ACT-&gt;ARG0/54,ARG1/1</t>
  </si>
  <si>
    <t xml:space="preserve">"uchránit-001"</t>
  </si>
  <si>
    <t xml:space="preserve">ACT-&gt;ARG0/22,ARG1/1,ARG3/9</t>
  </si>
  <si>
    <t xml:space="preserve">PAT-&gt;ARG1/78,ARG2/2</t>
  </si>
  <si>
    <t xml:space="preserve">EFF-&gt;ARG2/17</t>
  </si>
  <si>
    <t xml:space="preserve">"uchvacovat-001"</t>
  </si>
  <si>
    <t xml:space="preserve">"uchvátit-001"</t>
  </si>
  <si>
    <t xml:space="preserve">"uchvátit-002"</t>
  </si>
  <si>
    <t xml:space="preserve">"uchylovat-se-001"</t>
  </si>
  <si>
    <t xml:space="preserve">"uchylovat-se-002"</t>
  </si>
  <si>
    <t xml:space="preserve">"uchytit-se-001"</t>
  </si>
  <si>
    <t xml:space="preserve">"uchytit-se-002"</t>
  </si>
  <si>
    <t xml:space="preserve">"uchytit-se-003"</t>
  </si>
  <si>
    <t xml:space="preserve">"uchytnout-se-001"</t>
  </si>
  <si>
    <t xml:space="preserve">"ucházet-se-001"</t>
  </si>
  <si>
    <t xml:space="preserve">"uchýlit-se-001"</t>
  </si>
  <si>
    <t xml:space="preserve">"uchýlit-se-002"</t>
  </si>
  <si>
    <t xml:space="preserve">"ucpat-001"</t>
  </si>
  <si>
    <t xml:space="preserve">"ucpat-se-001"</t>
  </si>
  <si>
    <t xml:space="preserve">"uctít-001"</t>
  </si>
  <si>
    <t xml:space="preserve">"uctít-002"</t>
  </si>
  <si>
    <t xml:space="preserve">"uctívat-001"</t>
  </si>
  <si>
    <t xml:space="preserve">"ucuknout-001"</t>
  </si>
  <si>
    <t xml:space="preserve">"ucvaknout-001"</t>
  </si>
  <si>
    <t xml:space="preserve">"ucvaknout-002"</t>
  </si>
  <si>
    <t xml:space="preserve">"ucítit-001"</t>
  </si>
  <si>
    <t xml:space="preserve">"ucítit-002"</t>
  </si>
  <si>
    <t xml:space="preserve">"ucítit-003"</t>
  </si>
  <si>
    <t xml:space="preserve">CPHR: {nutkání,potřeba,...}.4</t>
  </si>
  <si>
    <t xml:space="preserve">"udat-001"</t>
  </si>
  <si>
    <t xml:space="preserve">"udat-002"</t>
  </si>
  <si>
    <t xml:space="preserve">ACT-&gt;ARG0/12172,ARG1/36</t>
  </si>
  <si>
    <t xml:space="preserve">PAT-&gt;ARG0/2,ARG1/10973,ARG2/2</t>
  </si>
  <si>
    <t xml:space="preserve">"udat-003"</t>
  </si>
  <si>
    <t xml:space="preserve">"udat-004"</t>
  </si>
  <si>
    <t xml:space="preserve">"udat-005"</t>
  </si>
  <si>
    <t xml:space="preserve">DPHR: tón.S4</t>
  </si>
  <si>
    <t xml:space="preserve">"udeřit-001"</t>
  </si>
  <si>
    <t xml:space="preserve">ACT-&gt;ARG0/29,ARG2/2</t>
  </si>
  <si>
    <t xml:space="preserve">"udeřit-002"</t>
  </si>
  <si>
    <t xml:space="preserve">"udeřit-003"</t>
  </si>
  <si>
    <t xml:space="preserve">"udeřit-004"</t>
  </si>
  <si>
    <t xml:space="preserve">ACT-&gt;ARG0/18,ARG1/1,ARG2/22</t>
  </si>
  <si>
    <t xml:space="preserve">ACT-&gt;ARG0/62,ARG1/1,ARG2/7</t>
  </si>
  <si>
    <t xml:space="preserve">ACT-&gt;ARG0/86,ARG1/2,ARG2/31</t>
  </si>
  <si>
    <t xml:space="preserve">"udeřit-005"</t>
  </si>
  <si>
    <t xml:space="preserve">ACT-&gt;ARG0/77,ARG1/2,ARG2/22</t>
  </si>
  <si>
    <t xml:space="preserve">"udeřit-se-001"</t>
  </si>
  <si>
    <t xml:space="preserve">ACT-&gt;ARG0/21,ARG1/51,ARG2/23</t>
  </si>
  <si>
    <t xml:space="preserve">"udit-001"</t>
  </si>
  <si>
    <t xml:space="preserve">"udivit-001"</t>
  </si>
  <si>
    <t xml:space="preserve">"udivovat-001"</t>
  </si>
  <si>
    <t xml:space="preserve">"udobřit-se-001"</t>
  </si>
  <si>
    <t xml:space="preserve">"udolat-001"</t>
  </si>
  <si>
    <t xml:space="preserve">ACT-&gt;ARG0/243,ARG2/6</t>
  </si>
  <si>
    <t xml:space="preserve">ACT-&gt;ARG0/242,ARG2/6</t>
  </si>
  <si>
    <t xml:space="preserve">PAT-&gt;ARG0/1,ARG1/420</t>
  </si>
  <si>
    <t xml:space="preserve">PAT-&gt;ARG0/1,ARG1/419</t>
  </si>
  <si>
    <t xml:space="preserve">"udržet-001"</t>
  </si>
  <si>
    <t xml:space="preserve">"udržet-002"</t>
  </si>
  <si>
    <t xml:space="preserve">ACT-&gt;ARG0/136,ARG1/1</t>
  </si>
  <si>
    <t xml:space="preserve">PAT-&gt;ARG0/2,ARG1/220</t>
  </si>
  <si>
    <t xml:space="preserve">LOC-&gt;ARG1/15,ARG2/38</t>
  </si>
  <si>
    <t xml:space="preserve">"udržet-003"</t>
  </si>
  <si>
    <t xml:space="preserve">ACT-&gt;ARG0/2593,ARG1/122</t>
  </si>
  <si>
    <t xml:space="preserve">PAT-&gt;ARG0/32,ARG1/2881,ARG3/32</t>
  </si>
  <si>
    <t xml:space="preserve">"udržet-004"</t>
  </si>
  <si>
    <t xml:space="preserve">"udržet-005"</t>
  </si>
  <si>
    <t xml:space="preserve">PAT-&gt;ARG0/2,ARG1/282</t>
  </si>
  <si>
    <t xml:space="preserve">LOC-&gt;ARG1/4,ARG2/32</t>
  </si>
  <si>
    <t xml:space="preserve">MANN-&gt;ARG1/90,ARG2/7</t>
  </si>
  <si>
    <t xml:space="preserve">MANN-&gt;ARG1/78</t>
  </si>
  <si>
    <t xml:space="preserve">"udržet-006"</t>
  </si>
  <si>
    <t xml:space="preserve">DPHR-&gt;ARG1/6</t>
  </si>
  <si>
    <t xml:space="preserve">"udržet-007"</t>
  </si>
  <si>
    <t xml:space="preserve">"udržet-008"</t>
  </si>
  <si>
    <t xml:space="preserve">DPHR: tempo.S4</t>
  </si>
  <si>
    <t xml:space="preserve">PAT-&gt;ARG1/2,ARG2/4</t>
  </si>
  <si>
    <t xml:space="preserve">"udržet-se-001"</t>
  </si>
  <si>
    <t xml:space="preserve">LOC-&gt;ARG1/3,ARG2/27,ARG3/33</t>
  </si>
  <si>
    <t xml:space="preserve">"udržet-se-002"</t>
  </si>
  <si>
    <t xml:space="preserve">"udržet-se-003"</t>
  </si>
  <si>
    <t xml:space="preserve">DPHR-&gt;ARG1/124,ARG2/3551,ARG3/415</t>
  </si>
  <si>
    <t xml:space="preserve">"udržet-si-001"</t>
  </si>
  <si>
    <t xml:space="preserve">ACT-&gt;ARG0/3151,ARG1/25</t>
  </si>
  <si>
    <t xml:space="preserve">PAT-&gt;ARG0/3,ARG1/3427,ARG2/3</t>
  </si>
  <si>
    <t xml:space="preserve">"udržovat-001"</t>
  </si>
  <si>
    <t xml:space="preserve">EFF: .a</t>
  </si>
  <si>
    <t xml:space="preserve">"udržovat-002"</t>
  </si>
  <si>
    <t xml:space="preserve">PAT-&gt;ARG0/2,ARG1/394</t>
  </si>
  <si>
    <t xml:space="preserve">LOC-&gt;ARG1/342</t>
  </si>
  <si>
    <t xml:space="preserve">"udržovat-003"</t>
  </si>
  <si>
    <t xml:space="preserve">ACT-&gt;ARG0/2537,ARG1/21</t>
  </si>
  <si>
    <t xml:space="preserve">PAT-&gt;ARG0/3,ARG1/2867</t>
  </si>
  <si>
    <t xml:space="preserve">"udržovat-004"</t>
  </si>
  <si>
    <t xml:space="preserve">"udržovat-005"</t>
  </si>
  <si>
    <t xml:space="preserve">"udržovat-006"</t>
  </si>
  <si>
    <t xml:space="preserve">CPHR: {styk}.4</t>
  </si>
  <si>
    <t xml:space="preserve">"udržovat-007"</t>
  </si>
  <si>
    <t xml:space="preserve">"udržovat-se-001"</t>
  </si>
  <si>
    <t xml:space="preserve">ACT-&gt;ARG0/24,ARG1/6</t>
  </si>
  <si>
    <t xml:space="preserve">LOC-&gt;ARG1/84,ARG2/3</t>
  </si>
  <si>
    <t xml:space="preserve">"udusit-001"</t>
  </si>
  <si>
    <t xml:space="preserve">"udusit-002"</t>
  </si>
  <si>
    <t xml:space="preserve">"udusit-se-001"</t>
  </si>
  <si>
    <t xml:space="preserve">"udát-se-001"</t>
  </si>
  <si>
    <t xml:space="preserve">ACT: 1; ↓že; tak-3</t>
  </si>
  <si>
    <t xml:space="preserve">ACT-&gt;ARG1/83</t>
  </si>
  <si>
    <t xml:space="preserve">"udát-se-002"</t>
  </si>
  <si>
    <t xml:space="preserve">"udávat-001"</t>
  </si>
  <si>
    <t xml:space="preserve">ACT-&gt;ARG0/13078,ARG1/3171,ARG2/297</t>
  </si>
  <si>
    <t xml:space="preserve">PAT-&gt;ARG0/4,ARG1/11800,ARG2/3453</t>
  </si>
  <si>
    <t xml:space="preserve">ADDR-&gt;ARG1/1,ARG2/18</t>
  </si>
  <si>
    <t xml:space="preserve">"udávat-002"</t>
  </si>
  <si>
    <t xml:space="preserve">ACT-&gt;ARG0/346</t>
  </si>
  <si>
    <t xml:space="preserve">PAT-&gt;ARG1/542</t>
  </si>
  <si>
    <t xml:space="preserve">"udávat-003"</t>
  </si>
  <si>
    <t xml:space="preserve">"udávat-004"</t>
  </si>
  <si>
    <t xml:space="preserve">"udávat-005"</t>
  </si>
  <si>
    <t xml:space="preserve">"udávat-006"</t>
  </si>
  <si>
    <t xml:space="preserve">"udílet-001"</t>
  </si>
  <si>
    <t xml:space="preserve">"udílet-002"</t>
  </si>
  <si>
    <t xml:space="preserve">"udýchat-se-001"</t>
  </si>
  <si>
    <t xml:space="preserve">"udělat-001"</t>
  </si>
  <si>
    <t xml:space="preserve">PAT-&gt;ARG1/284,ARG2/1</t>
  </si>
  <si>
    <t xml:space="preserve">ADDR-&gt;ARG1/269,ARG2/13,ARG3/1</t>
  </si>
  <si>
    <t xml:space="preserve">"udělat-002"</t>
  </si>
  <si>
    <t xml:space="preserve">ACT-&gt;ARG0/218,ARG1/1</t>
  </si>
  <si>
    <t xml:space="preserve">"udělat-003"</t>
  </si>
  <si>
    <t xml:space="preserve">ACT-&gt;ARG0/777,ARG1/8,ARG2/3,ARG3/1</t>
  </si>
  <si>
    <t xml:space="preserve">ACT-&gt;ARG0/737,ARG1/8,ARG2/3</t>
  </si>
  <si>
    <t xml:space="preserve">ACT-&gt;ARG0/1490,ARG1/12,ARG2/3</t>
  </si>
  <si>
    <t xml:space="preserve">PAT-&gt;ARG1/984,ARG2/41</t>
  </si>
  <si>
    <t xml:space="preserve">PAT-&gt;ARG1/1214,ARG3/1,ARG4/5</t>
  </si>
  <si>
    <t xml:space="preserve">PAT-&gt;ARG1/2425,ARG2/2,ARG3/1,ARG4/5</t>
  </si>
  <si>
    <t xml:space="preserve">ORIG-&gt;ARG1/307,ARG2/29</t>
  </si>
  <si>
    <t xml:space="preserve">ORIG-&gt;ARG1/1,ARG2/40</t>
  </si>
  <si>
    <t xml:space="preserve">ORIG-&gt;ARG1/2,ARG2/58</t>
  </si>
  <si>
    <t xml:space="preserve">"udělat-004"</t>
  </si>
  <si>
    <t xml:space="preserve">EFF: 7; .a7; .a1</t>
  </si>
  <si>
    <t xml:space="preserve">"udělat-005"</t>
  </si>
  <si>
    <t xml:space="preserve">"udělat-006"</t>
  </si>
  <si>
    <t xml:space="preserve">PAT: 4; ↓c; ↓že</t>
  </si>
  <si>
    <t xml:space="preserve">ACT-&gt;ARG0/3325,ARG1/56,ARG2/3,ARG3/1</t>
  </si>
  <si>
    <t xml:space="preserve">ACT-&gt;ARG0/321,ARG1/3,ARG3/1</t>
  </si>
  <si>
    <t xml:space="preserve">PAT-&gt;ARG0/1,ARG1/3866,ARG2/26,ARG4/1</t>
  </si>
  <si>
    <t xml:space="preserve">PAT-&gt;ARG1/470</t>
  </si>
  <si>
    <t xml:space="preserve">"udělat-007"</t>
  </si>
  <si>
    <t xml:space="preserve">"udělat-008"</t>
  </si>
  <si>
    <t xml:space="preserve">"udělat-009"</t>
  </si>
  <si>
    <t xml:space="preserve">"udělat-010"</t>
  </si>
  <si>
    <t xml:space="preserve">CPHR: {konec,nabídka,přítrž,...}.4</t>
  </si>
  <si>
    <t xml:space="preserve">"udělat-011"</t>
  </si>
  <si>
    <t xml:space="preserve">CPHR: {rešerše,závěr,...}.4</t>
  </si>
  <si>
    <t xml:space="preserve">"udělat-012"</t>
  </si>
  <si>
    <t xml:space="preserve">CPHR: {fotka,fotečka,fotografie,snímek,zápis,záznam,...}.4</t>
  </si>
  <si>
    <t xml:space="preserve">"udělat-013"</t>
  </si>
  <si>
    <t xml:space="preserve">CPHR: {deklarace,demolice,dohoda,expertíza,chyba,kompromis,konkurz,kontrola,krok,maturita,obchod,omezení,opatření,pokrok,pokus,prohlídka,předpoklad,rozhodnutí,skok,směna,spojení,škrt,státnice,úprava,ústupek,volba,výběr,výkup,výzkum,zásah,zátah,zkouška,změna,...}.4</t>
  </si>
  <si>
    <t xml:space="preserve">ACT-&gt;ARG0/414,ARG1/10</t>
  </si>
  <si>
    <t xml:space="preserve">CPHR-&gt;ARG1/519,ARG2/8</t>
  </si>
  <si>
    <t xml:space="preserve">ACT-&gt;ARG0/338,ARG1/26</t>
  </si>
  <si>
    <t xml:space="preserve">CPHR-&gt;ARG1/413,ARG2/26</t>
  </si>
  <si>
    <t xml:space="preserve">"udělat-014"</t>
  </si>
  <si>
    <t xml:space="preserve">DPHR: bankrot.S4</t>
  </si>
  <si>
    <t xml:space="preserve">"udělat-015"</t>
  </si>
  <si>
    <t xml:space="preserve">DPHR: dobře.@3</t>
  </si>
  <si>
    <t xml:space="preserve">"udělat-016"</t>
  </si>
  <si>
    <t xml:space="preserve">DPHR: tečka.S4</t>
  </si>
  <si>
    <t xml:space="preserve">"udělat-017"</t>
  </si>
  <si>
    <t xml:space="preserve">"udělat-018"</t>
  </si>
  <si>
    <t xml:space="preserve">DPHR: obrat.S4[o-1[sto-2.S4[osmdesát.S4[stupeň.P2]]]]</t>
  </si>
  <si>
    <t xml:space="preserve">DPHR-&gt;ARG1/215</t>
  </si>
  <si>
    <t xml:space="preserve">"udělat-019"</t>
  </si>
  <si>
    <t xml:space="preserve">DPHR: tak-3.d</t>
  </si>
  <si>
    <t xml:space="preserve">"udělat-020"</t>
  </si>
  <si>
    <t xml:space="preserve">DPHR: paseka.S4</t>
  </si>
  <si>
    <t xml:space="preserve">"udělat-021"</t>
  </si>
  <si>
    <t xml:space="preserve">DPHR: sekec.S4,mazec.S4</t>
  </si>
  <si>
    <t xml:space="preserve">"udělat-022"</t>
  </si>
  <si>
    <t xml:space="preserve">"udělat-023"</t>
  </si>
  <si>
    <t xml:space="preserve">"udělat-se-001"</t>
  </si>
  <si>
    <t xml:space="preserve">"udělat-se-002"</t>
  </si>
  <si>
    <t xml:space="preserve">"udělat-se-003"</t>
  </si>
  <si>
    <t xml:space="preserve">"udělat-se-004"</t>
  </si>
  <si>
    <t xml:space="preserve">"udělat-se-005"</t>
  </si>
  <si>
    <t xml:space="preserve">"udělat-si-001"</t>
  </si>
  <si>
    <t xml:space="preserve">CPHR: {čas,den,legrace,názor,představa,sranda,úsudek,...}.4</t>
  </si>
  <si>
    <t xml:space="preserve">ACT-&gt;ARG0/287,ARG1/25</t>
  </si>
  <si>
    <t xml:space="preserve">CPHR-&gt;ARG1/352,ARG2/26</t>
  </si>
  <si>
    <t xml:space="preserve">CPHR-&gt;ARG1/3,ARG2/156</t>
  </si>
  <si>
    <t xml:space="preserve">"udělat-si-002"</t>
  </si>
  <si>
    <t xml:space="preserve">DPHR: obrázek.S4</t>
  </si>
  <si>
    <t xml:space="preserve">"udělat-si-003"</t>
  </si>
  <si>
    <t xml:space="preserve">"udělit-001"</t>
  </si>
  <si>
    <t xml:space="preserve">ACT-&gt;ARG0/472</t>
  </si>
  <si>
    <t xml:space="preserve">ACT-&gt;ARG0/1012,ARG2/1</t>
  </si>
  <si>
    <t xml:space="preserve">PAT-&gt;ARG1/949,ARG2/57</t>
  </si>
  <si>
    <t xml:space="preserve">PAT-&gt;ARG1/1437,ARG2/12</t>
  </si>
  <si>
    <t xml:space="preserve">ADDR-&gt;ARG0/336,ARG1/69,ARG2/554</t>
  </si>
  <si>
    <t xml:space="preserve">ADDR-&gt;ARG1/50,ARG2/923</t>
  </si>
  <si>
    <t xml:space="preserve">"udělit-002"</t>
  </si>
  <si>
    <t xml:space="preserve">ACT-&gt;ARG0/1357,ARG1/19,ARG2/4</t>
  </si>
  <si>
    <t xml:space="preserve">CPHR: {cena-1,milost,pochvala,pokuta,právo,pravomoc,rada-1,schválení,souhlas,uznání,zákaz,...}.4</t>
  </si>
  <si>
    <t xml:space="preserve">CPHR-&gt;ARG1/188</t>
  </si>
  <si>
    <t xml:space="preserve">CPHR-&gt;ARG0/1,ARG1/1838,ARG2/17</t>
  </si>
  <si>
    <t xml:space="preserve">ADDR-&gt;ARG1/12,ARG2/176</t>
  </si>
  <si>
    <t xml:space="preserve">ADDR-&gt;ARG1/92,ARG2/922,ARG3/34</t>
  </si>
  <si>
    <t xml:space="preserve">CPHR-&gt;ARG1/29</t>
  </si>
  <si>
    <t xml:space="preserve">ADDR-&gt;ARG1/4,ARG2/22</t>
  </si>
  <si>
    <t xml:space="preserve">"udělovat-001"</t>
  </si>
  <si>
    <t xml:space="preserve">ACT-&gt;ARG0/242</t>
  </si>
  <si>
    <t xml:space="preserve">PAT-&gt;ARG1/347,ARG2/1</t>
  </si>
  <si>
    <t xml:space="preserve">ADDR-&gt;ARG1/4,ARG2/312</t>
  </si>
  <si>
    <t xml:space="preserve">"udělovat-002"</t>
  </si>
  <si>
    <t xml:space="preserve">ACT-&gt;ARG0/1155,ARG1/1,ARG2/4</t>
  </si>
  <si>
    <t xml:space="preserve">CPHR: {amnestie,autorizace,cena-2,pochvala,pokuta,povinnost,povýšení,právo,rada-1,souhlas,titul,trest,uznání,výsada,zmocnění,...}.4</t>
  </si>
  <si>
    <t xml:space="preserve">CPHR-&gt;ARG1/1672,ARG2/10</t>
  </si>
  <si>
    <t xml:space="preserve">ADDR-&gt;ARG1/65,ARG2/872,ARG3/34</t>
  </si>
  <si>
    <t xml:space="preserve">"udřít-se-001"</t>
  </si>
  <si>
    <t xml:space="preserve">"uhasit-001"</t>
  </si>
  <si>
    <t xml:space="preserve">"uhlídat-001"</t>
  </si>
  <si>
    <t xml:space="preserve">"uhnout-001"</t>
  </si>
  <si>
    <t xml:space="preserve">PAT: před+7; 3</t>
  </si>
  <si>
    <t xml:space="preserve">"uhnout-002"</t>
  </si>
  <si>
    <t xml:space="preserve">"uhnít-001"</t>
  </si>
  <si>
    <t xml:space="preserve">"uhnívat-001"</t>
  </si>
  <si>
    <t xml:space="preserve">"uhnízdit-se-001"</t>
  </si>
  <si>
    <t xml:space="preserve">"uhodit-001"</t>
  </si>
  <si>
    <t xml:space="preserve">"uhodit-002"</t>
  </si>
  <si>
    <t xml:space="preserve">ACT-&gt;ARG0/6,ARG2/2</t>
  </si>
  <si>
    <t xml:space="preserve">"uhodit-003"</t>
  </si>
  <si>
    <t xml:space="preserve">"uhodit-004"</t>
  </si>
  <si>
    <t xml:space="preserve">"uhodit-se-001"</t>
  </si>
  <si>
    <t xml:space="preserve">"uhodnout-001"</t>
  </si>
  <si>
    <t xml:space="preserve">"uhořet-001"</t>
  </si>
  <si>
    <t xml:space="preserve">"uhrabat-001"</t>
  </si>
  <si>
    <t xml:space="preserve">"uhradit-001"</t>
  </si>
  <si>
    <t xml:space="preserve">ACT-&gt;ARG0/414,ARG1/3,ARG2/55</t>
  </si>
  <si>
    <t xml:space="preserve">PAT-&gt;ARG1/783,ARG2/14,ARG3/27</t>
  </si>
  <si>
    <t xml:space="preserve">ADDR-&gt;ARG0/1,ARG1/12,ARG2/151,ARG3/4</t>
  </si>
  <si>
    <t xml:space="preserve">EFF-&gt;ARG1/3,ARG2/16,ARG3/187</t>
  </si>
  <si>
    <t xml:space="preserve">"uhradit-002"</t>
  </si>
  <si>
    <t xml:space="preserve">"uhrazovat-001"</t>
  </si>
  <si>
    <t xml:space="preserve">"uhrát-001"</t>
  </si>
  <si>
    <t xml:space="preserve">"uhynout-001"</t>
  </si>
  <si>
    <t xml:space="preserve">"uhádnout-001"</t>
  </si>
  <si>
    <t xml:space="preserve">"uhájit-001"</t>
  </si>
  <si>
    <t xml:space="preserve">"uhánět-001"</t>
  </si>
  <si>
    <t xml:space="preserve">"uhánět-002"</t>
  </si>
  <si>
    <t xml:space="preserve">"uhánět-003"</t>
  </si>
  <si>
    <t xml:space="preserve">"uhánět-004"</t>
  </si>
  <si>
    <t xml:space="preserve">"uháčkovat-001"</t>
  </si>
  <si>
    <t xml:space="preserve">"uhýbat-001"</t>
  </si>
  <si>
    <t xml:space="preserve">"ujasnit-001"</t>
  </si>
  <si>
    <t xml:space="preserve">"ujasnit-si-001"</t>
  </si>
  <si>
    <t xml:space="preserve">"ujednat-001"</t>
  </si>
  <si>
    <t xml:space="preserve">"ujednávat-001"</t>
  </si>
  <si>
    <t xml:space="preserve">"ujet-001"</t>
  </si>
  <si>
    <t xml:space="preserve">"ujet-002"</t>
  </si>
  <si>
    <t xml:space="preserve">"ujet-003"</t>
  </si>
  <si>
    <t xml:space="preserve">"ujet-004"</t>
  </si>
  <si>
    <t xml:space="preserve">"ujistit-001"</t>
  </si>
  <si>
    <t xml:space="preserve">PAT-&gt;ARG2/39</t>
  </si>
  <si>
    <t xml:space="preserve">"ujistit-se-001"</t>
  </si>
  <si>
    <t xml:space="preserve">PAT: 7; o+6; ↓že; .s; ↓c; ↓zda</t>
  </si>
  <si>
    <t xml:space="preserve">"ujišťovat-001"</t>
  </si>
  <si>
    <t xml:space="preserve">"ujmout-se-001"</t>
  </si>
  <si>
    <t xml:space="preserve">ACT-&gt;ARG0/520,ARG1/106,ARG2/3</t>
  </si>
  <si>
    <t xml:space="preserve">PAT-&gt;ARG1/570,ARG2/78</t>
  </si>
  <si>
    <t xml:space="preserve">"ujmout-se-002"</t>
  </si>
  <si>
    <t xml:space="preserve">"ujídat-001"</t>
  </si>
  <si>
    <t xml:space="preserve">"ujímat-se-001"</t>
  </si>
  <si>
    <t xml:space="preserve">"ujímat-se-002"</t>
  </si>
  <si>
    <t xml:space="preserve">"ujíst-001"</t>
  </si>
  <si>
    <t xml:space="preserve">"ujít-001"</t>
  </si>
  <si>
    <t xml:space="preserve">"ujít-002"</t>
  </si>
  <si>
    <t xml:space="preserve">"ujít-003"</t>
  </si>
  <si>
    <t xml:space="preserve">ACT-&gt;ARG0/19,ARG1/89</t>
  </si>
  <si>
    <t xml:space="preserve">PAT: 1; ↓že; ↓c</t>
  </si>
  <si>
    <t xml:space="preserve">PAT-&gt;ARG0/52,ARG1/22,ARG2/8</t>
  </si>
  <si>
    <t xml:space="preserve">"ujít-004"</t>
  </si>
  <si>
    <t xml:space="preserve">"ujíždět-001"</t>
  </si>
  <si>
    <t xml:space="preserve">"ujíždět-002"</t>
  </si>
  <si>
    <t xml:space="preserve">"ukamenovat-001"</t>
  </si>
  <si>
    <t xml:space="preserve">"ukapávat-001"</t>
  </si>
  <si>
    <t xml:space="preserve">"ukazovat-001"</t>
  </si>
  <si>
    <t xml:space="preserve">ACT-&gt;ARG0/446,ARG1/28</t>
  </si>
  <si>
    <t xml:space="preserve">PAT-&gt;ARG1/998,ARG2/2</t>
  </si>
  <si>
    <t xml:space="preserve">ADDR-&gt;ARG2/17</t>
  </si>
  <si>
    <t xml:space="preserve">"ukazovat-002"</t>
  </si>
  <si>
    <t xml:space="preserve">PAT-&gt;ARG1/582,ARG2/2</t>
  </si>
  <si>
    <t xml:space="preserve">ADDR-&gt;ARG1/44</t>
  </si>
  <si>
    <t xml:space="preserve">"ukazovat-003"</t>
  </si>
  <si>
    <t xml:space="preserve">"ukazovat-004"</t>
  </si>
  <si>
    <t xml:space="preserve">EFF-&gt;ARG1/433</t>
  </si>
  <si>
    <t xml:space="preserve">"ukazovat-005"</t>
  </si>
  <si>
    <t xml:space="preserve">"ukazovat-006"</t>
  </si>
  <si>
    <t xml:space="preserve">CPHR: {lítost,...}</t>
  </si>
  <si>
    <t xml:space="preserve">"ukazovat-007"</t>
  </si>
  <si>
    <t xml:space="preserve">PAT-&gt;ARG1/560</t>
  </si>
  <si>
    <t xml:space="preserve">PAT-&gt;ARG1/427</t>
  </si>
  <si>
    <t xml:space="preserve">"ukazovat-se-001"</t>
  </si>
  <si>
    <t xml:space="preserve">ACT-&gt;ARG0/24,ARG1/29</t>
  </si>
  <si>
    <t xml:space="preserve">ACT-&gt;ARG0/4,ARG1/64,ARG2/2</t>
  </si>
  <si>
    <t xml:space="preserve">PAT: 7; 1[{jako,jakožto}:/AuxY]; být[.7]; .a1[{jako,jakožto}:/AuxY]</t>
  </si>
  <si>
    <t xml:space="preserve">PAT-&gt;ARG1/455</t>
  </si>
  <si>
    <t xml:space="preserve">"ukazovat-se-002"</t>
  </si>
  <si>
    <t xml:space="preserve">"ukazovat-se-003"</t>
  </si>
  <si>
    <t xml:space="preserve">"ukazovat-se-004"</t>
  </si>
  <si>
    <t xml:space="preserve">"ukazovat-se-005"</t>
  </si>
  <si>
    <t xml:space="preserve">ACT: 1; ↓že; ↓zda</t>
  </si>
  <si>
    <t xml:space="preserve">ACT-&gt;ARG1/40,ARG2/2</t>
  </si>
  <si>
    <t xml:space="preserve">"ukecávat-001"</t>
  </si>
  <si>
    <t xml:space="preserve">"uklidit-001"</t>
  </si>
  <si>
    <t xml:space="preserve">"uklidit-002"</t>
  </si>
  <si>
    <t xml:space="preserve">DPHR: pod-1[koberec.S4]</t>
  </si>
  <si>
    <t xml:space="preserve">"uklidnit-001"</t>
  </si>
  <si>
    <t xml:space="preserve">"uklidnit-se-001"</t>
  </si>
  <si>
    <t xml:space="preserve">"uklidňovat-001"</t>
  </si>
  <si>
    <t xml:space="preserve">"uklidňovat-se-001"</t>
  </si>
  <si>
    <t xml:space="preserve">"--uklidňovat-se-002"</t>
  </si>
  <si>
    <t xml:space="preserve">"uklouznout-001"</t>
  </si>
  <si>
    <t xml:space="preserve">"ukládat-001"</t>
  </si>
  <si>
    <t xml:space="preserve">ACT-&gt;ARG0/254,ARG1/3,ARG2/4</t>
  </si>
  <si>
    <t xml:space="preserve">PAT-&gt;ARG1/408,ARG2/2</t>
  </si>
  <si>
    <t xml:space="preserve">"ukládat-002"</t>
  </si>
  <si>
    <t xml:space="preserve">ACT-&gt;ARG0/234,ARG1/3,ARG2/4</t>
  </si>
  <si>
    <t xml:space="preserve">PAT-&gt;ARG1/287,ARG2/147</t>
  </si>
  <si>
    <t xml:space="preserve">ADDR-&gt;ARG1/142,ARG2/48</t>
  </si>
  <si>
    <t xml:space="preserve">"ukládat-003"</t>
  </si>
  <si>
    <t xml:space="preserve">"ukládat-004"</t>
  </si>
  <si>
    <t xml:space="preserve">"ukládat-005"</t>
  </si>
  <si>
    <t xml:space="preserve">CPHR: {penále,podmínka,pokuta,povinnost,sankce,trest,úkol,...}.4</t>
  </si>
  <si>
    <t xml:space="preserve">"ukládat-se-001"</t>
  </si>
  <si>
    <t xml:space="preserve">"uklízet-001"</t>
  </si>
  <si>
    <t xml:space="preserve">"ukojit-001"</t>
  </si>
  <si>
    <t xml:space="preserve">"ukolébat-001"</t>
  </si>
  <si>
    <t xml:space="preserve">"ukonejšit-001"</t>
  </si>
  <si>
    <t xml:space="preserve">"ukončit-001"</t>
  </si>
  <si>
    <t xml:space="preserve">ACT-&gt;ARG0/487,ARG1/283</t>
  </si>
  <si>
    <t xml:space="preserve">PAT-&gt;ARG1/3986,ARG2/384,ARG4/29,ARGm-EXT/40,ARGm-MNR/21</t>
  </si>
  <si>
    <t xml:space="preserve">"ukončit-002"</t>
  </si>
  <si>
    <t xml:space="preserve">ACT-&gt;ARG1/292</t>
  </si>
  <si>
    <t xml:space="preserve">LOC-&gt;ARG1/1,ARGm-EXT/352,ARGm-MNR/260</t>
  </si>
  <si>
    <t xml:space="preserve">ACT-&gt;ARG1/107</t>
  </si>
  <si>
    <t xml:space="preserve">LOC-&gt;ARGm-EXT/40,ARGm-MNR/21</t>
  </si>
  <si>
    <t xml:space="preserve">MANN-&gt;ARGm-MNR/8</t>
  </si>
  <si>
    <t xml:space="preserve">ACMP-&gt;ARG2/14,ARG4/29</t>
  </si>
  <si>
    <t xml:space="preserve">"--ukončit-003"</t>
  </si>
  <si>
    <t xml:space="preserve">"ukončovat-001"</t>
  </si>
  <si>
    <t xml:space="preserve">"ukopnout-001"</t>
  </si>
  <si>
    <t xml:space="preserve">"ukotvit-001"</t>
  </si>
  <si>
    <t xml:space="preserve">"ukousnout-001"</t>
  </si>
  <si>
    <t xml:space="preserve">DIR1-&gt;ARG1/1,ARG2/2</t>
  </si>
  <si>
    <t xml:space="preserve">"ukousnout-002"</t>
  </si>
  <si>
    <t xml:space="preserve">"ukout-001"</t>
  </si>
  <si>
    <t xml:space="preserve">"ukovat-001"</t>
  </si>
  <si>
    <t xml:space="preserve">"ukočírovat-001"</t>
  </si>
  <si>
    <t xml:space="preserve">"ukořistit-001"</t>
  </si>
  <si>
    <t xml:space="preserve">"ukradnout-001"</t>
  </si>
  <si>
    <t xml:space="preserve">"ukrajovat-001"</t>
  </si>
  <si>
    <t xml:space="preserve">"ukrajovat-002"</t>
  </si>
  <si>
    <t xml:space="preserve">"ukrojit-001"</t>
  </si>
  <si>
    <t xml:space="preserve">"ukrádat-001"</t>
  </si>
  <si>
    <t xml:space="preserve">"ukrást-001"</t>
  </si>
  <si>
    <t xml:space="preserve">"ukrýt-001"</t>
  </si>
  <si>
    <t xml:space="preserve">"ukrývat-001"</t>
  </si>
  <si>
    <t xml:space="preserve">"ukrývat-se-001"</t>
  </si>
  <si>
    <t xml:space="preserve">"ukuchtit-001"</t>
  </si>
  <si>
    <t xml:space="preserve">"ukvapit-se-001"</t>
  </si>
  <si>
    <t xml:space="preserve">"ukájet-001"</t>
  </si>
  <si>
    <t xml:space="preserve">"ukázat-001"</t>
  </si>
  <si>
    <t xml:space="preserve">ACT-&gt;ARG0/671,ARG1/3,ARG2/164</t>
  </si>
  <si>
    <t xml:space="preserve">PAT-&gt;ARG0/2,ARG1/1506,ARG2/6</t>
  </si>
  <si>
    <t xml:space="preserve">ADDR-&gt;ARG0/1,ARG2/10</t>
  </si>
  <si>
    <t xml:space="preserve">"ukázat-002"</t>
  </si>
  <si>
    <t xml:space="preserve">PAT-&gt;ARG1/569,ARG2/2</t>
  </si>
  <si>
    <t xml:space="preserve">"ukázat-003"</t>
  </si>
  <si>
    <t xml:space="preserve">EFF-&gt;ARG1/377</t>
  </si>
  <si>
    <t xml:space="preserve">"ukázat-004"</t>
  </si>
  <si>
    <t xml:space="preserve">"ukázat-005"</t>
  </si>
  <si>
    <t xml:space="preserve">DPHR: dveře.4</t>
  </si>
  <si>
    <t xml:space="preserve">DPHR-&gt;ARG1/377</t>
  </si>
  <si>
    <t xml:space="preserve">"ukázat-006"</t>
  </si>
  <si>
    <t xml:space="preserve">"ukázat-se-001"</t>
  </si>
  <si>
    <t xml:space="preserve">PAT: 7; .a1; 1[{jako,jakožto}:/AuxY]; .a1[{jako,jakožto}:/AuxY]; být[.7]; být[.1]</t>
  </si>
  <si>
    <t xml:space="preserve">PAT-&gt;ARG1/447,ARG2/2</t>
  </si>
  <si>
    <t xml:space="preserve">"ukázat-se-002"</t>
  </si>
  <si>
    <t xml:space="preserve">"ukázat-se-003"</t>
  </si>
  <si>
    <t xml:space="preserve">"ukázat-se-004"</t>
  </si>
  <si>
    <t xml:space="preserve">ACT: 1; ↓že; ↓zda; ↓jak-2; ↓c</t>
  </si>
  <si>
    <t xml:space="preserve">ACT-&gt;ARG0/4,ARG1/153,ARG2/2</t>
  </si>
  <si>
    <t xml:space="preserve">"ukázat-se-005"</t>
  </si>
  <si>
    <t xml:space="preserve">"ukáznit-001"</t>
  </si>
  <si>
    <t xml:space="preserve">"ukáznit-se-001"</t>
  </si>
  <si>
    <t xml:space="preserve">"ukřižovat-001"</t>
  </si>
  <si>
    <t xml:space="preserve">"ulehnout-001"</t>
  </si>
  <si>
    <t xml:space="preserve">"ulehnout-002"</t>
  </si>
  <si>
    <t xml:space="preserve">"ulehčit-001"</t>
  </si>
  <si>
    <t xml:space="preserve">"ulehčovat-001"</t>
  </si>
  <si>
    <t xml:space="preserve">"ulejvat-se-001"</t>
  </si>
  <si>
    <t xml:space="preserve">"uletět-001"</t>
  </si>
  <si>
    <t xml:space="preserve">"uletět-002"</t>
  </si>
  <si>
    <t xml:space="preserve">"ulevit-001"</t>
  </si>
  <si>
    <t xml:space="preserve">"ulevit-se-001"</t>
  </si>
  <si>
    <t xml:space="preserve">"--ulevit-se-002"</t>
  </si>
  <si>
    <t xml:space="preserve">"ulevit-si-001"</t>
  </si>
  <si>
    <t xml:space="preserve">"ulomit-001"</t>
  </si>
  <si>
    <t xml:space="preserve">"ulomit-se-001"</t>
  </si>
  <si>
    <t xml:space="preserve">"uloupit-001"</t>
  </si>
  <si>
    <t xml:space="preserve">"uloupnout-001"</t>
  </si>
  <si>
    <t xml:space="preserve">"ulovit-001"</t>
  </si>
  <si>
    <t xml:space="preserve">"ulovit-002"</t>
  </si>
  <si>
    <t xml:space="preserve">"uložit-001"</t>
  </si>
  <si>
    <t xml:space="preserve">"uložit-002"</t>
  </si>
  <si>
    <t xml:space="preserve">ACT-&gt;ARG0/189,ARG1/3</t>
  </si>
  <si>
    <t xml:space="preserve">PAT-&gt;ARG1/225</t>
  </si>
  <si>
    <t xml:space="preserve">LOC-&gt;ARG1/3,ARG2/27</t>
  </si>
  <si>
    <t xml:space="preserve">"uložit-003"</t>
  </si>
  <si>
    <t xml:space="preserve">"uložit-004"</t>
  </si>
  <si>
    <t xml:space="preserve">CPHR: {napomenutí,pokuta,povinnost,sankce,trest,...}.4</t>
  </si>
  <si>
    <t xml:space="preserve">CPHR-&gt;ARG0/1,ARG1/13,ARG3/3</t>
  </si>
  <si>
    <t xml:space="preserve">ADDR-&gt;ARG1/3,ARG2/14</t>
  </si>
  <si>
    <t xml:space="preserve">"ulpívat-001"</t>
  </si>
  <si>
    <t xml:space="preserve">"ulpívat-002"</t>
  </si>
  <si>
    <t xml:space="preserve">"ulpět-001"</t>
  </si>
  <si>
    <t xml:space="preserve">"ulámat-se-001"</t>
  </si>
  <si>
    <t xml:space="preserve">"ulít-001"</t>
  </si>
  <si>
    <t xml:space="preserve">"umanout-si-001"</t>
  </si>
  <si>
    <t xml:space="preserve">"umisťovat-001"</t>
  </si>
  <si>
    <t xml:space="preserve">ACT-&gt;ARG0/228,ARG1/1</t>
  </si>
  <si>
    <t xml:space="preserve">ACT-&gt;ARG0/313,ARG1/85</t>
  </si>
  <si>
    <t xml:space="preserve">PAT-&gt;ARG1/737,ARG2/3</t>
  </si>
  <si>
    <t xml:space="preserve">PAT-&gt;ARG0/5,ARG1/975,ARG2/3,ARGM-LOC/1</t>
  </si>
  <si>
    <t xml:space="preserve">LOC-&gt;ARG2/2,ARG4/1,ARGM-LOC/23</t>
  </si>
  <si>
    <t xml:space="preserve">"umisťovat-002"</t>
  </si>
  <si>
    <t xml:space="preserve">DIR3-&gt;ARG2/2,ARG4/1,ARGM-LOC/23</t>
  </si>
  <si>
    <t xml:space="preserve">"umisťovat-se-001"</t>
  </si>
  <si>
    <t xml:space="preserve">"umlknout-001"</t>
  </si>
  <si>
    <t xml:space="preserve">"umlknout-002"</t>
  </si>
  <si>
    <t xml:space="preserve">"umluvit-001"</t>
  </si>
  <si>
    <t xml:space="preserve">?PAT: ↓aby; ↓že</t>
  </si>
  <si>
    <t xml:space="preserve">"umlčet-001"</t>
  </si>
  <si>
    <t xml:space="preserve">ACT-&gt;ARG0/55,ARG1/2</t>
  </si>
  <si>
    <t xml:space="preserve">PAT-&gt;ARG0/3,ARG1/109</t>
  </si>
  <si>
    <t xml:space="preserve">"umlčovat-001"</t>
  </si>
  <si>
    <t xml:space="preserve">"umocnit-001"</t>
  </si>
  <si>
    <t xml:space="preserve">"umocnit-002"</t>
  </si>
  <si>
    <t xml:space="preserve">"umocňovat-001"</t>
  </si>
  <si>
    <t xml:space="preserve">"umocňovat-002"</t>
  </si>
  <si>
    <t xml:space="preserve">"umoudřit-se-001"</t>
  </si>
  <si>
    <t xml:space="preserve">"umoudřit-se-002"</t>
  </si>
  <si>
    <t xml:space="preserve">"umořit-001"</t>
  </si>
  <si>
    <t xml:space="preserve">"umořovat-001"</t>
  </si>
  <si>
    <t xml:space="preserve">"umožnit-001"</t>
  </si>
  <si>
    <t xml:space="preserve">PAT: 4; .f; ↓že; ↓aby; ↓aby</t>
  </si>
  <si>
    <t xml:space="preserve">PAT-&gt;ARG1/921,ARG2/3</t>
  </si>
  <si>
    <t xml:space="preserve">ACT-&gt;ARG0/901,ARG1/1,ARG3/3</t>
  </si>
  <si>
    <t xml:space="preserve">PAT-&gt;ARG1/1397,ARG2/27</t>
  </si>
  <si>
    <t xml:space="preserve">ADDR-&gt;ARG1/217,ARG2/339</t>
  </si>
  <si>
    <t xml:space="preserve">"umožnit-002"</t>
  </si>
  <si>
    <t xml:space="preserve">PAT-&gt;ARG1/1005</t>
  </si>
  <si>
    <t xml:space="preserve">PAT-&gt;ARG1/995,ARG2/87</t>
  </si>
  <si>
    <t xml:space="preserve">"umožňovat-001"</t>
  </si>
  <si>
    <t xml:space="preserve">ACT-&gt;ARG0/1217,ARG1/2</t>
  </si>
  <si>
    <t xml:space="preserve">PAT-&gt;ARG0/1,ARG1/1803,ARG2/5</t>
  </si>
  <si>
    <t xml:space="preserve">ADDR-&gt;ARG1/191,ARG2/495</t>
  </si>
  <si>
    <t xml:space="preserve">"umožňovat-002"</t>
  </si>
  <si>
    <t xml:space="preserve">ACT-&gt;ARG0/661,ARG1/4</t>
  </si>
  <si>
    <t xml:space="preserve">PAT-&gt;ARG1/982,ARG2/3,ARG3/1</t>
  </si>
  <si>
    <t xml:space="preserve">"umíchat-001"</t>
  </si>
  <si>
    <t xml:space="preserve">"umínit-si-001"</t>
  </si>
  <si>
    <t xml:space="preserve">PAT: 4; ↓že; ↓jak-2; ↓aby; .f; ↓c</t>
  </si>
  <si>
    <t xml:space="preserve">"umírat-001"</t>
  </si>
  <si>
    <t xml:space="preserve">"umírnit-001"</t>
  </si>
  <si>
    <t xml:space="preserve">"umístit-001"</t>
  </si>
  <si>
    <t xml:space="preserve">PAT-&gt;ARG1/141,ARGm-LOC/1</t>
  </si>
  <si>
    <t xml:space="preserve">"umístit-002"</t>
  </si>
  <si>
    <t xml:space="preserve">"umístit-se-001"</t>
  </si>
  <si>
    <t xml:space="preserve">ACT-&gt;ARG0/1,ARG1/49</t>
  </si>
  <si>
    <t xml:space="preserve">LOC-&gt;ARG1/1,ARG2/5,ARGm-EXT/40,ARGm-MNR/21</t>
  </si>
  <si>
    <t xml:space="preserve">"umísťovat-001"</t>
  </si>
  <si>
    <t xml:space="preserve">ACT-&gt;ARG0/202,ARG1/84</t>
  </si>
  <si>
    <t xml:space="preserve">PAT-&gt;ARG0/5,ARG1/813,ARGM-LOC/1</t>
  </si>
  <si>
    <t xml:space="preserve">LOC-&gt;ARG1/2</t>
  </si>
  <si>
    <t xml:space="preserve">LOC-&gt;ARG1/2,ARG4/1,ARGM-LOC/23</t>
  </si>
  <si>
    <t xml:space="preserve">"umísťovat-002"</t>
  </si>
  <si>
    <t xml:space="preserve">"umísťovat-se-001"</t>
  </si>
  <si>
    <t xml:space="preserve">"umýt-001"</t>
  </si>
  <si>
    <t xml:space="preserve">PAT-&gt;ARG1/62,ARG2/6</t>
  </si>
  <si>
    <t xml:space="preserve">"umýt-si-001"</t>
  </si>
  <si>
    <t xml:space="preserve">DPHR: ruka.P4</t>
  </si>
  <si>
    <t xml:space="preserve">DPHR-&gt;ARG1/1,ARG3/2</t>
  </si>
  <si>
    <t xml:space="preserve">"umývat-001"</t>
  </si>
  <si>
    <t xml:space="preserve">"umět-001"</t>
  </si>
  <si>
    <t xml:space="preserve">ACT-&gt;ARG0/456,ARG1/2</t>
  </si>
  <si>
    <t xml:space="preserve">PAT-&gt;ARG1/531,ARG2/16</t>
  </si>
  <si>
    <t xml:space="preserve">"umřít-001"</t>
  </si>
  <si>
    <t xml:space="preserve">"unavit-001"</t>
  </si>
  <si>
    <t xml:space="preserve">"unavit-se-001"</t>
  </si>
  <si>
    <t xml:space="preserve">ACT-&gt;ARG0/6,ARG1/13</t>
  </si>
  <si>
    <t xml:space="preserve">"unavovat-001"</t>
  </si>
  <si>
    <t xml:space="preserve">"unikat-001"</t>
  </si>
  <si>
    <t xml:space="preserve">"unikat-002"</t>
  </si>
  <si>
    <t xml:space="preserve">"unikat-003"</t>
  </si>
  <si>
    <t xml:space="preserve">"unikat-004"</t>
  </si>
  <si>
    <t xml:space="preserve">"uniknout-001"</t>
  </si>
  <si>
    <t xml:space="preserve">"uniknout-002"</t>
  </si>
  <si>
    <t xml:space="preserve">"uniknout-003"</t>
  </si>
  <si>
    <t xml:space="preserve">"uniknout-004"</t>
  </si>
  <si>
    <t xml:space="preserve">"uniknout-005"</t>
  </si>
  <si>
    <t xml:space="preserve">DIR1-&gt;ARG1/17</t>
  </si>
  <si>
    <t xml:space="preserve">"unášet-001"</t>
  </si>
  <si>
    <t xml:space="preserve">"unášet-002"</t>
  </si>
  <si>
    <t xml:space="preserve">"unášet-003"</t>
  </si>
  <si>
    <t xml:space="preserve">"unést-001"</t>
  </si>
  <si>
    <t xml:space="preserve">"unést-002"</t>
  </si>
  <si>
    <t xml:space="preserve">"unést-003"</t>
  </si>
  <si>
    <t xml:space="preserve">"unést-004"</t>
  </si>
  <si>
    <t xml:space="preserve">"unést-005"</t>
  </si>
  <si>
    <t xml:space="preserve">"upadat-001"</t>
  </si>
  <si>
    <t xml:space="preserve">ACT-&gt;ARG0/8,ARG1/747,ARG2/4</t>
  </si>
  <si>
    <t xml:space="preserve">"upadnout-001"</t>
  </si>
  <si>
    <t xml:space="preserve">"upadnout-002"</t>
  </si>
  <si>
    <t xml:space="preserve">"upadnout-003"</t>
  </si>
  <si>
    <t xml:space="preserve">"upalovat-001"</t>
  </si>
  <si>
    <t xml:space="preserve">"upamatovat-si-001"</t>
  </si>
  <si>
    <t xml:space="preserve">PAT: 4; na+4; ↓že</t>
  </si>
  <si>
    <t xml:space="preserve">"upevnit-001"</t>
  </si>
  <si>
    <t xml:space="preserve">"upevnit-002"</t>
  </si>
  <si>
    <t xml:space="preserve">"upevnit-003"</t>
  </si>
  <si>
    <t xml:space="preserve">"upevnit-004"</t>
  </si>
  <si>
    <t xml:space="preserve">"upevnit-se-001"</t>
  </si>
  <si>
    <t xml:space="preserve">"upevňovat-001"</t>
  </si>
  <si>
    <t xml:space="preserve">"upgradovat-001"</t>
  </si>
  <si>
    <t xml:space="preserve">ORIG-&gt;ARG2/1,ARG3/24</t>
  </si>
  <si>
    <t xml:space="preserve">EFF-&gt;ARG2/5,ARG4/41</t>
  </si>
  <si>
    <t xml:space="preserve">"upisovat-001"</t>
  </si>
  <si>
    <t xml:space="preserve">"upisovat-se-001"</t>
  </si>
  <si>
    <t xml:space="preserve">PAT: 7; k+3; .f; ↓že</t>
  </si>
  <si>
    <t xml:space="preserve">"uplatit-001"</t>
  </si>
  <si>
    <t xml:space="preserve">"uplatnit-001"</t>
  </si>
  <si>
    <t xml:space="preserve">ACT-&gt;ARG0/360,ARG1/736,ARG2/35</t>
  </si>
  <si>
    <t xml:space="preserve">PAT-&gt;ARG1/269</t>
  </si>
  <si>
    <t xml:space="preserve">EFF-&gt;ARG2/34</t>
  </si>
  <si>
    <t xml:space="preserve">ACT-&gt;ARG0/504,ARG1/12,ARG2/80</t>
  </si>
  <si>
    <t xml:space="preserve">PAT-&gt;ARG0/2,ARG1/1163,ARG2/10,ARG3/3</t>
  </si>
  <si>
    <t xml:space="preserve">"uplatnit-se-001"</t>
  </si>
  <si>
    <t xml:space="preserve">"--uplatňovat-001"</t>
  </si>
  <si>
    <t xml:space="preserve">"uplatňovat-002"</t>
  </si>
  <si>
    <t xml:space="preserve">ACT-&gt;ARG0/2431,ARG1/46</t>
  </si>
  <si>
    <t xml:space="preserve">ACT-&gt;ARG0/812,ARG1/32</t>
  </si>
  <si>
    <t xml:space="preserve">PAT-&gt;ARG0/1,ARG1/2666,ARG2/26</t>
  </si>
  <si>
    <t xml:space="preserve">PAT-&gt;ARG1/1317,ARG2/37</t>
  </si>
  <si>
    <t xml:space="preserve">"uplatňovat-se-001"</t>
  </si>
  <si>
    <t xml:space="preserve">"uplavat-001"</t>
  </si>
  <si>
    <t xml:space="preserve">"uplavat-002"</t>
  </si>
  <si>
    <t xml:space="preserve">"uplynout-001"</t>
  </si>
  <si>
    <t xml:space="preserve">"uplácet-001"</t>
  </si>
  <si>
    <t xml:space="preserve">"uplést-001"</t>
  </si>
  <si>
    <t xml:space="preserve">"uplést-si-001"</t>
  </si>
  <si>
    <t xml:space="preserve">DPHR: na-1[se.4$2&lt;6&gt;],bič.S4</t>
  </si>
  <si>
    <t xml:space="preserve">"upnout-se-001"</t>
  </si>
  <si>
    <t xml:space="preserve">"upomínat-001"</t>
  </si>
  <si>
    <t xml:space="preserve">PAT: na+4; ↓že; ↓aby; ↓c; .s</t>
  </si>
  <si>
    <t xml:space="preserve">"uposlechnout-001"</t>
  </si>
  <si>
    <t xml:space="preserve">ACT-&gt;ARG0/81,ARG1/3</t>
  </si>
  <si>
    <t xml:space="preserve">PAT-&gt;ARG1/118,ARG2/2</t>
  </si>
  <si>
    <t xml:space="preserve">"upotřebit-001"</t>
  </si>
  <si>
    <t xml:space="preserve">"upotřebovat-001"</t>
  </si>
  <si>
    <t xml:space="preserve">"upoutat-001"</t>
  </si>
  <si>
    <t xml:space="preserve">"upoutat-002"</t>
  </si>
  <si>
    <t xml:space="preserve">"upoutat-003"</t>
  </si>
  <si>
    <t xml:space="preserve">DPHR: pozornost-1.S4</t>
  </si>
  <si>
    <t xml:space="preserve">ADDR-&gt;ARG1/89</t>
  </si>
  <si>
    <t xml:space="preserve">ACT-&gt;ARG0/1,ARG1/1,ARG2/1</t>
  </si>
  <si>
    <t xml:space="preserve">DPHR-&gt;ARG1/2,ARG2/3</t>
  </si>
  <si>
    <t xml:space="preserve">"--upoutat-004"</t>
  </si>
  <si>
    <t xml:space="preserve">DPHR: pozornost</t>
  </si>
  <si>
    <t xml:space="preserve">"upoutávat-001"</t>
  </si>
  <si>
    <t xml:space="preserve">"upouštět-001"</t>
  </si>
  <si>
    <t xml:space="preserve">"upouštět-002"</t>
  </si>
  <si>
    <t xml:space="preserve">"upozadit-001"</t>
  </si>
  <si>
    <t xml:space="preserve">"upozornit-001"</t>
  </si>
  <si>
    <t xml:space="preserve">PAT: na+4; ↓že; ↓aby; ↓c; .s; ↓ať</t>
  </si>
  <si>
    <t xml:space="preserve">ACT-&gt;ARG0/395</t>
  </si>
  <si>
    <t xml:space="preserve">PAT-&gt;ARG1/357,ARG2/46</t>
  </si>
  <si>
    <t xml:space="preserve">ADDR-&gt;ARG1/59,ARG2/27</t>
  </si>
  <si>
    <t xml:space="preserve">"upozorňovat-001"</t>
  </si>
  <si>
    <t xml:space="preserve">ACT-&gt;ARG0/445,ARG1/3</t>
  </si>
  <si>
    <t xml:space="preserve">PAT-&gt;ARG1/455,ARG2/21</t>
  </si>
  <si>
    <t xml:space="preserve">ADDR-&gt;ARG1/33,ARG2/4</t>
  </si>
  <si>
    <t xml:space="preserve">"upravit-001"</t>
  </si>
  <si>
    <t xml:space="preserve">ACT-&gt;ARG0/53,ARG1/2</t>
  </si>
  <si>
    <t xml:space="preserve">PAT-&gt;ARG0/2,ARG1/116</t>
  </si>
  <si>
    <t xml:space="preserve">EFF-&gt;ARG2/12</t>
  </si>
  <si>
    <t xml:space="preserve">"upravit-002"</t>
  </si>
  <si>
    <t xml:space="preserve">ACT-&gt;ARG0/57,ARG1/2</t>
  </si>
  <si>
    <t xml:space="preserve">PAT-&gt;ARG1/105,ARG2/1</t>
  </si>
  <si>
    <t xml:space="preserve">"upravit-003"</t>
  </si>
  <si>
    <t xml:space="preserve">"upravovat-001"</t>
  </si>
  <si>
    <t xml:space="preserve">EFF-&gt;ARG2/6,ARG4/25</t>
  </si>
  <si>
    <t xml:space="preserve">"upravovat-002"</t>
  </si>
  <si>
    <t xml:space="preserve">"uprchnout-001"</t>
  </si>
  <si>
    <t xml:space="preserve">"uprosit-001"</t>
  </si>
  <si>
    <t xml:space="preserve">"uprázdnit-001"</t>
  </si>
  <si>
    <t xml:space="preserve">"upsat-001"</t>
  </si>
  <si>
    <t xml:space="preserve">PAT-&gt;ARG1/16,ARG3/6</t>
  </si>
  <si>
    <t xml:space="preserve">"upsat-002"</t>
  </si>
  <si>
    <t xml:space="preserve">"upsat-se-001"</t>
  </si>
  <si>
    <t xml:space="preserve">"upustit-001"</t>
  </si>
  <si>
    <t xml:space="preserve">"upustit-002"</t>
  </si>
  <si>
    <t xml:space="preserve">"upálit-001"</t>
  </si>
  <si>
    <t xml:space="preserve">"upéci-001"</t>
  </si>
  <si>
    <t xml:space="preserve">"upéci-002"</t>
  </si>
  <si>
    <t xml:space="preserve">"upíchnout-se-001"</t>
  </si>
  <si>
    <t xml:space="preserve">"upíjet-001"</t>
  </si>
  <si>
    <t xml:space="preserve">"upínat-se-001"</t>
  </si>
  <si>
    <t xml:space="preserve">"upírat-001"</t>
  </si>
  <si>
    <t xml:space="preserve">ADDR-&gt;ARG0/39</t>
  </si>
  <si>
    <t xml:space="preserve">"upírat-002"</t>
  </si>
  <si>
    <t xml:space="preserve">EFF-&gt;ARG1/2,ARG2/2</t>
  </si>
  <si>
    <t xml:space="preserve">"upít-001"</t>
  </si>
  <si>
    <t xml:space="preserve">"upít-se-001"</t>
  </si>
  <si>
    <t xml:space="preserve">"upřednostnit-001"</t>
  </si>
  <si>
    <t xml:space="preserve">"upřednostňovat-001"</t>
  </si>
  <si>
    <t xml:space="preserve">ACT-&gt;ARG0/175</t>
  </si>
  <si>
    <t xml:space="preserve">"upřesnit-001"</t>
  </si>
  <si>
    <t xml:space="preserve">"upřesňovat-001"</t>
  </si>
  <si>
    <t xml:space="preserve">"upřít-001"</t>
  </si>
  <si>
    <t xml:space="preserve">PAT-&gt;ARG1/349,ARG2/1</t>
  </si>
  <si>
    <t xml:space="preserve">"upřít-002"</t>
  </si>
  <si>
    <t xml:space="preserve">ACT-&gt;ARG0/176,ARG1/17</t>
  </si>
  <si>
    <t xml:space="preserve">CPHR: {pozornost-1,zrak,...}.4</t>
  </si>
  <si>
    <t xml:space="preserve">CPHR-&gt;ARG0/81,ARG1/108,ARG2/12</t>
  </si>
  <si>
    <t xml:space="preserve">DIR3-&gt;ARG1/169,ARG2/99</t>
  </si>
  <si>
    <t xml:space="preserve">"urazit-001"</t>
  </si>
  <si>
    <t xml:space="preserve">"urazit-002"</t>
  </si>
  <si>
    <t xml:space="preserve">"urazit-003"</t>
  </si>
  <si>
    <t xml:space="preserve">"urazit-se-001"</t>
  </si>
  <si>
    <t xml:space="preserve">"urgovat-001"</t>
  </si>
  <si>
    <t xml:space="preserve">ACT-&gt;ARG0/503,ARG1/3,ARG2/4</t>
  </si>
  <si>
    <t xml:space="preserve">PAT-&gt;ARG1/621,ARG2/112</t>
  </si>
  <si>
    <t xml:space="preserve">PAT-&gt;ARG1/621,ARG2/111</t>
  </si>
  <si>
    <t xml:space="preserve">"urodit-se-001"</t>
  </si>
  <si>
    <t xml:space="preserve">"uronit-001"</t>
  </si>
  <si>
    <t xml:space="preserve">DPHR: slza.S4</t>
  </si>
  <si>
    <t xml:space="preserve">"urovnat-001"</t>
  </si>
  <si>
    <t xml:space="preserve">ACT-&gt;ARG0/154,ARG2/69</t>
  </si>
  <si>
    <t xml:space="preserve">ACT-&gt;ARG0/185,ARG2/135</t>
  </si>
  <si>
    <t xml:space="preserve">PAT-&gt;ARG0/1,ARG1/331,ARG2/8</t>
  </si>
  <si>
    <t xml:space="preserve">PAT-&gt;ARG0/1,ARG1/530,ARG2/8</t>
  </si>
  <si>
    <t xml:space="preserve">PAT-&gt;ARG1/102,ARG2/7</t>
  </si>
  <si>
    <t xml:space="preserve">"urovnávat-001"</t>
  </si>
  <si>
    <t xml:space="preserve">ACT-&gt;ARG0/41,ARG2/135</t>
  </si>
  <si>
    <t xml:space="preserve">"urvat-001"</t>
  </si>
  <si>
    <t xml:space="preserve">"urychlit-001"</t>
  </si>
  <si>
    <t xml:space="preserve">ACT-&gt;ARG0/60,ARG1/3102,ARG2/326</t>
  </si>
  <si>
    <t xml:space="preserve">PAT-&gt;ARG1/218,ARG2/3451</t>
  </si>
  <si>
    <t xml:space="preserve">"urychlovat-001"</t>
  </si>
  <si>
    <t xml:space="preserve">"urážet-001"</t>
  </si>
  <si>
    <t xml:space="preserve">"urážet-002"</t>
  </si>
  <si>
    <t xml:space="preserve">"určit-001"</t>
  </si>
  <si>
    <t xml:space="preserve">PAT-&gt;ARG1/681,ARG2/1</t>
  </si>
  <si>
    <t xml:space="preserve">"určit-002"</t>
  </si>
  <si>
    <t xml:space="preserve">PAT-&gt;ARG1/162,ARG2/1</t>
  </si>
  <si>
    <t xml:space="preserve">ADDR-&gt;ARG1/4,ARG2/135</t>
  </si>
  <si>
    <t xml:space="preserve">"určit-003"</t>
  </si>
  <si>
    <t xml:space="preserve">"určit-004"</t>
  </si>
  <si>
    <t xml:space="preserve">EFF: 7; za+4; 4[{jako,jakožto}:/AuxY]; :a4[{jako,jakožto}:/AuxY]</t>
  </si>
  <si>
    <t xml:space="preserve">"určit-005"</t>
  </si>
  <si>
    <t xml:space="preserve">ACT-&gt;ARG0/456,ARG1/1</t>
  </si>
  <si>
    <t xml:space="preserve">ACT-&gt;ARG0/344,ARG1/5</t>
  </si>
  <si>
    <t xml:space="preserve">PAT-&gt;ARG1/818,ARG2/10</t>
  </si>
  <si>
    <t xml:space="preserve">PAT-&gt;ARG1/742,ARG2/6</t>
  </si>
  <si>
    <t xml:space="preserve">EFF-&gt;ARG2/30</t>
  </si>
  <si>
    <t xml:space="preserve">"určit-006"</t>
  </si>
  <si>
    <t xml:space="preserve">ACT-&gt;ARG0/385,ARG2/1</t>
  </si>
  <si>
    <t xml:space="preserve">PAT-&gt;ARG0/2,ARG1/179</t>
  </si>
  <si>
    <t xml:space="preserve">PAT-&gt;ARG1/607</t>
  </si>
  <si>
    <t xml:space="preserve">"určit-007"</t>
  </si>
  <si>
    <t xml:space="preserve">ACT-&gt;ARG0/61,ARG2/34</t>
  </si>
  <si>
    <t xml:space="preserve">PAT-&gt;ARG1/241,ARG2/1</t>
  </si>
  <si>
    <t xml:space="preserve">"určovat-001"</t>
  </si>
  <si>
    <t xml:space="preserve">"určovat-002"</t>
  </si>
  <si>
    <t xml:space="preserve">"určovat-003"</t>
  </si>
  <si>
    <t xml:space="preserve">"určovat-004"</t>
  </si>
  <si>
    <t xml:space="preserve">"určovat-005"</t>
  </si>
  <si>
    <t xml:space="preserve">"usadit-001"</t>
  </si>
  <si>
    <t xml:space="preserve">"usadit-002"</t>
  </si>
  <si>
    <t xml:space="preserve">"usadit-se-001"</t>
  </si>
  <si>
    <t xml:space="preserve">ACT-&gt;ARG0/3,ARG1/40,ARG4/1</t>
  </si>
  <si>
    <t xml:space="preserve">ACT-&gt;ARG0/93,ARG1/441,ARG2/1,ARGM-LOC/2</t>
  </si>
  <si>
    <t xml:space="preserve">LOC-&gt;ARG2/13,ARG4/32,ARGm-LOC/23</t>
  </si>
  <si>
    <t xml:space="preserve">LOC-&gt;ARG1/5,ARG2/2,ARG4/1,ARGM-LOC/160</t>
  </si>
  <si>
    <t xml:space="preserve">"usadit-se-002"</t>
  </si>
  <si>
    <t xml:space="preserve">"usadit-se-003"</t>
  </si>
  <si>
    <t xml:space="preserve">ACT-&gt;ARG0/1,ARG1/78,ARG4/1</t>
  </si>
  <si>
    <t xml:space="preserve">ACT-&gt;ARG0/38,ARG1/250,ARG2/66,ARG4/1</t>
  </si>
  <si>
    <t xml:space="preserve">"usadit-se-004"</t>
  </si>
  <si>
    <t xml:space="preserve">ACT-&gt;ARG0/1,ARG1/26,ARG4/1</t>
  </si>
  <si>
    <t xml:space="preserve">LOC-&gt;ARG2/12,ARG4/31</t>
  </si>
  <si>
    <t xml:space="preserve">"usadit-se-005"</t>
  </si>
  <si>
    <t xml:space="preserve">ACT-&gt;ARG0/1,ARG1/7</t>
  </si>
  <si>
    <t xml:space="preserve">"usazovat-001"</t>
  </si>
  <si>
    <t xml:space="preserve">"usazovat-se-001"</t>
  </si>
  <si>
    <t xml:space="preserve">ACT-&gt;ARG0/90,ARG1/322,ARGM-LOC/1</t>
  </si>
  <si>
    <t xml:space="preserve">LOC-&gt;ARG4/1,ARGM-LOC/23</t>
  </si>
  <si>
    <t xml:space="preserve">"usazovat-se-002"</t>
  </si>
  <si>
    <t xml:space="preserve">"usazovat-se-003"</t>
  </si>
  <si>
    <t xml:space="preserve">"uschnout-001"</t>
  </si>
  <si>
    <t xml:space="preserve">"uschovat-001"</t>
  </si>
  <si>
    <t xml:space="preserve">"uschovávat-001"</t>
  </si>
  <si>
    <t xml:space="preserve">"usedat-001"</t>
  </si>
  <si>
    <t xml:space="preserve">"usedat-002"</t>
  </si>
  <si>
    <t xml:space="preserve">"usednout-001"</t>
  </si>
  <si>
    <t xml:space="preserve">"usednout-002"</t>
  </si>
  <si>
    <t xml:space="preserve">"useknout-001"</t>
  </si>
  <si>
    <t xml:space="preserve">"useknout-002"</t>
  </si>
  <si>
    <t xml:space="preserve">"usilovat-001"</t>
  </si>
  <si>
    <t xml:space="preserve">PAT: o+4; ↓c; .f; ↓aby</t>
  </si>
  <si>
    <t xml:space="preserve">ACT-&gt;ARG0/1008,ARG1/2,ARG2/1</t>
  </si>
  <si>
    <t xml:space="preserve">ACT-&gt;ARG0/561</t>
  </si>
  <si>
    <t xml:space="preserve">ACT-&gt;ARG0/835,ARG2/2</t>
  </si>
  <si>
    <t xml:space="preserve">PAT-&gt;ARG1/1175,ARG2/43</t>
  </si>
  <si>
    <t xml:space="preserve">PAT-&gt;ARG1/750,ARG2/2</t>
  </si>
  <si>
    <t xml:space="preserve">PAT-&gt;ARG1/1107,ARG2/15</t>
  </si>
  <si>
    <t xml:space="preserve">"uskladnit-001"</t>
  </si>
  <si>
    <t xml:space="preserve">"uskladňovat-001"</t>
  </si>
  <si>
    <t xml:space="preserve">"uskočit-001"</t>
  </si>
  <si>
    <t xml:space="preserve">"uskromnit-se-001"</t>
  </si>
  <si>
    <t xml:space="preserve">"uskrovnit-se-001"</t>
  </si>
  <si>
    <t xml:space="preserve">"uskrovňovat-se-001"</t>
  </si>
  <si>
    <t xml:space="preserve">"uskutečnit-001"</t>
  </si>
  <si>
    <t xml:space="preserve">ACT-&gt;ARG0/622,ARG1/124,ARG2/3451,ARG3/1</t>
  </si>
  <si>
    <t xml:space="preserve">PAT-&gt;ARG1/4012,ARG2/296</t>
  </si>
  <si>
    <t xml:space="preserve">"uskutečnit-002"</t>
  </si>
  <si>
    <t xml:space="preserve">CPHR: {koupě,operace,plán,platba,prodej,příkaz,...}.4</t>
  </si>
  <si>
    <t xml:space="preserve">CPHR-&gt;ARG1/748</t>
  </si>
  <si>
    <t xml:space="preserve">"--uskutečnit-003"</t>
  </si>
  <si>
    <t xml:space="preserve">CPHR: {operace,platba,prodej,příkaz,...}.4</t>
  </si>
  <si>
    <t xml:space="preserve">"uskutečnit-se-001"</t>
  </si>
  <si>
    <t xml:space="preserve">ACT-&gt;ARG0/1,ARG1/981</t>
  </si>
  <si>
    <t xml:space="preserve">ACT-&gt;ARG0/2,ARG1/298</t>
  </si>
  <si>
    <t xml:space="preserve">"uskutečňovat-001"</t>
  </si>
  <si>
    <t xml:space="preserve">ACT-&gt;ARG0/148</t>
  </si>
  <si>
    <t xml:space="preserve">"uskutečňovat-se-001"</t>
  </si>
  <si>
    <t xml:space="preserve">"uslyšet-001"</t>
  </si>
  <si>
    <t xml:space="preserve">"uslyšet-002"</t>
  </si>
  <si>
    <t xml:space="preserve">"uslyšet-003"</t>
  </si>
  <si>
    <t xml:space="preserve">ACT-&gt;ARG0/77,ARG1/46</t>
  </si>
  <si>
    <t xml:space="preserve">PAT-&gt;ARG0/18,ARG1/100,ARG2/26</t>
  </si>
  <si>
    <t xml:space="preserve">"uslyšet-004"</t>
  </si>
  <si>
    <t xml:space="preserve">"usmažit-001"</t>
  </si>
  <si>
    <t xml:space="preserve">"usmlouvat-001"</t>
  </si>
  <si>
    <t xml:space="preserve">"usmolit-001"</t>
  </si>
  <si>
    <t xml:space="preserve">"usmrcovat-001"</t>
  </si>
  <si>
    <t xml:space="preserve">"usmrtit-001"</t>
  </si>
  <si>
    <t xml:space="preserve">"usmyslet-si-001"</t>
  </si>
  <si>
    <t xml:space="preserve">"usmát-se-001"</t>
  </si>
  <si>
    <t xml:space="preserve">"usmívat-se-001"</t>
  </si>
  <si>
    <t xml:space="preserve">"usmívat-se-002"</t>
  </si>
  <si>
    <t xml:space="preserve">"usmířit-001"</t>
  </si>
  <si>
    <t xml:space="preserve">"usmířit-002"</t>
  </si>
  <si>
    <t xml:space="preserve">"usmířit-se-001"</t>
  </si>
  <si>
    <t xml:space="preserve">"usměrnit-001"</t>
  </si>
  <si>
    <t xml:space="preserve">"usměrňovat-001"</t>
  </si>
  <si>
    <t xml:space="preserve">"usnadnit-001"</t>
  </si>
  <si>
    <t xml:space="preserve">PAT-&gt;ARG1/91,ARG2/3</t>
  </si>
  <si>
    <t xml:space="preserve">"usnadňovat-001"</t>
  </si>
  <si>
    <t xml:space="preserve">"usnout-001"</t>
  </si>
  <si>
    <t xml:space="preserve">"usnout-002"</t>
  </si>
  <si>
    <t xml:space="preserve">"usnést-se-001"</t>
  </si>
  <si>
    <t xml:space="preserve">PAT: na+6; ↓že; ↓zda; ↓jestli; ↓c; ↓aby; .f; .s</t>
  </si>
  <si>
    <t xml:space="preserve">"usoudit-001"</t>
  </si>
  <si>
    <t xml:space="preserve">ACT-&gt;ARG0/197,ARG1/1</t>
  </si>
  <si>
    <t xml:space="preserve">ACT-&gt;ARG0/404,ARG1/19</t>
  </si>
  <si>
    <t xml:space="preserve">PAT-&gt;ARG0/1,ARG1/218</t>
  </si>
  <si>
    <t xml:space="preserve">PAT-&gt;ARG1/678,ARG4/3</t>
  </si>
  <si>
    <t xml:space="preserve">"usoudit-002"</t>
  </si>
  <si>
    <t xml:space="preserve">ACT-&gt;ARG0/497,ARG1/1</t>
  </si>
  <si>
    <t xml:space="preserve">EFF-&gt;ARG1/543,ARG2/16</t>
  </si>
  <si>
    <t xml:space="preserve">"usoužit-001"</t>
  </si>
  <si>
    <t xml:space="preserve">"uspat-001"</t>
  </si>
  <si>
    <t xml:space="preserve">"uspat-se-001"</t>
  </si>
  <si>
    <t xml:space="preserve">"uspokojit-001"</t>
  </si>
  <si>
    <t xml:space="preserve">ACT-&gt;ARG0/55,ARG1/5,ARG2/5</t>
  </si>
  <si>
    <t xml:space="preserve">PAT-&gt;ARG0/1,ARG1/178,ARG2/7</t>
  </si>
  <si>
    <t xml:space="preserve">"uspokojovat-001"</t>
  </si>
  <si>
    <t xml:space="preserve">"uspořit-001"</t>
  </si>
  <si>
    <t xml:space="preserve">ACT-&gt;ARG0/17,ARG3/13</t>
  </si>
  <si>
    <t xml:space="preserve">ACT-&gt;ARG0/35,ARG3/8</t>
  </si>
  <si>
    <t xml:space="preserve">"uspořádat-001"</t>
  </si>
  <si>
    <t xml:space="preserve">"uspořádat-002"</t>
  </si>
  <si>
    <t xml:space="preserve">"uspořádat-003"</t>
  </si>
  <si>
    <t xml:space="preserve">ACT-&gt;ARG0/463,ARG1/2</t>
  </si>
  <si>
    <t xml:space="preserve">PAT-&gt;ARG1/613</t>
  </si>
  <si>
    <t xml:space="preserve">"uspořádat-004"</t>
  </si>
  <si>
    <t xml:space="preserve">"uspořádávat-001"</t>
  </si>
  <si>
    <t xml:space="preserve">"uspíšit-001"</t>
  </si>
  <si>
    <t xml:space="preserve">ACT-&gt;ARG0/32,ARG2/30</t>
  </si>
  <si>
    <t xml:space="preserve">"uspěchat-001"</t>
  </si>
  <si>
    <t xml:space="preserve">"uspět-001"</t>
  </si>
  <si>
    <t xml:space="preserve">ACT-&gt;ARG0/25,ARG1/13</t>
  </si>
  <si>
    <t xml:space="preserve">PAT-&gt;ARG1/17,ARG3/6</t>
  </si>
  <si>
    <t xml:space="preserve">"uspět-002"</t>
  </si>
  <si>
    <t xml:space="preserve">ACT-&gt;ARG0/38,ARG1/192</t>
  </si>
  <si>
    <t xml:space="preserve">ACT-&gt;ARG0/54,ARG1/149</t>
  </si>
  <si>
    <t xml:space="preserve">ACT-&gt;ARG0/54,ARG1/146</t>
  </si>
  <si>
    <t xml:space="preserve">"usrkávat-001"</t>
  </si>
  <si>
    <t xml:space="preserve">"ustalovat-001"</t>
  </si>
  <si>
    <t xml:space="preserve">"ustalovat-se-001"</t>
  </si>
  <si>
    <t xml:space="preserve">"ustanovit-001"</t>
  </si>
  <si>
    <t xml:space="preserve">PAT-&gt;ARG1/256,ARG2/5</t>
  </si>
  <si>
    <t xml:space="preserve">"ustanovit-002"</t>
  </si>
  <si>
    <t xml:space="preserve">EFF-&gt;ARG1/1,ARG2/7</t>
  </si>
  <si>
    <t xml:space="preserve">"ustanovit-003"</t>
  </si>
  <si>
    <t xml:space="preserve">"ustanovovat-001"</t>
  </si>
  <si>
    <t xml:space="preserve">PAT-&gt;ARG0/54</t>
  </si>
  <si>
    <t xml:space="preserve">"ustat-001"</t>
  </si>
  <si>
    <t xml:space="preserve">"ustat-002"</t>
  </si>
  <si>
    <t xml:space="preserve">ACT-&gt;ARG0/3,ARG1/26</t>
  </si>
  <si>
    <t xml:space="preserve">"ustavit-001"</t>
  </si>
  <si>
    <t xml:space="preserve">PAT-&gt;ARG1/203</t>
  </si>
  <si>
    <t xml:space="preserve">"ustavit-002"</t>
  </si>
  <si>
    <t xml:space="preserve">"ustavovat-001"</t>
  </si>
  <si>
    <t xml:space="preserve">EFF: 7; za+4; .n4[{jako,jakožto}:/AuxY]</t>
  </si>
  <si>
    <t xml:space="preserve">"ustavovat-002"</t>
  </si>
  <si>
    <t xml:space="preserve">"ustlat-001"</t>
  </si>
  <si>
    <t xml:space="preserve">"ustlat-si-001"</t>
  </si>
  <si>
    <t xml:space="preserve">"ustoupit-001"</t>
  </si>
  <si>
    <t xml:space="preserve">ACT-&gt;ARG0/34,ARG1/4</t>
  </si>
  <si>
    <t xml:space="preserve">"ustoupit-002"</t>
  </si>
  <si>
    <t xml:space="preserve">PAT-&gt;ARG1/14,ARG2/14</t>
  </si>
  <si>
    <t xml:space="preserve">"ustoupit-003"</t>
  </si>
  <si>
    <t xml:space="preserve">ACT-&gt;ARG0/40,ARG1/79</t>
  </si>
  <si>
    <t xml:space="preserve">DIR1-&gt;ARG1/6</t>
  </si>
  <si>
    <t xml:space="preserve">"ustoupit-004"</t>
  </si>
  <si>
    <t xml:space="preserve">DIR1-&gt;ARG1/51</t>
  </si>
  <si>
    <t xml:space="preserve">DIR1-&gt;ARG1/2</t>
  </si>
  <si>
    <t xml:space="preserve">"ustoupit-005"</t>
  </si>
  <si>
    <t xml:space="preserve">ACT-&gt;ARG1/73</t>
  </si>
  <si>
    <t xml:space="preserve">"ustoupit-006"</t>
  </si>
  <si>
    <t xml:space="preserve">"ustrnout-001"</t>
  </si>
  <si>
    <t xml:space="preserve">"ustrojit-001"</t>
  </si>
  <si>
    <t xml:space="preserve">"ustrojit-se-001"</t>
  </si>
  <si>
    <t xml:space="preserve">"ustupovat-001"</t>
  </si>
  <si>
    <t xml:space="preserve">"ustupovat-002"</t>
  </si>
  <si>
    <t xml:space="preserve">"ustupovat-003"</t>
  </si>
  <si>
    <t xml:space="preserve">"ustupovat-004"</t>
  </si>
  <si>
    <t xml:space="preserve">"ustupovat-005"</t>
  </si>
  <si>
    <t xml:space="preserve">"ustálit-001"</t>
  </si>
  <si>
    <t xml:space="preserve">"ustálit-se-001"</t>
  </si>
  <si>
    <t xml:space="preserve">ACT-&gt;ARG0/1,ARG1/102,ARG4/1</t>
  </si>
  <si>
    <t xml:space="preserve">"ustát-001"</t>
  </si>
  <si>
    <t xml:space="preserve">"ustávat-001"</t>
  </si>
  <si>
    <t xml:space="preserve">"ustávat-002"</t>
  </si>
  <si>
    <t xml:space="preserve">"usuzovat-001"</t>
  </si>
  <si>
    <t xml:space="preserve">ACT-&gt;ARG0/413,ARG1/1</t>
  </si>
  <si>
    <t xml:space="preserve">ACT-&gt;ARG0/215,ARG1/19</t>
  </si>
  <si>
    <t xml:space="preserve">PAT-&gt;ARG1/291,ARG4/3</t>
  </si>
  <si>
    <t xml:space="preserve">"usuzovat-002"</t>
  </si>
  <si>
    <t xml:space="preserve">ACT-&gt;ARG0/353,ARG1/4</t>
  </si>
  <si>
    <t xml:space="preserve">EFF-&gt;ARG1/397</t>
  </si>
  <si>
    <t xml:space="preserve">"usušit-001"</t>
  </si>
  <si>
    <t xml:space="preserve">"usvědčit-001"</t>
  </si>
  <si>
    <t xml:space="preserve">"usvědčit-002"</t>
  </si>
  <si>
    <t xml:space="preserve">EFF: 7; 4[{jako,jakožto}:/AuxY]; za+4; .a4[{jako,jakožto}:/AuxY]; za-1[.a4]</t>
  </si>
  <si>
    <t xml:space="preserve">"usvědčovat-001"</t>
  </si>
  <si>
    <t xml:space="preserve">PAT: v+6,o+6</t>
  </si>
  <si>
    <t xml:space="preserve">"usíci-001"</t>
  </si>
  <si>
    <t xml:space="preserve">"usídlit-se-001"</t>
  </si>
  <si>
    <t xml:space="preserve">"usídlit-se-002"</t>
  </si>
  <si>
    <t xml:space="preserve">"usínat-001"</t>
  </si>
  <si>
    <t xml:space="preserve">"utahat-001"</t>
  </si>
  <si>
    <t xml:space="preserve">"utahovat-001"</t>
  </si>
  <si>
    <t xml:space="preserve">"utahovat-002"</t>
  </si>
  <si>
    <t xml:space="preserve">DPHR: opasek.S4</t>
  </si>
  <si>
    <t xml:space="preserve">"utahovat-si-001"</t>
  </si>
  <si>
    <t xml:space="preserve">"utahovat-si-002"</t>
  </si>
  <si>
    <t xml:space="preserve">"utajovat-001"</t>
  </si>
  <si>
    <t xml:space="preserve">"utichat-001"</t>
  </si>
  <si>
    <t xml:space="preserve">"utichnout-001"</t>
  </si>
  <si>
    <t xml:space="preserve">"utišit-001"</t>
  </si>
  <si>
    <t xml:space="preserve">"utišit-002"</t>
  </si>
  <si>
    <t xml:space="preserve">"utišit-se-001"</t>
  </si>
  <si>
    <t xml:space="preserve">"utišovat-001"</t>
  </si>
  <si>
    <t xml:space="preserve">"utkat-se-001"</t>
  </si>
  <si>
    <t xml:space="preserve">"utkat-se-002"</t>
  </si>
  <si>
    <t xml:space="preserve">"utkvít-001"</t>
  </si>
  <si>
    <t xml:space="preserve">"utkvít-002"</t>
  </si>
  <si>
    <t xml:space="preserve">LOC-&gt;ARG0/5</t>
  </si>
  <si>
    <t xml:space="preserve">"utkvět-001"</t>
  </si>
  <si>
    <t xml:space="preserve">ACT: 1; .v</t>
  </si>
  <si>
    <t xml:space="preserve">"utkvět-002"</t>
  </si>
  <si>
    <t xml:space="preserve">"utkávat-se-001"</t>
  </si>
  <si>
    <t xml:space="preserve">"utkávat-se-002"</t>
  </si>
  <si>
    <t xml:space="preserve">"utlačovat-001"</t>
  </si>
  <si>
    <t xml:space="preserve">"utlouci-001"</t>
  </si>
  <si>
    <t xml:space="preserve">"utloukat-001"</t>
  </si>
  <si>
    <t xml:space="preserve">"utlumit-001"</t>
  </si>
  <si>
    <t xml:space="preserve">"utlumit-002"</t>
  </si>
  <si>
    <t xml:space="preserve">"utlumit-se-001"</t>
  </si>
  <si>
    <t xml:space="preserve">"utnout-001"</t>
  </si>
  <si>
    <t xml:space="preserve">ACT-&gt;ARG0/182,ARG1/14</t>
  </si>
  <si>
    <t xml:space="preserve">"utnout-se-001"</t>
  </si>
  <si>
    <t xml:space="preserve">DPHR: mistr:S1[tesař.S1]</t>
  </si>
  <si>
    <t xml:space="preserve">"utonout-001"</t>
  </si>
  <si>
    <t xml:space="preserve">"utopit-001"</t>
  </si>
  <si>
    <t xml:space="preserve">"utopit-002"</t>
  </si>
  <si>
    <t xml:space="preserve">"utopit-se-001"</t>
  </si>
  <si>
    <t xml:space="preserve">"utratit-001"</t>
  </si>
  <si>
    <t xml:space="preserve">ACT-&gt;ARG0/101,ARG3/1</t>
  </si>
  <si>
    <t xml:space="preserve">PAT-&gt;ARG1/1,ARG3/143</t>
  </si>
  <si>
    <t xml:space="preserve">?EFF: za+4,na+4</t>
  </si>
  <si>
    <t xml:space="preserve">"utratit-002"</t>
  </si>
  <si>
    <t xml:space="preserve">"utratit-003"</t>
  </si>
  <si>
    <t xml:space="preserve">EXT-&gt;ARG1/1,ARG3/143</t>
  </si>
  <si>
    <t xml:space="preserve">EXT-&gt;ARG0/1,ARG1/112,ARG2/7,ARG3/143</t>
  </si>
  <si>
    <t xml:space="preserve">?PAT: za+4; na+4</t>
  </si>
  <si>
    <t xml:space="preserve">PAT-&gt;ARG1/112,ARG3/1</t>
  </si>
  <si>
    <t xml:space="preserve">ACT-&gt;ARG0/450,ARG1/1</t>
  </si>
  <si>
    <t xml:space="preserve">EXT-&gt;ARG0/2,ARG1/813,ARG3/1</t>
  </si>
  <si>
    <t xml:space="preserve">"utrhnout-001"</t>
  </si>
  <si>
    <t xml:space="preserve">"utrhnout-se-001"</t>
  </si>
  <si>
    <t xml:space="preserve">"utrhnout-se-002"</t>
  </si>
  <si>
    <t xml:space="preserve">"utrhávat-001"</t>
  </si>
  <si>
    <t xml:space="preserve">"utrousit-001"</t>
  </si>
  <si>
    <t xml:space="preserve">"utrpět-001"</t>
  </si>
  <si>
    <t xml:space="preserve">ACT-&gt;ARG0/2690,ARG1/144,ARG2/1</t>
  </si>
  <si>
    <t xml:space="preserve">PAT-&gt;ARG0/1,ARG1/2944,ARG2/143</t>
  </si>
  <si>
    <t xml:space="preserve">"utrpět-002"</t>
  </si>
  <si>
    <t xml:space="preserve">ACT-&gt;ARG0/35,ARG1/161</t>
  </si>
  <si>
    <t xml:space="preserve">ACT-&gt;ARG1/480</t>
  </si>
  <si>
    <t xml:space="preserve">PAT-&gt;ARG0/45,ARG1/37,ARG2/98</t>
  </si>
  <si>
    <t xml:space="preserve">PAT-&gt;ARG0/221,ARG2/160</t>
  </si>
  <si>
    <t xml:space="preserve">"utrácet-001"</t>
  </si>
  <si>
    <t xml:space="preserve">ACT-&gt;ARG0/101,ARG1/2,ARG3/1</t>
  </si>
  <si>
    <t xml:space="preserve">"utrácet-002"</t>
  </si>
  <si>
    <t xml:space="preserve">"utržit-001"</t>
  </si>
  <si>
    <t xml:space="preserve">ORIG-&gt;ARG0/66,ARG1/44</t>
  </si>
  <si>
    <t xml:space="preserve">ACT-&gt;ARG0/2297,ARG1/21</t>
  </si>
  <si>
    <t xml:space="preserve">PAT-&gt;ARG0/1,ARG1/2500</t>
  </si>
  <si>
    <t xml:space="preserve">"utržit-002"</t>
  </si>
  <si>
    <t xml:space="preserve">"utuchat-001"</t>
  </si>
  <si>
    <t xml:space="preserve">"ututlat-001"</t>
  </si>
  <si>
    <t xml:space="preserve">"utužit-001"</t>
  </si>
  <si>
    <t xml:space="preserve">"utužovat-001"</t>
  </si>
  <si>
    <t xml:space="preserve">"utvořit-001"</t>
  </si>
  <si>
    <t xml:space="preserve">ACT-&gt;ARG0/757,ARG1/4</t>
  </si>
  <si>
    <t xml:space="preserve">PAT-&gt;ARG1/1211,ARG2/6</t>
  </si>
  <si>
    <t xml:space="preserve">ORIG-&gt;ARG1/13</t>
  </si>
  <si>
    <t xml:space="preserve">ORIG-&gt;ARG1/14,ARG2/18</t>
  </si>
  <si>
    <t xml:space="preserve">"utvořit-002"</t>
  </si>
  <si>
    <t xml:space="preserve">CPHR: {rekord}.4</t>
  </si>
  <si>
    <t xml:space="preserve">"utvořit-se-001"</t>
  </si>
  <si>
    <t xml:space="preserve">"utvrdit-001"</t>
  </si>
  <si>
    <t xml:space="preserve">PAT: v+6; ↓že; ↓c</t>
  </si>
  <si>
    <t xml:space="preserve">"utvrdit-002"</t>
  </si>
  <si>
    <t xml:space="preserve">"utvrzovat-001"</t>
  </si>
  <si>
    <t xml:space="preserve">PAT: v+6; ↓že</t>
  </si>
  <si>
    <t xml:space="preserve">"utvrzovat-002"</t>
  </si>
  <si>
    <t xml:space="preserve">"utvářet-001"</t>
  </si>
  <si>
    <t xml:space="preserve">"utvářet-se-001"</t>
  </si>
  <si>
    <t xml:space="preserve">"utábořit-se-001"</t>
  </si>
  <si>
    <t xml:space="preserve">"utáhnout-001"</t>
  </si>
  <si>
    <t xml:space="preserve">"utáhnout-002"</t>
  </si>
  <si>
    <t xml:space="preserve">"utáhnout-003"</t>
  </si>
  <si>
    <t xml:space="preserve">"utápět-se-001"</t>
  </si>
  <si>
    <t xml:space="preserve">"utéci-001"</t>
  </si>
  <si>
    <t xml:space="preserve">ACT-&gt;ARG1/22,ARG2/8</t>
  </si>
  <si>
    <t xml:space="preserve">PAT-&gt;ARG0/19,ARG1/10</t>
  </si>
  <si>
    <t xml:space="preserve">"utéci-002"</t>
  </si>
  <si>
    <t xml:space="preserve">"utéci-003"</t>
  </si>
  <si>
    <t xml:space="preserve">"utéci-se-001"</t>
  </si>
  <si>
    <t xml:space="preserve">"utíkat-001"</t>
  </si>
  <si>
    <t xml:space="preserve">ACT-&gt;ARG0/30,ARG1/4</t>
  </si>
  <si>
    <t xml:space="preserve">"utíkat-002"</t>
  </si>
  <si>
    <t xml:space="preserve">"utíkat-003"</t>
  </si>
  <si>
    <t xml:space="preserve">"utírat-001"</t>
  </si>
  <si>
    <t xml:space="preserve">"utěšit-001"</t>
  </si>
  <si>
    <t xml:space="preserve">"utěšovat-001"</t>
  </si>
  <si>
    <t xml:space="preserve">"utřídit-001"</t>
  </si>
  <si>
    <t xml:space="preserve">"utřít-001"</t>
  </si>
  <si>
    <t xml:space="preserve">"uvadnout-001"</t>
  </si>
  <si>
    <t xml:space="preserve">"uvadnout-002"</t>
  </si>
  <si>
    <t xml:space="preserve">"uvalit-001"</t>
  </si>
  <si>
    <t xml:space="preserve">PAT-&gt;ARG0/1,ARG1/76,ARG3/3</t>
  </si>
  <si>
    <t xml:space="preserve">ADDR-&gt;ARG1/10,ARG2/49</t>
  </si>
  <si>
    <t xml:space="preserve">"uvalit-002"</t>
  </si>
  <si>
    <t xml:space="preserve">CPHR: {blokáda,břemeno,clo,daň,dluh,embargo,exekuce,hypotéka,karanténa,moratorium,opatření,penále,platba,podmínka,poplatek,právo,sankce,správa,úrok,vazba-1,zákaz,zátěž,...}.4</t>
  </si>
  <si>
    <t xml:space="preserve">ADDR: na+4; vůči+3</t>
  </si>
  <si>
    <t xml:space="preserve">ADDR-&gt;ARG1/7,ARG2/40</t>
  </si>
  <si>
    <t xml:space="preserve">CPHR-&gt;ARG1/67</t>
  </si>
  <si>
    <t xml:space="preserve">"uvalovat-001"</t>
  </si>
  <si>
    <t xml:space="preserve">"uvalovat-002"</t>
  </si>
  <si>
    <t xml:space="preserve">CPHR: {blokáda,clo,daň,embargo,exekuce,hypotéka,karanténa,podmínka,poplatek,sankce,standarda,vazba-1,...}.4</t>
  </si>
  <si>
    <t xml:space="preserve">"uvařit-001"</t>
  </si>
  <si>
    <t xml:space="preserve">"uvařit-002"</t>
  </si>
  <si>
    <t xml:space="preserve">"uvažovat-001"</t>
  </si>
  <si>
    <t xml:space="preserve">"uvažovat-002"</t>
  </si>
  <si>
    <t xml:space="preserve">ACT-&gt;ARG0/448</t>
  </si>
  <si>
    <t xml:space="preserve">PAT: o+6; nad+7; ↓že; ↓zda; ↓jestli; ↓c; .s</t>
  </si>
  <si>
    <t xml:space="preserve">PAT-&gt;ARG1/484,ARG2/53</t>
  </si>
  <si>
    <t xml:space="preserve">"uvažovat-003"</t>
  </si>
  <si>
    <t xml:space="preserve">"uvažovat-004"</t>
  </si>
  <si>
    <t xml:space="preserve">"uveřejnit-001"</t>
  </si>
  <si>
    <t xml:space="preserve">ACT-&gt;ARG0/1024,ARG1/4</t>
  </si>
  <si>
    <t xml:space="preserve">PAT-&gt;ARG1/1168</t>
  </si>
  <si>
    <t xml:space="preserve">"uveřejnit-002"</t>
  </si>
  <si>
    <t xml:space="preserve">"uveřejňovat-001"</t>
  </si>
  <si>
    <t xml:space="preserve">"uveřejňovat-002"</t>
  </si>
  <si>
    <t xml:space="preserve">EFF-&gt;ARG1/21</t>
  </si>
  <si>
    <t xml:space="preserve">EFF-&gt;ARG0/1,ARG1/303</t>
  </si>
  <si>
    <t xml:space="preserve">"uvidět-001"</t>
  </si>
  <si>
    <t xml:space="preserve">EFF: .f; ↓že; ↓jak-2</t>
  </si>
  <si>
    <t xml:space="preserve">"uvidět-002"</t>
  </si>
  <si>
    <t xml:space="preserve">ACT-&gt;ARG0/366,ARG1/1</t>
  </si>
  <si>
    <t xml:space="preserve">PAT-&gt;ARG1/502,ARG2/1</t>
  </si>
  <si>
    <t xml:space="preserve">"uvidět-003"</t>
  </si>
  <si>
    <t xml:space="preserve">"uvidět-004"</t>
  </si>
  <si>
    <t xml:space="preserve">"uvidět-se-001"</t>
  </si>
  <si>
    <t xml:space="preserve">ACT-&gt;ARG1/483,ARG2/1</t>
  </si>
  <si>
    <t xml:space="preserve">"--uvidět-se-002"</t>
  </si>
  <si>
    <t xml:space="preserve">"uvolit-se-001"</t>
  </si>
  <si>
    <t xml:space="preserve">"uvolnit-001"</t>
  </si>
  <si>
    <t xml:space="preserve">DIR1-&gt;ARG2/6</t>
  </si>
  <si>
    <t xml:space="preserve">"uvolnit-002"</t>
  </si>
  <si>
    <t xml:space="preserve">PAT-&gt;ARG1/275</t>
  </si>
  <si>
    <t xml:space="preserve">"uvolnit-003"</t>
  </si>
  <si>
    <t xml:space="preserve">ACT-&gt;ARG0/67,ARG1/1</t>
  </si>
  <si>
    <t xml:space="preserve">"uvolnit-004"</t>
  </si>
  <si>
    <t xml:space="preserve">"uvolnit-005"</t>
  </si>
  <si>
    <t xml:space="preserve">"uvolnit-006"</t>
  </si>
  <si>
    <t xml:space="preserve">"uvolnit-007"</t>
  </si>
  <si>
    <t xml:space="preserve">"uvolnit-008"</t>
  </si>
  <si>
    <t xml:space="preserve">"uvolnit-se-001"</t>
  </si>
  <si>
    <t xml:space="preserve">ACT-&gt;ARG1/75</t>
  </si>
  <si>
    <t xml:space="preserve">"uvolnit-se-002"</t>
  </si>
  <si>
    <t xml:space="preserve">"uvolnit-se-003"</t>
  </si>
  <si>
    <t xml:space="preserve">"uvolnit-se-004"</t>
  </si>
  <si>
    <t xml:space="preserve">"uvolnit-se-005"</t>
  </si>
  <si>
    <t xml:space="preserve">"uvolnit-se-006"</t>
  </si>
  <si>
    <t xml:space="preserve">"uvolňovat-001"</t>
  </si>
  <si>
    <t xml:space="preserve">"uvolňovat-002"</t>
  </si>
  <si>
    <t xml:space="preserve">ACT-&gt;ARG0/38,ARG1/1</t>
  </si>
  <si>
    <t xml:space="preserve">"uvolňovat-003"</t>
  </si>
  <si>
    <t xml:space="preserve">"uvolňovat-004"</t>
  </si>
  <si>
    <t xml:space="preserve">"uvolňovat-se-001"</t>
  </si>
  <si>
    <t xml:space="preserve">"uvrhnout-001"</t>
  </si>
  <si>
    <t xml:space="preserve">"uvrhnout-002"</t>
  </si>
  <si>
    <t xml:space="preserve">"uvádět-001"</t>
  </si>
  <si>
    <t xml:space="preserve">ACT-&gt;ARG0/3123,ARG1/21</t>
  </si>
  <si>
    <t xml:space="preserve">PAT: 4; ↓že; ↓zda; ↓když; .s; ↓c</t>
  </si>
  <si>
    <t xml:space="preserve">PAT-&gt;ARG0/3,ARG1/14461,ARG2/3472</t>
  </si>
  <si>
    <t xml:space="preserve">"uvádět-002"</t>
  </si>
  <si>
    <t xml:space="preserve">"uvádět-003"</t>
  </si>
  <si>
    <t xml:space="preserve">"uvádět-004"</t>
  </si>
  <si>
    <t xml:space="preserve">"uvádět-005"</t>
  </si>
  <si>
    <t xml:space="preserve">"uvádět-006"</t>
  </si>
  <si>
    <t xml:space="preserve">"uvádět-007"</t>
  </si>
  <si>
    <t xml:space="preserve">ACT-&gt;ARG0/252</t>
  </si>
  <si>
    <t xml:space="preserve">PAT-&gt;ARG1/397</t>
  </si>
  <si>
    <t xml:space="preserve">"uvádět-008"</t>
  </si>
  <si>
    <t xml:space="preserve">ACT-&gt;ARG0/13760,ARG1/52</t>
  </si>
  <si>
    <t xml:space="preserve">EFF-&gt;ARG0/3,ARG1/12820,ARG2/11,ARG3/10</t>
  </si>
  <si>
    <t xml:space="preserve">PAT-&gt;ARG0/2,ARG1/10,ARG2/4,ARG3/30</t>
  </si>
  <si>
    <t xml:space="preserve">"uvádět-009"</t>
  </si>
  <si>
    <t xml:space="preserve">DPHR: na-1[míra:4[pravý:#]]</t>
  </si>
  <si>
    <t xml:space="preserve">"uvádět-010"</t>
  </si>
  <si>
    <t xml:space="preserve">DPHR: v-1[život.S4]</t>
  </si>
  <si>
    <t xml:space="preserve">"uvádět-011"</t>
  </si>
  <si>
    <t xml:space="preserve">ACT-&gt;ARG0/29,ARG1/4</t>
  </si>
  <si>
    <t xml:space="preserve">PAT-&gt;ARG1/107,ARG2/6</t>
  </si>
  <si>
    <t xml:space="preserve">MANN-&gt;ARG2/104</t>
  </si>
  <si>
    <t xml:space="preserve">MANN-&gt;ARG1/8,ARG2/530</t>
  </si>
  <si>
    <t xml:space="preserve">"uvázat-001"</t>
  </si>
  <si>
    <t xml:space="preserve">"uvázat-002"</t>
  </si>
  <si>
    <t xml:space="preserve">"uvázat-se-001"</t>
  </si>
  <si>
    <t xml:space="preserve">"uváznout-001"</t>
  </si>
  <si>
    <t xml:space="preserve">ACT-&gt;ARG1/3105,ARG2/296</t>
  </si>
  <si>
    <t xml:space="preserve">ACT-&gt;ARG0/1,ARG1/305,ARG2/2</t>
  </si>
  <si>
    <t xml:space="preserve">LOC-&gt;ARG1/37,ARG2/113,ARG3/92</t>
  </si>
  <si>
    <t xml:space="preserve">"uvážit-001"</t>
  </si>
  <si>
    <t xml:space="preserve">"uvést-001"</t>
  </si>
  <si>
    <t xml:space="preserve">ACT-&gt;ARG0/14547,ARG1/43</t>
  </si>
  <si>
    <t xml:space="preserve">PAT-&gt;ARG0/3,ARG1/13581,ARG2/18,ARG3/2</t>
  </si>
  <si>
    <t xml:space="preserve">EFF-&gt;ARG0/1,ARG1/361,ARG2/23</t>
  </si>
  <si>
    <t xml:space="preserve">"uvést-002"</t>
  </si>
  <si>
    <t xml:space="preserve">ACT-&gt;ARG0/389,ARG1/67,ARG2/3</t>
  </si>
  <si>
    <t xml:space="preserve">PAT-&gt;ARG1/462,ARG2/15</t>
  </si>
  <si>
    <t xml:space="preserve">DIR3-&gt;ARG0/1,ARG1/151,ARG2/3,ARG3/3,ARG4/3</t>
  </si>
  <si>
    <t xml:space="preserve">"uvést-003"</t>
  </si>
  <si>
    <t xml:space="preserve">ACT-&gt;ARG0/231,ARG1/16</t>
  </si>
  <si>
    <t xml:space="preserve">PAT-&gt;ARG1/371,ARG2/51</t>
  </si>
  <si>
    <t xml:space="preserve">"uvést-004"</t>
  </si>
  <si>
    <t xml:space="preserve">ACT-&gt;ARG0/166</t>
  </si>
  <si>
    <t xml:space="preserve">PAT-&gt;ARG1/231</t>
  </si>
  <si>
    <t xml:space="preserve">PAT-&gt;ARG0/1,ARG1/284,ARG2/1</t>
  </si>
  <si>
    <t xml:space="preserve">"uvést-005"</t>
  </si>
  <si>
    <t xml:space="preserve">ACT-&gt;ARG0/307,ARG1/3</t>
  </si>
  <si>
    <t xml:space="preserve">PAT-&gt;ARG1/474</t>
  </si>
  <si>
    <t xml:space="preserve">"uvést-006"</t>
  </si>
  <si>
    <t xml:space="preserve">"uvést-007"</t>
  </si>
  <si>
    <t xml:space="preserve">ACT-&gt;ARG0/13218,ARG1/39</t>
  </si>
  <si>
    <t xml:space="preserve">EFF-&gt;ARG0/2,ARG1/11871,ARG2/4</t>
  </si>
  <si>
    <t xml:space="preserve">ADDR-&gt;ARG1/2,ARG2/349</t>
  </si>
  <si>
    <t xml:space="preserve">ACT-&gt;ARG0/14176,ARG1/43</t>
  </si>
  <si>
    <t xml:space="preserve">EFF-&gt;ARG0/3,ARG1/13016,ARG2/10</t>
  </si>
  <si>
    <t xml:space="preserve">PAT-&gt;ARG0/2,ARG1/12,ARG2/310,ARG3/30</t>
  </si>
  <si>
    <t xml:space="preserve">"uvést-008"</t>
  </si>
  <si>
    <t xml:space="preserve">CPHR: {důvod,vysvětlení,zdůvodnění}.4</t>
  </si>
  <si>
    <t xml:space="preserve">ACT-&gt;ARG0/283,ARG1/2</t>
  </si>
  <si>
    <t xml:space="preserve">CPHR-&gt;ARG1/382,ARG2/2,ARG3/1</t>
  </si>
  <si>
    <t xml:space="preserve">CPHR-&gt;ARG1/31</t>
  </si>
  <si>
    <t xml:space="preserve">"uvést-009"</t>
  </si>
  <si>
    <t xml:space="preserve">CPHR: {opatření,...}.4</t>
  </si>
  <si>
    <t xml:space="preserve">CPHR-&gt;ARG1/190</t>
  </si>
  <si>
    <t xml:space="preserve">"uvést-010"</t>
  </si>
  <si>
    <t xml:space="preserve">DPHR: na-1[míra:4[{správný,pravý}:#]]</t>
  </si>
  <si>
    <t xml:space="preserve">"uvést-011"</t>
  </si>
  <si>
    <t xml:space="preserve">"uvést-012"</t>
  </si>
  <si>
    <t xml:space="preserve">DPHR: do-1[pohyb.S2]</t>
  </si>
  <si>
    <t xml:space="preserve">"uvést-013"</t>
  </si>
  <si>
    <t xml:space="preserve">DPHR: v-1[platnost.S4]</t>
  </si>
  <si>
    <t xml:space="preserve">"uvést-se-001"</t>
  </si>
  <si>
    <t xml:space="preserve">"uvítat-001"</t>
  </si>
  <si>
    <t xml:space="preserve">"uvítat-002"</t>
  </si>
  <si>
    <t xml:space="preserve">PAT: 4; ↓aby; ↓jestli; ↓že; ↓kdyby</t>
  </si>
  <si>
    <t xml:space="preserve">"uvítat-003"</t>
  </si>
  <si>
    <t xml:space="preserve">"uvíznout-001"</t>
  </si>
  <si>
    <t xml:space="preserve">"uvíznout-002"</t>
  </si>
  <si>
    <t xml:space="preserve">ACT-&gt;ARG1/124,ARG2/1</t>
  </si>
  <si>
    <t xml:space="preserve">ACT-&gt;ARG0/8,ARG1/151,ARG2/1</t>
  </si>
  <si>
    <t xml:space="preserve">LOC-&gt;ARG0/2,ARG1/15,ARG3/92</t>
  </si>
  <si>
    <t xml:space="preserve">"uvíznout-003"</t>
  </si>
  <si>
    <t xml:space="preserve">"uvědomit-001"</t>
  </si>
  <si>
    <t xml:space="preserve">PAT-&gt;ARG1/1,ARG2/26</t>
  </si>
  <si>
    <t xml:space="preserve">"uvědomit-si-001"</t>
  </si>
  <si>
    <t xml:space="preserve">ACT-&gt;ARG0/992,ARG1/7</t>
  </si>
  <si>
    <t xml:space="preserve">PAT-&gt;ARG1/1060,ARG2/17</t>
  </si>
  <si>
    <t xml:space="preserve">"uvědomovat-si-001"</t>
  </si>
  <si>
    <t xml:space="preserve">"uvěznit-001"</t>
  </si>
  <si>
    <t xml:space="preserve">"uvězňovat-001"</t>
  </si>
  <si>
    <t xml:space="preserve">"uvěřit-001"</t>
  </si>
  <si>
    <t xml:space="preserve">"uvěřit-002"</t>
  </si>
  <si>
    <t xml:space="preserve">?PAT: 4; ↓že; ↓c</t>
  </si>
  <si>
    <t xml:space="preserve">"uzamknout-001"</t>
  </si>
  <si>
    <t xml:space="preserve">ACT-&gt;ARG0/51,ARG2/1</t>
  </si>
  <si>
    <t xml:space="preserve">"uzavírat-001"</t>
  </si>
  <si>
    <t xml:space="preserve">"uzavírat-002"</t>
  </si>
  <si>
    <t xml:space="preserve">ACT-&gt;ARG0/30,ARG1/18</t>
  </si>
  <si>
    <t xml:space="preserve">ACT-&gt;ARG0/58,ARG1/18</t>
  </si>
  <si>
    <t xml:space="preserve">"uzavírat-003"</t>
  </si>
  <si>
    <t xml:space="preserve">ACT-&gt;ARG0/82,ARG1/374</t>
  </si>
  <si>
    <t xml:space="preserve">"uzavírat-004"</t>
  </si>
  <si>
    <t xml:space="preserve">ACT-&gt;ARG1/357</t>
  </si>
  <si>
    <t xml:space="preserve">LOC-&gt;ARG1/1,ARG2/14,ARG4/29,ARGm-EXT/352,ARGm-MNR/260</t>
  </si>
  <si>
    <t xml:space="preserve">MANN-&gt;ARG1/1,ARG2/22,ARG4/38,ARGM-EXT/392,ARGM-MNR/281</t>
  </si>
  <si>
    <t xml:space="preserve">ACMP-&gt;ARG1/1,ARG2/22,ARG4/38,ARGM-EXT/392,ARGM-MNR/281</t>
  </si>
  <si>
    <t xml:space="preserve">MANN-&gt;ARGm-EXT/40,ARGm-MNR/21</t>
  </si>
  <si>
    <t xml:space="preserve">"uzavírat-005"</t>
  </si>
  <si>
    <t xml:space="preserve">CPHR: {dohoda,kompromis,kontrakt,obchod,pojištění,příměří,sázka,smlouva,sňatek,...}.4</t>
  </si>
  <si>
    <t xml:space="preserve">CPHR-&gt;ARG1/199</t>
  </si>
  <si>
    <t xml:space="preserve">"--uzavírat-006"</t>
  </si>
  <si>
    <t xml:space="preserve">"--uzavírat-007"</t>
  </si>
  <si>
    <t xml:space="preserve">"uzavírat-se-001"</t>
  </si>
  <si>
    <t xml:space="preserve">?PAT: 3; před+7; proti+3</t>
  </si>
  <si>
    <t xml:space="preserve">"uzavřít-001"</t>
  </si>
  <si>
    <t xml:space="preserve">ACT-&gt;ARG0/111,ARG1/1</t>
  </si>
  <si>
    <t xml:space="preserve">"uzavřít-002"</t>
  </si>
  <si>
    <t xml:space="preserve">"uzavřít-003"</t>
  </si>
  <si>
    <t xml:space="preserve">"uzavřít-004"</t>
  </si>
  <si>
    <t xml:space="preserve">ACT-&gt;ARG0/191,ARG1/311</t>
  </si>
  <si>
    <t xml:space="preserve">PAT-&gt;ARG1/334</t>
  </si>
  <si>
    <t xml:space="preserve">"uzavřít-005"</t>
  </si>
  <si>
    <t xml:space="preserve">ACT-&gt;ARG0/46,ARG1/18</t>
  </si>
  <si>
    <t xml:space="preserve">"uzavřít-006"</t>
  </si>
  <si>
    <t xml:space="preserve">ACT-&gt;ARG0/36,ARG1/85</t>
  </si>
  <si>
    <t xml:space="preserve">PAT-&gt;ARG1/398,ARG2/14,ARG4/29</t>
  </si>
  <si>
    <t xml:space="preserve">"uzavřít-007"</t>
  </si>
  <si>
    <t xml:space="preserve">"uzavřít-008"</t>
  </si>
  <si>
    <t xml:space="preserve">"uzavřít-009"</t>
  </si>
  <si>
    <t xml:space="preserve">ACT-&gt;ARG0/30,ARG1/417</t>
  </si>
  <si>
    <t xml:space="preserve">"uzavřít-010"</t>
  </si>
  <si>
    <t xml:space="preserve">CPHR: {akvizice,dohoda,kontrakt,koupě,mír,nákup,obchod,partnerství,prodej,přátelství,příměří,sázka,smír,smlouva,sňatek,svazek,transakce,účet,vztah,...}.4</t>
  </si>
  <si>
    <t xml:space="preserve">ACT-&gt;ARG0/474,ARG1/2,ARG2/14</t>
  </si>
  <si>
    <t xml:space="preserve">CPHR-&gt;ARG1/917</t>
  </si>
  <si>
    <t xml:space="preserve">CPHR-&gt;ARG1/385</t>
  </si>
  <si>
    <t xml:space="preserve">ACT-&gt;ARG0/1106,ARG1/13,ARG2/5</t>
  </si>
  <si>
    <t xml:space="preserve">CPHR-&gt;ARG0/10,ARG1/2185,ARG2/305,ARG3/161,ARG4/7</t>
  </si>
  <si>
    <t xml:space="preserve">"--uzavřít-011"</t>
  </si>
  <si>
    <t xml:space="preserve">"--uzavřít-012"</t>
  </si>
  <si>
    <t xml:space="preserve">"uzavřít-se-001"</t>
  </si>
  <si>
    <t xml:space="preserve">"uzdravit-001"</t>
  </si>
  <si>
    <t xml:space="preserve">"uzdravit-se-001"</t>
  </si>
  <si>
    <t xml:space="preserve">"uzdravovat-001"</t>
  </si>
  <si>
    <t xml:space="preserve">"uzdravovat-002"</t>
  </si>
  <si>
    <t xml:space="preserve">"uzdravovat-se-001"</t>
  </si>
  <si>
    <t xml:space="preserve">"uzemnit-001"</t>
  </si>
  <si>
    <t xml:space="preserve">"uzlit-se-001"</t>
  </si>
  <si>
    <t xml:space="preserve">"uznat-001"</t>
  </si>
  <si>
    <t xml:space="preserve">EFF: 7; za+4; 4[{jako,jakožto}:/AuxY]; .a4[{jako,jakožto}:/AuxY]; ↓že</t>
  </si>
  <si>
    <t xml:space="preserve">PAT-&gt;ARG0/2,ARG1/100,ARG2/1</t>
  </si>
  <si>
    <t xml:space="preserve">EFF-&gt;ARG1/59,ARG2/36</t>
  </si>
  <si>
    <t xml:space="preserve">"uznat-002"</t>
  </si>
  <si>
    <t xml:space="preserve">ACT-&gt;ARG0/282,ARG1/3</t>
  </si>
  <si>
    <t xml:space="preserve">"--uznat-003"</t>
  </si>
  <si>
    <t xml:space="preserve">"uznávat-001"</t>
  </si>
  <si>
    <t xml:space="preserve">EFF-&gt;ARG2/11</t>
  </si>
  <si>
    <t xml:space="preserve">"uznávat-002"</t>
  </si>
  <si>
    <t xml:space="preserve">ACT-&gt;ARG0/160,ARG1/3</t>
  </si>
  <si>
    <t xml:space="preserve">"uzobnout-001"</t>
  </si>
  <si>
    <t xml:space="preserve">"uzpůsobit-001"</t>
  </si>
  <si>
    <t xml:space="preserve">"uzpůsobit-002"</t>
  </si>
  <si>
    <t xml:space="preserve">"uzrát-001"</t>
  </si>
  <si>
    <t xml:space="preserve">"uzurpovat-001"</t>
  </si>
  <si>
    <t xml:space="preserve">"uzákonit-001"</t>
  </si>
  <si>
    <t xml:space="preserve">"uzákoňovat-001"</t>
  </si>
  <si>
    <t xml:space="preserve">"učarovat-001"</t>
  </si>
  <si>
    <t xml:space="preserve">"učesat-001"</t>
  </si>
  <si>
    <t xml:space="preserve">"učinit-001"</t>
  </si>
  <si>
    <t xml:space="preserve">"učinit-002"</t>
  </si>
  <si>
    <t xml:space="preserve">ORIG-&gt;ARG1/267</t>
  </si>
  <si>
    <t xml:space="preserve">"učinit-003"</t>
  </si>
  <si>
    <t xml:space="preserve">EFF-&gt;ARG1/264,ARG2/2</t>
  </si>
  <si>
    <t xml:space="preserve">"učinit-004"</t>
  </si>
  <si>
    <t xml:space="preserve">ACT-&gt;ARG0/502,ARG1/2</t>
  </si>
  <si>
    <t xml:space="preserve">PAT-&gt;ARG1/859</t>
  </si>
  <si>
    <t xml:space="preserve">"učinit-005"</t>
  </si>
  <si>
    <t xml:space="preserve">"učinit-006"</t>
  </si>
  <si>
    <t xml:space="preserve">CPHR: {konec,přítrž,...}.4</t>
  </si>
  <si>
    <t xml:space="preserve">"učinit-007"</t>
  </si>
  <si>
    <t xml:space="preserve">ACT-&gt;ARG0/877,ARG1/2</t>
  </si>
  <si>
    <t xml:space="preserve">CPHR: {nabídka,protinabídka,ústupek,...}.4</t>
  </si>
  <si>
    <t xml:space="preserve">CPHR-&gt;ARG1/1096,ARG2/61,ARG3/1</t>
  </si>
  <si>
    <t xml:space="preserve">ADDR-&gt;ARG1/13,ARG2/192,ARG3/93</t>
  </si>
  <si>
    <t xml:space="preserve">ACT-&gt;ARG0/790,ARG1/2</t>
  </si>
  <si>
    <t xml:space="preserve">CPHR-&gt;ARG1/1090,ARG2/3,ARG3/1</t>
  </si>
  <si>
    <t xml:space="preserve">ADDR-&gt;ARG1/9,ARG2/327,ARG3/78</t>
  </si>
  <si>
    <t xml:space="preserve">"učinit-008"</t>
  </si>
  <si>
    <t xml:space="preserve">CPHR: {shrnutí,závěr,...}.4</t>
  </si>
  <si>
    <t xml:space="preserve">CPHR-&gt;ARG1/18</t>
  </si>
  <si>
    <t xml:space="preserve">"učinit-009"</t>
  </si>
  <si>
    <t xml:space="preserve">CPHR: {expertíza,chyba,kapitulace,kontrola,krok,návrh,objev,odhad,omezení,opatření,oznámení,pokrok,pokus,poznámka,prohlášení,prověrka,připomínka,přiznání,rozhodnutí,sázka,slib,volba,vyjádření,zátah,závazek,změna,...}.4</t>
  </si>
  <si>
    <t xml:space="preserve">CPHR-&gt;ARG1/253</t>
  </si>
  <si>
    <t xml:space="preserve">CPHR-&gt;ARG1/418</t>
  </si>
  <si>
    <t xml:space="preserve">ACT-&gt;ARG0/376,ARG1/25</t>
  </si>
  <si>
    <t xml:space="preserve">CPHR-&gt;ARG1/477,ARG2/26</t>
  </si>
  <si>
    <t xml:space="preserve">ACT-&gt;ARG0/2604,ARG1/45</t>
  </si>
  <si>
    <t xml:space="preserve">CPHR-&gt;ARG0/1,ARG1/3377,ARG2/26</t>
  </si>
  <si>
    <t xml:space="preserve">ACT-&gt;ARG0/2399,ARG1/20</t>
  </si>
  <si>
    <t xml:space="preserve">CPHR-&gt;ARG0/1,ARG1/2550</t>
  </si>
  <si>
    <t xml:space="preserve">"učinit-010"</t>
  </si>
  <si>
    <t xml:space="preserve">DPHR: zadost</t>
  </si>
  <si>
    <t xml:space="preserve">"učinit-011"</t>
  </si>
  <si>
    <t xml:space="preserve">DPHR: štěstí.S4</t>
  </si>
  <si>
    <t xml:space="preserve">"učinit-012"</t>
  </si>
  <si>
    <t xml:space="preserve">DPHR: svůj-1.NS4</t>
  </si>
  <si>
    <t xml:space="preserve">"učinit-si-001"</t>
  </si>
  <si>
    <t xml:space="preserve">CPHR: {názor,...}.4</t>
  </si>
  <si>
    <t xml:space="preserve">CPHR-&gt;ARG1/136</t>
  </si>
  <si>
    <t xml:space="preserve">"učit-001"</t>
  </si>
  <si>
    <t xml:space="preserve">?PAT: 4; 3; .f; ↓že; ↓aby; ↓c</t>
  </si>
  <si>
    <t xml:space="preserve">ADDR-&gt;ARG1/2,ARG2/19</t>
  </si>
  <si>
    <t xml:space="preserve">"učit-se-001"</t>
  </si>
  <si>
    <t xml:space="preserve">?ORIG: od+2; na+6; z+2</t>
  </si>
  <si>
    <t xml:space="preserve">ACT-&gt;ARG0/72,ARG1/1,ARG2/30</t>
  </si>
  <si>
    <t xml:space="preserve">"učit-se-002"</t>
  </si>
  <si>
    <t xml:space="preserve">PAT: 7; na+4; 1[{jako,jakožto}:/AuxY]</t>
  </si>
  <si>
    <t xml:space="preserve">"učit-se-003"</t>
  </si>
  <si>
    <t xml:space="preserve">EFF-&gt;ARG1/88</t>
  </si>
  <si>
    <t xml:space="preserve">"učit-se-004"</t>
  </si>
  <si>
    <t xml:space="preserve">MANN-&gt;ARG1/62</t>
  </si>
  <si>
    <t xml:space="preserve">"--učit-se-005"</t>
  </si>
  <si>
    <t xml:space="preserve">"učívat-001"</t>
  </si>
  <si>
    <t xml:space="preserve">"učívávat-001"</t>
  </si>
  <si>
    <t xml:space="preserve">"uřezat-001"</t>
  </si>
  <si>
    <t xml:space="preserve">"uřvat-001"</t>
  </si>
  <si>
    <t xml:space="preserve">"uříznout-001"</t>
  </si>
  <si>
    <t xml:space="preserve">"ušetřit-001"</t>
  </si>
  <si>
    <t xml:space="preserve">ORIG-&gt;ARG2/4</t>
  </si>
  <si>
    <t xml:space="preserve">ACT-&gt;ARG0/20,ARG1/1,ARG3/14</t>
  </si>
  <si>
    <t xml:space="preserve">"ušetřit-002"</t>
  </si>
  <si>
    <t xml:space="preserve">?EFF: 2; před+7; proti+3; od+2</t>
  </si>
  <si>
    <t xml:space="preserve">ACT-&gt;ARG0/3,ARG1/1,ARG3/1</t>
  </si>
  <si>
    <t xml:space="preserve">"ušetřit-si-001"</t>
  </si>
  <si>
    <t xml:space="preserve">"ušklíbnout-se-001"</t>
  </si>
  <si>
    <t xml:space="preserve">PAT: na+4; nad+7</t>
  </si>
  <si>
    <t xml:space="preserve">"ušklíbnout-se-002"</t>
  </si>
  <si>
    <t xml:space="preserve">"uškodit-001"</t>
  </si>
  <si>
    <t xml:space="preserve">ACT-&gt;ARG0/39,ARG2/76</t>
  </si>
  <si>
    <t xml:space="preserve">"uškrtit-001"</t>
  </si>
  <si>
    <t xml:space="preserve">"ušlapat-001"</t>
  </si>
  <si>
    <t xml:space="preserve">"ušlapat-002"</t>
  </si>
  <si>
    <t xml:space="preserve">"ušlapávat-001"</t>
  </si>
  <si>
    <t xml:space="preserve">"ušpinit-se-001"</t>
  </si>
  <si>
    <t xml:space="preserve">"uštědřit-001"</t>
  </si>
  <si>
    <t xml:space="preserve">CPHR: {branka,gól,pohlavek,políček,problém,rána,výprask,...}.4</t>
  </si>
  <si>
    <t xml:space="preserve">ACT-&gt;ARG0/3,ARG1/2,ARG2/87,ARG3/5</t>
  </si>
  <si>
    <t xml:space="preserve">CPHR-&gt;ARG1/369</t>
  </si>
  <si>
    <t xml:space="preserve">ADDR-&gt;ARG0/336,ARG1/2,ARG2/3</t>
  </si>
  <si>
    <t xml:space="preserve">"ušít-001"</t>
  </si>
  <si>
    <t xml:space="preserve">"ušít-002"</t>
  </si>
  <si>
    <t xml:space="preserve">DPHR: na-1[míra.S4]</t>
  </si>
  <si>
    <t xml:space="preserve">"ušít-003"</t>
  </si>
  <si>
    <t xml:space="preserve">DPHR: na-1[tělo.4]</t>
  </si>
  <si>
    <t xml:space="preserve">"užasnout-001"</t>
  </si>
  <si>
    <t xml:space="preserve">PAT: nad+7; ↓c</t>
  </si>
  <si>
    <t xml:space="preserve">"uživit-001"</t>
  </si>
  <si>
    <t xml:space="preserve">"uživit-se-001"</t>
  </si>
  <si>
    <t xml:space="preserve">"užírat-001"</t>
  </si>
  <si>
    <t xml:space="preserve">"užírat-se-001"</t>
  </si>
  <si>
    <t xml:space="preserve">"užít-001"</t>
  </si>
  <si>
    <t xml:space="preserve">PAT-&gt;ARG1/626,ARG2/1</t>
  </si>
  <si>
    <t xml:space="preserve">"užít-002"</t>
  </si>
  <si>
    <t xml:space="preserve">"užít-003"</t>
  </si>
  <si>
    <t xml:space="preserve">"užít-004"</t>
  </si>
  <si>
    <t xml:space="preserve">"užít-si-001"</t>
  </si>
  <si>
    <t xml:space="preserve">PAT-&gt;ARG0/1,ARG1/2301</t>
  </si>
  <si>
    <t xml:space="preserve">"užívat-001"</t>
  </si>
  <si>
    <t xml:space="preserve">PAT-&gt;ARG1/661,ARG2/1</t>
  </si>
  <si>
    <t xml:space="preserve">"užívat-002"</t>
  </si>
  <si>
    <t xml:space="preserve">"užívat-003"</t>
  </si>
  <si>
    <t xml:space="preserve">"užívat-004"</t>
  </si>
  <si>
    <t xml:space="preserve">ACT-&gt;ARG0/322,ARG1/1</t>
  </si>
  <si>
    <t xml:space="preserve">"--užívat-005"</t>
  </si>
  <si>
    <t xml:space="preserve">"užívat-si-001"</t>
  </si>
  <si>
    <t xml:space="preserve">"vadit-001"</t>
  </si>
  <si>
    <t xml:space="preserve">ACT: 1; ↓že; ↓když; .f; ↓jak-2; ↓kdyby; ↓c; ↓jestli</t>
  </si>
  <si>
    <t xml:space="preserve">ACT-&gt;ARG0/13,ARG1/14</t>
  </si>
  <si>
    <t xml:space="preserve">ACT-&gt;ARG0/196,ARG1/11,ARG2/83</t>
  </si>
  <si>
    <t xml:space="preserve">PAT-&gt;ARG0/2164,ARG1/3140,ARG2/296</t>
  </si>
  <si>
    <t xml:space="preserve">PAT-&gt;ARG0/9,ARG1/372</t>
  </si>
  <si>
    <t xml:space="preserve">"vadit-002"</t>
  </si>
  <si>
    <t xml:space="preserve">"vadnout-001"</t>
  </si>
  <si>
    <t xml:space="preserve">"valit-001"</t>
  </si>
  <si>
    <t xml:space="preserve">"valit-se-001"</t>
  </si>
  <si>
    <t xml:space="preserve">ACT-&gt;ARG0/11,ARG1/11,ARG2/5</t>
  </si>
  <si>
    <t xml:space="preserve">ACT-&gt;ARG0/11,ARG1/167,ARG2/5</t>
  </si>
  <si>
    <t xml:space="preserve">"valorizovat-001"</t>
  </si>
  <si>
    <t xml:space="preserve">"vandrovat-001"</t>
  </si>
  <si>
    <t xml:space="preserve">"vanout-001"</t>
  </si>
  <si>
    <t xml:space="preserve">"vanout-002"</t>
  </si>
  <si>
    <t xml:space="preserve">"varovat-001"</t>
  </si>
  <si>
    <t xml:space="preserve">ACT-&gt;ARG0/176</t>
  </si>
  <si>
    <t xml:space="preserve">PAT: před+7; ↓že; ↓aby; ↓ať; ↓c; .s</t>
  </si>
  <si>
    <t xml:space="preserve">PAT-&gt;ARG1/114,ARG2/66</t>
  </si>
  <si>
    <t xml:space="preserve">PAT-&gt;ARG1/114,ARG2/61</t>
  </si>
  <si>
    <t xml:space="preserve">ADDR-&gt;ARG1/60,ARG2/28</t>
  </si>
  <si>
    <t xml:space="preserve">ADDR-&gt;ARG1/53,ARG2/28</t>
  </si>
  <si>
    <t xml:space="preserve">"varovat-se-001"</t>
  </si>
  <si>
    <t xml:space="preserve">"vařit-001"</t>
  </si>
  <si>
    <t xml:space="preserve">"vařit-002"</t>
  </si>
  <si>
    <t xml:space="preserve">"vařit-003"</t>
  </si>
  <si>
    <t xml:space="preserve">"vařit-se-001"</t>
  </si>
  <si>
    <t xml:space="preserve">"vařívávat-001"</t>
  </si>
  <si>
    <t xml:space="preserve">"vběhnout-001"</t>
  </si>
  <si>
    <t xml:space="preserve">DIR3-&gt;ARG1/67</t>
  </si>
  <si>
    <t xml:space="preserve">"vcházet-001"</t>
  </si>
  <si>
    <t xml:space="preserve">DIR3-&gt;ARG1/78</t>
  </si>
  <si>
    <t xml:space="preserve">"vcházet-002"</t>
  </si>
  <si>
    <t xml:space="preserve">"vcítit-se-001"</t>
  </si>
  <si>
    <t xml:space="preserve">"vdechnout-001"</t>
  </si>
  <si>
    <t xml:space="preserve">DPHR: život.S4</t>
  </si>
  <si>
    <t xml:space="preserve">DPHR-&gt;ARG2/15</t>
  </si>
  <si>
    <t xml:space="preserve">"vdát-001"</t>
  </si>
  <si>
    <t xml:space="preserve">"vdát-se-001"</t>
  </si>
  <si>
    <t xml:space="preserve">"vdávat-001"</t>
  </si>
  <si>
    <t xml:space="preserve">"vdávat-se-001"</t>
  </si>
  <si>
    <t xml:space="preserve">"vděčit-001"</t>
  </si>
  <si>
    <t xml:space="preserve">PAT-&gt;ARG0/1,ARG1/3131,ARG2/296</t>
  </si>
  <si>
    <t xml:space="preserve">"vecpat-se-001"</t>
  </si>
  <si>
    <t xml:space="preserve">ACT-&gt;ARG0/162,ARG1/261,ARG2/2</t>
  </si>
  <si>
    <t xml:space="preserve">ACT-&gt;ARG0/162,ARG1/265,ARG2/2</t>
  </si>
  <si>
    <t xml:space="preserve">DIR3-&gt;ARG1/147,ARG2/1</t>
  </si>
  <si>
    <t xml:space="preserve">"vecpávat-001"</t>
  </si>
  <si>
    <t xml:space="preserve">"vegetovat-001"</t>
  </si>
  <si>
    <t xml:space="preserve">"vehnat-001"</t>
  </si>
  <si>
    <t xml:space="preserve">"vejít-001"</t>
  </si>
  <si>
    <t xml:space="preserve">"vejít-002"</t>
  </si>
  <si>
    <t xml:space="preserve">"vejít-003"</t>
  </si>
  <si>
    <t xml:space="preserve">ACT: 1; ↓že; ↓zda; ↓jestli; ↓c</t>
  </si>
  <si>
    <t xml:space="preserve">ACT-&gt;ARG0/197,ARG1/505,ARG2/6</t>
  </si>
  <si>
    <t xml:space="preserve">CPHR: v-1[{platnost,povědomí,styk,známost-2,život,...}.4]; do-1[{platnost,povědomí,styk,známost-2,...}.2]</t>
  </si>
  <si>
    <t xml:space="preserve">CPHR-&gt;ARG1/224,ARG2/554</t>
  </si>
  <si>
    <t xml:space="preserve">CPHR-&gt;ARG1/697,ARG2/2,ARG4/1</t>
  </si>
  <si>
    <t xml:space="preserve">"vejít-se-001"</t>
  </si>
  <si>
    <t xml:space="preserve">ACT-&gt;ARG1/5,ARG2/28</t>
  </si>
  <si>
    <t xml:space="preserve">"vejít-se-002"</t>
  </si>
  <si>
    <t xml:space="preserve">"velebit-001"</t>
  </si>
  <si>
    <t xml:space="preserve">"velet-001"</t>
  </si>
  <si>
    <t xml:space="preserve">PAT: 4; .f; ↓že; ↓aby; ↓ať; ↓c; k+3; .s</t>
  </si>
  <si>
    <t xml:space="preserve">"velet-002"</t>
  </si>
  <si>
    <t xml:space="preserve">"ventilovat-001"</t>
  </si>
  <si>
    <t xml:space="preserve">"ventilovat-002"</t>
  </si>
  <si>
    <t xml:space="preserve">"venčit-001"</t>
  </si>
  <si>
    <t xml:space="preserve">"vepsat-001"</t>
  </si>
  <si>
    <t xml:space="preserve">ACT-&gt;ARG0/119,ARG1/2,ARG2/26</t>
  </si>
  <si>
    <t xml:space="preserve">DIR3-&gt;ARG2/11</t>
  </si>
  <si>
    <t xml:space="preserve">"vepsat-se-001"</t>
  </si>
  <si>
    <t xml:space="preserve">"verbovat-001"</t>
  </si>
  <si>
    <t xml:space="preserve">"veselit-se-001"</t>
  </si>
  <si>
    <t xml:space="preserve">"veslovat-001"</t>
  </si>
  <si>
    <t xml:space="preserve">"vestavět-001"</t>
  </si>
  <si>
    <t xml:space="preserve">"vetkat-001"</t>
  </si>
  <si>
    <t xml:space="preserve">"vetknout-001"</t>
  </si>
  <si>
    <t xml:space="preserve">"vetovat-001"</t>
  </si>
  <si>
    <t xml:space="preserve">"vetřít-se-001"</t>
  </si>
  <si>
    <t xml:space="preserve">"večeřet-001"</t>
  </si>
  <si>
    <t xml:space="preserve">"vhazovat-001"</t>
  </si>
  <si>
    <t xml:space="preserve">PAT-&gt;ARG1/284,ARG2/3</t>
  </si>
  <si>
    <t xml:space="preserve">"vhlížet-001"</t>
  </si>
  <si>
    <t xml:space="preserve">"vhodit-001"</t>
  </si>
  <si>
    <t xml:space="preserve">"vhánět-001"</t>
  </si>
  <si>
    <t xml:space="preserve">"vidět-001"</t>
  </si>
  <si>
    <t xml:space="preserve">EFF: v+6; na+6</t>
  </si>
  <si>
    <t xml:space="preserve">EFF-&gt;ARG2/68</t>
  </si>
  <si>
    <t xml:space="preserve">ACT-&gt;ARG0/484,ARG1/1</t>
  </si>
  <si>
    <t xml:space="preserve">PAT-&gt;ARG0/1,ARG1/2866,ARG2/13</t>
  </si>
  <si>
    <t xml:space="preserve">EFF-&gt;ARG0/2154,ARG1/72,ARG2/68</t>
  </si>
  <si>
    <t xml:space="preserve">"vidět-002"</t>
  </si>
  <si>
    <t xml:space="preserve">ACT-&gt;ARG0/452,ARG1/1</t>
  </si>
  <si>
    <t xml:space="preserve">PAT-&gt;ARG1/604,ARG2/1</t>
  </si>
  <si>
    <t xml:space="preserve">EFF-&gt;ARG1/27,ARG2/80</t>
  </si>
  <si>
    <t xml:space="preserve">"vidět-003"</t>
  </si>
  <si>
    <t xml:space="preserve">EFF: .f; ↓že; ↓jak-2; ↓aby</t>
  </si>
  <si>
    <t xml:space="preserve">"vidět-004"</t>
  </si>
  <si>
    <t xml:space="preserve">"vidět-005"</t>
  </si>
  <si>
    <t xml:space="preserve">"vidět-006"</t>
  </si>
  <si>
    <t xml:space="preserve">PAT: 1; 4</t>
  </si>
  <si>
    <t xml:space="preserve">"vidět-007"</t>
  </si>
  <si>
    <t xml:space="preserve">PAT: 4; 2; ↓že; ↓jak-2; ↓jestli; ↓zda; ↓c; ↓aby; na+4; ↓když</t>
  </si>
  <si>
    <t xml:space="preserve">ACT-&gt;ARG0/2814,ARG1/22,ARG2/164</t>
  </si>
  <si>
    <t xml:space="preserve">PAT-&gt;ARG0/1,ARG1/3352,ARG2/21</t>
  </si>
  <si>
    <t xml:space="preserve">"vidět-008"</t>
  </si>
  <si>
    <t xml:space="preserve">"vidět-009"</t>
  </si>
  <si>
    <t xml:space="preserve">ACT-&gt;ARG0/410,ARG1/1</t>
  </si>
  <si>
    <t xml:space="preserve">PAT-&gt;ARG1/557,ARG2/2</t>
  </si>
  <si>
    <t xml:space="preserve">"vidět-010"</t>
  </si>
  <si>
    <t xml:space="preserve">"vidět-011"</t>
  </si>
  <si>
    <t xml:space="preserve">"vidět-012"</t>
  </si>
  <si>
    <t xml:space="preserve">DPHR: na-1[oko:P4[vlastní-1:#]]</t>
  </si>
  <si>
    <t xml:space="preserve">"vidět-013"</t>
  </si>
  <si>
    <t xml:space="preserve">DPHR: na-1[oko.P4[vlastní-1.#]]</t>
  </si>
  <si>
    <t xml:space="preserve">"vidět-014"</t>
  </si>
  <si>
    <t xml:space="preserve">DPHR: z-1[ruka.S2[první.#]]</t>
  </si>
  <si>
    <t xml:space="preserve">"vidět-015"</t>
  </si>
  <si>
    <t xml:space="preserve">"vidět-016"</t>
  </si>
  <si>
    <t xml:space="preserve">"--vidět-017"</t>
  </si>
  <si>
    <t xml:space="preserve">PAT: 1; 4; pro+4</t>
  </si>
  <si>
    <t xml:space="preserve">LOC: 1; 4; na+6; *</t>
  </si>
  <si>
    <t xml:space="preserve">"vidět-se-001"</t>
  </si>
  <si>
    <t xml:space="preserve">"--vidět-se-002"</t>
  </si>
  <si>
    <t xml:space="preserve">"viklat-se-001"</t>
  </si>
  <si>
    <t xml:space="preserve">"vinit-001"</t>
  </si>
  <si>
    <t xml:space="preserve">"vinout-se-001"</t>
  </si>
  <si>
    <t xml:space="preserve">"vinout-se-002"</t>
  </si>
  <si>
    <t xml:space="preserve">"viset-001"</t>
  </si>
  <si>
    <t xml:space="preserve">ACT-&gt;ARG1/414</t>
  </si>
  <si>
    <t xml:space="preserve">"viset-002"</t>
  </si>
  <si>
    <t xml:space="preserve">DPHR: jako[meč.S1[Damokles:#]]</t>
  </si>
  <si>
    <t xml:space="preserve">"viset-003"</t>
  </si>
  <si>
    <t xml:space="preserve">DPHR: otazník.1</t>
  </si>
  <si>
    <t xml:space="preserve">"viset-004"</t>
  </si>
  <si>
    <t xml:space="preserve">LOC-&gt;ARG1/1,ARG2/91</t>
  </si>
  <si>
    <t xml:space="preserve">"viset-005"</t>
  </si>
  <si>
    <t xml:space="preserve">DPHR: na-1[vlásek.S6]</t>
  </si>
  <si>
    <t xml:space="preserve">"viset-006"</t>
  </si>
  <si>
    <t xml:space="preserve">"vjet-001"</t>
  </si>
  <si>
    <t xml:space="preserve">"vjíždět-001"</t>
  </si>
  <si>
    <t xml:space="preserve">"vklouznout-001"</t>
  </si>
  <si>
    <t xml:space="preserve">"vkládat-001"</t>
  </si>
  <si>
    <t xml:space="preserve">ACT-&gt;ARG0/416,ARG3/1</t>
  </si>
  <si>
    <t xml:space="preserve">PAT-&gt;ARG1/342,ARG2/1,ARG3/143</t>
  </si>
  <si>
    <t xml:space="preserve">DIR3-&gt;ARG1/113,ARG3/1</t>
  </si>
  <si>
    <t xml:space="preserve">"vkládat-002"</t>
  </si>
  <si>
    <t xml:space="preserve">ACT-&gt;ARG0/250,ARG1/1</t>
  </si>
  <si>
    <t xml:space="preserve">PAT-&gt;ARG1/22,ARG2/2</t>
  </si>
  <si>
    <t xml:space="preserve">PAT-&gt;ARG1/329,ARG2/3</t>
  </si>
  <si>
    <t xml:space="preserve">"vkročit-001"</t>
  </si>
  <si>
    <t xml:space="preserve">"vkrádat-se-001"</t>
  </si>
  <si>
    <t xml:space="preserve">"vkrást-se-001"</t>
  </si>
  <si>
    <t xml:space="preserve">"vlastnit-001"</t>
  </si>
  <si>
    <t xml:space="preserve">ACT-&gt;ARG0/2825,ARG1/3123,ARG2/296</t>
  </si>
  <si>
    <t xml:space="preserve">PAT-&gt;ARG0/1,ARG1/3077,ARG2/3451</t>
  </si>
  <si>
    <t xml:space="preserve">"vletět-001"</t>
  </si>
  <si>
    <t xml:space="preserve">"vlichotit-se-001"</t>
  </si>
  <si>
    <t xml:space="preserve">"vlnit-se-001"</t>
  </si>
  <si>
    <t xml:space="preserve">"vloupat-se-001"</t>
  </si>
  <si>
    <t xml:space="preserve">"vložit-001"</t>
  </si>
  <si>
    <t xml:space="preserve">ACT-&gt;ARG0/348,ARG1/1,ARG2/1</t>
  </si>
  <si>
    <t xml:space="preserve">PAT-&gt;ARG0/1,ARG1/481,ARG2/22</t>
  </si>
  <si>
    <t xml:space="preserve">DIR3-&gt;ARG0/2,ARG1/14,ARG2/1</t>
  </si>
  <si>
    <t xml:space="preserve">"vložit-002"</t>
  </si>
  <si>
    <t xml:space="preserve">"vložit-se-001"</t>
  </si>
  <si>
    <t xml:space="preserve">"vládnout-001"</t>
  </si>
  <si>
    <t xml:space="preserve">ACT-&gt;ARG0/200,ARG1/3103,ARG2/296</t>
  </si>
  <si>
    <t xml:space="preserve">"vládnout-002"</t>
  </si>
  <si>
    <t xml:space="preserve">"vládnout-003"</t>
  </si>
  <si>
    <t xml:space="preserve">ACT-&gt;ARG0/8,ARG1/522,ARG2/3451</t>
  </si>
  <si>
    <t xml:space="preserve">"vlákat-001"</t>
  </si>
  <si>
    <t xml:space="preserve">PAT-&gt;ARG0/1,ARG1/60,ARG2/5,ARG3/1</t>
  </si>
  <si>
    <t xml:space="preserve">DIR3-&gt;ARG0/2,ARG1/96,ARG2/9,ARG3/2</t>
  </si>
  <si>
    <t xml:space="preserve">"vlát-001"</t>
  </si>
  <si>
    <t xml:space="preserve">"vláčet-001"</t>
  </si>
  <si>
    <t xml:space="preserve">"vléci-001"</t>
  </si>
  <si>
    <t xml:space="preserve">"vléci-se-001"</t>
  </si>
  <si>
    <t xml:space="preserve">ACT-&gt;ARG0/5,ARG1/3</t>
  </si>
  <si>
    <t xml:space="preserve">"vléci-se-002"</t>
  </si>
  <si>
    <t xml:space="preserve">"vlétnout-001"</t>
  </si>
  <si>
    <t xml:space="preserve">"vlétnout-002"</t>
  </si>
  <si>
    <t xml:space="preserve">"vlévat-001"</t>
  </si>
  <si>
    <t xml:space="preserve">"vlévat-se-001"</t>
  </si>
  <si>
    <t xml:space="preserve">"vlézt-001"</t>
  </si>
  <si>
    <t xml:space="preserve">"vlézt-002"</t>
  </si>
  <si>
    <t xml:space="preserve">DPHR: do-1[hlava.S2]</t>
  </si>
  <si>
    <t xml:space="preserve">"vlézt-003"</t>
  </si>
  <si>
    <t xml:space="preserve">DPHR: na-1[záda.P4]</t>
  </si>
  <si>
    <t xml:space="preserve">"vlézt-004"</t>
  </si>
  <si>
    <t xml:space="preserve">"vlít-001"</t>
  </si>
  <si>
    <t xml:space="preserve">"vmanipulovat-001"</t>
  </si>
  <si>
    <t xml:space="preserve">"vmanévrovat-001"</t>
  </si>
  <si>
    <t xml:space="preserve">PAT-&gt;ARG1/487,ARG2/3</t>
  </si>
  <si>
    <t xml:space="preserve">DIR3-&gt;ARG1/19,ARG2/24,ARG3/37</t>
  </si>
  <si>
    <t xml:space="preserve">"vmašírovat-001"</t>
  </si>
  <si>
    <t xml:space="preserve">"vmáčknout-001"</t>
  </si>
  <si>
    <t xml:space="preserve">"vmáčknout-002"</t>
  </si>
  <si>
    <t xml:space="preserve">"vměšovat-se-001"</t>
  </si>
  <si>
    <t xml:space="preserve">"vměšovat-se-002"</t>
  </si>
  <si>
    <t xml:space="preserve">"vniknout-001"</t>
  </si>
  <si>
    <t xml:space="preserve">"vnořit-001"</t>
  </si>
  <si>
    <t xml:space="preserve">"vnucovat-001"</t>
  </si>
  <si>
    <t xml:space="preserve">"vnucovat-se-001"</t>
  </si>
  <si>
    <t xml:space="preserve">"vnutit-001"</t>
  </si>
  <si>
    <t xml:space="preserve">"vnutit-se-001"</t>
  </si>
  <si>
    <t xml:space="preserve">"vnášet-001"</t>
  </si>
  <si>
    <t xml:space="preserve">"vnést-001"</t>
  </si>
  <si>
    <t xml:space="preserve">PAT-&gt;ARG1/328,ARG2/2</t>
  </si>
  <si>
    <t xml:space="preserve">DIR3-&gt;ARG1/1,ARG2/31</t>
  </si>
  <si>
    <t xml:space="preserve">"vnímat-001"</t>
  </si>
  <si>
    <t xml:space="preserve">ACT-&gt;ARG0/572,ARG1/1</t>
  </si>
  <si>
    <t xml:space="preserve">PAT-&gt;ARG0/2,ARG1/741,ARG2/12,ARG3/4</t>
  </si>
  <si>
    <t xml:space="preserve">EFF-&gt;ARG1/98,ARG2/94</t>
  </si>
  <si>
    <t xml:space="preserve">"vnímat-002"</t>
  </si>
  <si>
    <t xml:space="preserve">"vnímat-003"</t>
  </si>
  <si>
    <t xml:space="preserve">"vodit-001"</t>
  </si>
  <si>
    <t xml:space="preserve">"vojákovat-001"</t>
  </si>
  <si>
    <t xml:space="preserve">"volat-001"</t>
  </si>
  <si>
    <t xml:space="preserve">ADDR-&gt;ARG1/33</t>
  </si>
  <si>
    <t xml:space="preserve">"volat-002"</t>
  </si>
  <si>
    <t xml:space="preserve">PAT: 4; ↓že; ↓zda; ↓jestli; ↓aby; .s; ↓c; ↓ať</t>
  </si>
  <si>
    <t xml:space="preserve">"volat-003"</t>
  </si>
  <si>
    <t xml:space="preserve">"volat-004"</t>
  </si>
  <si>
    <t xml:space="preserve">"volat-005"</t>
  </si>
  <si>
    <t xml:space="preserve">"volat-006"</t>
  </si>
  <si>
    <t xml:space="preserve">ACT-&gt;ARG0/578,ARG1/3,ARG2/4</t>
  </si>
  <si>
    <t xml:space="preserve">PAT-&gt;ARG1/270,ARG2/1</t>
  </si>
  <si>
    <t xml:space="preserve">PAT-&gt;ARG1/742,ARG2/81</t>
  </si>
  <si>
    <t xml:space="preserve">"volat-007"</t>
  </si>
  <si>
    <t xml:space="preserve">"volat-008"</t>
  </si>
  <si>
    <t xml:space="preserve">"volat-009"</t>
  </si>
  <si>
    <t xml:space="preserve">"--volat-si-001"</t>
  </si>
  <si>
    <t xml:space="preserve">"volit-001"</t>
  </si>
  <si>
    <t xml:space="preserve">ACT-&gt;ARG0/225,ARG1/78,ARG2/1</t>
  </si>
  <si>
    <t xml:space="preserve">PAT-&gt;ARG1/294,ARG2/7</t>
  </si>
  <si>
    <t xml:space="preserve">"volit-002"</t>
  </si>
  <si>
    <t xml:space="preserve">"volávat-001"</t>
  </si>
  <si>
    <t xml:space="preserve">"vonět-001"</t>
  </si>
  <si>
    <t xml:space="preserve">"vonět-002"</t>
  </si>
  <si>
    <t xml:space="preserve">"voperovat-001"</t>
  </si>
  <si>
    <t xml:space="preserve">"vozit-001"</t>
  </si>
  <si>
    <t xml:space="preserve">"vozit-002"</t>
  </si>
  <si>
    <t xml:space="preserve">"vozit-se-001"</t>
  </si>
  <si>
    <t xml:space="preserve">"vozit-se-002"</t>
  </si>
  <si>
    <t xml:space="preserve">"vozívat-001"</t>
  </si>
  <si>
    <t xml:space="preserve">"vošukat-001"</t>
  </si>
  <si>
    <t xml:space="preserve">"vpadnout-001"</t>
  </si>
  <si>
    <t xml:space="preserve">"vpadnout-002"</t>
  </si>
  <si>
    <t xml:space="preserve">"vpadávat-001"</t>
  </si>
  <si>
    <t xml:space="preserve">"vpašovat-001"</t>
  </si>
  <si>
    <t xml:space="preserve">"vpisovat-001"</t>
  </si>
  <si>
    <t xml:space="preserve">ACT-&gt;ARG0/121,ARG1/2,ARG2/26</t>
  </si>
  <si>
    <t xml:space="preserve">PAT-&gt;ARG1/31,ARG2/8</t>
  </si>
  <si>
    <t xml:space="preserve">PAT-&gt;ARG1/336,ARG2/8</t>
  </si>
  <si>
    <t xml:space="preserve">"vplout-001"</t>
  </si>
  <si>
    <t xml:space="preserve">"vplouvat-001"</t>
  </si>
  <si>
    <t xml:space="preserve">"vplouvat-002"</t>
  </si>
  <si>
    <t xml:space="preserve">"vplynout-001"</t>
  </si>
  <si>
    <t xml:space="preserve">"vplést-001"</t>
  </si>
  <si>
    <t xml:space="preserve">"vplétat-001"</t>
  </si>
  <si>
    <t xml:space="preserve">"vplížit-se-001"</t>
  </si>
  <si>
    <t xml:space="preserve">"vpouštět-001"</t>
  </si>
  <si>
    <t xml:space="preserve">"vpravit-001"</t>
  </si>
  <si>
    <t xml:space="preserve">ACT-&gt;ARG0/162,ARG1/1</t>
  </si>
  <si>
    <t xml:space="preserve">PAT-&gt;ARG1/265,ARG2/3</t>
  </si>
  <si>
    <t xml:space="preserve">"vpravovat-se-001"</t>
  </si>
  <si>
    <t xml:space="preserve">"vpustit-001"</t>
  </si>
  <si>
    <t xml:space="preserve">"vpíjet-se-001"</t>
  </si>
  <si>
    <t xml:space="preserve">"vracet-001"</t>
  </si>
  <si>
    <t xml:space="preserve">"vracet-002"</t>
  </si>
  <si>
    <t xml:space="preserve">EFF: 3; do+2; k+3</t>
  </si>
  <si>
    <t xml:space="preserve">"vracet-003"</t>
  </si>
  <si>
    <t xml:space="preserve">"vracet-se-001"</t>
  </si>
  <si>
    <t xml:space="preserve">"vracet-se-002"</t>
  </si>
  <si>
    <t xml:space="preserve">"vracet-se-003"</t>
  </si>
  <si>
    <t xml:space="preserve">ACT-&gt;ARG0/23,ARG1/127</t>
  </si>
  <si>
    <t xml:space="preserve">DIR3-&gt;ARG5/28</t>
  </si>
  <si>
    <t xml:space="preserve">"vracet-se-004"</t>
  </si>
  <si>
    <t xml:space="preserve">"vracet-se-005"</t>
  </si>
  <si>
    <t xml:space="preserve">DPHR: do-1[forma.S2]</t>
  </si>
  <si>
    <t xml:space="preserve">"vracívat-se-001"</t>
  </si>
  <si>
    <t xml:space="preserve">"vrazit-001"</t>
  </si>
  <si>
    <t xml:space="preserve">"vrazit-002"</t>
  </si>
  <si>
    <t xml:space="preserve">"vrazit-003"</t>
  </si>
  <si>
    <t xml:space="preserve">DPHR: nůž.S4,do-1[záda.P2]</t>
  </si>
  <si>
    <t xml:space="preserve">"vrazit-004"</t>
  </si>
  <si>
    <t xml:space="preserve">"vrazit-005"</t>
  </si>
  <si>
    <t xml:space="preserve">"vraštit-001"</t>
  </si>
  <si>
    <t xml:space="preserve">"vraždit-001"</t>
  </si>
  <si>
    <t xml:space="preserve">"vrcholit-001"</t>
  </si>
  <si>
    <t xml:space="preserve">"vrhat-001"</t>
  </si>
  <si>
    <t xml:space="preserve">"vrhat-002"</t>
  </si>
  <si>
    <t xml:space="preserve">"vrhat-003"</t>
  </si>
  <si>
    <t xml:space="preserve">"vrhat-004"</t>
  </si>
  <si>
    <t xml:space="preserve">"vrhat-005"</t>
  </si>
  <si>
    <t xml:space="preserve">CPHR: {dojem,podezření,pochyby,stín,světlo,...}.4</t>
  </si>
  <si>
    <t xml:space="preserve">DIR3-&gt;ARG2/21</t>
  </si>
  <si>
    <t xml:space="preserve">ACT-&gt;ARG0/345,ARG1/5,ARG2/38</t>
  </si>
  <si>
    <t xml:space="preserve">DIR3-&gt;ARG1/477,ARG2/17</t>
  </si>
  <si>
    <t xml:space="preserve">"vrhat-006"</t>
  </si>
  <si>
    <t xml:space="preserve">"vrhat-se-001"</t>
  </si>
  <si>
    <t xml:space="preserve">"vrhat-se-002"</t>
  </si>
  <si>
    <t xml:space="preserve">"--vrhat-se-003"</t>
  </si>
  <si>
    <t xml:space="preserve">"--vrhat-se-004"</t>
  </si>
  <si>
    <t xml:space="preserve">"vrhnout-001"</t>
  </si>
  <si>
    <t xml:space="preserve">"vrhnout-002"</t>
  </si>
  <si>
    <t xml:space="preserve">"vrhnout-003"</t>
  </si>
  <si>
    <t xml:space="preserve">CPHR: {podezření,stín,světlo,...}.4</t>
  </si>
  <si>
    <t xml:space="preserve">"vrhnout-se-001"</t>
  </si>
  <si>
    <t xml:space="preserve">ACT-&gt;ARG0/494,ARG1/228,ARG2/5</t>
  </si>
  <si>
    <t xml:space="preserve">PAT-&gt;ARG1/7,ARG2/11</t>
  </si>
  <si>
    <t xml:space="preserve">PAT-&gt;ARG1/572,ARG2/12</t>
  </si>
  <si>
    <t xml:space="preserve">"vrhnout-se-002"</t>
  </si>
  <si>
    <t xml:space="preserve">ACT-&gt;ARG0/13,ARG1/26</t>
  </si>
  <si>
    <t xml:space="preserve">"vrhnout-se-003"</t>
  </si>
  <si>
    <t xml:space="preserve">"vrnět-001"</t>
  </si>
  <si>
    <t xml:space="preserve">"vrnět-se-001"</t>
  </si>
  <si>
    <t xml:space="preserve">"vrtat-001"</t>
  </si>
  <si>
    <t xml:space="preserve">PAT-&gt;ARG1/4,ARG4/5</t>
  </si>
  <si>
    <t xml:space="preserve">"vrtat-002"</t>
  </si>
  <si>
    <t xml:space="preserve">"vrtat-003"</t>
  </si>
  <si>
    <t xml:space="preserve">"vrtat-se-001"</t>
  </si>
  <si>
    <t xml:space="preserve">"vrtat-se-002"</t>
  </si>
  <si>
    <t xml:space="preserve">"vrtět-001"</t>
  </si>
  <si>
    <t xml:space="preserve">"vrtět-se-001"</t>
  </si>
  <si>
    <t xml:space="preserve">"vrzat-001"</t>
  </si>
  <si>
    <t xml:space="preserve">"vrátit-001"</t>
  </si>
  <si>
    <t xml:space="preserve">PAT-&gt;ARG1/109,ARG2/1,ARG3/6</t>
  </si>
  <si>
    <t xml:space="preserve">ADDR-&gt;ARG1/11,ARG2/23</t>
  </si>
  <si>
    <t xml:space="preserve">"vrátit-002"</t>
  </si>
  <si>
    <t xml:space="preserve">EFF: 3; do+2; k+3; na+4</t>
  </si>
  <si>
    <t xml:space="preserve">ACT-&gt;ARG0/86,ARG1/20</t>
  </si>
  <si>
    <t xml:space="preserve">"vrátit-003"</t>
  </si>
  <si>
    <t xml:space="preserve">"vrátit-004"</t>
  </si>
  <si>
    <t xml:space="preserve">ACT-&gt;ARG0/225</t>
  </si>
  <si>
    <t xml:space="preserve">PAT-&gt;ARG1/375,ARG2/2</t>
  </si>
  <si>
    <t xml:space="preserve">PAT-&gt;ARG0/1,ARG1/432,ARG2/3</t>
  </si>
  <si>
    <t xml:space="preserve">DIR3-&gt;ARG1/1,ARG2/78</t>
  </si>
  <si>
    <t xml:space="preserve">DIR3-&gt;ARG1/1,ARG2/25</t>
  </si>
  <si>
    <t xml:space="preserve">"vrátit-005"</t>
  </si>
  <si>
    <t xml:space="preserve">DPHR: do-1[hra.S2]</t>
  </si>
  <si>
    <t xml:space="preserve">DPHR-&gt;ARG1/19,ARG2/22,ARG3/37</t>
  </si>
  <si>
    <t xml:space="preserve">"vrátit-006"</t>
  </si>
  <si>
    <t xml:space="preserve">"vrátit-se-001"</t>
  </si>
  <si>
    <t xml:space="preserve">ACT-&gt;ARG1/154,ARG2/1</t>
  </si>
  <si>
    <t xml:space="preserve">PAT-&gt;ARG0/12,ARG2/49</t>
  </si>
  <si>
    <t xml:space="preserve">"vrátit-se-002"</t>
  </si>
  <si>
    <t xml:space="preserve">ACT-&gt;ARG0/52,ARG1/176</t>
  </si>
  <si>
    <t xml:space="preserve">PAT-&gt;ARG1/94,ARG2/1</t>
  </si>
  <si>
    <t xml:space="preserve">"vrátit-se-003"</t>
  </si>
  <si>
    <t xml:space="preserve">ACT-&gt;ARG0/50,ARG1/95</t>
  </si>
  <si>
    <t xml:space="preserve">DIR3-&gt;ARG1/68</t>
  </si>
  <si>
    <t xml:space="preserve">"vrátit-se-004"</t>
  </si>
  <si>
    <t xml:space="preserve">ACT-&gt;ARG0/7,ARG1/282</t>
  </si>
  <si>
    <t xml:space="preserve">DIR3-&gt;ARG1/8,ARG2/7,ARGm-LOC/1</t>
  </si>
  <si>
    <t xml:space="preserve">"vrátit-se-005"</t>
  </si>
  <si>
    <t xml:space="preserve">"vrátit-se-006"</t>
  </si>
  <si>
    <t xml:space="preserve">?EFF: z+2</t>
  </si>
  <si>
    <t xml:space="preserve">"vrávorat-001"</t>
  </si>
  <si>
    <t xml:space="preserve">"vrážet-001"</t>
  </si>
  <si>
    <t xml:space="preserve">"vrýt-se-001"</t>
  </si>
  <si>
    <t xml:space="preserve">"vrčet-001"</t>
  </si>
  <si>
    <t xml:space="preserve">"vrčet-002"</t>
  </si>
  <si>
    <t xml:space="preserve">"vrčet-003"</t>
  </si>
  <si>
    <t xml:space="preserve">"vršit-001"</t>
  </si>
  <si>
    <t xml:space="preserve">"vršit-se-001"</t>
  </si>
  <si>
    <t xml:space="preserve">"vsadit-001"</t>
  </si>
  <si>
    <t xml:space="preserve">PAT-&gt;ARG0/2,ARG1/14</t>
  </si>
  <si>
    <t xml:space="preserve">"vsadit-002"</t>
  </si>
  <si>
    <t xml:space="preserve">PAT-&gt;ARG1/9,ARG2/22</t>
  </si>
  <si>
    <t xml:space="preserve">"vsadit-003"</t>
  </si>
  <si>
    <t xml:space="preserve">"vsadit-se-001"</t>
  </si>
  <si>
    <t xml:space="preserve">EFF: o-1.4[ten.4[že[.v]]]; o-1.4[ten.4[.c]]; ↓že</t>
  </si>
  <si>
    <t xml:space="preserve">EFF-&gt;ARG1/1,ARG2/24</t>
  </si>
  <si>
    <t xml:space="preserve">"vstoupit-001"</t>
  </si>
  <si>
    <t xml:space="preserve">"vstoupit-002"</t>
  </si>
  <si>
    <t xml:space="preserve">"vstoupit-003"</t>
  </si>
  <si>
    <t xml:space="preserve">ACT-&gt;ARG0/243,ARG1/542,ARG2/3</t>
  </si>
  <si>
    <t xml:space="preserve">ACT-&gt;ARG0/164,ARG1/259</t>
  </si>
  <si>
    <t xml:space="preserve">ACT-&gt;ARG0/164,ARG1/263</t>
  </si>
  <si>
    <t xml:space="preserve">DIR3-&gt;ARG1/282,ARG2/341</t>
  </si>
  <si>
    <t xml:space="preserve">"vstoupit-004"</t>
  </si>
  <si>
    <t xml:space="preserve">ACT-&gt;ARG0/176,ARG1/151</t>
  </si>
  <si>
    <t xml:space="preserve">DIR3-&gt;ARG1/219</t>
  </si>
  <si>
    <t xml:space="preserve">"vstoupit-005"</t>
  </si>
  <si>
    <t xml:space="preserve">ACT-&gt;ARG0/207,ARG1/3641,ARG2/303</t>
  </si>
  <si>
    <t xml:space="preserve">CPHR: v-1[{platnost,známost-2,...}.4]</t>
  </si>
  <si>
    <t xml:space="preserve">CPHR-&gt;ARG1/352,ARG2/4016</t>
  </si>
  <si>
    <t xml:space="preserve">"vstupovat-001"</t>
  </si>
  <si>
    <t xml:space="preserve">"vstupovat-002"</t>
  </si>
  <si>
    <t xml:space="preserve">ACT-&gt;ARG0/76,ARG1/80</t>
  </si>
  <si>
    <t xml:space="preserve">DIR3-&gt;ARG1/80</t>
  </si>
  <si>
    <t xml:space="preserve">"vstupovat-003"</t>
  </si>
  <si>
    <t xml:space="preserve">ACT-&gt;ARG0/71,ARG1/93</t>
  </si>
  <si>
    <t xml:space="preserve">ACT-&gt;ARG0/210,ARG1/281</t>
  </si>
  <si>
    <t xml:space="preserve">ACT-&gt;ARG0/210,ARG1/288</t>
  </si>
  <si>
    <t xml:space="preserve">DIR3-&gt;ARG1/78,ARG2/18</t>
  </si>
  <si>
    <t xml:space="preserve">DIR3-&gt;ARG1/213</t>
  </si>
  <si>
    <t xml:space="preserve">"vstupovat-004"</t>
  </si>
  <si>
    <t xml:space="preserve">"vstupovat-005"</t>
  </si>
  <si>
    <t xml:space="preserve">"vstát-001"</t>
  </si>
  <si>
    <t xml:space="preserve">ACT-&gt;ARG1/21</t>
  </si>
  <si>
    <t xml:space="preserve">"vstát-002"</t>
  </si>
  <si>
    <t xml:space="preserve">"vstávat-001"</t>
  </si>
  <si>
    <t xml:space="preserve">"vstávat-002"</t>
  </si>
  <si>
    <t xml:space="preserve">"vstávat-003"</t>
  </si>
  <si>
    <t xml:space="preserve">DPHR: vlas.P1[na-1[hlava.S6]],hrůza.S7</t>
  </si>
  <si>
    <t xml:space="preserve">"vstřebat-001"</t>
  </si>
  <si>
    <t xml:space="preserve">"vstřebávat-001"</t>
  </si>
  <si>
    <t xml:space="preserve">"vstřelit-001"</t>
  </si>
  <si>
    <t xml:space="preserve">"vstřikovat-001"</t>
  </si>
  <si>
    <t xml:space="preserve">"vstříknout-001"</t>
  </si>
  <si>
    <t xml:space="preserve">"vsunout-001"</t>
  </si>
  <si>
    <t xml:space="preserve">"vsázet-001"</t>
  </si>
  <si>
    <t xml:space="preserve">"vsázet-se-001"</t>
  </si>
  <si>
    <t xml:space="preserve">"vsítit-001"</t>
  </si>
  <si>
    <t xml:space="preserve">"vtahovat-001"</t>
  </si>
  <si>
    <t xml:space="preserve">"vtahovat-002"</t>
  </si>
  <si>
    <t xml:space="preserve">"vtipkovat-001"</t>
  </si>
  <si>
    <t xml:space="preserve">?PAT: o+6; ↓že; .s</t>
  </si>
  <si>
    <t xml:space="preserve">"vtisknout-001"</t>
  </si>
  <si>
    <t xml:space="preserve">ADDR-&gt;ARG0/1,ARG1/54,ARG2/6</t>
  </si>
  <si>
    <t xml:space="preserve">"vtisknout-002"</t>
  </si>
  <si>
    <t xml:space="preserve">"vtiskovat-001"</t>
  </si>
  <si>
    <t xml:space="preserve">"vtiskovat-002"</t>
  </si>
  <si>
    <t xml:space="preserve">"vtlačit-001"</t>
  </si>
  <si>
    <t xml:space="preserve">"vtlačovat-001"</t>
  </si>
  <si>
    <t xml:space="preserve">"vtrhnout-001"</t>
  </si>
  <si>
    <t xml:space="preserve">ACT-&gt;ARG0/15,ARG1/17</t>
  </si>
  <si>
    <t xml:space="preserve">"vtrhávat-001"</t>
  </si>
  <si>
    <t xml:space="preserve">"vtáhnout-001"</t>
  </si>
  <si>
    <t xml:space="preserve">"vtáhnout-002"</t>
  </si>
  <si>
    <t xml:space="preserve">"vtírat-se-001"</t>
  </si>
  <si>
    <t xml:space="preserve">"vtělit-001"</t>
  </si>
  <si>
    <t xml:space="preserve">ACT-&gt;ARG0/106,ARG1/2,ARG2/26</t>
  </si>
  <si>
    <t xml:space="preserve">PAT-&gt;ARG1/305</t>
  </si>
  <si>
    <t xml:space="preserve">"vtěsnat-001"</t>
  </si>
  <si>
    <t xml:space="preserve">"vtěsnat-se-001"</t>
  </si>
  <si>
    <t xml:space="preserve">"vybalancovat-001"</t>
  </si>
  <si>
    <t xml:space="preserve">ACT-&gt;ARG0/36,ARG2/66</t>
  </si>
  <si>
    <t xml:space="preserve">"vybalit-001"</t>
  </si>
  <si>
    <t xml:space="preserve">"vybalovat-001"</t>
  </si>
  <si>
    <t xml:space="preserve">"vybalovat-002"</t>
  </si>
  <si>
    <t xml:space="preserve">"vybarvit-001"</t>
  </si>
  <si>
    <t xml:space="preserve">"vybarvovat-se-001"</t>
  </si>
  <si>
    <t xml:space="preserve">"vybavit-001"</t>
  </si>
  <si>
    <t xml:space="preserve">ACT-&gt;ARG0/133,ARG1/2,ARG3/1</t>
  </si>
  <si>
    <t xml:space="preserve">PAT-&gt;ARG1/368,ARG2/3</t>
  </si>
  <si>
    <t xml:space="preserve">"vybavit-se-001"</t>
  </si>
  <si>
    <t xml:space="preserve">ACT-&gt;ARG0/17,ARG1/114</t>
  </si>
  <si>
    <t xml:space="preserve">PAT-&gt;ARG0/95,ARG1/25</t>
  </si>
  <si>
    <t xml:space="preserve">"vybavit-si-001"</t>
  </si>
  <si>
    <t xml:space="preserve">"vybavovat-001"</t>
  </si>
  <si>
    <t xml:space="preserve">"vybavovat-se-001"</t>
  </si>
  <si>
    <t xml:space="preserve">"vybavovat-se-002"</t>
  </si>
  <si>
    <t xml:space="preserve">"vybavovat-si-001"</t>
  </si>
  <si>
    <t xml:space="preserve">"vybičovat-001"</t>
  </si>
  <si>
    <t xml:space="preserve">CPHR: {zájem}.4</t>
  </si>
  <si>
    <t xml:space="preserve">"--vybičovat-002"</t>
  </si>
  <si>
    <t xml:space="preserve">"vyblednout-001"</t>
  </si>
  <si>
    <t xml:space="preserve">"vybojovat-001"</t>
  </si>
  <si>
    <t xml:space="preserve">?ADDR: s+7; proti+3; nad+7</t>
  </si>
  <si>
    <t xml:space="preserve">ADDR-&gt;ARG1/1,ARG2/1,ARG3/6</t>
  </si>
  <si>
    <t xml:space="preserve">"vybojovat-002"</t>
  </si>
  <si>
    <t xml:space="preserve">ORIG-&gt;ARG1/1,ARG2/1,ARG3/6</t>
  </si>
  <si>
    <t xml:space="preserve">"vybombardovat-001"</t>
  </si>
  <si>
    <t xml:space="preserve">"vybouchnout-001"</t>
  </si>
  <si>
    <t xml:space="preserve">"vybouchnout-002"</t>
  </si>
  <si>
    <t xml:space="preserve">"--vybouchnout-003"</t>
  </si>
  <si>
    <t xml:space="preserve">"vyboulit-se-001"</t>
  </si>
  <si>
    <t xml:space="preserve">"vybourat-001"</t>
  </si>
  <si>
    <t xml:space="preserve">"vybourat-002"</t>
  </si>
  <si>
    <t xml:space="preserve">"vybourat-se-001"</t>
  </si>
  <si>
    <t xml:space="preserve">"vybourávat-001"</t>
  </si>
  <si>
    <t xml:space="preserve">"vybouřit-se-001"</t>
  </si>
  <si>
    <t xml:space="preserve">"vyboxovat-001"</t>
  </si>
  <si>
    <t xml:space="preserve">"vybočit-001"</t>
  </si>
  <si>
    <t xml:space="preserve">"vybočovat-001"</t>
  </si>
  <si>
    <t xml:space="preserve">"vybrakovat-001"</t>
  </si>
  <si>
    <t xml:space="preserve">"vybrat-001"</t>
  </si>
  <si>
    <t xml:space="preserve">ACT-&gt;ARG0/225,ARG1/1</t>
  </si>
  <si>
    <t xml:space="preserve">PAT-&gt;ARG1/400,ARG2/2,ARG3/1</t>
  </si>
  <si>
    <t xml:space="preserve">ORIG-&gt;ARG1/1,ARG2/16</t>
  </si>
  <si>
    <t xml:space="preserve">"vybrat-002"</t>
  </si>
  <si>
    <t xml:space="preserve">PAT-&gt;ARG1/156</t>
  </si>
  <si>
    <t xml:space="preserve">ORIG-&gt;ARG1/1,ARG2/17</t>
  </si>
  <si>
    <t xml:space="preserve">"vybrat-003"</t>
  </si>
  <si>
    <t xml:space="preserve">ACT-&gt;ARG0/380,ARG1/2</t>
  </si>
  <si>
    <t xml:space="preserve">PAT-&gt;ARG1/440</t>
  </si>
  <si>
    <t xml:space="preserve">DIR1-&gt;ARG1/2,ARG2/87,ARG3/5</t>
  </si>
  <si>
    <t xml:space="preserve">"vybrat-004"</t>
  </si>
  <si>
    <t xml:space="preserve">"vybrat-005"</t>
  </si>
  <si>
    <t xml:space="preserve">"vybrousit-001"</t>
  </si>
  <si>
    <t xml:space="preserve">"vybrousit-002"</t>
  </si>
  <si>
    <t xml:space="preserve">"vybruslit-001"</t>
  </si>
  <si>
    <t xml:space="preserve">"vybrušovat-001"</t>
  </si>
  <si>
    <t xml:space="preserve">"vybuchnout-001"</t>
  </si>
  <si>
    <t xml:space="preserve">ACT-&gt;ARG1/64,ARG2/1</t>
  </si>
  <si>
    <t xml:space="preserve">"vybuchnout-002"</t>
  </si>
  <si>
    <t xml:space="preserve">"vybuchnout-003"</t>
  </si>
  <si>
    <t xml:space="preserve">?PAT: v+4; 7</t>
  </si>
  <si>
    <t xml:space="preserve">"vybuchovat-001"</t>
  </si>
  <si>
    <t xml:space="preserve">"vybudit-001"</t>
  </si>
  <si>
    <t xml:space="preserve">"vybudovat-001"</t>
  </si>
  <si>
    <t xml:space="preserve">ACT-&gt;ARG0/239,ARG1/1</t>
  </si>
  <si>
    <t xml:space="preserve">ACT-&gt;ARG0/270,ARG1/1</t>
  </si>
  <si>
    <t xml:space="preserve">PAT-&gt;ARG1/478</t>
  </si>
  <si>
    <t xml:space="preserve">ORIG-&gt;ARG2/206</t>
  </si>
  <si>
    <t xml:space="preserve">"vybudovat-002"</t>
  </si>
  <si>
    <t xml:space="preserve">ACT-&gt;ARG0/411,ARG1/1</t>
  </si>
  <si>
    <t xml:space="preserve">ACT-&gt;ARG0/1535,ARG1/10,ARG2/3</t>
  </si>
  <si>
    <t xml:space="preserve">PAT-&gt;ARG1/742,ARG2/2</t>
  </si>
  <si>
    <t xml:space="preserve">PAT-&gt;ARG1/2529,ARG2/2,ARG3/1,ARG4/5</t>
  </si>
  <si>
    <t xml:space="preserve">ORIG-&gt;ARG1/2,ARG2/62</t>
  </si>
  <si>
    <t xml:space="preserve">"vybujet-001"</t>
  </si>
  <si>
    <t xml:space="preserve">"vyburcovat-001"</t>
  </si>
  <si>
    <t xml:space="preserve">PAT-&gt;ARG0/1,ARG1/625,ARG2/13</t>
  </si>
  <si>
    <t xml:space="preserve">PAT-&gt;ARG0/1,ARG1/624,ARG2/13</t>
  </si>
  <si>
    <t xml:space="preserve">EFF-&gt;ARG1/298,ARG2/291</t>
  </si>
  <si>
    <t xml:space="preserve">EFF-&gt;ARG1/298,ARG2/290</t>
  </si>
  <si>
    <t xml:space="preserve">"vybídnout-001"</t>
  </si>
  <si>
    <t xml:space="preserve">PAT-&gt;ARG2/75</t>
  </si>
  <si>
    <t xml:space="preserve">ADDR-&gt;ARG1/67,ARG2/2</t>
  </si>
  <si>
    <t xml:space="preserve">"vybíhat-001"</t>
  </si>
  <si>
    <t xml:space="preserve">"vybíhat-002"</t>
  </si>
  <si>
    <t xml:space="preserve">"vybíhat-003"</t>
  </si>
  <si>
    <t xml:space="preserve">"vybíjet-001"</t>
  </si>
  <si>
    <t xml:space="preserve">"vybíjet-002"</t>
  </si>
  <si>
    <t xml:space="preserve">"vybílit-001"</t>
  </si>
  <si>
    <t xml:space="preserve">"vybírat-001"</t>
  </si>
  <si>
    <t xml:space="preserve">ACT-&gt;ARG0/231,ARG1/2</t>
  </si>
  <si>
    <t xml:space="preserve">PAT-&gt;ARG1/91,ARG3/1</t>
  </si>
  <si>
    <t xml:space="preserve">ORIG-&gt;ARG1/196,ARG2/3</t>
  </si>
  <si>
    <t xml:space="preserve">PAT-&gt;ARG1/149,ARG3/1</t>
  </si>
  <si>
    <t xml:space="preserve">ORIG-&gt;ARG1/1,ARG2/15</t>
  </si>
  <si>
    <t xml:space="preserve">"vybírat-002"</t>
  </si>
  <si>
    <t xml:space="preserve">"vybírat-003"</t>
  </si>
  <si>
    <t xml:space="preserve">"vybít-001"</t>
  </si>
  <si>
    <t xml:space="preserve">"vybít-002"</t>
  </si>
  <si>
    <t xml:space="preserve">"vybízet-001"</t>
  </si>
  <si>
    <t xml:space="preserve">ACT-&gt;ARG0/99,ARG1/1</t>
  </si>
  <si>
    <t xml:space="preserve">PAT-&gt;ARG1/1,ARG2/130</t>
  </si>
  <si>
    <t xml:space="preserve">ADDR-&gt;ARG1/100,ARG2/4</t>
  </si>
  <si>
    <t xml:space="preserve">"vybýt-001"</t>
  </si>
  <si>
    <t xml:space="preserve">"vyběhat-001"</t>
  </si>
  <si>
    <t xml:space="preserve">"vyběhat-002"</t>
  </si>
  <si>
    <t xml:space="preserve">"vyběhnout-001"</t>
  </si>
  <si>
    <t xml:space="preserve">"vyběhnout-002"</t>
  </si>
  <si>
    <t xml:space="preserve">"vyběhnout-003"</t>
  </si>
  <si>
    <t xml:space="preserve">"vycachtat-se-001"</t>
  </si>
  <si>
    <t xml:space="preserve">"vycementovat-001"</t>
  </si>
  <si>
    <t xml:space="preserve">"vycestovat-001"</t>
  </si>
  <si>
    <t xml:space="preserve">"vychladit-001"</t>
  </si>
  <si>
    <t xml:space="preserve">"vychladnout-001"</t>
  </si>
  <si>
    <t xml:space="preserve">"vychladnout-002"</t>
  </si>
  <si>
    <t xml:space="preserve">"vychloubat-se-001"</t>
  </si>
  <si>
    <t xml:space="preserve">"vychodit-001"</t>
  </si>
  <si>
    <t xml:space="preserve">"vychovat-001"</t>
  </si>
  <si>
    <t xml:space="preserve">"vychovat-002"</t>
  </si>
  <si>
    <t xml:space="preserve">"vychovávat-001"</t>
  </si>
  <si>
    <t xml:space="preserve">"vychovávat-002"</t>
  </si>
  <si>
    <t xml:space="preserve">"vychrlit-001"</t>
  </si>
  <si>
    <t xml:space="preserve">"vychrlit-002"</t>
  </si>
  <si>
    <t xml:space="preserve">"vychutnat-001"</t>
  </si>
  <si>
    <t xml:space="preserve">"vychutnat-si-001"</t>
  </si>
  <si>
    <t xml:space="preserve">"vychutnávat-si-001"</t>
  </si>
  <si>
    <t xml:space="preserve">"vychutnávat-si-002"</t>
  </si>
  <si>
    <t xml:space="preserve">"vychvalovat-001"</t>
  </si>
  <si>
    <t xml:space="preserve">"vychylovat-se-001"</t>
  </si>
  <si>
    <t xml:space="preserve">"vychytat-001"</t>
  </si>
  <si>
    <t xml:space="preserve">"vychytat-002"</t>
  </si>
  <si>
    <t xml:space="preserve">"vycházet-001"</t>
  </si>
  <si>
    <t xml:space="preserve">PAT: 4[{jako,jakožto}:/AuxY]; .a4[{jako,jakožto}:/AuxY]</t>
  </si>
  <si>
    <t xml:space="preserve">"vycházet-002"</t>
  </si>
  <si>
    <t xml:space="preserve">"vycházet-003"</t>
  </si>
  <si>
    <t xml:space="preserve">PAT-&gt;ARG0/3,ARG1/52,ARG2/541,ARG3/5</t>
  </si>
  <si>
    <t xml:space="preserve">"vycházet-004"</t>
  </si>
  <si>
    <t xml:space="preserve">"vycházet-005"</t>
  </si>
  <si>
    <t xml:space="preserve">"vycházet-006"</t>
  </si>
  <si>
    <t xml:space="preserve">PAT-&gt;ARG2/76</t>
  </si>
  <si>
    <t xml:space="preserve">"vycházet-007"</t>
  </si>
  <si>
    <t xml:space="preserve">ACT-&gt;ARG0/81,ARG1/216,ARG2/22</t>
  </si>
  <si>
    <t xml:space="preserve">PAT-&gt;ARG1/110,ARG2/353</t>
  </si>
  <si>
    <t xml:space="preserve">"vycházet-008"</t>
  </si>
  <si>
    <t xml:space="preserve">"vycházet-009"</t>
  </si>
  <si>
    <t xml:space="preserve">"vycházet-010"</t>
  </si>
  <si>
    <t xml:space="preserve">"vycházet-011"</t>
  </si>
  <si>
    <t xml:space="preserve">"vycházet-012"</t>
  </si>
  <si>
    <t xml:space="preserve">EXT: na+4; 4</t>
  </si>
  <si>
    <t xml:space="preserve">EXT-&gt;ARG2/136</t>
  </si>
  <si>
    <t xml:space="preserve">"vycházet-013"</t>
  </si>
  <si>
    <t xml:space="preserve">"vycházet-014"</t>
  </si>
  <si>
    <t xml:space="preserve">"vycházet-015"</t>
  </si>
  <si>
    <t xml:space="preserve">"vycházet-016"</t>
  </si>
  <si>
    <t xml:space="preserve">DPHR: vstříc</t>
  </si>
  <si>
    <t xml:space="preserve">"vycházet-017"</t>
  </si>
  <si>
    <t xml:space="preserve">"vycházet-018"</t>
  </si>
  <si>
    <t xml:space="preserve">PAT: ↓.1,aby</t>
  </si>
  <si>
    <t xml:space="preserve">"vycházet-019"</t>
  </si>
  <si>
    <t xml:space="preserve">"vycházet-020"</t>
  </si>
  <si>
    <t xml:space="preserve">PAT: 4; z+2</t>
  </si>
  <si>
    <t xml:space="preserve">"vychýlit-001"</t>
  </si>
  <si>
    <t xml:space="preserve">"vychýlit-se-001"</t>
  </si>
  <si>
    <t xml:space="preserve">"vycouvat-001"</t>
  </si>
  <si>
    <t xml:space="preserve">ACT-&gt;ARG0/27,ARG1/15</t>
  </si>
  <si>
    <t xml:space="preserve">DIR1-&gt;ARG1/141,ARG2/1</t>
  </si>
  <si>
    <t xml:space="preserve">"vycouvat-002"</t>
  </si>
  <si>
    <t xml:space="preserve">"vycucat-001"</t>
  </si>
  <si>
    <t xml:space="preserve">"vycucat-002"</t>
  </si>
  <si>
    <t xml:space="preserve">"vycucat-si-001"</t>
  </si>
  <si>
    <t xml:space="preserve">DPHR: z-1[prst.S2]</t>
  </si>
  <si>
    <t xml:space="preserve">"vycucávat-001"</t>
  </si>
  <si>
    <t xml:space="preserve">"vycvičit-001"</t>
  </si>
  <si>
    <t xml:space="preserve">"vycítit-001"</t>
  </si>
  <si>
    <t xml:space="preserve">ACT-&gt;ARG0/93,ARG1/1</t>
  </si>
  <si>
    <t xml:space="preserve">PAT-&gt;ARG1/84,ARG2/1</t>
  </si>
  <si>
    <t xml:space="preserve">"vycítit-002"</t>
  </si>
  <si>
    <t xml:space="preserve">"vydat-001"</t>
  </si>
  <si>
    <t xml:space="preserve">"vydat-002"</t>
  </si>
  <si>
    <t xml:space="preserve">ACT-&gt;ARG0/223,ARG2/1</t>
  </si>
  <si>
    <t xml:space="preserve">PAT-&gt;ARG0/1,ARG1/277,ARG2/35</t>
  </si>
  <si>
    <t xml:space="preserve">ADDR-&gt;ARG1/4,ARG2/44,ARG3/7</t>
  </si>
  <si>
    <t xml:space="preserve">"vydat-003"</t>
  </si>
  <si>
    <t xml:space="preserve">"vydat-004"</t>
  </si>
  <si>
    <t xml:space="preserve">ACT-&gt;ARG0/596,ARG1/1,ARG2/1,ARG3/1</t>
  </si>
  <si>
    <t xml:space="preserve">PAT-&gt;ARG1/845,ARG2/1,ARG3/143</t>
  </si>
  <si>
    <t xml:space="preserve">EFF-&gt;ARG0/1,ARG1/5,ARG2/318</t>
  </si>
  <si>
    <t xml:space="preserve">"vydat-005"</t>
  </si>
  <si>
    <t xml:space="preserve">"vydat-006"</t>
  </si>
  <si>
    <t xml:space="preserve">ACT-&gt;ARG0/656,ARG2/1</t>
  </si>
  <si>
    <t xml:space="preserve">PAT-&gt;ARG0/1,ARG1/1321,ARG2/1</t>
  </si>
  <si>
    <t xml:space="preserve">"vydat-007"</t>
  </si>
  <si>
    <t xml:space="preserve">ACT-&gt;ARG0/194,ARG1/4</t>
  </si>
  <si>
    <t xml:space="preserve">PAT-&gt;ARG1/279</t>
  </si>
  <si>
    <t xml:space="preserve">"vydat-008"</t>
  </si>
  <si>
    <t xml:space="preserve">"vydat-009"</t>
  </si>
  <si>
    <t xml:space="preserve">"vydat-010"</t>
  </si>
  <si>
    <t xml:space="preserve">ACT-&gt;ARG0/231,ARG2/1,ARG3/1</t>
  </si>
  <si>
    <t xml:space="preserve">EXT-&gt;ARG1/154,ARG3/143</t>
  </si>
  <si>
    <t xml:space="preserve">PAT-&gt;ARG1/112,ARG2/2,ARG3/1</t>
  </si>
  <si>
    <t xml:space="preserve">"vydat-011"</t>
  </si>
  <si>
    <t xml:space="preserve">CPHR: {doporučení,instrukce,opatření,oznámení,pokárání,pokyn,požadavek,právo,prohlášení,příkaz,rozhodnutí,rozkaz,signál,souhlas,zákaz,...}.4</t>
  </si>
  <si>
    <t xml:space="preserve">CPHR-&gt;ARG1/150</t>
  </si>
  <si>
    <t xml:space="preserve">ACT-&gt;ARG0/397,ARG2/1</t>
  </si>
  <si>
    <t xml:space="preserve">CPHR-&gt;ARG1/546</t>
  </si>
  <si>
    <t xml:space="preserve">ADDR-&gt;ARG1/3,ARG2/31</t>
  </si>
  <si>
    <t xml:space="preserve">CPHR-&gt;ARG1/551</t>
  </si>
  <si>
    <t xml:space="preserve">CPHR-&gt;ARG0/5,ARG1/12570,ARG2/25,ARG3/29</t>
  </si>
  <si>
    <t xml:space="preserve">ACT-&gt;ARG0/184,ARG2/1</t>
  </si>
  <si>
    <t xml:space="preserve">CPHR-&gt;ARG1/239</t>
  </si>
  <si>
    <t xml:space="preserve">ADDR-&gt;ARG1/4,ARG2/36</t>
  </si>
  <si>
    <t xml:space="preserve">"vydat-012"</t>
  </si>
  <si>
    <t xml:space="preserve">DPHR: na-1[milost:S4],na-1[nemilost-2:S4]</t>
  </si>
  <si>
    <t xml:space="preserve">"vydat-013"</t>
  </si>
  <si>
    <t xml:space="preserve">DPHR: všanc</t>
  </si>
  <si>
    <t xml:space="preserve">"--vydat-014"</t>
  </si>
  <si>
    <t xml:space="preserve">DPHR: zatykač.4</t>
  </si>
  <si>
    <t xml:space="preserve">"vydat-015"</t>
  </si>
  <si>
    <t xml:space="preserve">EXT: </t>
  </si>
  <si>
    <t xml:space="preserve">"vydat-016"</t>
  </si>
  <si>
    <t xml:space="preserve">CPHR: {rozhodnutí}.4</t>
  </si>
  <si>
    <t xml:space="preserve">"vydat-se-001"</t>
  </si>
  <si>
    <t xml:space="preserve">ACT-&gt;ARG0/9,ARG1/4</t>
  </si>
  <si>
    <t xml:space="preserve">"vydat-se-002"</t>
  </si>
  <si>
    <t xml:space="preserve">ACT-&gt;ARG0/160,ARG1/220,ARG2/3</t>
  </si>
  <si>
    <t xml:space="preserve">DIR3-&gt;ARG1/175,ARG2/2</t>
  </si>
  <si>
    <t xml:space="preserve">"vydat-se-003"</t>
  </si>
  <si>
    <t xml:space="preserve">DPHR: v-1[stopa.P6[:u#]]</t>
  </si>
  <si>
    <t xml:space="preserve">"vydařit-se-001"</t>
  </si>
  <si>
    <t xml:space="preserve">ACT-&gt;ARG0/60,ARG1/146</t>
  </si>
  <si>
    <t xml:space="preserve">PAT-&gt;ARG0/2,ARG1/57,ARG2/144</t>
  </si>
  <si>
    <t xml:space="preserve">"vydechnout-si-001"</t>
  </si>
  <si>
    <t xml:space="preserve">"vydedukovat-001"</t>
  </si>
  <si>
    <t xml:space="preserve">"vydezinfikovat-001"</t>
  </si>
  <si>
    <t xml:space="preserve">"vydlabat-001"</t>
  </si>
  <si>
    <t xml:space="preserve">"vydlužit-si-001"</t>
  </si>
  <si>
    <t xml:space="preserve">"vydláždit-001"</t>
  </si>
  <si>
    <t xml:space="preserve">"vydláždit-002"</t>
  </si>
  <si>
    <t xml:space="preserve">"vydobýt-001"</t>
  </si>
  <si>
    <t xml:space="preserve">"vydojit-001"</t>
  </si>
  <si>
    <t xml:space="preserve">?ORIG: z+2; od+2; na+6</t>
  </si>
  <si>
    <t xml:space="preserve">"vydolovat-001"</t>
  </si>
  <si>
    <t xml:space="preserve">"vydolovat-002"</t>
  </si>
  <si>
    <t xml:space="preserve">"vydovádět-se-001"</t>
  </si>
  <si>
    <t xml:space="preserve">"vydražit-001"</t>
  </si>
  <si>
    <t xml:space="preserve">"vydrbat-001"</t>
  </si>
  <si>
    <t xml:space="preserve">"vydrápat-se-001"</t>
  </si>
  <si>
    <t xml:space="preserve">"vydržet-001"</t>
  </si>
  <si>
    <t xml:space="preserve">ACT-&gt;ARG0/6,ARG1/26</t>
  </si>
  <si>
    <t xml:space="preserve">PAT-&gt;ARG1/8,ARG2/10</t>
  </si>
  <si>
    <t xml:space="preserve">"vydržet-002"</t>
  </si>
  <si>
    <t xml:space="preserve">"vydržovat-001"</t>
  </si>
  <si>
    <t xml:space="preserve">"vydyndat-001"</t>
  </si>
  <si>
    <t xml:space="preserve">"vydávat-001"</t>
  </si>
  <si>
    <t xml:space="preserve">ACT-&gt;ARG0/150,ARG2/1</t>
  </si>
  <si>
    <t xml:space="preserve">PAT-&gt;ARG0/1,ARG1/215</t>
  </si>
  <si>
    <t xml:space="preserve">"vydávat-002"</t>
  </si>
  <si>
    <t xml:space="preserve">"vydávat-003"</t>
  </si>
  <si>
    <t xml:space="preserve">ACT-&gt;ARG0/193</t>
  </si>
  <si>
    <t xml:space="preserve">EFF-&gt;ARG1/264,ARG2/24</t>
  </si>
  <si>
    <t xml:space="preserve">"vydávat-004"</t>
  </si>
  <si>
    <t xml:space="preserve">"vydávat-005"</t>
  </si>
  <si>
    <t xml:space="preserve">"vydávat-006"</t>
  </si>
  <si>
    <t xml:space="preserve">ACT-&gt;ARG0/709,ARG2/1,ARG3/1</t>
  </si>
  <si>
    <t xml:space="preserve">PAT-&gt;ARG0/1,ARG1/858,ARG2/1,ARG3/143</t>
  </si>
  <si>
    <t xml:space="preserve">"vydávat-007"</t>
  </si>
  <si>
    <t xml:space="preserve">"vydávat-008"</t>
  </si>
  <si>
    <t xml:space="preserve">CPHR: {pokyn,povel,povolení,příkaz,rozkaz,souhlas,...}.4</t>
  </si>
  <si>
    <t xml:space="preserve">"vydávat-se-001"</t>
  </si>
  <si>
    <t xml:space="preserve">"vydávat-se-002"</t>
  </si>
  <si>
    <t xml:space="preserve">ACT-&gt;ARG0/2,ARG1/3102,ARG2/296</t>
  </si>
  <si>
    <t xml:space="preserve">PAT-&gt;ARG1/126,ARG2/3451</t>
  </si>
  <si>
    <t xml:space="preserve">"vydávat-se-003"</t>
  </si>
  <si>
    <t xml:space="preserve">ACT-&gt;ARG0/66,ARG1/2</t>
  </si>
  <si>
    <t xml:space="preserve">"vydírat-001"</t>
  </si>
  <si>
    <t xml:space="preserve">"vydýchat-se-001"</t>
  </si>
  <si>
    <t xml:space="preserve">"vydědit-001"</t>
  </si>
  <si>
    <t xml:space="preserve">"vydělat-001"</t>
  </si>
  <si>
    <t xml:space="preserve">?ORIG: na+6; z+2; za+4</t>
  </si>
  <si>
    <t xml:space="preserve">ACT-&gt;ARG0/203,ARG1/50</t>
  </si>
  <si>
    <t xml:space="preserve">ORIG-&gt;ARG0/45,ARG1/27,ARG3/7</t>
  </si>
  <si>
    <t xml:space="preserve">ACT-&gt;ARG0/198,ARG1/36</t>
  </si>
  <si>
    <t xml:space="preserve">ORIG-&gt;ARG0/21,ARG1/23,ARG3/7</t>
  </si>
  <si>
    <t xml:space="preserve">"vydělat-002"</t>
  </si>
  <si>
    <t xml:space="preserve">"vydělit-001"</t>
  </si>
  <si>
    <t xml:space="preserve">"vydělit-002"</t>
  </si>
  <si>
    <t xml:space="preserve">"vydělit-se-001"</t>
  </si>
  <si>
    <t xml:space="preserve">"vydělovat-se-001"</t>
  </si>
  <si>
    <t xml:space="preserve">"vydělávat-001"</t>
  </si>
  <si>
    <t xml:space="preserve">ACT-&gt;ARG0/2348,ARG1/22</t>
  </si>
  <si>
    <t xml:space="preserve">ORIG-&gt;ARG1/1,ARG3/7</t>
  </si>
  <si>
    <t xml:space="preserve">"vyděsit-001"</t>
  </si>
  <si>
    <t xml:space="preserve">ACT-&gt;ARG0/11,ARG2/4</t>
  </si>
  <si>
    <t xml:space="preserve">"vyděsit-se-001"</t>
  </si>
  <si>
    <t xml:space="preserve">"vydřít-001"</t>
  </si>
  <si>
    <t xml:space="preserve">"vyexpedovat-001"</t>
  </si>
  <si>
    <t xml:space="preserve">"vyfasovat-001"</t>
  </si>
  <si>
    <t xml:space="preserve">"vyfasovat-002"</t>
  </si>
  <si>
    <t xml:space="preserve">"vyfotit-001"</t>
  </si>
  <si>
    <t xml:space="preserve">"vyfotit-002"</t>
  </si>
  <si>
    <t xml:space="preserve">"vyfotit-se-001"</t>
  </si>
  <si>
    <t xml:space="preserve">"vyfotografovat-001"</t>
  </si>
  <si>
    <t xml:space="preserve">"vyfotografovat-se-001"</t>
  </si>
  <si>
    <t xml:space="preserve">"vyfouknout-001"</t>
  </si>
  <si>
    <t xml:space="preserve">"vyfouknout-002"</t>
  </si>
  <si>
    <t xml:space="preserve">"vygenerovat-001"</t>
  </si>
  <si>
    <t xml:space="preserve">ACT-&gt;ARG0/1031,ARG1/10</t>
  </si>
  <si>
    <t xml:space="preserve">PAT-&gt;ARG1/1865,ARG2/2</t>
  </si>
  <si>
    <t xml:space="preserve">"vygradovat-001"</t>
  </si>
  <si>
    <t xml:space="preserve">"vygumovat-001"</t>
  </si>
  <si>
    <t xml:space="preserve">"vyhasnout-001"</t>
  </si>
  <si>
    <t xml:space="preserve">"vyhasnout-002"</t>
  </si>
  <si>
    <t xml:space="preserve">"vyhasínat-001"</t>
  </si>
  <si>
    <t xml:space="preserve">"vyhazovat-001"</t>
  </si>
  <si>
    <t xml:space="preserve">"vyhazovat-002"</t>
  </si>
  <si>
    <t xml:space="preserve">DPHR: okno.S7</t>
  </si>
  <si>
    <t xml:space="preserve">"vyhazovat-003"</t>
  </si>
  <si>
    <t xml:space="preserve">"vyhazovat-004"</t>
  </si>
  <si>
    <t xml:space="preserve">"vyhazovat-005"</t>
  </si>
  <si>
    <t xml:space="preserve">"--vyhazovat-006"</t>
  </si>
  <si>
    <t xml:space="preserve">DPHR: oknem</t>
  </si>
  <si>
    <t xml:space="preserve">"vyhecovat-001"</t>
  </si>
  <si>
    <t xml:space="preserve">?PAT: k+3; proti+3; ↓ať; .s</t>
  </si>
  <si>
    <t xml:space="preserve">"vyhladit-001"</t>
  </si>
  <si>
    <t xml:space="preserve">"vyhladit-002"</t>
  </si>
  <si>
    <t xml:space="preserve">"vyhladovět-001"</t>
  </si>
  <si>
    <t xml:space="preserve">"vyhladovět-002"</t>
  </si>
  <si>
    <t xml:space="preserve">"vyhlazovat-001"</t>
  </si>
  <si>
    <t xml:space="preserve">"vyhlašovat-001"</t>
  </si>
  <si>
    <t xml:space="preserve">"vyhlašovat-002"</t>
  </si>
  <si>
    <t xml:space="preserve">CPHR: {boj,preference,válka,...}.4</t>
  </si>
  <si>
    <t xml:space="preserve">"vyhledat-001"</t>
  </si>
  <si>
    <t xml:space="preserve">ACT-&gt;ARG0/289,ARG2/1</t>
  </si>
  <si>
    <t xml:space="preserve">PAT-&gt;ARG1/410,ARG2/1</t>
  </si>
  <si>
    <t xml:space="preserve">"vyhledávat-001"</t>
  </si>
  <si>
    <t xml:space="preserve">ACT-&gt;ARG0/340,ARG2/1</t>
  </si>
  <si>
    <t xml:space="preserve">"vyhledávat-002"</t>
  </si>
  <si>
    <t xml:space="preserve">"vyhloubit-001"</t>
  </si>
  <si>
    <t xml:space="preserve">"vyhlásit-001"</t>
  </si>
  <si>
    <t xml:space="preserve">EFF-&gt;ARG1/9,ARG2/5</t>
  </si>
  <si>
    <t xml:space="preserve">EFF-&gt;ARG1/74,ARG2/14</t>
  </si>
  <si>
    <t xml:space="preserve">"vyhlásit-002"</t>
  </si>
  <si>
    <t xml:space="preserve">ACT-&gt;ARG0/625,ARG1/43,ARG2/1</t>
  </si>
  <si>
    <t xml:space="preserve">PAT-&gt;ARG1/744,ARG2/9</t>
  </si>
  <si>
    <t xml:space="preserve">"vyhlásit-003"</t>
  </si>
  <si>
    <t xml:space="preserve">CPHR: {boj,stávka,válka,...}.4</t>
  </si>
  <si>
    <t xml:space="preserve">"vyhláskovat-001"</t>
  </si>
  <si>
    <t xml:space="preserve">"vyhlédnout-001"</t>
  </si>
  <si>
    <t xml:space="preserve">"vyhlídnout-001"</t>
  </si>
  <si>
    <t xml:space="preserve">"vyhlížet-001"</t>
  </si>
  <si>
    <t xml:space="preserve">"vyhlížet-002"</t>
  </si>
  <si>
    <t xml:space="preserve">"vyhlížet-003"</t>
  </si>
  <si>
    <t xml:space="preserve">"vyhmátnout-001"</t>
  </si>
  <si>
    <t xml:space="preserve">"vyhnat-001"</t>
  </si>
  <si>
    <t xml:space="preserve">"vyhnat-002"</t>
  </si>
  <si>
    <t xml:space="preserve">"vyhnat-003"</t>
  </si>
  <si>
    <t xml:space="preserve">"vyhnat-004"</t>
  </si>
  <si>
    <t xml:space="preserve">"--vyhnat-005"</t>
  </si>
  <si>
    <t xml:space="preserve">"vyhnat-006"</t>
  </si>
  <si>
    <t xml:space="preserve">"vyhnout-se-001"</t>
  </si>
  <si>
    <t xml:space="preserve">ACT-&gt;ARG0/89,ARG1/28</t>
  </si>
  <si>
    <t xml:space="preserve">"vyhnout-se-002"</t>
  </si>
  <si>
    <t xml:space="preserve">"vyhoblovat-001"</t>
  </si>
  <si>
    <t xml:space="preserve">"vyhodit-001"</t>
  </si>
  <si>
    <t xml:space="preserve">DIR1-&gt;ARG2/2</t>
  </si>
  <si>
    <t xml:space="preserve">"vyhodit-002"</t>
  </si>
  <si>
    <t xml:space="preserve">"vyhodit-003"</t>
  </si>
  <si>
    <t xml:space="preserve">"vyhodit-004"</t>
  </si>
  <si>
    <t xml:space="preserve">"vyhodit-005"</t>
  </si>
  <si>
    <t xml:space="preserve">"vyhodit-si-001"</t>
  </si>
  <si>
    <t xml:space="preserve">DPHR: z-1[kopýtko.S2]</t>
  </si>
  <si>
    <t xml:space="preserve">"vyhodit-si-002"</t>
  </si>
  <si>
    <t xml:space="preserve">DPHR: z-1[kopyto.S2]</t>
  </si>
  <si>
    <t xml:space="preserve">"vyhodnocovat-001"</t>
  </si>
  <si>
    <t xml:space="preserve">"vyhodnotit-001"</t>
  </si>
  <si>
    <t xml:space="preserve">"vyhostit-001"</t>
  </si>
  <si>
    <t xml:space="preserve">"vyhotovit-001"</t>
  </si>
  <si>
    <t xml:space="preserve">"vyhotovit-002"</t>
  </si>
  <si>
    <t xml:space="preserve">"vyhoupnout-se-001"</t>
  </si>
  <si>
    <t xml:space="preserve">ACT-&gt;ARG0/20,ARG1/72</t>
  </si>
  <si>
    <t xml:space="preserve">DIR3-&gt;ARG1/27</t>
  </si>
  <si>
    <t xml:space="preserve">DIR3-&gt;ARG1/9,ARG2/48,ARG4/1380</t>
  </si>
  <si>
    <t xml:space="preserve">"vyhoupnout-se-002"</t>
  </si>
  <si>
    <t xml:space="preserve">"vyhovovat-001"</t>
  </si>
  <si>
    <t xml:space="preserve">ACT-&gt;ARG0/4,ARG1/105</t>
  </si>
  <si>
    <t xml:space="preserve">PAT-&gt;ARG0/57,ARG1/61,ARG2/8</t>
  </si>
  <si>
    <t xml:space="preserve">"vyhovovat-002"</t>
  </si>
  <si>
    <t xml:space="preserve">"vyhovět-001"</t>
  </si>
  <si>
    <t xml:space="preserve">ACT-&gt;ARG0/105,ARG1/3,ARG2/5</t>
  </si>
  <si>
    <t xml:space="preserve">PAT-&gt;ARG0/1,ARG1/184,ARG2/1</t>
  </si>
  <si>
    <t xml:space="preserve">"vyhořet-001"</t>
  </si>
  <si>
    <t xml:space="preserve">"vyhošťovat-001"</t>
  </si>
  <si>
    <t xml:space="preserve">"vyhrabat-001"</t>
  </si>
  <si>
    <t xml:space="preserve">"vyhrabat-se-001"</t>
  </si>
  <si>
    <t xml:space="preserve">"vyhrabávat-se-001"</t>
  </si>
  <si>
    <t xml:space="preserve">ACT-&gt;ARG0/34,ARG1/15</t>
  </si>
  <si>
    <t xml:space="preserve">"vyhradit-001"</t>
  </si>
  <si>
    <t xml:space="preserve">ACT-&gt;ARG0/314</t>
  </si>
  <si>
    <t xml:space="preserve">PAT-&gt;ARG0/16,ARG1/477,ARG2/1</t>
  </si>
  <si>
    <t xml:space="preserve">ADDR-&gt;ARG1/18,ARG2/140</t>
  </si>
  <si>
    <t xml:space="preserve">"vyhradit-002"</t>
  </si>
  <si>
    <t xml:space="preserve">"vyhradit-si-001"</t>
  </si>
  <si>
    <t xml:space="preserve">"vyhranit-001"</t>
  </si>
  <si>
    <t xml:space="preserve">"vyhranit-se-001"</t>
  </si>
  <si>
    <t xml:space="preserve">"vyhrazovat-si-001"</t>
  </si>
  <si>
    <t xml:space="preserve">"vyhraňovat-se-001"</t>
  </si>
  <si>
    <t xml:space="preserve">"vyhrknout-001"</t>
  </si>
  <si>
    <t xml:space="preserve">"vyhrknout-002"</t>
  </si>
  <si>
    <t xml:space="preserve">"vyhrnout-se-001"</t>
  </si>
  <si>
    <t xml:space="preserve">"vyhrocovat-se-001"</t>
  </si>
  <si>
    <t xml:space="preserve">ACT-&gt;ARG0/14,ARG1/224</t>
  </si>
  <si>
    <t xml:space="preserve">"vyhrotit-001"</t>
  </si>
  <si>
    <t xml:space="preserve">"vyhrotit-se-001"</t>
  </si>
  <si>
    <t xml:space="preserve">"vyhrožovat-001"</t>
  </si>
  <si>
    <t xml:space="preserve">PAT: 7; ↓že; .f</t>
  </si>
  <si>
    <t xml:space="preserve">PAT-&gt;ARG0/1,ARG1/54,ARG2/9</t>
  </si>
  <si>
    <t xml:space="preserve">"vyhrožovat-002"</t>
  </si>
  <si>
    <t xml:space="preserve">"vyhrát-001"</t>
  </si>
  <si>
    <t xml:space="preserve">ACT-&gt;ARG0/150,ARG1/281,ARG2/3</t>
  </si>
  <si>
    <t xml:space="preserve">PAT-&gt;ARG1/176,ARG2/1</t>
  </si>
  <si>
    <t xml:space="preserve">"vyhrát-002"</t>
  </si>
  <si>
    <t xml:space="preserve">"vyhrát-se-001"</t>
  </si>
  <si>
    <t xml:space="preserve">"vyhrát-si-001"</t>
  </si>
  <si>
    <t xml:space="preserve">"vyhrávat-001"</t>
  </si>
  <si>
    <t xml:space="preserve">PAT-&gt;ARG1/153</t>
  </si>
  <si>
    <t xml:space="preserve">"vyhrávat-002"</t>
  </si>
  <si>
    <t xml:space="preserve">"vyhrávat-003"</t>
  </si>
  <si>
    <t xml:space="preserve">"vyhubit-001"</t>
  </si>
  <si>
    <t xml:space="preserve">"vyhubovat-001"</t>
  </si>
  <si>
    <t xml:space="preserve">"vyhynout-001"</t>
  </si>
  <si>
    <t xml:space="preserve">"vyhánět-001"</t>
  </si>
  <si>
    <t xml:space="preserve">"vyhánět-002"</t>
  </si>
  <si>
    <t xml:space="preserve">DIR3-&gt;ARG2/4,ARG4/94</t>
  </si>
  <si>
    <t xml:space="preserve">"vyházet-001"</t>
  </si>
  <si>
    <t xml:space="preserve">"vyházet-002"</t>
  </si>
  <si>
    <t xml:space="preserve">"vyházet-003"</t>
  </si>
  <si>
    <t xml:space="preserve">?PAT: za-1[.2]</t>
  </si>
  <si>
    <t xml:space="preserve">"vyházet-004"</t>
  </si>
  <si>
    <t xml:space="preserve">"vyháčkovat-001"</t>
  </si>
  <si>
    <t xml:space="preserve">"vyhýbat-se-001"</t>
  </si>
  <si>
    <t xml:space="preserve">PAT-&gt;ARG1/148,ARG2/1</t>
  </si>
  <si>
    <t xml:space="preserve">"vyhřeznout-001"</t>
  </si>
  <si>
    <t xml:space="preserve">"vyhřezávat-001"</t>
  </si>
  <si>
    <t xml:space="preserve">"vyhřát-se-001"</t>
  </si>
  <si>
    <t xml:space="preserve">"vyhřívat-se-001"</t>
  </si>
  <si>
    <t xml:space="preserve">"vyinkasovat-001"</t>
  </si>
  <si>
    <t xml:space="preserve">"vyjadřovat-001"</t>
  </si>
  <si>
    <t xml:space="preserve">ACT-&gt;ARG0/206,ARG1/2,ARG2/164</t>
  </si>
  <si>
    <t xml:space="preserve">PAT-&gt;ARG0/180,ARG1/701,ARG2/6</t>
  </si>
  <si>
    <t xml:space="preserve">"vyjadřovat-002"</t>
  </si>
  <si>
    <t xml:space="preserve">CPHR: {důvěra,podpora,preference,soustrast,sympatie,úcta,uznání,...}.4</t>
  </si>
  <si>
    <t xml:space="preserve">CPHR-&gt;ARG1/54</t>
  </si>
  <si>
    <t xml:space="preserve">"vyjadřovat-003"</t>
  </si>
  <si>
    <t xml:space="preserve">ACT-&gt;ARG0/55,ARG1/2,ARG2/164</t>
  </si>
  <si>
    <t xml:space="preserve">CPHR: {hodnocení,naděje,názor,nechápavost,nejistota,nesouhlas,obava,obdiv,odhodlání,ochota,poděkování,podezření,pochopení,pochyba,postoj,potěšení,protest,překvapení,přesvědčení,připravenost,rozčarování,rozhořčení,skepse,souhlas,spokojenost,stanovisko,údiv,uspokojení,úzkost,vůle,zájem,zklamání,znepokojení,...}.4; chápavost.~4</t>
  </si>
  <si>
    <t xml:space="preserve">CPHR-&gt;ARG1/304,ARG2/6</t>
  </si>
  <si>
    <t xml:space="preserve">CPHR-&gt;ARG1/152,ARG2/13</t>
  </si>
  <si>
    <t xml:space="preserve">ACT-&gt;ARG0/101,ARG1/1</t>
  </si>
  <si>
    <t xml:space="preserve">CPHR-&gt;ARG1/97,ARG2/36</t>
  </si>
  <si>
    <t xml:space="preserve">"vyjadřovat-se-001"</t>
  </si>
  <si>
    <t xml:space="preserve">PAT: k+3; o+6; ↓že; v+6; .s; ↓c</t>
  </si>
  <si>
    <t xml:space="preserve">"vyjadřovat-se-002"</t>
  </si>
  <si>
    <t xml:space="preserve">PAT: proti+3; pro+4</t>
  </si>
  <si>
    <t xml:space="preserve">"vyjadřovat-se-003"</t>
  </si>
  <si>
    <t xml:space="preserve">"vyjasnit-001"</t>
  </si>
  <si>
    <t xml:space="preserve">"vyjasňovat-001"</t>
  </si>
  <si>
    <t xml:space="preserve">"vyjasňovat-se-001"</t>
  </si>
  <si>
    <t xml:space="preserve">"vyjasňovat-se-002"</t>
  </si>
  <si>
    <t xml:space="preserve">"vyjednat-001"</t>
  </si>
  <si>
    <t xml:space="preserve">PAT-&gt;ARG1/44,ARG2/63</t>
  </si>
  <si>
    <t xml:space="preserve">"vyjednávat-001"</t>
  </si>
  <si>
    <t xml:space="preserve">PAT-&gt;ARG1/37,ARG2/63</t>
  </si>
  <si>
    <t xml:space="preserve">"vyjednávat-002"</t>
  </si>
  <si>
    <t xml:space="preserve">PAT: o+6; v+6</t>
  </si>
  <si>
    <t xml:space="preserve">PAT-&gt;ARG1/39,ARG2/99</t>
  </si>
  <si>
    <t xml:space="preserve">"vyjet-001"</t>
  </si>
  <si>
    <t xml:space="preserve">"vyjet-002"</t>
  </si>
  <si>
    <t xml:space="preserve">"vyjet-003"</t>
  </si>
  <si>
    <t xml:space="preserve">"vyjet-004"</t>
  </si>
  <si>
    <t xml:space="preserve">"vyjet-005"</t>
  </si>
  <si>
    <t xml:space="preserve">"vyjet-si-001"</t>
  </si>
  <si>
    <t xml:space="preserve">"vyjevit-001"</t>
  </si>
  <si>
    <t xml:space="preserve">EFF: 4; ↓že; ↓zda; ↓c</t>
  </si>
  <si>
    <t xml:space="preserve">"vyjevit-se-001"</t>
  </si>
  <si>
    <t xml:space="preserve">PAT: 1[{jako,jakožto}:/AuxY]</t>
  </si>
  <si>
    <t xml:space="preserve">"vyjevit-se-002"</t>
  </si>
  <si>
    <t xml:space="preserve">"vyjezdit-se-001"</t>
  </si>
  <si>
    <t xml:space="preserve">"vyjmenovat-001"</t>
  </si>
  <si>
    <t xml:space="preserve">"vyjmenovávat-001"</t>
  </si>
  <si>
    <t xml:space="preserve">"vyjmout-001"</t>
  </si>
  <si>
    <t xml:space="preserve">DIR1-&gt;ARG2/5</t>
  </si>
  <si>
    <t xml:space="preserve">"vyjmout-002"</t>
  </si>
  <si>
    <t xml:space="preserve">ACT-&gt;ARG0/45,ARG1/2</t>
  </si>
  <si>
    <t xml:space="preserve">PAT-&gt;ARG0/1,ARG1/3240,ARG2/297</t>
  </si>
  <si>
    <t xml:space="preserve">"vyjádřit-001"</t>
  </si>
  <si>
    <t xml:space="preserve">"vyjádřit-002"</t>
  </si>
  <si>
    <t xml:space="preserve">CPHR: {dík,důvěra,lítost,podpora,preference,soustrast,sympatie,úcta,účast,uznání,...}.4</t>
  </si>
  <si>
    <t xml:space="preserve">"vyjádřit-003"</t>
  </si>
  <si>
    <t xml:space="preserve">ACT-&gt;ARG0/303,ARG1/23</t>
  </si>
  <si>
    <t xml:space="preserve">CPHR: {hodnocení,chápavost,jistota,kritika,naděje,názor,nechápavost,nejistota,nesouhlas,obava,obdiv,očekávání,odhodlání,ochota,poděkování,podezření,pochopení,pochyba,politování,postoj,potěšení,protest,přání,překvapení,přesvědčení,připomínka,připravenost,rada,radost,rozčarování,rozhořčení,souhlas,spokojenost,stanovisko,touha,údiv,úleva,uspokojení,úzkost,úžas,vůle,zájem,zklamání,znepokojení,...}.4</t>
  </si>
  <si>
    <t xml:space="preserve">CPHR-&gt;ARG0/28,ARG1/313,ARG2/34</t>
  </si>
  <si>
    <t xml:space="preserve">CPHR-&gt;ARG0/28,ARG1/346,ARG2/34</t>
  </si>
  <si>
    <t xml:space="preserve">ACT-&gt;ARG0/12189,ARG1/36</t>
  </si>
  <si>
    <t xml:space="preserve">CPHR-&gt;ARG0/2,ARG1/10561,ARG2/2</t>
  </si>
  <si>
    <t xml:space="preserve">CPHR-&gt;ARG1/101</t>
  </si>
  <si>
    <t xml:space="preserve">"vyjádřit-se-001"</t>
  </si>
  <si>
    <t xml:space="preserve">ACT-&gt;ARG0/12263,ARG1/36</t>
  </si>
  <si>
    <t xml:space="preserve">PAT: k+3; o+6; ↓že; v+6; ↓zda; .s; ↓c</t>
  </si>
  <si>
    <t xml:space="preserve">PAT-&gt;ARG0/2,ARG1/10581,ARG2/2</t>
  </si>
  <si>
    <t xml:space="preserve">"vyjádřit-se-002"</t>
  </si>
  <si>
    <t xml:space="preserve">"vyjádřit-se-003"</t>
  </si>
  <si>
    <t xml:space="preserve">BEN-&gt;ARG1/7</t>
  </si>
  <si>
    <t xml:space="preserve">"vyjímat-001"</t>
  </si>
  <si>
    <t xml:space="preserve">PAT: 4; ↓že; .v</t>
  </si>
  <si>
    <t xml:space="preserve">PAT-&gt;ARG1/277,ARG2/1</t>
  </si>
  <si>
    <t xml:space="preserve">PAT-&gt;ARG1/278,ARG2/1</t>
  </si>
  <si>
    <t xml:space="preserve">DIR1-&gt;ARG1/3,ARG2/19</t>
  </si>
  <si>
    <t xml:space="preserve">"vyjímat-se-001"</t>
  </si>
  <si>
    <t xml:space="preserve">"vyjít-001"</t>
  </si>
  <si>
    <t xml:space="preserve">"vyjít-002"</t>
  </si>
  <si>
    <t xml:space="preserve">"vyjít-003"</t>
  </si>
  <si>
    <t xml:space="preserve">"vyjít-004"</t>
  </si>
  <si>
    <t xml:space="preserve">"vyjít-005"</t>
  </si>
  <si>
    <t xml:space="preserve">"vyjít-006"</t>
  </si>
  <si>
    <t xml:space="preserve">ACT-&gt;ARG0/13,ARG1/285</t>
  </si>
  <si>
    <t xml:space="preserve">PAT-&gt;ARG0/193,ARG1/3</t>
  </si>
  <si>
    <t xml:space="preserve">"vyjít-007"</t>
  </si>
  <si>
    <t xml:space="preserve">"vyjít-008"</t>
  </si>
  <si>
    <t xml:space="preserve">"vyjít-009"</t>
  </si>
  <si>
    <t xml:space="preserve">"vyjít-010"</t>
  </si>
  <si>
    <t xml:space="preserve">PAT: 1; ↓že; ↓aby</t>
  </si>
  <si>
    <t xml:space="preserve">"vyjít-011"</t>
  </si>
  <si>
    <t xml:space="preserve">"vyjít-012"</t>
  </si>
  <si>
    <t xml:space="preserve">"vyjít-013"</t>
  </si>
  <si>
    <t xml:space="preserve">"vyjít-014"</t>
  </si>
  <si>
    <t xml:space="preserve">"vyjít-015"</t>
  </si>
  <si>
    <t xml:space="preserve">ACT-&gt;ARG0/59,ARG1/214</t>
  </si>
  <si>
    <t xml:space="preserve">"vyjít-016"</t>
  </si>
  <si>
    <t xml:space="preserve">"vyjít-017"</t>
  </si>
  <si>
    <t xml:space="preserve">ACT-&gt;ARG0/61,ARG1/11</t>
  </si>
  <si>
    <t xml:space="preserve">"vyjít-018"</t>
  </si>
  <si>
    <t xml:space="preserve">"vyjít-019"</t>
  </si>
  <si>
    <t xml:space="preserve">ACT-&gt;ARG1/460,ARG2/6</t>
  </si>
  <si>
    <t xml:space="preserve">DPHR-&gt;ARG2/473</t>
  </si>
  <si>
    <t xml:space="preserve">"vyjít-020"</t>
  </si>
  <si>
    <t xml:space="preserve">"vyjít-021"</t>
  </si>
  <si>
    <t xml:space="preserve">DPHR: na-1[povrch.S4]</t>
  </si>
  <si>
    <t xml:space="preserve">"vyjít-022"</t>
  </si>
  <si>
    <t xml:space="preserve">DPHR: na-1[světlo.S4]</t>
  </si>
  <si>
    <t xml:space="preserve">"vyjít-023"</t>
  </si>
  <si>
    <t xml:space="preserve">"vyjít-024"</t>
  </si>
  <si>
    <t xml:space="preserve">TFHL: </t>
  </si>
  <si>
    <t xml:space="preserve">"vyjít-si-001"</t>
  </si>
  <si>
    <t xml:space="preserve">"vyjíždět-001"</t>
  </si>
  <si>
    <t xml:space="preserve">"vyjíždět-002"</t>
  </si>
  <si>
    <t xml:space="preserve">"vyjíždět-003"</t>
  </si>
  <si>
    <t xml:space="preserve">"vyjíždět-004"</t>
  </si>
  <si>
    <t xml:space="preserve">"vyjíždět-si-001"</t>
  </si>
  <si>
    <t xml:space="preserve">"vykalkulovat-001"</t>
  </si>
  <si>
    <t xml:space="preserve">"vykat-001"</t>
  </si>
  <si>
    <t xml:space="preserve">"vykazovat-001"</t>
  </si>
  <si>
    <t xml:space="preserve">ACT-&gt;ARG0/3269,ARG1/43,ARG2/164</t>
  </si>
  <si>
    <t xml:space="preserve">PAT-&gt;ARG0/1,ARG1/4706,ARG2/6</t>
  </si>
  <si>
    <t xml:space="preserve">ADDR-&gt;ARG2/12,ARG3/11</t>
  </si>
  <si>
    <t xml:space="preserve">"vykazovat-002"</t>
  </si>
  <si>
    <t xml:space="preserve">"vykazovat-003"</t>
  </si>
  <si>
    <t xml:space="preserve">"vykašlat-001"</t>
  </si>
  <si>
    <t xml:space="preserve">"vykašlat-se-001"</t>
  </si>
  <si>
    <t xml:space="preserve">"vykecat-001"</t>
  </si>
  <si>
    <t xml:space="preserve">"vykecat-002"</t>
  </si>
  <si>
    <t xml:space="preserve">"vykecat-se-001"</t>
  </si>
  <si>
    <t xml:space="preserve">"vyklepat-001"</t>
  </si>
  <si>
    <t xml:space="preserve">"vyklidit-001"</t>
  </si>
  <si>
    <t xml:space="preserve">"vyklidit-002"</t>
  </si>
  <si>
    <t xml:space="preserve">"vyklopit-001"</t>
  </si>
  <si>
    <t xml:space="preserve">"vyklopit-002"</t>
  </si>
  <si>
    <t xml:space="preserve">"vyklopit-003"</t>
  </si>
  <si>
    <t xml:space="preserve">"vykloubit-001"</t>
  </si>
  <si>
    <t xml:space="preserve">"vyklouznout-001"</t>
  </si>
  <si>
    <t xml:space="preserve">"vyklubat-se-001"</t>
  </si>
  <si>
    <t xml:space="preserve">ACT-&gt;ARG1/37,ARG2/2</t>
  </si>
  <si>
    <t xml:space="preserve">"vyklusávat-001"</t>
  </si>
  <si>
    <t xml:space="preserve">"vykládat-001"</t>
  </si>
  <si>
    <t xml:space="preserve">"vykládat-002"</t>
  </si>
  <si>
    <t xml:space="preserve">"vykládat-003"</t>
  </si>
  <si>
    <t xml:space="preserve">"vykládat-004"</t>
  </si>
  <si>
    <t xml:space="preserve">"vykládat-005"</t>
  </si>
  <si>
    <t xml:space="preserve">"vykládat-006"</t>
  </si>
  <si>
    <t xml:space="preserve">EFF: 4; ↓že; .s; ↓c; ↓jak-2</t>
  </si>
  <si>
    <t xml:space="preserve">"vykládat-007"</t>
  </si>
  <si>
    <t xml:space="preserve">"vykládat-si-001"</t>
  </si>
  <si>
    <t xml:space="preserve">ACT-&gt;ARG0/676,ARG1/6,ARG2/1</t>
  </si>
  <si>
    <t xml:space="preserve">PAT-&gt;ARG1/275,ARG2/4</t>
  </si>
  <si>
    <t xml:space="preserve">EFF-&gt;ARG1/561,ARG2/158</t>
  </si>
  <si>
    <t xml:space="preserve">"--vykládat-si-002"</t>
  </si>
  <si>
    <t xml:space="preserve">EFF: ↓že; ↓c</t>
  </si>
  <si>
    <t xml:space="preserve">"vyklízet-001"</t>
  </si>
  <si>
    <t xml:space="preserve">DPHR: pozice.P4</t>
  </si>
  <si>
    <t xml:space="preserve">"vyklízet-002"</t>
  </si>
  <si>
    <t xml:space="preserve">"vyklízet-003"</t>
  </si>
  <si>
    <t xml:space="preserve">"vykoledovat-001"</t>
  </si>
  <si>
    <t xml:space="preserve">"vykolejit-001"</t>
  </si>
  <si>
    <t xml:space="preserve">"vykompenzovat-001"</t>
  </si>
  <si>
    <t xml:space="preserve">ACT-&gt;ARG0/4,ARG2/66</t>
  </si>
  <si>
    <t xml:space="preserve">"vykonat-001"</t>
  </si>
  <si>
    <t xml:space="preserve">ACT-&gt;ARG0/565,ARG1/227,ARG3/1</t>
  </si>
  <si>
    <t xml:space="preserve">PAT-&gt;ARG0/170,ARG1/770,ARG2/26</t>
  </si>
  <si>
    <t xml:space="preserve">"vykonat-002"</t>
  </si>
  <si>
    <t xml:space="preserve">CPHR: {excize,hodnocení,instruktáž,návštěva,ohledání,poradenství,průzkum,reorganizace,restrukturalizace,slib,správa,test,údržba,vklad,...}.4</t>
  </si>
  <si>
    <t xml:space="preserve">"vykonat-003"</t>
  </si>
  <si>
    <t xml:space="preserve">"vykonávat-001"</t>
  </si>
  <si>
    <t xml:space="preserve">ACT-&gt;ARG0/248,ARG1/272,ARG3/2</t>
  </si>
  <si>
    <t xml:space="preserve">ACT-&gt;ARG0/840,ARG1/40,ARG2/18,ARG3/1</t>
  </si>
  <si>
    <t xml:space="preserve">PAT-&gt;ARG0/1,ARG1/292,ARG3/290</t>
  </si>
  <si>
    <t xml:space="preserve">PAT-&gt;ARG0/1,ARG1/1133,ARG2/59,ARG3/1</t>
  </si>
  <si>
    <t xml:space="preserve">"vykonávat-002"</t>
  </si>
  <si>
    <t xml:space="preserve">"vykonávat-003"</t>
  </si>
  <si>
    <t xml:space="preserve">CPHR: {aktivita,činnost,dozor,funkce,hodnocení,instruktáž,inventarizace,obchod,ohledání,povinnost,povolání,práce,prohlídka,průzkum,reorganizace,restrukturalizace,slib,služba,test,údržba,úloha,veto,vklad,zkouška,...}.4</t>
  </si>
  <si>
    <t xml:space="preserve">CPHR-&gt;ARG1/217</t>
  </si>
  <si>
    <t xml:space="preserve">ACT-&gt;ARG0/352,ARG1/3,ARG3/1</t>
  </si>
  <si>
    <t xml:space="preserve">CPHR-&gt;ARG0/1,ARG1/432</t>
  </si>
  <si>
    <t xml:space="preserve">ACT-&gt;ARG0/1138,ARG1/46,ARG2/18,ARG3/2</t>
  </si>
  <si>
    <t xml:space="preserve">CPHR-&gt;ARG0/1,ARG1/1208,ARG2/59,ARG3/1</t>
  </si>
  <si>
    <t xml:space="preserve">"vykopat-001"</t>
  </si>
  <si>
    <t xml:space="preserve">"vykopat-002"</t>
  </si>
  <si>
    <t xml:space="preserve">DPHR: sekera:S4[válečný.#]</t>
  </si>
  <si>
    <t xml:space="preserve">"vykopat-003"</t>
  </si>
  <si>
    <t xml:space="preserve">"vykopávat-001"</t>
  </si>
  <si>
    <t xml:space="preserve">"vykopávat-002"</t>
  </si>
  <si>
    <t xml:space="preserve">"vykopírovat-001"</t>
  </si>
  <si>
    <t xml:space="preserve">"vykorespondovat-001"</t>
  </si>
  <si>
    <t xml:space="preserve">"vykostit-001"</t>
  </si>
  <si>
    <t xml:space="preserve">"vykouknout-001"</t>
  </si>
  <si>
    <t xml:space="preserve">"vykoumat-001"</t>
  </si>
  <si>
    <t xml:space="preserve">"vykoupat-001"</t>
  </si>
  <si>
    <t xml:space="preserve">"vykoupat-se-001"</t>
  </si>
  <si>
    <t xml:space="preserve">"vykoupit-001"</t>
  </si>
  <si>
    <t xml:space="preserve">ACT-&gt;ARG0/511,ARG1/1</t>
  </si>
  <si>
    <t xml:space="preserve">PAT-&gt;ARG0/2,ARG1/953,ARG3/1</t>
  </si>
  <si>
    <t xml:space="preserve">"vykoupit-002"</t>
  </si>
  <si>
    <t xml:space="preserve">EFF-&gt;ARG0/2</t>
  </si>
  <si>
    <t xml:space="preserve">"vykoupit-003"</t>
  </si>
  <si>
    <t xml:space="preserve">?EFF: před+7; proti+3; z+2</t>
  </si>
  <si>
    <t xml:space="preserve">"vykouzlit-001"</t>
  </si>
  <si>
    <t xml:space="preserve">"vykouřit-001"</t>
  </si>
  <si>
    <t xml:space="preserve">"vykovat-001"</t>
  </si>
  <si>
    <t xml:space="preserve">"vykořenit-001"</t>
  </si>
  <si>
    <t xml:space="preserve">"vykořisťovat-001"</t>
  </si>
  <si>
    <t xml:space="preserve">"vykračovat-si-001"</t>
  </si>
  <si>
    <t xml:space="preserve">"vykreslit-001"</t>
  </si>
  <si>
    <t xml:space="preserve">PAT: 4; ↓c; .s</t>
  </si>
  <si>
    <t xml:space="preserve">"vykreslit-002"</t>
  </si>
  <si>
    <t xml:space="preserve">"vykreslit-se-001"</t>
  </si>
  <si>
    <t xml:space="preserve">"vykreslovat-001"</t>
  </si>
  <si>
    <t xml:space="preserve">"vykrmit-001"</t>
  </si>
  <si>
    <t xml:space="preserve">"vykrmovat-001"</t>
  </si>
  <si>
    <t xml:space="preserve">"vykroutit-se-001"</t>
  </si>
  <si>
    <t xml:space="preserve">"vykročit-001"</t>
  </si>
  <si>
    <t xml:space="preserve">ACT-&gt;ARG0/46,ARG1/1</t>
  </si>
  <si>
    <t xml:space="preserve">"vykročit-002"</t>
  </si>
  <si>
    <t xml:space="preserve">"vykrvácet-001"</t>
  </si>
  <si>
    <t xml:space="preserve">"vykrystalizovat-001"</t>
  </si>
  <si>
    <t xml:space="preserve">ACT-&gt;ARG0/7,ARG1/55,ARG4/1</t>
  </si>
  <si>
    <t xml:space="preserve">"vykrádat-001"</t>
  </si>
  <si>
    <t xml:space="preserve">"vykrást-001"</t>
  </si>
  <si>
    <t xml:space="preserve">"vykrýt-001"</t>
  </si>
  <si>
    <t xml:space="preserve">"vykuchat-001"</t>
  </si>
  <si>
    <t xml:space="preserve">"vykukovat-001"</t>
  </si>
  <si>
    <t xml:space="preserve">"vykukovat-002"</t>
  </si>
  <si>
    <t xml:space="preserve">"vykulminovat-001"</t>
  </si>
  <si>
    <t xml:space="preserve">"vykupovat-001"</t>
  </si>
  <si>
    <t xml:space="preserve">"vykvasit-001"</t>
  </si>
  <si>
    <t xml:space="preserve">"vykvést-001"</t>
  </si>
  <si>
    <t xml:space="preserve">"vykvést-002"</t>
  </si>
  <si>
    <t xml:space="preserve">"vykydat-001"</t>
  </si>
  <si>
    <t xml:space="preserve">"vykynout-001"</t>
  </si>
  <si>
    <t xml:space="preserve">"vykácet-001"</t>
  </si>
  <si>
    <t xml:space="preserve">"vykálet-se-001"</t>
  </si>
  <si>
    <t xml:space="preserve">"vykázat-001"</t>
  </si>
  <si>
    <t xml:space="preserve">ACT-&gt;ARG0/3120,ARG1/28</t>
  </si>
  <si>
    <t xml:space="preserve">PAT-&gt;ARG0/2,ARG1/3880,ARG2/1</t>
  </si>
  <si>
    <t xml:space="preserve">ADDR-&gt;ARG2/17,ARG3/10</t>
  </si>
  <si>
    <t xml:space="preserve">"vykázat-002"</t>
  </si>
  <si>
    <t xml:space="preserve">"vykázat-se-001"</t>
  </si>
  <si>
    <t xml:space="preserve">"vykřiknout-001"</t>
  </si>
  <si>
    <t xml:space="preserve">"vykřikovat-001"</t>
  </si>
  <si>
    <t xml:space="preserve">PAT: 4; ↓že; ↓aby; ↓ať; ↓c; .s</t>
  </si>
  <si>
    <t xml:space="preserve">"vykřikovat-002"</t>
  </si>
  <si>
    <t xml:space="preserve">"vyladit-001"</t>
  </si>
  <si>
    <t xml:space="preserve">"vylamovat-001"</t>
  </si>
  <si>
    <t xml:space="preserve">"vylamovat-002"</t>
  </si>
  <si>
    <t xml:space="preserve">"vylamovat-003"</t>
  </si>
  <si>
    <t xml:space="preserve">"vylekat-001"</t>
  </si>
  <si>
    <t xml:space="preserve">"vylekat-se-001"</t>
  </si>
  <si>
    <t xml:space="preserve">"vylepit-001"</t>
  </si>
  <si>
    <t xml:space="preserve">"vylepit-002"</t>
  </si>
  <si>
    <t xml:space="preserve">"vylepšit-001"</t>
  </si>
  <si>
    <t xml:space="preserve">ACT-&gt;ARG0/52,ARG2/12</t>
  </si>
  <si>
    <t xml:space="preserve">EFF-&gt;ARG2/4,ARG4/2</t>
  </si>
  <si>
    <t xml:space="preserve">"vylepšovat-001"</t>
  </si>
  <si>
    <t xml:space="preserve">"vyletět-001"</t>
  </si>
  <si>
    <t xml:space="preserve">PAT-&gt;ARG4/5</t>
  </si>
  <si>
    <t xml:space="preserve">ORIG-&gt;ARG3/1,ARGm-LOC/1</t>
  </si>
  <si>
    <t xml:space="preserve">ACT-&gt;ARG1/196</t>
  </si>
  <si>
    <t xml:space="preserve">PAT-&gt;ARG4/121</t>
  </si>
  <si>
    <t xml:space="preserve">ORIG-&gt;ARG3/29,ARGm-LOC/1</t>
  </si>
  <si>
    <t xml:space="preserve">ACT-&gt;ARG1/130</t>
  </si>
  <si>
    <t xml:space="preserve">"vyletět-002"</t>
  </si>
  <si>
    <t xml:space="preserve">"vyletět-003"</t>
  </si>
  <si>
    <t xml:space="preserve">"vyletět-004"</t>
  </si>
  <si>
    <t xml:space="preserve">ACT-&gt;ARG1/69</t>
  </si>
  <si>
    <t xml:space="preserve">ACT-&gt;ARG0/203,ARG1/3435,ARG2/13</t>
  </si>
  <si>
    <t xml:space="preserve">DIR3-&gt;ARG1/228,ARG2/64,ARG4/2270,ARGM-LOC/2</t>
  </si>
  <si>
    <t xml:space="preserve">"vyletět-005"</t>
  </si>
  <si>
    <t xml:space="preserve">"vyletět-006"</t>
  </si>
  <si>
    <t xml:space="preserve">"vylhávat-se-001"</t>
  </si>
  <si>
    <t xml:space="preserve">"vylidnit-001"</t>
  </si>
  <si>
    <t xml:space="preserve">"vylidnit-se-001"</t>
  </si>
  <si>
    <t xml:space="preserve">"vylodit-001"</t>
  </si>
  <si>
    <t xml:space="preserve">"vylodit-se-001"</t>
  </si>
  <si>
    <t xml:space="preserve">"vylomit-001"</t>
  </si>
  <si>
    <t xml:space="preserve">"vylomit-se-001"</t>
  </si>
  <si>
    <t xml:space="preserve">"vylosovat-001"</t>
  </si>
  <si>
    <t xml:space="preserve">"vyloupit-001"</t>
  </si>
  <si>
    <t xml:space="preserve">PAT-&gt;ARG1/3,ARG2/21</t>
  </si>
  <si>
    <t xml:space="preserve">"vyloupnout-001"</t>
  </si>
  <si>
    <t xml:space="preserve">"vyloupnout-se-001"</t>
  </si>
  <si>
    <t xml:space="preserve">ACT-&gt;ARG0/28,ARG1/93</t>
  </si>
  <si>
    <t xml:space="preserve">ACT-&gt;ARG0/28,ARG1/94</t>
  </si>
  <si>
    <t xml:space="preserve">"vyloučit-001"</t>
  </si>
  <si>
    <t xml:space="preserve">DIR1-&gt;ARG1/1,ARG2/30</t>
  </si>
  <si>
    <t xml:space="preserve">"vyloučit-002"</t>
  </si>
  <si>
    <t xml:space="preserve">"vyloučit-003"</t>
  </si>
  <si>
    <t xml:space="preserve">"vyloučit-se-001"</t>
  </si>
  <si>
    <t xml:space="preserve">"vylovit-001"</t>
  </si>
  <si>
    <t xml:space="preserve">"vyloďovat-001"</t>
  </si>
  <si>
    <t xml:space="preserve">"vyložit-001"</t>
  </si>
  <si>
    <t xml:space="preserve">"vyložit-002"</t>
  </si>
  <si>
    <t xml:space="preserve">"vyložit-003"</t>
  </si>
  <si>
    <t xml:space="preserve">DPHR: karta.P4,na-1[stůl.S4]</t>
  </si>
  <si>
    <t xml:space="preserve">"vyluhovat-se-001"</t>
  </si>
  <si>
    <t xml:space="preserve">"vylustrovat-001"</t>
  </si>
  <si>
    <t xml:space="preserve">"vylučovat-001"</t>
  </si>
  <si>
    <t xml:space="preserve">"vylučovat-002"</t>
  </si>
  <si>
    <t xml:space="preserve">"vylučovat-003"</t>
  </si>
  <si>
    <t xml:space="preserve">"vylučovat-se-001"</t>
  </si>
  <si>
    <t xml:space="preserve">"vylákat-001"</t>
  </si>
  <si>
    <t xml:space="preserve">?ORIG: na+6; z+2; od+2</t>
  </si>
  <si>
    <t xml:space="preserve">"vylámat-001"</t>
  </si>
  <si>
    <t xml:space="preserve">"vylétnout-001"</t>
  </si>
  <si>
    <t xml:space="preserve">ACT-&gt;ARG1/141</t>
  </si>
  <si>
    <t xml:space="preserve">PAT-&gt;ARG2/1,ARG4/39</t>
  </si>
  <si>
    <t xml:space="preserve">ORIG-&gt;ARG3/16,ARGm-LOC/1</t>
  </si>
  <si>
    <t xml:space="preserve">"vylétnout-002"</t>
  </si>
  <si>
    <t xml:space="preserve">"vylétnout-003"</t>
  </si>
  <si>
    <t xml:space="preserve">"vylétnout-004"</t>
  </si>
  <si>
    <t xml:space="preserve">DIR3-&gt;ARG2/2,ARG4/2</t>
  </si>
  <si>
    <t xml:space="preserve">"vylétnout-005"</t>
  </si>
  <si>
    <t xml:space="preserve">"vylévat-001"</t>
  </si>
  <si>
    <t xml:space="preserve">"vylévat-se-001"</t>
  </si>
  <si>
    <t xml:space="preserve">"vylévat-si-001"</t>
  </si>
  <si>
    <t xml:space="preserve">DPHR-&gt;ARG1/35</t>
  </si>
  <si>
    <t xml:space="preserve">"vylézat-001"</t>
  </si>
  <si>
    <t xml:space="preserve">"vylézt-001"</t>
  </si>
  <si>
    <t xml:space="preserve">"vylézt-002"</t>
  </si>
  <si>
    <t xml:space="preserve">"vylézt-003"</t>
  </si>
  <si>
    <t xml:space="preserve">"vylézt-004"</t>
  </si>
  <si>
    <t xml:space="preserve">"vylézt-005"</t>
  </si>
  <si>
    <t xml:space="preserve">"vylézt-006"</t>
  </si>
  <si>
    <t xml:space="preserve">"vylézt-007"</t>
  </si>
  <si>
    <t xml:space="preserve">"vyléčit-001"</t>
  </si>
  <si>
    <t xml:space="preserve">ACT-&gt;ARG3/2</t>
  </si>
  <si>
    <t xml:space="preserve">"vyléčit-002"</t>
  </si>
  <si>
    <t xml:space="preserve">"vyléčit-se-001"</t>
  </si>
  <si>
    <t xml:space="preserve">"vylít-001"</t>
  </si>
  <si>
    <t xml:space="preserve">"vylít-002"</t>
  </si>
  <si>
    <t xml:space="preserve">"vylítat-001"</t>
  </si>
  <si>
    <t xml:space="preserve">"vylítat-002"</t>
  </si>
  <si>
    <t xml:space="preserve">"vylítnout-001"</t>
  </si>
  <si>
    <t xml:space="preserve">"vylítnout-002"</t>
  </si>
  <si>
    <t xml:space="preserve">"vylítávat-001"</t>
  </si>
  <si>
    <t xml:space="preserve">"vylízat-001"</t>
  </si>
  <si>
    <t xml:space="preserve">"vylízat-se-001"</t>
  </si>
  <si>
    <t xml:space="preserve">"vylíčit-001"</t>
  </si>
  <si>
    <t xml:space="preserve">"vymalovat-001"</t>
  </si>
  <si>
    <t xml:space="preserve">"vymanit-001"</t>
  </si>
  <si>
    <t xml:space="preserve">"vymanit-se-001"</t>
  </si>
  <si>
    <t xml:space="preserve">ACT-&gt;ARG0/5,ARG1/280,ARG2/3</t>
  </si>
  <si>
    <t xml:space="preserve">DIR1-&gt;ARG1/2,ARG2/279</t>
  </si>
  <si>
    <t xml:space="preserve">"vymanévrovat-001"</t>
  </si>
  <si>
    <t xml:space="preserve">"vymazat-001"</t>
  </si>
  <si>
    <t xml:space="preserve">"vymazat-002"</t>
  </si>
  <si>
    <t xml:space="preserve">"vymazat-003"</t>
  </si>
  <si>
    <t xml:space="preserve">"vymazat-004"</t>
  </si>
  <si>
    <t xml:space="preserve">DPHR: z-1[hlava.S2]</t>
  </si>
  <si>
    <t xml:space="preserve">"vymačkat-001"</t>
  </si>
  <si>
    <t xml:space="preserve">"vymačkat-002"</t>
  </si>
  <si>
    <t xml:space="preserve">"vymetat-001"</t>
  </si>
  <si>
    <t xml:space="preserve">"vymetat-002"</t>
  </si>
  <si>
    <t xml:space="preserve">"vymezit-001"</t>
  </si>
  <si>
    <t xml:space="preserve">PAT-&gt;ARG1/153,ARG2/1</t>
  </si>
  <si>
    <t xml:space="preserve">"vymezovat-001"</t>
  </si>
  <si>
    <t xml:space="preserve">PAT-&gt;ARG1/125,ARG2/1</t>
  </si>
  <si>
    <t xml:space="preserve">"vymizet-001"</t>
  </si>
  <si>
    <t xml:space="preserve">"vymiňovat-si-001"</t>
  </si>
  <si>
    <t xml:space="preserve">"vymknout-se-001"</t>
  </si>
  <si>
    <t xml:space="preserve">ACT-&gt;ARG1/109</t>
  </si>
  <si>
    <t xml:space="preserve">PAT-&gt;ARG1/1,ARG2/97</t>
  </si>
  <si>
    <t xml:space="preserve">"vymknout-se-002"</t>
  </si>
  <si>
    <t xml:space="preserve">DPHR: z-1[ruka.S2]; z-1[ruka.P2]</t>
  </si>
  <si>
    <t xml:space="preserve">"vymlouvat-001"</t>
  </si>
  <si>
    <t xml:space="preserve">"vymlouvat-se-001"</t>
  </si>
  <si>
    <t xml:space="preserve">PAT-&gt;ARG1/43,ARG2/1</t>
  </si>
  <si>
    <t xml:space="preserve">"vymluvit-001"</t>
  </si>
  <si>
    <t xml:space="preserve">"vymluvit-se-001"</t>
  </si>
  <si>
    <t xml:space="preserve">"vymlátit-001"</t>
  </si>
  <si>
    <t xml:space="preserve">"vymoci-001"</t>
  </si>
  <si>
    <t xml:space="preserve">?ORIG: na+6; po+6; od+2; z+2</t>
  </si>
  <si>
    <t xml:space="preserve">"vymodlit-001"</t>
  </si>
  <si>
    <t xml:space="preserve">"vymočit-se-001"</t>
  </si>
  <si>
    <t xml:space="preserve">"vymrdat-001"</t>
  </si>
  <si>
    <t xml:space="preserve">"vymrdat-002"</t>
  </si>
  <si>
    <t xml:space="preserve">"vymrštit-001"</t>
  </si>
  <si>
    <t xml:space="preserve">ORIG-&gt;ARG3/17</t>
  </si>
  <si>
    <t xml:space="preserve">"vymrštit-002"</t>
  </si>
  <si>
    <t xml:space="preserve">"vymrštit-003"</t>
  </si>
  <si>
    <t xml:space="preserve">"vymstít-se-001"</t>
  </si>
  <si>
    <t xml:space="preserve">"vymykat-se-001"</t>
  </si>
  <si>
    <t xml:space="preserve">"vymykat-se-002"</t>
  </si>
  <si>
    <t xml:space="preserve">"vymyslet-001"</t>
  </si>
  <si>
    <t xml:space="preserve">PAT: 4; ↓že; ↓zda; ↓jestli; ↓c; .f</t>
  </si>
  <si>
    <t xml:space="preserve">ACT-&gt;ARG0/374,ARG1/3,ARG2/2</t>
  </si>
  <si>
    <t xml:space="preserve">PAT-&gt;ARG1/533,ARG2/2</t>
  </si>
  <si>
    <t xml:space="preserve">"vymyslet-002"</t>
  </si>
  <si>
    <t xml:space="preserve">EFF: 4; ↓že; ↓jak-2</t>
  </si>
  <si>
    <t xml:space="preserve">EFF-&gt;ARG1/33</t>
  </si>
  <si>
    <t xml:space="preserve">"vymyslet-si-001"</t>
  </si>
  <si>
    <t xml:space="preserve">"vymyslet-si-002"</t>
  </si>
  <si>
    <t xml:space="preserve">"vymyslet-si-003"</t>
  </si>
  <si>
    <t xml:space="preserve">"vymyslit-001"</t>
  </si>
  <si>
    <t xml:space="preserve">"vymyslit-002"</t>
  </si>
  <si>
    <t xml:space="preserve">"vymyslit-si-001"</t>
  </si>
  <si>
    <t xml:space="preserve">PAT-&gt;ARG1/5,ARG2/6</t>
  </si>
  <si>
    <t xml:space="preserve">"vymyslit-si-002"</t>
  </si>
  <si>
    <t xml:space="preserve">?PAT: o+6; na+4</t>
  </si>
  <si>
    <t xml:space="preserve">"vymáchat-001"</t>
  </si>
  <si>
    <t xml:space="preserve">"vymáhat-001"</t>
  </si>
  <si>
    <t xml:space="preserve">?ORIG: na+6; po+6; od+2</t>
  </si>
  <si>
    <t xml:space="preserve">"vymáčknout-001"</t>
  </si>
  <si>
    <t xml:space="preserve">ORIG-&gt;ARG1/2,ARG2/32</t>
  </si>
  <si>
    <t xml:space="preserve">"vymáčknout-002"</t>
  </si>
  <si>
    <t xml:space="preserve">"vymést-001"</t>
  </si>
  <si>
    <t xml:space="preserve">"vymést-002"</t>
  </si>
  <si>
    <t xml:space="preserve">"vymínit-si-001"</t>
  </si>
  <si>
    <t xml:space="preserve">"vymírat-001"</t>
  </si>
  <si>
    <t xml:space="preserve">"vymýt-001"</t>
  </si>
  <si>
    <t xml:space="preserve">"vymýtit-001"</t>
  </si>
  <si>
    <t xml:space="preserve">"vymýtit-002"</t>
  </si>
  <si>
    <t xml:space="preserve">"vymývat-001"</t>
  </si>
  <si>
    <t xml:space="preserve">"vymýšlet-001"</t>
  </si>
  <si>
    <t xml:space="preserve">"vymýšlet-002"</t>
  </si>
  <si>
    <t xml:space="preserve">"vymýšlet-si-001"</t>
  </si>
  <si>
    <t xml:space="preserve">"vymýšlet-si-002"</t>
  </si>
  <si>
    <t xml:space="preserve">"vyměnit-001"</t>
  </si>
  <si>
    <t xml:space="preserve">ACT-&gt;ARG0/129,ARG1/2,ARG2/29</t>
  </si>
  <si>
    <t xml:space="preserve">PAT-&gt;ARG1/290,ARG3/6</t>
  </si>
  <si>
    <t xml:space="preserve">EFF-&gt;ARG1/12,ARG2/39,ARG3/35</t>
  </si>
  <si>
    <t xml:space="preserve">"vyměnit-002"</t>
  </si>
  <si>
    <t xml:space="preserve">ACT-&gt;ARG0/148,ARG1/3,ARG2/8</t>
  </si>
  <si>
    <t xml:space="preserve">PAT-&gt;ARG1/242,ARG2/1,ARG3/8</t>
  </si>
  <si>
    <t xml:space="preserve">EFF-&gt;ARG1/14,ARG2/62,ARG3/29</t>
  </si>
  <si>
    <t xml:space="preserve">"vyměňovat-001"</t>
  </si>
  <si>
    <t xml:space="preserve">?ADDR: s+7; mezi-1[.P7]; mezi+7,mezi+7</t>
  </si>
  <si>
    <t xml:space="preserve">ADDR-&gt;ARG0/1,ARG2/1</t>
  </si>
  <si>
    <t xml:space="preserve">EFF-&gt;ARG1/1,ARG3/10</t>
  </si>
  <si>
    <t xml:space="preserve">"vyměňovat-002"</t>
  </si>
  <si>
    <t xml:space="preserve">EFF-&gt;ARG1/2,ARG3/35</t>
  </si>
  <si>
    <t xml:space="preserve">"--vyměňovat-si-001"</t>
  </si>
  <si>
    <t xml:space="preserve">"vyměřit-001"</t>
  </si>
  <si>
    <t xml:space="preserve">"vyměřovat-001"</t>
  </si>
  <si>
    <t xml:space="preserve">"vymřít-001"</t>
  </si>
  <si>
    <t xml:space="preserve">"vynachválit-si-001"</t>
  </si>
  <si>
    <t xml:space="preserve">PAT: 4; ↓jak-2; ↓že</t>
  </si>
  <si>
    <t xml:space="preserve">"vynacházet-se-001"</t>
  </si>
  <si>
    <t xml:space="preserve">"vynadat-001"</t>
  </si>
  <si>
    <t xml:space="preserve">"vynahradit-001"</t>
  </si>
  <si>
    <t xml:space="preserve">"vynahrazovat-001"</t>
  </si>
  <si>
    <t xml:space="preserve">"vynakládat-001"</t>
  </si>
  <si>
    <t xml:space="preserve">ACT-&gt;ARG0/232,ARG1/2,ARG3/1</t>
  </si>
  <si>
    <t xml:space="preserve">PAT-&gt;ARG1/162,ARG2/1,ARG3/143</t>
  </si>
  <si>
    <t xml:space="preserve">"vynaleznout-001"</t>
  </si>
  <si>
    <t xml:space="preserve">PAT-&gt;ARG1/169,ARG2/2</t>
  </si>
  <si>
    <t xml:space="preserve">"vynaložit-001"</t>
  </si>
  <si>
    <t xml:space="preserve">"vynaložit-002"</t>
  </si>
  <si>
    <t xml:space="preserve">ACT-&gt;ARG0/179,ARG3/1</t>
  </si>
  <si>
    <t xml:space="preserve">PAT-&gt;ARG1/265,ARG3/143</t>
  </si>
  <si>
    <t xml:space="preserve">"vynaložit-003"</t>
  </si>
  <si>
    <t xml:space="preserve">"vynalézat-001"</t>
  </si>
  <si>
    <t xml:space="preserve">"vynalézt-001"</t>
  </si>
  <si>
    <t xml:space="preserve">"vyndat-001"</t>
  </si>
  <si>
    <t xml:space="preserve">"vyndat-002"</t>
  </si>
  <si>
    <t xml:space="preserve">"vyndavat-001"</t>
  </si>
  <si>
    <t xml:space="preserve">"vyndávat-001"</t>
  </si>
  <si>
    <t xml:space="preserve">"vyndávat-002"</t>
  </si>
  <si>
    <t xml:space="preserve">"vynechat-001"</t>
  </si>
  <si>
    <t xml:space="preserve">"vynechat-002"</t>
  </si>
  <si>
    <t xml:space="preserve">"vynechávat-001"</t>
  </si>
  <si>
    <t xml:space="preserve">"vynechávat-002"</t>
  </si>
  <si>
    <t xml:space="preserve">"vynikat-001"</t>
  </si>
  <si>
    <t xml:space="preserve">"vyniknout-001"</t>
  </si>
  <si>
    <t xml:space="preserve">"vynosit-001"</t>
  </si>
  <si>
    <t xml:space="preserve">"vynořit-se-001"</t>
  </si>
  <si>
    <t xml:space="preserve">"vynořit-se-002"</t>
  </si>
  <si>
    <t xml:space="preserve">ACT-&gt;ARG0/33,ARG1/24</t>
  </si>
  <si>
    <t xml:space="preserve">"vynořit-se-003"</t>
  </si>
  <si>
    <t xml:space="preserve">"vynořovat-se-001"</t>
  </si>
  <si>
    <t xml:space="preserve">"vynořovat-se-002"</t>
  </si>
  <si>
    <t xml:space="preserve">"vynucovat-001"</t>
  </si>
  <si>
    <t xml:space="preserve">"vynucovat-si-001"</t>
  </si>
  <si>
    <t xml:space="preserve">"vynulovat-001"</t>
  </si>
  <si>
    <t xml:space="preserve">"vynutit-001"</t>
  </si>
  <si>
    <t xml:space="preserve">"vynutit-si-001"</t>
  </si>
  <si>
    <t xml:space="preserve">PAT-&gt;ARG1/28,ARG2/145</t>
  </si>
  <si>
    <t xml:space="preserve">"vynásobit-001"</t>
  </si>
  <si>
    <t xml:space="preserve">"vynášet-001"</t>
  </si>
  <si>
    <t xml:space="preserve">ACT-&gt;ARG0/117,ARG1/4</t>
  </si>
  <si>
    <t xml:space="preserve">PAT-&gt;ARG0/2,ARG1/346,ARG3/1</t>
  </si>
  <si>
    <t xml:space="preserve">"vynášet-002"</t>
  </si>
  <si>
    <t xml:space="preserve">"vynášet-003"</t>
  </si>
  <si>
    <t xml:space="preserve">"vynášet-004"</t>
  </si>
  <si>
    <t xml:space="preserve">"vynášet-005"</t>
  </si>
  <si>
    <t xml:space="preserve">"vynést-001"</t>
  </si>
  <si>
    <t xml:space="preserve">"vynést-002"</t>
  </si>
  <si>
    <t xml:space="preserve">ACT-&gt;ARG0/59,ARG1/9</t>
  </si>
  <si>
    <t xml:space="preserve">PAT-&gt;ARG0/6,ARG1/86</t>
  </si>
  <si>
    <t xml:space="preserve">DIR3-&gt;ARG2/2,ARG3/37</t>
  </si>
  <si>
    <t xml:space="preserve">"vynést-003"</t>
  </si>
  <si>
    <t xml:space="preserve">ACT-&gt;ARG0/412,ARG1/92</t>
  </si>
  <si>
    <t xml:space="preserve">PAT-&gt;ARG1/786,ARG2/99,ARG3/1</t>
  </si>
  <si>
    <t xml:space="preserve">"vynést-004"</t>
  </si>
  <si>
    <t xml:space="preserve">"vynést-005"</t>
  </si>
  <si>
    <t xml:space="preserve">ACT-&gt;ARG0/108,ARG1/2</t>
  </si>
  <si>
    <t xml:space="preserve">EXT-&gt;ARG1/453,ARG2/1</t>
  </si>
  <si>
    <t xml:space="preserve">EXT-&gt;ARG1/654</t>
  </si>
  <si>
    <t xml:space="preserve">"vynést-006"</t>
  </si>
  <si>
    <t xml:space="preserve">ACT-&gt;ARG0/217,ARG2/1</t>
  </si>
  <si>
    <t xml:space="preserve">ACT-&gt;ARG0/219,ARG2/1</t>
  </si>
  <si>
    <t xml:space="preserve">CPHR: {rozhodnutí,rozsudek,soud,trest,...}.4</t>
  </si>
  <si>
    <t xml:space="preserve">CPHR-&gt;ARG1/278</t>
  </si>
  <si>
    <t xml:space="preserve">"vyobrazit-001"</t>
  </si>
  <si>
    <t xml:space="preserve">PAT: 4; ↓c; ↓jak-2; ↓že</t>
  </si>
  <si>
    <t xml:space="preserve">"vyoperovat-001"</t>
  </si>
  <si>
    <t xml:space="preserve">"vyostřit-se-001"</t>
  </si>
  <si>
    <t xml:space="preserve">"vyostřovat-se-001"</t>
  </si>
  <si>
    <t xml:space="preserve">"vypadat-001"</t>
  </si>
  <si>
    <t xml:space="preserve">PAT: a.1; ↓že</t>
  </si>
  <si>
    <t xml:space="preserve">ACT-&gt;ARG0/49,ARG1/143</t>
  </si>
  <si>
    <t xml:space="preserve">PAT-&gt;ARG1/241,ARG2/55,ARG3/10</t>
  </si>
  <si>
    <t xml:space="preserve">"vypadat-002"</t>
  </si>
  <si>
    <t xml:space="preserve">ACT-&gt;ARG0/41,ARG1/151,ARG2/7</t>
  </si>
  <si>
    <t xml:space="preserve">PAT-&gt;ARG0/49,ARG1/256,ARG2/1</t>
  </si>
  <si>
    <t xml:space="preserve">"vypadat-003"</t>
  </si>
  <si>
    <t xml:space="preserve">"vypadat-004"</t>
  </si>
  <si>
    <t xml:space="preserve">ALT-TFHL: </t>
  </si>
  <si>
    <t xml:space="preserve">ACT-&gt;ARG0/90,ARG1/3346,ARG2/299</t>
  </si>
  <si>
    <t xml:space="preserve">MANN-&gt;ARG1/405,ARG2/3513</t>
  </si>
  <si>
    <t xml:space="preserve">TFHL-&gt;ARG1/241,ARG2/55,ARG3/10</t>
  </si>
  <si>
    <t xml:space="preserve">"vypadat-005"</t>
  </si>
  <si>
    <t xml:space="preserve">"vypadat-006"</t>
  </si>
  <si>
    <t xml:space="preserve">DPHR: jako[ze-1[škatulka.S2]]</t>
  </si>
  <si>
    <t xml:space="preserve">DPHR-&gt;ARG1/59</t>
  </si>
  <si>
    <t xml:space="preserve">"vypadnout-001"</t>
  </si>
  <si>
    <t xml:space="preserve">ACT-&gt;ARG0/7,ARG1/53</t>
  </si>
  <si>
    <t xml:space="preserve">DIR1-&gt;ARG1/4,ARG3/32</t>
  </si>
  <si>
    <t xml:space="preserve">"vypadnout-002"</t>
  </si>
  <si>
    <t xml:space="preserve">"vypadnout-003"</t>
  </si>
  <si>
    <t xml:space="preserve">"vypadnout-004"</t>
  </si>
  <si>
    <t xml:space="preserve">"vypadnout-005"</t>
  </si>
  <si>
    <t xml:space="preserve">"vypadnout-006"</t>
  </si>
  <si>
    <t xml:space="preserve">"vypadnout-007"</t>
  </si>
  <si>
    <t xml:space="preserve">"vypadnout-008"</t>
  </si>
  <si>
    <t xml:space="preserve">"vypadávat-001"</t>
  </si>
  <si>
    <t xml:space="preserve">"vypadávat-002"</t>
  </si>
  <si>
    <t xml:space="preserve">"vypalovat-001"</t>
  </si>
  <si>
    <t xml:space="preserve">"vypalovat-002"</t>
  </si>
  <si>
    <t xml:space="preserve">"vypalovat-003"</t>
  </si>
  <si>
    <t xml:space="preserve">"vypařit-se-001"</t>
  </si>
  <si>
    <t xml:space="preserve">"vypařovat-se-001"</t>
  </si>
  <si>
    <t xml:space="preserve">"vypisovat-001"</t>
  </si>
  <si>
    <t xml:space="preserve">"vypisovat-002"</t>
  </si>
  <si>
    <t xml:space="preserve">"vypisovat-003"</t>
  </si>
  <si>
    <t xml:space="preserve">"vypisovat-004"</t>
  </si>
  <si>
    <t xml:space="preserve">"vyplatit-001"</t>
  </si>
  <si>
    <t xml:space="preserve">ACT-&gt;ARG0/730,ARG1/3,ARG2/1</t>
  </si>
  <si>
    <t xml:space="preserve">PAT-&gt;ARG1/1447,ARG2/32,ARG3/19</t>
  </si>
  <si>
    <t xml:space="preserve">ADDR-&gt;ARG0/1,ARG1/8,ARG2/469,ARG3/4</t>
  </si>
  <si>
    <t xml:space="preserve">EFF-&gt;ARG1/3,ARG2/16,ARG3/189</t>
  </si>
  <si>
    <t xml:space="preserve">"vyplatit-002"</t>
  </si>
  <si>
    <t xml:space="preserve">ACT-&gt;ARG0/293,ARG1/1,ARG2/1</t>
  </si>
  <si>
    <t xml:space="preserve">PAT-&gt;ARG0/1,ARG1/27,ARG2/128,ARG3/4</t>
  </si>
  <si>
    <t xml:space="preserve">"vyplatit-003"</t>
  </si>
  <si>
    <t xml:space="preserve">"vyplatit-004"</t>
  </si>
  <si>
    <t xml:space="preserve">EXT-&gt;ARG1/363,ARG2/11,ARG3/9</t>
  </si>
  <si>
    <t xml:space="preserve">"vyplatit-005"</t>
  </si>
  <si>
    <t xml:space="preserve">ACT-&gt;ARG0/380,ARG1/4,ARG2/8</t>
  </si>
  <si>
    <t xml:space="preserve">PAT-&gt;ARG0/1,ARG1/8,ARG2/130,ARG3/4</t>
  </si>
  <si>
    <t xml:space="preserve">PAT-&gt;ARG0/1,ARG1/117,ARG2/147,ARG3/4</t>
  </si>
  <si>
    <t xml:space="preserve">"vyplatit-se-001"</t>
  </si>
  <si>
    <t xml:space="preserve">ACT: 1; .f; ↓že; ↓kdyby</t>
  </si>
  <si>
    <t xml:space="preserve">"vyplatit-se-002"</t>
  </si>
  <si>
    <t xml:space="preserve">"vyplavat-001"</t>
  </si>
  <si>
    <t xml:space="preserve">"vyplavat-002"</t>
  </si>
  <si>
    <t xml:space="preserve">"vyplavat-se-001"</t>
  </si>
  <si>
    <t xml:space="preserve">"vyplavit-001"</t>
  </si>
  <si>
    <t xml:space="preserve">"vyplavit-002"</t>
  </si>
  <si>
    <t xml:space="preserve">"vyplazovat-001"</t>
  </si>
  <si>
    <t xml:space="preserve">"vyplašit-001"</t>
  </si>
  <si>
    <t xml:space="preserve">"vyplenit-001"</t>
  </si>
  <si>
    <t xml:space="preserve">"vyplivnout-001"</t>
  </si>
  <si>
    <t xml:space="preserve">"vyplivovat-001"</t>
  </si>
  <si>
    <t xml:space="preserve">"vyplnit-001"</t>
  </si>
  <si>
    <t xml:space="preserve">"vyplnit-002"</t>
  </si>
  <si>
    <t xml:space="preserve">"vyplnit-003"</t>
  </si>
  <si>
    <t xml:space="preserve">"vyplnit-se-001"</t>
  </si>
  <si>
    <t xml:space="preserve">"vyplodit-001"</t>
  </si>
  <si>
    <t xml:space="preserve">"vyplout-001"</t>
  </si>
  <si>
    <t xml:space="preserve">"vyplouvat-001"</t>
  </si>
  <si>
    <t xml:space="preserve">"vyplouvat-002"</t>
  </si>
  <si>
    <t xml:space="preserve">"vyplynout-001"</t>
  </si>
  <si>
    <t xml:space="preserve">ACT-&gt;ARG0/35,ARG1/190,ARG2/22</t>
  </si>
  <si>
    <t xml:space="preserve">PAT-&gt;ARG1/50,ARG2/87</t>
  </si>
  <si>
    <t xml:space="preserve">"vyplynovat-001"</t>
  </si>
  <si>
    <t xml:space="preserve">"vyplácet-001"</t>
  </si>
  <si>
    <t xml:space="preserve">ACT-&gt;ARG0/691,ARG1/5,ARG2/1</t>
  </si>
  <si>
    <t xml:space="preserve">PAT-&gt;ARG1/840,ARG2/13,ARG3/18</t>
  </si>
  <si>
    <t xml:space="preserve">PAT-&gt;ARG1/459,ARG2/29,ARG3/20</t>
  </si>
  <si>
    <t xml:space="preserve">ADDR-&gt;ARG0/1,ARG1/110,ARG2/145,ARG3/4</t>
  </si>
  <si>
    <t xml:space="preserve">"vyplácet-002"</t>
  </si>
  <si>
    <t xml:space="preserve">"vyplácet-003"</t>
  </si>
  <si>
    <t xml:space="preserve">ACT-&gt;ARG0/288,ARG1/2,ARG2/1</t>
  </si>
  <si>
    <t xml:space="preserve">EXT-&gt;ARG1/344,ARG2/11,ARG3/9</t>
  </si>
  <si>
    <t xml:space="preserve">"vyplácet-004"</t>
  </si>
  <si>
    <t xml:space="preserve">"vyplácet-005"</t>
  </si>
  <si>
    <t xml:space="preserve">EFF-&gt;ARG1/3,ARG2/16,ARG3/186</t>
  </si>
  <si>
    <t xml:space="preserve">"vyplácet-se-001"</t>
  </si>
  <si>
    <t xml:space="preserve">"vypláchnout-001"</t>
  </si>
  <si>
    <t xml:space="preserve">"vyplétat-001"</t>
  </si>
  <si>
    <t xml:space="preserve">"vyplísnit-001"</t>
  </si>
  <si>
    <t xml:space="preserve">"vyplýtvat-001"</t>
  </si>
  <si>
    <t xml:space="preserve">"vyplývat-001"</t>
  </si>
  <si>
    <t xml:space="preserve">ACT-&gt;ARG1/797,ARG2/22</t>
  </si>
  <si>
    <t xml:space="preserve">PAT-&gt;ARG0/331,ARG1/50,ARG2/80</t>
  </si>
  <si>
    <t xml:space="preserve">"vyplňovat-001"</t>
  </si>
  <si>
    <t xml:space="preserve">PAT-&gt;ARG1/229,ARG2/26</t>
  </si>
  <si>
    <t xml:space="preserve">"vyplňovat-002"</t>
  </si>
  <si>
    <t xml:space="preserve">"vypnout-001"</t>
  </si>
  <si>
    <t xml:space="preserve">"vypnout-002"</t>
  </si>
  <si>
    <t xml:space="preserve">"vypnout-se-001"</t>
  </si>
  <si>
    <t xml:space="preserve">"vypochodovat-001"</t>
  </si>
  <si>
    <t xml:space="preserve">"vypodobňovat-001"</t>
  </si>
  <si>
    <t xml:space="preserve">"vypomoci-001"</t>
  </si>
  <si>
    <t xml:space="preserve">?PAT: 4; .f; s+7; v+6</t>
  </si>
  <si>
    <t xml:space="preserve">"vypomáhat-001"</t>
  </si>
  <si>
    <t xml:space="preserve">"vyporážet-001"</t>
  </si>
  <si>
    <t xml:space="preserve">"vyposlechnout-001"</t>
  </si>
  <si>
    <t xml:space="preserve">"vypotit-001"</t>
  </si>
  <si>
    <t xml:space="preserve">"vypotit-002"</t>
  </si>
  <si>
    <t xml:space="preserve">"vypouštět-001"</t>
  </si>
  <si>
    <t xml:space="preserve">"vypouštět-002"</t>
  </si>
  <si>
    <t xml:space="preserve">"vypovídat-001"</t>
  </si>
  <si>
    <t xml:space="preserve">"vypovídat-002"</t>
  </si>
  <si>
    <t xml:space="preserve">"vypovídat-003"</t>
  </si>
  <si>
    <t xml:space="preserve">"vypovídat-004"</t>
  </si>
  <si>
    <t xml:space="preserve">"vypovídat-005"</t>
  </si>
  <si>
    <t xml:space="preserve">"vypovídat-006"</t>
  </si>
  <si>
    <t xml:space="preserve">"vypovídat-007"</t>
  </si>
  <si>
    <t xml:space="preserve">EFF: 4; ↓že; ↓zda; ↓jestli</t>
  </si>
  <si>
    <t xml:space="preserve">"vypovídat-008"</t>
  </si>
  <si>
    <t xml:space="preserve">EFF-&gt;ARG1/7</t>
  </si>
  <si>
    <t xml:space="preserve">"vypovídat-se-001"</t>
  </si>
  <si>
    <t xml:space="preserve">"vypovědět-001"</t>
  </si>
  <si>
    <t xml:space="preserve">"vypovědět-002"</t>
  </si>
  <si>
    <t xml:space="preserve">"vypovědět-003"</t>
  </si>
  <si>
    <t xml:space="preserve">"vypovědět-004"</t>
  </si>
  <si>
    <t xml:space="preserve">EFF-&gt;ARG0/1,ARG1/61</t>
  </si>
  <si>
    <t xml:space="preserve">"vypovědět-005"</t>
  </si>
  <si>
    <t xml:space="preserve">"vypovědět-006"</t>
  </si>
  <si>
    <t xml:space="preserve">CPHR: {válka,...}.4</t>
  </si>
  <si>
    <t xml:space="preserve">"vypovědět-007"</t>
  </si>
  <si>
    <t xml:space="preserve">DPHR: služba.S4</t>
  </si>
  <si>
    <t xml:space="preserve">"vypozorovat-001"</t>
  </si>
  <si>
    <t xml:space="preserve">"vypočíst-001"</t>
  </si>
  <si>
    <t xml:space="preserve">"vypočítat-001"</t>
  </si>
  <si>
    <t xml:space="preserve">"vypočítávat-001"</t>
  </si>
  <si>
    <t xml:space="preserve">"vypočítávat-002"</t>
  </si>
  <si>
    <t xml:space="preserve">"vypořádat-001"</t>
  </si>
  <si>
    <t xml:space="preserve">ADDR-&gt;ARG1/4,ARG2/2</t>
  </si>
  <si>
    <t xml:space="preserve">"vypořádat-002"</t>
  </si>
  <si>
    <t xml:space="preserve">"vypořádat-se-001"</t>
  </si>
  <si>
    <t xml:space="preserve">"vypořádávat-001"</t>
  </si>
  <si>
    <t xml:space="preserve">ACT-&gt;ARG0/183,ARG2/66</t>
  </si>
  <si>
    <t xml:space="preserve">PAT-&gt;ARG1/585,ARG2/7</t>
  </si>
  <si>
    <t xml:space="preserve">"vypořádávat-se-001"</t>
  </si>
  <si>
    <t xml:space="preserve">"vypracovat-001"</t>
  </si>
  <si>
    <t xml:space="preserve">ACT-&gt;ARG0/155,ARG2/2</t>
  </si>
  <si>
    <t xml:space="preserve">ACT-&gt;ARG0/22,ARG2/2</t>
  </si>
  <si>
    <t xml:space="preserve">ACT-&gt;ARG0/775,ARG1/4,ARG2/2</t>
  </si>
  <si>
    <t xml:space="preserve">PAT-&gt;ARG1/216,ARG2/2</t>
  </si>
  <si>
    <t xml:space="preserve">PAT-&gt;ARG1/1246,ARG2/2</t>
  </si>
  <si>
    <t xml:space="preserve">"vypracovat-se-001"</t>
  </si>
  <si>
    <t xml:space="preserve">?PAT: na+4; do+2; k+3</t>
  </si>
  <si>
    <t xml:space="preserve">"vypracovávat-001"</t>
  </si>
  <si>
    <t xml:space="preserve">ACT-&gt;ARG0/10,ARG2/2</t>
  </si>
  <si>
    <t xml:space="preserve">"vypracovávat-se-001"</t>
  </si>
  <si>
    <t xml:space="preserve">"vyprat-001"</t>
  </si>
  <si>
    <t xml:space="preserve">"vyprat-002"</t>
  </si>
  <si>
    <t xml:space="preserve">"vypravit-001"</t>
  </si>
  <si>
    <t xml:space="preserve">"vypravit-002"</t>
  </si>
  <si>
    <t xml:space="preserve">DPHR: z-1.$2&lt;V&gt;[se.$2&lt;6&gt;$5&lt;2&gt;]</t>
  </si>
  <si>
    <t xml:space="preserve">"vypravit-se-001"</t>
  </si>
  <si>
    <t xml:space="preserve">"vypravovat-001"</t>
  </si>
  <si>
    <t xml:space="preserve">"vypravovat-002"</t>
  </si>
  <si>
    <t xml:space="preserve">"vypravovat-003"</t>
  </si>
  <si>
    <t xml:space="preserve">"vypravovat-se-001"</t>
  </si>
  <si>
    <t xml:space="preserve">"vyprazdňovat-001"</t>
  </si>
  <si>
    <t xml:space="preserve">"vyprchat-001"</t>
  </si>
  <si>
    <t xml:space="preserve">"vyprodat-001"</t>
  </si>
  <si>
    <t xml:space="preserve">PAT-&gt;ARG0/4,ARG1/39</t>
  </si>
  <si>
    <t xml:space="preserve">"vyprodukovat-001"</t>
  </si>
  <si>
    <t xml:space="preserve">ACT-&gt;ARG0/533,ARG1/7,ARG2/3</t>
  </si>
  <si>
    <t xml:space="preserve">PAT-&gt;ARG1/798</t>
  </si>
  <si>
    <t xml:space="preserve">"vyprodávat-001"</t>
  </si>
  <si>
    <t xml:space="preserve">ACT-&gt;ARG0/489,ARG1/2,ARG2/1</t>
  </si>
  <si>
    <t xml:space="preserve">PAT-&gt;ARG0/1,ARG1/933,ARG2/1</t>
  </si>
  <si>
    <t xml:space="preserve">"vyprofilovat-se-001"</t>
  </si>
  <si>
    <t xml:space="preserve">?PAT: na+4; do+2; 1[{jako,jakožto}:/AuxY]; .a1[{jako,jakožto}:/AuxY]</t>
  </si>
  <si>
    <t xml:space="preserve">"vyprojektovat-001"</t>
  </si>
  <si>
    <t xml:space="preserve">ACT-&gt;ARG0/268,ARG1/4</t>
  </si>
  <si>
    <t xml:space="preserve">"vyprostit-001"</t>
  </si>
  <si>
    <t xml:space="preserve">PAT-&gt;ARG1/99</t>
  </si>
  <si>
    <t xml:space="preserve">"--vyprostit-002"</t>
  </si>
  <si>
    <t xml:space="preserve">"vyprostit-se-001"</t>
  </si>
  <si>
    <t xml:space="preserve">"vyprovodit-001"</t>
  </si>
  <si>
    <t xml:space="preserve">"vyprovokovat-001"</t>
  </si>
  <si>
    <t xml:space="preserve">ACT-&gt;ARG0/6,ARG2/4</t>
  </si>
  <si>
    <t xml:space="preserve">"vyprovokovat-002"</t>
  </si>
  <si>
    <t xml:space="preserve">ADDR-&gt;ARG1/2,ARG2/1</t>
  </si>
  <si>
    <t xml:space="preserve">"vyprovázet-001"</t>
  </si>
  <si>
    <t xml:space="preserve">"vyprošťovat-001"</t>
  </si>
  <si>
    <t xml:space="preserve">"vyprávět-001"</t>
  </si>
  <si>
    <t xml:space="preserve">ACT-&gt;ARG0/314,ARG1/2</t>
  </si>
  <si>
    <t xml:space="preserve">"vyprávět-002"</t>
  </si>
  <si>
    <t xml:space="preserve">EFF: 4; ↓že; ↓jak-2; .s; ↓c; ↓jestli</t>
  </si>
  <si>
    <t xml:space="preserve">ACT-&gt;ARG0/12428,ARG1/38</t>
  </si>
  <si>
    <t xml:space="preserve">EFF-&gt;ARG0/2,ARG1/10843,ARG2/2</t>
  </si>
  <si>
    <t xml:space="preserve">"vyprázdnit-001"</t>
  </si>
  <si>
    <t xml:space="preserve">"vyprázdnit-se-001"</t>
  </si>
  <si>
    <t xml:space="preserve">"vyprášit-001"</t>
  </si>
  <si>
    <t xml:space="preserve">"vypršet-001"</t>
  </si>
  <si>
    <t xml:space="preserve">ACT-&gt;ARG1/92,ARG2/55</t>
  </si>
  <si>
    <t xml:space="preserve">ACT-&gt;ARG0/13,ARG1/190</t>
  </si>
  <si>
    <t xml:space="preserve">"vypsat-001"</t>
  </si>
  <si>
    <t xml:space="preserve">ACT-&gt;ARG0/345,ARG1/9</t>
  </si>
  <si>
    <t xml:space="preserve">PAT-&gt;ARG1/478,ARG2/53,ARG3/1</t>
  </si>
  <si>
    <t xml:space="preserve">"vypsat-002"</t>
  </si>
  <si>
    <t xml:space="preserve">"vyptat-se-001"</t>
  </si>
  <si>
    <t xml:space="preserve">"vyptávat-se-001"</t>
  </si>
  <si>
    <t xml:space="preserve">ADDR-&gt;ARG0/1,ARG1/1,ARG2/3</t>
  </si>
  <si>
    <t xml:space="preserve">"vypucovat-001"</t>
  </si>
  <si>
    <t xml:space="preserve">"vypudit-001"</t>
  </si>
  <si>
    <t xml:space="preserve">"vypuknout-001"</t>
  </si>
  <si>
    <t xml:space="preserve">ACT-&gt;ARG0/6,ARG1/158</t>
  </si>
  <si>
    <t xml:space="preserve">"vypumpovat-001"</t>
  </si>
  <si>
    <t xml:space="preserve">"vypustit-001"</t>
  </si>
  <si>
    <t xml:space="preserve">"vypustit-002"</t>
  </si>
  <si>
    <t xml:space="preserve">"vypustit-003"</t>
  </si>
  <si>
    <t xml:space="preserve">"vypustit-004"</t>
  </si>
  <si>
    <t xml:space="preserve">"vypustit-005"</t>
  </si>
  <si>
    <t xml:space="preserve">"vypuzovat-001"</t>
  </si>
  <si>
    <t xml:space="preserve">"vypálit-001"</t>
  </si>
  <si>
    <t xml:space="preserve">"vypálit-002"</t>
  </si>
  <si>
    <t xml:space="preserve">DPHR: rybník:S4</t>
  </si>
  <si>
    <t xml:space="preserve">DPHR-&gt;ARG1/31</t>
  </si>
  <si>
    <t xml:space="preserve">"vypálit-003"</t>
  </si>
  <si>
    <t xml:space="preserve">"vypálit-004"</t>
  </si>
  <si>
    <t xml:space="preserve">"vypárat-001"</t>
  </si>
  <si>
    <t xml:space="preserve">"vypást-001"</t>
  </si>
  <si>
    <t xml:space="preserve">"vypást-002"</t>
  </si>
  <si>
    <t xml:space="preserve">"vypátrat-001"</t>
  </si>
  <si>
    <t xml:space="preserve">ACT-&gt;ARG0/643,ARG1/2,ARG2/1</t>
  </si>
  <si>
    <t xml:space="preserve">PAT-&gt;ARG0/1,ARG1/886,ARG2/5</t>
  </si>
  <si>
    <t xml:space="preserve">"vypíchnout-001"</t>
  </si>
  <si>
    <t xml:space="preserve">"vypíchnout-002"</t>
  </si>
  <si>
    <t xml:space="preserve">"vypínat-001"</t>
  </si>
  <si>
    <t xml:space="preserve">"vypískat-001"</t>
  </si>
  <si>
    <t xml:space="preserve">"vypískávat-001"</t>
  </si>
  <si>
    <t xml:space="preserve">"vypít-001"</t>
  </si>
  <si>
    <t xml:space="preserve">"vypěnit-001"</t>
  </si>
  <si>
    <t xml:space="preserve">"vypěnit-002"</t>
  </si>
  <si>
    <t xml:space="preserve">"vypěstovat-001"</t>
  </si>
  <si>
    <t xml:space="preserve">"vypěstovat-002"</t>
  </si>
  <si>
    <t xml:space="preserve">"vypřáhnout-001"</t>
  </si>
  <si>
    <t xml:space="preserve">"vypůjčit-001"</t>
  </si>
  <si>
    <t xml:space="preserve">"vypůjčit-si-001"</t>
  </si>
  <si>
    <t xml:space="preserve">"vypůjčovat-si-001"</t>
  </si>
  <si>
    <t xml:space="preserve">"vyrazit-001"</t>
  </si>
  <si>
    <t xml:space="preserve">"vyrazit-002"</t>
  </si>
  <si>
    <t xml:space="preserve">"vyrazit-003"</t>
  </si>
  <si>
    <t xml:space="preserve">"vyrazit-004"</t>
  </si>
  <si>
    <t xml:space="preserve">ACT-&gt;ARG0/12,ARG1/365,ARG2/3</t>
  </si>
  <si>
    <t xml:space="preserve">"vyrazit-005"</t>
  </si>
  <si>
    <t xml:space="preserve">"vyrazit-006"</t>
  </si>
  <si>
    <t xml:space="preserve">"vyrazit-007"</t>
  </si>
  <si>
    <t xml:space="preserve">"vyrazit-si-001"</t>
  </si>
  <si>
    <t xml:space="preserve">"vyrašit-001"</t>
  </si>
  <si>
    <t xml:space="preserve">"vyrašit-002"</t>
  </si>
  <si>
    <t xml:space="preserve">"vyreklamovat-001"</t>
  </si>
  <si>
    <t xml:space="preserve">"vyretušovat-001"</t>
  </si>
  <si>
    <t xml:space="preserve">"vyrobit-001"</t>
  </si>
  <si>
    <t xml:space="preserve">ACT-&gt;ARG0/715,ARG1/9,ARG2/3,ARG3/1</t>
  </si>
  <si>
    <t xml:space="preserve">PAT-&gt;ARG0/3,ARG1/1170,ARG2/2,ARG3/1</t>
  </si>
  <si>
    <t xml:space="preserve">ORIG-&gt;ARG1/1,ARG2/39</t>
  </si>
  <si>
    <t xml:space="preserve">"vyrojit-se-001"</t>
  </si>
  <si>
    <t xml:space="preserve">"vyrovnat-001"</t>
  </si>
  <si>
    <t xml:space="preserve">PAT-&gt;ARG0/1,ARG1/78,ARG4/1</t>
  </si>
  <si>
    <t xml:space="preserve">"vyrovnat-002"</t>
  </si>
  <si>
    <t xml:space="preserve">"vyrovnat-003"</t>
  </si>
  <si>
    <t xml:space="preserve">"vyrovnat-004"</t>
  </si>
  <si>
    <t xml:space="preserve">"vyrovnat-005"</t>
  </si>
  <si>
    <t xml:space="preserve">ACT-&gt;ARG0/18,ARG1/22,ARG2/66</t>
  </si>
  <si>
    <t xml:space="preserve">PAT-&gt;ARG1/108,ARG2/31</t>
  </si>
  <si>
    <t xml:space="preserve">"vyrovnat-006"</t>
  </si>
  <si>
    <t xml:space="preserve">ACT-&gt;ARG0/72,ARG1/28</t>
  </si>
  <si>
    <t xml:space="preserve">PAT-&gt;ARG1/248,ARG3/6</t>
  </si>
  <si>
    <t xml:space="preserve">"vyrovnat-007"</t>
  </si>
  <si>
    <t xml:space="preserve">"--vyrovnat-008"</t>
  </si>
  <si>
    <t xml:space="preserve">DPHR: účty</t>
  </si>
  <si>
    <t xml:space="preserve">"vyrovnat-se-001"</t>
  </si>
  <si>
    <t xml:space="preserve">ACT-&gt;ARG0/54,ARG1/34</t>
  </si>
  <si>
    <t xml:space="preserve">ACT-&gt;ARG0/50,ARG1/15</t>
  </si>
  <si>
    <t xml:space="preserve">PAT-&gt;ARG1/186,ARG2/7</t>
  </si>
  <si>
    <t xml:space="preserve">PAT-&gt;ARG1/138,ARG2/21</t>
  </si>
  <si>
    <t xml:space="preserve">"vyrovnat-se-002"</t>
  </si>
  <si>
    <t xml:space="preserve">ACT-&gt;ARG0/63,ARG1/12</t>
  </si>
  <si>
    <t xml:space="preserve">ACT-&gt;ARG0/127,ARG1/12</t>
  </si>
  <si>
    <t xml:space="preserve">PAT-&gt;ARG1/224</t>
  </si>
  <si>
    <t xml:space="preserve">PAT-&gt;ARG1/217,ARG2/18,ARG3/3,ARG4/5</t>
  </si>
  <si>
    <t xml:space="preserve">PAT-&gt;ARG1/353,ARG2/18,ARG3/3,ARG4/5</t>
  </si>
  <si>
    <t xml:space="preserve">"vyrovnat-se-003"</t>
  </si>
  <si>
    <t xml:space="preserve">"vyrovnat-se-004"</t>
  </si>
  <si>
    <t xml:space="preserve">ACT-&gt;ARG0/31,ARG1/199,ARG2/66</t>
  </si>
  <si>
    <t xml:space="preserve">"vyrovnat-si-001"</t>
  </si>
  <si>
    <t xml:space="preserve">"vyrovnávat-001"</t>
  </si>
  <si>
    <t xml:space="preserve">"vyrovnávat-002"</t>
  </si>
  <si>
    <t xml:space="preserve">ACT-&gt;ARG0/20,ARG2/66</t>
  </si>
  <si>
    <t xml:space="preserve">"vyrovnávat-se-001"</t>
  </si>
  <si>
    <t xml:space="preserve">"vyrozumět-001"</t>
  </si>
  <si>
    <t xml:space="preserve">PAT: o+6; ↓že; ↓c; .s</t>
  </si>
  <si>
    <t xml:space="preserve">"vyrozumět-002"</t>
  </si>
  <si>
    <t xml:space="preserve">"vyrubat-001"</t>
  </si>
  <si>
    <t xml:space="preserve">"vyrukovat-001"</t>
  </si>
  <si>
    <t xml:space="preserve">"vyrušit-001"</t>
  </si>
  <si>
    <t xml:space="preserve">"vyrušovat-001"</t>
  </si>
  <si>
    <t xml:space="preserve">"vyrvat-001"</t>
  </si>
  <si>
    <t xml:space="preserve">"vyrábět-001"</t>
  </si>
  <si>
    <t xml:space="preserve">ACT-&gt;ARG0/598,ARG1/6,ARG2/3</t>
  </si>
  <si>
    <t xml:space="preserve">PAT-&gt;ARG1/1017,ARG3/1</t>
  </si>
  <si>
    <t xml:space="preserve">"vyrážet-001"</t>
  </si>
  <si>
    <t xml:space="preserve">"vyrážet-002"</t>
  </si>
  <si>
    <t xml:space="preserve">"vyrážet-003"</t>
  </si>
  <si>
    <t xml:space="preserve">"vyrýt-001"</t>
  </si>
  <si>
    <t xml:space="preserve">"vyrýt-002"</t>
  </si>
  <si>
    <t xml:space="preserve">"vyrůst-001"</t>
  </si>
  <si>
    <t xml:space="preserve">ACT-&gt;ARG1/1236,ARG2/8</t>
  </si>
  <si>
    <t xml:space="preserve">PAT: v+4; do+2; na+4</t>
  </si>
  <si>
    <t xml:space="preserve">PAT-&gt;ARG2/54,ARG4/818</t>
  </si>
  <si>
    <t xml:space="preserve">ORIG-&gt;ARG2/8,ARG3/375</t>
  </si>
  <si>
    <t xml:space="preserve">"vyrůst-002"</t>
  </si>
  <si>
    <t xml:space="preserve">"vyrůst-003"</t>
  </si>
  <si>
    <t xml:space="preserve">ACT-&gt;ARG1/199,ARG2/4</t>
  </si>
  <si>
    <t xml:space="preserve">"vyrůst-004"</t>
  </si>
  <si>
    <t xml:space="preserve">"vyrůst-005"</t>
  </si>
  <si>
    <t xml:space="preserve">"vyrůstat-001"</t>
  </si>
  <si>
    <t xml:space="preserve">"vyrůstat-002"</t>
  </si>
  <si>
    <t xml:space="preserve">"vyrůstat-003"</t>
  </si>
  <si>
    <t xml:space="preserve">"vyrůstat-004"</t>
  </si>
  <si>
    <t xml:space="preserve">"vysadit-001"</t>
  </si>
  <si>
    <t xml:space="preserve">"vysadit-002"</t>
  </si>
  <si>
    <t xml:space="preserve">"vysadit-003"</t>
  </si>
  <si>
    <t xml:space="preserve">"vysadit-004"</t>
  </si>
  <si>
    <t xml:space="preserve">"vysadit-005"</t>
  </si>
  <si>
    <t xml:space="preserve">"vysadit-006"</t>
  </si>
  <si>
    <t xml:space="preserve">"vysazovat-001"</t>
  </si>
  <si>
    <t xml:space="preserve">"vysazovat-002"</t>
  </si>
  <si>
    <t xml:space="preserve">"vyschnout-001"</t>
  </si>
  <si>
    <t xml:space="preserve">"vyschnout-002"</t>
  </si>
  <si>
    <t xml:space="preserve">"vyschnout-003"</t>
  </si>
  <si>
    <t xml:space="preserve">"vysedat-001"</t>
  </si>
  <si>
    <t xml:space="preserve">"vysednout-001"</t>
  </si>
  <si>
    <t xml:space="preserve">"vysedávat-001"</t>
  </si>
  <si>
    <t xml:space="preserve">"vysedět-001"</t>
  </si>
  <si>
    <t xml:space="preserve">"vysekávat-001"</t>
  </si>
  <si>
    <t xml:space="preserve">"vysemenit-se-001"</t>
  </si>
  <si>
    <t xml:space="preserve">"vysilovat-001"</t>
  </si>
  <si>
    <t xml:space="preserve">"vyskočit-001"</t>
  </si>
  <si>
    <t xml:space="preserve">ACT-&gt;ARG1/214</t>
  </si>
  <si>
    <t xml:space="preserve">PAT-&gt;ARG2/1,ARG4/164</t>
  </si>
  <si>
    <t xml:space="preserve">ORIG-&gt;ARG3/46</t>
  </si>
  <si>
    <t xml:space="preserve">"vyskočit-002"</t>
  </si>
  <si>
    <t xml:space="preserve">"vyskočit-003"</t>
  </si>
  <si>
    <t xml:space="preserve">ACT-&gt;ARG0/4,ARG1/81</t>
  </si>
  <si>
    <t xml:space="preserve">"vyskytnout-se-001"</t>
  </si>
  <si>
    <t xml:space="preserve">ACT-&gt;ARG1/288</t>
  </si>
  <si>
    <t xml:space="preserve">LOC-&gt;ARG0/9</t>
  </si>
  <si>
    <t xml:space="preserve">"vyskytnout-se-002"</t>
  </si>
  <si>
    <t xml:space="preserve">"vyskytovat-se-001"</t>
  </si>
  <si>
    <t xml:space="preserve">ACT-&gt;ARG0/2154,ARG1/4226,ARG2/299</t>
  </si>
  <si>
    <t xml:space="preserve">LOC-&gt;ARG1/10,ARG2/279</t>
  </si>
  <si>
    <t xml:space="preserve">"vyskytovat-se-002"</t>
  </si>
  <si>
    <t xml:space="preserve">ACT-&gt;ARG1/93</t>
  </si>
  <si>
    <t xml:space="preserve">"vyskákat-001"</t>
  </si>
  <si>
    <t xml:space="preserve">"vyslat-001"</t>
  </si>
  <si>
    <t xml:space="preserve">"vyslat-002"</t>
  </si>
  <si>
    <t xml:space="preserve">"vyslechnout-001"</t>
  </si>
  <si>
    <t xml:space="preserve">PAT-&gt;ARG1/110,ARG2/4</t>
  </si>
  <si>
    <t xml:space="preserve">"vyslechnout-002"</t>
  </si>
  <si>
    <t xml:space="preserve">"vyslechnout-si-001"</t>
  </si>
  <si>
    <t xml:space="preserve">PAT-&gt;ARG1/72,ARG2/4</t>
  </si>
  <si>
    <t xml:space="preserve">"vysledovat-001"</t>
  </si>
  <si>
    <t xml:space="preserve">"vysloužit-001"</t>
  </si>
  <si>
    <t xml:space="preserve">"vysloužit-si-001"</t>
  </si>
  <si>
    <t xml:space="preserve">"vyslovit-001"</t>
  </si>
  <si>
    <t xml:space="preserve">"vyslovit-002"</t>
  </si>
  <si>
    <t xml:space="preserve">"vyslovit-003"</t>
  </si>
  <si>
    <t xml:space="preserve">CPHR: {důvěra,kompliment,nedůvěra,podpora,...}.4</t>
  </si>
  <si>
    <t xml:space="preserve">"vyslovit-004"</t>
  </si>
  <si>
    <t xml:space="preserve">ACT-&gt;ARG0/181</t>
  </si>
  <si>
    <t xml:space="preserve">ACT-&gt;ARG0/1224,ARG1/12,ARG3/9</t>
  </si>
  <si>
    <t xml:space="preserve">CPHR: {domněnka,hypotéza,idea,informace,lítost,myšlenka,námitka,názor,nesouhlas,obava,obvinění,podezření,potřeba,požadavek,přání,předpoklad,předpověď,přesvědčení,souhlas,spokojenost,tvrzení,uspokojení,verdikt,znepokojení,...}.4</t>
  </si>
  <si>
    <t xml:space="preserve">CPHR-&gt;ARG1/185</t>
  </si>
  <si>
    <t xml:space="preserve">CPHR-&gt;ARG1/102,ARG2/4</t>
  </si>
  <si>
    <t xml:space="preserve">ACT-&gt;ARG0/280</t>
  </si>
  <si>
    <t xml:space="preserve">CPHR-&gt;ARG1/654,ARG2/3</t>
  </si>
  <si>
    <t xml:space="preserve">"vyslovit-se-001"</t>
  </si>
  <si>
    <t xml:space="preserve">PAT: k+3; o+6; ↓že; v+6; .s</t>
  </si>
  <si>
    <t xml:space="preserve">"vyslovit-se-002"</t>
  </si>
  <si>
    <t xml:space="preserve">PAT: proti+3; za+4; pro+4; prospěch.S4[v-1,.2]</t>
  </si>
  <si>
    <t xml:space="preserve">"vyslovovat-001"</t>
  </si>
  <si>
    <t xml:space="preserve">"vyslovovat-002"</t>
  </si>
  <si>
    <t xml:space="preserve">"vyslovovat-003"</t>
  </si>
  <si>
    <t xml:space="preserve">CPHR: {domněnka,idea,lítost,myšlenka,názor,nesouhlas,obava,obvinění,podezření,potřeba,požadavek,přání,předpoklad,předpověď,přesvědčení,souhlas,spokojenost,uspokojení,verdikt,znepokojení,...}.4</t>
  </si>
  <si>
    <t xml:space="preserve">"vyslovovat-se-001"</t>
  </si>
  <si>
    <t xml:space="preserve">"vyslovovat-se-002"</t>
  </si>
  <si>
    <t xml:space="preserve">PAT: proti+3; za+4; pro+4; v-1[prospěch:4/AuxP,.2]</t>
  </si>
  <si>
    <t xml:space="preserve">"vyslyšet-001"</t>
  </si>
  <si>
    <t xml:space="preserve">PAT-&gt;ARG1/70,ARG2/1</t>
  </si>
  <si>
    <t xml:space="preserve">"vyslýchat-001"</t>
  </si>
  <si>
    <t xml:space="preserve">PAT-&gt;ARG0/1,ARG1/21,ARG2/39</t>
  </si>
  <si>
    <t xml:space="preserve">"vysmát-se-001"</t>
  </si>
  <si>
    <t xml:space="preserve">"vysmívat-se-001"</t>
  </si>
  <si>
    <t xml:space="preserve">"vysnít-001"</t>
  </si>
  <si>
    <t xml:space="preserve">"vysnívat-si-001"</t>
  </si>
  <si>
    <t xml:space="preserve">"vysnívat-si-002"</t>
  </si>
  <si>
    <t xml:space="preserve">"vysochat-001"</t>
  </si>
  <si>
    <t xml:space="preserve">"vysolit-001"</t>
  </si>
  <si>
    <t xml:space="preserve">ADDR-&gt;ARG1/112,ARG2/2,ARG3/1</t>
  </si>
  <si>
    <t xml:space="preserve">"vysouvat-se-001"</t>
  </si>
  <si>
    <t xml:space="preserve">"vysoušet-001"</t>
  </si>
  <si>
    <t xml:space="preserve">"vyspat-se-001"</t>
  </si>
  <si>
    <t xml:space="preserve">"vyspravit-001"</t>
  </si>
  <si>
    <t xml:space="preserve">"vyspět-001"</t>
  </si>
  <si>
    <t xml:space="preserve">"vyspět-002"</t>
  </si>
  <si>
    <t xml:space="preserve">"vyspět-003"</t>
  </si>
  <si>
    <t xml:space="preserve">"vystartovat-001"</t>
  </si>
  <si>
    <t xml:space="preserve">"vystartovat-002"</t>
  </si>
  <si>
    <t xml:space="preserve">"vystavit-001"</t>
  </si>
  <si>
    <t xml:space="preserve">PAT-&gt;ARG1/65,ARG2/117</t>
  </si>
  <si>
    <t xml:space="preserve">ADDR-&gt;ARG0/32,ARG1/260,ARG2/13</t>
  </si>
  <si>
    <t xml:space="preserve">"vystavit-002"</t>
  </si>
  <si>
    <t xml:space="preserve">PAT-&gt;ARG1/16,ARG2/5</t>
  </si>
  <si>
    <t xml:space="preserve">"vystavit-003"</t>
  </si>
  <si>
    <t xml:space="preserve">"vystavit-004"</t>
  </si>
  <si>
    <t xml:space="preserve">ACT-&gt;ARG0/340,ARG2/3</t>
  </si>
  <si>
    <t xml:space="preserve">PAT-&gt;ARG1/955,ARG2/5</t>
  </si>
  <si>
    <t xml:space="preserve">"vystavovat-001"</t>
  </si>
  <si>
    <t xml:space="preserve">ACT-&gt;ARG0/40,ARG1/2</t>
  </si>
  <si>
    <t xml:space="preserve">PAT-&gt;ARG1/36,ARG2/13</t>
  </si>
  <si>
    <t xml:space="preserve">ADDR-&gt;ARG1/17,ARG2/13</t>
  </si>
  <si>
    <t xml:space="preserve">"vystavovat-002"</t>
  </si>
  <si>
    <t xml:space="preserve">"vystavovat-003"</t>
  </si>
  <si>
    <t xml:space="preserve">ACT-&gt;ARG0/2163,ARG1/19</t>
  </si>
  <si>
    <t xml:space="preserve">"vystavovat-se-001"</t>
  </si>
  <si>
    <t xml:space="preserve">"vystavět-001"</t>
  </si>
  <si>
    <t xml:space="preserve">"vystavět-002"</t>
  </si>
  <si>
    <t xml:space="preserve">"vystačit-001"</t>
  </si>
  <si>
    <t xml:space="preserve">"vystačit-002"</t>
  </si>
  <si>
    <t xml:space="preserve">"vystačit-si-001"</t>
  </si>
  <si>
    <t xml:space="preserve">"vystačit-si-002"</t>
  </si>
  <si>
    <t xml:space="preserve">"vystihnout-001"</t>
  </si>
  <si>
    <t xml:space="preserve">"vystihovat-001"</t>
  </si>
  <si>
    <t xml:space="preserve">"vystlat-001"</t>
  </si>
  <si>
    <t xml:space="preserve">"vystopovat-001"</t>
  </si>
  <si>
    <t xml:space="preserve">"vystoupat-001"</t>
  </si>
  <si>
    <t xml:space="preserve">ACT-&gt;ARG1/1067,ARG2/4</t>
  </si>
  <si>
    <t xml:space="preserve">PAT-&gt;ARG2/8,ARG4/868</t>
  </si>
  <si>
    <t xml:space="preserve">ORIG-&gt;ARG3/389,ARG4/1</t>
  </si>
  <si>
    <t xml:space="preserve">"vystoupat-002"</t>
  </si>
  <si>
    <t xml:space="preserve">ACT-&gt;ARG0/6,ARG1/1039,ARG2/4</t>
  </si>
  <si>
    <t xml:space="preserve">DIR3-&gt;ARG2/6,ARG4/773</t>
  </si>
  <si>
    <t xml:space="preserve">"vystoupat-003"</t>
  </si>
  <si>
    <t xml:space="preserve">"vystoupit-001"</t>
  </si>
  <si>
    <t xml:space="preserve">"vystoupit-002"</t>
  </si>
  <si>
    <t xml:space="preserve">ACT-&gt;ARG0/107,ARG1/116</t>
  </si>
  <si>
    <t xml:space="preserve">"vystoupit-003"</t>
  </si>
  <si>
    <t xml:space="preserve">"vystoupit-004"</t>
  </si>
  <si>
    <t xml:space="preserve">ACT-&gt;ARG0/20,ARG1/12</t>
  </si>
  <si>
    <t xml:space="preserve">"vystoupit-005"</t>
  </si>
  <si>
    <t xml:space="preserve">"vystoupit-006"</t>
  </si>
  <si>
    <t xml:space="preserve">ACT-&gt;ARG0/160,ARG1/122,ARG3/1</t>
  </si>
  <si>
    <t xml:space="preserve">"vystoupit-007"</t>
  </si>
  <si>
    <t xml:space="preserve">"vystoupit-008"</t>
  </si>
  <si>
    <t xml:space="preserve">PAT-&gt;ARG2/2,ARG4/95</t>
  </si>
  <si>
    <t xml:space="preserve">ORIG-&gt;ARG3/38,ARG4/1</t>
  </si>
  <si>
    <t xml:space="preserve">"vystoupit-009"</t>
  </si>
  <si>
    <t xml:space="preserve">"--vystoupit-010"</t>
  </si>
  <si>
    <t xml:space="preserve">"vystrašit-001"</t>
  </si>
  <si>
    <t xml:space="preserve">ACT-&gt;ARG0/6,ARG1/3,ARG2/2</t>
  </si>
  <si>
    <t xml:space="preserve">"vystrkovat-001"</t>
  </si>
  <si>
    <t xml:space="preserve">"vystrkovat-002"</t>
  </si>
  <si>
    <t xml:space="preserve">DPHR: růžek.P4; tykadlo.P4</t>
  </si>
  <si>
    <t xml:space="preserve">"vystrnadit-001"</t>
  </si>
  <si>
    <t xml:space="preserve">"vystrčit-001"</t>
  </si>
  <si>
    <t xml:space="preserve">"vystrčit-002"</t>
  </si>
  <si>
    <t xml:space="preserve">"vystudovat-001"</t>
  </si>
  <si>
    <t xml:space="preserve">"vystupovat-001"</t>
  </si>
  <si>
    <t xml:space="preserve">PAT: proti+3; pro+4; vůči+3; za+4</t>
  </si>
  <si>
    <t xml:space="preserve">ACT-&gt;ARG0/80,ARG1/2</t>
  </si>
  <si>
    <t xml:space="preserve">"vystupovat-002"</t>
  </si>
  <si>
    <t xml:space="preserve">ACT-&gt;ARG1/119</t>
  </si>
  <si>
    <t xml:space="preserve">ACT-&gt;ARG0/48,ARG1/7</t>
  </si>
  <si>
    <t xml:space="preserve">LOC-&gt;ARG1/49</t>
  </si>
  <si>
    <t xml:space="preserve">"vystupovat-003"</t>
  </si>
  <si>
    <t xml:space="preserve">"vystupovat-004"</t>
  </si>
  <si>
    <t xml:space="preserve">ACT-&gt;ARG0/38,ARG1/77</t>
  </si>
  <si>
    <t xml:space="preserve">"vystupovat-005"</t>
  </si>
  <si>
    <t xml:space="preserve">"vystupovat-006"</t>
  </si>
  <si>
    <t xml:space="preserve">DPHR: do-1[popředí.2]</t>
  </si>
  <si>
    <t xml:space="preserve">"vystupovat-007"</t>
  </si>
  <si>
    <t xml:space="preserve">"vystupovat-008"</t>
  </si>
  <si>
    <t xml:space="preserve">"vystupovat-009"</t>
  </si>
  <si>
    <t xml:space="preserve">"vystupovat-010"</t>
  </si>
  <si>
    <t xml:space="preserve">DPHR: z-1[řada.S2]</t>
  </si>
  <si>
    <t xml:space="preserve">"vystupňovat-001"</t>
  </si>
  <si>
    <t xml:space="preserve">"vystupňovat-se-001"</t>
  </si>
  <si>
    <t xml:space="preserve">"vystydnout-001"</t>
  </si>
  <si>
    <t xml:space="preserve">"vystát-001"</t>
  </si>
  <si>
    <t xml:space="preserve">"vystát-002"</t>
  </si>
  <si>
    <t xml:space="preserve">"vystěhovat-001"</t>
  </si>
  <si>
    <t xml:space="preserve">DIR1-&gt;ARG4/1,ARGM-LOC/23</t>
  </si>
  <si>
    <t xml:space="preserve">"vystěhovat-se-001"</t>
  </si>
  <si>
    <t xml:space="preserve">DIR1-&gt;ARG1/4,ARG4/1,ARGM-LOC/23</t>
  </si>
  <si>
    <t xml:space="preserve">"vystěhovávat-001"</t>
  </si>
  <si>
    <t xml:space="preserve">"vystřelit-001"</t>
  </si>
  <si>
    <t xml:space="preserve">"vystřelit-002"</t>
  </si>
  <si>
    <t xml:space="preserve">"vystřelit-003"</t>
  </si>
  <si>
    <t xml:space="preserve">"vystřelit-004"</t>
  </si>
  <si>
    <t xml:space="preserve">"vystřelovat-001"</t>
  </si>
  <si>
    <t xml:space="preserve">"vystřihnout-001"</t>
  </si>
  <si>
    <t xml:space="preserve">"vystřihnout-002"</t>
  </si>
  <si>
    <t xml:space="preserve">"vystřihávat-001"</t>
  </si>
  <si>
    <t xml:space="preserve">"vystřihávat-002"</t>
  </si>
  <si>
    <t xml:space="preserve">"vystřihávat-003"</t>
  </si>
  <si>
    <t xml:space="preserve">"vystřídat-001"</t>
  </si>
  <si>
    <t xml:space="preserve">"vystřídat-002"</t>
  </si>
  <si>
    <t xml:space="preserve">ACT-&gt;ARG0/130,ARG1/115,ARG2/8</t>
  </si>
  <si>
    <t xml:space="preserve">PAT-&gt;ARG1/185,ARG2/90</t>
  </si>
  <si>
    <t xml:space="preserve">"vystřídat-se-001"</t>
  </si>
  <si>
    <t xml:space="preserve">"vystříkat-001"</t>
  </si>
  <si>
    <t xml:space="preserve">"vystříkat-002"</t>
  </si>
  <si>
    <t xml:space="preserve">"vystřílet-001"</t>
  </si>
  <si>
    <t xml:space="preserve">"vystřízlivět-001"</t>
  </si>
  <si>
    <t xml:space="preserve">"vystřízlivět-002"</t>
  </si>
  <si>
    <t xml:space="preserve">"vysunout-se-001"</t>
  </si>
  <si>
    <t xml:space="preserve">"vysušit-001"</t>
  </si>
  <si>
    <t xml:space="preserve">"vysušovat-001"</t>
  </si>
  <si>
    <t xml:space="preserve">"vysvléci-001"</t>
  </si>
  <si>
    <t xml:space="preserve">"vysvlíknout-001"</t>
  </si>
  <si>
    <t xml:space="preserve">"vysvobodit-001"</t>
  </si>
  <si>
    <t xml:space="preserve">"vysvobozovat-001"</t>
  </si>
  <si>
    <t xml:space="preserve">"vysvítat-001"</t>
  </si>
  <si>
    <t xml:space="preserve">"vysvětit-001"</t>
  </si>
  <si>
    <t xml:space="preserve">"vysvětlit-001"</t>
  </si>
  <si>
    <t xml:space="preserve">ACT-&gt;ARG0/399,ARG1/2</t>
  </si>
  <si>
    <t xml:space="preserve">ADDR-&gt;ARG1/2,ARG2/335</t>
  </si>
  <si>
    <t xml:space="preserve">"vysvětlit-002"</t>
  </si>
  <si>
    <t xml:space="preserve">"vysvětlit-si-001"</t>
  </si>
  <si>
    <t xml:space="preserve">"vysvětlovat-001"</t>
  </si>
  <si>
    <t xml:space="preserve">ACT-&gt;ARG0/419</t>
  </si>
  <si>
    <t xml:space="preserve">PAT-&gt;ARG1/518,ARG3/4</t>
  </si>
  <si>
    <t xml:space="preserve">"--vysvětlovat-002"</t>
  </si>
  <si>
    <t xml:space="preserve">"vysvětlovat-si-001"</t>
  </si>
  <si>
    <t xml:space="preserve">"vysychat-001"</t>
  </si>
  <si>
    <t xml:space="preserve">"vysychat-002"</t>
  </si>
  <si>
    <t xml:space="preserve">"vysypat-001"</t>
  </si>
  <si>
    <t xml:space="preserve">"vysypat-002"</t>
  </si>
  <si>
    <t xml:space="preserve">"vysypat-003"</t>
  </si>
  <si>
    <t xml:space="preserve">"vysypat-004"</t>
  </si>
  <si>
    <t xml:space="preserve">"vysypat-005"</t>
  </si>
  <si>
    <t xml:space="preserve">"vysypat-se-001"</t>
  </si>
  <si>
    <t xml:space="preserve">"vysypávat-001"</t>
  </si>
  <si>
    <t xml:space="preserve">"vysypávat-002"</t>
  </si>
  <si>
    <t xml:space="preserve">"vysypávat-003"</t>
  </si>
  <si>
    <t xml:space="preserve">"vysypávat-se-001"</t>
  </si>
  <si>
    <t xml:space="preserve">"vysát-001"</t>
  </si>
  <si>
    <t xml:space="preserve">"vysát-002"</t>
  </si>
  <si>
    <t xml:space="preserve">"vysávat-001"</t>
  </si>
  <si>
    <t xml:space="preserve">"vysávat-002"</t>
  </si>
  <si>
    <t xml:space="preserve">"vysávat-003"</t>
  </si>
  <si>
    <t xml:space="preserve">"vysázet-001"</t>
  </si>
  <si>
    <t xml:space="preserve">"vysázet-002"</t>
  </si>
  <si>
    <t xml:space="preserve">"vysílat-001"</t>
  </si>
  <si>
    <t xml:space="preserve">PAT-&gt;ARG1/421,ARG2/1</t>
  </si>
  <si>
    <t xml:space="preserve">"vysílat-002"</t>
  </si>
  <si>
    <t xml:space="preserve">"vysílat-003"</t>
  </si>
  <si>
    <t xml:space="preserve">ACT-&gt;ARG0/2291,ARG1/3123,ARG2/296</t>
  </si>
  <si>
    <t xml:space="preserve">PAT-&gt;ARG0/1,ARG1/3240</t>
  </si>
  <si>
    <t xml:space="preserve">"vysílat-004"</t>
  </si>
  <si>
    <t xml:space="preserve">"vysýpat-001"</t>
  </si>
  <si>
    <t xml:space="preserve">"vytahat-001"</t>
  </si>
  <si>
    <t xml:space="preserve">"vytahovat-001"</t>
  </si>
  <si>
    <t xml:space="preserve">"vytahovat-002"</t>
  </si>
  <si>
    <t xml:space="preserve">"vytahovat-003"</t>
  </si>
  <si>
    <t xml:space="preserve">"vytahovat-004"</t>
  </si>
  <si>
    <t xml:space="preserve">"vytahovat-se-001"</t>
  </si>
  <si>
    <t xml:space="preserve">"vytancovat-se-001"</t>
  </si>
  <si>
    <t xml:space="preserve">"vytanout-001"</t>
  </si>
  <si>
    <t xml:space="preserve">"vytanout-002"</t>
  </si>
  <si>
    <t xml:space="preserve">DPHR: před-1[oko.P7]</t>
  </si>
  <si>
    <t xml:space="preserve">"vytasit-001"</t>
  </si>
  <si>
    <t xml:space="preserve">"vytasit-se-001"</t>
  </si>
  <si>
    <t xml:space="preserve">"vytempovat-001"</t>
  </si>
  <si>
    <t xml:space="preserve">"vytesat-001"</t>
  </si>
  <si>
    <t xml:space="preserve">"vytesávat-001"</t>
  </si>
  <si>
    <t xml:space="preserve">"vytetovat-001"</t>
  </si>
  <si>
    <t xml:space="preserve">"vytečkovat-001"</t>
  </si>
  <si>
    <t xml:space="preserve">"vytipovat-001"</t>
  </si>
  <si>
    <t xml:space="preserve">"vytipovávat-001"</t>
  </si>
  <si>
    <t xml:space="preserve">"vytisknout-001"</t>
  </si>
  <si>
    <t xml:space="preserve">"vytknout-001"</t>
  </si>
  <si>
    <t xml:space="preserve">"vytknout-002"</t>
  </si>
  <si>
    <t xml:space="preserve">"vytknout-003"</t>
  </si>
  <si>
    <t xml:space="preserve">"vytlačit-001"</t>
  </si>
  <si>
    <t xml:space="preserve">"vytlačit-002"</t>
  </si>
  <si>
    <t xml:space="preserve">"vytlačit-003"</t>
  </si>
  <si>
    <t xml:space="preserve">ACT-&gt;ARG0/281,ARG1/6</t>
  </si>
  <si>
    <t xml:space="preserve">PAT-&gt;ARG1/505,ARG2/1,ARG4/6</t>
  </si>
  <si>
    <t xml:space="preserve">"vytlačit-004"</t>
  </si>
  <si>
    <t xml:space="preserve">"vytlačit-005"</t>
  </si>
  <si>
    <t xml:space="preserve">"vytlačit-006"</t>
  </si>
  <si>
    <t xml:space="preserve">?EFF: na-1[.2]</t>
  </si>
  <si>
    <t xml:space="preserve">"vytlačovat-001"</t>
  </si>
  <si>
    <t xml:space="preserve">"vytlačovat-002"</t>
  </si>
  <si>
    <t xml:space="preserve">"vytlouci-001"</t>
  </si>
  <si>
    <t xml:space="preserve">"vytloukat-001"</t>
  </si>
  <si>
    <t xml:space="preserve">"vytopit-001"</t>
  </si>
  <si>
    <t xml:space="preserve">"vytočit-001"</t>
  </si>
  <si>
    <t xml:space="preserve">"vytočit-002"</t>
  </si>
  <si>
    <t xml:space="preserve">"vytočit-003"</t>
  </si>
  <si>
    <t xml:space="preserve">"vytratit-se-001"</t>
  </si>
  <si>
    <t xml:space="preserve">ACT-&gt;ARG1/111</t>
  </si>
  <si>
    <t xml:space="preserve">"vytrejdovat-001"</t>
  </si>
  <si>
    <t xml:space="preserve">"vytrhat-001"</t>
  </si>
  <si>
    <t xml:space="preserve">"vytrhnout-001"</t>
  </si>
  <si>
    <t xml:space="preserve">"vytrhnout-002"</t>
  </si>
  <si>
    <t xml:space="preserve">"vytrhovat-001"</t>
  </si>
  <si>
    <t xml:space="preserve">"vytrhovat-002"</t>
  </si>
  <si>
    <t xml:space="preserve">"vytrhávat-001"</t>
  </si>
  <si>
    <t xml:space="preserve">"vytrhávat-002"</t>
  </si>
  <si>
    <t xml:space="preserve">DPHR: z-1[kořen.P2]</t>
  </si>
  <si>
    <t xml:space="preserve">"vytrpět-001"</t>
  </si>
  <si>
    <t xml:space="preserve">"vytrpět-si-001"</t>
  </si>
  <si>
    <t xml:space="preserve">"vytrubovat-001"</t>
  </si>
  <si>
    <t xml:space="preserve">"vytrucovat-001"</t>
  </si>
  <si>
    <t xml:space="preserve">"vytrvat-001"</t>
  </si>
  <si>
    <t xml:space="preserve">ACT-&gt;ARG0/46,ARG1/47</t>
  </si>
  <si>
    <t xml:space="preserve">PAT-&gt;ARG3/33</t>
  </si>
  <si>
    <t xml:space="preserve">"vytrvat-002"</t>
  </si>
  <si>
    <t xml:space="preserve">"vytrvávat-001"</t>
  </si>
  <si>
    <t xml:space="preserve">"vytrácet-se-001"</t>
  </si>
  <si>
    <t xml:space="preserve">"vytrénovat-001"</t>
  </si>
  <si>
    <t xml:space="preserve">"vytušit-001"</t>
  </si>
  <si>
    <t xml:space="preserve">"vytvarovat-001"</t>
  </si>
  <si>
    <t xml:space="preserve">"vytvořit-001"</t>
  </si>
  <si>
    <t xml:space="preserve">ACT-&gt;ARG0/1754,ARG1/10,ARG2/3,ARG3/1</t>
  </si>
  <si>
    <t xml:space="preserve">ACT-&gt;ARG0/200,ARG1/3</t>
  </si>
  <si>
    <t xml:space="preserve">ACT-&gt;ARG0/253,ARG1/3</t>
  </si>
  <si>
    <t xml:space="preserve">PAT-&gt;ARG1/2530,ARG2/2</t>
  </si>
  <si>
    <t xml:space="preserve">PAT-&gt;ARG1/288,ARG2/1</t>
  </si>
  <si>
    <t xml:space="preserve">PAT-&gt;ARG1/401,ARG2/1</t>
  </si>
  <si>
    <t xml:space="preserve">ADDR-&gt;ARG1/150,ARG2/28,ARG3/17</t>
  </si>
  <si>
    <t xml:space="preserve">ORIG-&gt;ARG1/268,ARG2/45</t>
  </si>
  <si>
    <t xml:space="preserve">"vytvořit-002"</t>
  </si>
  <si>
    <t xml:space="preserve">ACT-&gt;ARG0/563,ARG1/6,ARG2/3</t>
  </si>
  <si>
    <t xml:space="preserve">ACT-&gt;ARG0/1013,ARG1/5</t>
  </si>
  <si>
    <t xml:space="preserve">PAT-&gt;ARG1/831</t>
  </si>
  <si>
    <t xml:space="preserve">PAT-&gt;ARG1/1611,ARG2/2</t>
  </si>
  <si>
    <t xml:space="preserve">ORIG-&gt;ARG2/35</t>
  </si>
  <si>
    <t xml:space="preserve">ORIG-&gt;ARG1/1,ARG2/24</t>
  </si>
  <si>
    <t xml:space="preserve">"vytvořit-003"</t>
  </si>
  <si>
    <t xml:space="preserve">ACT-&gt;ARG0/624,ARG1/16</t>
  </si>
  <si>
    <t xml:space="preserve">PAT-&gt;ARG1/920,ARG2/14</t>
  </si>
  <si>
    <t xml:space="preserve">"vytvořit-004"</t>
  </si>
  <si>
    <t xml:space="preserve">"vytvořit-005"</t>
  </si>
  <si>
    <t xml:space="preserve">CPHR: {zápis,záznam,...}.4</t>
  </si>
  <si>
    <t xml:space="preserve">"vytvořit-006"</t>
  </si>
  <si>
    <t xml:space="preserve">CPHR: {dojem}.4</t>
  </si>
  <si>
    <t xml:space="preserve">"vytvořit-se-001"</t>
  </si>
  <si>
    <t xml:space="preserve">ACT-&gt;ARG1/287</t>
  </si>
  <si>
    <t xml:space="preserve">"vytvářet-001"</t>
  </si>
  <si>
    <t xml:space="preserve">ACT-&gt;ARG0/700,ARG1/147,ARG2/5</t>
  </si>
  <si>
    <t xml:space="preserve">ACT-&gt;ARG0/525,ARG1/5,ARG2/3</t>
  </si>
  <si>
    <t xml:space="preserve">PAT-&gt;ARG1/1146,ARG2/1</t>
  </si>
  <si>
    <t xml:space="preserve">PAT-&gt;ARG1/921,ARG2/1,ARG3/1,ARG4/5</t>
  </si>
  <si>
    <t xml:space="preserve">ADDR-&gt;ARG1/7,ARG3/16</t>
  </si>
  <si>
    <t xml:space="preserve">ORIG-&gt;ARG2/32</t>
  </si>
  <si>
    <t xml:space="preserve">"vytvářet-002"</t>
  </si>
  <si>
    <t xml:space="preserve">ACT-&gt;ARG0/672,ARG1/6,ARG2/3</t>
  </si>
  <si>
    <t xml:space="preserve">PAT-&gt;ARG1/1086</t>
  </si>
  <si>
    <t xml:space="preserve">"vytvářet-003"</t>
  </si>
  <si>
    <t xml:space="preserve">ACT-&gt;ARG0/655,ARG1/6</t>
  </si>
  <si>
    <t xml:space="preserve">PAT-&gt;ARG0/3,ARG1/895</t>
  </si>
  <si>
    <t xml:space="preserve">"vytvářet-004"</t>
  </si>
  <si>
    <t xml:space="preserve">"vytvářet-se-001"</t>
  </si>
  <si>
    <t xml:space="preserve">ACT-&gt;ARG1/20,ARG2/2</t>
  </si>
  <si>
    <t xml:space="preserve">"vytypovat-001"</t>
  </si>
  <si>
    <t xml:space="preserve">"vytyčit-001"</t>
  </si>
  <si>
    <t xml:space="preserve">"vytyčovat-001"</t>
  </si>
  <si>
    <t xml:space="preserve">"vytáhnout-001"</t>
  </si>
  <si>
    <t xml:space="preserve">ACT-&gt;ARG0/2203,ARG1/20</t>
  </si>
  <si>
    <t xml:space="preserve">PAT-&gt;ARG0/1,ARG1/2339</t>
  </si>
  <si>
    <t xml:space="preserve">DIR1-&gt;ARG2/10</t>
  </si>
  <si>
    <t xml:space="preserve">"vytáhnout-002"</t>
  </si>
  <si>
    <t xml:space="preserve">"vytáhnout-003"</t>
  </si>
  <si>
    <t xml:space="preserve">"vytáhnout-004"</t>
  </si>
  <si>
    <t xml:space="preserve">"vytáhnout-005"</t>
  </si>
  <si>
    <t xml:space="preserve">"vytáhnout-006"</t>
  </si>
  <si>
    <t xml:space="preserve">"vytáhnout-007"</t>
  </si>
  <si>
    <t xml:space="preserve">?ORIG: od+2,z+2,na+6</t>
  </si>
  <si>
    <t xml:space="preserve">"vytáhnout-008"</t>
  </si>
  <si>
    <t xml:space="preserve">"vytáhnout-009"</t>
  </si>
  <si>
    <t xml:space="preserve">"vytáhnout-010"</t>
  </si>
  <si>
    <t xml:space="preserve">"vytáhnout-se-001"</t>
  </si>
  <si>
    <t xml:space="preserve">"vytápět-001"</t>
  </si>
  <si>
    <t xml:space="preserve">"vytáčet-001"</t>
  </si>
  <si>
    <t xml:space="preserve">"vytáčet-002"</t>
  </si>
  <si>
    <t xml:space="preserve">"vytáčet-003"</t>
  </si>
  <si>
    <t xml:space="preserve">"vytáčet-004"</t>
  </si>
  <si>
    <t xml:space="preserve">"vytéci-001"</t>
  </si>
  <si>
    <t xml:space="preserve">"vytékat-001"</t>
  </si>
  <si>
    <t xml:space="preserve">"vytírat-001"</t>
  </si>
  <si>
    <t xml:space="preserve">"vytížit-001"</t>
  </si>
  <si>
    <t xml:space="preserve">PAT-&gt;ARG0/1,ARG1/64</t>
  </si>
  <si>
    <t xml:space="preserve">"vytýkat-001"</t>
  </si>
  <si>
    <t xml:space="preserve">"vytýkat-002"</t>
  </si>
  <si>
    <t xml:space="preserve">"vytýčit-001"</t>
  </si>
  <si>
    <t xml:space="preserve">"vytěsnit-001"</t>
  </si>
  <si>
    <t xml:space="preserve">"vytěžit-001"</t>
  </si>
  <si>
    <t xml:space="preserve">ACT-&gt;ARG0/154,ARG1/49</t>
  </si>
  <si>
    <t xml:space="preserve">PAT-&gt;ARG1/242,ARG2/3</t>
  </si>
  <si>
    <t xml:space="preserve">ORIG-&gt;ARG0/45,ARG1/17,ARG3/7</t>
  </si>
  <si>
    <t xml:space="preserve">"vytěžit-002"</t>
  </si>
  <si>
    <t xml:space="preserve">"vytřást-001"</t>
  </si>
  <si>
    <t xml:space="preserve">"vytříbit-001"</t>
  </si>
  <si>
    <t xml:space="preserve">"vytříbit-se-001"</t>
  </si>
  <si>
    <t xml:space="preserve">"vytřídit-001"</t>
  </si>
  <si>
    <t xml:space="preserve">"vytřídit-002"</t>
  </si>
  <si>
    <t xml:space="preserve">"vytřít-001"</t>
  </si>
  <si>
    <t xml:space="preserve">"vyudit-001"</t>
  </si>
  <si>
    <t xml:space="preserve">"vyučit-001"</t>
  </si>
  <si>
    <t xml:space="preserve">PAT: 3; 7</t>
  </si>
  <si>
    <t xml:space="preserve">"vyučit-se-001"</t>
  </si>
  <si>
    <t xml:space="preserve">PAT: 7; 3; jako[.1]; na+4</t>
  </si>
  <si>
    <t xml:space="preserve">ACT-&gt;ARG0/51,ARG1/1,ARG2/14</t>
  </si>
  <si>
    <t xml:space="preserve">"vyučovat-001"</t>
  </si>
  <si>
    <t xml:space="preserve">"využít-001"</t>
  </si>
  <si>
    <t xml:space="preserve">ACT-&gt;ARG0/936,ARG1/27,ARG2/13</t>
  </si>
  <si>
    <t xml:space="preserve">PAT: 2; 4; ↓c</t>
  </si>
  <si>
    <t xml:space="preserve">PAT-&gt;ARG1/1568,ARG2/27</t>
  </si>
  <si>
    <t xml:space="preserve">"využívat-001"</t>
  </si>
  <si>
    <t xml:space="preserve">ACT-&gt;ARG0/1122,ARG1/82,ARG2/28</t>
  </si>
  <si>
    <t xml:space="preserve">PAT-&gt;ARG0/62,ARG1/4747,ARG2/375,ARG4/1</t>
  </si>
  <si>
    <t xml:space="preserve">"využívat-002"</t>
  </si>
  <si>
    <t xml:space="preserve">"vyvalit-001"</t>
  </si>
  <si>
    <t xml:space="preserve">"vyvalit-se-001"</t>
  </si>
  <si>
    <t xml:space="preserve">"vyvalit-se-002"</t>
  </si>
  <si>
    <t xml:space="preserve">"vyvarovat-se-001"</t>
  </si>
  <si>
    <t xml:space="preserve">PAT: 2; .f</t>
  </si>
  <si>
    <t xml:space="preserve">"vyvařit-001"</t>
  </si>
  <si>
    <t xml:space="preserve">"vyvařovat-001"</t>
  </si>
  <si>
    <t xml:space="preserve">"vyvažovat-001"</t>
  </si>
  <si>
    <t xml:space="preserve">ACT-&gt;ARG0/5,ARG2/66</t>
  </si>
  <si>
    <t xml:space="preserve">"vyvdat-001"</t>
  </si>
  <si>
    <t xml:space="preserve">"vyvinout-001"</t>
  </si>
  <si>
    <t xml:space="preserve">ACT-&gt;ARG0/950,ARG1/7</t>
  </si>
  <si>
    <t xml:space="preserve">PAT-&gt;ARG1/1496,ARG2/2</t>
  </si>
  <si>
    <t xml:space="preserve">ORIG-&gt;ARG1/1,ARG2/21</t>
  </si>
  <si>
    <t xml:space="preserve">"vyvinout-002"</t>
  </si>
  <si>
    <t xml:space="preserve">ACT-&gt;ARG0/140,ARG1/1</t>
  </si>
  <si>
    <t xml:space="preserve">CPHR: {činnost,nátlak,snaha,tlak,úsilí,...}.4</t>
  </si>
  <si>
    <t xml:space="preserve">"vyvinout-se-001"</t>
  </si>
  <si>
    <t xml:space="preserve">ACT-&gt;ARG1/462,ARG2/8</t>
  </si>
  <si>
    <t xml:space="preserve">PAT-&gt;ARG2/476,ARG4/5</t>
  </si>
  <si>
    <t xml:space="preserve">"vyvinout-se-002"</t>
  </si>
  <si>
    <t xml:space="preserve">ACT-&gt;ARG1/28,ARG2/2</t>
  </si>
  <si>
    <t xml:space="preserve">"vyvinout-se-003"</t>
  </si>
  <si>
    <t xml:space="preserve">"--vyvinout-se-004"</t>
  </si>
  <si>
    <t xml:space="preserve">"vyvlastnit-001"</t>
  </si>
  <si>
    <t xml:space="preserve">"vyvlastnit-002"</t>
  </si>
  <si>
    <t xml:space="preserve">"vyvléci-se-001"</t>
  </si>
  <si>
    <t xml:space="preserve">"vyvléknout-se-001"</t>
  </si>
  <si>
    <t xml:space="preserve">"vyvléknout-se-002"</t>
  </si>
  <si>
    <t xml:space="preserve">"vyvlíknout-se-001"</t>
  </si>
  <si>
    <t xml:space="preserve">"vyvodit-001"</t>
  </si>
  <si>
    <t xml:space="preserve">ORIG: z+2; odtud; odsud; odkudkoliv; odevšad; odtamtud; odjinud; odkud; odněkud; odnikud; odkudsi</t>
  </si>
  <si>
    <t xml:space="preserve">"vyvodit-002"</t>
  </si>
  <si>
    <t xml:space="preserve">"vyvolat-001"</t>
  </si>
  <si>
    <t xml:space="preserve">ACT-&gt;ARG0/1075,ARG1/40</t>
  </si>
  <si>
    <t xml:space="preserve">PAT-&gt;ARG0/32,ARG1/1455</t>
  </si>
  <si>
    <t xml:space="preserve">"vyvolat-002"</t>
  </si>
  <si>
    <t xml:space="preserve">"vyvolat-003"</t>
  </si>
  <si>
    <t xml:space="preserve">"vyvolat-004"</t>
  </si>
  <si>
    <t xml:space="preserve">CPHR: {debata,dohad,dojem,důvěra,emoce,hněv,konotace,kritika,mutace,naděje,nadšení,nálada,napětí,nedůvěra,nejistota,nevole,nevraživost,obava,obnovení,odpor,otázka,panika,pocit,pochybnost,potřeba,povyk,pozornost,požadavek,projev,protest,překvapení,přesvědčení,reakce,revoluce,rozčarování,rozčilení,rozpaky,roztržka,smích,snaha,spekulace,spor,strach,svár,trauma,trend,uzavření,vliv,vznesení,vzpomínka,zájem,zděšení,zloba,zmatek,zvědavost,...}.4</t>
  </si>
  <si>
    <t xml:space="preserve">CPHR-&gt;ARG0/1,ARG1/32,ARG3/3</t>
  </si>
  <si>
    <t xml:space="preserve">ACT-&gt;ARG0/475,ARG1/4,ARG2/33</t>
  </si>
  <si>
    <t xml:space="preserve">CPHR-&gt;ARG0/1,ARG1/691</t>
  </si>
  <si>
    <t xml:space="preserve">ACT-&gt;ARG0/411,ARG1/5</t>
  </si>
  <si>
    <t xml:space="preserve">CPHR-&gt;ARG1/528</t>
  </si>
  <si>
    <t xml:space="preserve">ACT-&gt;ARG0/306,ARG1/3,ARG2/4</t>
  </si>
  <si>
    <t xml:space="preserve">CPHR-&gt;ARG1/415</t>
  </si>
  <si>
    <t xml:space="preserve">CPHR-&gt;ARG1/76</t>
  </si>
  <si>
    <t xml:space="preserve">ACT-&gt;ARG0/98,ARG1/2</t>
  </si>
  <si>
    <t xml:space="preserve">CPHR-&gt;ARG1/109</t>
  </si>
  <si>
    <t xml:space="preserve">ACT-&gt;ARG0/147,ARG1/1</t>
  </si>
  <si>
    <t xml:space="preserve">CPHR-&gt;ARG0/1,ARG1/164</t>
  </si>
  <si>
    <t xml:space="preserve">ACT-&gt;ARG0/255,ARG1/235</t>
  </si>
  <si>
    <t xml:space="preserve">CPHR-&gt;ARG0/153,ARG1/288</t>
  </si>
  <si>
    <t xml:space="preserve">"vyvolat-005"</t>
  </si>
  <si>
    <t xml:space="preserve">"vyvolat-006"</t>
  </si>
  <si>
    <t xml:space="preserve">"vyvolávat-001"</t>
  </si>
  <si>
    <t xml:space="preserve">"vyvolávat-002"</t>
  </si>
  <si>
    <t xml:space="preserve">ACT-&gt;ARG0/252,ARG1/109,ARG2/4</t>
  </si>
  <si>
    <t xml:space="preserve">PAT-&gt;ARG0/1,ARG1/321</t>
  </si>
  <si>
    <t xml:space="preserve">"vyvolávat-003"</t>
  </si>
  <si>
    <t xml:space="preserve">CPHR: {děs,dohad,dojem,důvěra,konotace,kritika,megaotázka,megaproblém,nadšení,napětí,nedůvěra,neochota,nevole,obava,odpor,otázka,panika,pochybnost,problém,projev,protest,přesvědčení,reakce,rozkol,rozpaky,rozruch,snaha,sympatie,údiv,výkyv,vzpomínka,zájem,zděšení,zmatek,znepokojení,zvědavost,zvrat,...}.4</t>
  </si>
  <si>
    <t xml:space="preserve">CPHR-&gt;ARG0/1,ARG1/244</t>
  </si>
  <si>
    <t xml:space="preserve">ACT-&gt;ARG0/68,ARG1/3104,ARG2/296</t>
  </si>
  <si>
    <t xml:space="preserve">CPHR-&gt;ARG1/198,ARG2/3451</t>
  </si>
  <si>
    <t xml:space="preserve">ACT-&gt;ARG0/226,ARG1/3</t>
  </si>
  <si>
    <t xml:space="preserve">CPHR-&gt;ARG0/1,ARG1/260</t>
  </si>
  <si>
    <t xml:space="preserve">"vyvolávat-004"</t>
  </si>
  <si>
    <t xml:space="preserve">"vyvolávat-005"</t>
  </si>
  <si>
    <t xml:space="preserve">"vyvozit-001"</t>
  </si>
  <si>
    <t xml:space="preserve">"vyvozovat-001"</t>
  </si>
  <si>
    <t xml:space="preserve">"vyvozovat-002"</t>
  </si>
  <si>
    <t xml:space="preserve">"vyvracet-001"</t>
  </si>
  <si>
    <t xml:space="preserve">"vyvraždit-001"</t>
  </si>
  <si>
    <t xml:space="preserve">"vyvražďovat-001"</t>
  </si>
  <si>
    <t xml:space="preserve">"vyvrcholit-001"</t>
  </si>
  <si>
    <t xml:space="preserve">"vyvrhnout-001"</t>
  </si>
  <si>
    <t xml:space="preserve">"vyvrhnout-002"</t>
  </si>
  <si>
    <t xml:space="preserve">"vyvrhnout-003"</t>
  </si>
  <si>
    <t xml:space="preserve">"vyvrtat-001"</t>
  </si>
  <si>
    <t xml:space="preserve">"vyvrátit-001"</t>
  </si>
  <si>
    <t xml:space="preserve">"vyvstat-001"</t>
  </si>
  <si>
    <t xml:space="preserve">ACT-&gt;ARG1/4,ARG2/22</t>
  </si>
  <si>
    <t xml:space="preserve">"vyvstávat-001"</t>
  </si>
  <si>
    <t xml:space="preserve">ACT-&gt;ARG1/79,ARG2/2</t>
  </si>
  <si>
    <t xml:space="preserve">"vyvyšovat-se-001"</t>
  </si>
  <si>
    <t xml:space="preserve">PAT: nad-1[.4]</t>
  </si>
  <si>
    <t xml:space="preserve">"vyvzdorovat-001"</t>
  </si>
  <si>
    <t xml:space="preserve">"vyvádět-001"</t>
  </si>
  <si>
    <t xml:space="preserve">"vyvádět-002"</t>
  </si>
  <si>
    <t xml:space="preserve">ACT-&gt;ARG0/127,ARG1/1</t>
  </si>
  <si>
    <t xml:space="preserve">ACT-&gt;ARG0/314,ARG1/1,ARG2/83</t>
  </si>
  <si>
    <t xml:space="preserve">DPHR: z-1[míra.S2]</t>
  </si>
  <si>
    <t xml:space="preserve">DPHR-&gt;ARG1/18,ARG2/30,ARG3/46</t>
  </si>
  <si>
    <t xml:space="preserve">PAT-&gt;ARG0/6,ARG1/188</t>
  </si>
  <si>
    <t xml:space="preserve">PAT-&gt;ARG0/6,ARG1/544</t>
  </si>
  <si>
    <t xml:space="preserve">"vyvádět-003"</t>
  </si>
  <si>
    <t xml:space="preserve">"vyvádět-004"</t>
  </si>
  <si>
    <t xml:space="preserve">"vyválet-001"</t>
  </si>
  <si>
    <t xml:space="preserve">"vyválet-se-001"</t>
  </si>
  <si>
    <t xml:space="preserve">"vyvázat-001"</t>
  </si>
  <si>
    <t xml:space="preserve">ORIG-&gt;ARG1/6</t>
  </si>
  <si>
    <t xml:space="preserve">"vyváznout-001"</t>
  </si>
  <si>
    <t xml:space="preserve">"vyváznout-002"</t>
  </si>
  <si>
    <t xml:space="preserve">"vyvářet-001"</t>
  </si>
  <si>
    <t xml:space="preserve">"vyvážet-001"</t>
  </si>
  <si>
    <t xml:space="preserve">PAT-&gt;ARG0/489,ARG1/27,ARG2/1</t>
  </si>
  <si>
    <t xml:space="preserve">"vyvážit-001"</t>
  </si>
  <si>
    <t xml:space="preserve">PAT-&gt;ARG1/108,ARG2/2</t>
  </si>
  <si>
    <t xml:space="preserve">EFF-&gt;ARG0/4,ARG2/66</t>
  </si>
  <si>
    <t xml:space="preserve">"vyvážit-002"</t>
  </si>
  <si>
    <t xml:space="preserve">ACT-&gt;ARG0/11,ARG2/69</t>
  </si>
  <si>
    <t xml:space="preserve">ACT-&gt;ARG0/42,ARG2/135</t>
  </si>
  <si>
    <t xml:space="preserve">PAT-&gt;ARG1/130</t>
  </si>
  <si>
    <t xml:space="preserve">"vyvést-001"</t>
  </si>
  <si>
    <t xml:space="preserve">PAT-&gt;ARG1/104,ARG2/1</t>
  </si>
  <si>
    <t xml:space="preserve">ORIG-&gt;ARG1/36</t>
  </si>
  <si>
    <t xml:space="preserve">"vyvést-002"</t>
  </si>
  <si>
    <t xml:space="preserve">"vyvést-003"</t>
  </si>
  <si>
    <t xml:space="preserve">ACT-&gt;ARG0/227,ARG1/1,ARG2/83</t>
  </si>
  <si>
    <t xml:space="preserve">PAT-&gt;ARG0/6,ARG1/414</t>
  </si>
  <si>
    <t xml:space="preserve">"vyvést-004"</t>
  </si>
  <si>
    <t xml:space="preserve">DPHR: z-1[rovnováha.S2]</t>
  </si>
  <si>
    <t xml:space="preserve">PAT-&gt;ARG0/6,ARG1/59</t>
  </si>
  <si>
    <t xml:space="preserve">"vyvést-005"</t>
  </si>
  <si>
    <t xml:space="preserve">"vyvést-se-001"</t>
  </si>
  <si>
    <t xml:space="preserve">"vyvézt-001"</t>
  </si>
  <si>
    <t xml:space="preserve">"vyvézt-002"</t>
  </si>
  <si>
    <t xml:space="preserve">"vyvíjet-001"</t>
  </si>
  <si>
    <t xml:space="preserve">ACT-&gt;ARG0/161</t>
  </si>
  <si>
    <t xml:space="preserve">PAT-&gt;ARG1/312,ARG2/2</t>
  </si>
  <si>
    <t xml:space="preserve">"vyvíjet-002"</t>
  </si>
  <si>
    <t xml:space="preserve">CPHR: {aktivita,činnost,iniciativa,nátlak,snaha,tlak,úsilí,...}.4</t>
  </si>
  <si>
    <t xml:space="preserve">CPHR-&gt;ARG1/470</t>
  </si>
  <si>
    <t xml:space="preserve">CPHR-&gt;ARG1/152</t>
  </si>
  <si>
    <t xml:space="preserve">"vyvíjet-se-001"</t>
  </si>
  <si>
    <t xml:space="preserve">ACT-&gt;ARG0/86,ARG1/111,ARG2/2</t>
  </si>
  <si>
    <t xml:space="preserve">"vyvěrat-001"</t>
  </si>
  <si>
    <t xml:space="preserve">PAT-&gt;ARG2/79</t>
  </si>
  <si>
    <t xml:space="preserve">"vyvěrat-002"</t>
  </si>
  <si>
    <t xml:space="preserve">"vyvěsit-001"</t>
  </si>
  <si>
    <t xml:space="preserve">"vyvětrat-001"</t>
  </si>
  <si>
    <t xml:space="preserve">"vyvěšovat-001"</t>
  </si>
  <si>
    <t xml:space="preserve">"vyzařovat-001"</t>
  </si>
  <si>
    <t xml:space="preserve">ACT-&gt;ARG0/2,ARG1/50,ARG2/84</t>
  </si>
  <si>
    <t xml:space="preserve">PAT-&gt;ARG1/104,ARG2/22</t>
  </si>
  <si>
    <t xml:space="preserve">"vyzařovat-002"</t>
  </si>
  <si>
    <t xml:space="preserve">DIR1-&gt;ARG0/2</t>
  </si>
  <si>
    <t xml:space="preserve">"vyzbrojit-001"</t>
  </si>
  <si>
    <t xml:space="preserve">"vyzbrojit-se-001"</t>
  </si>
  <si>
    <t xml:space="preserve">"vyzbrojovat-001"</t>
  </si>
  <si>
    <t xml:space="preserve">"vyzdobit-001"</t>
  </si>
  <si>
    <t xml:space="preserve">"vyzdvihnout-001"</t>
  </si>
  <si>
    <t xml:space="preserve">"vyzdvihnout-002"</t>
  </si>
  <si>
    <t xml:space="preserve">"vyzdvihnout-003"</t>
  </si>
  <si>
    <t xml:space="preserve">"vyzdvihovat-001"</t>
  </si>
  <si>
    <t xml:space="preserve">"vyzdívat-001"</t>
  </si>
  <si>
    <t xml:space="preserve">"vyzkoumat-001"</t>
  </si>
  <si>
    <t xml:space="preserve">"vyzkoušet-001"</t>
  </si>
  <si>
    <t xml:space="preserve">ACT-&gt;ARG0/415,ARG1/6</t>
  </si>
  <si>
    <t xml:space="preserve">PAT-&gt;ARG1/582,ARG2/36</t>
  </si>
  <si>
    <t xml:space="preserve">"vyzkoušet-si-001"</t>
  </si>
  <si>
    <t xml:space="preserve">"vyznamenat-001"</t>
  </si>
  <si>
    <t xml:space="preserve">"vyznamenat-se-001"</t>
  </si>
  <si>
    <t xml:space="preserve">"vyznat-se-001"</t>
  </si>
  <si>
    <t xml:space="preserve">ACT-&gt;ARG0/295,ARG1/1</t>
  </si>
  <si>
    <t xml:space="preserve">PAT-&gt;ARG1/316,ARG2/16</t>
  </si>
  <si>
    <t xml:space="preserve">"vyznat-se-002"</t>
  </si>
  <si>
    <t xml:space="preserve">"vyznat-se-003"</t>
  </si>
  <si>
    <t xml:space="preserve">"vyznat-se-004"</t>
  </si>
  <si>
    <t xml:space="preserve">"vyznačit-001"</t>
  </si>
  <si>
    <t xml:space="preserve">"vyznačovat-se-001"</t>
  </si>
  <si>
    <t xml:space="preserve">ACT-&gt;ARG0/26,ARG1/2</t>
  </si>
  <si>
    <t xml:space="preserve">PAT-&gt;ARG0/4,ARG1/77</t>
  </si>
  <si>
    <t xml:space="preserve">"vyznávat-001"</t>
  </si>
  <si>
    <t xml:space="preserve">"vyznít-001"</t>
  </si>
  <si>
    <t xml:space="preserve">MANN-&gt;ARG2/34</t>
  </si>
  <si>
    <t xml:space="preserve">"vyznívat-001"</t>
  </si>
  <si>
    <t xml:space="preserve">"vyzobávat-001"</t>
  </si>
  <si>
    <t xml:space="preserve">"vyzpovídat-001"</t>
  </si>
  <si>
    <t xml:space="preserve">"vyzpovídat-se-001"</t>
  </si>
  <si>
    <t xml:space="preserve">"vyzpívat-001"</t>
  </si>
  <si>
    <t xml:space="preserve">"vyzradit-001"</t>
  </si>
  <si>
    <t xml:space="preserve">ACT-&gt;ARG0/104,ARG1/1</t>
  </si>
  <si>
    <t xml:space="preserve">EFF-&gt;ARG1/219</t>
  </si>
  <si>
    <t xml:space="preserve">"vyzrát-001"</t>
  </si>
  <si>
    <t xml:space="preserve">"vyzrát-002"</t>
  </si>
  <si>
    <t xml:space="preserve">"vyzrávat-001"</t>
  </si>
  <si>
    <t xml:space="preserve">"vyztužit-001"</t>
  </si>
  <si>
    <t xml:space="preserve">"vyzvat-001"</t>
  </si>
  <si>
    <t xml:space="preserve">ACT-&gt;ARG0/311,ARG1/1</t>
  </si>
  <si>
    <t xml:space="preserve">PAT-&gt;ARG1/272,ARG2/151</t>
  </si>
  <si>
    <t xml:space="preserve">ADDR-&gt;ARG1/496,ARG2/122</t>
  </si>
  <si>
    <t xml:space="preserve">"vyzvednout-001"</t>
  </si>
  <si>
    <t xml:space="preserve">"vyzvednout-002"</t>
  </si>
  <si>
    <t xml:space="preserve">"vyzvednout-003"</t>
  </si>
  <si>
    <t xml:space="preserve">"vyzvedávat-001"</t>
  </si>
  <si>
    <t xml:space="preserve">"vyzvedávat-002"</t>
  </si>
  <si>
    <t xml:space="preserve">"vyzvonit-001"</t>
  </si>
  <si>
    <t xml:space="preserve">"vyzvrátit-001"</t>
  </si>
  <si>
    <t xml:space="preserve">"vyzvánět-001"</t>
  </si>
  <si>
    <t xml:space="preserve">"vyzvídat-001"</t>
  </si>
  <si>
    <t xml:space="preserve">?ORIG: od+2; na+6</t>
  </si>
  <si>
    <t xml:space="preserve">"vyzvědět-001"</t>
  </si>
  <si>
    <t xml:space="preserve">"vyzískat-001"</t>
  </si>
  <si>
    <t xml:space="preserve">"vyzývat-001"</t>
  </si>
  <si>
    <t xml:space="preserve">PAT: k+3; ↓aby; na+4; .f; .s</t>
  </si>
  <si>
    <t xml:space="preserve">ACT-&gt;ARG0/157,ARG1/1</t>
  </si>
  <si>
    <t xml:space="preserve">PAT-&gt;ARG1/104,ARG2/58</t>
  </si>
  <si>
    <t xml:space="preserve">ADDR-&gt;ARG1/125,ARG2/2</t>
  </si>
  <si>
    <t xml:space="preserve">"vyústit-001"</t>
  </si>
  <si>
    <t xml:space="preserve">ACT-&gt;ARG0/327,ARG1/190,ARG2/1</t>
  </si>
  <si>
    <t xml:space="preserve">PAT: k+3; v+4; do+2</t>
  </si>
  <si>
    <t xml:space="preserve">PAT-&gt;ARG1/517,ARG2/253,ARG3/1</t>
  </si>
  <si>
    <t xml:space="preserve">PAT-&gt;ARG2/115</t>
  </si>
  <si>
    <t xml:space="preserve">"vyústit-002"</t>
  </si>
  <si>
    <t xml:space="preserve">"vyústit-003"</t>
  </si>
  <si>
    <t xml:space="preserve">"vyúčtovat-001"</t>
  </si>
  <si>
    <t xml:space="preserve">"vyčerpat-001"</t>
  </si>
  <si>
    <t xml:space="preserve">"vyčerpat-002"</t>
  </si>
  <si>
    <t xml:space="preserve">ACT-&gt;ARG0/120,ARG3/1</t>
  </si>
  <si>
    <t xml:space="preserve">PAT-&gt;ARG1/47,ARG3/143</t>
  </si>
  <si>
    <t xml:space="preserve">"vyčerpat-003"</t>
  </si>
  <si>
    <t xml:space="preserve">"vyčerpat-004"</t>
  </si>
  <si>
    <t xml:space="preserve">"vyčerpat-se-001"</t>
  </si>
  <si>
    <t xml:space="preserve">ACT-&gt;ARG0/6,ARG1/23</t>
  </si>
  <si>
    <t xml:space="preserve">"vyčerpávat-001"</t>
  </si>
  <si>
    <t xml:space="preserve">"vyčerpávat-002"</t>
  </si>
  <si>
    <t xml:space="preserve">"vyčerpávat-003"</t>
  </si>
  <si>
    <t xml:space="preserve">"vyčinit-001"</t>
  </si>
  <si>
    <t xml:space="preserve">"vyčistit-001"</t>
  </si>
  <si>
    <t xml:space="preserve">PAT-&gt;ARG1/38,ARG2/9</t>
  </si>
  <si>
    <t xml:space="preserve">PAT-&gt;ARG1/104,ARG2/18</t>
  </si>
  <si>
    <t xml:space="preserve">"vyčistit-002"</t>
  </si>
  <si>
    <t xml:space="preserve">"--vyčistit-003"</t>
  </si>
  <si>
    <t xml:space="preserve">"vyčkat-001"</t>
  </si>
  <si>
    <t xml:space="preserve">ACT-&gt;ARG0/4,ARG1/16,ARG2/1</t>
  </si>
  <si>
    <t xml:space="preserve">"vyčkat-002"</t>
  </si>
  <si>
    <t xml:space="preserve">?PAT: 4; 2; na+4; ↓že; ↓jestli; ↓až-2; ↓zda; ↓než-2</t>
  </si>
  <si>
    <t xml:space="preserve">ACT-&gt;ARG0/4,ARG1/62,ARG2/2</t>
  </si>
  <si>
    <t xml:space="preserve">PAT-&gt;ARG1/2,ARG2/74,ARGm-TMP/2</t>
  </si>
  <si>
    <t xml:space="preserve">"vyčkávat-001"</t>
  </si>
  <si>
    <t xml:space="preserve">"vyčkávat-002"</t>
  </si>
  <si>
    <t xml:space="preserve">ACT-&gt;ARG1/62,ARG2/2</t>
  </si>
  <si>
    <t xml:space="preserve">?PAT: 4; 2; na+4; ↓že; ↓jestli; ↓až-2; ↓zda</t>
  </si>
  <si>
    <t xml:space="preserve">PAT-&gt;ARG2/74,ARGm-TMP/2</t>
  </si>
  <si>
    <t xml:space="preserve">"vyčlenit-001"</t>
  </si>
  <si>
    <t xml:space="preserve">PAT-&gt;ARG1/90,ARG2/1,ARG3/1</t>
  </si>
  <si>
    <t xml:space="preserve">DIR1-&gt;ARG1/3,ARG2/28</t>
  </si>
  <si>
    <t xml:space="preserve">"vyčlenit-002"</t>
  </si>
  <si>
    <t xml:space="preserve">"vyčlenit-se-001"</t>
  </si>
  <si>
    <t xml:space="preserve">"vyčleňovat-001"</t>
  </si>
  <si>
    <t xml:space="preserve">"vyčleňovat-se-001"</t>
  </si>
  <si>
    <t xml:space="preserve">"vyčnívat-001"</t>
  </si>
  <si>
    <t xml:space="preserve">"vyčnívat-002"</t>
  </si>
  <si>
    <t xml:space="preserve">"vyčíhnout-si-001"</t>
  </si>
  <si>
    <t xml:space="preserve">"vyčíslit-001"</t>
  </si>
  <si>
    <t xml:space="preserve">PAT-&gt;ARG0/4,ARG1/130</t>
  </si>
  <si>
    <t xml:space="preserve">EFF-&gt;ARG1/5,ARG2/2</t>
  </si>
  <si>
    <t xml:space="preserve">"vyčíslovat-001"</t>
  </si>
  <si>
    <t xml:space="preserve">"vyčíst-001"</t>
  </si>
  <si>
    <t xml:space="preserve">"vyčíst-002"</t>
  </si>
  <si>
    <t xml:space="preserve">"vyčítat-001"</t>
  </si>
  <si>
    <t xml:space="preserve">PAT-&gt;ARG2/37</t>
  </si>
  <si>
    <t xml:space="preserve">ADDR-&gt;ARG1/46,ARG2/1</t>
  </si>
  <si>
    <t xml:space="preserve">"vyčítat-002"</t>
  </si>
  <si>
    <t xml:space="preserve">"vyřadit-001"</t>
  </si>
  <si>
    <t xml:space="preserve">ACT-&gt;ARG0/185</t>
  </si>
  <si>
    <t xml:space="preserve">PAT-&gt;ARG1/369</t>
  </si>
  <si>
    <t xml:space="preserve">"vyřadit-002"</t>
  </si>
  <si>
    <t xml:space="preserve">"vyřazovat-001"</t>
  </si>
  <si>
    <t xml:space="preserve">"vyřezat-001"</t>
  </si>
  <si>
    <t xml:space="preserve">"vyřezávat-001"</t>
  </si>
  <si>
    <t xml:space="preserve">"vyřezávat-002"</t>
  </si>
  <si>
    <t xml:space="preserve">"vyřešit-001"</t>
  </si>
  <si>
    <t xml:space="preserve">ACT-&gt;ARG0/264,ARG1/2,ARG2/2</t>
  </si>
  <si>
    <t xml:space="preserve">PAT-&gt;ARG1/425,ARG2/59,ARG3/1</t>
  </si>
  <si>
    <t xml:space="preserve">"vyřešit-002"</t>
  </si>
  <si>
    <t xml:space="preserve">"vyřizovat-001"</t>
  </si>
  <si>
    <t xml:space="preserve">"vyřizovat-002"</t>
  </si>
  <si>
    <t xml:space="preserve">"vyřizovat-003"</t>
  </si>
  <si>
    <t xml:space="preserve">"vyřizovat-004"</t>
  </si>
  <si>
    <t xml:space="preserve">DPHR: účet.P4</t>
  </si>
  <si>
    <t xml:space="preserve">"vyřknout-001"</t>
  </si>
  <si>
    <t xml:space="preserve">PAT-&gt;ARG1/102,ARG3/1</t>
  </si>
  <si>
    <t xml:space="preserve">PAT-&gt;ARG1/227,ARG2/2</t>
  </si>
  <si>
    <t xml:space="preserve">"vyřvávat-001"</t>
  </si>
  <si>
    <t xml:space="preserve">"vyřádit-se-001"</t>
  </si>
  <si>
    <t xml:space="preserve">"vyřídit-001"</t>
  </si>
  <si>
    <t xml:space="preserve">"vyřídit-002"</t>
  </si>
  <si>
    <t xml:space="preserve">"vyřídit-003"</t>
  </si>
  <si>
    <t xml:space="preserve">ACT-&gt;ARG0/130</t>
  </si>
  <si>
    <t xml:space="preserve">"vyřídit-004"</t>
  </si>
  <si>
    <t xml:space="preserve">"vyřídit-si-001"</t>
  </si>
  <si>
    <t xml:space="preserve">"vyříkat-si-001"</t>
  </si>
  <si>
    <t xml:space="preserve">"vyříznout-001"</t>
  </si>
  <si>
    <t xml:space="preserve">"vyšachovat-001"</t>
  </si>
  <si>
    <t xml:space="preserve">"vyšetřit-001"</t>
  </si>
  <si>
    <t xml:space="preserve">"vyšetřit-002"</t>
  </si>
  <si>
    <t xml:space="preserve">"vyšetřit-si-001"</t>
  </si>
  <si>
    <t xml:space="preserve">"vyšetřovat-001"</t>
  </si>
  <si>
    <t xml:space="preserve">ACT-&gt;ARG0/76,ARG1/7</t>
  </si>
  <si>
    <t xml:space="preserve">PAT-&gt;ARG0/12,ARG1/109</t>
  </si>
  <si>
    <t xml:space="preserve">"vyšetřovat-002"</t>
  </si>
  <si>
    <t xml:space="preserve">"vyškemrat-001"</t>
  </si>
  <si>
    <t xml:space="preserve">"vyškolit-001"</t>
  </si>
  <si>
    <t xml:space="preserve">"vyškrabat-001"</t>
  </si>
  <si>
    <t xml:space="preserve">"vyškrabat-002"</t>
  </si>
  <si>
    <t xml:space="preserve">"vyškrtnout-001"</t>
  </si>
  <si>
    <t xml:space="preserve">DIR1-&gt;ARG2/4,ARG3/1</t>
  </si>
  <si>
    <t xml:space="preserve">"vyškrábat-001"</t>
  </si>
  <si>
    <t xml:space="preserve">"vyškrábat-se-001"</t>
  </si>
  <si>
    <t xml:space="preserve">"vyškrábat-se-002"</t>
  </si>
  <si>
    <t xml:space="preserve">ORIG-&gt;ARG3/813,ARG4/6,ARGM-LOC/1</t>
  </si>
  <si>
    <t xml:space="preserve">PAT-&gt;ARG1/228,ARG2/64,ARG4/2270,ARGM-LOC/2</t>
  </si>
  <si>
    <t xml:space="preserve">"--vyškrábat-se-003"</t>
  </si>
  <si>
    <t xml:space="preserve">"vyšlapat-001"</t>
  </si>
  <si>
    <t xml:space="preserve">"vyšlapat-002"</t>
  </si>
  <si>
    <t xml:space="preserve">"vyšlapat-003"</t>
  </si>
  <si>
    <t xml:space="preserve">"vyšlapávat-001"</t>
  </si>
  <si>
    <t xml:space="preserve">"vyšlechtit-001"</t>
  </si>
  <si>
    <t xml:space="preserve">"vyšlehnout-001"</t>
  </si>
  <si>
    <t xml:space="preserve">"vyšlápnout-si-001"</t>
  </si>
  <si>
    <t xml:space="preserve">"vyšlápnout-si-002"</t>
  </si>
  <si>
    <t xml:space="preserve">"vyšmátrat-001"</t>
  </si>
  <si>
    <t xml:space="preserve">"vyšoupnout-001"</t>
  </si>
  <si>
    <t xml:space="preserve">"vyšperkovat-001"</t>
  </si>
  <si>
    <t xml:space="preserve">"vyšplhat-001"</t>
  </si>
  <si>
    <t xml:space="preserve">"vyšplhat-se-001"</t>
  </si>
  <si>
    <t xml:space="preserve">ACT-&gt;ARG0/10,ARG1/132</t>
  </si>
  <si>
    <t xml:space="preserve">?PAT: na+4; přes+4; do+2; nad-1.4[.4]</t>
  </si>
  <si>
    <t xml:space="preserve">PAT-&gt;ARG1/13,ARG2/5,ARG4/95</t>
  </si>
  <si>
    <t xml:space="preserve">PAT-&gt;ARG2/2,ARG4/97</t>
  </si>
  <si>
    <t xml:space="preserve">ORIG-&gt;ARG3/40,ARG4/1</t>
  </si>
  <si>
    <t xml:space="preserve">"vyšplhat-se-002"</t>
  </si>
  <si>
    <t xml:space="preserve">ACT-&gt;ARG0/2,ARG1/87</t>
  </si>
  <si>
    <t xml:space="preserve">"vyšroubovat-001"</t>
  </si>
  <si>
    <t xml:space="preserve">"vyštvat-001"</t>
  </si>
  <si>
    <t xml:space="preserve">"vyštěknout-001"</t>
  </si>
  <si>
    <t xml:space="preserve">"vyšumět-001"</t>
  </si>
  <si>
    <t xml:space="preserve">"vyšupat-001"</t>
  </si>
  <si>
    <t xml:space="preserve">"vyšvihnout-se-001"</t>
  </si>
  <si>
    <t xml:space="preserve">"vyšvihnout-se-002"</t>
  </si>
  <si>
    <t xml:space="preserve">"vyšvindlovat-001"</t>
  </si>
  <si>
    <t xml:space="preserve">"vyšít-001"</t>
  </si>
  <si>
    <t xml:space="preserve">"vyšít-002"</t>
  </si>
  <si>
    <t xml:space="preserve">"vyšívat-001"</t>
  </si>
  <si>
    <t xml:space="preserve">"vyšňořit-001"</t>
  </si>
  <si>
    <t xml:space="preserve">"vyšťourat-001"</t>
  </si>
  <si>
    <t xml:space="preserve">"vyžadovat-001"</t>
  </si>
  <si>
    <t xml:space="preserve">ACT-&gt;ARG0/355,ARG1/1</t>
  </si>
  <si>
    <t xml:space="preserve">ACT-&gt;ARG0/1587,ARG1/15,ARG2/85</t>
  </si>
  <si>
    <t xml:space="preserve">PAT-&gt;ARG1/5216,ARG2/306</t>
  </si>
  <si>
    <t xml:space="preserve">ORIG-&gt;ARG1/7,ARG2/202</t>
  </si>
  <si>
    <t xml:space="preserve">"--vyžadovat-002"</t>
  </si>
  <si>
    <t xml:space="preserve">"vyžadovat-si-001"</t>
  </si>
  <si>
    <t xml:space="preserve">"vyždímat-001"</t>
  </si>
  <si>
    <t xml:space="preserve">"vyždímat-002"</t>
  </si>
  <si>
    <t xml:space="preserve">"vyžebrat-001"</t>
  </si>
  <si>
    <t xml:space="preserve">"vyžebrávat-001"</t>
  </si>
  <si>
    <t xml:space="preserve">"vyžehlit-001"</t>
  </si>
  <si>
    <t xml:space="preserve">"vyženit-001"</t>
  </si>
  <si>
    <t xml:space="preserve">"vyživit-001"</t>
  </si>
  <si>
    <t xml:space="preserve">"vyživovat-001"</t>
  </si>
  <si>
    <t xml:space="preserve">"vyžrat-001"</t>
  </si>
  <si>
    <t xml:space="preserve">"vyžádat-001"</t>
  </si>
  <si>
    <t xml:space="preserve">ACT-&gt;ARG0/653,ARG1/3,ARG2/5</t>
  </si>
  <si>
    <t xml:space="preserve">PAT-&gt;ARG1/671</t>
  </si>
  <si>
    <t xml:space="preserve">?ORIG: na+6; od+2; po+6</t>
  </si>
  <si>
    <t xml:space="preserve">ORIG-&gt;ARG1/5,ARG2/18</t>
  </si>
  <si>
    <t xml:space="preserve">"vyžádat-si-001"</t>
  </si>
  <si>
    <t xml:space="preserve">ACT-&gt;ARG0/807,ARG1/4,ARG2/4</t>
  </si>
  <si>
    <t xml:space="preserve">PAT-&gt;ARG1/1015,ARG2/2</t>
  </si>
  <si>
    <t xml:space="preserve">"vyžádat-si-002"</t>
  </si>
  <si>
    <t xml:space="preserve">"vyžít-se-001"</t>
  </si>
  <si>
    <t xml:space="preserve">"vyžívat-001"</t>
  </si>
  <si>
    <t xml:space="preserve">"vyžívat-se-001"</t>
  </si>
  <si>
    <t xml:space="preserve">"vzbouřit-se-001"</t>
  </si>
  <si>
    <t xml:space="preserve">"vzbudit-001"</t>
  </si>
  <si>
    <t xml:space="preserve">"vzbudit-002"</t>
  </si>
  <si>
    <t xml:space="preserve">ACT-&gt;ARG0/419,ARG1/2</t>
  </si>
  <si>
    <t xml:space="preserve">CPHR: {cit,dojem,emoce,naděje,nadšení,nedůvěra,nelibost,nevole,nostalgie,obava,odpor,pobouření,pocit,podezření,pohoršení,pozornost-1,protest,pýcha,rozhořčení,rozpaky,strach,touha,tvorba,zájem,...}.4</t>
  </si>
  <si>
    <t xml:space="preserve">CPHR-&gt;ARG1/565</t>
  </si>
  <si>
    <t xml:space="preserve">LOC-&gt;ARG1/275,ARG2/154</t>
  </si>
  <si>
    <t xml:space="preserve">CPHR-&gt;ARG1/103</t>
  </si>
  <si>
    <t xml:space="preserve">CPHR-&gt;ARG1/64</t>
  </si>
  <si>
    <t xml:space="preserve">"vzbudit-se-001"</t>
  </si>
  <si>
    <t xml:space="preserve">"vzburcovat-001"</t>
  </si>
  <si>
    <t xml:space="preserve">"vzbuzovat-001"</t>
  </si>
  <si>
    <t xml:space="preserve">CPHR: {agresivita,dojem,důvěra,emoce,iluze,lítost,mrazení,naděje,nedůvěra,nedůvěra,nostalgie,obava,panika,pocit,podezření,pohoršení,pochyba,pochybnost,pozornost,radost,rozpaky,sympatie,touha,úsměv,zájem,závist,...}.4</t>
  </si>
  <si>
    <t xml:space="preserve">CPHR-&gt;ARG1/89</t>
  </si>
  <si>
    <t xml:space="preserve">CPHR-&gt;ARG1/125,ARG2/1</t>
  </si>
  <si>
    <t xml:space="preserve">CPHR-&gt;ARG1/3</t>
  </si>
  <si>
    <t xml:space="preserve">"vzchopit-se-001"</t>
  </si>
  <si>
    <t xml:space="preserve">ACT-&gt;ARG0/32,ARG1/107</t>
  </si>
  <si>
    <t xml:space="preserve">PAT-&gt;ARG1/29,ARG2/12,ARG4/13</t>
  </si>
  <si>
    <t xml:space="preserve">"vzchopit-se-002"</t>
  </si>
  <si>
    <t xml:space="preserve">"vzdalovat-se-001"</t>
  </si>
  <si>
    <t xml:space="preserve">PAT: od+2; 3</t>
  </si>
  <si>
    <t xml:space="preserve">"vzdalovat-se-002"</t>
  </si>
  <si>
    <t xml:space="preserve">ACT-&gt;ARG0/38,ARG1/196</t>
  </si>
  <si>
    <t xml:space="preserve">"vzdorovat-001"</t>
  </si>
  <si>
    <t xml:space="preserve">"vzdorovat-002"</t>
  </si>
  <si>
    <t xml:space="preserve">"vzdouvat-001"</t>
  </si>
  <si>
    <t xml:space="preserve">"vzdychat-001"</t>
  </si>
  <si>
    <t xml:space="preserve">"vzdálit-001"</t>
  </si>
  <si>
    <t xml:space="preserve">?ORIG: od+2; 3</t>
  </si>
  <si>
    <t xml:space="preserve">"vzdálit-002"</t>
  </si>
  <si>
    <t xml:space="preserve">"vzdálit-se-001"</t>
  </si>
  <si>
    <t xml:space="preserve">"vzdát-001"</t>
  </si>
  <si>
    <t xml:space="preserve">"vzdát-002"</t>
  </si>
  <si>
    <t xml:space="preserve">"vzdát-003"</t>
  </si>
  <si>
    <t xml:space="preserve">CPHR: {pocta,...}.4</t>
  </si>
  <si>
    <t xml:space="preserve">"vzdát-004"</t>
  </si>
  <si>
    <t xml:space="preserve">"vzdát-se-001"</t>
  </si>
  <si>
    <t xml:space="preserve">ACT-&gt;ARG0/332</t>
  </si>
  <si>
    <t xml:space="preserve">PAT-&gt;ARG1/311,ARG2/13</t>
  </si>
  <si>
    <t xml:space="preserve">"vzdát-se-002"</t>
  </si>
  <si>
    <t xml:space="preserve">"vzdávat-001"</t>
  </si>
  <si>
    <t xml:space="preserve">"vzdávat-002"</t>
  </si>
  <si>
    <t xml:space="preserve">CPHR: {hold,pocta,...}.4</t>
  </si>
  <si>
    <t xml:space="preserve">"vzdávat-se-001"</t>
  </si>
  <si>
    <t xml:space="preserve">"vzdávat-se-002"</t>
  </si>
  <si>
    <t xml:space="preserve">"vzdělat-001"</t>
  </si>
  <si>
    <t xml:space="preserve">PAT-&gt;ARG1/13,ARG2/19</t>
  </si>
  <si>
    <t xml:space="preserve">"vzdělávat-001"</t>
  </si>
  <si>
    <t xml:space="preserve">PAT-&gt;ARG0/249,ARG1/354,ARG4/1</t>
  </si>
  <si>
    <t xml:space="preserve">"vzedmout-001"</t>
  </si>
  <si>
    <t xml:space="preserve">"vzedmout-se-001"</t>
  </si>
  <si>
    <t xml:space="preserve">ACT-&gt;ARG1/72</t>
  </si>
  <si>
    <t xml:space="preserve">"vzejít-001"</t>
  </si>
  <si>
    <t xml:space="preserve">ACT-&gt;ARG1/371,ARG2/495</t>
  </si>
  <si>
    <t xml:space="preserve">PAT-&gt;ARG0/193,ARG1/480,ARG2/86,ARG3/1</t>
  </si>
  <si>
    <t xml:space="preserve">"vzejít-002"</t>
  </si>
  <si>
    <t xml:space="preserve">"vzepnout-se-001"</t>
  </si>
  <si>
    <t xml:space="preserve">"vzepřít-se-001"</t>
  </si>
  <si>
    <t xml:space="preserve">"vzhlédnout-001"</t>
  </si>
  <si>
    <t xml:space="preserve">"vzhlédnout-002"</t>
  </si>
  <si>
    <t xml:space="preserve">"vzhlížet-001"</t>
  </si>
  <si>
    <t xml:space="preserve">"vzhlížet-002"</t>
  </si>
  <si>
    <t xml:space="preserve">"vzkazovat-001"</t>
  </si>
  <si>
    <t xml:space="preserve">"vzklíčit-001"</t>
  </si>
  <si>
    <t xml:space="preserve">"vzkvétat-001"</t>
  </si>
  <si>
    <t xml:space="preserve">"vzkypět-001"</t>
  </si>
  <si>
    <t xml:space="preserve">"vzkázat-001"</t>
  </si>
  <si>
    <t xml:space="preserve">"vzkřísit-001"</t>
  </si>
  <si>
    <t xml:space="preserve">"vzlétnout-001"</t>
  </si>
  <si>
    <t xml:space="preserve">"vzmoci-se-001"</t>
  </si>
  <si>
    <t xml:space="preserve">"vznikat-001"</t>
  </si>
  <si>
    <t xml:space="preserve">ACT-&gt;ARG1/889</t>
  </si>
  <si>
    <t xml:space="preserve">"vznikat-002"</t>
  </si>
  <si>
    <t xml:space="preserve">CPHR: {povinnost,...}.1</t>
  </si>
  <si>
    <t xml:space="preserve">"vzniknout-001"</t>
  </si>
  <si>
    <t xml:space="preserve">ACT-&gt;ARG1/294,ARG2/103</t>
  </si>
  <si>
    <t xml:space="preserve">PAT-&gt;ARG0/18</t>
  </si>
  <si>
    <t xml:space="preserve">"vzniknout-002"</t>
  </si>
  <si>
    <t xml:space="preserve">ACT-&gt;ARG0/130,ARG1/1224,ARG2/495</t>
  </si>
  <si>
    <t xml:space="preserve">PAT-&gt;ARG0/42,ARG1/51,ARG2/93,ARG3/1</t>
  </si>
  <si>
    <t xml:space="preserve">"vzniknout-003"</t>
  </si>
  <si>
    <t xml:space="preserve">"vznášet-001"</t>
  </si>
  <si>
    <t xml:space="preserve">ACT-&gt;ARG0/1262,ARG1/9,ARG2/4</t>
  </si>
  <si>
    <t xml:space="preserve">CPHR: {dotaz,kritika,možnost,nárok,obvinění,prosba,připomínka,sankce,...}.4</t>
  </si>
  <si>
    <t xml:space="preserve">CPHR-&gt;ARG1/77</t>
  </si>
  <si>
    <t xml:space="preserve">CPHR-&gt;ARG1/782,ARG2/94</t>
  </si>
  <si>
    <t xml:space="preserve">?ADDR: na+4; vůči+3</t>
  </si>
  <si>
    <t xml:space="preserve">ADDR-&gt;ARG0/1,ARG1/499,ARG2/225</t>
  </si>
  <si>
    <t xml:space="preserve">"--vznášet-002"</t>
  </si>
  <si>
    <t xml:space="preserve">CPHR: {možnost,nárok,obvinění,...}.4</t>
  </si>
  <si>
    <t xml:space="preserve">?ADDR: na+4; vůči+3; proti+3</t>
  </si>
  <si>
    <t xml:space="preserve">"vznášet-se-001"</t>
  </si>
  <si>
    <t xml:space="preserve">"vznášet-se-002"</t>
  </si>
  <si>
    <t xml:space="preserve">"vznést-001"</t>
  </si>
  <si>
    <t xml:space="preserve">CPHR: {dotaz,kritika,námitka,nárok,obvinění,otázka,pochyba,požadavek,prosba,protest,připomínka,sankce,žaloba,...}.4</t>
  </si>
  <si>
    <t xml:space="preserve">CPHR-&gt;ARG0/1,ARG1/89,ARG3/3</t>
  </si>
  <si>
    <t xml:space="preserve">ACT-&gt;ARG0/85,ARG1/2</t>
  </si>
  <si>
    <t xml:space="preserve">CPHR-&gt;ARG0/1,ARG1/104,ARG3/3</t>
  </si>
  <si>
    <t xml:space="preserve">"--vznést-002"</t>
  </si>
  <si>
    <t xml:space="preserve">CPHR: {dotaz,kritika,námitka,obvinění,pochyba,prosba,protest,připomínka,sankce,žaloba,...}.4</t>
  </si>
  <si>
    <t xml:space="preserve">"vznít-se-001"</t>
  </si>
  <si>
    <t xml:space="preserve">"vznítit-se-001"</t>
  </si>
  <si>
    <t xml:space="preserve">"vzpamatovat-se-001"</t>
  </si>
  <si>
    <t xml:space="preserve">ACT-&gt;ARG0/36,ARG1/88</t>
  </si>
  <si>
    <t xml:space="preserve">PAT-&gt;ARG1/47,ARG2/11,ARG3/12</t>
  </si>
  <si>
    <t xml:space="preserve">"vzpamatovávat-se-001"</t>
  </si>
  <si>
    <t xml:space="preserve">ACT-&gt;ARG0/5,ARG1/105</t>
  </si>
  <si>
    <t xml:space="preserve">PAT-&gt;ARG2/17,ARG3/12</t>
  </si>
  <si>
    <t xml:space="preserve">"vzplanout-001"</t>
  </si>
  <si>
    <t xml:space="preserve">"vzplanout-002"</t>
  </si>
  <si>
    <t xml:space="preserve">"vzplanout-003"</t>
  </si>
  <si>
    <t xml:space="preserve">"vzplanout-004"</t>
  </si>
  <si>
    <t xml:space="preserve">CPHR: {hněv,láska,nenávist,vztek,...}.7</t>
  </si>
  <si>
    <t xml:space="preserve">"vzpomenout-001"</t>
  </si>
  <si>
    <t xml:space="preserve">PAT: 4; na+4; ↓že; ↓zda; ↓jestli; ↓jak-2; .s; ↓c</t>
  </si>
  <si>
    <t xml:space="preserve">"vzpomenout-si-001"</t>
  </si>
  <si>
    <t xml:space="preserve">PAT: na+4; ↓že; ↓zda; ↓jestli; ↓jak-2; .s; ↓c; .f; ↓když; 4</t>
  </si>
  <si>
    <t xml:space="preserve">ACT-&gt;ARG0/12300,ARG1/36</t>
  </si>
  <si>
    <t xml:space="preserve">PAT-&gt;ARG0/2,ARG1/10737,ARG2/38</t>
  </si>
  <si>
    <t xml:space="preserve">"vzpomínat-001"</t>
  </si>
  <si>
    <t xml:space="preserve">PAT: na+4; ↓že; ↓zda; ↓jestli; ↓jak-2; .s; ↓c; 4</t>
  </si>
  <si>
    <t xml:space="preserve">ACT-&gt;ARG0/187</t>
  </si>
  <si>
    <t xml:space="preserve">PAT-&gt;ARG1/304</t>
  </si>
  <si>
    <t xml:space="preserve">"vzpomínat-si-001"</t>
  </si>
  <si>
    <t xml:space="preserve">PAT: 4; na+4; ↓že; ↓zda; ↓jak; ↓jestli; .s; ↓c</t>
  </si>
  <si>
    <t xml:space="preserve">"vzpružit-001"</t>
  </si>
  <si>
    <t xml:space="preserve">"vzpínat-se-001"</t>
  </si>
  <si>
    <t xml:space="preserve">"vzpírat-se-001"</t>
  </si>
  <si>
    <t xml:space="preserve">"vzrušit-001"</t>
  </si>
  <si>
    <t xml:space="preserve">"vzrušovat-001"</t>
  </si>
  <si>
    <t xml:space="preserve">"vzrůst-001"</t>
  </si>
  <si>
    <t xml:space="preserve">ACT-&gt;ARG0/159,ARG1/5334,ARG2/304</t>
  </si>
  <si>
    <t xml:space="preserve">ACT-&gt;ARG0/22,ARG1/1922,ARG2/8</t>
  </si>
  <si>
    <t xml:space="preserve">PAT-&gt;ARG1/399,ARG2/3486,ARG4/1558</t>
  </si>
  <si>
    <t xml:space="preserve">ORIG-&gt;ARG2/8,ARG3/589,ARG4/1,ARGm-LOC/1</t>
  </si>
  <si>
    <t xml:space="preserve">"vzrůstat-001"</t>
  </si>
  <si>
    <t xml:space="preserve">ACT-&gt;ARG1/184,ARG2/4</t>
  </si>
  <si>
    <t xml:space="preserve">"vztahovat-001"</t>
  </si>
  <si>
    <t xml:space="preserve">"vztahovat-se-001"</t>
  </si>
  <si>
    <t xml:space="preserve">PAT: na+4; k+3; do+2</t>
  </si>
  <si>
    <t xml:space="preserve">ACT-&gt;ARG0/103,ARG1/64,ARG2/49</t>
  </si>
  <si>
    <t xml:space="preserve">PAT-&gt;ARG1/304,ARG2/129</t>
  </si>
  <si>
    <t xml:space="preserve">"vztekat-se-001"</t>
  </si>
  <si>
    <t xml:space="preserve">"vztyčit-001"</t>
  </si>
  <si>
    <t xml:space="preserve">"vztyčit-se-001"</t>
  </si>
  <si>
    <t xml:space="preserve">"vztyčovat-001"</t>
  </si>
  <si>
    <t xml:space="preserve">"vztyčovat-002"</t>
  </si>
  <si>
    <t xml:space="preserve">"vztáhnout-001"</t>
  </si>
  <si>
    <t xml:space="preserve">"vztáhnout-002"</t>
  </si>
  <si>
    <t xml:space="preserve">DPHR: pěst.S4</t>
  </si>
  <si>
    <t xml:space="preserve">PAT: na+4; po+6</t>
  </si>
  <si>
    <t xml:space="preserve">"vztáhnout-003"</t>
  </si>
  <si>
    <t xml:space="preserve">"vzít-001"</t>
  </si>
  <si>
    <t xml:space="preserve">"vzít-002"</t>
  </si>
  <si>
    <t xml:space="preserve">"vzít-003"</t>
  </si>
  <si>
    <t xml:space="preserve">PAT-&gt;ARG0/1,ARG1/84,ARG3/1</t>
  </si>
  <si>
    <t xml:space="preserve">"vzít-004"</t>
  </si>
  <si>
    <t xml:space="preserve">EFF-&gt;ARG1/1,ARG2/11</t>
  </si>
  <si>
    <t xml:space="preserve">"vzít-005"</t>
  </si>
  <si>
    <t xml:space="preserve">DIR1-&gt;ARG2/13</t>
  </si>
  <si>
    <t xml:space="preserve">DIR1-&gt;ARG0/108,ARG1/3,ARG2/42</t>
  </si>
  <si>
    <t xml:space="preserve">DIR1-&gt;ARG0/108,ARG1/3,ARG2/40</t>
  </si>
  <si>
    <t xml:space="preserve">DIR1-&gt;ARG0/108,ARG1/4,ARG2/45</t>
  </si>
  <si>
    <t xml:space="preserve">"vzít-006"</t>
  </si>
  <si>
    <t xml:space="preserve">"vzít-007"</t>
  </si>
  <si>
    <t xml:space="preserve">"vzít-008"</t>
  </si>
  <si>
    <t xml:space="preserve">"vzít-009"</t>
  </si>
  <si>
    <t xml:space="preserve">PAT: 4; za+4</t>
  </si>
  <si>
    <t xml:space="preserve">"vzít-010"</t>
  </si>
  <si>
    <t xml:space="preserve">PAT-&gt;ARG1/22,ARG2/11</t>
  </si>
  <si>
    <t xml:space="preserve">"vzít-011"</t>
  </si>
  <si>
    <t xml:space="preserve">"vzít-012"</t>
  </si>
  <si>
    <t xml:space="preserve">ACT-&gt;ARG0/274,ARG1/25</t>
  </si>
  <si>
    <t xml:space="preserve">PAT-&gt;ARG1/345,ARG2/26</t>
  </si>
  <si>
    <t xml:space="preserve">"vzít-013"</t>
  </si>
  <si>
    <t xml:space="preserve">"vzít-014"</t>
  </si>
  <si>
    <t xml:space="preserve">"vzít-015"</t>
  </si>
  <si>
    <t xml:space="preserve">"vzít-016"</t>
  </si>
  <si>
    <t xml:space="preserve">"vzít-017"</t>
  </si>
  <si>
    <t xml:space="preserve">"vzít-018"</t>
  </si>
  <si>
    <t xml:space="preserve">"vzít-019"</t>
  </si>
  <si>
    <t xml:space="preserve">CPHR: {právo,...}.4</t>
  </si>
  <si>
    <t xml:space="preserve">"vzít-020"</t>
  </si>
  <si>
    <t xml:space="preserve">"vzít-021"</t>
  </si>
  <si>
    <t xml:space="preserve">DPHR: do-1[ruka:P2[svůj-1.FP2]]; do-1[ruka:P2]</t>
  </si>
  <si>
    <t xml:space="preserve">"vzít-022"</t>
  </si>
  <si>
    <t xml:space="preserve">DPHR: do-1[ruka:P2[svůj-1.P2]]</t>
  </si>
  <si>
    <t xml:space="preserve">"vzít-023"</t>
  </si>
  <si>
    <t xml:space="preserve">DPHR: do-1[vazba-1.S2]</t>
  </si>
  <si>
    <t xml:space="preserve">"vzít-025"</t>
  </si>
  <si>
    <t xml:space="preserve">DPHR: na-1[milost.4]</t>
  </si>
  <si>
    <t xml:space="preserve">"vzít-026"</t>
  </si>
  <si>
    <t xml:space="preserve">PAT-&gt;ARG1/224,ARG2/26</t>
  </si>
  <si>
    <t xml:space="preserve">"vzít-027"</t>
  </si>
  <si>
    <t xml:space="preserve">"vzít-028"</t>
  </si>
  <si>
    <t xml:space="preserve">DPHR: na-1[zřetel.S4]</t>
  </si>
  <si>
    <t xml:space="preserve">"vzít-029"</t>
  </si>
  <si>
    <t xml:space="preserve">DPHR: v-1[potaz.S4]</t>
  </si>
  <si>
    <t xml:space="preserve">"vzít-030"</t>
  </si>
  <si>
    <t xml:space="preserve">DPHR-&gt;ARG1/129,ARG2/6</t>
  </si>
  <si>
    <t xml:space="preserve">PAT-&gt;ARG1/194,ARG2/52</t>
  </si>
  <si>
    <t xml:space="preserve">"vzít-031"</t>
  </si>
  <si>
    <t xml:space="preserve">DPHR: za-1[slovo.S4]</t>
  </si>
  <si>
    <t xml:space="preserve">"vzít-032"</t>
  </si>
  <si>
    <t xml:space="preserve">DPHR: za-1[svůj-1]</t>
  </si>
  <si>
    <t xml:space="preserve">"vzít-033"</t>
  </si>
  <si>
    <t xml:space="preserve">"vzít-034"</t>
  </si>
  <si>
    <t xml:space="preserve">DPHR: zpět; zpátky</t>
  </si>
  <si>
    <t xml:space="preserve">"vzít-035"</t>
  </si>
  <si>
    <t xml:space="preserve">DPHR: do-1[zaječí.P2]</t>
  </si>
  <si>
    <t xml:space="preserve">"vzít-036"</t>
  </si>
  <si>
    <t xml:space="preserve">DPHR: konec:4[rychlý:#]</t>
  </si>
  <si>
    <t xml:space="preserve">"vzít-037"</t>
  </si>
  <si>
    <t xml:space="preserve">DPHR: noha,na-1[rameno:P4]</t>
  </si>
  <si>
    <t xml:space="preserve">"vzít-038"</t>
  </si>
  <si>
    <t xml:space="preserve">DPHR: roh.S4</t>
  </si>
  <si>
    <t xml:space="preserve">"vzít-039"</t>
  </si>
  <si>
    <t xml:space="preserve">DPHR: za-1[svůj-1.NS4]</t>
  </si>
  <si>
    <t xml:space="preserve">"vzít-040"</t>
  </si>
  <si>
    <t xml:space="preserve">CPHR: {závazek}.4</t>
  </si>
  <si>
    <t xml:space="preserve">"vzít-041"</t>
  </si>
  <si>
    <t xml:space="preserve">DPHR: vítr.S4,z-1[plachta.P2]</t>
  </si>
  <si>
    <t xml:space="preserve">"vzít-042"</t>
  </si>
  <si>
    <t xml:space="preserve">DPHR: do-1[ruka:P2[vlastní.#]]</t>
  </si>
  <si>
    <t xml:space="preserve">"--vzít-043"</t>
  </si>
  <si>
    <t xml:space="preserve">"vzít-044"</t>
  </si>
  <si>
    <t xml:space="preserve">"vzít-045"</t>
  </si>
  <si>
    <t xml:space="preserve">"vzít-046"</t>
  </si>
  <si>
    <t xml:space="preserve">DPHR: plac.S4</t>
  </si>
  <si>
    <t xml:space="preserve">"vzít-047"</t>
  </si>
  <si>
    <t xml:space="preserve">DPHR: na-1[bedra.P4[svůj-1.#]]</t>
  </si>
  <si>
    <t xml:space="preserve">"vzít-048"</t>
  </si>
  <si>
    <t xml:space="preserve">"vzít-049"</t>
  </si>
  <si>
    <t xml:space="preserve">DPHR: do-1[zajetí.2]</t>
  </si>
  <si>
    <t xml:space="preserve">"vzít-050"</t>
  </si>
  <si>
    <t xml:space="preserve">"vzít-051"</t>
  </si>
  <si>
    <t xml:space="preserve">"vzít-052"</t>
  </si>
  <si>
    <t xml:space="preserve">"vzít-053"</t>
  </si>
  <si>
    <t xml:space="preserve">"vzít-054"</t>
  </si>
  <si>
    <t xml:space="preserve">"vzít-se-001"</t>
  </si>
  <si>
    <t xml:space="preserve">"vzít-se-002"</t>
  </si>
  <si>
    <t xml:space="preserve">"vzít-se-003"</t>
  </si>
  <si>
    <t xml:space="preserve">"vzít-se-004"</t>
  </si>
  <si>
    <t xml:space="preserve">"vzít-se-005"</t>
  </si>
  <si>
    <t xml:space="preserve">DPHR: vzít[kde,se],tady</t>
  </si>
  <si>
    <t xml:space="preserve">"vzít-si-001"</t>
  </si>
  <si>
    <t xml:space="preserve">ACT-&gt;ARG0/251,ARG1/25</t>
  </si>
  <si>
    <t xml:space="preserve">PAT-&gt;ARG1/295,ARG2/26</t>
  </si>
  <si>
    <t xml:space="preserve">EFF-&gt;ARG1/3,ARG3/25</t>
  </si>
  <si>
    <t xml:space="preserve">"vzít-si-002"</t>
  </si>
  <si>
    <t xml:space="preserve">"vzít-si-003"</t>
  </si>
  <si>
    <t xml:space="preserve">"vzít-si-004"</t>
  </si>
  <si>
    <t xml:space="preserve">"vzít-si-005"</t>
  </si>
  <si>
    <t xml:space="preserve">"vzít-si-006"</t>
  </si>
  <si>
    <t xml:space="preserve">"vzít-si-007"</t>
  </si>
  <si>
    <t xml:space="preserve">DPHR: k-1[srdce.S3]</t>
  </si>
  <si>
    <t xml:space="preserve">"vzít-si-008"</t>
  </si>
  <si>
    <t xml:space="preserve">"vzít-si-009"</t>
  </si>
  <si>
    <t xml:space="preserve">"vzít-si-010"</t>
  </si>
  <si>
    <t xml:space="preserve">"vzít-si-011"</t>
  </si>
  <si>
    <t xml:space="preserve">"vzít-si-012"</t>
  </si>
  <si>
    <t xml:space="preserve">"vzít-si-013"</t>
  </si>
  <si>
    <t xml:space="preserve">DPHR: do-1[prádlo.S2]</t>
  </si>
  <si>
    <t xml:space="preserve">"vzít-si-014"</t>
  </si>
  <si>
    <t xml:space="preserve">"vzít-si-015"</t>
  </si>
  <si>
    <t xml:space="preserve">DPHR: za-1[vlastní.4#]; jako[vlastní.4#]; za-1[svůj-1.4]</t>
  </si>
  <si>
    <t xml:space="preserve">"vzít-si-016"</t>
  </si>
  <si>
    <t xml:space="preserve">"vzývat-001"</t>
  </si>
  <si>
    <t xml:space="preserve">"vábit-001"</t>
  </si>
  <si>
    <t xml:space="preserve">"váhat-001"</t>
  </si>
  <si>
    <t xml:space="preserve">ACT-&gt;ARG0/33,ARG1/9</t>
  </si>
  <si>
    <t xml:space="preserve">?PAT: s+7; nad+7; .f; ↓zda</t>
  </si>
  <si>
    <t xml:space="preserve">ACT-&gt;ARG0/8,ARG1/3106,ARG2/296</t>
  </si>
  <si>
    <t xml:space="preserve">"válet-001"</t>
  </si>
  <si>
    <t xml:space="preserve">"válet-se-001"</t>
  </si>
  <si>
    <t xml:space="preserve">"válet-se-002"</t>
  </si>
  <si>
    <t xml:space="preserve">"válčit-001"</t>
  </si>
  <si>
    <t xml:space="preserve">"válčit-002"</t>
  </si>
  <si>
    <t xml:space="preserve">"válčit-003"</t>
  </si>
  <si>
    <t xml:space="preserve">?PAT: za+4; o+4</t>
  </si>
  <si>
    <t xml:space="preserve">"vát-001"</t>
  </si>
  <si>
    <t xml:space="preserve">"vázat-001"</t>
  </si>
  <si>
    <t xml:space="preserve">"vázat-002"</t>
  </si>
  <si>
    <t xml:space="preserve">EFF-&gt;ARG1/31,ARG2/12</t>
  </si>
  <si>
    <t xml:space="preserve">"vázat-003"</t>
  </si>
  <si>
    <t xml:space="preserve">"vázat-004"</t>
  </si>
  <si>
    <t xml:space="preserve">ACT-&gt;ARG1/32,ARG2/1,ARG3/2</t>
  </si>
  <si>
    <t xml:space="preserve">PAT-&gt;ARG0/3,ARG1/23</t>
  </si>
  <si>
    <t xml:space="preserve">"vázat-005"</t>
  </si>
  <si>
    <t xml:space="preserve">"vázat-006"</t>
  </si>
  <si>
    <t xml:space="preserve">"vázat-007"</t>
  </si>
  <si>
    <t xml:space="preserve">?PAT: k+3; .f; ↓aby</t>
  </si>
  <si>
    <t xml:space="preserve">"vázat-008"</t>
  </si>
  <si>
    <t xml:space="preserve">"vázat-se-001"</t>
  </si>
  <si>
    <t xml:space="preserve">"vázat-se-002"</t>
  </si>
  <si>
    <t xml:space="preserve">PAT-&gt;ARG2/35</t>
  </si>
  <si>
    <t xml:space="preserve">"vázat-se-003"</t>
  </si>
  <si>
    <t xml:space="preserve">"váznout-001"</t>
  </si>
  <si>
    <t xml:space="preserve">ACT-&gt;ARG0/7,ARG1/17,ARG2/1</t>
  </si>
  <si>
    <t xml:space="preserve">PAT-&gt;ARG0/2,ARG1/15</t>
  </si>
  <si>
    <t xml:space="preserve">"váznout-002"</t>
  </si>
  <si>
    <t xml:space="preserve">"vážit-001"</t>
  </si>
  <si>
    <t xml:space="preserve">"vážit-002"</t>
  </si>
  <si>
    <t xml:space="preserve">"vážit-003"</t>
  </si>
  <si>
    <t xml:space="preserve">"vážit-004"</t>
  </si>
  <si>
    <t xml:space="preserve">EXT-&gt;ARG3/12</t>
  </si>
  <si>
    <t xml:space="preserve">EXT-&gt;ARG3/17</t>
  </si>
  <si>
    <t xml:space="preserve">"vážit-si-001"</t>
  </si>
  <si>
    <t xml:space="preserve">"vést-001"</t>
  </si>
  <si>
    <t xml:space="preserve">ACT-&gt;ARG0/564,ARG1/3191,ARG2/296</t>
  </si>
  <si>
    <t xml:space="preserve">PAT-&gt;ARG1/671,ARG2/3722,ARG3/2</t>
  </si>
  <si>
    <t xml:space="preserve">ADDR-&gt;ARG1/61,ARG2/1,ARG3/1</t>
  </si>
  <si>
    <t xml:space="preserve">"vést-002"</t>
  </si>
  <si>
    <t xml:space="preserve">?ADDR: s+7; proti+3; nad+7; před+7</t>
  </si>
  <si>
    <t xml:space="preserve">"vést-003"</t>
  </si>
  <si>
    <t xml:space="preserve">"vést-004"</t>
  </si>
  <si>
    <t xml:space="preserve">ACT-&gt;ARG0/194</t>
  </si>
  <si>
    <t xml:space="preserve">PAT-&gt;ARG0/1,ARG1/307,ARG2/1</t>
  </si>
  <si>
    <t xml:space="preserve">"vést-005"</t>
  </si>
  <si>
    <t xml:space="preserve">PAT-&gt;ARG1/69,ARG2/2</t>
  </si>
  <si>
    <t xml:space="preserve">"vést-006"</t>
  </si>
  <si>
    <t xml:space="preserve">ACT-&gt;ARG0/465,ARG1/1</t>
  </si>
  <si>
    <t xml:space="preserve">PAT-&gt;ARG0/11,ARG1/518</t>
  </si>
  <si>
    <t xml:space="preserve">"vést-007"</t>
  </si>
  <si>
    <t xml:space="preserve">"vést-008"</t>
  </si>
  <si>
    <t xml:space="preserve">"vést-009"</t>
  </si>
  <si>
    <t xml:space="preserve">"vést-010"</t>
  </si>
  <si>
    <t xml:space="preserve">ACT-&gt;ARG0/473,ARG1/3193,ARG2/296</t>
  </si>
  <si>
    <t xml:space="preserve">PAT-&gt;ARG1/667,ARG2/3670</t>
  </si>
  <si>
    <t xml:space="preserve">"vést-011"</t>
  </si>
  <si>
    <t xml:space="preserve">"vést-012"</t>
  </si>
  <si>
    <t xml:space="preserve">ACT-&gt;ARG0/121,ARG1/79</t>
  </si>
  <si>
    <t xml:space="preserve">DIR3-&gt;ARG2/115</t>
  </si>
  <si>
    <t xml:space="preserve">"vést-013"</t>
  </si>
  <si>
    <t xml:space="preserve">CPHR: {boj,debata,dialog,diskuse,hovor,jednání,kampaň,komunikace,korespondence,nápor,obchod,operace,pohovor,pokus,polemika,propaganda,rozhovor,řízení,snaha,spor,tažení,úsilí,útok,válka,vyjednávání,...}.4</t>
  </si>
  <si>
    <t xml:space="preserve">ACT-&gt;ARG0/2531,ARG1/118</t>
  </si>
  <si>
    <t xml:space="preserve">CPHR-&gt;ARG0/1,ARG1/2630,ARG2/91</t>
  </si>
  <si>
    <t xml:space="preserve">ACT-&gt;ARG0/215,ARG1/2</t>
  </si>
  <si>
    <t xml:space="preserve">CPHR-&gt;ARG1/224,ARG2/1</t>
  </si>
  <si>
    <t xml:space="preserve">CPHR-&gt;ARG1/36</t>
  </si>
  <si>
    <t xml:space="preserve">"vést-014"</t>
  </si>
  <si>
    <t xml:space="preserve">CPHR: {obžaloba,proces,stíhání,žaloba,...}</t>
  </si>
  <si>
    <t xml:space="preserve">"vést-015"</t>
  </si>
  <si>
    <t xml:space="preserve">DPHR: řeč.P4</t>
  </si>
  <si>
    <t xml:space="preserve">"vést-016"</t>
  </si>
  <si>
    <t xml:space="preserve">DPHR: řeč:P4[hloupý.P4@1]</t>
  </si>
  <si>
    <t xml:space="preserve">"vést-017"</t>
  </si>
  <si>
    <t xml:space="preserve">"vést-018"</t>
  </si>
  <si>
    <t xml:space="preserve">ACT-&gt;ARG0/101,ARG1/78</t>
  </si>
  <si>
    <t xml:space="preserve">"vést-019"</t>
  </si>
  <si>
    <t xml:space="preserve">DPHR: styl.S4</t>
  </si>
  <si>
    <t xml:space="preserve">"vést-020"</t>
  </si>
  <si>
    <t xml:space="preserve">"vést-021"</t>
  </si>
  <si>
    <t xml:space="preserve">DPHR: latina.S4[myslivecký.#]</t>
  </si>
  <si>
    <t xml:space="preserve">"vést-022"</t>
  </si>
  <si>
    <t xml:space="preserve">"vést-023"</t>
  </si>
  <si>
    <t xml:space="preserve">"vést-024"</t>
  </si>
  <si>
    <t xml:space="preserve">"vést-se-001"</t>
  </si>
  <si>
    <t xml:space="preserve">ACT-&gt;ARG0/77,ARGm-MNR/2</t>
  </si>
  <si>
    <t xml:space="preserve">MANN-&gt;ARG1/2,ARGm-MNR/22</t>
  </si>
  <si>
    <t xml:space="preserve">"vést-se-002"</t>
  </si>
  <si>
    <t xml:space="preserve">"vést-si-001"</t>
  </si>
  <si>
    <t xml:space="preserve">ACT-&gt;ARG0/441,ARG1/3127,ARG2/296,ARGm-MNR/2</t>
  </si>
  <si>
    <t xml:space="preserve">MANN-&gt;ARG1/123,ARG2/3455,ARGm-MNR/22</t>
  </si>
  <si>
    <t xml:space="preserve">ACMP-&gt;ARG1/4,ARG2/1,ARG3/45</t>
  </si>
  <si>
    <t xml:space="preserve">"vést-si-002"</t>
  </si>
  <si>
    <t xml:space="preserve">"vévodit-001"</t>
  </si>
  <si>
    <t xml:space="preserve">"vézt-001"</t>
  </si>
  <si>
    <t xml:space="preserve">"vézt-se-001"</t>
  </si>
  <si>
    <t xml:space="preserve">"vézt-se-002"</t>
  </si>
  <si>
    <t xml:space="preserve">"vídat-001"</t>
  </si>
  <si>
    <t xml:space="preserve">"--vídat-se-001"</t>
  </si>
  <si>
    <t xml:space="preserve">"vídávat-001"</t>
  </si>
  <si>
    <t xml:space="preserve">"--vídávat-se-001"</t>
  </si>
  <si>
    <t xml:space="preserve">"vítat-001"</t>
  </si>
  <si>
    <t xml:space="preserve">"vítat-002"</t>
  </si>
  <si>
    <t xml:space="preserve">"vítat-003"</t>
  </si>
  <si>
    <t xml:space="preserve">"vítat-004"</t>
  </si>
  <si>
    <t xml:space="preserve">"vítězit-001"</t>
  </si>
  <si>
    <t xml:space="preserve">?ADDR: nad+7</t>
  </si>
  <si>
    <t xml:space="preserve">"vířit-001"</t>
  </si>
  <si>
    <t xml:space="preserve">"výt-001"</t>
  </si>
  <si>
    <t xml:space="preserve">"včelařit-001"</t>
  </si>
  <si>
    <t xml:space="preserve">"včlenit-001"</t>
  </si>
  <si>
    <t xml:space="preserve">ACT-&gt;ARG0/87,ARG1/5</t>
  </si>
  <si>
    <t xml:space="preserve">ACT-&gt;ARG0/262,ARG1/3,ARG2/26</t>
  </si>
  <si>
    <t xml:space="preserve">PAT-&gt;ARG1/149,ARG2/1</t>
  </si>
  <si>
    <t xml:space="preserve">PAT-&gt;ARG1/560,ARG2/3</t>
  </si>
  <si>
    <t xml:space="preserve">DIR3-&gt;ARG2/13</t>
  </si>
  <si>
    <t xml:space="preserve">"včlenit-se-001"</t>
  </si>
  <si>
    <t xml:space="preserve">"včleňovat-001"</t>
  </si>
  <si>
    <t xml:space="preserve">"včleňovat-se-001"</t>
  </si>
  <si>
    <t xml:space="preserve">"vědět-001"</t>
  </si>
  <si>
    <t xml:space="preserve">ACT-&gt;ARG0/744,ARG1/3105,ARG2/296</t>
  </si>
  <si>
    <t xml:space="preserve">PAT: 4; o+6; ↓jak-2; ↓c; ↓zda; ↓že; ↓jestli; .v</t>
  </si>
  <si>
    <t xml:space="preserve">PAT-&gt;ARG1/937,ARG2/19,ARG3/4</t>
  </si>
  <si>
    <t xml:space="preserve">"vědět-002"</t>
  </si>
  <si>
    <t xml:space="preserve">"vědět-003"</t>
  </si>
  <si>
    <t xml:space="preserve">ACT-&gt;ARG0/301,ARG1/1</t>
  </si>
  <si>
    <t xml:space="preserve">"vědět-004"</t>
  </si>
  <si>
    <t xml:space="preserve">ACT-&gt;ARG0/300,ARG1/2</t>
  </si>
  <si>
    <t xml:space="preserve">EFF: 4; ↓že; ↓zda; ↓jak-2; ↓jestli; ↓c</t>
  </si>
  <si>
    <t xml:space="preserve">EFF-&gt;ARG1/320,ARG2/97</t>
  </si>
  <si>
    <t xml:space="preserve">PAT-&gt;ARG1/34,ARG2/3</t>
  </si>
  <si>
    <t xml:space="preserve">"vědět-005"</t>
  </si>
  <si>
    <t xml:space="preserve">DPHR: svůj-1</t>
  </si>
  <si>
    <t xml:space="preserve">"vědět-006"</t>
  </si>
  <si>
    <t xml:space="preserve">DPHR: to.NS4</t>
  </si>
  <si>
    <t xml:space="preserve">"vědět-si-001"</t>
  </si>
  <si>
    <t xml:space="preserve">DPHR: rada-1.S2</t>
  </si>
  <si>
    <t xml:space="preserve">"věnovat-001"</t>
  </si>
  <si>
    <t xml:space="preserve">ACT-&gt;ARG0/460,ARG1/1,ARG2/34</t>
  </si>
  <si>
    <t xml:space="preserve">ACT-&gt;ARG0/324</t>
  </si>
  <si>
    <t xml:space="preserve">PAT-&gt;ARG0/1,ARG1/674,ARG2/4</t>
  </si>
  <si>
    <t xml:space="preserve">PAT-&gt;ARG1/444,ARG2/2</t>
  </si>
  <si>
    <t xml:space="preserve">PAT-&gt;ARG1/455,ARG2/2</t>
  </si>
  <si>
    <t xml:space="preserve">ADDR-&gt;ARG1/24,ARG2/549</t>
  </si>
  <si>
    <t xml:space="preserve">ADDR-&gt;ARG1/10,ARG2/373,ARG4/2</t>
  </si>
  <si>
    <t xml:space="preserve">ADDR-&gt;ARG1/10,ARG2/374,ARG4/2</t>
  </si>
  <si>
    <t xml:space="preserve">"věnovat-002"</t>
  </si>
  <si>
    <t xml:space="preserve">PAT-&gt;ARG1/28,ARG2/1</t>
  </si>
  <si>
    <t xml:space="preserve">ADDR-&gt;ARG1/1,ARG2/33</t>
  </si>
  <si>
    <t xml:space="preserve">"věnovat-003"</t>
  </si>
  <si>
    <t xml:space="preserve">ACT-&gt;ARG0/143,ARG1/1,ARG3/1</t>
  </si>
  <si>
    <t xml:space="preserve">ACT-&gt;ARG0/91,ARG1/15</t>
  </si>
  <si>
    <t xml:space="preserve">CPHR: {čas,loajalita,péče,pozornost-1,prostor,přízeň,úsilí,úsilí,zájem,...}.4</t>
  </si>
  <si>
    <t xml:space="preserve">CPHR-&gt;ARG1/52,ARG3/143</t>
  </si>
  <si>
    <t xml:space="preserve">ADDR-&gt;ARG1/112,ARG3/1</t>
  </si>
  <si>
    <t xml:space="preserve">ACT-&gt;ARG0/754,ARG1/28</t>
  </si>
  <si>
    <t xml:space="preserve">CPHR-&gt;ARG0/1,ARG1/1026,ARG2/30</t>
  </si>
  <si>
    <t xml:space="preserve">ADDR-&gt;ARG0/37,ARG1/61,ARG2/614</t>
  </si>
  <si>
    <t xml:space="preserve">ACT-&gt;ARG0/214,ARG1/3</t>
  </si>
  <si>
    <t xml:space="preserve">CPHR-&gt;ARG1/278,ARG2/3</t>
  </si>
  <si>
    <t xml:space="preserve">ADDR-&gt;ARG1/26,ARG2/151</t>
  </si>
  <si>
    <t xml:space="preserve">"věnovat-se-001"</t>
  </si>
  <si>
    <t xml:space="preserve">ACT-&gt;ARG0/477,ARG1/6,ARG3/1</t>
  </si>
  <si>
    <t xml:space="preserve">PAT-&gt;ARG1/462,ARG2/215</t>
  </si>
  <si>
    <t xml:space="preserve">"věstit-001"</t>
  </si>
  <si>
    <t xml:space="preserve">"věstit-002"</t>
  </si>
  <si>
    <t xml:space="preserve">DPHR: nic.S4[dobrý-1.NS2]</t>
  </si>
  <si>
    <t xml:space="preserve">DPHR-&gt;ARG1/220</t>
  </si>
  <si>
    <t xml:space="preserve">"větrat-001"</t>
  </si>
  <si>
    <t xml:space="preserve">"větrat-002"</t>
  </si>
  <si>
    <t xml:space="preserve">"větřit-001"</t>
  </si>
  <si>
    <t xml:space="preserve">"vězet-001"</t>
  </si>
  <si>
    <t xml:space="preserve">"vězet-002"</t>
  </si>
  <si>
    <t xml:space="preserve">LOC-&gt;ARG0/7,ARG2/1</t>
  </si>
  <si>
    <t xml:space="preserve">"věznit-001"</t>
  </si>
  <si>
    <t xml:space="preserve">"věřit-001"</t>
  </si>
  <si>
    <t xml:space="preserve">ACT-&gt;ARG0/555,ARG1/3105,ARG2/296</t>
  </si>
  <si>
    <t xml:space="preserve">PAT: 3; ↓že; ↓c; .v</t>
  </si>
  <si>
    <t xml:space="preserve">"věřit-002"</t>
  </si>
  <si>
    <t xml:space="preserve">"věřit-003"</t>
  </si>
  <si>
    <t xml:space="preserve">ACT-&gt;ARG0/329,ARG1/3</t>
  </si>
  <si>
    <t xml:space="preserve">PAT-&gt;ARG1/358</t>
  </si>
  <si>
    <t xml:space="preserve">"věřit-004"</t>
  </si>
  <si>
    <t xml:space="preserve">?PAT: 4; ↓že; ↓c; .v</t>
  </si>
  <si>
    <t xml:space="preserve">"věřit-005"</t>
  </si>
  <si>
    <t xml:space="preserve">ACT-&gt;ARG0/305,ARG1/3</t>
  </si>
  <si>
    <t xml:space="preserve">EFF-&gt;ARG1/331</t>
  </si>
  <si>
    <t xml:space="preserve">"věšet-001"</t>
  </si>
  <si>
    <t xml:space="preserve">"věštit-001"</t>
  </si>
  <si>
    <t xml:space="preserve">"vřeštět-001"</t>
  </si>
  <si>
    <t xml:space="preserve">"vřít-001"</t>
  </si>
  <si>
    <t xml:space="preserve">"vřít-002"</t>
  </si>
  <si>
    <t xml:space="preserve">"vřít-003"</t>
  </si>
  <si>
    <t xml:space="preserve">"vřítit-se-001"</t>
  </si>
  <si>
    <t xml:space="preserve">"všimnout-si-001"</t>
  </si>
  <si>
    <t xml:space="preserve">ACT-&gt;ARG0/558,ARG1/2</t>
  </si>
  <si>
    <t xml:space="preserve">PAT-&gt;ARG0/5,ARG1/687,ARG2/2</t>
  </si>
  <si>
    <t xml:space="preserve">"všimnout-si-002"</t>
  </si>
  <si>
    <t xml:space="preserve">EFF: ↓že; ↓jak</t>
  </si>
  <si>
    <t xml:space="preserve">"vštípit-001"</t>
  </si>
  <si>
    <t xml:space="preserve">"vštěpovat-001"</t>
  </si>
  <si>
    <t xml:space="preserve">"všímat-si-001"</t>
  </si>
  <si>
    <t xml:space="preserve">ACT-&gt;ARG0/121,ARG1/15</t>
  </si>
  <si>
    <t xml:space="preserve">"vžít-se-001"</t>
  </si>
  <si>
    <t xml:space="preserve">"vžít-se-002"</t>
  </si>
  <si>
    <t xml:space="preserve">"zabalit-001"</t>
  </si>
  <si>
    <t xml:space="preserve">"zabalit-002"</t>
  </si>
  <si>
    <t xml:space="preserve">"zabarikádovat-001"</t>
  </si>
  <si>
    <t xml:space="preserve">"zabarvit-001"</t>
  </si>
  <si>
    <t xml:space="preserve">"zabarvit-002"</t>
  </si>
  <si>
    <t xml:space="preserve">"zabavit-001"</t>
  </si>
  <si>
    <t xml:space="preserve">"zabavit-002"</t>
  </si>
  <si>
    <t xml:space="preserve">"zabavit-se-001"</t>
  </si>
  <si>
    <t xml:space="preserve">"zabavovat-001"</t>
  </si>
  <si>
    <t xml:space="preserve">"zabavovat-se-001"</t>
  </si>
  <si>
    <t xml:space="preserve">"zabednit-001"</t>
  </si>
  <si>
    <t xml:space="preserve">"zabetonovat-001"</t>
  </si>
  <si>
    <t xml:space="preserve">"zabetonovat-002"</t>
  </si>
  <si>
    <t xml:space="preserve">"zabetonovat-003"</t>
  </si>
  <si>
    <t xml:space="preserve">"zabezpečit-001"</t>
  </si>
  <si>
    <t xml:space="preserve">"zabezpečit-002"</t>
  </si>
  <si>
    <t xml:space="preserve">"zabezpečovat-001"</t>
  </si>
  <si>
    <t xml:space="preserve">"zabezpečovat-002"</t>
  </si>
  <si>
    <t xml:space="preserve">"zablokovat-001"</t>
  </si>
  <si>
    <t xml:space="preserve">ACT-&gt;ARG0/28,ARG1/2,ARG3/6</t>
  </si>
  <si>
    <t xml:space="preserve">PAT-&gt;ARG0/1,ARG1/80</t>
  </si>
  <si>
    <t xml:space="preserve">"zablokovat-002"</t>
  </si>
  <si>
    <t xml:space="preserve">ACT-&gt;ARG0/19,ARG3/5</t>
  </si>
  <si>
    <t xml:space="preserve">"zablokovat-se-001"</t>
  </si>
  <si>
    <t xml:space="preserve">"zabloudit-001"</t>
  </si>
  <si>
    <t xml:space="preserve">"zablátit-001"</t>
  </si>
  <si>
    <t xml:space="preserve">"zablýskat-001"</t>
  </si>
  <si>
    <t xml:space="preserve">"zabodnout-001"</t>
  </si>
  <si>
    <t xml:space="preserve">"zabodnout-002"</t>
  </si>
  <si>
    <t xml:space="preserve">"zabodovat-001"</t>
  </si>
  <si>
    <t xml:space="preserve">"zabolet-001"</t>
  </si>
  <si>
    <t xml:space="preserve">"zabouchat-001"</t>
  </si>
  <si>
    <t xml:space="preserve">"zabouchnout-001"</t>
  </si>
  <si>
    <t xml:space="preserve">"zabouchnout-se-001"</t>
  </si>
  <si>
    <t xml:space="preserve">"zabořit-001"</t>
  </si>
  <si>
    <t xml:space="preserve">"zabrat-001"</t>
  </si>
  <si>
    <t xml:space="preserve">ACT-&gt;ARG0/60,ARG1/3,ARG2/1</t>
  </si>
  <si>
    <t xml:space="preserve">"zabrat-002"</t>
  </si>
  <si>
    <t xml:space="preserve">ACT: 1; ↓než-3</t>
  </si>
  <si>
    <t xml:space="preserve">ACT-&gt;ARG0/47,ARG1/2,ARG2/1</t>
  </si>
  <si>
    <t xml:space="preserve">ACT-&gt;ARG0/259,ARG1/28,ARG2/1</t>
  </si>
  <si>
    <t xml:space="preserve">PAT-&gt;ARG1/293,ARG2/26</t>
  </si>
  <si>
    <t xml:space="preserve">"zabrat-003"</t>
  </si>
  <si>
    <t xml:space="preserve">"zabrat-004"</t>
  </si>
  <si>
    <t xml:space="preserve">"zabrat-005"</t>
  </si>
  <si>
    <t xml:space="preserve">"zabrat-006"</t>
  </si>
  <si>
    <t xml:space="preserve">"zabrat-007"</t>
  </si>
  <si>
    <t xml:space="preserve">ACT-&gt;ARG0/68,ARG1/3112,ARG2/296</t>
  </si>
  <si>
    <t xml:space="preserve">"zabrat-008"</t>
  </si>
  <si>
    <t xml:space="preserve">"zabrat-009"</t>
  </si>
  <si>
    <t xml:space="preserve">"zabrat-010"</t>
  </si>
  <si>
    <t xml:space="preserve">"zabrat-se-001"</t>
  </si>
  <si>
    <t xml:space="preserve">"zabraňovat-001"</t>
  </si>
  <si>
    <t xml:space="preserve">ACT-&gt;ARG0/29,ARG3/10</t>
  </si>
  <si>
    <t xml:space="preserve">PAT: v+6; ↓aby; .f</t>
  </si>
  <si>
    <t xml:space="preserve">PAT-&gt;ARG2/69</t>
  </si>
  <si>
    <t xml:space="preserve">ADDR-&gt;ARG1/70</t>
  </si>
  <si>
    <t xml:space="preserve">"zabraňovat-002"</t>
  </si>
  <si>
    <t xml:space="preserve">ACT-&gt;ARG0/86,ARG3/13</t>
  </si>
  <si>
    <t xml:space="preserve">PAT-&gt;ARG1/196,ARG2/56</t>
  </si>
  <si>
    <t xml:space="preserve">"zabrnkat-001"</t>
  </si>
  <si>
    <t xml:space="preserve">"zabrnkat-002"</t>
  </si>
  <si>
    <t xml:space="preserve">"zabrousit-001"</t>
  </si>
  <si>
    <t xml:space="preserve">"zabručet-001"</t>
  </si>
  <si>
    <t xml:space="preserve">PAT: ↓že; ↓c; .s</t>
  </si>
  <si>
    <t xml:space="preserve">"zabrzdit-001"</t>
  </si>
  <si>
    <t xml:space="preserve">"zabrzdit-002"</t>
  </si>
  <si>
    <t xml:space="preserve">"zabránit-001"</t>
  </si>
  <si>
    <t xml:space="preserve">ACT-&gt;ARG0/111,ARG3/16</t>
  </si>
  <si>
    <t xml:space="preserve">PAT: v+6; .f; ↓aby</t>
  </si>
  <si>
    <t xml:space="preserve">PAT-&gt;ARG1/72,ARG2/137</t>
  </si>
  <si>
    <t xml:space="preserve">ADDR-&gt;ARG1/269</t>
  </si>
  <si>
    <t xml:space="preserve">"zabránit-002"</t>
  </si>
  <si>
    <t xml:space="preserve">ACT-&gt;ARG0/119,ARG3/13</t>
  </si>
  <si>
    <t xml:space="preserve">PAT-&gt;ARG1/349</t>
  </si>
  <si>
    <t xml:space="preserve">ACT-&gt;ARG0/164,ARG1/2,ARG3/25</t>
  </si>
  <si>
    <t xml:space="preserve">PAT-&gt;ARG0/1,ARG1/416,ARG2/77</t>
  </si>
  <si>
    <t xml:space="preserve">"zabudovat-001"</t>
  </si>
  <si>
    <t xml:space="preserve">"zabudovat-002"</t>
  </si>
  <si>
    <t xml:space="preserve">"zabušit-001"</t>
  </si>
  <si>
    <t xml:space="preserve">"zabydlet-se-001"</t>
  </si>
  <si>
    <t xml:space="preserve">"zabydlovat-se-001"</t>
  </si>
  <si>
    <t xml:space="preserve">"zabíhat-001"</t>
  </si>
  <si>
    <t xml:space="preserve">"zabíhat-002"</t>
  </si>
  <si>
    <t xml:space="preserve">"zabíjet-001"</t>
  </si>
  <si>
    <t xml:space="preserve">"zabíjet-se-001"</t>
  </si>
  <si>
    <t xml:space="preserve">ACT-&gt;ARG0/95,ARG1/210</t>
  </si>
  <si>
    <t xml:space="preserve">"zabírat-001"</t>
  </si>
  <si>
    <t xml:space="preserve">"zabírat-002"</t>
  </si>
  <si>
    <t xml:space="preserve">"zabírat-003"</t>
  </si>
  <si>
    <t xml:space="preserve">"zabírat-004"</t>
  </si>
  <si>
    <t xml:space="preserve">"zabírat-005"</t>
  </si>
  <si>
    <t xml:space="preserve">EXT-&gt;ARG1/6</t>
  </si>
  <si>
    <t xml:space="preserve">"zabírat-006"</t>
  </si>
  <si>
    <t xml:space="preserve">"zabírat-007"</t>
  </si>
  <si>
    <t xml:space="preserve">"zabít-001"</t>
  </si>
  <si>
    <t xml:space="preserve">"zabít-002"</t>
  </si>
  <si>
    <t xml:space="preserve">DPHR: čas.S4</t>
  </si>
  <si>
    <t xml:space="preserve">"zabít-se-001"</t>
  </si>
  <si>
    <t xml:space="preserve">"zabývat-se-001"</t>
  </si>
  <si>
    <t xml:space="preserve">ACT-&gt;ARG0/463,ARG1/321,ARG2/56,ARG3/1</t>
  </si>
  <si>
    <t xml:space="preserve">PAT-&gt;ARG0/24,ARG1/1190,ARG2/175</t>
  </si>
  <si>
    <t xml:space="preserve">PAT-&gt;ARG0/1,ARG1/829,ARG2/354,ARG3/1</t>
  </si>
  <si>
    <t xml:space="preserve">ACT-&gt;ARG0/96,ARG1/20,ARG2/49</t>
  </si>
  <si>
    <t xml:space="preserve">PAT-&gt;ARG1/281,ARG2/14</t>
  </si>
  <si>
    <t xml:space="preserve">"zaběhnout-001"</t>
  </si>
  <si>
    <t xml:space="preserve">"zaběhnout-002"</t>
  </si>
  <si>
    <t xml:space="preserve">"zaběhnout-003"</t>
  </si>
  <si>
    <t xml:space="preserve">"zaběhávat-001"</t>
  </si>
  <si>
    <t xml:space="preserve">"zabřednout-001"</t>
  </si>
  <si>
    <t xml:space="preserve">"zacelit-001"</t>
  </si>
  <si>
    <t xml:space="preserve">"zacelit-se-001"</t>
  </si>
  <si>
    <t xml:space="preserve">"zacelovat-001"</t>
  </si>
  <si>
    <t xml:space="preserve">"zacelovat-002"</t>
  </si>
  <si>
    <t xml:space="preserve">"zachovat-001"</t>
  </si>
  <si>
    <t xml:space="preserve">"zachovat-002"</t>
  </si>
  <si>
    <t xml:space="preserve">"zachovat-003"</t>
  </si>
  <si>
    <t xml:space="preserve">ACT-&gt;ARG0/532,ARG1/163</t>
  </si>
  <si>
    <t xml:space="preserve">PAT-&gt;ARG0/2,ARG1/799,ARG2/4</t>
  </si>
  <si>
    <t xml:space="preserve">"zachovat-004"</t>
  </si>
  <si>
    <t xml:space="preserve">ACT-&gt;ARG0/542,ARG1/213</t>
  </si>
  <si>
    <t xml:space="preserve">PAT-&gt;ARG1/811,ARG2/3</t>
  </si>
  <si>
    <t xml:space="preserve">"zachovat-005"</t>
  </si>
  <si>
    <t xml:space="preserve">"zachovat-006"</t>
  </si>
  <si>
    <t xml:space="preserve">DPHR: hlava.S4[chladná.#]</t>
  </si>
  <si>
    <t xml:space="preserve">"zachovat-se-001"</t>
  </si>
  <si>
    <t xml:space="preserve">"zachovat-se-002"</t>
  </si>
  <si>
    <t xml:space="preserve">ACT-&gt;ARG0/4,ARG1/108</t>
  </si>
  <si>
    <t xml:space="preserve">"zachovat-si-001"</t>
  </si>
  <si>
    <t xml:space="preserve">"zachovávat-001"</t>
  </si>
  <si>
    <t xml:space="preserve">"zachovávat-002"</t>
  </si>
  <si>
    <t xml:space="preserve">ACT-&gt;ARG0/81,ARG1/4</t>
  </si>
  <si>
    <t xml:space="preserve">PAT-&gt;ARG1/115,ARG2/3</t>
  </si>
  <si>
    <t xml:space="preserve">"zachovávat-003"</t>
  </si>
  <si>
    <t xml:space="preserve">ACT-&gt;ARG0/461,ARG1/209</t>
  </si>
  <si>
    <t xml:space="preserve">PAT-&gt;ARG1/696</t>
  </si>
  <si>
    <t xml:space="preserve">"zachraňovat-001"</t>
  </si>
  <si>
    <t xml:space="preserve">"zachránit-001"</t>
  </si>
  <si>
    <t xml:space="preserve">PAT-&gt;ARG0/5,ARG1/76</t>
  </si>
  <si>
    <t xml:space="preserve">?EFF: před+7; od+2</t>
  </si>
  <si>
    <t xml:space="preserve">EFF-&gt;ARG1/5,ARG2/9</t>
  </si>
  <si>
    <t xml:space="preserve">"zachránit-002"</t>
  </si>
  <si>
    <t xml:space="preserve">ACT-&gt;ARG0/23,ARG1/1,ARG3/9</t>
  </si>
  <si>
    <t xml:space="preserve">PAT-&gt;ARG1/95,ARG2/2</t>
  </si>
  <si>
    <t xml:space="preserve">"zachránit-se-001"</t>
  </si>
  <si>
    <t xml:space="preserve">"zachtít-se-001"</t>
  </si>
  <si>
    <t xml:space="preserve">PAT: 2; 4; .f</t>
  </si>
  <si>
    <t xml:space="preserve">"zachutnat-001"</t>
  </si>
  <si>
    <t xml:space="preserve">"zachvacovat-001"</t>
  </si>
  <si>
    <t xml:space="preserve">"zachvátit-001"</t>
  </si>
  <si>
    <t xml:space="preserve">PAT-&gt;ARG1/1,ARG2/4</t>
  </si>
  <si>
    <t xml:space="preserve">"zachvět-se-001"</t>
  </si>
  <si>
    <t xml:space="preserve">"zachycovat-001"</t>
  </si>
  <si>
    <t xml:space="preserve">"zachycovat-002"</t>
  </si>
  <si>
    <t xml:space="preserve">"zachycovat-003"</t>
  </si>
  <si>
    <t xml:space="preserve">"zachytat-si-001"</t>
  </si>
  <si>
    <t xml:space="preserve">"zachytit-001"</t>
  </si>
  <si>
    <t xml:space="preserve">"zachytit-002"</t>
  </si>
  <si>
    <t xml:space="preserve">"zachytit-003"</t>
  </si>
  <si>
    <t xml:space="preserve">"zachytit-004"</t>
  </si>
  <si>
    <t xml:space="preserve">"zachytit-005"</t>
  </si>
  <si>
    <t xml:space="preserve">"zachytit-006"</t>
  </si>
  <si>
    <t xml:space="preserve">"zachytit-se-001"</t>
  </si>
  <si>
    <t xml:space="preserve">"zachytávat-001"</t>
  </si>
  <si>
    <t xml:space="preserve">"zacházet-001"</t>
  </si>
  <si>
    <t xml:space="preserve">PAT-&gt;ARG0/249,ARG1/63</t>
  </si>
  <si>
    <t xml:space="preserve">MANN-&gt;ARG1/3,ARG2/22,ARG3/6</t>
  </si>
  <si>
    <t xml:space="preserve">"zacházet-002"</t>
  </si>
  <si>
    <t xml:space="preserve">"zacházet-003"</t>
  </si>
  <si>
    <t xml:space="preserve">DPHR: do-1[krajnost.P2]</t>
  </si>
  <si>
    <t xml:space="preserve">"zacházet-004"</t>
  </si>
  <si>
    <t xml:space="preserve">"zacházet-005"</t>
  </si>
  <si>
    <t xml:space="preserve">DPHR: do-1[detail.P2]</t>
  </si>
  <si>
    <t xml:space="preserve">"zacházet-006"</t>
  </si>
  <si>
    <t xml:space="preserve">ACT-&gt;ARG0/1,ARG1/80</t>
  </si>
  <si>
    <t xml:space="preserve">"zacházet-007"</t>
  </si>
  <si>
    <t xml:space="preserve">"zaclonit-001"</t>
  </si>
  <si>
    <t xml:space="preserve">ADDR-&gt;ARG1/16,ARG2/71</t>
  </si>
  <si>
    <t xml:space="preserve">ADDR-&gt;ARG1/17,ARG2/114</t>
  </si>
  <si>
    <t xml:space="preserve">"zacpat-001"</t>
  </si>
  <si>
    <t xml:space="preserve">"zacvaknout-001"</t>
  </si>
  <si>
    <t xml:space="preserve">"zacvičit-001"</t>
  </si>
  <si>
    <t xml:space="preserve">"zacvičit-002"</t>
  </si>
  <si>
    <t xml:space="preserve">"zacvičit-si-001"</t>
  </si>
  <si>
    <t xml:space="preserve">"zacvičovat-001"</t>
  </si>
  <si>
    <t xml:space="preserve">"zacílit-001"</t>
  </si>
  <si>
    <t xml:space="preserve">"zacílit-002"</t>
  </si>
  <si>
    <t xml:space="preserve">"zadaptovat-001"</t>
  </si>
  <si>
    <t xml:space="preserve">"zadat-001"</t>
  </si>
  <si>
    <t xml:space="preserve">ACT-&gt;ARG0/376,ARG1/2</t>
  </si>
  <si>
    <t xml:space="preserve">PAT-&gt;ARG1/447</t>
  </si>
  <si>
    <t xml:space="preserve">ADDR-&gt;ARG1/2,ARG2/380</t>
  </si>
  <si>
    <t xml:space="preserve">"zadat-002"</t>
  </si>
  <si>
    <t xml:space="preserve">CPHR: {příkaz}.4</t>
  </si>
  <si>
    <t xml:space="preserve">"zadat-003"</t>
  </si>
  <si>
    <t xml:space="preserve">"zadat-004"</t>
  </si>
  <si>
    <t xml:space="preserve">"zadat-si-001"</t>
  </si>
  <si>
    <t xml:space="preserve">PAT: s+7; před+7</t>
  </si>
  <si>
    <t xml:space="preserve">"zadlužit-001"</t>
  </si>
  <si>
    <t xml:space="preserve">"zadlužit-se-001"</t>
  </si>
  <si>
    <t xml:space="preserve">"zadlužovat-001"</t>
  </si>
  <si>
    <t xml:space="preserve">"zadministrovat-001"</t>
  </si>
  <si>
    <t xml:space="preserve">"zadrhnout-se-001"</t>
  </si>
  <si>
    <t xml:space="preserve">ACT-&gt;ARG1/122,ARG2/1</t>
  </si>
  <si>
    <t xml:space="preserve">ACT-&gt;ARG0/33,ARG1/151,ARG2/2</t>
  </si>
  <si>
    <t xml:space="preserve">"zadrhávat-se-001"</t>
  </si>
  <si>
    <t xml:space="preserve">PAT-&gt;ARG0/2,ARG1/32,ARG2/141</t>
  </si>
  <si>
    <t xml:space="preserve">"zadržet-001"</t>
  </si>
  <si>
    <t xml:space="preserve">"zadržet-002"</t>
  </si>
  <si>
    <t xml:space="preserve">"zadržet-003"</t>
  </si>
  <si>
    <t xml:space="preserve">ACT-&gt;ARG0/185,ARG1/2</t>
  </si>
  <si>
    <t xml:space="preserve">"zadržovat-001"</t>
  </si>
  <si>
    <t xml:space="preserve">"zadržovat-002"</t>
  </si>
  <si>
    <t xml:space="preserve">"zadusit-001"</t>
  </si>
  <si>
    <t xml:space="preserve">"zadusit-se-001"</t>
  </si>
  <si>
    <t xml:space="preserve">"zadávat-001"</t>
  </si>
  <si>
    <t xml:space="preserve">ADDR-&gt;ARG1/8,ARG2/245</t>
  </si>
  <si>
    <t xml:space="preserve">"zadávat-002"</t>
  </si>
  <si>
    <t xml:space="preserve">"zadávat-003"</t>
  </si>
  <si>
    <t xml:space="preserve">"zadívat-se-001"</t>
  </si>
  <si>
    <t xml:space="preserve">"zadýchávat-se-001"</t>
  </si>
  <si>
    <t xml:space="preserve">"zadělat-001"</t>
  </si>
  <si>
    <t xml:space="preserve">"zaevidovat-001"</t>
  </si>
  <si>
    <t xml:space="preserve">"zafixovat-001"</t>
  </si>
  <si>
    <t xml:space="preserve">"zafungovat-001"</t>
  </si>
  <si>
    <t xml:space="preserve">"zagitovat-001"</t>
  </si>
  <si>
    <t xml:space="preserve">"zahajovat-001"</t>
  </si>
  <si>
    <t xml:space="preserve">ACT-&gt;ARG0/109,ARG1/104,ARG2/3</t>
  </si>
  <si>
    <t xml:space="preserve">PAT-&gt;ARG0/1,ARG1/166</t>
  </si>
  <si>
    <t xml:space="preserve">"zahajovat-002"</t>
  </si>
  <si>
    <t xml:space="preserve">"zahajovat-003"</t>
  </si>
  <si>
    <t xml:space="preserve">"--zahajovat-004"</t>
  </si>
  <si>
    <t xml:space="preserve">"zahalit-001"</t>
  </si>
  <si>
    <t xml:space="preserve">ACT-&gt;ARG0/14,ARG2/3</t>
  </si>
  <si>
    <t xml:space="preserve">PAT-&gt;ARG1/4,ARG2/21</t>
  </si>
  <si>
    <t xml:space="preserve">"zahalovat-001"</t>
  </si>
  <si>
    <t xml:space="preserve">"zahanbit-001"</t>
  </si>
  <si>
    <t xml:space="preserve">"zahaprovat-001"</t>
  </si>
  <si>
    <t xml:space="preserve">"zahazovat-001"</t>
  </si>
  <si>
    <t xml:space="preserve">"zahladit-001"</t>
  </si>
  <si>
    <t xml:space="preserve">"zahlazovat-001"</t>
  </si>
  <si>
    <t xml:space="preserve">"zahledět-se-001"</t>
  </si>
  <si>
    <t xml:space="preserve">"zahlodat-001"</t>
  </si>
  <si>
    <t xml:space="preserve">ACT: v+6</t>
  </si>
  <si>
    <t xml:space="preserve">DPHR: červík.1; červík.1[pochybnost.2]</t>
  </si>
  <si>
    <t xml:space="preserve">?PAT: ↓zda</t>
  </si>
  <si>
    <t xml:space="preserve">"zahloubat-se-001"</t>
  </si>
  <si>
    <t xml:space="preserve">"zahltit-001"</t>
  </si>
  <si>
    <t xml:space="preserve">ACT-&gt;ARG0/5,ARG2/5</t>
  </si>
  <si>
    <t xml:space="preserve">ACT-&gt;ARG0/23,ARG1/3,ARG2/14</t>
  </si>
  <si>
    <t xml:space="preserve">ACT-&gt;ARG0/34,ARG1/4,ARG2/19</t>
  </si>
  <si>
    <t xml:space="preserve">PAT-&gt;ARG1/65,ARG2/5</t>
  </si>
  <si>
    <t xml:space="preserve">PAT-&gt;ARG1/95,ARG2/6</t>
  </si>
  <si>
    <t xml:space="preserve">"zahltit-se-001"</t>
  </si>
  <si>
    <t xml:space="preserve">"zahlédnout-001"</t>
  </si>
  <si>
    <t xml:space="preserve">"zahnat-001"</t>
  </si>
  <si>
    <t xml:space="preserve">"zahnat-002"</t>
  </si>
  <si>
    <t xml:space="preserve">"zahnat-003"</t>
  </si>
  <si>
    <t xml:space="preserve">PAT-&gt;ARG1/205,ARG2/1</t>
  </si>
  <si>
    <t xml:space="preserve">"zahnat-004"</t>
  </si>
  <si>
    <t xml:space="preserve">"zahnat-005"</t>
  </si>
  <si>
    <t xml:space="preserve">DPHR: do-1[kout.2]</t>
  </si>
  <si>
    <t xml:space="preserve">"zahnout-001"</t>
  </si>
  <si>
    <t xml:space="preserve">"zahnout-002"</t>
  </si>
  <si>
    <t xml:space="preserve">"zahodit-001"</t>
  </si>
  <si>
    <t xml:space="preserve">"zahodit-002"</t>
  </si>
  <si>
    <t xml:space="preserve">"zahojit-001"</t>
  </si>
  <si>
    <t xml:space="preserve">"zahojit-se-001"</t>
  </si>
  <si>
    <t xml:space="preserve">"zahojit-se-002"</t>
  </si>
  <si>
    <t xml:space="preserve">"zahoukat-001"</t>
  </si>
  <si>
    <t xml:space="preserve">"zahrabat-001"</t>
  </si>
  <si>
    <t xml:space="preserve">"zahrabat-002"</t>
  </si>
  <si>
    <t xml:space="preserve">"zahradit-001"</t>
  </si>
  <si>
    <t xml:space="preserve">ACT-&gt;ARG0/19,ARG3/3</t>
  </si>
  <si>
    <t xml:space="preserve">PAT-&gt;ARG0/1,ARG1/52</t>
  </si>
  <si>
    <t xml:space="preserve">PAT-&gt;ARG1/2,ARG2/28</t>
  </si>
  <si>
    <t xml:space="preserve">"zahradit-002"</t>
  </si>
  <si>
    <t xml:space="preserve">"zahradničit-001"</t>
  </si>
  <si>
    <t xml:space="preserve">"zahrnout-001"</t>
  </si>
  <si>
    <t xml:space="preserve">"zahrnout-002"</t>
  </si>
  <si>
    <t xml:space="preserve">ACT-&gt;ARG0/9,ARG2/26</t>
  </si>
  <si>
    <t xml:space="preserve">PAT-&gt;ARG1/1030,ARG2/2</t>
  </si>
  <si>
    <t xml:space="preserve">LOC-&gt;ARG0/6,ARG1/3,ARG2/427</t>
  </si>
  <si>
    <t xml:space="preserve">"zahrnout-003"</t>
  </si>
  <si>
    <t xml:space="preserve">ACT-&gt;ARG0/724,ARG1/6,ARG2/454</t>
  </si>
  <si>
    <t xml:space="preserve">PAT-&gt;ARG1/1826,ARG2/156</t>
  </si>
  <si>
    <t xml:space="preserve">DIR3-&gt;ARG0/53,ARG1/163,ARG2/46</t>
  </si>
  <si>
    <t xml:space="preserve">"zahrnout-004"</t>
  </si>
  <si>
    <t xml:space="preserve">ACT-&gt;ARG0/6,ARG1/3,ARG2/427</t>
  </si>
  <si>
    <t xml:space="preserve">PAT-&gt;ARG1/919,ARG2/2</t>
  </si>
  <si>
    <t xml:space="preserve">"zahrnovat-001"</t>
  </si>
  <si>
    <t xml:space="preserve">"zahrnovat-002"</t>
  </si>
  <si>
    <t xml:space="preserve">ACT-&gt;ARG0/8,ARG1/3,ARG2/427</t>
  </si>
  <si>
    <t xml:space="preserve">PAT-&gt;ARG1/1024,ARG2/2</t>
  </si>
  <si>
    <t xml:space="preserve">"zahrnovat-003"</t>
  </si>
  <si>
    <t xml:space="preserve">ACT-&gt;ARG0/2334,ARG1/77,ARG2/752</t>
  </si>
  <si>
    <t xml:space="preserve">PAT-&gt;ARG0/3,ARG1/4114,ARG2/122</t>
  </si>
  <si>
    <t xml:space="preserve">"zahrozit-001"</t>
  </si>
  <si>
    <t xml:space="preserve">"zahrát-001"</t>
  </si>
  <si>
    <t xml:space="preserve">ACT-&gt;ARG0/41,ARG1/2</t>
  </si>
  <si>
    <t xml:space="preserve">"zahrát-002"</t>
  </si>
  <si>
    <t xml:space="preserve">ACT-&gt;ARG0/87,ARG1/2,ARG2/22</t>
  </si>
  <si>
    <t xml:space="preserve">"zahrát-003"</t>
  </si>
  <si>
    <t xml:space="preserve">"zahrát-004"</t>
  </si>
  <si>
    <t xml:space="preserve">DPHR: na-1[emoce.S4]</t>
  </si>
  <si>
    <t xml:space="preserve">"zahrát-si-001"</t>
  </si>
  <si>
    <t xml:space="preserve">"zahrát-si-002"</t>
  </si>
  <si>
    <t xml:space="preserve">ACT-&gt;ARG0/50,ARG1/2</t>
  </si>
  <si>
    <t xml:space="preserve">PAT: 4; na+4; s+7</t>
  </si>
  <si>
    <t xml:space="preserve">"zahrávat-001"</t>
  </si>
  <si>
    <t xml:space="preserve">"zahrávat-si-001"</t>
  </si>
  <si>
    <t xml:space="preserve">"zahubit-001"</t>
  </si>
  <si>
    <t xml:space="preserve">"zahubit-002"</t>
  </si>
  <si>
    <t xml:space="preserve">"zahynout-001"</t>
  </si>
  <si>
    <t xml:space="preserve">"zahájit-001"</t>
  </si>
  <si>
    <t xml:space="preserve">ACT-&gt;ARG0/795,ARG1/1023,ARG2/15</t>
  </si>
  <si>
    <t xml:space="preserve">PAT-&gt;ARG0/3,ARG1/1215,ARG2/863</t>
  </si>
  <si>
    <t xml:space="preserve">"zahájit-002"</t>
  </si>
  <si>
    <t xml:space="preserve">ACT-&gt;ARG0/3,ARG1/212</t>
  </si>
  <si>
    <t xml:space="preserve">"zahájit-003"</t>
  </si>
  <si>
    <t xml:space="preserve">"zaháknout-001"</t>
  </si>
  <si>
    <t xml:space="preserve">"zahálet-001"</t>
  </si>
  <si>
    <t xml:space="preserve">"zahánět-001"</t>
  </si>
  <si>
    <t xml:space="preserve">"zahánět-002"</t>
  </si>
  <si>
    <t xml:space="preserve">"zahánět-003"</t>
  </si>
  <si>
    <t xml:space="preserve">DPHR-&gt;ARG1/73</t>
  </si>
  <si>
    <t xml:space="preserve">"zaházet-001"</t>
  </si>
  <si>
    <t xml:space="preserve">"zahýbat-001"</t>
  </si>
  <si>
    <t xml:space="preserve">"zahýbat-002"</t>
  </si>
  <si>
    <t xml:space="preserve">"zahýbat-si-001"</t>
  </si>
  <si>
    <t xml:space="preserve">DPHR: karta.P7</t>
  </si>
  <si>
    <t xml:space="preserve">"zahřát-001"</t>
  </si>
  <si>
    <t xml:space="preserve">"zahřát-002"</t>
  </si>
  <si>
    <t xml:space="preserve">"zahřát-se-001"</t>
  </si>
  <si>
    <t xml:space="preserve">"zahřívat-001"</t>
  </si>
  <si>
    <t xml:space="preserve">"zainteresovat-001"</t>
  </si>
  <si>
    <t xml:space="preserve">ADDR-&gt;ARG0/19,ARG1/3103,ARG2/296</t>
  </si>
  <si>
    <t xml:space="preserve">"zainvestovat-001"</t>
  </si>
  <si>
    <t xml:space="preserve">"zajet-001"</t>
  </si>
  <si>
    <t xml:space="preserve">"zajet-002"</t>
  </si>
  <si>
    <t xml:space="preserve">"zajet-003"</t>
  </si>
  <si>
    <t xml:space="preserve">"zajet-004"</t>
  </si>
  <si>
    <t xml:space="preserve">"zajet-si-001"</t>
  </si>
  <si>
    <t xml:space="preserve">"zajezdit-si-001"</t>
  </si>
  <si>
    <t xml:space="preserve">"zajiskřit-001"</t>
  </si>
  <si>
    <t xml:space="preserve">"zajiskřit-002"</t>
  </si>
  <si>
    <t xml:space="preserve">"zajistit-001"</t>
  </si>
  <si>
    <t xml:space="preserve">ACT-&gt;ARG0/1367,ARG1/3</t>
  </si>
  <si>
    <t xml:space="preserve">PAT-&gt;ARG0/1,ARG1/1941,ARG2/43,ARG3/1</t>
  </si>
  <si>
    <t xml:space="preserve">ADDR-&gt;ARG1/58,ARG2/639,ARG3/5</t>
  </si>
  <si>
    <t xml:space="preserve">ADDR-&gt;ARG1/28,ARG2/174</t>
  </si>
  <si>
    <t xml:space="preserve">"zajistit-002"</t>
  </si>
  <si>
    <t xml:space="preserve">"zajistit-003"</t>
  </si>
  <si>
    <t xml:space="preserve">"zajistit-004"</t>
  </si>
  <si>
    <t xml:space="preserve">"zajišťovat-001"</t>
  </si>
  <si>
    <t xml:space="preserve">ACT-&gt;ARG0/629,ARG1/1</t>
  </si>
  <si>
    <t xml:space="preserve">ACT-&gt;ARG0/390,ARG2/1</t>
  </si>
  <si>
    <t xml:space="preserve">PAT-&gt;ARG1/959,ARG2/25</t>
  </si>
  <si>
    <t xml:space="preserve">PAT-&gt;ARG1/592,ARG2/8</t>
  </si>
  <si>
    <t xml:space="preserve">ADDR-&gt;ARG1/22,ARG2/432,ARG3/1</t>
  </si>
  <si>
    <t xml:space="preserve">ADDR-&gt;ARG1/28,ARG2/185</t>
  </si>
  <si>
    <t xml:space="preserve">"zajišťovat-002"</t>
  </si>
  <si>
    <t xml:space="preserve">ACT-&gt;ARG1/386</t>
  </si>
  <si>
    <t xml:space="preserve">PAT-&gt;ARG0/254</t>
  </si>
  <si>
    <t xml:space="preserve">"zajišťovat-003"</t>
  </si>
  <si>
    <t xml:space="preserve">"zajmout-001"</t>
  </si>
  <si>
    <t xml:space="preserve">"zajásat-001"</t>
  </si>
  <si>
    <t xml:space="preserve">"zajímat-001"</t>
  </si>
  <si>
    <t xml:space="preserve">"zajímat-002"</t>
  </si>
  <si>
    <t xml:space="preserve">ACT-&gt;ARG0/102,ARG1/26</t>
  </si>
  <si>
    <t xml:space="preserve">PAT-&gt;ARG0/24,ARG1/137,ARG2/13</t>
  </si>
  <si>
    <t xml:space="preserve">"zajímat-se-001"</t>
  </si>
  <si>
    <t xml:space="preserve">ACT-&gt;ARG0/165,ARG1/20</t>
  </si>
  <si>
    <t xml:space="preserve">PAT: o+4; ↓jestli; ↓zda; ↓c</t>
  </si>
  <si>
    <t xml:space="preserve">PAT-&gt;ARG0/24,ARG1/190,ARG2/21</t>
  </si>
  <si>
    <t xml:space="preserve">"zajímkovat-001"</t>
  </si>
  <si>
    <t xml:space="preserve">"zajít-001"</t>
  </si>
  <si>
    <t xml:space="preserve">ACT-&gt;ARG0/4,ARG1/110,ARG2/1</t>
  </si>
  <si>
    <t xml:space="preserve">"zajít-002"</t>
  </si>
  <si>
    <t xml:space="preserve">"zajít-003"</t>
  </si>
  <si>
    <t xml:space="preserve">"zajít-si-001"</t>
  </si>
  <si>
    <t xml:space="preserve">"zajíždět-001"</t>
  </si>
  <si>
    <t xml:space="preserve">ACT-&gt;ARG0/195,ARG1/338</t>
  </si>
  <si>
    <t xml:space="preserve">ACT-&gt;ARG0/195,ARG1/342</t>
  </si>
  <si>
    <t xml:space="preserve">DIR3-&gt;ARG1/145,ARG2/2</t>
  </si>
  <si>
    <t xml:space="preserve">"zakalkulovat-001"</t>
  </si>
  <si>
    <t xml:space="preserve">"zakalkulovat-002"</t>
  </si>
  <si>
    <t xml:space="preserve">"zakalkulovávat-001"</t>
  </si>
  <si>
    <t xml:space="preserve">"zakalkulovávat-002"</t>
  </si>
  <si>
    <t xml:space="preserve">"zakazovat-001"</t>
  </si>
  <si>
    <t xml:space="preserve">ACT-&gt;ARG0/73,ARG1/1,ARG3/10</t>
  </si>
  <si>
    <t xml:space="preserve">PAT-&gt;ARG1/82,ARG2/90</t>
  </si>
  <si>
    <t xml:space="preserve">ADDR-&gt;ARG1/91,ARG2/13</t>
  </si>
  <si>
    <t xml:space="preserve">"zakleknout-001"</t>
  </si>
  <si>
    <t xml:space="preserve">"zaklepat-001"</t>
  </si>
  <si>
    <t xml:space="preserve">"zaklepat-002"</t>
  </si>
  <si>
    <t xml:space="preserve">DPHR: ten.NS4,na-1[dřevo.S4]</t>
  </si>
  <si>
    <t xml:space="preserve">"zaklepat-003"</t>
  </si>
  <si>
    <t xml:space="preserve">"zaklesnout-001"</t>
  </si>
  <si>
    <t xml:space="preserve">"zaklopýtnout-001"</t>
  </si>
  <si>
    <t xml:space="preserve">"zakládat-001"</t>
  </si>
  <si>
    <t xml:space="preserve">ACT-&gt;ARG0/430,ARG1/70,ARG2/3</t>
  </si>
  <si>
    <t xml:space="preserve">PAT-&gt;ARG1/692</t>
  </si>
  <si>
    <t xml:space="preserve">ORIG-&gt;ARG2/204</t>
  </si>
  <si>
    <t xml:space="preserve">"zakládat-002"</t>
  </si>
  <si>
    <t xml:space="preserve">"zakládat-003"</t>
  </si>
  <si>
    <t xml:space="preserve">"zakládat-004"</t>
  </si>
  <si>
    <t xml:space="preserve">"zakládat-005"</t>
  </si>
  <si>
    <t xml:space="preserve">"zakládat-se-001"</t>
  </si>
  <si>
    <t xml:space="preserve">ACT-&gt;ARG1/129</t>
  </si>
  <si>
    <t xml:space="preserve">PAT-&gt;ARG2/275</t>
  </si>
  <si>
    <t xml:space="preserve">"zakládat-si-001"</t>
  </si>
  <si>
    <t xml:space="preserve">PAT: na+6; ↓aby</t>
  </si>
  <si>
    <t xml:space="preserve">"zaklínit-001"</t>
  </si>
  <si>
    <t xml:space="preserve">"zaklínit-002"</t>
  </si>
  <si>
    <t xml:space="preserve">"zaklít-001"</t>
  </si>
  <si>
    <t xml:space="preserve">"zaknihovat-001"</t>
  </si>
  <si>
    <t xml:space="preserve">"zakoktávat-se-001"</t>
  </si>
  <si>
    <t xml:space="preserve">"zakolísat-001"</t>
  </si>
  <si>
    <t xml:space="preserve">?PAT: ↓zda; ↓jestli; ↓c; .s</t>
  </si>
  <si>
    <t xml:space="preserve">"zakolísat-002"</t>
  </si>
  <si>
    <t xml:space="preserve">"zakomponovat-001"</t>
  </si>
  <si>
    <t xml:space="preserve">ACT-&gt;ARG0/32,ARG1/1,ARG2/28</t>
  </si>
  <si>
    <t xml:space="preserve">PAT-&gt;ARG0/26,ARG1/1103,ARG2/2</t>
  </si>
  <si>
    <t xml:space="preserve">LOC-&gt;ARG0/6,ARG1/6,ARG2/492</t>
  </si>
  <si>
    <t xml:space="preserve">"zakomponovat-002"</t>
  </si>
  <si>
    <t xml:space="preserve">DIR3-&gt;ARG0/6,ARG1/44,ARG2/495</t>
  </si>
  <si>
    <t xml:space="preserve">"zakonzervovat-001"</t>
  </si>
  <si>
    <t xml:space="preserve">"zakončit-001"</t>
  </si>
  <si>
    <t xml:space="preserve">ACT-&gt;ARG0/9,ARG1/108</t>
  </si>
  <si>
    <t xml:space="preserve">PAT-&gt;ARG1/19,ARGm-EXT/40,ARGm-MNR/21</t>
  </si>
  <si>
    <t xml:space="preserve">"zakončit-002"</t>
  </si>
  <si>
    <t xml:space="preserve">ACT-&gt;ARG0/27,ARG1/3578,ARG2/296</t>
  </si>
  <si>
    <t xml:space="preserve">LOC-&gt;ARG1/1,ARG2/14,ARG4/29,ARGm-EXT/397,ARGm-MNR/284</t>
  </si>
  <si>
    <t xml:space="preserve">MANN-&gt;ARG2/10</t>
  </si>
  <si>
    <t xml:space="preserve">ALT-ACMP: </t>
  </si>
  <si>
    <t xml:space="preserve">ACMP-&gt;ARG1/121,ARG2/3451,ARGm-EXT/1,ARGm-MNR/2</t>
  </si>
  <si>
    <t xml:space="preserve">LOC-&gt;ARG2/14,ARG4/29,ARGm-EXT/40,ARGm-MNR/21</t>
  </si>
  <si>
    <t xml:space="preserve">MANN-&gt;ARG2/14,ARG4/29</t>
  </si>
  <si>
    <t xml:space="preserve">"zakopat-001"</t>
  </si>
  <si>
    <t xml:space="preserve">"zakopat-002"</t>
  </si>
  <si>
    <t xml:space="preserve">"zakopat-003"</t>
  </si>
  <si>
    <t xml:space="preserve">DPHR: sekera.S4[válečný.#]</t>
  </si>
  <si>
    <t xml:space="preserve">"zakopat-004"</t>
  </si>
  <si>
    <t xml:space="preserve">"zakopat-se-001"</t>
  </si>
  <si>
    <t xml:space="preserve">"zakopnout-001"</t>
  </si>
  <si>
    <t xml:space="preserve">"zakopávat-001"</t>
  </si>
  <si>
    <t xml:space="preserve">"zakopávat-002"</t>
  </si>
  <si>
    <t xml:space="preserve">"zakopávat-003"</t>
  </si>
  <si>
    <t xml:space="preserve">"zakotvit-001"</t>
  </si>
  <si>
    <t xml:space="preserve">PAT-&gt;ARG1/106</t>
  </si>
  <si>
    <t xml:space="preserve">"zakotvit-002"</t>
  </si>
  <si>
    <t xml:space="preserve">"zakotvit-003"</t>
  </si>
  <si>
    <t xml:space="preserve">"zakotvovat-001"</t>
  </si>
  <si>
    <t xml:space="preserve">"zakotvovat-002"</t>
  </si>
  <si>
    <t xml:space="preserve">"zakotvovat-003"</t>
  </si>
  <si>
    <t xml:space="preserve">LOC-&gt;ARG0/2</t>
  </si>
  <si>
    <t xml:space="preserve">"zakoukat-se-001"</t>
  </si>
  <si>
    <t xml:space="preserve">"zakoukat-se-002"</t>
  </si>
  <si>
    <t xml:space="preserve">"zakoupit-001"</t>
  </si>
  <si>
    <t xml:space="preserve">ACT-&gt;ARG0/646,ARG1/1</t>
  </si>
  <si>
    <t xml:space="preserve">PAT-&gt;ARG0/2,ARG1/1200,ARG3/1</t>
  </si>
  <si>
    <t xml:space="preserve">ORIG-&gt;ARG1/1,ARG2/87</t>
  </si>
  <si>
    <t xml:space="preserve">"zakousnout-001"</t>
  </si>
  <si>
    <t xml:space="preserve">"zakousnout-se-001"</t>
  </si>
  <si>
    <t xml:space="preserve">"zakousnout-se-002"</t>
  </si>
  <si>
    <t xml:space="preserve">"zakouřit-si-001"</t>
  </si>
  <si>
    <t xml:space="preserve">"zakoušet-001"</t>
  </si>
  <si>
    <t xml:space="preserve">"zakořenit-001"</t>
  </si>
  <si>
    <t xml:space="preserve">"zakrajovat-001"</t>
  </si>
  <si>
    <t xml:space="preserve">"zakreslit-001"</t>
  </si>
  <si>
    <t xml:space="preserve">"zakreslovat-001"</t>
  </si>
  <si>
    <t xml:space="preserve">"zakrnět-001"</t>
  </si>
  <si>
    <t xml:space="preserve">"zakroutit-001"</t>
  </si>
  <si>
    <t xml:space="preserve">"zakročit-001"</t>
  </si>
  <si>
    <t xml:space="preserve">ACT-&gt;ARG0/207,ARG1/168</t>
  </si>
  <si>
    <t xml:space="preserve">ACT-&gt;ARG0/35,ARG1/13</t>
  </si>
  <si>
    <t xml:space="preserve">?PAT: proti+3; vůči+3; prospěch.S4[v-1,.u#]; prospěch.S4[v-1,.2]</t>
  </si>
  <si>
    <t xml:space="preserve">PAT-&gt;ARG1/13,ARG2/144</t>
  </si>
  <si>
    <t xml:space="preserve">"zakročovat-001"</t>
  </si>
  <si>
    <t xml:space="preserve">"zakrýt-001"</t>
  </si>
  <si>
    <t xml:space="preserve">ACT-&gt;ARG0/89,ARG2/4</t>
  </si>
  <si>
    <t xml:space="preserve">"zakrýt-002"</t>
  </si>
  <si>
    <t xml:space="preserve">"zakrývat-001"</t>
  </si>
  <si>
    <t xml:space="preserve">"zakrývat-002"</t>
  </si>
  <si>
    <t xml:space="preserve">"zaktivizovat-001"</t>
  </si>
  <si>
    <t xml:space="preserve">"zaktivovat-001"</t>
  </si>
  <si>
    <t xml:space="preserve">"zaktualizovat-001"</t>
  </si>
  <si>
    <t xml:space="preserve">"zakuplovat-001"</t>
  </si>
  <si>
    <t xml:space="preserve">"zakusit-001"</t>
  </si>
  <si>
    <t xml:space="preserve">ACT-&gt;ARG0/109,ARG1/2</t>
  </si>
  <si>
    <t xml:space="preserve">"zakusovat-se-001"</t>
  </si>
  <si>
    <t xml:space="preserve">"zakusovat-se-002"</t>
  </si>
  <si>
    <t xml:space="preserve">"zakusovat-se-003"</t>
  </si>
  <si>
    <t xml:space="preserve">"zakázat-001"</t>
  </si>
  <si>
    <t xml:space="preserve">ACT-&gt;ARG0/48,ARG1/1</t>
  </si>
  <si>
    <t xml:space="preserve">PAT-&gt;ARG1/93,ARG2/22</t>
  </si>
  <si>
    <t xml:space="preserve">"zakódovat-001"</t>
  </si>
  <si>
    <t xml:space="preserve">"zakódovat-002"</t>
  </si>
  <si>
    <t xml:space="preserve">"zakřiknout-001"</t>
  </si>
  <si>
    <t xml:space="preserve">"zakřiknout-002"</t>
  </si>
  <si>
    <t xml:space="preserve">"zakřivovat-001"</t>
  </si>
  <si>
    <t xml:space="preserve">"zakřičet-001"</t>
  </si>
  <si>
    <t xml:space="preserve">"zakřičet-si-001"</t>
  </si>
  <si>
    <t xml:space="preserve">"zalapat-001"</t>
  </si>
  <si>
    <t xml:space="preserve">"zalehnout-001"</t>
  </si>
  <si>
    <t xml:space="preserve">"zaleknout-se-001"</t>
  </si>
  <si>
    <t xml:space="preserve">"zalepit-001"</t>
  </si>
  <si>
    <t xml:space="preserve">"zalepit-002"</t>
  </si>
  <si>
    <t xml:space="preserve">"zalepovat-001"</t>
  </si>
  <si>
    <t xml:space="preserve">"zalesňovat-001"</t>
  </si>
  <si>
    <t xml:space="preserve">"zalhat-001"</t>
  </si>
  <si>
    <t xml:space="preserve">"zalichotit-001"</t>
  </si>
  <si>
    <t xml:space="preserve">"zalidnit-001"</t>
  </si>
  <si>
    <t xml:space="preserve">"zalistovat-001"</t>
  </si>
  <si>
    <t xml:space="preserve">"zalitovat-001"</t>
  </si>
  <si>
    <t xml:space="preserve">"založit-001"</t>
  </si>
  <si>
    <t xml:space="preserve">ACT-&gt;ARG0/687,ARG1/69,ARG2/4</t>
  </si>
  <si>
    <t xml:space="preserve">PAT-&gt;ARG1/1070,ARG2/1</t>
  </si>
  <si>
    <t xml:space="preserve">ORIG-&gt;ARG2/287</t>
  </si>
  <si>
    <t xml:space="preserve">"založit-002"</t>
  </si>
  <si>
    <t xml:space="preserve">"založit-003"</t>
  </si>
  <si>
    <t xml:space="preserve">"založit-004"</t>
  </si>
  <si>
    <t xml:space="preserve">"založit-005"</t>
  </si>
  <si>
    <t xml:space="preserve">"zalykat-se-001"</t>
  </si>
  <si>
    <t xml:space="preserve">"zalyžovat-si-001"</t>
  </si>
  <si>
    <t xml:space="preserve">"zalévat-001"</t>
  </si>
  <si>
    <t xml:space="preserve">"zalézat-001"</t>
  </si>
  <si>
    <t xml:space="preserve">"zalézt-001"</t>
  </si>
  <si>
    <t xml:space="preserve">"zalíbit-se-001"</t>
  </si>
  <si>
    <t xml:space="preserve">"zalít-001"</t>
  </si>
  <si>
    <t xml:space="preserve">"zalít-002"</t>
  </si>
  <si>
    <t xml:space="preserve">"zalít-003"</t>
  </si>
  <si>
    <t xml:space="preserve">"zalít-se-001"</t>
  </si>
  <si>
    <t xml:space="preserve">"zalívat-001"</t>
  </si>
  <si>
    <t xml:space="preserve">"zamanout-si-001"</t>
  </si>
  <si>
    <t xml:space="preserve">"zamaskovat-001"</t>
  </si>
  <si>
    <t xml:space="preserve">"zamerikanizovat-001"</t>
  </si>
  <si>
    <t xml:space="preserve">"zametat-001"</t>
  </si>
  <si>
    <t xml:space="preserve">"zamezit-001"</t>
  </si>
  <si>
    <t xml:space="preserve">ACT-&gt;ARG0/4,ARG3/3</t>
  </si>
  <si>
    <t xml:space="preserve">PAT: v+6; 4; .f; ↓aby</t>
  </si>
  <si>
    <t xml:space="preserve">ADDR-&gt;ARG1/18</t>
  </si>
  <si>
    <t xml:space="preserve">"zamezit-002"</t>
  </si>
  <si>
    <t xml:space="preserve">ACT-&gt;ARG0/70,ARG3/6</t>
  </si>
  <si>
    <t xml:space="preserve">PAT-&gt;ARG0/1,ARG1/180,ARG2/19</t>
  </si>
  <si>
    <t xml:space="preserve">"zamezovat-001"</t>
  </si>
  <si>
    <t xml:space="preserve">ACT-&gt;ARG0/17,ARG3/10</t>
  </si>
  <si>
    <t xml:space="preserve">PAT-&gt;ARG2/57</t>
  </si>
  <si>
    <t xml:space="preserve">"zamezovat-002"</t>
  </si>
  <si>
    <t xml:space="preserve">ACT-&gt;ARG0/298,ARG2/1,ARG3/3</t>
  </si>
  <si>
    <t xml:space="preserve">PAT: 4; 3; ↓aby</t>
  </si>
  <si>
    <t xml:space="preserve">PAT-&gt;ARG1/472</t>
  </si>
  <si>
    <t xml:space="preserve">"zameškat-001"</t>
  </si>
  <si>
    <t xml:space="preserve">"zamhouřit-001"</t>
  </si>
  <si>
    <t xml:space="preserve">"zamilovat-se-001"</t>
  </si>
  <si>
    <t xml:space="preserve">PAT-&gt;ARG2/3,ARG4/1</t>
  </si>
  <si>
    <t xml:space="preserve">"zamilovat-si-001"</t>
  </si>
  <si>
    <t xml:space="preserve">"zamilovávat-se-001"</t>
  </si>
  <si>
    <t xml:space="preserve">"zamknout-001"</t>
  </si>
  <si>
    <t xml:space="preserve">"zamknout-002"</t>
  </si>
  <si>
    <t xml:space="preserve">"zamlouvat-se-001"</t>
  </si>
  <si>
    <t xml:space="preserve">ACT-&gt;ARG0/57,ARG1/19</t>
  </si>
  <si>
    <t xml:space="preserve">PAT-&gt;ARG0/12,ARG1/61</t>
  </si>
  <si>
    <t xml:space="preserve">"zamluvit-001"</t>
  </si>
  <si>
    <t xml:space="preserve">"zamluvit-002"</t>
  </si>
  <si>
    <t xml:space="preserve">"zamlčet-001"</t>
  </si>
  <si>
    <t xml:space="preserve">"zamlčovat-001"</t>
  </si>
  <si>
    <t xml:space="preserve">"zamlžit-001"</t>
  </si>
  <si>
    <t xml:space="preserve">"zamlžovat-001"</t>
  </si>
  <si>
    <t xml:space="preserve">"zamnout-si-001"</t>
  </si>
  <si>
    <t xml:space="preserve">"zamotat-001"</t>
  </si>
  <si>
    <t xml:space="preserve">"zamotat-002"</t>
  </si>
  <si>
    <t xml:space="preserve">"zamotat-se-001"</t>
  </si>
  <si>
    <t xml:space="preserve">"zamotat-se-002"</t>
  </si>
  <si>
    <t xml:space="preserve">"zamotat-se-003"</t>
  </si>
  <si>
    <t xml:space="preserve">"zamotat-se-004"</t>
  </si>
  <si>
    <t xml:space="preserve">"zamotávat-001"</t>
  </si>
  <si>
    <t xml:space="preserve">"zamořit-001"</t>
  </si>
  <si>
    <t xml:space="preserve">"zamražovat-001"</t>
  </si>
  <si>
    <t xml:space="preserve">"zamručet-001"</t>
  </si>
  <si>
    <t xml:space="preserve">PAT: 4; ↓že; ↓ať; .s; ↓c</t>
  </si>
  <si>
    <t xml:space="preserve">"zamručet-002"</t>
  </si>
  <si>
    <t xml:space="preserve">"zamrzet-001"</t>
  </si>
  <si>
    <t xml:space="preserve">"zamrznout-001"</t>
  </si>
  <si>
    <t xml:space="preserve">"zamykat-001"</t>
  </si>
  <si>
    <t xml:space="preserve">"zamyslet-se-001"</t>
  </si>
  <si>
    <t xml:space="preserve">PAT: nad+7; ↓jestli; ↓zda; ↓c</t>
  </si>
  <si>
    <t xml:space="preserve">PAT-&gt;ARG1/135,ARG2/36</t>
  </si>
  <si>
    <t xml:space="preserve">"zamyslit-se-001"</t>
  </si>
  <si>
    <t xml:space="preserve">"zamávat-001"</t>
  </si>
  <si>
    <t xml:space="preserve">"zamávat-002"</t>
  </si>
  <si>
    <t xml:space="preserve">"zamáčknout-001"</t>
  </si>
  <si>
    <t xml:space="preserve">"zamáčknout-002"</t>
  </si>
  <si>
    <t xml:space="preserve">"zamést-001"</t>
  </si>
  <si>
    <t xml:space="preserve">"zamést-002"</t>
  </si>
  <si>
    <t xml:space="preserve">"zamést-003"</t>
  </si>
  <si>
    <t xml:space="preserve">"zamést-004"</t>
  </si>
  <si>
    <t xml:space="preserve">DPHR: práh:S4[vlastní-1:#]; před-1[prah.S7[vlastni-1:#]]</t>
  </si>
  <si>
    <t xml:space="preserve">"zamíchat-001"</t>
  </si>
  <si>
    <t xml:space="preserve">PAT: 7; s+7; 4</t>
  </si>
  <si>
    <t xml:space="preserve">"zamítat-001"</t>
  </si>
  <si>
    <t xml:space="preserve">"zamítnout-001"</t>
  </si>
  <si>
    <t xml:space="preserve">ACT-&gt;ARG0/537</t>
  </si>
  <si>
    <t xml:space="preserve">"zamířit-001"</t>
  </si>
  <si>
    <t xml:space="preserve">"zamířit-002"</t>
  </si>
  <si>
    <t xml:space="preserve">ACT-&gt;ARG0/30,ARG1/2</t>
  </si>
  <si>
    <t xml:space="preserve">"zamířit-003"</t>
  </si>
  <si>
    <t xml:space="preserve">"zamýšlet-001"</t>
  </si>
  <si>
    <t xml:space="preserve">PAT-&gt;ARG0/2,ARG1/122,ARG2/5</t>
  </si>
  <si>
    <t xml:space="preserve">"zamýšlet-002"</t>
  </si>
  <si>
    <t xml:space="preserve">ACT-&gt;ARG0/1043</t>
  </si>
  <si>
    <t xml:space="preserve">PAT-&gt;ARG1/1089,ARG2/4</t>
  </si>
  <si>
    <t xml:space="preserve">"zamýšlet-se-001"</t>
  </si>
  <si>
    <t xml:space="preserve">"zaměnit-001"</t>
  </si>
  <si>
    <t xml:space="preserve">EFF-&gt;ARG1/1,ARG2/6</t>
  </si>
  <si>
    <t xml:space="preserve">"zaměstnat-001"</t>
  </si>
  <si>
    <t xml:space="preserve">PAT-&gt;ARG1/168,ARG2/3</t>
  </si>
  <si>
    <t xml:space="preserve">EFF-&gt;ARG1/4,ARG2/7</t>
  </si>
  <si>
    <t xml:space="preserve">"zaměstnat-002"</t>
  </si>
  <si>
    <t xml:space="preserve">"zaměstnávat-001"</t>
  </si>
  <si>
    <t xml:space="preserve">ACT-&gt;ARG0/2290,ARG1/19</t>
  </si>
  <si>
    <t xml:space="preserve">PAT-&gt;ARG0/3,ARG1/2429,ARG2/2</t>
  </si>
  <si>
    <t xml:space="preserve">"zaměstnávat-002"</t>
  </si>
  <si>
    <t xml:space="preserve">"zaměstnávat-se-001"</t>
  </si>
  <si>
    <t xml:space="preserve">"zaměňovat-001"</t>
  </si>
  <si>
    <t xml:space="preserve">"zaměřit-001"</t>
  </si>
  <si>
    <t xml:space="preserve">ALT-DIR3: *</t>
  </si>
  <si>
    <t xml:space="preserve">ACT-&gt;ARG0/123,ARG1/2</t>
  </si>
  <si>
    <t xml:space="preserve">PAT-&gt;ARG0/40,ARG1/180,ARG2/62</t>
  </si>
  <si>
    <t xml:space="preserve">DIR3-&gt;ARG1/209,ARG2/90</t>
  </si>
  <si>
    <t xml:space="preserve">"zaměřit-002"</t>
  </si>
  <si>
    <t xml:space="preserve">"zaměřit-se-001"</t>
  </si>
  <si>
    <t xml:space="preserve">ACT-&gt;ARG0/488,ARG1/31,ARG2/3</t>
  </si>
  <si>
    <t xml:space="preserve">ACT-&gt;ARG0/154,ARG1/97,ARG2/13</t>
  </si>
  <si>
    <t xml:space="preserve">PAT-&gt;ARG1/609,ARG2/75</t>
  </si>
  <si>
    <t xml:space="preserve">PAT-&gt;ARG1/146,ARG2/100</t>
  </si>
  <si>
    <t xml:space="preserve">"zaměřit-se-002"</t>
  </si>
  <si>
    <t xml:space="preserve">"zaměřovat-001"</t>
  </si>
  <si>
    <t xml:space="preserve">PAT-&gt;ARG0/1,ARG1/25</t>
  </si>
  <si>
    <t xml:space="preserve">"zaměřovat-002"</t>
  </si>
  <si>
    <t xml:space="preserve">"zaměřovat-003"</t>
  </si>
  <si>
    <t xml:space="preserve">"zaměřovat-se-001"</t>
  </si>
  <si>
    <t xml:space="preserve">ACT-&gt;ARG0/132,ARG1/26,ARG2/1</t>
  </si>
  <si>
    <t xml:space="preserve">PAT-&gt;ARG1/114,ARG2/74</t>
  </si>
  <si>
    <t xml:space="preserve">"zanalyzovat-001"</t>
  </si>
  <si>
    <t xml:space="preserve">"zanechat-001"</t>
  </si>
  <si>
    <t xml:space="preserve">PAT-&gt;ARG1/47,ARG2/46</t>
  </si>
  <si>
    <t xml:space="preserve">ADDR-&gt;ARG1/48,ARG2/24</t>
  </si>
  <si>
    <t xml:space="preserve">"zanechat-002"</t>
  </si>
  <si>
    <t xml:space="preserve">"zanechat-003"</t>
  </si>
  <si>
    <t xml:space="preserve">ACT-&gt;ARG0/149,ARG1/1</t>
  </si>
  <si>
    <t xml:space="preserve">PAT-&gt;ARG1/221,ARG2/4</t>
  </si>
  <si>
    <t xml:space="preserve">"zanechat-004"</t>
  </si>
  <si>
    <t xml:space="preserve">ACMP-&gt;ARG1/3,ARG2/46</t>
  </si>
  <si>
    <t xml:space="preserve">"zanechat-005"</t>
  </si>
  <si>
    <t xml:space="preserve">ACT-&gt;ARG0/151,ARG1/7</t>
  </si>
  <si>
    <t xml:space="preserve">PAT-&gt;ARG1/174,ARG2/13</t>
  </si>
  <si>
    <t xml:space="preserve">"zanechat-006"</t>
  </si>
  <si>
    <t xml:space="preserve">DPHR: napospas</t>
  </si>
  <si>
    <t xml:space="preserve">"zanechávat-001"</t>
  </si>
  <si>
    <t xml:space="preserve">PAT-&gt;ARG1/73,ARG2/4</t>
  </si>
  <si>
    <t xml:space="preserve">"zanechávat-002"</t>
  </si>
  <si>
    <t xml:space="preserve">"zanedbat-001"</t>
  </si>
  <si>
    <t xml:space="preserve">"zanedbat-002"</t>
  </si>
  <si>
    <t xml:space="preserve">"zanedbávat-001"</t>
  </si>
  <si>
    <t xml:space="preserve">"zanedbávat-002"</t>
  </si>
  <si>
    <t xml:space="preserve">PAT-&gt;ARG1/7,ARG2/28</t>
  </si>
  <si>
    <t xml:space="preserve">"zaneprázdnit-001"</t>
  </si>
  <si>
    <t xml:space="preserve">"zanevřít-001"</t>
  </si>
  <si>
    <t xml:space="preserve">"zanikat-001"</t>
  </si>
  <si>
    <t xml:space="preserve">"zanikat-002"</t>
  </si>
  <si>
    <t xml:space="preserve">CPHR: {nárok,povinnost,právo,...}.1</t>
  </si>
  <si>
    <t xml:space="preserve">"zaniknout-001"</t>
  </si>
  <si>
    <t xml:space="preserve">"zaniknout-002"</t>
  </si>
  <si>
    <t xml:space="preserve">"zaniknout-003"</t>
  </si>
  <si>
    <t xml:space="preserve">"zanotovat-001"</t>
  </si>
  <si>
    <t xml:space="preserve">"zanořovat-se-001"</t>
  </si>
  <si>
    <t xml:space="preserve">ACT-&gt;ARG0/71,ARG1/23</t>
  </si>
  <si>
    <t xml:space="preserve">ACT-&gt;ARG0/71,ARG1/26</t>
  </si>
  <si>
    <t xml:space="preserve">"zanášet-001"</t>
  </si>
  <si>
    <t xml:space="preserve">"zanést-001"</t>
  </si>
  <si>
    <t xml:space="preserve">"zanést-002"</t>
  </si>
  <si>
    <t xml:space="preserve">"zanést-003"</t>
  </si>
  <si>
    <t xml:space="preserve">PAT-&gt;ARG1/262,ARG2/3</t>
  </si>
  <si>
    <t xml:space="preserve">"zanést-004"</t>
  </si>
  <si>
    <t xml:space="preserve">"zanést-005"</t>
  </si>
  <si>
    <t xml:space="preserve">"zanést-006"</t>
  </si>
  <si>
    <t xml:space="preserve">"zaobalovat-001"</t>
  </si>
  <si>
    <t xml:space="preserve">"zaoblit-001"</t>
  </si>
  <si>
    <t xml:space="preserve">"zaobírat-se-001"</t>
  </si>
  <si>
    <t xml:space="preserve">"zaopatřovat-001"</t>
  </si>
  <si>
    <t xml:space="preserve">"zaostat-001"</t>
  </si>
  <si>
    <t xml:space="preserve">PAT-&gt;ARG1/19,ARG2/279</t>
  </si>
  <si>
    <t xml:space="preserve">"zaostávat-001"</t>
  </si>
  <si>
    <t xml:space="preserve">ACT-&gt;ARG0/36,ARG1/34</t>
  </si>
  <si>
    <t xml:space="preserve">PAT-&gt;ARG0/1,ARG1/37,ARG4/3</t>
  </si>
  <si>
    <t xml:space="preserve">"zaostřit-001"</t>
  </si>
  <si>
    <t xml:space="preserve">"zapadat-001"</t>
  </si>
  <si>
    <t xml:space="preserve">DIR3-&gt;ARG1/13</t>
  </si>
  <si>
    <t xml:space="preserve">"zapadat-002"</t>
  </si>
  <si>
    <t xml:space="preserve">"zapadat-003"</t>
  </si>
  <si>
    <t xml:space="preserve">"zapadat-004"</t>
  </si>
  <si>
    <t xml:space="preserve">"zapadnout-001"</t>
  </si>
  <si>
    <t xml:space="preserve">DIR3-&gt;ARG1/14,ARG4/1</t>
  </si>
  <si>
    <t xml:space="preserve">"zapadnout-002"</t>
  </si>
  <si>
    <t xml:space="preserve">"zapadnout-003"</t>
  </si>
  <si>
    <t xml:space="preserve">"zapadnout-004"</t>
  </si>
  <si>
    <t xml:space="preserve">"zapalovat-001"</t>
  </si>
  <si>
    <t xml:space="preserve">"zapamatovat-si-001"</t>
  </si>
  <si>
    <t xml:space="preserve">"zapamatovat-si-002"</t>
  </si>
  <si>
    <t xml:space="preserve">"zapamatovávat-si-001"</t>
  </si>
  <si>
    <t xml:space="preserve">"zaparkovat-001"</t>
  </si>
  <si>
    <t xml:space="preserve">"zapečetit-001"</t>
  </si>
  <si>
    <t xml:space="preserve">"zapinkat-si-001"</t>
  </si>
  <si>
    <t xml:space="preserve">"zapisovat-001"</t>
  </si>
  <si>
    <t xml:space="preserve">LOC-&gt;ARG1/1,ARG2/27</t>
  </si>
  <si>
    <t xml:space="preserve">"zapisovat-002"</t>
  </si>
  <si>
    <t xml:space="preserve">PAT-&gt;ARG1/201,ARG2/9,ARG3/2</t>
  </si>
  <si>
    <t xml:space="preserve">DIR3-&gt;ARG1/1,ARG2/32</t>
  </si>
  <si>
    <t xml:space="preserve">"zapisovat-003"</t>
  </si>
  <si>
    <t xml:space="preserve">"zaplatit-001"</t>
  </si>
  <si>
    <t xml:space="preserve">ACT-&gt;ARG0/439,ARG1/2,ARG2/50</t>
  </si>
  <si>
    <t xml:space="preserve">PAT-&gt;ARG1/751,ARG2/16,ARG3/20</t>
  </si>
  <si>
    <t xml:space="preserve">ADDR-&gt;ARG0/1,ARG1/1,ARG2/142,ARG3/4</t>
  </si>
  <si>
    <t xml:space="preserve">EFF-&gt;ARG1/6,ARG2/16,ARG3/186</t>
  </si>
  <si>
    <t xml:space="preserve">"zaplatit-002"</t>
  </si>
  <si>
    <t xml:space="preserve">ACT-&gt;ARG0/425,ARG1/5,ARG2/1,ARG3/1</t>
  </si>
  <si>
    <t xml:space="preserve">EXT-&gt;ARG1/411,ARG2/13,ARG3/160</t>
  </si>
  <si>
    <t xml:space="preserve">PAT-&gt;ARG1/115,ARG2/16,ARG3/187</t>
  </si>
  <si>
    <t xml:space="preserve">ADDR-&gt;ARG0/1,ARG1/1,ARG2/139,ARG3/4</t>
  </si>
  <si>
    <t xml:space="preserve">"zaplatit-003"</t>
  </si>
  <si>
    <t xml:space="preserve">"zaplatit-004"</t>
  </si>
  <si>
    <t xml:space="preserve">DPHR: Pán.S1[Bůh]; pánbůh.S1</t>
  </si>
  <si>
    <t xml:space="preserve">?ACT: ↓že</t>
  </si>
  <si>
    <t xml:space="preserve">"zaplatit-005"</t>
  </si>
  <si>
    <t xml:space="preserve">"zaplatit-se-001"</t>
  </si>
  <si>
    <t xml:space="preserve">ACT-&gt;ARG1/140,ARG2/1</t>
  </si>
  <si>
    <t xml:space="preserve">"zaplavat-001"</t>
  </si>
  <si>
    <t xml:space="preserve">"zaplavat-si-001"</t>
  </si>
  <si>
    <t xml:space="preserve">"zaplavit-001"</t>
  </si>
  <si>
    <t xml:space="preserve">ACT-&gt;ARG0/12,ARG1/1,ARG2/6</t>
  </si>
  <si>
    <t xml:space="preserve">EFF-&gt;ARG2/6</t>
  </si>
  <si>
    <t xml:space="preserve">"zaplavit-002"</t>
  </si>
  <si>
    <t xml:space="preserve">ACT-&gt;ARG0/7,ARG1/2,ARG2/6</t>
  </si>
  <si>
    <t xml:space="preserve">ACT-&gt;ARG0/22,ARG1/3,ARG2/13</t>
  </si>
  <si>
    <t xml:space="preserve">PAT-&gt;ARG1/64,ARG2/5</t>
  </si>
  <si>
    <t xml:space="preserve">"zaplavit-003"</t>
  </si>
  <si>
    <t xml:space="preserve">"zaplavovat-001"</t>
  </si>
  <si>
    <t xml:space="preserve">"zaplavčíkovat-si-001"</t>
  </si>
  <si>
    <t xml:space="preserve">"zaplašit-001"</t>
  </si>
  <si>
    <t xml:space="preserve">"zaplnit-001"</t>
  </si>
  <si>
    <t xml:space="preserve">"zaplnit-se-001"</t>
  </si>
  <si>
    <t xml:space="preserve">"zaplombovat-001"</t>
  </si>
  <si>
    <t xml:space="preserve">"zaplynovat-001"</t>
  </si>
  <si>
    <t xml:space="preserve">"zaplácat-001"</t>
  </si>
  <si>
    <t xml:space="preserve">"zaplést-001"</t>
  </si>
  <si>
    <t xml:space="preserve">PAT-&gt;ARG1/9,ARG2/80</t>
  </si>
  <si>
    <t xml:space="preserve">ADDR-&gt;ARG1/173,ARG2/9</t>
  </si>
  <si>
    <t xml:space="preserve">"zaplést-002"</t>
  </si>
  <si>
    <t xml:space="preserve">"zaplést-se-001"</t>
  </si>
  <si>
    <t xml:space="preserve">ACT-&gt;ARG0/17,ARG1/429,ARG2/6</t>
  </si>
  <si>
    <t xml:space="preserve">PAT-&gt;ARG1/3,ARG2/510</t>
  </si>
  <si>
    <t xml:space="preserve">"zaplést-se-002"</t>
  </si>
  <si>
    <t xml:space="preserve">"zaplést-se-003"</t>
  </si>
  <si>
    <t xml:space="preserve">"zaplétat-001"</t>
  </si>
  <si>
    <t xml:space="preserve">"zaplétat-002"</t>
  </si>
  <si>
    <t xml:space="preserve">"zaplňovat-001"</t>
  </si>
  <si>
    <t xml:space="preserve">"zaplňovat-se-001"</t>
  </si>
  <si>
    <t xml:space="preserve">"zapnout-001"</t>
  </si>
  <si>
    <t xml:space="preserve">"zapnout-002"</t>
  </si>
  <si>
    <t xml:space="preserve">"zapnout-003"</t>
  </si>
  <si>
    <t xml:space="preserve">"zapnout-se-001"</t>
  </si>
  <si>
    <t xml:space="preserve">ACT-&gt;ARG0/9,ARG1/15</t>
  </si>
  <si>
    <t xml:space="preserve">"zapochybovat-001"</t>
  </si>
  <si>
    <t xml:space="preserve">"zapojit-001"</t>
  </si>
  <si>
    <t xml:space="preserve">ACT-&gt;ARG0/37,ARG1/2,ARG2/1</t>
  </si>
  <si>
    <t xml:space="preserve">PAT: do+2; v+6</t>
  </si>
  <si>
    <t xml:space="preserve">PAT-&gt;ARG1/190,ARG2/71</t>
  </si>
  <si>
    <t xml:space="preserve">PAT-&gt;ARG0/6,ARG1/6,ARG2/492</t>
  </si>
  <si>
    <t xml:space="preserve">ADDR-&gt;ARG1/112,ARG2/80</t>
  </si>
  <si>
    <t xml:space="preserve">ADDR-&gt;ARG1/1094,ARG2/2</t>
  </si>
  <si>
    <t xml:space="preserve">"zapojit-002"</t>
  </si>
  <si>
    <t xml:space="preserve">"zapojit-003"</t>
  </si>
  <si>
    <t xml:space="preserve">ACT-&gt;ARG0/6,ARG1/4,ARG2/428</t>
  </si>
  <si>
    <t xml:space="preserve">PAT-&gt;ARG1/922,ARG2/48</t>
  </si>
  <si>
    <t xml:space="preserve">DIR3-&gt;ARG1/23</t>
  </si>
  <si>
    <t xml:space="preserve">"zapojit-se-001"</t>
  </si>
  <si>
    <t xml:space="preserve">ACT-&gt;ARG0/153,ARG1/165,ARG2/81</t>
  </si>
  <si>
    <t xml:space="preserve">PAT-&gt;ARG1/362,ARG2/231</t>
  </si>
  <si>
    <t xml:space="preserve">"zapojit-se-002"</t>
  </si>
  <si>
    <t xml:space="preserve">"zapojovat-001"</t>
  </si>
  <si>
    <t xml:space="preserve">LOC-&gt;ARG1/14,ARG2/3</t>
  </si>
  <si>
    <t xml:space="preserve">"zapojovat-002"</t>
  </si>
  <si>
    <t xml:space="preserve">"zapojovat-se-001"</t>
  </si>
  <si>
    <t xml:space="preserve">ACT-&gt;ARG1/153,ARG2/81</t>
  </si>
  <si>
    <t xml:space="preserve">PAT-&gt;ARG1/173,ARG2/195</t>
  </si>
  <si>
    <t xml:space="preserve">"zapojovat-se-002"</t>
  </si>
  <si>
    <t xml:space="preserve">"zapomenout-001"</t>
  </si>
  <si>
    <t xml:space="preserve">PAT: 4; na+4; ↓že; ↓zda; ↓c; .f; ↓jak-2</t>
  </si>
  <si>
    <t xml:space="preserve">"zapomenout-002"</t>
  </si>
  <si>
    <t xml:space="preserve">"zapomínat-001"</t>
  </si>
  <si>
    <t xml:space="preserve">PAT: na+4; ↓že; ↓zda; ↓jestli; ↓c; .f; 4</t>
  </si>
  <si>
    <t xml:space="preserve">"zapotit-se-001"</t>
  </si>
  <si>
    <t xml:space="preserve">"zapotácet-se-001"</t>
  </si>
  <si>
    <t xml:space="preserve">"zapovídat-001"</t>
  </si>
  <si>
    <t xml:space="preserve">"započíst-001"</t>
  </si>
  <si>
    <t xml:space="preserve">ACT-&gt;ARG0/85,ARG1/1</t>
  </si>
  <si>
    <t xml:space="preserve">"započíst-002"</t>
  </si>
  <si>
    <t xml:space="preserve">ACT-&gt;ARG0/12,ARG1/3,ARG2/427</t>
  </si>
  <si>
    <t xml:space="preserve">PAT-&gt;ARG1/933,ARG2/2</t>
  </si>
  <si>
    <t xml:space="preserve">"--započíst-003"</t>
  </si>
  <si>
    <t xml:space="preserve">EFF: NOT PARSED:.4[{jako,jakožto}/AuxY]</t>
  </si>
  <si>
    <t xml:space="preserve">"započít-001"</t>
  </si>
  <si>
    <t xml:space="preserve">ACT-&gt;ARG0/111,ARG1/143,ARG2/1</t>
  </si>
  <si>
    <t xml:space="preserve">PAT: 4; s+7; .f</t>
  </si>
  <si>
    <t xml:space="preserve">"započít-002"</t>
  </si>
  <si>
    <t xml:space="preserve">"započítat-001"</t>
  </si>
  <si>
    <t xml:space="preserve">ACT-&gt;ARG0/16,ARG1/1,ARG2/66</t>
  </si>
  <si>
    <t xml:space="preserve">"započítat-002"</t>
  </si>
  <si>
    <t xml:space="preserve">"--započítat-003"</t>
  </si>
  <si>
    <t xml:space="preserve">"započítávat-001"</t>
  </si>
  <si>
    <t xml:space="preserve">ACT-&gt;ARG0/13,ARG1/1,ARG2/26</t>
  </si>
  <si>
    <t xml:space="preserve">ACT-&gt;ARG0/191,ARG1/3,ARG2/26</t>
  </si>
  <si>
    <t xml:space="preserve">PAT-&gt;ARG1/466</t>
  </si>
  <si>
    <t xml:space="preserve">"započítávat-002"</t>
  </si>
  <si>
    <t xml:space="preserve">"zapracovat-001"</t>
  </si>
  <si>
    <t xml:space="preserve">"zapracovat-002"</t>
  </si>
  <si>
    <t xml:space="preserve">"zapracovat-003"</t>
  </si>
  <si>
    <t xml:space="preserve">"zapracovat-se-001"</t>
  </si>
  <si>
    <t xml:space="preserve">"zapracovávat-001"</t>
  </si>
  <si>
    <t xml:space="preserve">"zapracovávat-002"</t>
  </si>
  <si>
    <t xml:space="preserve">?PAT: v+6; do+2</t>
  </si>
  <si>
    <t xml:space="preserve">"zapracovávat-se-001"</t>
  </si>
  <si>
    <t xml:space="preserve">"zapraskat-001"</t>
  </si>
  <si>
    <t xml:space="preserve">"zapraskat-002"</t>
  </si>
  <si>
    <t xml:space="preserve">"zaprašovat-001"</t>
  </si>
  <si>
    <t xml:space="preserve">"zaprodat-001"</t>
  </si>
  <si>
    <t xml:space="preserve">"zaprodávat-001"</t>
  </si>
  <si>
    <t xml:space="preserve">"zaprodávat-se-001"</t>
  </si>
  <si>
    <t xml:space="preserve">"zaprotokolovat-001"</t>
  </si>
  <si>
    <t xml:space="preserve">"zaprášit-se-001"</t>
  </si>
  <si>
    <t xml:space="preserve">"zapršet-001"</t>
  </si>
  <si>
    <t xml:space="preserve">"zapsat-001"</t>
  </si>
  <si>
    <t xml:space="preserve">"zapsat-002"</t>
  </si>
  <si>
    <t xml:space="preserve">"zapsat-003"</t>
  </si>
  <si>
    <t xml:space="preserve">ACT-&gt;ARG0/184,ARG1/2</t>
  </si>
  <si>
    <t xml:space="preserve">"zapsat-004"</t>
  </si>
  <si>
    <t xml:space="preserve">"zapsat-se-001"</t>
  </si>
  <si>
    <t xml:space="preserve">"zapsat-se-002"</t>
  </si>
  <si>
    <t xml:space="preserve">DIR3-&gt;ARG0/182,ARG1/101,ARG3/6</t>
  </si>
  <si>
    <t xml:space="preserve">"zapudit-001"</t>
  </si>
  <si>
    <t xml:space="preserve">"zapustit-001"</t>
  </si>
  <si>
    <t xml:space="preserve">"zapustit-002"</t>
  </si>
  <si>
    <t xml:space="preserve">"zapáchat-001"</t>
  </si>
  <si>
    <t xml:space="preserve">"zapálit-001"</t>
  </si>
  <si>
    <t xml:space="preserve">"zapéci-001"</t>
  </si>
  <si>
    <t xml:space="preserve">"zapíchnout-001"</t>
  </si>
  <si>
    <t xml:space="preserve">"zapíchnout-002"</t>
  </si>
  <si>
    <t xml:space="preserve">"zapíchnout-003"</t>
  </si>
  <si>
    <t xml:space="preserve">"zapíchávat-001"</t>
  </si>
  <si>
    <t xml:space="preserve">"zapíjet-001"</t>
  </si>
  <si>
    <t xml:space="preserve">"zapínat-001"</t>
  </si>
  <si>
    <t xml:space="preserve">ACT: </t>
  </si>
  <si>
    <t xml:space="preserve">"zapínat-002"</t>
  </si>
  <si>
    <t xml:space="preserve">"zapírat-001"</t>
  </si>
  <si>
    <t xml:space="preserve">"zapít-001"</t>
  </si>
  <si>
    <t xml:space="preserve">"zapět-001"</t>
  </si>
  <si>
    <t xml:space="preserve">"zapět-002"</t>
  </si>
  <si>
    <t xml:space="preserve">"zapět-003"</t>
  </si>
  <si>
    <t xml:space="preserve">"zapřáhnout-001"</t>
  </si>
  <si>
    <t xml:space="preserve">"zapřáhnout-002"</t>
  </si>
  <si>
    <t xml:space="preserve">"zapříst-001"</t>
  </si>
  <si>
    <t xml:space="preserve">"zapřít-001"</t>
  </si>
  <si>
    <t xml:space="preserve">ACT-&gt;ARG0/279,ARG1/2,ARG2/3</t>
  </si>
  <si>
    <t xml:space="preserve">PAT-&gt;ARG0/2,ARG1/293,ARG2/28</t>
  </si>
  <si>
    <t xml:space="preserve">"zapřít-se-001"</t>
  </si>
  <si>
    <t xml:space="preserve">"zapříčinit-001"</t>
  </si>
  <si>
    <t xml:space="preserve">ACT-&gt;ARG0/774,ARG1/4,ARG2/4</t>
  </si>
  <si>
    <t xml:space="preserve">PAT-&gt;ARG0/1,ARG1/1041,ARG2/2</t>
  </si>
  <si>
    <t xml:space="preserve">"zapříčiňovat-001"</t>
  </si>
  <si>
    <t xml:space="preserve">PAT-&gt;ARG0/1,ARG1/164</t>
  </si>
  <si>
    <t xml:space="preserve">"zapůjčit-001"</t>
  </si>
  <si>
    <t xml:space="preserve">"zapůjčit-si-001"</t>
  </si>
  <si>
    <t xml:space="preserve">"zapůsobit-001"</t>
  </si>
  <si>
    <t xml:space="preserve">ACT-&gt;ARG0/8,ARG1/3102,ARG2/296</t>
  </si>
  <si>
    <t xml:space="preserve">"zaradovat-se-001"</t>
  </si>
  <si>
    <t xml:space="preserve">"zarazit-001"</t>
  </si>
  <si>
    <t xml:space="preserve">"zarazit-002"</t>
  </si>
  <si>
    <t xml:space="preserve">PAT-&gt;ARG1/177</t>
  </si>
  <si>
    <t xml:space="preserve">"zarazit-003"</t>
  </si>
  <si>
    <t xml:space="preserve">PAT-&gt;ARG0/12</t>
  </si>
  <si>
    <t xml:space="preserve">"zarazit-004"</t>
  </si>
  <si>
    <t xml:space="preserve">"zarazit-se-001"</t>
  </si>
  <si>
    <t xml:space="preserve">LOC-&gt;ARG0/2,ARG1/32,ARG2/141</t>
  </si>
  <si>
    <t xml:space="preserve">"zarazit-se-002"</t>
  </si>
  <si>
    <t xml:space="preserve">PAT: nad+7; ↓že</t>
  </si>
  <si>
    <t xml:space="preserve">"zarazit-se-003"</t>
  </si>
  <si>
    <t xml:space="preserve">"zareagovat-001"</t>
  </si>
  <si>
    <t xml:space="preserve">ACT-&gt;ARG0/155,ARG1/77</t>
  </si>
  <si>
    <t xml:space="preserve">PAT-&gt;ARG1/89,ARG2/5</t>
  </si>
  <si>
    <t xml:space="preserve">"zareagovat-002"</t>
  </si>
  <si>
    <t xml:space="preserve">EFF: .s; ↓že</t>
  </si>
  <si>
    <t xml:space="preserve">EFF-&gt;ARG1/1,ARG2/35</t>
  </si>
  <si>
    <t xml:space="preserve">EFF-&gt;ARG1/1,ARG2/31</t>
  </si>
  <si>
    <t xml:space="preserve">"zaregistrovat-001"</t>
  </si>
  <si>
    <t xml:space="preserve">"zaregistrovat-002"</t>
  </si>
  <si>
    <t xml:space="preserve">PAT-&gt;ARG1/113,ARG2/8,ARG3/2</t>
  </si>
  <si>
    <t xml:space="preserve">"zarezervovat-001"</t>
  </si>
  <si>
    <t xml:space="preserve">"zariskovat-001"</t>
  </si>
  <si>
    <t xml:space="preserve">"zarmoutit-001"</t>
  </si>
  <si>
    <t xml:space="preserve">"zaručit-001"</t>
  </si>
  <si>
    <t xml:space="preserve">ACT-&gt;ARG0/278</t>
  </si>
  <si>
    <t xml:space="preserve">PAT-&gt;ARG1/369,ARG2/17</t>
  </si>
  <si>
    <t xml:space="preserve">ADDR-&gt;ARG1/29,ARG2/187</t>
  </si>
  <si>
    <t xml:space="preserve">"zaručit-se-001"</t>
  </si>
  <si>
    <t xml:space="preserve">PAT: za+4; ↓že; ↓že</t>
  </si>
  <si>
    <t xml:space="preserve">"zaručovat-001"</t>
  </si>
  <si>
    <t xml:space="preserve">PAT-&gt;ARG1/441,ARG2/46</t>
  </si>
  <si>
    <t xml:space="preserve">ADDR-&gt;ARG1/66,ARG2/136</t>
  </si>
  <si>
    <t xml:space="preserve">"zarybařit-si-001"</t>
  </si>
  <si>
    <t xml:space="preserve">"zarychtovat-001"</t>
  </si>
  <si>
    <t xml:space="preserve">"zarámovat-001"</t>
  </si>
  <si>
    <t xml:space="preserve">"zarámovat-002"</t>
  </si>
  <si>
    <t xml:space="preserve">"zarážet-001"</t>
  </si>
  <si>
    <t xml:space="preserve">"zarážet-002"</t>
  </si>
  <si>
    <t xml:space="preserve">"zarážet-003"</t>
  </si>
  <si>
    <t xml:space="preserve">"zarýt-se-001"</t>
  </si>
  <si>
    <t xml:space="preserve">"zarývat-se-001"</t>
  </si>
  <si>
    <t xml:space="preserve">"zarýžovat-si-001"</t>
  </si>
  <si>
    <t xml:space="preserve">"zarůst-001"</t>
  </si>
  <si>
    <t xml:space="preserve">"zarůstat-001"</t>
  </si>
  <si>
    <t xml:space="preserve">"zarůstat-002"</t>
  </si>
  <si>
    <t xml:space="preserve">"zasadit-001"</t>
  </si>
  <si>
    <t xml:space="preserve">ACT-&gt;ARG0/19,ARG1/2,ARG2/22</t>
  </si>
  <si>
    <t xml:space="preserve">ADDR-&gt;ARG1/46</t>
  </si>
  <si>
    <t xml:space="preserve">"zasadit-002"</t>
  </si>
  <si>
    <t xml:space="preserve">"zasadit-003"</t>
  </si>
  <si>
    <t xml:space="preserve">"zasadit-004"</t>
  </si>
  <si>
    <t xml:space="preserve">"zasadit-005"</t>
  </si>
  <si>
    <t xml:space="preserve">"zasadit-se-001"</t>
  </si>
  <si>
    <t xml:space="preserve">PAT: o+4; za+4</t>
  </si>
  <si>
    <t xml:space="preserve">"zasahovat-001"</t>
  </si>
  <si>
    <t xml:space="preserve">ACT-&gt;ARG0/33,ARG2/78</t>
  </si>
  <si>
    <t xml:space="preserve">ACT-&gt;ARG0/128,ARG1/347,ARG2/38</t>
  </si>
  <si>
    <t xml:space="preserve">PAT-&gt;ARG0/188,ARG1/223,ARG2/80</t>
  </si>
  <si>
    <t xml:space="preserve">"zasahovat-002"</t>
  </si>
  <si>
    <t xml:space="preserve">"zasahovat-003"</t>
  </si>
  <si>
    <t xml:space="preserve">PAT: proti+3; vůči+3</t>
  </si>
  <si>
    <t xml:space="preserve">"zasahovat-004"</t>
  </si>
  <si>
    <t xml:space="preserve">ACT-&gt;ARG0/26,ARG1/64</t>
  </si>
  <si>
    <t xml:space="preserve">"zasahovat-005"</t>
  </si>
  <si>
    <t xml:space="preserve">"zasalutovat-001"</t>
  </si>
  <si>
    <t xml:space="preserve">"zasazovat-001"</t>
  </si>
  <si>
    <t xml:space="preserve">"zasazovat-002"</t>
  </si>
  <si>
    <t xml:space="preserve">"--zasazovat-003"</t>
  </si>
  <si>
    <t xml:space="preserve">"zasazovat-se-001"</t>
  </si>
  <si>
    <t xml:space="preserve">"zaschnout-001"</t>
  </si>
  <si>
    <t xml:space="preserve">"zasebevraždit-se-001"</t>
  </si>
  <si>
    <t xml:space="preserve">"zasedat-001"</t>
  </si>
  <si>
    <t xml:space="preserve">ACT-&gt;ARG0/52,ARG1/927,ARG2/2</t>
  </si>
  <si>
    <t xml:space="preserve">LOC-&gt;ARG0/6,ARG1/13,ARG2/430</t>
  </si>
  <si>
    <t xml:space="preserve">"zasedat-002"</t>
  </si>
  <si>
    <t xml:space="preserve">"zasednout-001"</t>
  </si>
  <si>
    <t xml:space="preserve">"zasednout-002"</t>
  </si>
  <si>
    <t xml:space="preserve">"zasednout-003"</t>
  </si>
  <si>
    <t xml:space="preserve">"zaseknout-001"</t>
  </si>
  <si>
    <t xml:space="preserve">"zaseknout-002"</t>
  </si>
  <si>
    <t xml:space="preserve">"zaseknout-003"</t>
  </si>
  <si>
    <t xml:space="preserve">"zaseknout-004"</t>
  </si>
  <si>
    <t xml:space="preserve">"zaseknout-se-001"</t>
  </si>
  <si>
    <t xml:space="preserve">"zaskakovat-001"</t>
  </si>
  <si>
    <t xml:space="preserve">"zaskotačit-si-001"</t>
  </si>
  <si>
    <t xml:space="preserve">"zaskočit-001"</t>
  </si>
  <si>
    <t xml:space="preserve">"zaskočit-002"</t>
  </si>
  <si>
    <t xml:space="preserve">"zaskočit-003"</t>
  </si>
  <si>
    <t xml:space="preserve">"zaskočit-004"</t>
  </si>
  <si>
    <t xml:space="preserve">"zaslat-001"</t>
  </si>
  <si>
    <t xml:space="preserve">PAT-&gt;ARG1/450</t>
  </si>
  <si>
    <t xml:space="preserve">ADDR-&gt;ARG0/193,ARG1/4,ARG2/82</t>
  </si>
  <si>
    <t xml:space="preserve">"zaslat-002"</t>
  </si>
  <si>
    <t xml:space="preserve">"zaslechnout-001"</t>
  </si>
  <si>
    <t xml:space="preserve">"zaslechnout-002"</t>
  </si>
  <si>
    <t xml:space="preserve">?EFF: .f; ↓jak-2; ↓že</t>
  </si>
  <si>
    <t xml:space="preserve">"zaslechnout-003"</t>
  </si>
  <si>
    <t xml:space="preserve">ACT: *</t>
  </si>
  <si>
    <t xml:space="preserve">"zaslepit-001"</t>
  </si>
  <si>
    <t xml:space="preserve">"zaslepit-002"</t>
  </si>
  <si>
    <t xml:space="preserve">"zaslepovat-001"</t>
  </si>
  <si>
    <t xml:space="preserve">"zasloužit-001"</t>
  </si>
  <si>
    <t xml:space="preserve">"zasloužit-se-001"</t>
  </si>
  <si>
    <t xml:space="preserve">"zasloužit-si-001"</t>
  </si>
  <si>
    <t xml:space="preserve">ACT-&gt;ARG0/309,ARG1/1</t>
  </si>
  <si>
    <t xml:space="preserve">PAT-&gt;ARG1/340</t>
  </si>
  <si>
    <t xml:space="preserve">"zasluhovat-001"</t>
  </si>
  <si>
    <t xml:space="preserve">"zasluhovat-se-001"</t>
  </si>
  <si>
    <t xml:space="preserve">"zasluhovat-si-001"</t>
  </si>
  <si>
    <t xml:space="preserve">"zasmečovat-si-001"</t>
  </si>
  <si>
    <t xml:space="preserve">"zasmrdět-001"</t>
  </si>
  <si>
    <t xml:space="preserve">"zasmát-se-001"</t>
  </si>
  <si>
    <t xml:space="preserve">"zasnoubit-se-001"</t>
  </si>
  <si>
    <t xml:space="preserve">"zaspat-001"</t>
  </si>
  <si>
    <t xml:space="preserve">"zaspat-002"</t>
  </si>
  <si>
    <t xml:space="preserve">"zaspat-003"</t>
  </si>
  <si>
    <t xml:space="preserve">"zasportovat-si-001"</t>
  </si>
  <si>
    <t xml:space="preserve">"zastarat-001"</t>
  </si>
  <si>
    <t xml:space="preserve">"zastarávat-001"</t>
  </si>
  <si>
    <t xml:space="preserve">"zastat-001"</t>
  </si>
  <si>
    <t xml:space="preserve">"zastat-se-001"</t>
  </si>
  <si>
    <t xml:space="preserve">"zastavit-001"</t>
  </si>
  <si>
    <t xml:space="preserve">ACT-&gt;ARG0/408,ARG1/11,ARG2/5,ARG3/3</t>
  </si>
  <si>
    <t xml:space="preserve">PAT-&gt;ARG0/1,ARG1/539,ARG2/9</t>
  </si>
  <si>
    <t xml:space="preserve">"zastavit-002"</t>
  </si>
  <si>
    <t xml:space="preserve">"zastavit-003"</t>
  </si>
  <si>
    <t xml:space="preserve">PAT-&gt;ARG1/201</t>
  </si>
  <si>
    <t xml:space="preserve">"zastavit-004"</t>
  </si>
  <si>
    <t xml:space="preserve">ACT-&gt;ARG0/3,ARG1/10</t>
  </si>
  <si>
    <t xml:space="preserve">"zastavit-005"</t>
  </si>
  <si>
    <t xml:space="preserve">"zastavit-006"</t>
  </si>
  <si>
    <t xml:space="preserve">"zastavit-se-001"</t>
  </si>
  <si>
    <t xml:space="preserve">ACT-&gt;ARG0/5,ARG1/19</t>
  </si>
  <si>
    <t xml:space="preserve">ACT-&gt;ARG0/80,ARG1/96</t>
  </si>
  <si>
    <t xml:space="preserve">LOC-&gt;ARG1/1,ARG2/4,ARG4/3</t>
  </si>
  <si>
    <t xml:space="preserve">LOC-&gt;ARG1/82,ARG4/6</t>
  </si>
  <si>
    <t xml:space="preserve">"zastavit-se-002"</t>
  </si>
  <si>
    <t xml:space="preserve">ACT-&gt;ARG0/11,ARG1/106</t>
  </si>
  <si>
    <t xml:space="preserve">ACT-&gt;ARG0/20,ARG1/185,ARG2/1</t>
  </si>
  <si>
    <t xml:space="preserve">"zastavit-se-003"</t>
  </si>
  <si>
    <t xml:space="preserve">ACT-&gt;ARG0/3,ARG1/14</t>
  </si>
  <si>
    <t xml:space="preserve">ACT-&gt;ARG0/39,ARG1/302,ARG2/1</t>
  </si>
  <si>
    <t xml:space="preserve">"zastavit-se-004"</t>
  </si>
  <si>
    <t xml:space="preserve">"zastavovat-001"</t>
  </si>
  <si>
    <t xml:space="preserve">"zastavovat-002"</t>
  </si>
  <si>
    <t xml:space="preserve">ACT-&gt;ARG0/32,ARG1/1</t>
  </si>
  <si>
    <t xml:space="preserve">"zastavovat-003"</t>
  </si>
  <si>
    <t xml:space="preserve">"zastavovat-004"</t>
  </si>
  <si>
    <t xml:space="preserve">"zastavovat-se-001"</t>
  </si>
  <si>
    <t xml:space="preserve">"zastavět-001"</t>
  </si>
  <si>
    <t xml:space="preserve">"zastihnout-001"</t>
  </si>
  <si>
    <t xml:space="preserve">"zastihnout-002"</t>
  </si>
  <si>
    <t xml:space="preserve">?EFF: .a4</t>
  </si>
  <si>
    <t xml:space="preserve">"zastiňovat-001"</t>
  </si>
  <si>
    <t xml:space="preserve">"zastiňovat-002"</t>
  </si>
  <si>
    <t xml:space="preserve">"zastiňovat-003"</t>
  </si>
  <si>
    <t xml:space="preserve">"zastoupit-001"</t>
  </si>
  <si>
    <t xml:space="preserve">ACT-&gt;ARG0/155,ARG1/3</t>
  </si>
  <si>
    <t xml:space="preserve">PAT-&gt;ARG1/220,ARG2/3</t>
  </si>
  <si>
    <t xml:space="preserve">"zastoupit-002"</t>
  </si>
  <si>
    <t xml:space="preserve">ACT-&gt;ARG0/13,ARG1/326,ARG2/10</t>
  </si>
  <si>
    <t xml:space="preserve">"zastrašit-001"</t>
  </si>
  <si>
    <t xml:space="preserve">"zastrašovat-001"</t>
  </si>
  <si>
    <t xml:space="preserve">"zastrkovat-001"</t>
  </si>
  <si>
    <t xml:space="preserve">DPHR: růžek.P4</t>
  </si>
  <si>
    <t xml:space="preserve">"zastrkávat-001"</t>
  </si>
  <si>
    <t xml:space="preserve">"zastrčit-001"</t>
  </si>
  <si>
    <t xml:space="preserve">"zastupovat-001"</t>
  </si>
  <si>
    <t xml:space="preserve">ACT-&gt;ARG0/155,ARG1/3102,ARG2/296</t>
  </si>
  <si>
    <t xml:space="preserve">"zastydět-se-001"</t>
  </si>
  <si>
    <t xml:space="preserve">?PAT: za+4; .f; ↓c</t>
  </si>
  <si>
    <t xml:space="preserve">"zastávat-001"</t>
  </si>
  <si>
    <t xml:space="preserve">ACT-&gt;ARG0/2853,ARG1/3155,ARG2/296,ARG3/1</t>
  </si>
  <si>
    <t xml:space="preserve">PAT-&gt;ARG0/1,ARG1/3234,ARG2/3483</t>
  </si>
  <si>
    <t xml:space="preserve">"zastávat-002"</t>
  </si>
  <si>
    <t xml:space="preserve">PAT-&gt;ARG1/3,ARG2/4</t>
  </si>
  <si>
    <t xml:space="preserve">"zastávat-003"</t>
  </si>
  <si>
    <t xml:space="preserve">ACT-&gt;ARG0/614,ARG1/52</t>
  </si>
  <si>
    <t xml:space="preserve">CPHR: {linie,myšlenka,názor,pohled,postoj,přístup,stanovisko,...}.4</t>
  </si>
  <si>
    <t xml:space="preserve">CPHR-&gt;ARG1/158,ARG2/4</t>
  </si>
  <si>
    <t xml:space="preserve">CPHR-&gt;ARG1/99,ARG2/4</t>
  </si>
  <si>
    <t xml:space="preserve">ACT-&gt;ARG0/412,ARG1/26</t>
  </si>
  <si>
    <t xml:space="preserve">CPHR-&gt;ARG1/430,ARG2/26</t>
  </si>
  <si>
    <t xml:space="preserve">ACT-&gt;ARG0/241,ARG1/25</t>
  </si>
  <si>
    <t xml:space="preserve">CPHR-&gt;ARG1/278,ARG2/26</t>
  </si>
  <si>
    <t xml:space="preserve">"zastávat-se-001"</t>
  </si>
  <si>
    <t xml:space="preserve">"zastínit-001"</t>
  </si>
  <si>
    <t xml:space="preserve">"zastírat-001"</t>
  </si>
  <si>
    <t xml:space="preserve">"zastírat-002"</t>
  </si>
  <si>
    <t xml:space="preserve">"zastřelit-001"</t>
  </si>
  <si>
    <t xml:space="preserve">"zastřešit-001"</t>
  </si>
  <si>
    <t xml:space="preserve">"zastřešit-002"</t>
  </si>
  <si>
    <t xml:space="preserve">"zastřešit-003"</t>
  </si>
  <si>
    <t xml:space="preserve">"zastřešovat-001"</t>
  </si>
  <si>
    <t xml:space="preserve">"zastřešovat-002"</t>
  </si>
  <si>
    <t xml:space="preserve">"zastřihávat-001"</t>
  </si>
  <si>
    <t xml:space="preserve">"zastříkat-001"</t>
  </si>
  <si>
    <t xml:space="preserve">"zastřít-001"</t>
  </si>
  <si>
    <t xml:space="preserve">"zastřít-002"</t>
  </si>
  <si>
    <t xml:space="preserve">"zastřít-003"</t>
  </si>
  <si>
    <t xml:space="preserve">"zasunout-001"</t>
  </si>
  <si>
    <t xml:space="preserve">"zasvítit-001"</t>
  </si>
  <si>
    <t xml:space="preserve">"zasvítit-002"</t>
  </si>
  <si>
    <t xml:space="preserve">"zasvěcovat-001"</t>
  </si>
  <si>
    <t xml:space="preserve">"zasvěcovat-002"</t>
  </si>
  <si>
    <t xml:space="preserve">"zasvětit-001"</t>
  </si>
  <si>
    <t xml:space="preserve">PAT-&gt;ARG2/14</t>
  </si>
  <si>
    <t xml:space="preserve">ADDR-&gt;ARG1/11</t>
  </si>
  <si>
    <t xml:space="preserve">"zasvětit-002"</t>
  </si>
  <si>
    <t xml:space="preserve">"zasvětit-003"</t>
  </si>
  <si>
    <t xml:space="preserve">"zasypat-001"</t>
  </si>
  <si>
    <t xml:space="preserve">"zasypat-002"</t>
  </si>
  <si>
    <t xml:space="preserve">"zasypat-003"</t>
  </si>
  <si>
    <t xml:space="preserve">"zasypávat-001"</t>
  </si>
  <si>
    <t xml:space="preserve">"zasyčet-001"</t>
  </si>
  <si>
    <t xml:space="preserve">"zasyčet-002"</t>
  </si>
  <si>
    <t xml:space="preserve">"zasáhnout-001"</t>
  </si>
  <si>
    <t xml:space="preserve">ACT-&gt;ARG0/265,ARG1/227,ARG2/131</t>
  </si>
  <si>
    <t xml:space="preserve">PAT-&gt;ARG0/197,ARG1/548,ARG2/1</t>
  </si>
  <si>
    <t xml:space="preserve">"zasáhnout-002"</t>
  </si>
  <si>
    <t xml:space="preserve">"zasáhnout-003"</t>
  </si>
  <si>
    <t xml:space="preserve">PAT-&gt;ARG1/8,ARG2/2</t>
  </si>
  <si>
    <t xml:space="preserve">"zasáhnout-004"</t>
  </si>
  <si>
    <t xml:space="preserve">ACT-&gt;ARG0/110,ARG1/3127,ARG2/296</t>
  </si>
  <si>
    <t xml:space="preserve">"zasáhnout-005"</t>
  </si>
  <si>
    <t xml:space="preserve">"zasílat-001"</t>
  </si>
  <si>
    <t xml:space="preserve">ADDR-&gt;ARG2/73</t>
  </si>
  <si>
    <t xml:space="preserve">"zasílat-002"</t>
  </si>
  <si>
    <t xml:space="preserve">"zasít-001"</t>
  </si>
  <si>
    <t xml:space="preserve">"zatahat-001"</t>
  </si>
  <si>
    <t xml:space="preserve">DPHR: kočka.S4,za-1[ocas.S1]</t>
  </si>
  <si>
    <t xml:space="preserve">"zatahovat-001"</t>
  </si>
  <si>
    <t xml:space="preserve">"zatahovat-002"</t>
  </si>
  <si>
    <t xml:space="preserve">"zatajit-001"</t>
  </si>
  <si>
    <t xml:space="preserve">"zatajit-002"</t>
  </si>
  <si>
    <t xml:space="preserve">"zatajit-003"</t>
  </si>
  <si>
    <t xml:space="preserve">"zatajit-se-001"</t>
  </si>
  <si>
    <t xml:space="preserve">DPHR: dech.S1</t>
  </si>
  <si>
    <t xml:space="preserve">"zatajovat-001"</t>
  </si>
  <si>
    <t xml:space="preserve">"zatajovat-002"</t>
  </si>
  <si>
    <t xml:space="preserve">"zatancovat-001"</t>
  </si>
  <si>
    <t xml:space="preserve">"zatancovat-si-001"</t>
  </si>
  <si>
    <t xml:space="preserve">"zatancovat-si-002"</t>
  </si>
  <si>
    <t xml:space="preserve">"zatančit-001"</t>
  </si>
  <si>
    <t xml:space="preserve">"zatančit-si-001"</t>
  </si>
  <si>
    <t xml:space="preserve">"zatarasit-001"</t>
  </si>
  <si>
    <t xml:space="preserve">ACT-&gt;ARG0/22,ARG3/3</t>
  </si>
  <si>
    <t xml:space="preserve">PAT-&gt;ARG0/1,ARG1/54</t>
  </si>
  <si>
    <t xml:space="preserve">"zatavit-001"</t>
  </si>
  <si>
    <t xml:space="preserve">"zatelefonovat-001"</t>
  </si>
  <si>
    <t xml:space="preserve">"zatelefonovat-002"</t>
  </si>
  <si>
    <t xml:space="preserve">ADDR-&gt;ARG1/173</t>
  </si>
  <si>
    <t xml:space="preserve">"zatelefonovat-003"</t>
  </si>
  <si>
    <t xml:space="preserve">"zatelefonovat-004"</t>
  </si>
  <si>
    <t xml:space="preserve">"zatelefonovat-si-001"</t>
  </si>
  <si>
    <t xml:space="preserve">"zatelefonovat-si-002"</t>
  </si>
  <si>
    <t xml:space="preserve">"--zatelefonovat-si-003"</t>
  </si>
  <si>
    <t xml:space="preserve">"zatemnit-001"</t>
  </si>
  <si>
    <t xml:space="preserve">"zatemnit-002"</t>
  </si>
  <si>
    <t xml:space="preserve">"zatemňovat-001"</t>
  </si>
  <si>
    <t xml:space="preserve">"zateplovat-001"</t>
  </si>
  <si>
    <t xml:space="preserve">"zatknout-001"</t>
  </si>
  <si>
    <t xml:space="preserve">"zatlačit-001"</t>
  </si>
  <si>
    <t xml:space="preserve">PAT-&gt;ARG1/51,ARG2/2</t>
  </si>
  <si>
    <t xml:space="preserve">DIR3-&gt;ARG1/1,ARG2/5</t>
  </si>
  <si>
    <t xml:space="preserve">"zatlačit-002"</t>
  </si>
  <si>
    <t xml:space="preserve">PAT-&gt;ARG1/13,ARG2/12</t>
  </si>
  <si>
    <t xml:space="preserve">"zatlačit-003"</t>
  </si>
  <si>
    <t xml:space="preserve">"--zatlačit-004"</t>
  </si>
  <si>
    <t xml:space="preserve">"zatlačovat-001"</t>
  </si>
  <si>
    <t xml:space="preserve">"zatleskat-001"</t>
  </si>
  <si>
    <t xml:space="preserve">"zatlouct-001"</t>
  </si>
  <si>
    <t xml:space="preserve">"zatloukat-001"</t>
  </si>
  <si>
    <t xml:space="preserve">"zatmelit-001"</t>
  </si>
  <si>
    <t xml:space="preserve">"zatnout-001"</t>
  </si>
  <si>
    <t xml:space="preserve">DPHR: tipec.S4</t>
  </si>
  <si>
    <t xml:space="preserve">"zatopit-001"</t>
  </si>
  <si>
    <t xml:space="preserve">"zatopit-002"</t>
  </si>
  <si>
    <t xml:space="preserve">"zatopit-003"</t>
  </si>
  <si>
    <t xml:space="preserve">"zatoulat-se-001"</t>
  </si>
  <si>
    <t xml:space="preserve">"zatoužit-001"</t>
  </si>
  <si>
    <t xml:space="preserve">"zatočit-001"</t>
  </si>
  <si>
    <t xml:space="preserve">"zatočit-002"</t>
  </si>
  <si>
    <t xml:space="preserve">"zatočit-se-001"</t>
  </si>
  <si>
    <t xml:space="preserve">"zatraktivnit-001"</t>
  </si>
  <si>
    <t xml:space="preserve">"zatratit-001"</t>
  </si>
  <si>
    <t xml:space="preserve">"zatrhnout-001"</t>
  </si>
  <si>
    <t xml:space="preserve">PAT: 4; .f; ↓že; ↓aby; ↓c</t>
  </si>
  <si>
    <t xml:space="preserve">"zatrnout-001"</t>
  </si>
  <si>
    <t xml:space="preserve">"zatrpknout-001"</t>
  </si>
  <si>
    <t xml:space="preserve">"zatrénovat-si-001"</t>
  </si>
  <si>
    <t xml:space="preserve">"zatvářit-se-001"</t>
  </si>
  <si>
    <t xml:space="preserve">"zatáhnout-001"</t>
  </si>
  <si>
    <t xml:space="preserve">"zatáhnout-002"</t>
  </si>
  <si>
    <t xml:space="preserve">"zatáhnout-003"</t>
  </si>
  <si>
    <t xml:space="preserve">DPHR: za-1[nit.S4]</t>
  </si>
  <si>
    <t xml:space="preserve">"zatáhnout-004"</t>
  </si>
  <si>
    <t xml:space="preserve">"zatáhnout-005"</t>
  </si>
  <si>
    <t xml:space="preserve">"zatáhnout-006"</t>
  </si>
  <si>
    <t xml:space="preserve">"zatáhnout-se-001"</t>
  </si>
  <si>
    <t xml:space="preserve">"zatáhnout-se-002"</t>
  </si>
  <si>
    <t xml:space="preserve">"zatápět-001"</t>
  </si>
  <si>
    <t xml:space="preserve">"zatáčet-001"</t>
  </si>
  <si>
    <t xml:space="preserve">"zatáčet-002"</t>
  </si>
  <si>
    <t xml:space="preserve">"zatáčet-003"</t>
  </si>
  <si>
    <t xml:space="preserve">"zatékat-001"</t>
  </si>
  <si>
    <t xml:space="preserve">"zatékat-002"</t>
  </si>
  <si>
    <t xml:space="preserve">"zatékat-003"</t>
  </si>
  <si>
    <t xml:space="preserve">"zatížit-001"</t>
  </si>
  <si>
    <t xml:space="preserve">ACT-&gt;ARG0/135,ARG1/2,ARG2/88</t>
  </si>
  <si>
    <t xml:space="preserve">PAT-&gt;ARG1/146,ARG2/35</t>
  </si>
  <si>
    <t xml:space="preserve">"zatýkat-001"</t>
  </si>
  <si>
    <t xml:space="preserve">"zatěsnit-001"</t>
  </si>
  <si>
    <t xml:space="preserve">"zatěžovat-001"</t>
  </si>
  <si>
    <t xml:space="preserve">PAT-&gt;ARG1/7,ARG2/35</t>
  </si>
  <si>
    <t xml:space="preserve">"zatěžovat-002"</t>
  </si>
  <si>
    <t xml:space="preserve">"zatřepat-001"</t>
  </si>
  <si>
    <t xml:space="preserve">"zatřepat-002"</t>
  </si>
  <si>
    <t xml:space="preserve">"--zatřepat-003"</t>
  </si>
  <si>
    <t xml:space="preserve">"zatřepat-se-001"</t>
  </si>
  <si>
    <t xml:space="preserve">"zatřepat-se-002"</t>
  </si>
  <si>
    <t xml:space="preserve">"zatřást-001"</t>
  </si>
  <si>
    <t xml:space="preserve">"zatřást-002"</t>
  </si>
  <si>
    <t xml:space="preserve">"zatřást-se-001"</t>
  </si>
  <si>
    <t xml:space="preserve">"zatřást-se-002"</t>
  </si>
  <si>
    <t xml:space="preserve">"zaujmout-001"</t>
  </si>
  <si>
    <t xml:space="preserve">ACT: 1; ↓že; ↓c; ↓jak-2</t>
  </si>
  <si>
    <t xml:space="preserve">ACT-&gt;ARG0/12,ARG3/2</t>
  </si>
  <si>
    <t xml:space="preserve">PAT-&gt;ARG1/108</t>
  </si>
  <si>
    <t xml:space="preserve">"zaujmout-002"</t>
  </si>
  <si>
    <t xml:space="preserve">"zaujmout-003"</t>
  </si>
  <si>
    <t xml:space="preserve">"zaujmout-004"</t>
  </si>
  <si>
    <t xml:space="preserve">ACT-&gt;ARG0/139,ARG1/4</t>
  </si>
  <si>
    <t xml:space="preserve">CPHR: {postoj,pozice,role,stanovisko,strategie,vztah,...}.4</t>
  </si>
  <si>
    <t xml:space="preserve">CPHR-&gt;ARG1/170,ARG2/3</t>
  </si>
  <si>
    <t xml:space="preserve">ACT-&gt;ARG0/253,ARG1/27</t>
  </si>
  <si>
    <t xml:space="preserve">CPHR-&gt;ARG1/304,ARG2/28</t>
  </si>
  <si>
    <t xml:space="preserve">"zaujímat-001"</t>
  </si>
  <si>
    <t xml:space="preserve">"zaujímat-002"</t>
  </si>
  <si>
    <t xml:space="preserve">"zaujímat-003"</t>
  </si>
  <si>
    <t xml:space="preserve">ACT-&gt;ARG0/197,ARG1/318,ARG2/3</t>
  </si>
  <si>
    <t xml:space="preserve">PAT-&gt;ARG1/226,ARG2/320</t>
  </si>
  <si>
    <t xml:space="preserve">"zaujímat-004"</t>
  </si>
  <si>
    <t xml:space="preserve">ACT-&gt;ARG0/2408,ARG1/3146,ARG2/296</t>
  </si>
  <si>
    <t xml:space="preserve">CPHR: {postoj,stanovisko,vztah,...}.4</t>
  </si>
  <si>
    <t xml:space="preserve">CPHR-&gt;ARG0/1,ARG1/2670,ARG2/3477</t>
  </si>
  <si>
    <t xml:space="preserve">"zauzlovat-001"</t>
  </si>
  <si>
    <t xml:space="preserve">"zauzlovat-002"</t>
  </si>
  <si>
    <t xml:space="preserve">"zaučit-001"</t>
  </si>
  <si>
    <t xml:space="preserve">"zaučit-se-001"</t>
  </si>
  <si>
    <t xml:space="preserve">PAT: 7; v+6; na+4</t>
  </si>
  <si>
    <t xml:space="preserve">"zaučovat-001"</t>
  </si>
  <si>
    <t xml:space="preserve">?PAT: v+6; 4; .f</t>
  </si>
  <si>
    <t xml:space="preserve">"zaučovat-se-001"</t>
  </si>
  <si>
    <t xml:space="preserve">"zavadit-001"</t>
  </si>
  <si>
    <t xml:space="preserve">ACT-&gt;ARG0/28,ARG1/28,ARG2/24</t>
  </si>
  <si>
    <t xml:space="preserve">PAT-&gt;ARG0/2,ARG1/65</t>
  </si>
  <si>
    <t xml:space="preserve">"zavalit-001"</t>
  </si>
  <si>
    <t xml:space="preserve">ACT-&gt;ARG0/9,ARG1/8,ARG2/4</t>
  </si>
  <si>
    <t xml:space="preserve">"zavalit-002"</t>
  </si>
  <si>
    <t xml:space="preserve">"zavalit-003"</t>
  </si>
  <si>
    <t xml:space="preserve">"zavazovat-001"</t>
  </si>
  <si>
    <t xml:space="preserve">ACT-&gt;ARG0/175,ARG1/3,ARG2/4</t>
  </si>
  <si>
    <t xml:space="preserve">ADDR-&gt;ARG0/2,ARG1/17,ARG2/43</t>
  </si>
  <si>
    <t xml:space="preserve">PAT-&gt;ARG1/286,ARG2/2</t>
  </si>
  <si>
    <t xml:space="preserve">"zavazovat-002"</t>
  </si>
  <si>
    <t xml:space="preserve">"zavazovat-se-001"</t>
  </si>
  <si>
    <t xml:space="preserve">ACT-&gt;ARG0/12122,ARG1/36</t>
  </si>
  <si>
    <t xml:space="preserve">PAT-&gt;ARG0/2,ARG1/10493,ARG2/2</t>
  </si>
  <si>
    <t xml:space="preserve">ADDR-&gt;ARG0/2,ARG1/14,ARG2/9</t>
  </si>
  <si>
    <t xml:space="preserve">"zavařit-001"</t>
  </si>
  <si>
    <t xml:space="preserve">"zavařovat-001"</t>
  </si>
  <si>
    <t xml:space="preserve">"zavdat-001"</t>
  </si>
  <si>
    <t xml:space="preserve">CPHR: {podnět,příčina,...}.4</t>
  </si>
  <si>
    <t xml:space="preserve">"zavdávat-001"</t>
  </si>
  <si>
    <t xml:space="preserve">"zavděčit-se-001"</t>
  </si>
  <si>
    <t xml:space="preserve">"zavelet-001"</t>
  </si>
  <si>
    <t xml:space="preserve">PAT: k+3; 4; .f; ↓že; ↓aby; ↓ať; ↓c</t>
  </si>
  <si>
    <t xml:space="preserve">"zavinit-001"</t>
  </si>
  <si>
    <t xml:space="preserve">ACT-&gt;ARG0/72,ARG1/43,ARG2/1</t>
  </si>
  <si>
    <t xml:space="preserve">PAT-&gt;ARG1/84,ARG2/33</t>
  </si>
  <si>
    <t xml:space="preserve">"zavinout-001"</t>
  </si>
  <si>
    <t xml:space="preserve">"zavládnout-001"</t>
  </si>
  <si>
    <t xml:space="preserve">"zavlát-001"</t>
  </si>
  <si>
    <t xml:space="preserve">"zavléci-001"</t>
  </si>
  <si>
    <t xml:space="preserve">"zavolat-001"</t>
  </si>
  <si>
    <t xml:space="preserve">PAT: 4; ↓že; ↓c; .s; ↓jestli</t>
  </si>
  <si>
    <t xml:space="preserve">"zavolat-002"</t>
  </si>
  <si>
    <t xml:space="preserve">"zavolat-003"</t>
  </si>
  <si>
    <t xml:space="preserve">"zavolat-004"</t>
  </si>
  <si>
    <t xml:space="preserve">"zavolat-005"</t>
  </si>
  <si>
    <t xml:space="preserve">ADDR-&gt;ARG1/41</t>
  </si>
  <si>
    <t xml:space="preserve">"zavolat-006"</t>
  </si>
  <si>
    <t xml:space="preserve">"zavolat-007"</t>
  </si>
  <si>
    <t xml:space="preserve">DIR3-&gt;ARG1/33</t>
  </si>
  <si>
    <t xml:space="preserve">"--zavolat-si-001"</t>
  </si>
  <si>
    <t xml:space="preserve">"zavonět-001"</t>
  </si>
  <si>
    <t xml:space="preserve">"zavraždit-001"</t>
  </si>
  <si>
    <t xml:space="preserve">PAT-&gt;ARG1/87</t>
  </si>
  <si>
    <t xml:space="preserve">"zavrhnout-001"</t>
  </si>
  <si>
    <t xml:space="preserve">"zavrhovat-001"</t>
  </si>
  <si>
    <t xml:space="preserve">"zavrtávat-se-001"</t>
  </si>
  <si>
    <t xml:space="preserve">"--zavrtávat-se-002"</t>
  </si>
  <si>
    <t xml:space="preserve">"zavrtět-001"</t>
  </si>
  <si>
    <t xml:space="preserve">"zavrtět-se-001"</t>
  </si>
  <si>
    <t xml:space="preserve">"zavrávorat-001"</t>
  </si>
  <si>
    <t xml:space="preserve">"završit-001"</t>
  </si>
  <si>
    <t xml:space="preserve">ACT-&gt;ARG0/86,ARG1/5,ARG2/5</t>
  </si>
  <si>
    <t xml:space="preserve">"završit-se-001"</t>
  </si>
  <si>
    <t xml:space="preserve">"završovat-001"</t>
  </si>
  <si>
    <t xml:space="preserve">"zavtipkovat-001"</t>
  </si>
  <si>
    <t xml:space="preserve">"zavzpomínat-001"</t>
  </si>
  <si>
    <t xml:space="preserve">"zavzpomínat-si-001"</t>
  </si>
  <si>
    <t xml:space="preserve">PAT: na+4; ↓že; ↓jestli; ↓zda; .s; ↓c</t>
  </si>
  <si>
    <t xml:space="preserve">"zavádět-001"</t>
  </si>
  <si>
    <t xml:space="preserve">"zavádět-002"</t>
  </si>
  <si>
    <t xml:space="preserve">"zavádět-003"</t>
  </si>
  <si>
    <t xml:space="preserve">ACT-&gt;ARG0/247</t>
  </si>
  <si>
    <t xml:space="preserve">"zavádět-004"</t>
  </si>
  <si>
    <t xml:space="preserve">ACT-&gt;ARG0/156</t>
  </si>
  <si>
    <t xml:space="preserve">"zavádět-005"</t>
  </si>
  <si>
    <t xml:space="preserve">DPHR: řeč.S4</t>
  </si>
  <si>
    <t xml:space="preserve">"zaváhat-001"</t>
  </si>
  <si>
    <t xml:space="preserve">"zavánět-001"</t>
  </si>
  <si>
    <t xml:space="preserve">"zavánět-002"</t>
  </si>
  <si>
    <t xml:space="preserve">"zavát-001"</t>
  </si>
  <si>
    <t xml:space="preserve">"zavávat-001"</t>
  </si>
  <si>
    <t xml:space="preserve">"zavázat-001"</t>
  </si>
  <si>
    <t xml:space="preserve">ADDR-&gt;ARG0/2,ARG1/19</t>
  </si>
  <si>
    <t xml:space="preserve">PAT-&gt;ARG1/1,ARG2/7</t>
  </si>
  <si>
    <t xml:space="preserve">"zavázat-se-001"</t>
  </si>
  <si>
    <t xml:space="preserve">ACT-&gt;ARG0/785,ARG1/15,ARG2/1</t>
  </si>
  <si>
    <t xml:space="preserve">PAT-&gt;ARG1/712,ARG2/30,ARG3/9</t>
  </si>
  <si>
    <t xml:space="preserve">ADDR-&gt;ARG0/4,ARG1/6,ARG2/128,ARG3/4</t>
  </si>
  <si>
    <t xml:space="preserve">"zavářet-001"</t>
  </si>
  <si>
    <t xml:space="preserve">"zavážet-001"</t>
  </si>
  <si>
    <t xml:space="preserve">"zavážet-002"</t>
  </si>
  <si>
    <t xml:space="preserve">"zavést-001"</t>
  </si>
  <si>
    <t xml:space="preserve">ACT-&gt;ARG0/106</t>
  </si>
  <si>
    <t xml:space="preserve">"zavést-002"</t>
  </si>
  <si>
    <t xml:space="preserve">"zavést-003"</t>
  </si>
  <si>
    <t xml:space="preserve">ACT-&gt;ARG0/953,ARG1/149,ARG2/6</t>
  </si>
  <si>
    <t xml:space="preserve">PAT-&gt;ARG1/1411</t>
  </si>
  <si>
    <t xml:space="preserve">"zavést-004"</t>
  </si>
  <si>
    <t xml:space="preserve">ACT-&gt;ARG0/614,ARG1/26</t>
  </si>
  <si>
    <t xml:space="preserve">PAT-&gt;ARG0/2,ARG1/1105,ARG2/26</t>
  </si>
  <si>
    <t xml:space="preserve">"zavést-005"</t>
  </si>
  <si>
    <t xml:space="preserve">"zavést-006"</t>
  </si>
  <si>
    <t xml:space="preserve">"zavést-007"</t>
  </si>
  <si>
    <t xml:space="preserve">"zavést-se-001"</t>
  </si>
  <si>
    <t xml:space="preserve">"zavézt-001"</t>
  </si>
  <si>
    <t xml:space="preserve">"zavézt-002"</t>
  </si>
  <si>
    <t xml:space="preserve">"zavírat-001"</t>
  </si>
  <si>
    <t xml:space="preserve">"zavírat-002"</t>
  </si>
  <si>
    <t xml:space="preserve">PAT-&gt;ARG0/30,ARG1/38</t>
  </si>
  <si>
    <t xml:space="preserve">"zavírat-003"</t>
  </si>
  <si>
    <t xml:space="preserve">"zavírat-004"</t>
  </si>
  <si>
    <t xml:space="preserve">"zavírat-005"</t>
  </si>
  <si>
    <t xml:space="preserve">"zavírat-006"</t>
  </si>
  <si>
    <t xml:space="preserve">"zavírat-007"</t>
  </si>
  <si>
    <t xml:space="preserve">"zavítat-001"</t>
  </si>
  <si>
    <t xml:space="preserve">"zavěsit-001"</t>
  </si>
  <si>
    <t xml:space="preserve">PAT-&gt;ARG3/32</t>
  </si>
  <si>
    <t xml:space="preserve">"zavětřit-001"</t>
  </si>
  <si>
    <t xml:space="preserve">"zavěšovat-001"</t>
  </si>
  <si>
    <t xml:space="preserve">"zavřít-001"</t>
  </si>
  <si>
    <t xml:space="preserve">ACT-&gt;ARG0/79,ARG1/23</t>
  </si>
  <si>
    <t xml:space="preserve">"zavřít-002"</t>
  </si>
  <si>
    <t xml:space="preserve">ACT-&gt;ARG0/34,ARG1/18</t>
  </si>
  <si>
    <t xml:space="preserve">"zavřít-003"</t>
  </si>
  <si>
    <t xml:space="preserve">"zavřít-004"</t>
  </si>
  <si>
    <t xml:space="preserve">"zavřít-005"</t>
  </si>
  <si>
    <t xml:space="preserve">"zavřít-006"</t>
  </si>
  <si>
    <t xml:space="preserve">DPHR: ústa.4</t>
  </si>
  <si>
    <t xml:space="preserve">"zavřít-007"</t>
  </si>
  <si>
    <t xml:space="preserve">"zavřít-008"</t>
  </si>
  <si>
    <t xml:space="preserve">"zavřít-se-001"</t>
  </si>
  <si>
    <t xml:space="preserve">ACT-&gt;ARG0/30,ARG1/102</t>
  </si>
  <si>
    <t xml:space="preserve">ACT-&gt;ARG0/30,ARG1/105</t>
  </si>
  <si>
    <t xml:space="preserve">"zazelenit-se-001"</t>
  </si>
  <si>
    <t xml:space="preserve">"zazimovat-001"</t>
  </si>
  <si>
    <t xml:space="preserve">"zazimovávat-001"</t>
  </si>
  <si>
    <t xml:space="preserve">"zazlívat-001"</t>
  </si>
  <si>
    <t xml:space="preserve">PAT-&gt;ARG1/3,ARG2/33</t>
  </si>
  <si>
    <t xml:space="preserve">ADDR-&gt;ARG1/43,ARG2/1</t>
  </si>
  <si>
    <t xml:space="preserve">"zazmatkovat-001"</t>
  </si>
  <si>
    <t xml:space="preserve">"zaznamenat-001"</t>
  </si>
  <si>
    <t xml:space="preserve">ACT-&gt;ARG0/2951,ARG1/27</t>
  </si>
  <si>
    <t xml:space="preserve">PAT-&gt;ARG0/2,ARG1/3682,ARG2/1,ARG3/4</t>
  </si>
  <si>
    <t xml:space="preserve">"zaznamenat-002"</t>
  </si>
  <si>
    <t xml:space="preserve">ACT-&gt;ARG0/2185,ARG1/87</t>
  </si>
  <si>
    <t xml:space="preserve">PAT-&gt;ARG0/55,ARG1/2302</t>
  </si>
  <si>
    <t xml:space="preserve">"zaznamenat-003"</t>
  </si>
  <si>
    <t xml:space="preserve">ACT-&gt;ARG0/2528,ARG1/25</t>
  </si>
  <si>
    <t xml:space="preserve">PAT-&gt;ARG0/2,ARG1/2762,ARG2/1,ARG3/4</t>
  </si>
  <si>
    <t xml:space="preserve">"zaznamenat-004"</t>
  </si>
  <si>
    <t xml:space="preserve">"zaznamenat-005"</t>
  </si>
  <si>
    <t xml:space="preserve">ACT-&gt;ARG0/3534,ARG1/395,ARG2/3455</t>
  </si>
  <si>
    <t xml:space="preserve">ACT-&gt;ARG0/240,ARG1/3500,ARG2/13</t>
  </si>
  <si>
    <t xml:space="preserve">CPHR: {dluh,kurz,minimum,nárůst,návrat,navýšení,nezdar,obrat,ohodnocení,podpora,pokles,poptávka,posun,problém,prodej,propad,příjem,rozkvět,růst,snížení,stagnace,tržba,úspěch,výdaj,výdělek,výhra,výkon,výkyv,výnos,vzestup,vzrůst,zisk,změna,zmírnění,zotavení,ztráta,zvrat,zvýšení,...}.4</t>
  </si>
  <si>
    <t xml:space="preserve">CPHR-&gt;ARG0/1,ARG1/7009,ARG2/360,ARG3/2,ARG4/45</t>
  </si>
  <si>
    <t xml:space="preserve">CPHR-&gt;ARG0/1,ARG1/257,ARG2/64,ARG4/2270,ARGM-LOC/2</t>
  </si>
  <si>
    <t xml:space="preserve">ACT-&gt;ARG0/2817,ARG1/3192,ARG2/296</t>
  </si>
  <si>
    <t xml:space="preserve">CPHR-&gt;ARG0/1,ARG1/3115,ARG2/3513,ARG3/4</t>
  </si>
  <si>
    <t xml:space="preserve">ACT-&gt;ARG0/392,ARG1/1</t>
  </si>
  <si>
    <t xml:space="preserve">CPHR-&gt;ARG1/524,ARG2/1</t>
  </si>
  <si>
    <t xml:space="preserve">ACT-&gt;ARG0/615,ARG1/4</t>
  </si>
  <si>
    <t xml:space="preserve">CPHR-&gt;ARG1/756,ARG2/1</t>
  </si>
  <si>
    <t xml:space="preserve">ACT-&gt;ARG0/740,ARG1/4</t>
  </si>
  <si>
    <t xml:space="preserve">CPHR-&gt;ARG1/835</t>
  </si>
  <si>
    <t xml:space="preserve">CPHR-&gt;ARG1/21</t>
  </si>
  <si>
    <t xml:space="preserve">CPHR-&gt;ARG1/41</t>
  </si>
  <si>
    <t xml:space="preserve">CPHR-&gt;ARG1/575</t>
  </si>
  <si>
    <t xml:space="preserve">"--zaznamenat-006"</t>
  </si>
  <si>
    <t xml:space="preserve">CPHR: {kurz,nárůst,návrat,navýšení,nezdar,obrat,ohodnocení,pokles,posun,propad,rozkvět,růst,stagnace,úspěch,výhra,výkon,výkyv,vzestup,vzrůst,zisk,ztráta,zvrat,zvýšení,...}.4</t>
  </si>
  <si>
    <t xml:space="preserve">"zaznamenávat-001"</t>
  </si>
  <si>
    <t xml:space="preserve">"zaznamenávat-002"</t>
  </si>
  <si>
    <t xml:space="preserve">PAT: 4; ↓že; ↓jak-2; ↓zda; ↓jestli; ↓zda</t>
  </si>
  <si>
    <t xml:space="preserve">"zaznamenávat-003"</t>
  </si>
  <si>
    <t xml:space="preserve">"zaznamenávat-004"</t>
  </si>
  <si>
    <t xml:space="preserve">CPHR: {dluh,marže,nárůst,navýšení,obrat,pokles,poptávka,posun,propad,příjem,růst,snížení,tržba,úspěch,výdaj,výdělek,výnos,vzestup,vzrůst,zisk,ztráta,zvýšení,...}.4</t>
  </si>
  <si>
    <t xml:space="preserve">CPHR-&gt;ARG1/62</t>
  </si>
  <si>
    <t xml:space="preserve">"--zaznamenávat-005"</t>
  </si>
  <si>
    <t xml:space="preserve">CPHR: {dluh,marže,nárůst,navýšení,obrat,pokles,poptávka,propad,příjem,růst,snížení,tržba,výdaj,výdělek,výnos,vzestup,vzrůst,zisk,ztráta,zvýšení,...}.4</t>
  </si>
  <si>
    <t xml:space="preserve">"zaznít-001"</t>
  </si>
  <si>
    <t xml:space="preserve">"zaznít-002"</t>
  </si>
  <si>
    <t xml:space="preserve">"--zaznít-003"</t>
  </si>
  <si>
    <t xml:space="preserve">"zaznívat-001"</t>
  </si>
  <si>
    <t xml:space="preserve">?PAT: z+2; od+2</t>
  </si>
  <si>
    <t xml:space="preserve">"zazpívat-001"</t>
  </si>
  <si>
    <t xml:space="preserve">"zazpívat-002"</t>
  </si>
  <si>
    <t xml:space="preserve">"zazpívat-003"</t>
  </si>
  <si>
    <t xml:space="preserve">"--zazpívat-si-001"</t>
  </si>
  <si>
    <t xml:space="preserve">"zazvonit-001"</t>
  </si>
  <si>
    <t xml:space="preserve">"zazářit-001"</t>
  </si>
  <si>
    <t xml:space="preserve">"zazářit-002"</t>
  </si>
  <si>
    <t xml:space="preserve">"zaúpět-001"</t>
  </si>
  <si>
    <t xml:space="preserve">PAT: 4; ↓že; ↓zda; ↓jestli; ↓aby; ↓ať; .s; ↓c</t>
  </si>
  <si>
    <t xml:space="preserve">"zaútočit-001"</t>
  </si>
  <si>
    <t xml:space="preserve">"zaúčtovat-001"</t>
  </si>
  <si>
    <t xml:space="preserve">"začlenit-001"</t>
  </si>
  <si>
    <t xml:space="preserve">"začlenit-se-001"</t>
  </si>
  <si>
    <t xml:space="preserve">"začleňovat-001"</t>
  </si>
  <si>
    <t xml:space="preserve">"začmuchat-001"</t>
  </si>
  <si>
    <t xml:space="preserve">"začoudit-se-001"</t>
  </si>
  <si>
    <t xml:space="preserve">"začínat-001"</t>
  </si>
  <si>
    <t xml:space="preserve">ACT-&gt;ARG0/597,ARG1/488,ARG2/5</t>
  </si>
  <si>
    <t xml:space="preserve">PAT-&gt;ARG1/752,ARG2/143,ARG4/1</t>
  </si>
  <si>
    <t xml:space="preserve">"začínat-002"</t>
  </si>
  <si>
    <t xml:space="preserve">ACT-&gt;ARG0/1,ARG1/27</t>
  </si>
  <si>
    <t xml:space="preserve">"začínat-003"</t>
  </si>
  <si>
    <t xml:space="preserve">ACT-&gt;ARG0/111,ARG1/258,ARG2/5</t>
  </si>
  <si>
    <t xml:space="preserve">"začínat-004"</t>
  </si>
  <si>
    <t xml:space="preserve">ACT-&gt;ARG0/112,ARG1/269,ARG2/3</t>
  </si>
  <si>
    <t xml:space="preserve">MEANS-&gt;ARG2/14</t>
  </si>
  <si>
    <t xml:space="preserve">"začínat-005"</t>
  </si>
  <si>
    <t xml:space="preserve">?PAT: 4; s+7; .f</t>
  </si>
  <si>
    <t xml:space="preserve">DPHR: od-1[píka.S2]</t>
  </si>
  <si>
    <t xml:space="preserve">"začínat-si-001"</t>
  </si>
  <si>
    <t xml:space="preserve">"začíst-se-001"</t>
  </si>
  <si>
    <t xml:space="preserve">"začít-001"</t>
  </si>
  <si>
    <t xml:space="preserve">ACT-&gt;ARG0/654,ARG1/992,ARG2/12</t>
  </si>
  <si>
    <t xml:space="preserve">PAT-&gt;ARG0/2,ARG1/1028,ARG2/4188</t>
  </si>
  <si>
    <t xml:space="preserve">"začít-002"</t>
  </si>
  <si>
    <t xml:space="preserve">ACT-&gt;ARG0/229,ARG1/637,ARG2/4</t>
  </si>
  <si>
    <t xml:space="preserve">"začít-003"</t>
  </si>
  <si>
    <t xml:space="preserve">ACT-&gt;ARG0/109,ARG1/94,ARG2/3</t>
  </si>
  <si>
    <t xml:space="preserve">DPHR: od-1[nula.S2]</t>
  </si>
  <si>
    <t xml:space="preserve">"začít-004"</t>
  </si>
  <si>
    <t xml:space="preserve">"začít-si-001"</t>
  </si>
  <si>
    <t xml:space="preserve">"zařadit-001"</t>
  </si>
  <si>
    <t xml:space="preserve">PAT-&gt;ARG0/155,ARG1/2,ARG2/3</t>
  </si>
  <si>
    <t xml:space="preserve">DIR3-&gt;ARG1/245</t>
  </si>
  <si>
    <t xml:space="preserve">"zařadit-002"</t>
  </si>
  <si>
    <t xml:space="preserve">"zařadit-003"</t>
  </si>
  <si>
    <t xml:space="preserve">"--zařadit-004"</t>
  </si>
  <si>
    <t xml:space="preserve">"zařadit-se-001"</t>
  </si>
  <si>
    <t xml:space="preserve">ACT-&gt;ARG1/1212,ARG2/5</t>
  </si>
  <si>
    <t xml:space="preserve">DIR3-&gt;ARG0/6,ARG1/5,ARG2/721</t>
  </si>
  <si>
    <t xml:space="preserve">"zařadit-se-002"</t>
  </si>
  <si>
    <t xml:space="preserve">"zařazovat-001"</t>
  </si>
  <si>
    <t xml:space="preserve">"zařazovat-002"</t>
  </si>
  <si>
    <t xml:space="preserve">ACT-&gt;ARG0/31,ARG1/1,ARG2/27</t>
  </si>
  <si>
    <t xml:space="preserve">PAT-&gt;ARG1/1123,ARG2/2</t>
  </si>
  <si>
    <t xml:space="preserve">DIR3-&gt;ARG1/377</t>
  </si>
  <si>
    <t xml:space="preserve">DIR3-&gt;ARG0/6,ARG1/6,ARG2/514</t>
  </si>
  <si>
    <t xml:space="preserve">"zařazovat-se-001"</t>
  </si>
  <si>
    <t xml:space="preserve">PAT: mezi+4; k+3</t>
  </si>
  <si>
    <t xml:space="preserve">"zařeknout-se-001"</t>
  </si>
  <si>
    <t xml:space="preserve">"zařezávat-se-001"</t>
  </si>
  <si>
    <t xml:space="preserve">"zařizovat-001"</t>
  </si>
  <si>
    <t xml:space="preserve">"zařizovat-002"</t>
  </si>
  <si>
    <t xml:space="preserve">"zařvat-001"</t>
  </si>
  <si>
    <t xml:space="preserve">"zařídit-001"</t>
  </si>
  <si>
    <t xml:space="preserve">PAT: 4; ↓aby; ↓c; ↓že</t>
  </si>
  <si>
    <t xml:space="preserve">"zařídit-002"</t>
  </si>
  <si>
    <t xml:space="preserve">"zařídit-003"</t>
  </si>
  <si>
    <t xml:space="preserve">"zařídit-004"</t>
  </si>
  <si>
    <t xml:space="preserve">"zařídit-se-001"</t>
  </si>
  <si>
    <t xml:space="preserve">ACT-&gt;ARG0/72,ARG1/5</t>
  </si>
  <si>
    <t xml:space="preserve">PAT: podle+2</t>
  </si>
  <si>
    <t xml:space="preserve">"zařídit-se-002"</t>
  </si>
  <si>
    <t xml:space="preserve">"zařídit-se-003"</t>
  </si>
  <si>
    <t xml:space="preserve">"zařídit-se-004"</t>
  </si>
  <si>
    <t xml:space="preserve">"zaříkávat-001"</t>
  </si>
  <si>
    <t xml:space="preserve">"zaříznout-001"</t>
  </si>
  <si>
    <t xml:space="preserve">"zaříznout-002"</t>
  </si>
  <si>
    <t xml:space="preserve">"zaříznout-003"</t>
  </si>
  <si>
    <t xml:space="preserve">"zaříznout-se-001"</t>
  </si>
  <si>
    <t xml:space="preserve">"zašeptat-001"</t>
  </si>
  <si>
    <t xml:space="preserve">"zašeptat-002"</t>
  </si>
  <si>
    <t xml:space="preserve">"zašeptat-003"</t>
  </si>
  <si>
    <t xml:space="preserve">ACT-&gt;ARG0/13220,ARG1/39</t>
  </si>
  <si>
    <t xml:space="preserve">EFF-&gt;ARG0/4,ARG1/11732,ARG2/3,ARG3/30</t>
  </si>
  <si>
    <t xml:space="preserve">EFF-&gt;ARG0/4,ARG1/11735,ARG2/3,ARG3/30</t>
  </si>
  <si>
    <t xml:space="preserve">ADDR-&gt;ARG1/3,ARG2/352</t>
  </si>
  <si>
    <t xml:space="preserve">ADDR-&gt;ARG1/3,ARG2/355</t>
  </si>
  <si>
    <t xml:space="preserve">"zašermovat-001"</t>
  </si>
  <si>
    <t xml:space="preserve">"zašklebit-se-001"</t>
  </si>
  <si>
    <t xml:space="preserve">"zaškrtnout-001"</t>
  </si>
  <si>
    <t xml:space="preserve">"zašmodrchat-001"</t>
  </si>
  <si>
    <t xml:space="preserve">"zašněrovat-001"</t>
  </si>
  <si>
    <t xml:space="preserve">"zašoupnout-001"</t>
  </si>
  <si>
    <t xml:space="preserve">"zaštiťovat-001"</t>
  </si>
  <si>
    <t xml:space="preserve">"zaštukovat-001"</t>
  </si>
  <si>
    <t xml:space="preserve">"zaštípnout-se-001"</t>
  </si>
  <si>
    <t xml:space="preserve">"zaštítit-001"</t>
  </si>
  <si>
    <t xml:space="preserve">"zašátrat-001"</t>
  </si>
  <si>
    <t xml:space="preserve">"zašátrat-002"</t>
  </si>
  <si>
    <t xml:space="preserve">"zašít-001"</t>
  </si>
  <si>
    <t xml:space="preserve">"zašívat-001"</t>
  </si>
  <si>
    <t xml:space="preserve">"zaťukat-001"</t>
  </si>
  <si>
    <t xml:space="preserve">"zažalovat-001"</t>
  </si>
  <si>
    <t xml:space="preserve">"zažalovat-002"</t>
  </si>
  <si>
    <t xml:space="preserve">"zažehnat-001"</t>
  </si>
  <si>
    <t xml:space="preserve">"zažehnout-001"</t>
  </si>
  <si>
    <t xml:space="preserve">"zažehnout-002"</t>
  </si>
  <si>
    <t xml:space="preserve">"zažádat-001"</t>
  </si>
  <si>
    <t xml:space="preserve">"zažádat-002"</t>
  </si>
  <si>
    <t xml:space="preserve">PAT: o+4; .f; ↓zda; ↓aby; ↓ať; .s; ↓c; ↓jestli</t>
  </si>
  <si>
    <t xml:space="preserve">ACT-&gt;ARG0/380,ARG2/1</t>
  </si>
  <si>
    <t xml:space="preserve">PAT-&gt;ARG1/504</t>
  </si>
  <si>
    <t xml:space="preserve">"zažíhat-001"</t>
  </si>
  <si>
    <t xml:space="preserve">"zažít-001"</t>
  </si>
  <si>
    <t xml:space="preserve">PAT: 4; ↓že; ↓aby; ↓když</t>
  </si>
  <si>
    <t xml:space="preserve">ACT-&gt;ARG0/2817,ARG1/29</t>
  </si>
  <si>
    <t xml:space="preserve">PAT-&gt;ARG0/1,ARG1/3066,ARG2/7</t>
  </si>
  <si>
    <t xml:space="preserve">"zažít-002"</t>
  </si>
  <si>
    <t xml:space="preserve">"zažít-se-001"</t>
  </si>
  <si>
    <t xml:space="preserve">"zažívat-001"</t>
  </si>
  <si>
    <t xml:space="preserve">ACT-&gt;ARG0/2287,ARG1/120</t>
  </si>
  <si>
    <t xml:space="preserve">PAT-&gt;ARG0/1,ARG1/2397</t>
  </si>
  <si>
    <t xml:space="preserve">"zbandat-001"</t>
  </si>
  <si>
    <t xml:space="preserve">?PAT: k+3; na+4; ↓aby; ↓ať; .s</t>
  </si>
  <si>
    <t xml:space="preserve">"zbankat-001"</t>
  </si>
  <si>
    <t xml:space="preserve">PAT: .f; k+3; do+2; ↓aby; ↓ať</t>
  </si>
  <si>
    <t xml:space="preserve">"zbankrotovat-001"</t>
  </si>
  <si>
    <t xml:space="preserve">"zbarvit-001"</t>
  </si>
  <si>
    <t xml:space="preserve">MANN-&gt;ARG2/41</t>
  </si>
  <si>
    <t xml:space="preserve">"zbarvit-se-001"</t>
  </si>
  <si>
    <t xml:space="preserve">"zbavit-001"</t>
  </si>
  <si>
    <t xml:space="preserve">PAT-&gt;ARG1/11,ARG2/25</t>
  </si>
  <si>
    <t xml:space="preserve">ADDR-&gt;ARG0/1,ARG1/173,ARG2/32</t>
  </si>
  <si>
    <t xml:space="preserve">ADDR-&gt;ARG1/35,ARG2/12</t>
  </si>
  <si>
    <t xml:space="preserve">"zbavit-se-001"</t>
  </si>
  <si>
    <t xml:space="preserve">ACT-&gt;ARG0/147,ARG1/32</t>
  </si>
  <si>
    <t xml:space="preserve">PAT-&gt;ARG1/310</t>
  </si>
  <si>
    <t xml:space="preserve">"zbavovat-001"</t>
  </si>
  <si>
    <t xml:space="preserve">ADDR-&gt;ARG0/2,ARG1/43,ARG2/11</t>
  </si>
  <si>
    <t xml:space="preserve">"zbavovat-se-001"</t>
  </si>
  <si>
    <t xml:space="preserve">"zbaštit-001"</t>
  </si>
  <si>
    <t xml:space="preserve">"zblbnout-001"</t>
  </si>
  <si>
    <t xml:space="preserve">"zblokovat-001"</t>
  </si>
  <si>
    <t xml:space="preserve">"zbláznit-se-001"</t>
  </si>
  <si>
    <t xml:space="preserve">"zbláznit-se-002"</t>
  </si>
  <si>
    <t xml:space="preserve">"zbohatnout-001"</t>
  </si>
  <si>
    <t xml:space="preserve">"zbortit-se-001"</t>
  </si>
  <si>
    <t xml:space="preserve">"zbourat-001"</t>
  </si>
  <si>
    <t xml:space="preserve">"zbourat-002"</t>
  </si>
  <si>
    <t xml:space="preserve">"zbořit-001"</t>
  </si>
  <si>
    <t xml:space="preserve">"zbořit-se-001"</t>
  </si>
  <si>
    <t xml:space="preserve">ACT-&gt;ARG0/85,ARG1/179,ARG2/6</t>
  </si>
  <si>
    <t xml:space="preserve">ACT-&gt;ARG0/84,ARG1/178,ARG2/6</t>
  </si>
  <si>
    <t xml:space="preserve">"zbožňovat-001"</t>
  </si>
  <si>
    <t xml:space="preserve">"zbrojit-001"</t>
  </si>
  <si>
    <t xml:space="preserve">"zbrousit-001"</t>
  </si>
  <si>
    <t xml:space="preserve">"zbrzdit-001"</t>
  </si>
  <si>
    <t xml:space="preserve">"zbrzdit-se-001"</t>
  </si>
  <si>
    <t xml:space="preserve">ACT-&gt;ARG0/1,ARG1/33,ARG2/1</t>
  </si>
  <si>
    <t xml:space="preserve">"zbrázdit-001"</t>
  </si>
  <si>
    <t xml:space="preserve">"zbrázdit-002"</t>
  </si>
  <si>
    <t xml:space="preserve">"zbudovat-001"</t>
  </si>
  <si>
    <t xml:space="preserve">"zbuntovat-001"</t>
  </si>
  <si>
    <t xml:space="preserve">"zbystřit-001"</t>
  </si>
  <si>
    <t xml:space="preserve">"zbystřit-002"</t>
  </si>
  <si>
    <t xml:space="preserve">"zbystřit-003"</t>
  </si>
  <si>
    <t xml:space="preserve">"zbít-001"</t>
  </si>
  <si>
    <t xml:space="preserve">"zbýt-001"</t>
  </si>
  <si>
    <t xml:space="preserve">ACT-&gt;ARG1/3,ARG2/46</t>
  </si>
  <si>
    <t xml:space="preserve">ACT-&gt;ARG1/15,ARG3/2</t>
  </si>
  <si>
    <t xml:space="preserve">PAT-&gt;ARG0/6,ARG1/1,ARG2/1,ARG3/9</t>
  </si>
  <si>
    <t xml:space="preserve">"zbýt-002"</t>
  </si>
  <si>
    <t xml:space="preserve">"zbýt-003"</t>
  </si>
  <si>
    <t xml:space="preserve">?PAT: na+4; pro+4</t>
  </si>
  <si>
    <t xml:space="preserve">"zbýt-004"</t>
  </si>
  <si>
    <t xml:space="preserve">ACT-&gt;ARG1/62,ARG2/47</t>
  </si>
  <si>
    <t xml:space="preserve">PAT-&gt;ARG0/21,ARG1/1,ARG3/3</t>
  </si>
  <si>
    <t xml:space="preserve">PAT-&gt;ARG1/1,ARG3/3</t>
  </si>
  <si>
    <t xml:space="preserve">"zbýt-005"</t>
  </si>
  <si>
    <t xml:space="preserve">"zbývat-001"</t>
  </si>
  <si>
    <t xml:space="preserve">ACT-&gt;ARG0/1,ARG1/2350,ARG2/1,ARG3/299</t>
  </si>
  <si>
    <t xml:space="preserve">PAT-&gt;ARG0/2160,ARG1/29,ARG3/2</t>
  </si>
  <si>
    <t xml:space="preserve">"zbývat-002"</t>
  </si>
  <si>
    <t xml:space="preserve">"zbývat-003"</t>
  </si>
  <si>
    <t xml:space="preserve">"zbývat-004"</t>
  </si>
  <si>
    <t xml:space="preserve">ACT-&gt;ARG0/1,ARG1/2341</t>
  </si>
  <si>
    <t xml:space="preserve">"zbývat-005"</t>
  </si>
  <si>
    <t xml:space="preserve">"zběhnout-001"</t>
  </si>
  <si>
    <t xml:space="preserve">"zcestovat-001"</t>
  </si>
  <si>
    <t xml:space="preserve">"zchladit-001"</t>
  </si>
  <si>
    <t xml:space="preserve">"zchladit-002"</t>
  </si>
  <si>
    <t xml:space="preserve">"zchladit-se-001"</t>
  </si>
  <si>
    <t xml:space="preserve">"zchladnout-001"</t>
  </si>
  <si>
    <t xml:space="preserve">"zchladnout-002"</t>
  </si>
  <si>
    <t xml:space="preserve">"zchodit-001"</t>
  </si>
  <si>
    <t xml:space="preserve">"zchudnout-001"</t>
  </si>
  <si>
    <t xml:space="preserve">"zcizit-001"</t>
  </si>
  <si>
    <t xml:space="preserve">"zdanit-001"</t>
  </si>
  <si>
    <t xml:space="preserve">PAT-&gt;ARG2/2,ARG3/4</t>
  </si>
  <si>
    <t xml:space="preserve">"zdaňovat-001"</t>
  </si>
  <si>
    <t xml:space="preserve">PAT-&gt;ARG2/2,ARG3/1</t>
  </si>
  <si>
    <t xml:space="preserve">"zdařit-se-001"</t>
  </si>
  <si>
    <t xml:space="preserve">ACT-&gt;ARG0/155,ARG1/144</t>
  </si>
  <si>
    <t xml:space="preserve">PAT-&gt;ARG1/250,ARG2/144</t>
  </si>
  <si>
    <t xml:space="preserve">"zdechnout-001"</t>
  </si>
  <si>
    <t xml:space="preserve">"zdecimovat-001"</t>
  </si>
  <si>
    <t xml:space="preserve">"zdeformovat-001"</t>
  </si>
  <si>
    <t xml:space="preserve">"zdeformovat-002"</t>
  </si>
  <si>
    <t xml:space="preserve">"zdeformovat-se-001"</t>
  </si>
  <si>
    <t xml:space="preserve">"zdemolovat-001"</t>
  </si>
  <si>
    <t xml:space="preserve">"zdeptat-001"</t>
  </si>
  <si>
    <t xml:space="preserve">"zdesetinásobit-001"</t>
  </si>
  <si>
    <t xml:space="preserve">"zdesetinásobit-se-001"</t>
  </si>
  <si>
    <t xml:space="preserve">ACT-&gt;ARG1/177,ARG2/4</t>
  </si>
  <si>
    <t xml:space="preserve">"zdevastovat-001"</t>
  </si>
  <si>
    <t xml:space="preserve">"zdiskreditovat-001"</t>
  </si>
  <si>
    <t xml:space="preserve">"zdivočet-001"</t>
  </si>
  <si>
    <t xml:space="preserve">"zdobit-001"</t>
  </si>
  <si>
    <t xml:space="preserve">"zdobit-002"</t>
  </si>
  <si>
    <t xml:space="preserve">"zdokonalit-001"</t>
  </si>
  <si>
    <t xml:space="preserve">"zdokonalit-se-001"</t>
  </si>
  <si>
    <t xml:space="preserve">"zdokonalovat-001"</t>
  </si>
  <si>
    <t xml:space="preserve">"zdokonalovat-se-001"</t>
  </si>
  <si>
    <t xml:space="preserve">"zdolat-001"</t>
  </si>
  <si>
    <t xml:space="preserve">"zdolávat-001"</t>
  </si>
  <si>
    <t xml:space="preserve">"zdolávat-002"</t>
  </si>
  <si>
    <t xml:space="preserve">"zdomácnět-001"</t>
  </si>
  <si>
    <t xml:space="preserve">"zdostupnit-001"</t>
  </si>
  <si>
    <t xml:space="preserve">"zdramatizovat-001"</t>
  </si>
  <si>
    <t xml:space="preserve">"zdravit-001"</t>
  </si>
  <si>
    <t xml:space="preserve">"--zdravit-se-001"</t>
  </si>
  <si>
    <t xml:space="preserve">"zdražit-001"</t>
  </si>
  <si>
    <t xml:space="preserve">ACT-&gt;ARG0/102,ARG1/66</t>
  </si>
  <si>
    <t xml:space="preserve">ORIG-&gt;ARG2/8,ARG3/30</t>
  </si>
  <si>
    <t xml:space="preserve">EFF-&gt;ARG1/1,ARG2/15,ARG4/79</t>
  </si>
  <si>
    <t xml:space="preserve">"zdražit-002"</t>
  </si>
  <si>
    <t xml:space="preserve">"zdražovat-001"</t>
  </si>
  <si>
    <t xml:space="preserve">"zdrhnout-001"</t>
  </si>
  <si>
    <t xml:space="preserve">"zdrsnit-001"</t>
  </si>
  <si>
    <t xml:space="preserve">"zdrsnět-001"</t>
  </si>
  <si>
    <t xml:space="preserve">"zdrtit-001"</t>
  </si>
  <si>
    <t xml:space="preserve">ACT-&gt;ARG0/119,ARG2/83</t>
  </si>
  <si>
    <t xml:space="preserve">ACT-&gt;ARG0/118,ARG2/83</t>
  </si>
  <si>
    <t xml:space="preserve">PAT-&gt;ARG1/302</t>
  </si>
  <si>
    <t xml:space="preserve">"zdráhat-se-001"</t>
  </si>
  <si>
    <t xml:space="preserve">PAT: .f; 2</t>
  </si>
  <si>
    <t xml:space="preserve">"zdržet-001"</t>
  </si>
  <si>
    <t xml:space="preserve">"zdržet-se-001"</t>
  </si>
  <si>
    <t xml:space="preserve">"zdržet-se-002"</t>
  </si>
  <si>
    <t xml:space="preserve">"zdržet-se-003"</t>
  </si>
  <si>
    <t xml:space="preserve">ACT-&gt;ARG1/62</t>
  </si>
  <si>
    <t xml:space="preserve">"zdržovat-001"</t>
  </si>
  <si>
    <t xml:space="preserve">PAT: od+2; v+6</t>
  </si>
  <si>
    <t xml:space="preserve">"zdržovat-002"</t>
  </si>
  <si>
    <t xml:space="preserve">"zdržovat-se-001"</t>
  </si>
  <si>
    <t xml:space="preserve">"zdvihat-001"</t>
  </si>
  <si>
    <t xml:space="preserve">"zdvihnout-001"</t>
  </si>
  <si>
    <t xml:space="preserve">"zdvihnout-002"</t>
  </si>
  <si>
    <t xml:space="preserve">"zdvihnout-003"</t>
  </si>
  <si>
    <t xml:space="preserve">"zdvojnásobit-001"</t>
  </si>
  <si>
    <t xml:space="preserve">ORIG-&gt;ARG3/11,ARG4/1</t>
  </si>
  <si>
    <t xml:space="preserve">ORIG-&gt;ARG3/11,ARG4/9</t>
  </si>
  <si>
    <t xml:space="preserve">EFF-&gt;ARG4/26</t>
  </si>
  <si>
    <t xml:space="preserve">EFF-&gt;ARG3/4,ARG4/28</t>
  </si>
  <si>
    <t xml:space="preserve">"zdvojnásobit-se-001"</t>
  </si>
  <si>
    <t xml:space="preserve">ACT-&gt;ARG0/19,ARG1/125</t>
  </si>
  <si>
    <t xml:space="preserve">PAT-&gt;ARG4/26</t>
  </si>
  <si>
    <t xml:space="preserve">PAT-&gt;ARG3/4,ARG4/28</t>
  </si>
  <si>
    <t xml:space="preserve">"zdvojnásobovat-001"</t>
  </si>
  <si>
    <t xml:space="preserve">"zdvojnásobovat-se-001"</t>
  </si>
  <si>
    <t xml:space="preserve">"zdát-se-001"</t>
  </si>
  <si>
    <t xml:space="preserve">ACT: 3; pro+4</t>
  </si>
  <si>
    <t xml:space="preserve">ACT-&gt;ARG1/2,ARG2/5</t>
  </si>
  <si>
    <t xml:space="preserve">PAT: 1; ↓že; .f; ↓aby</t>
  </si>
  <si>
    <t xml:space="preserve">PAT-&gt;ARG0/89,ARG1/190</t>
  </si>
  <si>
    <t xml:space="preserve">EFF: 7; být[.7]; .a1; .a7; .a1[{jako,jakožto}:/AuxY]; ↓že; .f; .d</t>
  </si>
  <si>
    <t xml:space="preserve">EFF-&gt;ARG1/331,ARG2/8</t>
  </si>
  <si>
    <t xml:space="preserve">ACT-&gt;ARG0/5,ARG1/3105,ARG2/305</t>
  </si>
  <si>
    <t xml:space="preserve">EFF-&gt;ARG1/393,ARG2/3493</t>
  </si>
  <si>
    <t xml:space="preserve">"zdát-se-002"</t>
  </si>
  <si>
    <t xml:space="preserve">ACT-&gt;ARG0/6,ARG1/3,ARG2/4</t>
  </si>
  <si>
    <t xml:space="preserve">"zdát-se-003"</t>
  </si>
  <si>
    <t xml:space="preserve">"zdát-se-004"</t>
  </si>
  <si>
    <t xml:space="preserve">ACT-&gt;ARG0/102,ARG1/35,ARG2/7</t>
  </si>
  <si>
    <t xml:space="preserve">PAT-&gt;ARG0/8,ARG1/362,ARG2/4</t>
  </si>
  <si>
    <t xml:space="preserve">"zdát-se-005"</t>
  </si>
  <si>
    <t xml:space="preserve">PAT: být.f</t>
  </si>
  <si>
    <t xml:space="preserve">"zdít-001"</t>
  </si>
  <si>
    <t xml:space="preserve">"zdědit-001"</t>
  </si>
  <si>
    <t xml:space="preserve">"zděsit-001"</t>
  </si>
  <si>
    <t xml:space="preserve">"zděsit-se-001"</t>
  </si>
  <si>
    <t xml:space="preserve">ACT-&gt;ARG0/131,ARG1/30</t>
  </si>
  <si>
    <t xml:space="preserve">"zdřímnout-si-001"</t>
  </si>
  <si>
    <t xml:space="preserve">"zdůraznit-001"</t>
  </si>
  <si>
    <t xml:space="preserve">PAT: 4; ↓že; ↓ať; ↓aby; ↓c; .s; .v</t>
  </si>
  <si>
    <t xml:space="preserve">"zdůraznit-002"</t>
  </si>
  <si>
    <t xml:space="preserve">"zdůrazňovat-001"</t>
  </si>
  <si>
    <t xml:space="preserve">PAT: 4; ↓že; ↓ať; ↓aby; ↓c; .s</t>
  </si>
  <si>
    <t xml:space="preserve">"zdůrazňovat-002"</t>
  </si>
  <si>
    <t xml:space="preserve">"zdůvodnit-001"</t>
  </si>
  <si>
    <t xml:space="preserve">"zdůvodňovat-001"</t>
  </si>
  <si>
    <t xml:space="preserve">"zedničit-001"</t>
  </si>
  <si>
    <t xml:space="preserve">"zefektivnit-001"</t>
  </si>
  <si>
    <t xml:space="preserve">"zefektivňovat-001"</t>
  </si>
  <si>
    <t xml:space="preserve">"zelenat-se-001"</t>
  </si>
  <si>
    <t xml:space="preserve">"zelenat-se-002"</t>
  </si>
  <si>
    <t xml:space="preserve">"zemdlévat-001"</t>
  </si>
  <si>
    <t xml:space="preserve">"zemřít-001"</t>
  </si>
  <si>
    <t xml:space="preserve">ACT-&gt;ARG0/36,ARG1/71</t>
  </si>
  <si>
    <t xml:space="preserve">"zepsout-001"</t>
  </si>
  <si>
    <t xml:space="preserve">"zeptat-se-001"</t>
  </si>
  <si>
    <t xml:space="preserve">ACT-&gt;ARG0/213</t>
  </si>
  <si>
    <t xml:space="preserve">ADDR-&gt;ARG0/1,ARG1/5,ARG2/159</t>
  </si>
  <si>
    <t xml:space="preserve">"zesilovat-001"</t>
  </si>
  <si>
    <t xml:space="preserve">"zesilovat-002"</t>
  </si>
  <si>
    <t xml:space="preserve">"zesilovat-003"</t>
  </si>
  <si>
    <t xml:space="preserve">"zesilovat-se-001"</t>
  </si>
  <si>
    <t xml:space="preserve">"zeslabit-001"</t>
  </si>
  <si>
    <t xml:space="preserve">ACT-&gt;ARG0/721,ARG1/26</t>
  </si>
  <si>
    <t xml:space="preserve">PAT-&gt;ARG1/1348,ARG2/10,ARG4/19</t>
  </si>
  <si>
    <t xml:space="preserve">ORIG-&gt;ARG3/99,ARG4/1</t>
  </si>
  <si>
    <t xml:space="preserve">EFF-&gt;ARG2/50,ARG3/1,ARG4/184,ARG5/1</t>
  </si>
  <si>
    <t xml:space="preserve">"zeslabovat-001"</t>
  </si>
  <si>
    <t xml:space="preserve">"zeslábnout-001"</t>
  </si>
  <si>
    <t xml:space="preserve">ACT-&gt;ARG1/203</t>
  </si>
  <si>
    <t xml:space="preserve">PAT-&gt;ARG1/1,ARG4/52,ARGm-LOC/1</t>
  </si>
  <si>
    <t xml:space="preserve">PAT-&gt;ARG2/7,ARG3/1,ARG4/772,ARGM-LOC/1</t>
  </si>
  <si>
    <t xml:space="preserve">ORIG-&gt;ARG3/250,ARG4/5</t>
  </si>
  <si>
    <t xml:space="preserve">"zesměšnit-001"</t>
  </si>
  <si>
    <t xml:space="preserve">"zesměšňovat-001"</t>
  </si>
  <si>
    <t xml:space="preserve">"zestručnit-001"</t>
  </si>
  <si>
    <t xml:space="preserve">"zestárnout-001"</t>
  </si>
  <si>
    <t xml:space="preserve">"zestátnit-001"</t>
  </si>
  <si>
    <t xml:space="preserve">"zestátňovat-001"</t>
  </si>
  <si>
    <t xml:space="preserve">"zesílit-001"</t>
  </si>
  <si>
    <t xml:space="preserve">"zesílit-002"</t>
  </si>
  <si>
    <t xml:space="preserve">ACT-&gt;ARG0/1,ARG1/37</t>
  </si>
  <si>
    <t xml:space="preserve">PAT-&gt;ARG4/2</t>
  </si>
  <si>
    <t xml:space="preserve">"zet-001"</t>
  </si>
  <si>
    <t xml:space="preserve">"zet-002"</t>
  </si>
  <si>
    <t xml:space="preserve">DPHR: prázdnota.S7</t>
  </si>
  <si>
    <t xml:space="preserve">"zevšeobecňovat-001"</t>
  </si>
  <si>
    <t xml:space="preserve">"zezelenat-001"</t>
  </si>
  <si>
    <t xml:space="preserve">"zečtyřnásobit-001"</t>
  </si>
  <si>
    <t xml:space="preserve">"zečtyřnásobit-se-001"</t>
  </si>
  <si>
    <t xml:space="preserve">"zešedivět-001"</t>
  </si>
  <si>
    <t xml:space="preserve">"zeštíhlet-001"</t>
  </si>
  <si>
    <t xml:space="preserve">"zeštíhlet-002"</t>
  </si>
  <si>
    <t xml:space="preserve">"zeštíhlit-001"</t>
  </si>
  <si>
    <t xml:space="preserve">"zeštíhlovat-001"</t>
  </si>
  <si>
    <t xml:space="preserve">"zežloutnout-001"</t>
  </si>
  <si>
    <t xml:space="preserve">"zfalšovat-001"</t>
  </si>
  <si>
    <t xml:space="preserve">"zfanatizovat-001"</t>
  </si>
  <si>
    <t xml:space="preserve">"zfilmovat-001"</t>
  </si>
  <si>
    <t xml:space="preserve">"zformovat-001"</t>
  </si>
  <si>
    <t xml:space="preserve">"zformovat-se-001"</t>
  </si>
  <si>
    <t xml:space="preserve">"zformulovat-001"</t>
  </si>
  <si>
    <t xml:space="preserve">ACT-&gt;ARG0/779,ARG1/4</t>
  </si>
  <si>
    <t xml:space="preserve">PAT-&gt;ARG1/1239,ARG2/2</t>
  </si>
  <si>
    <t xml:space="preserve">"zhanobit-001"</t>
  </si>
  <si>
    <t xml:space="preserve">"zhasnout-001"</t>
  </si>
  <si>
    <t xml:space="preserve">"zhasnout-002"</t>
  </si>
  <si>
    <t xml:space="preserve">"zhasnout-003"</t>
  </si>
  <si>
    <t xml:space="preserve">"zhasnout-se-001"</t>
  </si>
  <si>
    <t xml:space="preserve">"zhasínat-001"</t>
  </si>
  <si>
    <t xml:space="preserve">"zhatit-001"</t>
  </si>
  <si>
    <t xml:space="preserve">"zhlavovat-001"</t>
  </si>
  <si>
    <t xml:space="preserve">"zhlédnout-001"</t>
  </si>
  <si>
    <t xml:space="preserve">"zhlédnout-002"</t>
  </si>
  <si>
    <t xml:space="preserve">"zhlížet-se-001"</t>
  </si>
  <si>
    <t xml:space="preserve">"zhmotnit-001"</t>
  </si>
  <si>
    <t xml:space="preserve">"zhmotňovat-se-001"</t>
  </si>
  <si>
    <t xml:space="preserve">"zhodnocovat-001"</t>
  </si>
  <si>
    <t xml:space="preserve">"zhodnocovat-se-001"</t>
  </si>
  <si>
    <t xml:space="preserve">"zhodnotit-001"</t>
  </si>
  <si>
    <t xml:space="preserve">?EFF: v+4</t>
  </si>
  <si>
    <t xml:space="preserve">"zhodnotit-002"</t>
  </si>
  <si>
    <t xml:space="preserve">"zhodnotit-003"</t>
  </si>
  <si>
    <t xml:space="preserve">"zhodnotit-se-001"</t>
  </si>
  <si>
    <t xml:space="preserve">"zhojit-001"</t>
  </si>
  <si>
    <t xml:space="preserve">"zhoršit-001"</t>
  </si>
  <si>
    <t xml:space="preserve">ACT-&gt;ARG0/252,ARG1/5,ARG2/76</t>
  </si>
  <si>
    <t xml:space="preserve">ACT-&gt;ARG0/265,ARG1/344,ARG2/83</t>
  </si>
  <si>
    <t xml:space="preserve">PAT-&gt;ARG0/188,ARG1/455,ARG2/77</t>
  </si>
  <si>
    <t xml:space="preserve">"zhoršit-se-001"</t>
  </si>
  <si>
    <t xml:space="preserve">ACT-&gt;ARG0/1,ARG1/168</t>
  </si>
  <si>
    <t xml:space="preserve">"zhoršovat-001"</t>
  </si>
  <si>
    <t xml:space="preserve">PAT-&gt;ARG1/12,ARG2/5</t>
  </si>
  <si>
    <t xml:space="preserve">"zhoršovat-se-001"</t>
  </si>
  <si>
    <t xml:space="preserve">ACT-&gt;ARG0/1,ARG1/138,ARG2/1</t>
  </si>
  <si>
    <t xml:space="preserve">"zhospodárnit-001"</t>
  </si>
  <si>
    <t xml:space="preserve">"zhostit-se-001"</t>
  </si>
  <si>
    <t xml:space="preserve">"zhotovit-001"</t>
  </si>
  <si>
    <t xml:space="preserve">ACT-&gt;ARG0/524,ARG1/5,ARG2/3</t>
  </si>
  <si>
    <t xml:space="preserve">PAT-&gt;ARG1/923,ARG3/1,ARG4/5</t>
  </si>
  <si>
    <t xml:space="preserve">"zhotovovat-001"</t>
  </si>
  <si>
    <t xml:space="preserve">"zhoupnout-se-001"</t>
  </si>
  <si>
    <t xml:space="preserve">"zhoustnout-001"</t>
  </si>
  <si>
    <t xml:space="preserve">"zhořknout-001"</t>
  </si>
  <si>
    <t xml:space="preserve">"zhroutit-se-001"</t>
  </si>
  <si>
    <t xml:space="preserve">PAT-&gt;ARG4/29</t>
  </si>
  <si>
    <t xml:space="preserve">"zhroutit-se-002"</t>
  </si>
  <si>
    <t xml:space="preserve">"zhroutit-se-003"</t>
  </si>
  <si>
    <t xml:space="preserve">ACT-&gt;ARG1/113</t>
  </si>
  <si>
    <t xml:space="preserve">"zhroutit-se-004"</t>
  </si>
  <si>
    <t xml:space="preserve">"zhrozit-se-001"</t>
  </si>
  <si>
    <t xml:space="preserve">"zhrudkovatět-001"</t>
  </si>
  <si>
    <t xml:space="preserve">"zhubnout-001"</t>
  </si>
  <si>
    <t xml:space="preserve">"zhumanizovat-001"</t>
  </si>
  <si>
    <t xml:space="preserve">"zhuntovat-001"</t>
  </si>
  <si>
    <t xml:space="preserve">"zhušťovat-001"</t>
  </si>
  <si>
    <t xml:space="preserve">"zhušťovat-002"</t>
  </si>
  <si>
    <t xml:space="preserve">"zhypnotizovat-001"</t>
  </si>
  <si>
    <t xml:space="preserve">"zhysterizovat-001"</t>
  </si>
  <si>
    <t xml:space="preserve">"zhýčkat-001"</t>
  </si>
  <si>
    <t xml:space="preserve">"zhřešit-001"</t>
  </si>
  <si>
    <t xml:space="preserve">"zideologizovat-001"</t>
  </si>
  <si>
    <t xml:space="preserve">"zinscenovat-001"</t>
  </si>
  <si>
    <t xml:space="preserve">ACT-&gt;ARG0/194,ARG1/8</t>
  </si>
  <si>
    <t xml:space="preserve">"zintenzivňovat-001"</t>
  </si>
  <si>
    <t xml:space="preserve">"zintenzívnit-001"</t>
  </si>
  <si>
    <t xml:space="preserve">ACT-&gt;ARG0/6,ARG1/8</t>
  </si>
  <si>
    <t xml:space="preserve">"--zintenzívnit-se-001"</t>
  </si>
  <si>
    <t xml:space="preserve">"zintenzívňovat-001"</t>
  </si>
  <si>
    <t xml:space="preserve">"zintrikovat-001"</t>
  </si>
  <si>
    <t xml:space="preserve">"zjasňovat-se-001"</t>
  </si>
  <si>
    <t xml:space="preserve">"zjednat-001"</t>
  </si>
  <si>
    <t xml:space="preserve">"zjednat-002"</t>
  </si>
  <si>
    <t xml:space="preserve">CPHR: {klid,náprava,pořádek,spravedlnost,...}.4</t>
  </si>
  <si>
    <t xml:space="preserve">"zjednat-003"</t>
  </si>
  <si>
    <t xml:space="preserve">"zjednodušit-001"</t>
  </si>
  <si>
    <t xml:space="preserve">"zjednodušit-002"</t>
  </si>
  <si>
    <t xml:space="preserve">"zjednodušit-se-001"</t>
  </si>
  <si>
    <t xml:space="preserve">"zjednodušovat-001"</t>
  </si>
  <si>
    <t xml:space="preserve">"zjednodušovat-002"</t>
  </si>
  <si>
    <t xml:space="preserve">"zjednávat-001"</t>
  </si>
  <si>
    <t xml:space="preserve">"zjednávat-002"</t>
  </si>
  <si>
    <t xml:space="preserve">CPHR: {klid,náprava,...}.4</t>
  </si>
  <si>
    <t xml:space="preserve">"zjemnit-001"</t>
  </si>
  <si>
    <t xml:space="preserve">"zjevit-se-001"</t>
  </si>
  <si>
    <t xml:space="preserve">ACT-&gt;ARG1/316,ARG2/16</t>
  </si>
  <si>
    <t xml:space="preserve">PAT-&gt;ARG1/8,ARG2/3</t>
  </si>
  <si>
    <t xml:space="preserve">"zjevit-se-002"</t>
  </si>
  <si>
    <t xml:space="preserve">"zjevovat-se-001"</t>
  </si>
  <si>
    <t xml:space="preserve">"zjistit-001"</t>
  </si>
  <si>
    <t xml:space="preserve">ACT-&gt;ARG0/454,ARG1/2</t>
  </si>
  <si>
    <t xml:space="preserve">PAT: na+4; o+6</t>
  </si>
  <si>
    <t xml:space="preserve">PAT-&gt;ARG0/2,ARG1/120,ARG2/3</t>
  </si>
  <si>
    <t xml:space="preserve">EFF-&gt;ARG0/1,ARG1/639,ARG3/2</t>
  </si>
  <si>
    <t xml:space="preserve">?ORIG: u+2; od+2</t>
  </si>
  <si>
    <t xml:space="preserve">"zjistit-002"</t>
  </si>
  <si>
    <t xml:space="preserve">ACT-&gt;ARG0/1365,ARG1/5</t>
  </si>
  <si>
    <t xml:space="preserve">ACT-&gt;ARG0/230</t>
  </si>
  <si>
    <t xml:space="preserve">PAT-&gt;ARG0/1,ARG1/2372,ARG2/26,ARG3/3</t>
  </si>
  <si>
    <t xml:space="preserve">PAT-&gt;ARG1/444</t>
  </si>
  <si>
    <t xml:space="preserve">"zjitřit-001"</t>
  </si>
  <si>
    <t xml:space="preserve">"zjitřovat-001"</t>
  </si>
  <si>
    <t xml:space="preserve">"zjizvit-001"</t>
  </si>
  <si>
    <t xml:space="preserve">"zjišťovat-001"</t>
  </si>
  <si>
    <t xml:space="preserve">PAT-&gt;ARG0/2,ARG1/111,ARG2/1</t>
  </si>
  <si>
    <t xml:space="preserve">EFF: 4; ↓že; ↓zda; .v</t>
  </si>
  <si>
    <t xml:space="preserve">EFF-&gt;ARG0/1,ARG1/171</t>
  </si>
  <si>
    <t xml:space="preserve">"zjišťovat-002"</t>
  </si>
  <si>
    <t xml:space="preserve">ACT-&gt;ARG0/316,ARG1/1,ARG2/16</t>
  </si>
  <si>
    <t xml:space="preserve">PAT: 4; ↓zda; ↓jestli; ↓že; ↓c; .v</t>
  </si>
  <si>
    <t xml:space="preserve">PAT-&gt;ARG0/1,ARG1/447</t>
  </si>
  <si>
    <t xml:space="preserve">"zkalit-001"</t>
  </si>
  <si>
    <t xml:space="preserve">"zkapalnit-001"</t>
  </si>
  <si>
    <t xml:space="preserve">"zkazit-001"</t>
  </si>
  <si>
    <t xml:space="preserve">ACT-&gt;ARG0/11,ARG1/344,ARG2/3</t>
  </si>
  <si>
    <t xml:space="preserve">PAT-&gt;ARG0/188,ARG1/16,ARG2/76</t>
  </si>
  <si>
    <t xml:space="preserve">"zkazit-se-001"</t>
  </si>
  <si>
    <t xml:space="preserve">"zklamat-001"</t>
  </si>
  <si>
    <t xml:space="preserve">PAT-&gt;ARG0/12,ARG1/20</t>
  </si>
  <si>
    <t xml:space="preserve">"zklamat-002"</t>
  </si>
  <si>
    <t xml:space="preserve">"zklidnit-001"</t>
  </si>
  <si>
    <t xml:space="preserve">"zklidnit-se-001"</t>
  </si>
  <si>
    <t xml:space="preserve">"zkolabovat-001"</t>
  </si>
  <si>
    <t xml:space="preserve">"zkolaudovat-001"</t>
  </si>
  <si>
    <t xml:space="preserve">"zkombinovat-001"</t>
  </si>
  <si>
    <t xml:space="preserve">"zkomolit-001"</t>
  </si>
  <si>
    <t xml:space="preserve">"zkompletovat-001"</t>
  </si>
  <si>
    <t xml:space="preserve">"zkomplikovat-001"</t>
  </si>
  <si>
    <t xml:space="preserve">PAT-&gt;ARG1/315</t>
  </si>
  <si>
    <t xml:space="preserve">"zkomplikovat-se-001"</t>
  </si>
  <si>
    <t xml:space="preserve">"zkomponovat-001"</t>
  </si>
  <si>
    <t xml:space="preserve">"zkoncentrovat-se-001"</t>
  </si>
  <si>
    <t xml:space="preserve">"zkoncipovat-001"</t>
  </si>
  <si>
    <t xml:space="preserve">"zkonfiskovat-001"</t>
  </si>
  <si>
    <t xml:space="preserve">"zkonsolidovat-001"</t>
  </si>
  <si>
    <t xml:space="preserve">"zkonsolidovat-se-001"</t>
  </si>
  <si>
    <t xml:space="preserve">"zkonstruovat-001"</t>
  </si>
  <si>
    <t xml:space="preserve">"zkontaktovat-001"</t>
  </si>
  <si>
    <t xml:space="preserve">"zkontrolovat-001"</t>
  </si>
  <si>
    <t xml:space="preserve">"zkonvertovat-001"</t>
  </si>
  <si>
    <t xml:space="preserve">"zkonzistentnit-001"</t>
  </si>
  <si>
    <t xml:space="preserve">"zkonzolidovat-001"</t>
  </si>
  <si>
    <t xml:space="preserve">"zkonzumovat-001"</t>
  </si>
  <si>
    <t xml:space="preserve">"zkoordinovat-001"</t>
  </si>
  <si>
    <t xml:space="preserve">"zkopat-001"</t>
  </si>
  <si>
    <t xml:space="preserve">"zkopírovat-001"</t>
  </si>
  <si>
    <t xml:space="preserve">"--zkopírovat-002"</t>
  </si>
  <si>
    <t xml:space="preserve">"zkorigovat-001"</t>
  </si>
  <si>
    <t xml:space="preserve">"zkorumpovat-001"</t>
  </si>
  <si>
    <t xml:space="preserve">"zkoumat-001"</t>
  </si>
  <si>
    <t xml:space="preserve">ACT-&gt;ARG0/344</t>
  </si>
  <si>
    <t xml:space="preserve">PAT-&gt;ARG0/1,ARG1/445</t>
  </si>
  <si>
    <t xml:space="preserve">"zkoušet-001"</t>
  </si>
  <si>
    <t xml:space="preserve">"zkoušet-002"</t>
  </si>
  <si>
    <t xml:space="preserve">?ORIG: z+2; 4</t>
  </si>
  <si>
    <t xml:space="preserve">"zkoušet-003"</t>
  </si>
  <si>
    <t xml:space="preserve">"zkoušet-004"</t>
  </si>
  <si>
    <t xml:space="preserve">"zkoušet-005"</t>
  </si>
  <si>
    <t xml:space="preserve">"zkoušet-006"</t>
  </si>
  <si>
    <t xml:space="preserve">ACT-&gt;ARG0/480,ARG1/1</t>
  </si>
  <si>
    <t xml:space="preserve">PAT: 4; .f; ↓zda; ↓jestli; ↓c</t>
  </si>
  <si>
    <t xml:space="preserve">PAT-&gt;ARG1/658,ARG2/2</t>
  </si>
  <si>
    <t xml:space="preserve">ACT-&gt;ARG0/316</t>
  </si>
  <si>
    <t xml:space="preserve">"zkoušet-si-001"</t>
  </si>
  <si>
    <t xml:space="preserve">"zkrachovat-001"</t>
  </si>
  <si>
    <t xml:space="preserve">ACT-&gt;ARG1/3317,ARG2/296</t>
  </si>
  <si>
    <t xml:space="preserve">"zkracovat-001"</t>
  </si>
  <si>
    <t xml:space="preserve">ORIG-&gt;ARG3/21</t>
  </si>
  <si>
    <t xml:space="preserve">ORIG-&gt;ARG2/1,ARG3/19,ARG4/1</t>
  </si>
  <si>
    <t xml:space="preserve">ORIG-&gt;ARG2/6,ARG3/64,ARG4/2</t>
  </si>
  <si>
    <t xml:space="preserve">EFF-&gt;ARG2/3,ARG4/37</t>
  </si>
  <si>
    <t xml:space="preserve">EFF-&gt;ARG2/10,ARG4/33</t>
  </si>
  <si>
    <t xml:space="preserve">EFF-&gt;ARG2/56,ARG4/115</t>
  </si>
  <si>
    <t xml:space="preserve">"zkreslit-001"</t>
  </si>
  <si>
    <t xml:space="preserve">"zkreslovat-001"</t>
  </si>
  <si>
    <t xml:space="preserve">"zkritizovat-001"</t>
  </si>
  <si>
    <t xml:space="preserve">PAT-&gt;ARG1/191,ARG2/3</t>
  </si>
  <si>
    <t xml:space="preserve">"zkrotit-001"</t>
  </si>
  <si>
    <t xml:space="preserve">"zkrotit-002"</t>
  </si>
  <si>
    <t xml:space="preserve">"zkrouhnout-001"</t>
  </si>
  <si>
    <t xml:space="preserve">"zkroutit-se-001"</t>
  </si>
  <si>
    <t xml:space="preserve">"zkrvavit-001"</t>
  </si>
  <si>
    <t xml:space="preserve">"zkrátit-001"</t>
  </si>
  <si>
    <t xml:space="preserve">"zkrátit-002"</t>
  </si>
  <si>
    <t xml:space="preserve">"zkrátit-se-001"</t>
  </si>
  <si>
    <t xml:space="preserve">"zkrášlit-001"</t>
  </si>
  <si>
    <t xml:space="preserve">"zkultivovat-001"</t>
  </si>
  <si>
    <t xml:space="preserve">"zkusit-001"</t>
  </si>
  <si>
    <t xml:space="preserve">"zkusit-002"</t>
  </si>
  <si>
    <t xml:space="preserve">PAT-&gt;ARG1/441,ARG2/54</t>
  </si>
  <si>
    <t xml:space="preserve">"zkusit-003"</t>
  </si>
  <si>
    <t xml:space="preserve">"zkusit-004"</t>
  </si>
  <si>
    <t xml:space="preserve">"zkusit-005"</t>
  </si>
  <si>
    <t xml:space="preserve">DPHR: na-1[pěst:S4[vlastní-1.#]]</t>
  </si>
  <si>
    <t xml:space="preserve">"zkusit-006"</t>
  </si>
  <si>
    <t xml:space="preserve">"zkusit-007"</t>
  </si>
  <si>
    <t xml:space="preserve">"zkusit-si-001"</t>
  </si>
  <si>
    <t xml:space="preserve">"zkusit-si-002"</t>
  </si>
  <si>
    <t xml:space="preserve">"zkvalitnit-001"</t>
  </si>
  <si>
    <t xml:space="preserve">"zkvalitňovat-001"</t>
  </si>
  <si>
    <t xml:space="preserve">"zkysnout-001"</t>
  </si>
  <si>
    <t xml:space="preserve">"zkřivit-001"</t>
  </si>
  <si>
    <t xml:space="preserve">"zkřížit-001"</t>
  </si>
  <si>
    <t xml:space="preserve">"zkřížit-002"</t>
  </si>
  <si>
    <t xml:space="preserve">"zlegalizovat-001"</t>
  </si>
  <si>
    <t xml:space="preserve">"zlehčit-001"</t>
  </si>
  <si>
    <t xml:space="preserve">"zlehčovat-001"</t>
  </si>
  <si>
    <t xml:space="preserve">"zlenivět-001"</t>
  </si>
  <si>
    <t xml:space="preserve">"zlepšit-001"</t>
  </si>
  <si>
    <t xml:space="preserve">ACT-&gt;ARG0/493,ARG1/34,ARG2/12</t>
  </si>
  <si>
    <t xml:space="preserve">ACT-&gt;ARG0/187,ARG1/67,ARG2/17</t>
  </si>
  <si>
    <t xml:space="preserve">PAT-&gt;ARG0/1,ARG1/699</t>
  </si>
  <si>
    <t xml:space="preserve">PAT-&gt;ARG1/366,ARG4/70</t>
  </si>
  <si>
    <t xml:space="preserve">ORIG-&gt;ARG3/19</t>
  </si>
  <si>
    <t xml:space="preserve">"zlepšit-se-001"</t>
  </si>
  <si>
    <t xml:space="preserve">ACT-&gt;ARG1/509</t>
  </si>
  <si>
    <t xml:space="preserve">ACT-&gt;ARG0/1,ARG1/553,ARG4/70</t>
  </si>
  <si>
    <t xml:space="preserve">PAT-&gt;ARG0/2,ARG2/61,ARG4/115</t>
  </si>
  <si>
    <t xml:space="preserve">PAT-&gt;ARG1/354,ARG2/60,ARG4/181</t>
  </si>
  <si>
    <t xml:space="preserve">ORIG-&gt;ARG3/26</t>
  </si>
  <si>
    <t xml:space="preserve">ORIG-&gt;ARG2/1,ARG3/29</t>
  </si>
  <si>
    <t xml:space="preserve">"zlepšovat-001"</t>
  </si>
  <si>
    <t xml:space="preserve">ACT-&gt;ARG0/191,ARG1/1,ARG2/5</t>
  </si>
  <si>
    <t xml:space="preserve">"zlepšovat-se-001"</t>
  </si>
  <si>
    <t xml:space="preserve">"zlepšovat-se-002"</t>
  </si>
  <si>
    <t xml:space="preserve">ACT-&gt;ARG1/458,ARG2/6</t>
  </si>
  <si>
    <t xml:space="preserve">ACT-&gt;ARG0/20,ARG1/1998,ARG2/8</t>
  </si>
  <si>
    <t xml:space="preserve">"zlevnit-001"</t>
  </si>
  <si>
    <t xml:space="preserve">PAT-&gt;ARG1/173,ARG2/2</t>
  </si>
  <si>
    <t xml:space="preserve">ORIG-&gt;ARG3/18,ARG4/1</t>
  </si>
  <si>
    <t xml:space="preserve">EFF-&gt;ARG2/10,ARG4/31</t>
  </si>
  <si>
    <t xml:space="preserve">"zlevnit-002"</t>
  </si>
  <si>
    <t xml:space="preserve">"zlevňovat-001"</t>
  </si>
  <si>
    <t xml:space="preserve">"zliberalizovat-001"</t>
  </si>
  <si>
    <t xml:space="preserve">"zlidovět-001"</t>
  </si>
  <si>
    <t xml:space="preserve">"zlikvidovat-001"</t>
  </si>
  <si>
    <t xml:space="preserve">"zlobit-001"</t>
  </si>
  <si>
    <t xml:space="preserve">"zlobit-002"</t>
  </si>
  <si>
    <t xml:space="preserve">"zlobit-se-001"</t>
  </si>
  <si>
    <t xml:space="preserve">"zlomit-001"</t>
  </si>
  <si>
    <t xml:space="preserve">"zlomit-002"</t>
  </si>
  <si>
    <t xml:space="preserve">"zlomit-003"</t>
  </si>
  <si>
    <t xml:space="preserve">"zlomit-004"</t>
  </si>
  <si>
    <t xml:space="preserve">DPHR-&gt;ARG1/36</t>
  </si>
  <si>
    <t xml:space="preserve">"zlomit-se-001"</t>
  </si>
  <si>
    <t xml:space="preserve">"zlořečit-001"</t>
  </si>
  <si>
    <t xml:space="preserve">ADDR-&gt;ARG1/18,ARG2/6</t>
  </si>
  <si>
    <t xml:space="preserve">PAT-&gt;ARG1/90,ARG2/11</t>
  </si>
  <si>
    <t xml:space="preserve">"zlákat-001"</t>
  </si>
  <si>
    <t xml:space="preserve">?PAT: k+3; .f; ↓aby; ↓ať; na+4</t>
  </si>
  <si>
    <t xml:space="preserve">"zlámat-001"</t>
  </si>
  <si>
    <t xml:space="preserve">"zlíbit-se-001"</t>
  </si>
  <si>
    <t xml:space="preserve">"zmalomyslnět-001"</t>
  </si>
  <si>
    <t xml:space="preserve">"zmalátnit-001"</t>
  </si>
  <si>
    <t xml:space="preserve">"zmalířštět-001"</t>
  </si>
  <si>
    <t xml:space="preserve">"zmanipulovat-001"</t>
  </si>
  <si>
    <t xml:space="preserve">"zmapovat-001"</t>
  </si>
  <si>
    <t xml:space="preserve">"zmarnit-001"</t>
  </si>
  <si>
    <t xml:space="preserve">"zmasakrovat-001"</t>
  </si>
  <si>
    <t xml:space="preserve">"zmačknout-001"</t>
  </si>
  <si>
    <t xml:space="preserve">"zmařit-001"</t>
  </si>
  <si>
    <t xml:space="preserve">ACT-&gt;ARG0/88,ARG2/1</t>
  </si>
  <si>
    <t xml:space="preserve">"zmařit-002"</t>
  </si>
  <si>
    <t xml:space="preserve">ACT-&gt;ARG0/15,ARG2/3</t>
  </si>
  <si>
    <t xml:space="preserve">"zmehnout-001"</t>
  </si>
  <si>
    <t xml:space="preserve">"zmenšit-001"</t>
  </si>
  <si>
    <t xml:space="preserve">PAT-&gt;ARG1/496</t>
  </si>
  <si>
    <t xml:space="preserve">ORIG-&gt;ARG3/39,ARG4/1</t>
  </si>
  <si>
    <t xml:space="preserve">EFF-&gt;ARG2/13,ARG4/69</t>
  </si>
  <si>
    <t xml:space="preserve">"zmenšit-se-001"</t>
  </si>
  <si>
    <t xml:space="preserve">ACT-&gt;ARG1/375</t>
  </si>
  <si>
    <t xml:space="preserve">PAT-&gt;ARG0/3,ARG2/3,ARG4/49</t>
  </si>
  <si>
    <t xml:space="preserve">ORIG-&gt;ARG3/30</t>
  </si>
  <si>
    <t xml:space="preserve">"zmenšovat-001"</t>
  </si>
  <si>
    <t xml:space="preserve">ACT-&gt;ARG0/29,ARG1/3</t>
  </si>
  <si>
    <t xml:space="preserve">PAT-&gt;ARG1/44,ARG2/2,ARG4/4</t>
  </si>
  <si>
    <t xml:space="preserve">EFF-&gt;ARG2/15,ARG4/5</t>
  </si>
  <si>
    <t xml:space="preserve">"zmenšovat-se-001"</t>
  </si>
  <si>
    <t xml:space="preserve">ACT-&gt;ARG0/1,ARG1/293</t>
  </si>
  <si>
    <t xml:space="preserve">PAT-&gt;ARG0/11,ARG2/1,ARG4/214</t>
  </si>
  <si>
    <t xml:space="preserve">ORIG-&gt;ARG3/54,ARG4/4</t>
  </si>
  <si>
    <t xml:space="preserve">"zmeškat-001"</t>
  </si>
  <si>
    <t xml:space="preserve">"zminimalizovat-001"</t>
  </si>
  <si>
    <t xml:space="preserve">"zmizet-001"</t>
  </si>
  <si>
    <t xml:space="preserve">ACT-&gt;ARG0/24,ARG1/239</t>
  </si>
  <si>
    <t xml:space="preserve">"zmiňovat-001"</t>
  </si>
  <si>
    <t xml:space="preserve">"--zmiňovat-002"</t>
  </si>
  <si>
    <t xml:space="preserve">"zmiňovat-se-001"</t>
  </si>
  <si>
    <t xml:space="preserve">ACT-&gt;ARG0/137</t>
  </si>
  <si>
    <t xml:space="preserve">"zmiňovat-se-002"</t>
  </si>
  <si>
    <t xml:space="preserve">ACT-&gt;ARG0/13433,ARG1/39</t>
  </si>
  <si>
    <t xml:space="preserve">EFF-&gt;ARG0/4,ARG1/11977,ARG2/3,ARG3/30</t>
  </si>
  <si>
    <t xml:space="preserve">PAT-&gt;ARG0/4,ARG1/11977,ARG2/3,ARG3/30</t>
  </si>
  <si>
    <t xml:space="preserve">ADDR-&gt;ARG1/3,ARG2/353</t>
  </si>
  <si>
    <t xml:space="preserve">"zmlknout-001"</t>
  </si>
  <si>
    <t xml:space="preserve">"zmlátit-001"</t>
  </si>
  <si>
    <t xml:space="preserve">"zmnohonásobit-001"</t>
  </si>
  <si>
    <t xml:space="preserve">"zmobilizovat-001"</t>
  </si>
  <si>
    <t xml:space="preserve">"zmoci-001"</t>
  </si>
  <si>
    <t xml:space="preserve">ACT-&gt;ARG0/285,ARG1/4</t>
  </si>
  <si>
    <t xml:space="preserve">PAT-&gt;ARG1/371</t>
  </si>
  <si>
    <t xml:space="preserve">"zmoci-002"</t>
  </si>
  <si>
    <t xml:space="preserve">"zmoci-se-001"</t>
  </si>
  <si>
    <t xml:space="preserve">ACT-&gt;ARG0/345,ARG1/150</t>
  </si>
  <si>
    <t xml:space="preserve">PAT-&gt;ARG0/2,ARG1/428,ARG2/144</t>
  </si>
  <si>
    <t xml:space="preserve">"zmocnit-001"</t>
  </si>
  <si>
    <t xml:space="preserve">"zmocnit-se-001"</t>
  </si>
  <si>
    <t xml:space="preserve">"zmocnit-se-002"</t>
  </si>
  <si>
    <t xml:space="preserve">"zmocnit-se-003"</t>
  </si>
  <si>
    <t xml:space="preserve">CPHR: {nenávist,strach,...}.1</t>
  </si>
  <si>
    <t xml:space="preserve">"zmocňovat-001"</t>
  </si>
  <si>
    <t xml:space="preserve">"zmocňovat-se-001"</t>
  </si>
  <si>
    <t xml:space="preserve">"zmodernizovat-001"</t>
  </si>
  <si>
    <t xml:space="preserve">"zmoknout-001"</t>
  </si>
  <si>
    <t xml:space="preserve">"zmonopolizovat-001"</t>
  </si>
  <si>
    <t xml:space="preserve">"zmotat-001"</t>
  </si>
  <si>
    <t xml:space="preserve">"zmrazit-001"</t>
  </si>
  <si>
    <t xml:space="preserve">"zmrazovat-001"</t>
  </si>
  <si>
    <t xml:space="preserve">"zmrzačit-001"</t>
  </si>
  <si>
    <t xml:space="preserve">"zmrznout-001"</t>
  </si>
  <si>
    <t xml:space="preserve">"zmutovat-001"</t>
  </si>
  <si>
    <t xml:space="preserve">"zmužnět-001"</t>
  </si>
  <si>
    <t xml:space="preserve">"zmydlit-001"</t>
  </si>
  <si>
    <t xml:space="preserve">"zmáchat-001"</t>
  </si>
  <si>
    <t xml:space="preserve">"zmást-001"</t>
  </si>
  <si>
    <t xml:space="preserve">"zmátořit-se-001"</t>
  </si>
  <si>
    <t xml:space="preserve">"zmáčknout-001"</t>
  </si>
  <si>
    <t xml:space="preserve">"zmínit-001"</t>
  </si>
  <si>
    <t xml:space="preserve">ACT-&gt;ARG0/312,ARG2/26</t>
  </si>
  <si>
    <t xml:space="preserve">PAT-&gt;ARG1/562</t>
  </si>
  <si>
    <t xml:space="preserve">"zmínit-se-001"</t>
  </si>
  <si>
    <t xml:space="preserve">"zmínit-se-002"</t>
  </si>
  <si>
    <t xml:space="preserve">EFF-&gt;ARG1/44</t>
  </si>
  <si>
    <t xml:space="preserve">"zmírat-001"</t>
  </si>
  <si>
    <t xml:space="preserve">"zmírnit-001"</t>
  </si>
  <si>
    <t xml:space="preserve">ACT-&gt;ARG0/226,ARG1/1</t>
  </si>
  <si>
    <t xml:space="preserve">PAT-&gt;ARG0/18,ARG1/491</t>
  </si>
  <si>
    <t xml:space="preserve">PAT-&gt;ARG1/308,ARG2/1</t>
  </si>
  <si>
    <t xml:space="preserve">ORIG-&gt;ARG3/20</t>
  </si>
  <si>
    <t xml:space="preserve">EFF-&gt;ARG2/3,ARG4/35</t>
  </si>
  <si>
    <t xml:space="preserve">"zmírnit-se-001"</t>
  </si>
  <si>
    <t xml:space="preserve">ACT-&gt;ARG1/3112,ARG2/296</t>
  </si>
  <si>
    <t xml:space="preserve">"zmírnět-001"</t>
  </si>
  <si>
    <t xml:space="preserve">"zmírňovat-001"</t>
  </si>
  <si>
    <t xml:space="preserve">ACT-&gt;ARG0/68,ARG1/1</t>
  </si>
  <si>
    <t xml:space="preserve">PAT-&gt;ARG1/179,ARG2/1</t>
  </si>
  <si>
    <t xml:space="preserve">"zmírňovat-se-001"</t>
  </si>
  <si>
    <t xml:space="preserve">"zmítat-001"</t>
  </si>
  <si>
    <t xml:space="preserve">ACT-&gt;ARG1/2,ARG2/1</t>
  </si>
  <si>
    <t xml:space="preserve">"zmítat-se-001"</t>
  </si>
  <si>
    <t xml:space="preserve">"zmýlit-se-001"</t>
  </si>
  <si>
    <t xml:space="preserve">"změknout-001"</t>
  </si>
  <si>
    <t xml:space="preserve">"změkčit-001"</t>
  </si>
  <si>
    <t xml:space="preserve">"změkčovat-001"</t>
  </si>
  <si>
    <t xml:space="preserve">"změnit-001"</t>
  </si>
  <si>
    <t xml:space="preserve">ACT-&gt;ARG0/422,ARG1/100</t>
  </si>
  <si>
    <t xml:space="preserve">PAT-&gt;ARG1/741,ARG2/26</t>
  </si>
  <si>
    <t xml:space="preserve">ORIG-&gt;ARG1/1,ARG2/6,ARG3/7</t>
  </si>
  <si>
    <t xml:space="preserve">EFF-&gt;ARG1/264,ARG2/138,ARG3/2</t>
  </si>
  <si>
    <t xml:space="preserve">"změnit-002"</t>
  </si>
  <si>
    <t xml:space="preserve">"změnit-003"</t>
  </si>
  <si>
    <t xml:space="preserve">"změnit-004"</t>
  </si>
  <si>
    <t xml:space="preserve">DPHR: k-1[dobrý.a3]</t>
  </si>
  <si>
    <t xml:space="preserve">"změnit-005"</t>
  </si>
  <si>
    <t xml:space="preserve">DPHR: k-1[dobrý.NS3@2]</t>
  </si>
  <si>
    <t xml:space="preserve">"změnit-se-001"</t>
  </si>
  <si>
    <t xml:space="preserve">ACT-&gt;ARG0/1,ARG1/483,ARG2/1</t>
  </si>
  <si>
    <t xml:space="preserve">PAT-&gt;ARG1/2,ARG2/217,ARG4/41</t>
  </si>
  <si>
    <t xml:space="preserve">ORIG-&gt;ARG3/27</t>
  </si>
  <si>
    <t xml:space="preserve">"změřit-001"</t>
  </si>
  <si>
    <t xml:space="preserve">"změřit-002"</t>
  </si>
  <si>
    <t xml:space="preserve">"znamenat-001"</t>
  </si>
  <si>
    <t xml:space="preserve">ACT-&gt;ARG0/13558,ARG1/3150,ARG2/376</t>
  </si>
  <si>
    <t xml:space="preserve">PAT: 4; .f; ↓že; ↓aby; .s; ↓c; .v</t>
  </si>
  <si>
    <t xml:space="preserve">PAT-&gt;ARG0/3,ARG1/12547,ARG2/3461</t>
  </si>
  <si>
    <t xml:space="preserve">"znamenat-002"</t>
  </si>
  <si>
    <t xml:space="preserve">"značit-001"</t>
  </si>
  <si>
    <t xml:space="preserve">ACT-&gt;ARG0/374</t>
  </si>
  <si>
    <t xml:space="preserve">PAT-&gt;ARG1/416</t>
  </si>
  <si>
    <t xml:space="preserve">"značit-002"</t>
  </si>
  <si>
    <t xml:space="preserve">"znechucovat-001"</t>
  </si>
  <si>
    <t xml:space="preserve">"znechutit-001"</t>
  </si>
  <si>
    <t xml:space="preserve">PAT-&gt;ARG1/3112,ARG2/296</t>
  </si>
  <si>
    <t xml:space="preserve">"znegovat-001"</t>
  </si>
  <si>
    <t xml:space="preserve">"znehodnocovat-001"</t>
  </si>
  <si>
    <t xml:space="preserve">ACT-&gt;ARG0/100,ARG2/9</t>
  </si>
  <si>
    <t xml:space="preserve">ACT-&gt;ARG0/99,ARG2/9</t>
  </si>
  <si>
    <t xml:space="preserve">"znehodnotit-001"</t>
  </si>
  <si>
    <t xml:space="preserve">"znehodnotit-002"</t>
  </si>
  <si>
    <t xml:space="preserve">"znehodnotit-se-001"</t>
  </si>
  <si>
    <t xml:space="preserve">"znejistit-001"</t>
  </si>
  <si>
    <t xml:space="preserve">ACT-&gt;ARG0/74,ARG1/1,ARG2/2</t>
  </si>
  <si>
    <t xml:space="preserve">PAT-&gt;ARG0/6,ARG1/118</t>
  </si>
  <si>
    <t xml:space="preserve">"znejistět-001"</t>
  </si>
  <si>
    <t xml:space="preserve">"znejistět-002"</t>
  </si>
  <si>
    <t xml:space="preserve">"zneklidnit-001"</t>
  </si>
  <si>
    <t xml:space="preserve">PAT-&gt;ARG0/2,ARG1/13</t>
  </si>
  <si>
    <t xml:space="preserve">"zneklidnět-001"</t>
  </si>
  <si>
    <t xml:space="preserve">"zneklidňovat-001"</t>
  </si>
  <si>
    <t xml:space="preserve">"znemožnit-001"</t>
  </si>
  <si>
    <t xml:space="preserve">ACT-&gt;ARG0/245,ARG1/76,ARG3/21</t>
  </si>
  <si>
    <t xml:space="preserve">PAT-&gt;ARG0/37,ARG1/407,ARG2/68</t>
  </si>
  <si>
    <t xml:space="preserve">ADDR-&gt;ARG1/73,ARG2/10</t>
  </si>
  <si>
    <t xml:space="preserve">"znemožňovat-001"</t>
  </si>
  <si>
    <t xml:space="preserve">PAT-&gt;ARG1/4,ARG2/7</t>
  </si>
  <si>
    <t xml:space="preserve">"znepokojit-001"</t>
  </si>
  <si>
    <t xml:space="preserve">ACT-&gt;ARG0/46,ARG1/31</t>
  </si>
  <si>
    <t xml:space="preserve">PAT-&gt;ARG0/6,ARG1/60</t>
  </si>
  <si>
    <t xml:space="preserve">"znepokojovat-001"</t>
  </si>
  <si>
    <t xml:space="preserve">ACT-&gt;ARG0/43,ARG1/56,ARG2/1</t>
  </si>
  <si>
    <t xml:space="preserve">PAT-&gt;ARG0/4,ARG1/43</t>
  </si>
  <si>
    <t xml:space="preserve">"znepokojovat-se-001"</t>
  </si>
  <si>
    <t xml:space="preserve">"znepřátelit-001"</t>
  </si>
  <si>
    <t xml:space="preserve">"znepřátelit-si-001"</t>
  </si>
  <si>
    <t xml:space="preserve">"znepříjemnit-001"</t>
  </si>
  <si>
    <t xml:space="preserve">"znepříjemňovat-001"</t>
  </si>
  <si>
    <t xml:space="preserve">"znervóznit-001"</t>
  </si>
  <si>
    <t xml:space="preserve">ACT-&gt;ARG0/60,ARG1/1,ARG2/5</t>
  </si>
  <si>
    <t xml:space="preserve">PAT-&gt;ARG0/6,ARG1/91</t>
  </si>
  <si>
    <t xml:space="preserve">"znervóznit-002"</t>
  </si>
  <si>
    <t xml:space="preserve">ACT-&gt;ARG0/6,ARG1/58</t>
  </si>
  <si>
    <t xml:space="preserve">PAT-&gt;ARG0/40,ARG1/1</t>
  </si>
  <si>
    <t xml:space="preserve">"znervóznět-001"</t>
  </si>
  <si>
    <t xml:space="preserve">"znervózňovat-001"</t>
  </si>
  <si>
    <t xml:space="preserve">ACT-&gt;ARG0/87,ARG1/1,ARG2/5</t>
  </si>
  <si>
    <t xml:space="preserve">PAT-&gt;ARG0/6,ARG1/123</t>
  </si>
  <si>
    <t xml:space="preserve">"znesnadnit-001"</t>
  </si>
  <si>
    <t xml:space="preserve">"znesnadňovat-001"</t>
  </si>
  <si>
    <t xml:space="preserve">"znesvěcovat-001"</t>
  </si>
  <si>
    <t xml:space="preserve">"znetvořit-001"</t>
  </si>
  <si>
    <t xml:space="preserve">"zneuctít-001"</t>
  </si>
  <si>
    <t xml:space="preserve">"zneužít-001"</t>
  </si>
  <si>
    <t xml:space="preserve">"zneužívat-001"</t>
  </si>
  <si>
    <t xml:space="preserve">ACT-&gt;ARG0/324,ARG1/1</t>
  </si>
  <si>
    <t xml:space="preserve">"znevažovat-001"</t>
  </si>
  <si>
    <t xml:space="preserve">"znevážit-001"</t>
  </si>
  <si>
    <t xml:space="preserve">PAT-&gt;ARG0/1,ARG1/23,ARG2/2</t>
  </si>
  <si>
    <t xml:space="preserve">"znevýhodnit-001"</t>
  </si>
  <si>
    <t xml:space="preserve">"znevýhodňovat-001"</t>
  </si>
  <si>
    <t xml:space="preserve">"znečistit-001"</t>
  </si>
  <si>
    <t xml:space="preserve">"znečišťovat-001"</t>
  </si>
  <si>
    <t xml:space="preserve">"zneškodnit-001"</t>
  </si>
  <si>
    <t xml:space="preserve">"znivelizovat-001"</t>
  </si>
  <si>
    <t xml:space="preserve">"zničit-001"</t>
  </si>
  <si>
    <t xml:space="preserve">"zničit-se-001"</t>
  </si>
  <si>
    <t xml:space="preserve">"znormalizovat-001"</t>
  </si>
  <si>
    <t xml:space="preserve">"znovuobjevit-001"</t>
  </si>
  <si>
    <t xml:space="preserve">"znovuobjevovat-001"</t>
  </si>
  <si>
    <t xml:space="preserve">"znovuobnovit-001"</t>
  </si>
  <si>
    <t xml:space="preserve">"znovuotevřít-001"</t>
  </si>
  <si>
    <t xml:space="preserve">ACT-&gt;ARG0/137,ARG1/11,ARG2/2</t>
  </si>
  <si>
    <t xml:space="preserve">"znovuzvolit-001"</t>
  </si>
  <si>
    <t xml:space="preserve">"známkovat-001"</t>
  </si>
  <si>
    <t xml:space="preserve">"znárodnit-001"</t>
  </si>
  <si>
    <t xml:space="preserve">"znárodňovat-001"</t>
  </si>
  <si>
    <t xml:space="preserve">"znásilnit-001"</t>
  </si>
  <si>
    <t xml:space="preserve">"znásilnit-002"</t>
  </si>
  <si>
    <t xml:space="preserve">"znásilňovat-001"</t>
  </si>
  <si>
    <t xml:space="preserve">"znásilňovat-002"</t>
  </si>
  <si>
    <t xml:space="preserve">"znásobit-001"</t>
  </si>
  <si>
    <t xml:space="preserve">"znásobit-002"</t>
  </si>
  <si>
    <t xml:space="preserve">"znásobit-se-001"</t>
  </si>
  <si>
    <t xml:space="preserve">"znásobovat-001"</t>
  </si>
  <si>
    <t xml:space="preserve">"znásobovat-se-001"</t>
  </si>
  <si>
    <t xml:space="preserve">"znát-001"</t>
  </si>
  <si>
    <t xml:space="preserve">ACT-&gt;ARG0/1283,ARG1/2</t>
  </si>
  <si>
    <t xml:space="preserve">PAT-&gt;ARG1/1485,ARG2/17</t>
  </si>
  <si>
    <t xml:space="preserve">"znát-002"</t>
  </si>
  <si>
    <t xml:space="preserve">EFF-&gt;ARG1/316,ARG2/16</t>
  </si>
  <si>
    <t xml:space="preserve">"znát-003"</t>
  </si>
  <si>
    <t xml:space="preserve">"znát-004"</t>
  </si>
  <si>
    <t xml:space="preserve">"znát-005"</t>
  </si>
  <si>
    <t xml:space="preserve">ACT-&gt;ARG0/295,ARG1/100</t>
  </si>
  <si>
    <t xml:space="preserve">"znát-006"</t>
  </si>
  <si>
    <t xml:space="preserve">"znát-se-001"</t>
  </si>
  <si>
    <t xml:space="preserve">"--znát-se-002"</t>
  </si>
  <si>
    <t xml:space="preserve">"znázorňovat-001"</t>
  </si>
  <si>
    <t xml:space="preserve">"znít-001"</t>
  </si>
  <si>
    <t xml:space="preserve">"znít-002"</t>
  </si>
  <si>
    <t xml:space="preserve">"znít-003"</t>
  </si>
  <si>
    <t xml:space="preserve">ACT-&gt;ARG0/12224,ARG1/3459,ARG2/300</t>
  </si>
  <si>
    <t xml:space="preserve">MANN-&gt;ARG0/3,ARG1/10728,ARG2/3766,ARG3/10</t>
  </si>
  <si>
    <t xml:space="preserve">"znít-004"</t>
  </si>
  <si>
    <t xml:space="preserve">ACT-&gt;ARG2/34</t>
  </si>
  <si>
    <t xml:space="preserve">"znít-005"</t>
  </si>
  <si>
    <t xml:space="preserve">ACT-&gt;ARG0/5,ARG1/3138,ARG2/297</t>
  </si>
  <si>
    <t xml:space="preserve">"zněkolikanásobit-001"</t>
  </si>
  <si>
    <t xml:space="preserve">"zobchodovat-001"</t>
  </si>
  <si>
    <t xml:space="preserve">"zobecňovat-001"</t>
  </si>
  <si>
    <t xml:space="preserve">"zobrazit-001"</t>
  </si>
  <si>
    <t xml:space="preserve">PAT-&gt;ARG1/476</t>
  </si>
  <si>
    <t xml:space="preserve">"zobrazit-002"</t>
  </si>
  <si>
    <t xml:space="preserve">"zobrazit-se-001"</t>
  </si>
  <si>
    <t xml:space="preserve">LOC-&gt;ARG1/22</t>
  </si>
  <si>
    <t xml:space="preserve">"zobrazovat-001"</t>
  </si>
  <si>
    <t xml:space="preserve">ACT-&gt;ARG0/49,ARG1/2,ARG2/173</t>
  </si>
  <si>
    <t xml:space="preserve">PAT-&gt;ARG1/765,ARG2/6</t>
  </si>
  <si>
    <t xml:space="preserve">"zobrazovat-se-001"</t>
  </si>
  <si>
    <t xml:space="preserve">"zocelit-001"</t>
  </si>
  <si>
    <t xml:space="preserve">"zocelit-se-001"</t>
  </si>
  <si>
    <t xml:space="preserve">"zodpovídat-001"</t>
  </si>
  <si>
    <t xml:space="preserve">"zodpovídat-002"</t>
  </si>
  <si>
    <t xml:space="preserve">"zodpovídat-se-001"</t>
  </si>
  <si>
    <t xml:space="preserve">PAT: z+2; za+4</t>
  </si>
  <si>
    <t xml:space="preserve">"zodpovědět-001"</t>
  </si>
  <si>
    <t xml:space="preserve">PAT: 4; .f; ↓c; ↓zda</t>
  </si>
  <si>
    <t xml:space="preserve">"zohavit-001"</t>
  </si>
  <si>
    <t xml:space="preserve">"zohlednit-001"</t>
  </si>
  <si>
    <t xml:space="preserve">"zohledňovat-001"</t>
  </si>
  <si>
    <t xml:space="preserve">ACT-&gt;ARG0/2,ARG1/30</t>
  </si>
  <si>
    <t xml:space="preserve">PAT: 4; ↓jak-2; ↓že; ↓c</t>
  </si>
  <si>
    <t xml:space="preserve">PAT-&gt;ARG1/2,ARG2/1,ARG4/25</t>
  </si>
  <si>
    <t xml:space="preserve">"zopakovat-001"</t>
  </si>
  <si>
    <t xml:space="preserve">ACT-&gt;ARG0/30,ARG1/30</t>
  </si>
  <si>
    <t xml:space="preserve">PAT: 4; ↓zda; ↓jestli; ↓aby; .s; ↓c</t>
  </si>
  <si>
    <t xml:space="preserve">"zopakovat-002"</t>
  </si>
  <si>
    <t xml:space="preserve">"zopakovat-003"</t>
  </si>
  <si>
    <t xml:space="preserve">EFF-&gt;ARG1/30</t>
  </si>
  <si>
    <t xml:space="preserve">"zopakovat-se-001"</t>
  </si>
  <si>
    <t xml:space="preserve">"zoptimalizovat-001"</t>
  </si>
  <si>
    <t xml:space="preserve">"zorganizovat-001"</t>
  </si>
  <si>
    <t xml:space="preserve">"zorientovat-se-001"</t>
  </si>
  <si>
    <t xml:space="preserve">"zosnovat-001"</t>
  </si>
  <si>
    <t xml:space="preserve">"zosobňovat-001"</t>
  </si>
  <si>
    <t xml:space="preserve">"zostřit-001"</t>
  </si>
  <si>
    <t xml:space="preserve">"zostřit-se-001"</t>
  </si>
  <si>
    <t xml:space="preserve">"zostřovat-001"</t>
  </si>
  <si>
    <t xml:space="preserve">"zotavit-001"</t>
  </si>
  <si>
    <t xml:space="preserve">"zotavit-se-001"</t>
  </si>
  <si>
    <t xml:space="preserve">ACT-&gt;ARG0/16,ARG1/130</t>
  </si>
  <si>
    <t xml:space="preserve">"zotavovat-se-001"</t>
  </si>
  <si>
    <t xml:space="preserve">"zoufat-si-001"</t>
  </si>
  <si>
    <t xml:space="preserve">"zout-001"</t>
  </si>
  <si>
    <t xml:space="preserve">"zout-002"</t>
  </si>
  <si>
    <t xml:space="preserve">"zošklivit-si-001"</t>
  </si>
  <si>
    <t xml:space="preserve">"zpanikařit-001"</t>
  </si>
  <si>
    <t xml:space="preserve">"zpeněžit-001"</t>
  </si>
  <si>
    <t xml:space="preserve">"zpeněžovat-001"</t>
  </si>
  <si>
    <t xml:space="preserve">"zpestřit-001"</t>
  </si>
  <si>
    <t xml:space="preserve">"zpestřovat-001"</t>
  </si>
  <si>
    <t xml:space="preserve">"zpevnit-001"</t>
  </si>
  <si>
    <t xml:space="preserve">ACT-&gt;ARG0/12,ARG1/34</t>
  </si>
  <si>
    <t xml:space="preserve">PAT-&gt;ARG1/17,ARG4/8</t>
  </si>
  <si>
    <t xml:space="preserve">EFF-&gt;ARG4/8</t>
  </si>
  <si>
    <t xml:space="preserve">"zpevnit-002"</t>
  </si>
  <si>
    <t xml:space="preserve">"zpevňovat-001"</t>
  </si>
  <si>
    <t xml:space="preserve">"zpečetit-001"</t>
  </si>
  <si>
    <t xml:space="preserve">"zplanýrovat-001"</t>
  </si>
  <si>
    <t xml:space="preserve">"zplizovat-001"</t>
  </si>
  <si>
    <t xml:space="preserve">"zplnoletnit-001"</t>
  </si>
  <si>
    <t xml:space="preserve">"zplnomocnit-001"</t>
  </si>
  <si>
    <t xml:space="preserve">"zplnomocňovat-001"</t>
  </si>
  <si>
    <t xml:space="preserve">"zplodit-001"</t>
  </si>
  <si>
    <t xml:space="preserve">"zplodit-002"</t>
  </si>
  <si>
    <t xml:space="preserve">"zploštit-001"</t>
  </si>
  <si>
    <t xml:space="preserve">"zpochybnit-001"</t>
  </si>
  <si>
    <t xml:space="preserve">PAT-&gt;ARG1/87,ARG2/13</t>
  </si>
  <si>
    <t xml:space="preserve">"zpochybňovat-001"</t>
  </si>
  <si>
    <t xml:space="preserve">PAT-&gt;ARG1/110,ARG2/13</t>
  </si>
  <si>
    <t xml:space="preserve">"zpodobňovat-001"</t>
  </si>
  <si>
    <t xml:space="preserve">"zpohodlnět-001"</t>
  </si>
  <si>
    <t xml:space="preserve">"zpolitizovat-001"</t>
  </si>
  <si>
    <t xml:space="preserve">"zpomalit-001"</t>
  </si>
  <si>
    <t xml:space="preserve">ACT-&gt;ARG0/7,ARG1/26</t>
  </si>
  <si>
    <t xml:space="preserve">"zpomalit-002"</t>
  </si>
  <si>
    <t xml:space="preserve">"zpomalit-se-001"</t>
  </si>
  <si>
    <t xml:space="preserve">"zpomalit-se-002"</t>
  </si>
  <si>
    <t xml:space="preserve">"zpomalovat-001"</t>
  </si>
  <si>
    <t xml:space="preserve">"zpomalovat-002"</t>
  </si>
  <si>
    <t xml:space="preserve">ACT-&gt;ARG1/58</t>
  </si>
  <si>
    <t xml:space="preserve">"zpomalovat-se-001"</t>
  </si>
  <si>
    <t xml:space="preserve">"zpopelnit-001"</t>
  </si>
  <si>
    <t xml:space="preserve">"zpopularizovat-001"</t>
  </si>
  <si>
    <t xml:space="preserve">"zpotit-se-001"</t>
  </si>
  <si>
    <t xml:space="preserve">"zpovídat-001"</t>
  </si>
  <si>
    <t xml:space="preserve">"zpozdit-001"</t>
  </si>
  <si>
    <t xml:space="preserve">"zpozdit-se-001"</t>
  </si>
  <si>
    <t xml:space="preserve">"zpozdit-se-002"</t>
  </si>
  <si>
    <t xml:space="preserve">"zpozornět-001"</t>
  </si>
  <si>
    <t xml:space="preserve">"zpozorovat-001"</t>
  </si>
  <si>
    <t xml:space="preserve">"zpožďovat-001"</t>
  </si>
  <si>
    <t xml:space="preserve">"zpožďovat-se-001"</t>
  </si>
  <si>
    <t xml:space="preserve">"zpracovat-001"</t>
  </si>
  <si>
    <t xml:space="preserve">ACT-&gt;ARG0/207,ARG2/2</t>
  </si>
  <si>
    <t xml:space="preserve">ACT-&gt;ARG0/755,ARG1/4</t>
  </si>
  <si>
    <t xml:space="preserve">PAT-&gt;ARG1/1216,ARG2/2</t>
  </si>
  <si>
    <t xml:space="preserve">"zpracovat-002"</t>
  </si>
  <si>
    <t xml:space="preserve">ACT-&gt;ARG0/219,ARG1/1</t>
  </si>
  <si>
    <t xml:space="preserve">PAT-&gt;ARG1/327,ARG2/2</t>
  </si>
  <si>
    <t xml:space="preserve">"zpracovat-003"</t>
  </si>
  <si>
    <t xml:space="preserve">"zpracovat-004"</t>
  </si>
  <si>
    <t xml:space="preserve">"zpracovávat-001"</t>
  </si>
  <si>
    <t xml:space="preserve">ACT-&gt;ARG0/60,ARG1/3102,ARG2/296</t>
  </si>
  <si>
    <t xml:space="preserve">"zpracovávat-002"</t>
  </si>
  <si>
    <t xml:space="preserve">ACT-&gt;ARG0/413,ARG1/2</t>
  </si>
  <si>
    <t xml:space="preserve">PAT-&gt;ARG1/766,ARG2/1</t>
  </si>
  <si>
    <t xml:space="preserve">"zpracovávat-003"</t>
  </si>
  <si>
    <t xml:space="preserve">"zpracovávat-004"</t>
  </si>
  <si>
    <t xml:space="preserve">ACT-&gt;ARG0/329,ARG1/1</t>
  </si>
  <si>
    <t xml:space="preserve">PAT-&gt;ARG1/654,ARG2/1</t>
  </si>
  <si>
    <t xml:space="preserve">"zpravit-001"</t>
  </si>
  <si>
    <t xml:space="preserve">"zprivatizovat-001"</t>
  </si>
  <si>
    <t xml:space="preserve">"zprofanovat-001"</t>
  </si>
  <si>
    <t xml:space="preserve">"zpronevěřit-001"</t>
  </si>
  <si>
    <t xml:space="preserve">"zpronevěřit-se-001"</t>
  </si>
  <si>
    <t xml:space="preserve">"zprostit-001"</t>
  </si>
  <si>
    <t xml:space="preserve">PAT-&gt;ARG1/27,ARG2/8</t>
  </si>
  <si>
    <t xml:space="preserve">ADDR-&gt;ARG1/20,ARG2/2</t>
  </si>
  <si>
    <t xml:space="preserve">"zprostředkovat-001"</t>
  </si>
  <si>
    <t xml:space="preserve">"zprostředkovat-002"</t>
  </si>
  <si>
    <t xml:space="preserve">"zprostředkovávat-001"</t>
  </si>
  <si>
    <t xml:space="preserve">"zprotivit-se-001"</t>
  </si>
  <si>
    <t xml:space="preserve">"zprovoznit-001"</t>
  </si>
  <si>
    <t xml:space="preserve">"zprošťovat-001"</t>
  </si>
  <si>
    <t xml:space="preserve">"zprůhledňovat-001"</t>
  </si>
  <si>
    <t xml:space="preserve">"zprůměrovat-001"</t>
  </si>
  <si>
    <t xml:space="preserve">"zpuchřet-001"</t>
  </si>
  <si>
    <t xml:space="preserve">"zpustošit-001"</t>
  </si>
  <si>
    <t xml:space="preserve">"zpytovat-001"</t>
  </si>
  <si>
    <t xml:space="preserve">"zpívat-001"</t>
  </si>
  <si>
    <t xml:space="preserve">"zpívat-002"</t>
  </si>
  <si>
    <t xml:space="preserve">"zpívat-003"</t>
  </si>
  <si>
    <t xml:space="preserve">"zpívat-004"</t>
  </si>
  <si>
    <t xml:space="preserve">"zpívat-005"</t>
  </si>
  <si>
    <t xml:space="preserve">"zpívávat-001"</t>
  </si>
  <si>
    <t xml:space="preserve">"zpětinásobit-se-001"</t>
  </si>
  <si>
    <t xml:space="preserve">"zpřehlednit-001"</t>
  </si>
  <si>
    <t xml:space="preserve">"zpřeházet-001"</t>
  </si>
  <si>
    <t xml:space="preserve">"zpřesnit-001"</t>
  </si>
  <si>
    <t xml:space="preserve">"zpřesňovat-001"</t>
  </si>
  <si>
    <t xml:space="preserve">"zpřetrhat-001"</t>
  </si>
  <si>
    <t xml:space="preserve">"zpříjemnit-001"</t>
  </si>
  <si>
    <t xml:space="preserve">"zpříjemňovat-001"</t>
  </si>
  <si>
    <t xml:space="preserve">"zpřísnit-001"</t>
  </si>
  <si>
    <t xml:space="preserve">"zpřísnět-001"</t>
  </si>
  <si>
    <t xml:space="preserve">"zpřístupnit-001"</t>
  </si>
  <si>
    <t xml:space="preserve">ACT-&gt;ARG0/268,ARG2/3</t>
  </si>
  <si>
    <t xml:space="preserve">PAT-&gt;ARG1/473,ARG2/5</t>
  </si>
  <si>
    <t xml:space="preserve">ADDR-&gt;ARG1/264</t>
  </si>
  <si>
    <t xml:space="preserve">ADDR-&gt;ARG1/12,ARG2/174,ARG3/29</t>
  </si>
  <si>
    <t xml:space="preserve">"zpřístupnit-002"</t>
  </si>
  <si>
    <t xml:space="preserve">ACT-&gt;ARG0/193,ARG2/1</t>
  </si>
  <si>
    <t xml:space="preserve">"zpřístupňovat-001"</t>
  </si>
  <si>
    <t xml:space="preserve">"zpřísňovat-001"</t>
  </si>
  <si>
    <t xml:space="preserve">"způsobit-001"</t>
  </si>
  <si>
    <t xml:space="preserve">ACT-&gt;ARG0/938,ARG1/91</t>
  </si>
  <si>
    <t xml:space="preserve">PAT-&gt;ARG0/1,ARG1/1262,ARG2/144</t>
  </si>
  <si>
    <t xml:space="preserve">ADDR-&gt;ARG1/55,ARG2/10</t>
  </si>
  <si>
    <t xml:space="preserve">"způsobit-002"</t>
  </si>
  <si>
    <t xml:space="preserve">ACT-&gt;ARG0/2070,ARG1/3298,ARG2/428</t>
  </si>
  <si>
    <t xml:space="preserve">PAT-&gt;ARG0/4,ARG1/2946,ARG2/3773,ARG3/1</t>
  </si>
  <si>
    <t xml:space="preserve">"způsobovat-001"</t>
  </si>
  <si>
    <t xml:space="preserve">ACT-&gt;ARG0/273,ARG1/1</t>
  </si>
  <si>
    <t xml:space="preserve">PAT-&gt;ARG0/1,ARG1/683,ARG4/1</t>
  </si>
  <si>
    <t xml:space="preserve">ADDR-&gt;ARG0/249,ARG1/16,ARG2/167,ARG3/1</t>
  </si>
  <si>
    <t xml:space="preserve">"způsobovat-002"</t>
  </si>
  <si>
    <t xml:space="preserve">ACT-&gt;ARG0/583,ARG1/123,ARG2/3452</t>
  </si>
  <si>
    <t xml:space="preserve">PAT-&gt;ARG0/1,ARG1/3943,ARG2/299</t>
  </si>
  <si>
    <t xml:space="preserve">"zracionalizovat-001"</t>
  </si>
  <si>
    <t xml:space="preserve">"zradit-001"</t>
  </si>
  <si>
    <t xml:space="preserve">"zranit-001"</t>
  </si>
  <si>
    <t xml:space="preserve">ACT-&gt;ARG0/33,ARG2/76</t>
  </si>
  <si>
    <t xml:space="preserve">"zranit-002"</t>
  </si>
  <si>
    <t xml:space="preserve">"zranit-se-001"</t>
  </si>
  <si>
    <t xml:space="preserve">"zrazovat-001"</t>
  </si>
  <si>
    <t xml:space="preserve">"zrazovat-002"</t>
  </si>
  <si>
    <t xml:space="preserve">"zračit-se-001"</t>
  </si>
  <si>
    <t xml:space="preserve">LOC-&gt;ARG0/168</t>
  </si>
  <si>
    <t xml:space="preserve">"zrcadlit-001"</t>
  </si>
  <si>
    <t xml:space="preserve">ACT-&gt;ARG2/9</t>
  </si>
  <si>
    <t xml:space="preserve">"zrealizovat-001"</t>
  </si>
  <si>
    <t xml:space="preserve">ACT-&gt;ARG0/186,ARG1/59</t>
  </si>
  <si>
    <t xml:space="preserve">PAT-&gt;ARG1/251</t>
  </si>
  <si>
    <t xml:space="preserve">"zredukovat-001"</t>
  </si>
  <si>
    <t xml:space="preserve">PAT-&gt;ARG1/639,ARG2/1</t>
  </si>
  <si>
    <t xml:space="preserve">ORIG-&gt;ARG2/8,ARG3/40,ARG4/1</t>
  </si>
  <si>
    <t xml:space="preserve">EFF-&gt;ARG2/13,ARG4/71</t>
  </si>
  <si>
    <t xml:space="preserve">"zredukovat-002"</t>
  </si>
  <si>
    <t xml:space="preserve">"zreformovat-001"</t>
  </si>
  <si>
    <t xml:space="preserve">"zregulovat-001"</t>
  </si>
  <si>
    <t xml:space="preserve">"zrekapitulovat-001"</t>
  </si>
  <si>
    <t xml:space="preserve">"zrekonstruovat-001"</t>
  </si>
  <si>
    <t xml:space="preserve">"zrekonstruovat-002"</t>
  </si>
  <si>
    <t xml:space="preserve">"zrenovovat-001"</t>
  </si>
  <si>
    <t xml:space="preserve">"zreorganizovat-001"</t>
  </si>
  <si>
    <t xml:space="preserve">"zrestaurovat-001"</t>
  </si>
  <si>
    <t xml:space="preserve">"zrevidovat-001"</t>
  </si>
  <si>
    <t xml:space="preserve">"zrodit-001"</t>
  </si>
  <si>
    <t xml:space="preserve">"zrodit-se-001"</t>
  </si>
  <si>
    <t xml:space="preserve">ACT-&gt;ARG0/1,ARG1/20</t>
  </si>
  <si>
    <t xml:space="preserve">"zrudnout-001"</t>
  </si>
  <si>
    <t xml:space="preserve">"zruinovat-001"</t>
  </si>
  <si>
    <t xml:space="preserve">"zrušit-001"</t>
  </si>
  <si>
    <t xml:space="preserve">ACT-&gt;ARG0/630,ARG1/182</t>
  </si>
  <si>
    <t xml:space="preserve">PAT-&gt;ARG1/1135,ARG2/1</t>
  </si>
  <si>
    <t xml:space="preserve">"zrušit-002"</t>
  </si>
  <si>
    <t xml:space="preserve">"zrychlit-001"</t>
  </si>
  <si>
    <t xml:space="preserve">ACT-&gt;ARG0/17,ARG1/15</t>
  </si>
  <si>
    <t xml:space="preserve">"zrychlit-002"</t>
  </si>
  <si>
    <t xml:space="preserve">"zrychlit-se-001"</t>
  </si>
  <si>
    <t xml:space="preserve">"zrychlovat-001"</t>
  </si>
  <si>
    <t xml:space="preserve">"zrychlovat-002"</t>
  </si>
  <si>
    <t xml:space="preserve">"zrychlovat-se-001"</t>
  </si>
  <si>
    <t xml:space="preserve">"zrychtovat-001"</t>
  </si>
  <si>
    <t xml:space="preserve">"zrát-001"</t>
  </si>
  <si>
    <t xml:space="preserve">"zrýt-001"</t>
  </si>
  <si>
    <t xml:space="preserve">"zrůžovět-001"</t>
  </si>
  <si>
    <t xml:space="preserve">"ztenčit-001"</t>
  </si>
  <si>
    <t xml:space="preserve">"ztenčit-se-001"</t>
  </si>
  <si>
    <t xml:space="preserve">"ztenčovat-001"</t>
  </si>
  <si>
    <t xml:space="preserve">"ztenčovat-se-001"</t>
  </si>
  <si>
    <t xml:space="preserve">"ztichnout-001"</t>
  </si>
  <si>
    <t xml:space="preserve">"ztišit-se-001"</t>
  </si>
  <si>
    <t xml:space="preserve">"ztlouci-001"</t>
  </si>
  <si>
    <t xml:space="preserve">"ztloustnout-001"</t>
  </si>
  <si>
    <t xml:space="preserve">"ztlumit-001"</t>
  </si>
  <si>
    <t xml:space="preserve">"ztmavnout-001"</t>
  </si>
  <si>
    <t xml:space="preserve">"ztmavnout-002"</t>
  </si>
  <si>
    <t xml:space="preserve">"ztotožnit-001"</t>
  </si>
  <si>
    <t xml:space="preserve">"ztotožnit-se-001"</t>
  </si>
  <si>
    <t xml:space="preserve">PAT: ↓že; v+6</t>
  </si>
  <si>
    <t xml:space="preserve">ADDR-&gt;ARG1/63</t>
  </si>
  <si>
    <t xml:space="preserve">"ztotožnit-se-002"</t>
  </si>
  <si>
    <t xml:space="preserve">"ztotožňovat-001"</t>
  </si>
  <si>
    <t xml:space="preserve">"ztotožňovat-se-001"</t>
  </si>
  <si>
    <t xml:space="preserve">PAT: ↓že; v+6; na+6</t>
  </si>
  <si>
    <t xml:space="preserve">"ztotožňovat-se-002"</t>
  </si>
  <si>
    <t xml:space="preserve">ACT-&gt;ARG1/2,ARG2/2</t>
  </si>
  <si>
    <t xml:space="preserve">"ztrapnit-001"</t>
  </si>
  <si>
    <t xml:space="preserve">"ztrapňovat-001"</t>
  </si>
  <si>
    <t xml:space="preserve">"ztratit-001"</t>
  </si>
  <si>
    <t xml:space="preserve">ACT-&gt;ARG0/185,ARG1/122,ARG2/1</t>
  </si>
  <si>
    <t xml:space="preserve">PAT-&gt;ARG1/211,ARG2/17,ARG4/104</t>
  </si>
  <si>
    <t xml:space="preserve">ORIG-&gt;ARG3/16,ARG4/3,ARGm-LOC/1</t>
  </si>
  <si>
    <t xml:space="preserve">"ztratit-002"</t>
  </si>
  <si>
    <t xml:space="preserve">ACT-&gt;ARG0/167,ARG1/52</t>
  </si>
  <si>
    <t xml:space="preserve">PAT-&gt;ARG1/197,ARG2/79</t>
  </si>
  <si>
    <t xml:space="preserve">EFF-&gt;ARG2/2,ARG4/63</t>
  </si>
  <si>
    <t xml:space="preserve">"ztratit-003"</t>
  </si>
  <si>
    <t xml:space="preserve">ACT-&gt;ARG0/179,ARG1/730,ARG2/4</t>
  </si>
  <si>
    <t xml:space="preserve">PAT-&gt;ARG1/211,ARG2/95</t>
  </si>
  <si>
    <t xml:space="preserve">"ztratit-004"</t>
  </si>
  <si>
    <t xml:space="preserve">"ztratit-005"</t>
  </si>
  <si>
    <t xml:space="preserve">ACT-&gt;ARG0/169,ARG1/52</t>
  </si>
  <si>
    <t xml:space="preserve">PAT-&gt;ARG1/199,ARG2/79</t>
  </si>
  <si>
    <t xml:space="preserve">"ztratit-006"</t>
  </si>
  <si>
    <t xml:space="preserve">"ztratit-007"</t>
  </si>
  <si>
    <t xml:space="preserve">CPHR: {chuť,možnost,příležitost,šance,...}.4</t>
  </si>
  <si>
    <t xml:space="preserve">CPHR-&gt;ARG1/197,ARG2/1</t>
  </si>
  <si>
    <t xml:space="preserve">"ztratit-008"</t>
  </si>
  <si>
    <t xml:space="preserve">"ztratit-009"</t>
  </si>
  <si>
    <t xml:space="preserve">DPHR: z-1[dohled.S2]</t>
  </si>
  <si>
    <t xml:space="preserve">"ztratit-010"</t>
  </si>
  <si>
    <t xml:space="preserve">DPHR: z-1[doslech.S2]</t>
  </si>
  <si>
    <t xml:space="preserve">"ztratit-011"</t>
  </si>
  <si>
    <t xml:space="preserve">"ztratit-se-001"</t>
  </si>
  <si>
    <t xml:space="preserve">ACT-&gt;ARG0/1,ARG1/334,ARG2/2</t>
  </si>
  <si>
    <t xml:space="preserve">"ztratit-se-002"</t>
  </si>
  <si>
    <t xml:space="preserve">"ztrhat-001"</t>
  </si>
  <si>
    <t xml:space="preserve">"ztrojnásobit-001"</t>
  </si>
  <si>
    <t xml:space="preserve">"ztrojnásobit-se-001"</t>
  </si>
  <si>
    <t xml:space="preserve">"ztroskotat-001"</t>
  </si>
  <si>
    <t xml:space="preserve">"ztroskotat-002"</t>
  </si>
  <si>
    <t xml:space="preserve">"ztroskotávat-001"</t>
  </si>
  <si>
    <t xml:space="preserve">"ztrpknout-001"</t>
  </si>
  <si>
    <t xml:space="preserve">"ztrpčovat-001"</t>
  </si>
  <si>
    <t xml:space="preserve">"ztrácet-001"</t>
  </si>
  <si>
    <t xml:space="preserve">"ztrácet-002"</t>
  </si>
  <si>
    <t xml:space="preserve">ACT-&gt;ARG0/170,ARG1/717,ARG2/4</t>
  </si>
  <si>
    <t xml:space="preserve">PAT-&gt;ARG1/201,ARG2/97,ARG4/435</t>
  </si>
  <si>
    <t xml:space="preserve">"ztrácet-003"</t>
  </si>
  <si>
    <t xml:space="preserve">ACT-&gt;ARG0/170,ARG1/2</t>
  </si>
  <si>
    <t xml:space="preserve">PAT-&gt;ARG1/200,ARG2/1</t>
  </si>
  <si>
    <t xml:space="preserve">"ztrácet-004"</t>
  </si>
  <si>
    <t xml:space="preserve">"ztrácet-005"</t>
  </si>
  <si>
    <t xml:space="preserve">"ztrácet-006"</t>
  </si>
  <si>
    <t xml:space="preserve">ACT-&gt;ARG0/168,ARG1/37</t>
  </si>
  <si>
    <t xml:space="preserve">CPHR: {chuť,příležitost,zájem,...}.4</t>
  </si>
  <si>
    <t xml:space="preserve">CPHR-&gt;ARG1/198,ARG2/1</t>
  </si>
  <si>
    <t xml:space="preserve">"ztrácet-007"</t>
  </si>
  <si>
    <t xml:space="preserve">"ztrácet-008"</t>
  </si>
  <si>
    <t xml:space="preserve">"ztrácet-009"</t>
  </si>
  <si>
    <t xml:space="preserve">"--ztrácet-010"</t>
  </si>
  <si>
    <t xml:space="preserve">DPHR: půdu.S4</t>
  </si>
  <si>
    <t xml:space="preserve">"ztrácet-se-001"</t>
  </si>
  <si>
    <t xml:space="preserve">ACT-&gt;ARG1/197,ARG2/1</t>
  </si>
  <si>
    <t xml:space="preserve">"ztuhnout-001"</t>
  </si>
  <si>
    <t xml:space="preserve">"ztuhnout-002"</t>
  </si>
  <si>
    <t xml:space="preserve">"ztupit-001"</t>
  </si>
  <si>
    <t xml:space="preserve">"ztvrdit-001"</t>
  </si>
  <si>
    <t xml:space="preserve">"ztvárnit-001"</t>
  </si>
  <si>
    <t xml:space="preserve">"ztvárňovat-001"</t>
  </si>
  <si>
    <t xml:space="preserve">"ztížit-001"</t>
  </si>
  <si>
    <t xml:space="preserve">"ztělesnit-001"</t>
  </si>
  <si>
    <t xml:space="preserve">"ztělesňovat-001"</t>
  </si>
  <si>
    <t xml:space="preserve">"ztěžovat-001"</t>
  </si>
  <si>
    <t xml:space="preserve">PAT-&gt;ARG1/276</t>
  </si>
  <si>
    <t xml:space="preserve">"ztřískat-001"</t>
  </si>
  <si>
    <t xml:space="preserve">"zuřit-001"</t>
  </si>
  <si>
    <t xml:space="preserve">"zuřit-002"</t>
  </si>
  <si>
    <t xml:space="preserve">"zušlechtit-001"</t>
  </si>
  <si>
    <t xml:space="preserve">"zužitkovat-001"</t>
  </si>
  <si>
    <t xml:space="preserve">"zužovat-001"</t>
  </si>
  <si>
    <t xml:space="preserve">"zužovat-002"</t>
  </si>
  <si>
    <t xml:space="preserve">"zužovat-se-001"</t>
  </si>
  <si>
    <t xml:space="preserve">PAT-&gt;ARG1/2,ARG3/5</t>
  </si>
  <si>
    <t xml:space="preserve">ORIG-&gt;ARG4/9</t>
  </si>
  <si>
    <t xml:space="preserve">"zužovat-se-002"</t>
  </si>
  <si>
    <t xml:space="preserve">PAT-&gt;ARG1/15,ARG4/4</t>
  </si>
  <si>
    <t xml:space="preserve">"zvadnout-001"</t>
  </si>
  <si>
    <t xml:space="preserve">"zvadnout-002"</t>
  </si>
  <si>
    <t xml:space="preserve">"zvažovat-001"</t>
  </si>
  <si>
    <t xml:space="preserve">ADDR: mezi+7</t>
  </si>
  <si>
    <t xml:space="preserve">"zvažovat-002"</t>
  </si>
  <si>
    <t xml:space="preserve">ACT-&gt;ARG0/323</t>
  </si>
  <si>
    <t xml:space="preserve">PAT-&gt;ARG1/544,ARG2/1</t>
  </si>
  <si>
    <t xml:space="preserve">"zvedat-001"</t>
  </si>
  <si>
    <t xml:space="preserve">EFF-&gt;ARG2/3,ARG3/37,ARG4/37</t>
  </si>
  <si>
    <t xml:space="preserve">"zvedat-002"</t>
  </si>
  <si>
    <t xml:space="preserve">"zvedat-se-001"</t>
  </si>
  <si>
    <t xml:space="preserve">ACT-&gt;ARG1/985,ARG2/4</t>
  </si>
  <si>
    <t xml:space="preserve">"zvedat-se-002"</t>
  </si>
  <si>
    <t xml:space="preserve">"zvedat-se-003"</t>
  </si>
  <si>
    <t xml:space="preserve">ACT-&gt;ARG1/979,ARG2/4</t>
  </si>
  <si>
    <t xml:space="preserve">PAT-&gt;ARG2/6,ARG4/775</t>
  </si>
  <si>
    <t xml:space="preserve">ORIG-&gt;ARG3/352</t>
  </si>
  <si>
    <t xml:space="preserve">"zvednout-001"</t>
  </si>
  <si>
    <t xml:space="preserve">ACT-&gt;ARG0/584,ARG1/184,ARG2/4</t>
  </si>
  <si>
    <t xml:space="preserve">PAT-&gt;ARG1/1929,ARG2/5,ARG4/6</t>
  </si>
  <si>
    <t xml:space="preserve">ORIG-&gt;ARG2/13,ARG3/458</t>
  </si>
  <si>
    <t xml:space="preserve">EFF-&gt;ARG1/1,ARG2/8,ARG4/1011</t>
  </si>
  <si>
    <t xml:space="preserve">"zvednout-002"</t>
  </si>
  <si>
    <t xml:space="preserve">"zvednout-003"</t>
  </si>
  <si>
    <t xml:space="preserve">CPHR: {naděje,...}.4</t>
  </si>
  <si>
    <t xml:space="preserve">"--zvednout-004"</t>
  </si>
  <si>
    <t xml:space="preserve">"zvednout-se-001"</t>
  </si>
  <si>
    <t xml:space="preserve">ACT-&gt;ARG0/2,ARG1/1399,ARG2/4</t>
  </si>
  <si>
    <t xml:space="preserve">PAT-&gt;ARG1/2,ARG2/19,ARG4/949</t>
  </si>
  <si>
    <t xml:space="preserve">ORIG-&gt;ARG3/437</t>
  </si>
  <si>
    <t xml:space="preserve">"zvednout-se-002"</t>
  </si>
  <si>
    <t xml:space="preserve">"zvednout-se-003"</t>
  </si>
  <si>
    <t xml:space="preserve">"zvednout-se-004"</t>
  </si>
  <si>
    <t xml:space="preserve">"zvelebit-001"</t>
  </si>
  <si>
    <t xml:space="preserve">"zvelebovat-001"</t>
  </si>
  <si>
    <t xml:space="preserve">"zveličit-001"</t>
  </si>
  <si>
    <t xml:space="preserve">"zveličovat-001"</t>
  </si>
  <si>
    <t xml:space="preserve">"zveřejnit-001"</t>
  </si>
  <si>
    <t xml:space="preserve">ACT-&gt;ARG0/14114,ARG1/205,ARG2/1</t>
  </si>
  <si>
    <t xml:space="preserve">PAT-&gt;ARG0/2,ARG1/13179,ARG2/2</t>
  </si>
  <si>
    <t xml:space="preserve">"zveřejnit-002"</t>
  </si>
  <si>
    <t xml:space="preserve">ACT-&gt;ARG0/1224,ARG1/4,ARG2/1</t>
  </si>
  <si>
    <t xml:space="preserve">EFF-&gt;ARG1/1582,ARG2/1</t>
  </si>
  <si>
    <t xml:space="preserve">"zveřejňovat-001"</t>
  </si>
  <si>
    <t xml:space="preserve">"zveřejňovat-002"</t>
  </si>
  <si>
    <t xml:space="preserve">"zviditelnit-001"</t>
  </si>
  <si>
    <t xml:space="preserve">"zviditelnit-002"</t>
  </si>
  <si>
    <t xml:space="preserve">"zvlnit-se-001"</t>
  </si>
  <si>
    <t xml:space="preserve">ACT-&gt;ARG0/1,ARG1/12</t>
  </si>
  <si>
    <t xml:space="preserve">"zvládat-001"</t>
  </si>
  <si>
    <t xml:space="preserve">ACT-&gt;ARG0/153</t>
  </si>
  <si>
    <t xml:space="preserve">"zvládat-002"</t>
  </si>
  <si>
    <t xml:space="preserve">"zvládat-003"</t>
  </si>
  <si>
    <t xml:space="preserve">"zvládnout-001"</t>
  </si>
  <si>
    <t xml:space="preserve">ACT-&gt;ARG0/2473,ARG1/20</t>
  </si>
  <si>
    <t xml:space="preserve">PAT-&gt;ARG0/1,ARG1/2733</t>
  </si>
  <si>
    <t xml:space="preserve">"zvládnout-002"</t>
  </si>
  <si>
    <t xml:space="preserve">DPHR: na-1[výborný.FS4@1$11&lt;A&gt;]</t>
  </si>
  <si>
    <t xml:space="preserve">"zvládnout-003"</t>
  </si>
  <si>
    <t xml:space="preserve">"zvládnout-004"</t>
  </si>
  <si>
    <t xml:space="preserve">"--zvládnout-005"</t>
  </si>
  <si>
    <t xml:space="preserve">"zvolat-001"</t>
  </si>
  <si>
    <t xml:space="preserve">"zvolit-001"</t>
  </si>
  <si>
    <t xml:space="preserve">PAT: 4; ↓c; ↓aby</t>
  </si>
  <si>
    <t xml:space="preserve">ACT-&gt;ARG0/890,ARG1/4,ARG2/1</t>
  </si>
  <si>
    <t xml:space="preserve">PAT-&gt;ARG1/1094,ARG2/10,ARG3/1</t>
  </si>
  <si>
    <t xml:space="preserve">"zvolit-002"</t>
  </si>
  <si>
    <t xml:space="preserve">PAT-&gt;ARG1/201,ARG2/7</t>
  </si>
  <si>
    <t xml:space="preserve">EFF-&gt;ARG1/3,ARG2/56</t>
  </si>
  <si>
    <t xml:space="preserve">"zvolnit-001"</t>
  </si>
  <si>
    <t xml:space="preserve">"zvonit-001"</t>
  </si>
  <si>
    <t xml:space="preserve">"zvonit-002"</t>
  </si>
  <si>
    <t xml:space="preserve">"zvonit-003"</t>
  </si>
  <si>
    <t xml:space="preserve">DPHR: hrana.S1</t>
  </si>
  <si>
    <t xml:space="preserve">"zvorat-001"</t>
  </si>
  <si>
    <t xml:space="preserve">"zvracet-001"</t>
  </si>
  <si>
    <t xml:space="preserve">"zvrhnout-se-001"</t>
  </si>
  <si>
    <t xml:space="preserve">ACT-&gt;ARG0/2,ARG1/22</t>
  </si>
  <si>
    <t xml:space="preserve">PAT-&gt;ARG1/4,ARG2/25</t>
  </si>
  <si>
    <t xml:space="preserve">"zvrhnout-se-002"</t>
  </si>
  <si>
    <t xml:space="preserve">"zvrtnout-se-001"</t>
  </si>
  <si>
    <t xml:space="preserve">"zvrátit-001"</t>
  </si>
  <si>
    <t xml:space="preserve">"zvrátit-se-001"</t>
  </si>
  <si>
    <t xml:space="preserve">"zvučet-001"</t>
  </si>
  <si>
    <t xml:space="preserve">"zvykat-si-001"</t>
  </si>
  <si>
    <t xml:space="preserve">ACT-&gt;ARG0/72,ARG1/3</t>
  </si>
  <si>
    <t xml:space="preserve">PAT: na+4; .f; ↓že</t>
  </si>
  <si>
    <t xml:space="preserve">"zvyknout-si-001"</t>
  </si>
  <si>
    <t xml:space="preserve">ACT-&gt;ARG0/180,ARG1/124,ARG2/1</t>
  </si>
  <si>
    <t xml:space="preserve">PAT-&gt;ARG1/267,ARG3/3,ARG4/5</t>
  </si>
  <si>
    <t xml:space="preserve">"zvyšovat-001"</t>
  </si>
  <si>
    <t xml:space="preserve">ACT-&gt;ARG0/672,ARG1/13,ARG2/17</t>
  </si>
  <si>
    <t xml:space="preserve">PAT-&gt;ARG0/2,ARG1/1539,ARG2/5,ARG4/6</t>
  </si>
  <si>
    <t xml:space="preserve">ORIG-&gt;ARG3/162</t>
  </si>
  <si>
    <t xml:space="preserve">EFF-&gt;ARG1/2,ARG2/8,ARG3/37,ARG4/337</t>
  </si>
  <si>
    <t xml:space="preserve">"zvyšovat-se-001"</t>
  </si>
  <si>
    <t xml:space="preserve">ACT-&gt;ARG0/107,ARG1/1848,ARG2/9,ARG4/6</t>
  </si>
  <si>
    <t xml:space="preserve">PAT-&gt;ARG1/182,ARG2/14,ARG4/1030</t>
  </si>
  <si>
    <t xml:space="preserve">ORIG-&gt;ARG3/515</t>
  </si>
  <si>
    <t xml:space="preserve">"zvát-001"</t>
  </si>
  <si>
    <t xml:space="preserve">"zvát-002"</t>
  </si>
  <si>
    <t xml:space="preserve">ACT-&gt;ARG0/197,ARG1/3,ARG2/4</t>
  </si>
  <si>
    <t xml:space="preserve">PAT-&gt;ARG1/325,ARG2/2</t>
  </si>
  <si>
    <t xml:space="preserve">"zvážit-001"</t>
  </si>
  <si>
    <t xml:space="preserve">PAT-&gt;ARG1/362,ARG2/1</t>
  </si>
  <si>
    <t xml:space="preserve">"zvážnět-001"</t>
  </si>
  <si>
    <t xml:space="preserve">"zvítězit-001"</t>
  </si>
  <si>
    <t xml:space="preserve">ACT-&gt;ARG0/92,ARG1/3105,ARG2/296</t>
  </si>
  <si>
    <t xml:space="preserve">PAT-&gt;ARG1/83,ARG2/1</t>
  </si>
  <si>
    <t xml:space="preserve">?ADDR: proti+3; nad+7</t>
  </si>
  <si>
    <t xml:space="preserve">"zvýhodnit-001"</t>
  </si>
  <si>
    <t xml:space="preserve">ACT-&gt;ARG0/636,ARG1/7,ARG3/9</t>
  </si>
  <si>
    <t xml:space="preserve">PAT-&gt;ARG1/854,ARG2/17</t>
  </si>
  <si>
    <t xml:space="preserve">"zvýhodňovat-001"</t>
  </si>
  <si>
    <t xml:space="preserve">"zvýraznit-001"</t>
  </si>
  <si>
    <t xml:space="preserve">"zvýrazňovat-001"</t>
  </si>
  <si>
    <t xml:space="preserve">"zvýšit-001"</t>
  </si>
  <si>
    <t xml:space="preserve">ACT-&gt;ARG0/1147,ARG1/1033,ARG2/46</t>
  </si>
  <si>
    <t xml:space="preserve">PAT-&gt;ARG1/2431,ARG2/6,ARG4/7</t>
  </si>
  <si>
    <t xml:space="preserve">ORIG-&gt;ARG2/13,ARG3/469</t>
  </si>
  <si>
    <t xml:space="preserve">EFF-&gt;ARG1/25,ARG2/32,ARG3/37,ARG4/1098</t>
  </si>
  <si>
    <t xml:space="preserve">"zvýšit-002"</t>
  </si>
  <si>
    <t xml:space="preserve">ACT-&gt;ARG1/1142,ARG2/4</t>
  </si>
  <si>
    <t xml:space="preserve">PAT-&gt;ARG2/12,ARG4/1036</t>
  </si>
  <si>
    <t xml:space="preserve">ORIG-&gt;ARG3/363</t>
  </si>
  <si>
    <t xml:space="preserve">"zvýšit-se-001"</t>
  </si>
  <si>
    <t xml:space="preserve">ACT-&gt;ARG0/166,ARG1/2542,ARG2/8</t>
  </si>
  <si>
    <t xml:space="preserve">PAT-&gt;ARG1/4,ARG2/22,ARG3/37,ARG4/1702</t>
  </si>
  <si>
    <t xml:space="preserve">ORIG-&gt;ARG3/611,ARG4/1</t>
  </si>
  <si>
    <t xml:space="preserve">"zvědět-001"</t>
  </si>
  <si>
    <t xml:space="preserve">"zvědět-002"</t>
  </si>
  <si>
    <t xml:space="preserve">"zvěstovat-001"</t>
  </si>
  <si>
    <t xml:space="preserve">"zvětšit-001"</t>
  </si>
  <si>
    <t xml:space="preserve">ACT-&gt;ARG0/193,ARG1/6</t>
  </si>
  <si>
    <t xml:space="preserve">PAT-&gt;ARG1/374,ARG2/1,ARG4/6</t>
  </si>
  <si>
    <t xml:space="preserve">ORIG-&gt;ARG3/40</t>
  </si>
  <si>
    <t xml:space="preserve">EFF-&gt;ARG2/2,ARG4/87</t>
  </si>
  <si>
    <t xml:space="preserve">"zvětšit-se-001"</t>
  </si>
  <si>
    <t xml:space="preserve">ACT-&gt;ARG0/5,ARG1/414,ARG2/4</t>
  </si>
  <si>
    <t xml:space="preserve">PAT-&gt;ARG1/2,ARG2/3,ARG4/170</t>
  </si>
  <si>
    <t xml:space="preserve">ORIG-&gt;ARG3/85</t>
  </si>
  <si>
    <t xml:space="preserve">"zvětšovat-001"</t>
  </si>
  <si>
    <t xml:space="preserve">"zvětšovat-se-001"</t>
  </si>
  <si>
    <t xml:space="preserve">ACT-&gt;ARG0/3,ARG1/55</t>
  </si>
  <si>
    <t xml:space="preserve">PAT-&gt;ARG1/1,ARG4/36</t>
  </si>
  <si>
    <t xml:space="preserve">ORIG-&gt;ARG3/10</t>
  </si>
  <si>
    <t xml:space="preserve">"zvěčnit-001"</t>
  </si>
  <si>
    <t xml:space="preserve">"zábst-001"</t>
  </si>
  <si>
    <t xml:space="preserve">"záležet-001"</t>
  </si>
  <si>
    <t xml:space="preserve">ACT: 1; ↓zda; ↓že; ↓jestli; ↓jak; ↓c</t>
  </si>
  <si>
    <t xml:space="preserve">PAT: na+6; ↓c</t>
  </si>
  <si>
    <t xml:space="preserve">ACT-&gt;ARG0/53,ARG1/95</t>
  </si>
  <si>
    <t xml:space="preserve">ACT-&gt;ARG0/46,ARG1/1,ARG2/1</t>
  </si>
  <si>
    <t xml:space="preserve">PAT-&gt;ARG0/35,ARG1/95</t>
  </si>
  <si>
    <t xml:space="preserve">"záležet-002"</t>
  </si>
  <si>
    <t xml:space="preserve">"zápasit-001"</t>
  </si>
  <si>
    <t xml:space="preserve">"zápasit-002"</t>
  </si>
  <si>
    <t xml:space="preserve">"zápolit-001"</t>
  </si>
  <si>
    <t xml:space="preserve">"zásobit-001"</t>
  </si>
  <si>
    <t xml:space="preserve">ACT-&gt;ARG0/10,ARG2/33</t>
  </si>
  <si>
    <t xml:space="preserve">ADDR-&gt;ARG0/1,ARG1/36,ARG2/18</t>
  </si>
  <si>
    <t xml:space="preserve">ADDR-&gt;ARG0/1,ARG1/14,ARG2/73</t>
  </si>
  <si>
    <t xml:space="preserve">PAT-&gt;ARG1/91,ARG2/17</t>
  </si>
  <si>
    <t xml:space="preserve">"zásobovat-001"</t>
  </si>
  <si>
    <t xml:space="preserve">ACT-&gt;ARG0/125</t>
  </si>
  <si>
    <t xml:space="preserve">ACT-&gt;ARG0/433</t>
  </si>
  <si>
    <t xml:space="preserve">ADDR-&gt;ARG0/2,ARG1/46,ARG2/91</t>
  </si>
  <si>
    <t xml:space="preserve">ADDR-&gt;ARG0/1,ARG1/20,ARG2/456,ARG4/2</t>
  </si>
  <si>
    <t xml:space="preserve">PAT-&gt;ARG1/579,ARG2/25</t>
  </si>
  <si>
    <t xml:space="preserve">"závidět-001"</t>
  </si>
  <si>
    <t xml:space="preserve">PAT: 4; ↓c; ↓když</t>
  </si>
  <si>
    <t xml:space="preserve">"záviset-001"</t>
  </si>
  <si>
    <t xml:space="preserve">ACT: 1; ↓zda; ↓že; ↓c; ↓aby</t>
  </si>
  <si>
    <t xml:space="preserve">ACT-&gt;ARG0/48,ARG1/5</t>
  </si>
  <si>
    <t xml:space="preserve">PAT-&gt;ARG1/67,ARG2/6</t>
  </si>
  <si>
    <t xml:space="preserve">"závodit-001"</t>
  </si>
  <si>
    <t xml:space="preserve">?PAT: o+4; 4</t>
  </si>
  <si>
    <t xml:space="preserve">"závodit-si-001"</t>
  </si>
  <si>
    <t xml:space="preserve">"zářit-001"</t>
  </si>
  <si>
    <t xml:space="preserve">ACT-&gt;ARG0/196,ARG1/5</t>
  </si>
  <si>
    <t xml:space="preserve">"zářit-002"</t>
  </si>
  <si>
    <t xml:space="preserve">"zírat-001"</t>
  </si>
  <si>
    <t xml:space="preserve">"zírat-002"</t>
  </si>
  <si>
    <t xml:space="preserve">"zírat-003"</t>
  </si>
  <si>
    <t xml:space="preserve">CPHR: {překvapení,údiv,...}.7</t>
  </si>
  <si>
    <t xml:space="preserve">"získat-001"</t>
  </si>
  <si>
    <t xml:space="preserve">ACT-&gt;ARG0/312,ARG2/1</t>
  </si>
  <si>
    <t xml:space="preserve">ACT-&gt;ARG0/2308,ARG1/27</t>
  </si>
  <si>
    <t xml:space="preserve">PAT-&gt;ARG1/3390,ARG2/4,ARG3/2,ARG4/2</t>
  </si>
  <si>
    <t xml:space="preserve">ORIG-&gt;ARG1/7,ARG2/14,ARG3/6</t>
  </si>
  <si>
    <t xml:space="preserve">ORIG-&gt;ARG1/15,ARG2/360,ARG3/13</t>
  </si>
  <si>
    <t xml:space="preserve">ACT-&gt;ARG0/5267,ARG1/672,ARG2/561</t>
  </si>
  <si>
    <t xml:space="preserve">PAT-&gt;ARG0/48,ARG1/7785,ARG2/672,ARG3/1,ARG4/4</t>
  </si>
  <si>
    <t xml:space="preserve">ORIG-&gt;ARG0/29,ARG1/18,ARG2/284,ARG3/60</t>
  </si>
  <si>
    <t xml:space="preserve">"získat-002"</t>
  </si>
  <si>
    <t xml:space="preserve">ACT-&gt;ARG0/671,ARG1/9</t>
  </si>
  <si>
    <t xml:space="preserve">PAT-&gt;ARG1/825,ARG2/2,ARG4/1</t>
  </si>
  <si>
    <t xml:space="preserve">ORIG-&gt;ARG1/6,ARG2/121,ARG3/11</t>
  </si>
  <si>
    <t xml:space="preserve">"získat-003"</t>
  </si>
  <si>
    <t xml:space="preserve">PAT-&gt;ARG2/168,ARG4/3</t>
  </si>
  <si>
    <t xml:space="preserve">EFF-&gt;ARG2/6,ARG4/163</t>
  </si>
  <si>
    <t xml:space="preserve">ACT-&gt;ARG1/160</t>
  </si>
  <si>
    <t xml:space="preserve">PAT-&gt;ARG2/176,ARG4/3</t>
  </si>
  <si>
    <t xml:space="preserve">EFF-&gt;ARG2/6,ARG4/171</t>
  </si>
  <si>
    <t xml:space="preserve">"získat-004"</t>
  </si>
  <si>
    <t xml:space="preserve">ACT-&gt;ARG0/4339,ARG1/232,ARG2/370</t>
  </si>
  <si>
    <t xml:space="preserve">PAT-&gt;ARG0/4,ARG1/6195,ARG2/173,ARG3/1,ARG4/4</t>
  </si>
  <si>
    <t xml:space="preserve">"získat-005"</t>
  </si>
  <si>
    <t xml:space="preserve">ACT-&gt;ARG0/867,ARG1/139</t>
  </si>
  <si>
    <t xml:space="preserve">PAT: na+6; 4</t>
  </si>
  <si>
    <t xml:space="preserve">PAT-&gt;ARG1/1402,ARG2/170,ARG4/4</t>
  </si>
  <si>
    <t xml:space="preserve">"získat-006"</t>
  </si>
  <si>
    <t xml:space="preserve">CPHR: {dojem,pocit,podezření,podnět,prospěch,přesvědčení,...}.4</t>
  </si>
  <si>
    <t xml:space="preserve">"získat-007"</t>
  </si>
  <si>
    <t xml:space="preserve">CPHR: {důvěra,důvod,důvod,impuls,kontrola,možnost,odpověď,odpověď,opatření,oprávnění,podíl,podnět,podpora,podpora,povolení,právo,prospěch,představa,přehled,příležitost,příslib,přístup,rada,respekt,respekt,schválení,slib,souhlas,svolení,vědomost,vliv,výhoda,výhoda,zákaz,zákaz,zkušenost,znalost,...}.4</t>
  </si>
  <si>
    <t xml:space="preserve">ACT-&gt;ARG0/380,ARG1/11,ARG2/154</t>
  </si>
  <si>
    <t xml:space="preserve">CPHR-&gt;ARG1/597,ARG2/2</t>
  </si>
  <si>
    <t xml:space="preserve">ORIG-&gt;ARG1/2,ARG2/91,ARG3/5</t>
  </si>
  <si>
    <t xml:space="preserve">CPHR-&gt;ARG1/84</t>
  </si>
  <si>
    <t xml:space="preserve">ORIG-&gt;ARG2/18</t>
  </si>
  <si>
    <t xml:space="preserve">ACT-&gt;ARG0/3144,ARG1/29,ARG2/24</t>
  </si>
  <si>
    <t xml:space="preserve">CPHR-&gt;ARG0/1,ARG1/3694,ARG2/2,ARG4/1</t>
  </si>
  <si>
    <t xml:space="preserve">ORIG-&gt;ARG1/6,ARG2/167,ARG3/11</t>
  </si>
  <si>
    <t xml:space="preserve">CPHR-&gt;ARG1/294</t>
  </si>
  <si>
    <t xml:space="preserve">ORIG-&gt;ARG2/20</t>
  </si>
  <si>
    <t xml:space="preserve">ACT-&gt;ARG0/960,ARG1/12</t>
  </si>
  <si>
    <t xml:space="preserve">CPHR-&gt;ARG1/1358,ARG2/4,ARG4/1</t>
  </si>
  <si>
    <t xml:space="preserve">ORIG-&gt;ARG1/5,ARG2/137,ARG3/5</t>
  </si>
  <si>
    <t xml:space="preserve">"získat-008"</t>
  </si>
  <si>
    <t xml:space="preserve">"--získat-009"</t>
  </si>
  <si>
    <t xml:space="preserve">"získávat-001"</t>
  </si>
  <si>
    <t xml:space="preserve">ACT-&gt;ARG0/1399,ARG1/16,ARG2/3</t>
  </si>
  <si>
    <t xml:space="preserve">PAT-&gt;ARG1/2127,ARG2/2,ARG4/1</t>
  </si>
  <si>
    <t xml:space="preserve">ORIG-&gt;ARG1/8,ARG2/201,ARG3/51</t>
  </si>
  <si>
    <t xml:space="preserve">"získávat-002"</t>
  </si>
  <si>
    <t xml:space="preserve">ACT-&gt;ARG0/2689,ARG1/26</t>
  </si>
  <si>
    <t xml:space="preserve">PAT-&gt;ARG0/1,ARG1/3017,ARG2/3,ARG4/1</t>
  </si>
  <si>
    <t xml:space="preserve">"získávat-003"</t>
  </si>
  <si>
    <t xml:space="preserve">ACT-&gt;ARG0/54,ARG1/3</t>
  </si>
  <si>
    <t xml:space="preserve">PAT-&gt;ARG1/90,ARG2/2</t>
  </si>
  <si>
    <t xml:space="preserve">ACT-&gt;ARG0/44,ARG1/134</t>
  </si>
  <si>
    <t xml:space="preserve">PAT-&gt;ARG1/72,ARG2/2</t>
  </si>
  <si>
    <t xml:space="preserve">"získávat-004"</t>
  </si>
  <si>
    <t xml:space="preserve">CPHR: {dojem,přesvědčení,...}.4</t>
  </si>
  <si>
    <t xml:space="preserve">"získávat-005"</t>
  </si>
  <si>
    <t xml:space="preserve">CPHR: {důvěra,impuls,možnost,nápad,náskok,povolení,právo,přehled,příslib,přístup,respekt,slib,souhlas,vliv,znalost,zkušenost,...}.4</t>
  </si>
  <si>
    <t xml:space="preserve">CPHR-&gt;ARG1/72,ARG2/2</t>
  </si>
  <si>
    <t xml:space="preserve">ACT-&gt;ARG0/256,ARG1/6</t>
  </si>
  <si>
    <t xml:space="preserve">CPHR-&gt;ARG1/351,ARG4/1</t>
  </si>
  <si>
    <t xml:space="preserve">ORIG-&gt;ARG1/3,ARG2/31</t>
  </si>
  <si>
    <t xml:space="preserve">"zúročit-001"</t>
  </si>
  <si>
    <t xml:space="preserve">"zúročit-se-001"</t>
  </si>
  <si>
    <t xml:space="preserve">"zútulnit-001"</t>
  </si>
  <si>
    <t xml:space="preserve">"zúčastnit-se-001"</t>
  </si>
  <si>
    <t xml:space="preserve">ACT-&gt;ARG0/99,ARG1/91</t>
  </si>
  <si>
    <t xml:space="preserve">PAT: 2; na+6</t>
  </si>
  <si>
    <t xml:space="preserve">"zúčastňovat-se-001"</t>
  </si>
  <si>
    <t xml:space="preserve">"zúčtovat-001"</t>
  </si>
  <si>
    <t xml:space="preserve">"zúčtovat-002"</t>
  </si>
  <si>
    <t xml:space="preserve">"zúžit-001"</t>
  </si>
  <si>
    <t xml:space="preserve">ACT-&gt;ARG0/16,ARG1/3</t>
  </si>
  <si>
    <t xml:space="preserve">PAT-&gt;ARG1/35,ARG4/4</t>
  </si>
  <si>
    <t xml:space="preserve">"zúžit-002"</t>
  </si>
  <si>
    <t xml:space="preserve">"zúžit-se-001"</t>
  </si>
  <si>
    <t xml:space="preserve">"zúžit-se-002"</t>
  </si>
  <si>
    <t xml:space="preserve">"zčervenat-001"</t>
  </si>
  <si>
    <t xml:space="preserve">"zčitelnit-001"</t>
  </si>
  <si>
    <t xml:space="preserve">"zčtyřnásobit-se-001"</t>
  </si>
  <si>
    <t xml:space="preserve">"zřeknout-se-001"</t>
  </si>
  <si>
    <t xml:space="preserve">"zřezat-001"</t>
  </si>
  <si>
    <t xml:space="preserve">"zřizovat-001"</t>
  </si>
  <si>
    <t xml:space="preserve">PAT-&gt;ARG1/368</t>
  </si>
  <si>
    <t xml:space="preserve">"zříci-se-001"</t>
  </si>
  <si>
    <t xml:space="preserve">"zřídit-001"</t>
  </si>
  <si>
    <t xml:space="preserve">"zřídit-002"</t>
  </si>
  <si>
    <t xml:space="preserve">"zříkat-se-001"</t>
  </si>
  <si>
    <t xml:space="preserve">"zřít-001"</t>
  </si>
  <si>
    <t xml:space="preserve">"zřítit-se-001"</t>
  </si>
  <si>
    <t xml:space="preserve">PAT-&gt;ARG2/1,ARG4/10</t>
  </si>
  <si>
    <t xml:space="preserve">"zřítit-se-002"</t>
  </si>
  <si>
    <t xml:space="preserve">ACT-&gt;ARG0/5,ARG1/1334,ARG2/4</t>
  </si>
  <si>
    <t xml:space="preserve">ACT-&gt;ARG0/5,ARG1/1490,ARG2/4</t>
  </si>
  <si>
    <t xml:space="preserve">"zůstat-001"</t>
  </si>
  <si>
    <t xml:space="preserve">ACT-&gt;ARG1/136,ARG2/49</t>
  </si>
  <si>
    <t xml:space="preserve">PAT-&gt;ARG3/60</t>
  </si>
  <si>
    <t xml:space="preserve">"zůstat-002"</t>
  </si>
  <si>
    <t xml:space="preserve">ACT-&gt;ARG0/222,ARG1/4016,ARG2/300,ARG3/1,ARG4/1</t>
  </si>
  <si>
    <t xml:space="preserve">PAT: 7; .a1; .a7; .f</t>
  </si>
  <si>
    <t xml:space="preserve">PAT-&gt;ARG1/500,ARG2/3559,ARG3/355</t>
  </si>
  <si>
    <t xml:space="preserve">"zůstat-003"</t>
  </si>
  <si>
    <t xml:space="preserve">PAT: při+6; s+7</t>
  </si>
  <si>
    <t xml:space="preserve">"zůstat-004"</t>
  </si>
  <si>
    <t xml:space="preserve">ACT-&gt;ARG1/3346,ARG2/296</t>
  </si>
  <si>
    <t xml:space="preserve">PAT-&gt;ARG0/73,ARG1/1,ARG3/3</t>
  </si>
  <si>
    <t xml:space="preserve">"zůstat-005"</t>
  </si>
  <si>
    <t xml:space="preserve">ACT-&gt;ARG0/215,ARG1/978,ARG2/3,ARG3/1</t>
  </si>
  <si>
    <t xml:space="preserve">LOC-&gt;ARG1/289,ARG2/313,ARG3/127</t>
  </si>
  <si>
    <t xml:space="preserve">"zůstat-006"</t>
  </si>
  <si>
    <t xml:space="preserve">ACT-&gt;ARG0/26,ARG1/3955,ARG2/302,ARG3/1</t>
  </si>
  <si>
    <t xml:space="preserve">LOC-&gt;ARG0/1,ARG1/22,ARG2/312,ARG3/415</t>
  </si>
  <si>
    <t xml:space="preserve">ACMP-&gt;ARG1/124,ARG2/3559</t>
  </si>
  <si>
    <t xml:space="preserve">"zůstat-007"</t>
  </si>
  <si>
    <t xml:space="preserve">ACT: na+6; při+6; u+2; v+6</t>
  </si>
  <si>
    <t xml:space="preserve">"zůstat-008"</t>
  </si>
  <si>
    <t xml:space="preserve">DPHR: sám.1</t>
  </si>
  <si>
    <t xml:space="preserve">PAT: v+6; s+7; na+4</t>
  </si>
  <si>
    <t xml:space="preserve">"zůstat-009"</t>
  </si>
  <si>
    <t xml:space="preserve">DPHR: na-1[ocet.S4]</t>
  </si>
  <si>
    <t xml:space="preserve">DPHR-&gt;ARG1/9</t>
  </si>
  <si>
    <t xml:space="preserve">"zůstat-010"</t>
  </si>
  <si>
    <t xml:space="preserve">LOC-&gt;ARG1/121,ARG2/3451</t>
  </si>
  <si>
    <t xml:space="preserve">"zůstat-011"</t>
  </si>
  <si>
    <t xml:space="preserve">DPHR-&gt;ARG3/60</t>
  </si>
  <si>
    <t xml:space="preserve">"zůstat-012"</t>
  </si>
  <si>
    <t xml:space="preserve">DPHR: stát-3.f</t>
  </si>
  <si>
    <t xml:space="preserve">"zůstat-013"</t>
  </si>
  <si>
    <t xml:space="preserve">"--zůstat-014"</t>
  </si>
  <si>
    <t xml:space="preserve">"zůstávat-001"</t>
  </si>
  <si>
    <t xml:space="preserve">"zůstávat-002"</t>
  </si>
  <si>
    <t xml:space="preserve">"zůstávat-003"</t>
  </si>
  <si>
    <t xml:space="preserve">ACT: 1; ↓zda; ↓že; ↓c</t>
  </si>
  <si>
    <t xml:space="preserve">ACT-&gt;ARG1/3373,ARG2/296,ARG3/1</t>
  </si>
  <si>
    <t xml:space="preserve">PAT: s+7; 7; .a1; .a7; .f</t>
  </si>
  <si>
    <t xml:space="preserve">PAT-&gt;ARG1/124,ARG2/3451,ARG3/290</t>
  </si>
  <si>
    <t xml:space="preserve">ACT-&gt;ARG0/579,ARG1/3667,ARG2/296,ARG3/3</t>
  </si>
  <si>
    <t xml:space="preserve">PAT-&gt;ARG1/895,ARG2/3475,ARG3/392</t>
  </si>
  <si>
    <t xml:space="preserve">"zůstávat-004"</t>
  </si>
  <si>
    <t xml:space="preserve">"zůstávat-005"</t>
  </si>
  <si>
    <t xml:space="preserve">ACT-&gt;ARG1/1090,ARG2/4,ARG3/1</t>
  </si>
  <si>
    <t xml:space="preserve">LOC-&gt;ARG1/5,ARG2/305,ARG3/382</t>
  </si>
  <si>
    <t xml:space="preserve">"zůstávat-006"</t>
  </si>
  <si>
    <t xml:space="preserve">ACT-&gt;ARG1/473,ARG2/3,ARG3/1</t>
  </si>
  <si>
    <t xml:space="preserve">LOC-&gt;ARG1/6,ARG2/46,ARG3/382</t>
  </si>
  <si>
    <t xml:space="preserve">"zůstávat-007"</t>
  </si>
  <si>
    <t xml:space="preserve">ACT: u+2; na+6; při+6</t>
  </si>
  <si>
    <t xml:space="preserve">"zůstávat-008"</t>
  </si>
  <si>
    <t xml:space="preserve">DPHR: při-1[starý-2.N6]</t>
  </si>
  <si>
    <t xml:space="preserve">"zůstávat-009"</t>
  </si>
  <si>
    <t xml:space="preserve">"zůstávat-010"</t>
  </si>
  <si>
    <t xml:space="preserve">DPHR: rozum.S1,stát-3.f$11&lt;A&gt;</t>
  </si>
  <si>
    <t xml:space="preserve">"zůstávat-011"</t>
  </si>
  <si>
    <t xml:space="preserve">PAT: u+2</t>
  </si>
  <si>
    <t xml:space="preserve">"zželet-se-001"</t>
  </si>
  <si>
    <t xml:space="preserve">"úpět-001"</t>
  </si>
  <si>
    <t xml:space="preserve">?PAT: nad+7; na+4; ↓že; ↓c</t>
  </si>
  <si>
    <t xml:space="preserve">"úročit-001"</t>
  </si>
  <si>
    <t xml:space="preserve">"ústit-001"</t>
  </si>
  <si>
    <t xml:space="preserve">"ústit-002"</t>
  </si>
  <si>
    <t xml:space="preserve">"útočit-001"</t>
  </si>
  <si>
    <t xml:space="preserve">"úvěrovat-001"</t>
  </si>
  <si>
    <t xml:space="preserve">ACT-&gt;ARG0/295</t>
  </si>
  <si>
    <t xml:space="preserve">PAT-&gt;ARG1/448,ARG2/2</t>
  </si>
  <si>
    <t xml:space="preserve">"účastnit-se-001"</t>
  </si>
  <si>
    <t xml:space="preserve">ACT-&gt;ARG0/459,ARG1/3722,ARG2/308</t>
  </si>
  <si>
    <t xml:space="preserve">PAT-&gt;ARG0/12,ARG1/597,ARG2/490,ARG4/1</t>
  </si>
  <si>
    <t xml:space="preserve">"účinkovat-001"</t>
  </si>
  <si>
    <t xml:space="preserve">"účinkovat-002"</t>
  </si>
  <si>
    <t xml:space="preserve">"účtovat-001"</t>
  </si>
  <si>
    <t xml:space="preserve">PAT-&gt;ARG0/1,ARG1/121,ARG3/3</t>
  </si>
  <si>
    <t xml:space="preserve">ADDR-&gt;ARG1/2,ARG2/9,ARG3/1</t>
  </si>
  <si>
    <t xml:space="preserve">ADDR-&gt;ARG1/2,ARG2/22,ARG3/1</t>
  </si>
  <si>
    <t xml:space="preserve">"účtovat-si-001"</t>
  </si>
  <si>
    <t xml:space="preserve">PAT-&gt;ARG0/1,ARG1/32</t>
  </si>
  <si>
    <t xml:space="preserve">ADDR-&gt;ARG1/2,ARG2/6,ARG3/1</t>
  </si>
  <si>
    <t xml:space="preserve">EFF-&gt;ARG1/2,ARG3/24</t>
  </si>
  <si>
    <t xml:space="preserve">"účtovat-si-002"</t>
  </si>
  <si>
    <t xml:space="preserve">PAT-&gt;ARG0/1,ARG1/42</t>
  </si>
  <si>
    <t xml:space="preserve">"úřadovat-001"</t>
  </si>
  <si>
    <t xml:space="preserve">"čalounit-001"</t>
  </si>
  <si>
    <t xml:space="preserve">"čapnout-001"</t>
  </si>
  <si>
    <t xml:space="preserve">"čapnout-002"</t>
  </si>
  <si>
    <t xml:space="preserve">"časovat-001"</t>
  </si>
  <si>
    <t xml:space="preserve">"častovat-001"</t>
  </si>
  <si>
    <t xml:space="preserve">PAT-&gt;ARG3/4</t>
  </si>
  <si>
    <t xml:space="preserve">"častovat-002"</t>
  </si>
  <si>
    <t xml:space="preserve">"čekat-001"</t>
  </si>
  <si>
    <t xml:space="preserve">"čekat-002"</t>
  </si>
  <si>
    <t xml:space="preserve">ACT-&gt;ARG0/1328,ARG1/88,ARG2/2</t>
  </si>
  <si>
    <t xml:space="preserve">PAT: 4; na+4; ↓jestli; ↓zda; ↓zdali; ↓že; ↓c</t>
  </si>
  <si>
    <t xml:space="preserve">PAT-&gt;ARG1/1470,ARG2/94,ARGm-TMP/1</t>
  </si>
  <si>
    <t xml:space="preserve">"čekat-003"</t>
  </si>
  <si>
    <t xml:space="preserve">PAT: 4; na+4; ↓že; ↓jestli; ↓až-2; ↓zda; ↓než-2</t>
  </si>
  <si>
    <t xml:space="preserve">ACT-&gt;ARG0/74,ARG1/4984,ARG2/301,ARG4/1</t>
  </si>
  <si>
    <t xml:space="preserve">PAT-&gt;ARG0/897,ARG1/241,ARG2/3553,ARGm-TMP/2</t>
  </si>
  <si>
    <t xml:space="preserve">ACT-&gt;ARG0/648,ARG1/47,ARG2/1</t>
  </si>
  <si>
    <t xml:space="preserve">PAT-&gt;ARG1/739,ARG2/66,ARGm-TMP/1</t>
  </si>
  <si>
    <t xml:space="preserve">"čekat-004"</t>
  </si>
  <si>
    <t xml:space="preserve">"čekat-006"</t>
  </si>
  <si>
    <t xml:space="preserve">"čekat-007"</t>
  </si>
  <si>
    <t xml:space="preserve">PAT: ↓že; ↓až-3; ↓než</t>
  </si>
  <si>
    <t xml:space="preserve">"čekat-se-001"</t>
  </si>
  <si>
    <t xml:space="preserve">"čekávat-001"</t>
  </si>
  <si>
    <t xml:space="preserve">PAT: 4; na+4; ↓že; ↓jestli; ↓až-2; ↓zda</t>
  </si>
  <si>
    <t xml:space="preserve">"čelit-001"</t>
  </si>
  <si>
    <t xml:space="preserve">ACT-&gt;ARG0/568,ARG1/10</t>
  </si>
  <si>
    <t xml:space="preserve">PAT-&gt;ARG0/21,ARG1/753,ARG2/3</t>
  </si>
  <si>
    <t xml:space="preserve">"čepovat-001"</t>
  </si>
  <si>
    <t xml:space="preserve">"čerpat-001"</t>
  </si>
  <si>
    <t xml:space="preserve">?ORIG: z+2; od+2; odtud; odkud; odkudkoliv; odevšad; odtamtud; odjinud; odtud; odněkud; odnikud; odkudsi</t>
  </si>
  <si>
    <t xml:space="preserve">ACT-&gt;ARG0/43,ARG2/1</t>
  </si>
  <si>
    <t xml:space="preserve">PAT-&gt;ARG1/37,ARG2/15</t>
  </si>
  <si>
    <t xml:space="preserve">ORIG-&gt;ARG1/16,ARG2/11</t>
  </si>
  <si>
    <t xml:space="preserve">"čerpat-002"</t>
  </si>
  <si>
    <t xml:space="preserve">"--čerpat-003"</t>
  </si>
  <si>
    <t xml:space="preserve">"čertit-se-001"</t>
  </si>
  <si>
    <t xml:space="preserve">"česat-001"</t>
  </si>
  <si>
    <t xml:space="preserve">"česat-002"</t>
  </si>
  <si>
    <t xml:space="preserve">"česat-003"</t>
  </si>
  <si>
    <t xml:space="preserve">"česávat-001"</t>
  </si>
  <si>
    <t xml:space="preserve">"čeřit-001"</t>
  </si>
  <si>
    <t xml:space="preserve">"čeřit-002"</t>
  </si>
  <si>
    <t xml:space="preserve">DPHR: hladina.4</t>
  </si>
  <si>
    <t xml:space="preserve">"čichat-001"</t>
  </si>
  <si>
    <t xml:space="preserve">"činit-001"</t>
  </si>
  <si>
    <t xml:space="preserve">"činit-002"</t>
  </si>
  <si>
    <t xml:space="preserve">"činit-003"</t>
  </si>
  <si>
    <t xml:space="preserve">EFF-&gt;ARG1/272</t>
  </si>
  <si>
    <t xml:space="preserve">"činit-004"</t>
  </si>
  <si>
    <t xml:space="preserve">EFF: .a7</t>
  </si>
  <si>
    <t xml:space="preserve">"činit-005"</t>
  </si>
  <si>
    <t xml:space="preserve">ACT-&gt;ARG0/2355,ARG1/19</t>
  </si>
  <si>
    <t xml:space="preserve">PAT: 4; .d; tak-3; ↓c</t>
  </si>
  <si>
    <t xml:space="preserve">"činit-006"</t>
  </si>
  <si>
    <t xml:space="preserve">"činit-007"</t>
  </si>
  <si>
    <t xml:space="preserve">ACT-&gt;ARG0/410,ARG1/5942,ARG2/307,ARG3/9</t>
  </si>
  <si>
    <t xml:space="preserve">EXT-&gt;ARG1/645,ARG2/3711</t>
  </si>
  <si>
    <t xml:space="preserve">"činit-008"</t>
  </si>
  <si>
    <t xml:space="preserve">"činit-009"</t>
  </si>
  <si>
    <t xml:space="preserve">ACT-&gt;ARG0/167</t>
  </si>
  <si>
    <t xml:space="preserve">CPHR: {doporučení,nabídka,...}.4</t>
  </si>
  <si>
    <t xml:space="preserve">CPHR-&gt;ARG1/222</t>
  </si>
  <si>
    <t xml:space="preserve">"činit-010"</t>
  </si>
  <si>
    <t xml:space="preserve">CPHR: {závěr,závěr,...}.4</t>
  </si>
  <si>
    <t xml:space="preserve">"činit-011"</t>
  </si>
  <si>
    <t xml:space="preserve">CPHR: {expertíza,kontrola,krok,omezení,opatření,pokrok,pokus,prohlášení,rozhodnutí,zátah,...}.4</t>
  </si>
  <si>
    <t xml:space="preserve">"--činit-012"</t>
  </si>
  <si>
    <t xml:space="preserve">"činit-se-001"</t>
  </si>
  <si>
    <t xml:space="preserve">"činit-si-001"</t>
  </si>
  <si>
    <t xml:space="preserve">"činit-si-002"</t>
  </si>
  <si>
    <t xml:space="preserve">"čistit-001"</t>
  </si>
  <si>
    <t xml:space="preserve">PAT-&gt;ARG1/69,ARG2/6</t>
  </si>
  <si>
    <t xml:space="preserve">"čišet-001"</t>
  </si>
  <si>
    <t xml:space="preserve">"čišet-002"</t>
  </si>
  <si>
    <t xml:space="preserve">"členit-001"</t>
  </si>
  <si>
    <t xml:space="preserve">"čmajznout-001"</t>
  </si>
  <si>
    <t xml:space="preserve">"čnět-001"</t>
  </si>
  <si>
    <t xml:space="preserve">"čouhat-001"</t>
  </si>
  <si>
    <t xml:space="preserve">"čpět-001"</t>
  </si>
  <si>
    <t xml:space="preserve">"črtat-001"</t>
  </si>
  <si>
    <t xml:space="preserve">"čumět-001"</t>
  </si>
  <si>
    <t xml:space="preserve">"čumět-002"</t>
  </si>
  <si>
    <t xml:space="preserve">"čučet-001"</t>
  </si>
  <si>
    <t xml:space="preserve">"čučet-002"</t>
  </si>
  <si>
    <t xml:space="preserve">"čvachtat-se-001"</t>
  </si>
  <si>
    <t xml:space="preserve">"číhat-001"</t>
  </si>
  <si>
    <t xml:space="preserve">PAT: 4; na+4; ↓jestli; ↓až-2; ↓zda</t>
  </si>
  <si>
    <t xml:space="preserve">"číslovat-001"</t>
  </si>
  <si>
    <t xml:space="preserve">"číst-001"</t>
  </si>
  <si>
    <t xml:space="preserve">"číst-002"</t>
  </si>
  <si>
    <t xml:space="preserve">ACT-&gt;ARG0/49,ARG1/8</t>
  </si>
  <si>
    <t xml:space="preserve">PAT-&gt;ARG1/64,ARG3/14</t>
  </si>
  <si>
    <t xml:space="preserve">"číst-003"</t>
  </si>
  <si>
    <t xml:space="preserve">"číst-004"</t>
  </si>
  <si>
    <t xml:space="preserve">"číst-005"</t>
  </si>
  <si>
    <t xml:space="preserve">"čítat-001"</t>
  </si>
  <si>
    <t xml:space="preserve">"čítat-002"</t>
  </si>
  <si>
    <t xml:space="preserve">ACT-&gt;ARG0/2227,ARG1/165</t>
  </si>
  <si>
    <t xml:space="preserve">EXT-&gt;ARG0/1,ARG1/2341,ARG2/209</t>
  </si>
  <si>
    <t xml:space="preserve">"čítávat-001"</t>
  </si>
  <si>
    <t xml:space="preserve">"čůrat-001"</t>
  </si>
  <si>
    <t xml:space="preserve">"řadit-001"</t>
  </si>
  <si>
    <t xml:space="preserve">"řadit-002"</t>
  </si>
  <si>
    <t xml:space="preserve">PAT-&gt;ARG1/67,ARG2/1</t>
  </si>
  <si>
    <t xml:space="preserve">DIR3-&gt;ARG1/74,ARG2/36</t>
  </si>
  <si>
    <t xml:space="preserve">"řadit-003"</t>
  </si>
  <si>
    <t xml:space="preserve">"řadit-se-001"</t>
  </si>
  <si>
    <t xml:space="preserve">"řadit-se-002"</t>
  </si>
  <si>
    <t xml:space="preserve">"ředit-001"</t>
  </si>
  <si>
    <t xml:space="preserve">"řehtat-se-001"</t>
  </si>
  <si>
    <t xml:space="preserve">"řezat-001"</t>
  </si>
  <si>
    <t xml:space="preserve">"řezat-002"</t>
  </si>
  <si>
    <t xml:space="preserve">"řezat-003"</t>
  </si>
  <si>
    <t xml:space="preserve">"řečnit-001"</t>
  </si>
  <si>
    <t xml:space="preserve">"řešit-001"</t>
  </si>
  <si>
    <t xml:space="preserve">ACT-&gt;ARG0/572,ARG1/6,ARG2/2,ARG3/1</t>
  </si>
  <si>
    <t xml:space="preserve">PAT-&gt;ARG1/915,ARG2/1</t>
  </si>
  <si>
    <t xml:space="preserve">"řešit-002"</t>
  </si>
  <si>
    <t xml:space="preserve">"řinčet-001"</t>
  </si>
  <si>
    <t xml:space="preserve">"řvát-001"</t>
  </si>
  <si>
    <t xml:space="preserve">"řvát-002"</t>
  </si>
  <si>
    <t xml:space="preserve">"řádit-001"</t>
  </si>
  <si>
    <t xml:space="preserve">"říci-001"</t>
  </si>
  <si>
    <t xml:space="preserve">PAT: o+4; ↓aby; ↓ať; ↓zda; ↓jestli; .s; ↓c</t>
  </si>
  <si>
    <t xml:space="preserve">"říci-002"</t>
  </si>
  <si>
    <t xml:space="preserve">"říci-003"</t>
  </si>
  <si>
    <t xml:space="preserve">"říci-004"</t>
  </si>
  <si>
    <t xml:space="preserve">PAT-&gt;ARG0/2,ARG1/10492,ARG2/2</t>
  </si>
  <si>
    <t xml:space="preserve">"říci-005"</t>
  </si>
  <si>
    <t xml:space="preserve">PAT: 3; na+4; proti+3</t>
  </si>
  <si>
    <t xml:space="preserve">"říci-006"</t>
  </si>
  <si>
    <t xml:space="preserve">"říci-007"</t>
  </si>
  <si>
    <t xml:space="preserve">"říci-008"</t>
  </si>
  <si>
    <t xml:space="preserve">EFF: 4; ↓že; ↓aby; ↓ať; ↓jak-2; ↓jestli; ↓zda; .s; ↓c</t>
  </si>
  <si>
    <t xml:space="preserve">?PAT: o+6; co-1.4</t>
  </si>
  <si>
    <t xml:space="preserve">ACT-&gt;ARG0/12625,ARG1/40</t>
  </si>
  <si>
    <t xml:space="preserve">ADDR-&gt;ARG1/3,ARG2/354</t>
  </si>
  <si>
    <t xml:space="preserve">EFF-&gt;ARG0/2,ARG1/11024,ARG2/2</t>
  </si>
  <si>
    <t xml:space="preserve">PAT-&gt;ARG0/2,ARG1/105,ARG2/1,ARG3/29</t>
  </si>
  <si>
    <t xml:space="preserve">"říci-009"</t>
  </si>
  <si>
    <t xml:space="preserve">EFF: 4; ↓že; ↓zda; ↓jak-2; .s; ↓c</t>
  </si>
  <si>
    <t xml:space="preserve">"říci-010"</t>
  </si>
  <si>
    <t xml:space="preserve">"říci-011"</t>
  </si>
  <si>
    <t xml:space="preserve">?EFF: 4[{jako,jakožto}:/AuxY]</t>
  </si>
  <si>
    <t xml:space="preserve">"říci-012"</t>
  </si>
  <si>
    <t xml:space="preserve">"říci-si-001"</t>
  </si>
  <si>
    <t xml:space="preserve">PAT: ↓že; .s; ↓c</t>
  </si>
  <si>
    <t xml:space="preserve">"--říci-si-002"</t>
  </si>
  <si>
    <t xml:space="preserve">"--říct-si-001"</t>
  </si>
  <si>
    <t xml:space="preserve">"řídit-001"</t>
  </si>
  <si>
    <t xml:space="preserve">ACT-&gt;ARG0/676,ARG1/3,ARG2/17</t>
  </si>
  <si>
    <t xml:space="preserve">PAT-&gt;ARG0/10,ARG1/736,ARG2/52</t>
  </si>
  <si>
    <t xml:space="preserve">"řídit-002"</t>
  </si>
  <si>
    <t xml:space="preserve">ACT-&gt;ARG0/116,ARG2/1</t>
  </si>
  <si>
    <t xml:space="preserve">"řídit-003"</t>
  </si>
  <si>
    <t xml:space="preserve">"řídit-se-001"</t>
  </si>
  <si>
    <t xml:space="preserve">ACT-&gt;ARG0/284,ARG1/268</t>
  </si>
  <si>
    <t xml:space="preserve">PAT: 7; podle+2</t>
  </si>
  <si>
    <t xml:space="preserve">PAT-&gt;ARG0/150,ARG1/385,ARG2/28</t>
  </si>
  <si>
    <t xml:space="preserve">"řídnout-001"</t>
  </si>
  <si>
    <t xml:space="preserve">"říkat-001"</t>
  </si>
  <si>
    <t xml:space="preserve">"říkat-002"</t>
  </si>
  <si>
    <t xml:space="preserve">PAT-&gt;ARG0/4,ARG1/11732,ARG2/3,ARG3/30</t>
  </si>
  <si>
    <t xml:space="preserve">"říkat-003"</t>
  </si>
  <si>
    <t xml:space="preserve">"říkat-004"</t>
  </si>
  <si>
    <t xml:space="preserve">EFF: 1; 5; tak-3; jak-3; ↓že; jakpak</t>
  </si>
  <si>
    <t xml:space="preserve">"říkat-005"</t>
  </si>
  <si>
    <t xml:space="preserve">"říkat-006"</t>
  </si>
  <si>
    <t xml:space="preserve">"říkat-007"</t>
  </si>
  <si>
    <t xml:space="preserve">ADDR: 3; k+3</t>
  </si>
  <si>
    <t xml:space="preserve">ACT-&gt;ARG0/13002,ARG1/38</t>
  </si>
  <si>
    <t xml:space="preserve">ADDR-&gt;ARG1/5,ARG2/333</t>
  </si>
  <si>
    <t xml:space="preserve">EFF-&gt;ARG0/2,ARG1/11238,ARG2/26</t>
  </si>
  <si>
    <t xml:space="preserve">PAT-&gt;ARG0/2,ARG1/226,ARG2/345,ARG3/30</t>
  </si>
  <si>
    <t xml:space="preserve">"říkat-008"</t>
  </si>
  <si>
    <t xml:space="preserve">"říkat-009"</t>
  </si>
  <si>
    <t xml:space="preserve">DPHR: nic.S4</t>
  </si>
  <si>
    <t xml:space="preserve">"říkat-010"</t>
  </si>
  <si>
    <t xml:space="preserve">"říkat-si-001"</t>
  </si>
  <si>
    <t xml:space="preserve">"--říkat-si-002"</t>
  </si>
  <si>
    <t xml:space="preserve">PAT: ↓že; ↓jestli; .s; ↓c</t>
  </si>
  <si>
    <t xml:space="preserve">"--říkat-si-003"</t>
  </si>
  <si>
    <t xml:space="preserve">"říkávat-001"</t>
  </si>
  <si>
    <t xml:space="preserve">EFF: 1; 5; tak-3; jak-3</t>
  </si>
  <si>
    <t xml:space="preserve">"říkávat-002"</t>
  </si>
  <si>
    <t xml:space="preserve">"říkávat-003"</t>
  </si>
  <si>
    <t xml:space="preserve">"řítit-se-001"</t>
  </si>
  <si>
    <t xml:space="preserve">ACT-&gt;ARG0/30,ARG1/184,ARG2/1</t>
  </si>
  <si>
    <t xml:space="preserve">"řítit-se-002"</t>
  </si>
  <si>
    <t xml:space="preserve">ACT-&gt;ARG0/3,ARG1/49</t>
  </si>
  <si>
    <t xml:space="preserve">"říznout-001"</t>
  </si>
  <si>
    <t xml:space="preserve">"říznout-se-001"</t>
  </si>
  <si>
    <t xml:space="preserve">"šedivět-001"</t>
  </si>
  <si>
    <t xml:space="preserve">"šelestit-001"</t>
  </si>
  <si>
    <t xml:space="preserve">"šeptat-001"</t>
  </si>
  <si>
    <t xml:space="preserve">"šeptat-002"</t>
  </si>
  <si>
    <t xml:space="preserve">"šeptat-003"</t>
  </si>
  <si>
    <t xml:space="preserve">ACT-&gt;ARG0/27118,ARG1/86</t>
  </si>
  <si>
    <t xml:space="preserve">EFF: 4; ↓že; ↓ať; ↓aby; ↓jestli; ↓zda; ↓c; .s</t>
  </si>
  <si>
    <t xml:space="preserve">EFF-&gt;ARG0/9,ARG1/24305,ARG2/28,ARG3/59</t>
  </si>
  <si>
    <t xml:space="preserve">PAT-&gt;ARG0/9,ARG1/24305,ARG2/28,ARG3/59</t>
  </si>
  <si>
    <t xml:space="preserve">?ADDR: 3; k+3</t>
  </si>
  <si>
    <t xml:space="preserve">ADDR-&gt;ARG1/25,ARG2/395</t>
  </si>
  <si>
    <t xml:space="preserve">"šermovat-001"</t>
  </si>
  <si>
    <t xml:space="preserve">"šetřit-001"</t>
  </si>
  <si>
    <t xml:space="preserve">"šetřit-002"</t>
  </si>
  <si>
    <t xml:space="preserve">"šetřit-003"</t>
  </si>
  <si>
    <t xml:space="preserve">"šetřit-004"</t>
  </si>
  <si>
    <t xml:space="preserve">"šetřit-005"</t>
  </si>
  <si>
    <t xml:space="preserve">"šidit-001"</t>
  </si>
  <si>
    <t xml:space="preserve">"šikanovat-001"</t>
  </si>
  <si>
    <t xml:space="preserve">"šilhat-001"</t>
  </si>
  <si>
    <t xml:space="preserve">"šilhat-002"</t>
  </si>
  <si>
    <t xml:space="preserve">"šklebit-se-001"</t>
  </si>
  <si>
    <t xml:space="preserve">"škobrtnout-001"</t>
  </si>
  <si>
    <t xml:space="preserve">"škodit-001"</t>
  </si>
  <si>
    <t xml:space="preserve">ACT: 1; ↓kdyby; .f; ↓c</t>
  </si>
  <si>
    <t xml:space="preserve">ACT-&gt;ARG0/38,ARG2/76</t>
  </si>
  <si>
    <t xml:space="preserve">"školit-001"</t>
  </si>
  <si>
    <t xml:space="preserve">PAT: o+6; v+6; ↓že; ↓aby; ↓ať; .s; ↓c</t>
  </si>
  <si>
    <t xml:space="preserve">"školit-002"</t>
  </si>
  <si>
    <t xml:space="preserve">"škrabat-001"</t>
  </si>
  <si>
    <t xml:space="preserve">"škrtat-001"</t>
  </si>
  <si>
    <t xml:space="preserve">"škrtat-002"</t>
  </si>
  <si>
    <t xml:space="preserve">"škrtit-001"</t>
  </si>
  <si>
    <t xml:space="preserve">"škrtit-002"</t>
  </si>
  <si>
    <t xml:space="preserve">"škrtnout-001"</t>
  </si>
  <si>
    <t xml:space="preserve">"škrtnout-002"</t>
  </si>
  <si>
    <t xml:space="preserve">"škrábat-001"</t>
  </si>
  <si>
    <t xml:space="preserve">"škrábat-002"</t>
  </si>
  <si>
    <t xml:space="preserve">"škrábat-003"</t>
  </si>
  <si>
    <t xml:space="preserve">"škrábat-se-001"</t>
  </si>
  <si>
    <t xml:space="preserve">"škrábnout-001"</t>
  </si>
  <si>
    <t xml:space="preserve">"škubat-001"</t>
  </si>
  <si>
    <t xml:space="preserve">"škudlit-001"</t>
  </si>
  <si>
    <t xml:space="preserve">"škudlit-002"</t>
  </si>
  <si>
    <t xml:space="preserve">"škvařit-001"</t>
  </si>
  <si>
    <t xml:space="preserve">"šlapat-001"</t>
  </si>
  <si>
    <t xml:space="preserve">"šlapat-002"</t>
  </si>
  <si>
    <t xml:space="preserve">DPHR: na-1[pata.P4]</t>
  </si>
  <si>
    <t xml:space="preserve">DPHR-&gt;ARG1/2,ARG2/4</t>
  </si>
  <si>
    <t xml:space="preserve">"šlapat-003"</t>
  </si>
  <si>
    <t xml:space="preserve">"šlapat-004"</t>
  </si>
  <si>
    <t xml:space="preserve">"šlapat-005"</t>
  </si>
  <si>
    <t xml:space="preserve">"šlápnout-001"</t>
  </si>
  <si>
    <t xml:space="preserve">"šlápnout-002"</t>
  </si>
  <si>
    <t xml:space="preserve">"šmajdat-001"</t>
  </si>
  <si>
    <t xml:space="preserve">"šmakovat-001"</t>
  </si>
  <si>
    <t xml:space="preserve">"šmátrat-001"</t>
  </si>
  <si>
    <t xml:space="preserve">"šnorchlovat-001"</t>
  </si>
  <si>
    <t xml:space="preserve">"šněrovat-001"</t>
  </si>
  <si>
    <t xml:space="preserve">"šněrovat-002"</t>
  </si>
  <si>
    <t xml:space="preserve">"šokovat-001"</t>
  </si>
  <si>
    <t xml:space="preserve">"šoupat-001"</t>
  </si>
  <si>
    <t xml:space="preserve">"šoupnout-001"</t>
  </si>
  <si>
    <t xml:space="preserve">"šoupnout-002"</t>
  </si>
  <si>
    <t xml:space="preserve">"šoustnout-si-001"</t>
  </si>
  <si>
    <t xml:space="preserve">"špehovat-001"</t>
  </si>
  <si>
    <t xml:space="preserve">"špinit-001"</t>
  </si>
  <si>
    <t xml:space="preserve">"špitat-001"</t>
  </si>
  <si>
    <t xml:space="preserve">"špitnout-001"</t>
  </si>
  <si>
    <t xml:space="preserve">"špitnout-002"</t>
  </si>
  <si>
    <t xml:space="preserve">"šplhat-001"</t>
  </si>
  <si>
    <t xml:space="preserve">"šplhat-se-001"</t>
  </si>
  <si>
    <t xml:space="preserve">ACT-&gt;ARG0/6,ARG1/5</t>
  </si>
  <si>
    <t xml:space="preserve">DIR3-&gt;ARG1/1,ARG3/7</t>
  </si>
  <si>
    <t xml:space="preserve">"šplhat-se-002"</t>
  </si>
  <si>
    <t xml:space="preserve">"šplhnout-si-001"</t>
  </si>
  <si>
    <t xml:space="preserve">"šplouchat-001"</t>
  </si>
  <si>
    <t xml:space="preserve">"šponovat-001"</t>
  </si>
  <si>
    <t xml:space="preserve">"špulit-se-001"</t>
  </si>
  <si>
    <t xml:space="preserve">"šroubovat-001"</t>
  </si>
  <si>
    <t xml:space="preserve">"šroubovat-002"</t>
  </si>
  <si>
    <t xml:space="preserve">"štvát-001"</t>
  </si>
  <si>
    <t xml:space="preserve">"štvát-002"</t>
  </si>
  <si>
    <t xml:space="preserve">"štípat-001"</t>
  </si>
  <si>
    <t xml:space="preserve">"štípat-002"</t>
  </si>
  <si>
    <t xml:space="preserve">"štípat-003"</t>
  </si>
  <si>
    <t xml:space="preserve">"štípnout-001"</t>
  </si>
  <si>
    <t xml:space="preserve">"štípnout-002"</t>
  </si>
  <si>
    <t xml:space="preserve">"štítit-se-001"</t>
  </si>
  <si>
    <t xml:space="preserve">?PAT: 2; .f</t>
  </si>
  <si>
    <t xml:space="preserve">"štěkat-001"</t>
  </si>
  <si>
    <t xml:space="preserve">"štěpit-001"</t>
  </si>
  <si>
    <t xml:space="preserve">EFF-&gt;ARG2/15</t>
  </si>
  <si>
    <t xml:space="preserve">"štěpit-se-001"</t>
  </si>
  <si>
    <t xml:space="preserve">"šukat-001"</t>
  </si>
  <si>
    <t xml:space="preserve">"šumět-001"</t>
  </si>
  <si>
    <t xml:space="preserve">"šustit-001"</t>
  </si>
  <si>
    <t xml:space="preserve">"šustit-002"</t>
  </si>
  <si>
    <t xml:space="preserve">"šuškat-001"</t>
  </si>
  <si>
    <t xml:space="preserve">"šuškat-002"</t>
  </si>
  <si>
    <t xml:space="preserve">"šuškat-003"</t>
  </si>
  <si>
    <t xml:space="preserve">"švihnout-001"</t>
  </si>
  <si>
    <t xml:space="preserve">"šáhnout-001"</t>
  </si>
  <si>
    <t xml:space="preserve">"šáhnout-002"</t>
  </si>
  <si>
    <t xml:space="preserve">"šálit-001"</t>
  </si>
  <si>
    <t xml:space="preserve">"šárat-001"</t>
  </si>
  <si>
    <t xml:space="preserve">"šátrat-001"</t>
  </si>
  <si>
    <t xml:space="preserve">"šéfovat-001"</t>
  </si>
  <si>
    <t xml:space="preserve">"šíbovat-001"</t>
  </si>
  <si>
    <t xml:space="preserve">"šílet-001"</t>
  </si>
  <si>
    <t xml:space="preserve">"šít-001"</t>
  </si>
  <si>
    <t xml:space="preserve">"šít-002"</t>
  </si>
  <si>
    <t xml:space="preserve">"šířit-001"</t>
  </si>
  <si>
    <t xml:space="preserve">"šířit-002"</t>
  </si>
  <si>
    <t xml:space="preserve">"šířit-se-001"</t>
  </si>
  <si>
    <t xml:space="preserve">"šňupat-001"</t>
  </si>
  <si>
    <t xml:space="preserve">"šťouchat-001"</t>
  </si>
  <si>
    <t xml:space="preserve">"šťouchat-se-001"</t>
  </si>
  <si>
    <t xml:space="preserve">"šťourat-001"</t>
  </si>
  <si>
    <t xml:space="preserve">PAT: v+6; do+2</t>
  </si>
  <si>
    <t xml:space="preserve">"šťourat-se-001"</t>
  </si>
  <si>
    <t xml:space="preserve">"šůrovat-001"</t>
  </si>
  <si>
    <t xml:space="preserve">"ťukat-001"</t>
  </si>
  <si>
    <t xml:space="preserve">"ťukat-002"</t>
  </si>
  <si>
    <t xml:space="preserve">"ťukat-si-001"</t>
  </si>
  <si>
    <t xml:space="preserve">"ťuknout-001"</t>
  </si>
  <si>
    <t xml:space="preserve">"žadonit-001"</t>
  </si>
  <si>
    <t xml:space="preserve">PAT: o+4; ↓aby; ↓ať; .s; ↓c</t>
  </si>
  <si>
    <t xml:space="preserve">"žalovat-001"</t>
  </si>
  <si>
    <t xml:space="preserve">PAT-&gt;ARG2/13,ARG3/3</t>
  </si>
  <si>
    <t xml:space="preserve">"žalovat-002"</t>
  </si>
  <si>
    <t xml:space="preserve">PAT-&gt;ARG1/97,ARG2/13</t>
  </si>
  <si>
    <t xml:space="preserve">"žalovat-003"</t>
  </si>
  <si>
    <t xml:space="preserve">"žalovat-004"</t>
  </si>
  <si>
    <t xml:space="preserve">"žasnout-001"</t>
  </si>
  <si>
    <t xml:space="preserve">PAT: nad+7; ↓že; ↓c</t>
  </si>
  <si>
    <t xml:space="preserve">"ždímat-001"</t>
  </si>
  <si>
    <t xml:space="preserve">"žebrat-001"</t>
  </si>
  <si>
    <t xml:space="preserve">?PAT: o+4; ↓aby; ↓ať; .s; ↓c; 4</t>
  </si>
  <si>
    <t xml:space="preserve">"žehlit-001"</t>
  </si>
  <si>
    <t xml:space="preserve">"žehlívat-001"</t>
  </si>
  <si>
    <t xml:space="preserve">"žehnat-001"</t>
  </si>
  <si>
    <t xml:space="preserve">"žehrat-001"</t>
  </si>
  <si>
    <t xml:space="preserve">PAT: na+4; ↓že; ↓c</t>
  </si>
  <si>
    <t xml:space="preserve">"ženit-se-001"</t>
  </si>
  <si>
    <t xml:space="preserve">"žertovat-001"</t>
  </si>
  <si>
    <t xml:space="preserve">"žhavit-001"</t>
  </si>
  <si>
    <t xml:space="preserve">"žirovat-001"</t>
  </si>
  <si>
    <t xml:space="preserve">"živit-001"</t>
  </si>
  <si>
    <t xml:space="preserve">PAT-&gt;ARG1/7,ARG2/9</t>
  </si>
  <si>
    <t xml:space="preserve">"živit-002"</t>
  </si>
  <si>
    <t xml:space="preserve">"živit-se-001"</t>
  </si>
  <si>
    <t xml:space="preserve">"živit-se-002"</t>
  </si>
  <si>
    <t xml:space="preserve">"živořit-001"</t>
  </si>
  <si>
    <t xml:space="preserve">ACT-&gt;ARG0/30,ARG1/45</t>
  </si>
  <si>
    <t xml:space="preserve">"žonglovat-001"</t>
  </si>
  <si>
    <t xml:space="preserve">"žrát-001"</t>
  </si>
  <si>
    <t xml:space="preserve">"žrát-002"</t>
  </si>
  <si>
    <t xml:space="preserve">"žvanit-001"</t>
  </si>
  <si>
    <t xml:space="preserve">"žvýkat-001"</t>
  </si>
  <si>
    <t xml:space="preserve">"žádat-001"</t>
  </si>
  <si>
    <t xml:space="preserve">PAT: o+4; .f; ↓zda; ↓jestli; ↓aby; ↓ať; .s; ↓c</t>
  </si>
  <si>
    <t xml:space="preserve">ACT-&gt;ARG0/1265,ARG2/1</t>
  </si>
  <si>
    <t xml:space="preserve">PAT-&gt;ARG1/1363,ARG2/78</t>
  </si>
  <si>
    <t xml:space="preserve">ADDR-&gt;ARG1/150,ARG2/145</t>
  </si>
  <si>
    <t xml:space="preserve">ADDR-&gt;ARG1/83,ARG2/183</t>
  </si>
  <si>
    <t xml:space="preserve">"žádat-002"</t>
  </si>
  <si>
    <t xml:space="preserve">ACT-&gt;ARG0/1165,ARG1/2,ARG2/1</t>
  </si>
  <si>
    <t xml:space="preserve">PAT-&gt;ARG1/1380,ARG2/22</t>
  </si>
  <si>
    <t xml:space="preserve">ORIG-&gt;ARG1/9,ARG2/139</t>
  </si>
  <si>
    <t xml:space="preserve">"žárlit-001"</t>
  </si>
  <si>
    <t xml:space="preserve">"žít-001"</t>
  </si>
  <si>
    <t xml:space="preserve">"žít-002"</t>
  </si>
  <si>
    <t xml:space="preserve">"žít-003"</t>
  </si>
  <si>
    <t xml:space="preserve">"žít-004"</t>
  </si>
  <si>
    <t xml:space="preserve">"žít-005"</t>
  </si>
  <si>
    <t xml:space="preserve">ACT-&gt;ARG0/86,ARG1/401,ARG2/3454</t>
  </si>
  <si>
    <t xml:space="preserve">"žít-006"</t>
  </si>
  <si>
    <t xml:space="preserve">DPHR: z-1[ruka.S2],do-1[ústa.P2]</t>
  </si>
  <si>
    <t xml:space="preserve">"žít-007"</t>
  </si>
  <si>
    <t xml:space="preserve">DPHR: život.S7[vlastní-1.$11&lt;A&gt;#,svůj-1.#]</t>
  </si>
  <si>
    <t xml:space="preserve">DPHR-&gt;ARG1/21</t>
  </si>
  <si>
    <t xml:space="preserve">"žít-si-001"</t>
  </si>
  <si>
    <t xml:space="preserve">"žít-si-002"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</si>
</sst>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FFFFFF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A5A5A5"/>
        <bgColor rgb="FFC0C0C0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2" borderId="1" applyFont="true" applyBorder="true" applyAlignment="true" applyProtection="false">
      <alignment horizontal="general" vertical="bottom" textRotation="0" wrapText="false" indent="0" shrinkToFit="false"/>
    </xf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1" xfId="20" applyFont="true" applyBorder="true" applyAlignment="true" applyProtection="true">
      <alignment horizontal="general" vertical="bottom" textRotation="0" wrapText="fals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Excel Built-in Check Cell" xfId="20"/>
  </cellStyles>
  <dxfs count="3">
    <dxf>
      <fill>
        <patternFill patternType="solid">
          <fgColor rgb="FFA5A5A5"/>
        </patternFill>
      </fill>
    </dxf>
    <dxf>
      <fill>
        <patternFill patternType="solid">
          <fgColor rgb="00FFFFFF"/>
        </patternFill>
      </fill>
    </dxf>
    <dxf>
      <fill>
        <patternFill patternType="solid">
          <fgColor rgb="FFFFFFFF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A5A5A5"/>
      <rgbColor rgb="FF003366"/>
      <rgbColor rgb="FF339966"/>
      <rgbColor rgb="FF003300"/>
      <rgbColor rgb="FF333300"/>
      <rgbColor rgb="FF993300"/>
      <rgbColor rgb="FF993366"/>
      <rgbColor rgb="FF333399"/>
      <rgbColor rgb="FF3F3F3F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7426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E1" activeCellId="0" sqref="E:F"/>
    </sheetView>
  </sheetViews>
  <sheetFormatPr defaultColWidth="11.5703125" defaultRowHeight="12.8" zeroHeight="false" outlineLevelRow="0" outlineLevelCol="0"/>
  <cols>
    <col collapsed="false" customWidth="true" hidden="false" outlineLevel="0" max="1" min="1" style="0" width="22.86"/>
    <col collapsed="false" customWidth="true" hidden="false" outlineLevel="0" max="2" min="2" style="0" width="49.71"/>
    <col collapsed="false" customWidth="true" hidden="false" outlineLevel="0" max="3" min="3" style="0" width="34.42"/>
    <col collapsed="false" customWidth="true" hidden="false" outlineLevel="0" max="4" min="4" style="0" width="25.71"/>
    <col collapsed="false" customWidth="true" hidden="false" outlineLevel="0" max="6" min="5" style="0" width="52.15"/>
    <col collapsed="false" customWidth="true" hidden="false" outlineLevel="0" max="7" min="7" style="0" width="18.14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2.8" hidden="false" customHeight="false" outlineLevel="0" collapsed="false">
      <c r="A2" s="0" t="s">
        <v>6</v>
      </c>
      <c r="B2" s="0" t="str">
        <f aca="false">HYPERLINK("https://lindat.mff.cuni.cz/services/teitok/pdtc10/index.php?action=vallex&amp;frame=v-w1f1", "= (v-w1f1)")</f>
        <v>= (v-w1f1)</v>
      </c>
    </row>
    <row r="3" customFormat="false" ht="12.8" hidden="false" customHeight="false" outlineLevel="0" collapsed="false">
      <c r="B3" s="0" t="s">
        <v>7</v>
      </c>
    </row>
    <row r="4" customFormat="false" ht="12.8" hidden="false" customHeight="false" outlineLevel="0" collapsed="false">
      <c r="B4" s="0" t="s">
        <v>8</v>
      </c>
    </row>
    <row r="6" customFormat="false" ht="12.8" hidden="false" customHeight="false" outlineLevel="0" collapsed="false">
      <c r="A6" s="0" t="s">
        <v>9</v>
      </c>
      <c r="B6" s="0" t="str">
        <f aca="false">HYPERLINK("https://lindat.mff.cuni.cz/services/teitok/pdtc10/index.php?action=vallex&amp;frame=v-w3f1", "abdikovat (v-w3f1)")</f>
        <v>abdikovat (v-w3f1)</v>
      </c>
    </row>
    <row r="7" customFormat="false" ht="12.8" hidden="false" customHeight="false" outlineLevel="0" collapsed="false">
      <c r="B7" s="0" t="s">
        <v>7</v>
      </c>
    </row>
    <row r="9" customFormat="false" ht="12.8" hidden="false" customHeight="false" outlineLevel="0" collapsed="false">
      <c r="A9" s="0" t="s">
        <v>10</v>
      </c>
      <c r="B9" s="0" t="str">
        <f aca="false">HYPERLINK("https://lindat.mff.cuni.cz/services/teitok/pdtc10/index.php?action=vallex&amp;frame=v-w5f1", "absentovat (v-w5f1)")</f>
        <v>absentovat (v-w5f1)</v>
      </c>
    </row>
    <row r="10" customFormat="false" ht="12.8" hidden="false" customHeight="false" outlineLevel="0" collapsed="false">
      <c r="B10" s="0" t="s">
        <v>7</v>
      </c>
    </row>
    <row r="11" customFormat="false" ht="12.8" hidden="false" customHeight="false" outlineLevel="0" collapsed="false">
      <c r="B11" s="0" t="s">
        <v>11</v>
      </c>
    </row>
    <row r="13" customFormat="false" ht="12.8" hidden="false" customHeight="false" outlineLevel="0" collapsed="false">
      <c r="A13" s="0" t="s">
        <v>12</v>
      </c>
      <c r="B13" s="0" t="str">
        <f aca="false">HYPERLINK("https://lindat.mff.cuni.cz/services/teitok/pdtc10/index.php?action=vallex&amp;frame=v-w5f2", "absentovat (v-w5f2)")</f>
        <v>absentovat (v-w5f2)</v>
      </c>
    </row>
    <row r="14" customFormat="false" ht="12.8" hidden="false" customHeight="false" outlineLevel="0" collapsed="false">
      <c r="B14" s="0" t="s">
        <v>7</v>
      </c>
    </row>
    <row r="16" customFormat="false" ht="12.8" hidden="false" customHeight="false" outlineLevel="0" collapsed="false">
      <c r="A16" s="0" t="s">
        <v>13</v>
      </c>
      <c r="B16" s="0" t="str">
        <f aca="false">HYPERLINK("https://lindat.mff.cuni.cz/services/teitok/pdtc10/index.php?action=vallex&amp;frame=v-w9f5_ZU", "absolvovat (v-w9f5_ZU)")</f>
        <v>absolvovat (v-w9f5_ZU)</v>
      </c>
    </row>
    <row r="17" customFormat="false" ht="12.8" hidden="false" customHeight="false" outlineLevel="0" collapsed="false">
      <c r="B17" s="0" t="s">
        <v>7</v>
      </c>
    </row>
    <row r="18" customFormat="false" ht="12.8" hidden="false" customHeight="false" outlineLevel="0" collapsed="false">
      <c r="B18" s="0" t="s">
        <v>14</v>
      </c>
    </row>
    <row r="20" customFormat="false" ht="12.8" hidden="false" customHeight="false" outlineLevel="0" collapsed="false">
      <c r="A20" s="0" t="s">
        <v>13</v>
      </c>
      <c r="B20" s="0" t="str">
        <f aca="false">HYPERLINK("https://lindat.mff.cuni.cz/services/teitok/pdtc10/index.php?action=vallex&amp;frame=v-w9f1", "absolvovat (v-w9f1) - substituted with v-w9f5_ZU")</f>
        <v>absolvovat (v-w9f1) - substituted with v-w9f5_ZU</v>
      </c>
    </row>
    <row r="21" customFormat="false" ht="12.8" hidden="false" customHeight="false" outlineLevel="0" collapsed="false">
      <c r="B21" s="0" t="s">
        <v>7</v>
      </c>
      <c r="C21" s="0" t="s">
        <v>15</v>
      </c>
      <c r="D21" s="0" t="s">
        <v>16</v>
      </c>
      <c r="E21" s="0" t="s">
        <v>16</v>
      </c>
      <c r="F21" s="0" t="s">
        <v>16</v>
      </c>
    </row>
    <row r="22" customFormat="false" ht="12.8" hidden="false" customHeight="false" outlineLevel="0" collapsed="false">
      <c r="B22" s="0" t="s">
        <v>14</v>
      </c>
      <c r="C22" s="0" t="s">
        <v>17</v>
      </c>
      <c r="D22" s="0" t="s">
        <v>18</v>
      </c>
      <c r="E22" s="0" t="s">
        <v>18</v>
      </c>
      <c r="F22" s="0" t="s">
        <v>18</v>
      </c>
    </row>
    <row r="24" customFormat="false" ht="12.8" hidden="false" customHeight="false" outlineLevel="0" collapsed="false">
      <c r="A24" s="0" t="s">
        <v>13</v>
      </c>
      <c r="B24" s="0" t="str">
        <f aca="false">HYPERLINK("https://lindat.mff.cuni.cz/services/teitok/pdtc10/index.php?action=vallex&amp;frame=v-w9f4_ZU", "absolvovat (v-w9f4_ZU) - substituted with v-w9f5_ZU")</f>
        <v>absolvovat (v-w9f4_ZU) - substituted with v-w9f5_ZU</v>
      </c>
    </row>
    <row r="25" customFormat="false" ht="12.8" hidden="false" customHeight="false" outlineLevel="0" collapsed="false">
      <c r="B25" s="0" t="s">
        <v>7</v>
      </c>
    </row>
    <row r="26" customFormat="false" ht="12.8" hidden="false" customHeight="false" outlineLevel="0" collapsed="false">
      <c r="B26" s="0" t="s">
        <v>14</v>
      </c>
    </row>
    <row r="28" customFormat="false" ht="12.8" hidden="false" customHeight="false" outlineLevel="0" collapsed="false">
      <c r="A28" s="0" t="s">
        <v>19</v>
      </c>
      <c r="B28" s="0" t="str">
        <f aca="false">HYPERLINK("https://lindat.mff.cuni.cz/services/teitok/pdtc10/index.php?action=vallex&amp;frame=v-w9f3_ZU", "absolvovat (v-w9f3_ZU)")</f>
        <v>absolvovat (v-w9f3_ZU)</v>
      </c>
    </row>
    <row r="29" customFormat="false" ht="12.8" hidden="false" customHeight="false" outlineLevel="0" collapsed="false">
      <c r="B29" s="0" t="s">
        <v>7</v>
      </c>
    </row>
    <row r="30" customFormat="false" ht="12.8" hidden="false" customHeight="false" outlineLevel="0" collapsed="false">
      <c r="B30" s="0" t="s">
        <v>14</v>
      </c>
    </row>
    <row r="32" customFormat="false" ht="12.8" hidden="false" customHeight="false" outlineLevel="0" collapsed="false">
      <c r="A32" s="0" t="s">
        <v>19</v>
      </c>
      <c r="B32" s="0" t="str">
        <f aca="false">HYPERLINK("https://lindat.mff.cuni.cz/services/teitok/pdtc10/index.php?action=vallex&amp;frame=v-w9f2_ZU", "absolvovat (v-w9f2_ZU) - substituted with v-w9f3_ZU")</f>
        <v>absolvovat (v-w9f2_ZU) - substituted with v-w9f3_ZU</v>
      </c>
    </row>
    <row r="33" customFormat="false" ht="12.8" hidden="false" customHeight="false" outlineLevel="0" collapsed="false">
      <c r="B33" s="0" t="s">
        <v>7</v>
      </c>
    </row>
    <row r="34" customFormat="false" ht="12.8" hidden="false" customHeight="false" outlineLevel="0" collapsed="false">
      <c r="B34" s="0" t="s">
        <v>14</v>
      </c>
    </row>
    <row r="36" customFormat="false" ht="12.8" hidden="false" customHeight="false" outlineLevel="0" collapsed="false">
      <c r="A36" s="0" t="s">
        <v>20</v>
      </c>
      <c r="B36" s="0" t="str">
        <f aca="false">HYPERLINK("https://lindat.mff.cuni.cz/services/teitok/pdtc10/index.php?action=vallex&amp;frame=v-w10f1", "absorbovat (v-w10f1)")</f>
        <v>absorbovat (v-w10f1)</v>
      </c>
    </row>
    <row r="37" customFormat="false" ht="12.8" hidden="false" customHeight="false" outlineLevel="0" collapsed="false">
      <c r="B37" s="0" t="s">
        <v>7</v>
      </c>
      <c r="C37" s="0" t="s">
        <v>21</v>
      </c>
      <c r="D37" s="0" t="s">
        <v>22</v>
      </c>
      <c r="E37" s="0" t="s">
        <v>22</v>
      </c>
      <c r="F37" s="0" t="s">
        <v>23</v>
      </c>
    </row>
    <row r="38" customFormat="false" ht="12.8" hidden="false" customHeight="false" outlineLevel="0" collapsed="false">
      <c r="B38" s="0" t="s">
        <v>14</v>
      </c>
      <c r="C38" s="0" t="s">
        <v>24</v>
      </c>
      <c r="D38" s="0" t="s">
        <v>25</v>
      </c>
      <c r="E38" s="0" t="s">
        <v>25</v>
      </c>
      <c r="F38" s="0" t="s">
        <v>26</v>
      </c>
    </row>
    <row r="40" customFormat="false" ht="12.8" hidden="false" customHeight="false" outlineLevel="0" collapsed="false">
      <c r="A40" s="0" t="s">
        <v>27</v>
      </c>
      <c r="B40" s="0" t="str">
        <f aca="false">HYPERLINK("https://lindat.mff.cuni.cz/services/teitok/pdtc10/index.php?action=vallex&amp;frame=v-w12f2", "abstrahovat (v-w12f2)")</f>
        <v>abstrahovat (v-w12f2)</v>
      </c>
    </row>
    <row r="41" customFormat="false" ht="12.8" hidden="false" customHeight="false" outlineLevel="0" collapsed="false">
      <c r="B41" s="0" t="s">
        <v>7</v>
      </c>
    </row>
    <row r="42" customFormat="false" ht="12.8" hidden="false" customHeight="false" outlineLevel="0" collapsed="false">
      <c r="B42" s="0" t="s">
        <v>28</v>
      </c>
    </row>
    <row r="44" customFormat="false" ht="12.8" hidden="false" customHeight="false" outlineLevel="0" collapsed="false">
      <c r="A44" s="0" t="s">
        <v>29</v>
      </c>
      <c r="B44" s="0" t="str">
        <f aca="false">HYPERLINK("https://lindat.mff.cuni.cz/services/teitok/pdtc10/index.php?action=vallex&amp;frame=v-w12f1", "abstrahovat (v-w12f1)")</f>
        <v>abstrahovat (v-w12f1)</v>
      </c>
    </row>
    <row r="45" customFormat="false" ht="12.8" hidden="false" customHeight="false" outlineLevel="0" collapsed="false">
      <c r="B45" s="0" t="s">
        <v>7</v>
      </c>
    </row>
    <row r="47" customFormat="false" ht="12.8" hidden="false" customHeight="false" outlineLevel="0" collapsed="false">
      <c r="A47" s="0" t="s">
        <v>30</v>
      </c>
      <c r="B47" s="0" t="str">
        <f aca="false">HYPERLINK("https://lindat.mff.cuni.cz/services/teitok/pdtc10/index.php?action=vallex&amp;frame=v-w15f1", "adaptovat (v-w15f1)")</f>
        <v>adaptovat (v-w15f1)</v>
      </c>
    </row>
    <row r="48" customFormat="false" ht="12.8" hidden="false" customHeight="false" outlineLevel="0" collapsed="false">
      <c r="B48" s="0" t="s">
        <v>7</v>
      </c>
      <c r="C48" s="0" t="s">
        <v>31</v>
      </c>
      <c r="D48" s="0" t="s">
        <v>32</v>
      </c>
      <c r="E48" s="0" t="s">
        <v>32</v>
      </c>
      <c r="F48" s="0" t="s">
        <v>32</v>
      </c>
    </row>
    <row r="49" customFormat="false" ht="12.8" hidden="false" customHeight="false" outlineLevel="0" collapsed="false">
      <c r="B49" s="0" t="s">
        <v>14</v>
      </c>
      <c r="C49" s="0" t="s">
        <v>33</v>
      </c>
      <c r="D49" s="0" t="s">
        <v>34</v>
      </c>
      <c r="E49" s="0" t="s">
        <v>34</v>
      </c>
      <c r="F49" s="0" t="s">
        <v>34</v>
      </c>
    </row>
    <row r="50" customFormat="false" ht="12.8" hidden="false" customHeight="false" outlineLevel="0" collapsed="false">
      <c r="B50" s="0" t="s">
        <v>35</v>
      </c>
      <c r="D50" s="0" t="s">
        <v>36</v>
      </c>
      <c r="E50" s="0" t="s">
        <v>36</v>
      </c>
      <c r="F50" s="0" t="s">
        <v>36</v>
      </c>
    </row>
    <row r="51" customFormat="false" ht="12.8" hidden="false" customHeight="false" outlineLevel="0" collapsed="false">
      <c r="B51" s="0" t="s">
        <v>37</v>
      </c>
      <c r="C51" s="0" t="s">
        <v>38</v>
      </c>
      <c r="D51" s="0" t="s">
        <v>39</v>
      </c>
      <c r="E51" s="0" t="s">
        <v>39</v>
      </c>
      <c r="F51" s="0" t="s">
        <v>39</v>
      </c>
    </row>
    <row r="53" customFormat="false" ht="12.8" hidden="false" customHeight="false" outlineLevel="0" collapsed="false">
      <c r="A53" s="0" t="s">
        <v>40</v>
      </c>
      <c r="B53" s="0" t="str">
        <f aca="false">HYPERLINK("https://lindat.mff.cuni.cz/services/teitok/pdtc10/index.php?action=vallex&amp;frame=v-w16f1", "adaptovat se (v-w16f1)")</f>
        <v>adaptovat se (v-w16f1)</v>
      </c>
    </row>
    <row r="54" customFormat="false" ht="12.8" hidden="false" customHeight="false" outlineLevel="0" collapsed="false">
      <c r="B54" s="0" t="s">
        <v>7</v>
      </c>
    </row>
    <row r="55" customFormat="false" ht="12.8" hidden="false" customHeight="false" outlineLevel="0" collapsed="false">
      <c r="B55" s="0" t="s">
        <v>41</v>
      </c>
    </row>
    <row r="57" customFormat="false" ht="12.8" hidden="false" customHeight="false" outlineLevel="0" collapsed="false">
      <c r="A57" s="0" t="s">
        <v>42</v>
      </c>
      <c r="B57" s="0" t="str">
        <f aca="false">HYPERLINK("https://lindat.mff.cuni.cz/services/teitok/pdtc10/index.php?action=vallex&amp;frame=v-w20f1", "adoptovat (v-w20f1)")</f>
        <v>adoptovat (v-w20f1)</v>
      </c>
    </row>
    <row r="58" customFormat="false" ht="12.8" hidden="false" customHeight="false" outlineLevel="0" collapsed="false">
      <c r="B58" s="0" t="s">
        <v>7</v>
      </c>
      <c r="C58" s="0" t="s">
        <v>43</v>
      </c>
    </row>
    <row r="59" customFormat="false" ht="12.8" hidden="false" customHeight="false" outlineLevel="0" collapsed="false">
      <c r="B59" s="0" t="s">
        <v>14</v>
      </c>
      <c r="C59" s="0" t="s">
        <v>44</v>
      </c>
    </row>
    <row r="61" customFormat="false" ht="12.8" hidden="false" customHeight="false" outlineLevel="0" collapsed="false">
      <c r="A61" s="0" t="s">
        <v>45</v>
      </c>
      <c r="B61" s="0" t="str">
        <f aca="false">HYPERLINK("https://lindat.mff.cuni.cz/services/teitok/pdtc10/index.php?action=vallex&amp;frame=v-w23f1", "adresovat (v-w23f1)")</f>
        <v>adresovat (v-w23f1)</v>
      </c>
    </row>
    <row r="62" customFormat="false" ht="12.8" hidden="false" customHeight="false" outlineLevel="0" collapsed="false">
      <c r="B62" s="0" t="s">
        <v>7</v>
      </c>
      <c r="C62" s="0" t="s">
        <v>46</v>
      </c>
    </row>
    <row r="63" customFormat="false" ht="12.8" hidden="false" customHeight="false" outlineLevel="0" collapsed="false">
      <c r="B63" s="0" t="s">
        <v>14</v>
      </c>
      <c r="C63" s="0" t="s">
        <v>47</v>
      </c>
    </row>
    <row r="64" customFormat="false" ht="12.8" hidden="false" customHeight="false" outlineLevel="0" collapsed="false">
      <c r="B64" s="0" t="s">
        <v>48</v>
      </c>
      <c r="C64" s="0" t="s">
        <v>49</v>
      </c>
    </row>
    <row r="66" customFormat="false" ht="12.8" hidden="false" customHeight="false" outlineLevel="0" collapsed="false">
      <c r="A66" s="0" t="s">
        <v>50</v>
      </c>
      <c r="B66" s="0" t="str">
        <f aca="false">HYPERLINK("https://lindat.mff.cuni.cz/services/teitok/pdtc10/index.php?action=vallex&amp;frame=v-whsa_1919hsa_1920", "agitovat (v-whsa_1919hsa_1920)")</f>
        <v>agitovat (v-whsa_1919hsa_1920)</v>
      </c>
    </row>
    <row r="67" customFormat="false" ht="12.8" hidden="false" customHeight="false" outlineLevel="0" collapsed="false">
      <c r="B67" s="0" t="s">
        <v>7</v>
      </c>
    </row>
    <row r="68" customFormat="false" ht="12.8" hidden="false" customHeight="false" outlineLevel="0" collapsed="false">
      <c r="B68" s="0" t="s">
        <v>51</v>
      </c>
    </row>
    <row r="70" customFormat="false" ht="12.8" hidden="false" customHeight="false" outlineLevel="0" collapsed="false">
      <c r="A70" s="0" t="s">
        <v>52</v>
      </c>
      <c r="B70" s="0" t="str">
        <f aca="false">HYPERLINK("https://lindat.mff.cuni.cz/services/teitok/pdtc10/index.php?action=vallex&amp;frame=v-w28f1", "akcelerovat (v-w28f1)")</f>
        <v>akcelerovat (v-w28f1)</v>
      </c>
    </row>
    <row r="71" customFormat="false" ht="12.8" hidden="false" customHeight="false" outlineLevel="0" collapsed="false">
      <c r="B71" s="0" t="s">
        <v>7</v>
      </c>
    </row>
    <row r="73" customFormat="false" ht="12.8" hidden="false" customHeight="false" outlineLevel="0" collapsed="false">
      <c r="A73" s="0" t="s">
        <v>53</v>
      </c>
      <c r="B73" s="0" t="str">
        <f aca="false">HYPERLINK("https://lindat.mff.cuni.cz/services/teitok/pdtc10/index.php?action=vallex&amp;frame=v-w31f1", "akcentovat (v-w31f1)")</f>
        <v>akcentovat (v-w31f1)</v>
      </c>
    </row>
    <row r="74" customFormat="false" ht="12.8" hidden="false" customHeight="false" outlineLevel="0" collapsed="false">
      <c r="B74" s="0" t="s">
        <v>7</v>
      </c>
    </row>
    <row r="75" customFormat="false" ht="12.8" hidden="false" customHeight="false" outlineLevel="0" collapsed="false">
      <c r="B75" s="0" t="s">
        <v>54</v>
      </c>
    </row>
    <row r="77" customFormat="false" ht="12.8" hidden="false" customHeight="false" outlineLevel="0" collapsed="false">
      <c r="A77" s="0" t="s">
        <v>55</v>
      </c>
      <c r="B77" s="0" t="str">
        <f aca="false">HYPERLINK("https://lindat.mff.cuni.cz/services/teitok/pdtc10/index.php?action=vallex&amp;frame=v-w34f1", "akceptovat (v-w34f1)")</f>
        <v>akceptovat (v-w34f1)</v>
      </c>
    </row>
    <row r="78" customFormat="false" ht="12.8" hidden="false" customHeight="false" outlineLevel="0" collapsed="false">
      <c r="B78" s="0" t="s">
        <v>7</v>
      </c>
      <c r="C78" s="0" t="s">
        <v>56</v>
      </c>
      <c r="D78" s="0" t="s">
        <v>57</v>
      </c>
      <c r="E78" s="0" t="s">
        <v>57</v>
      </c>
      <c r="F78" s="0" t="s">
        <v>58</v>
      </c>
    </row>
    <row r="79" customFormat="false" ht="12.8" hidden="false" customHeight="false" outlineLevel="0" collapsed="false">
      <c r="B79" s="0" t="s">
        <v>54</v>
      </c>
      <c r="C79" s="0" t="s">
        <v>59</v>
      </c>
      <c r="D79" s="0" t="s">
        <v>60</v>
      </c>
      <c r="E79" s="0" t="s">
        <v>60</v>
      </c>
      <c r="F79" s="0" t="s">
        <v>61</v>
      </c>
    </row>
    <row r="81" customFormat="false" ht="12.8" hidden="false" customHeight="false" outlineLevel="0" collapsed="false">
      <c r="A81" s="0" t="s">
        <v>62</v>
      </c>
      <c r="B81" s="0" t="str">
        <f aca="false">HYPERLINK("https://lindat.mff.cuni.cz/services/teitok/pdtc10/index.php?action=vallex&amp;frame=v-w11998_ZUf2_ZU", "aklimatizovat se (v-w11998_ZUf2_ZU)")</f>
        <v>aklimatizovat se (v-w11998_ZUf2_ZU)</v>
      </c>
    </row>
    <row r="82" customFormat="false" ht="12.8" hidden="false" customHeight="false" outlineLevel="0" collapsed="false">
      <c r="B82" s="0" t="s">
        <v>7</v>
      </c>
    </row>
    <row r="83" customFormat="false" ht="12.8" hidden="false" customHeight="false" outlineLevel="0" collapsed="false">
      <c r="B83" s="0" t="s">
        <v>63</v>
      </c>
    </row>
    <row r="85" customFormat="false" ht="12.8" hidden="false" customHeight="false" outlineLevel="0" collapsed="false">
      <c r="A85" s="0" t="s">
        <v>62</v>
      </c>
      <c r="B85" s="0" t="str">
        <f aca="false">HYPERLINK("https://lindat.mff.cuni.cz/services/teitok/pdtc10/index.php?action=vallex&amp;frame=v-w11998_ZUf1_ZU", "aklimatizovat se (v-w11998_ZUf1_ZU) - substituted with v-w11998_ZUf2_ZU")</f>
        <v>aklimatizovat se (v-w11998_ZUf1_ZU) - substituted with v-w11998_ZUf2_ZU</v>
      </c>
    </row>
    <row r="86" customFormat="false" ht="12.8" hidden="false" customHeight="false" outlineLevel="0" collapsed="false">
      <c r="B86" s="0" t="s">
        <v>7</v>
      </c>
    </row>
    <row r="87" customFormat="false" ht="12.8" hidden="false" customHeight="false" outlineLevel="0" collapsed="false">
      <c r="B87" s="0" t="s">
        <v>63</v>
      </c>
    </row>
    <row r="89" customFormat="false" ht="12.8" hidden="false" customHeight="false" outlineLevel="0" collapsed="false">
      <c r="A89" s="0" t="s">
        <v>64</v>
      </c>
      <c r="B89" s="0" t="str">
        <f aca="false">HYPERLINK("https://lindat.mff.cuni.cz/services/teitok/pdtc10/index.php?action=vallex&amp;frame=v-w36f1", "akreditovat (v-w36f1)")</f>
        <v>akreditovat (v-w36f1)</v>
      </c>
    </row>
    <row r="90" customFormat="false" ht="12.8" hidden="false" customHeight="false" outlineLevel="0" collapsed="false">
      <c r="B90" s="0" t="s">
        <v>7</v>
      </c>
    </row>
    <row r="91" customFormat="false" ht="12.8" hidden="false" customHeight="false" outlineLevel="0" collapsed="false">
      <c r="B91" s="0" t="s">
        <v>14</v>
      </c>
    </row>
    <row r="93" customFormat="false" ht="12.8" hidden="false" customHeight="false" outlineLevel="0" collapsed="false">
      <c r="A93" s="0" t="s">
        <v>65</v>
      </c>
      <c r="B93" s="0" t="str">
        <f aca="false">HYPERLINK("https://lindat.mff.cuni.cz/services/teitok/pdtc10/index.php?action=vallex&amp;frame=v-w39f1", "aktivizovat (v-w39f1)")</f>
        <v>aktivizovat (v-w39f1)</v>
      </c>
    </row>
    <row r="94" customFormat="false" ht="12.8" hidden="false" customHeight="false" outlineLevel="0" collapsed="false">
      <c r="B94" s="0" t="s">
        <v>7</v>
      </c>
    </row>
    <row r="95" customFormat="false" ht="12.8" hidden="false" customHeight="false" outlineLevel="0" collapsed="false">
      <c r="B95" s="0" t="s">
        <v>14</v>
      </c>
    </row>
    <row r="97" customFormat="false" ht="12.8" hidden="false" customHeight="false" outlineLevel="0" collapsed="false">
      <c r="A97" s="0" t="s">
        <v>66</v>
      </c>
      <c r="B97" s="0" t="str">
        <f aca="false">HYPERLINK("https://lindat.mff.cuni.cz/services/teitok/pdtc10/index.php?action=vallex&amp;frame=v-w40f1", "aktivizovat se (v-w40f1)")</f>
        <v>aktivizovat se (v-w40f1)</v>
      </c>
    </row>
    <row r="98" customFormat="false" ht="12.8" hidden="false" customHeight="false" outlineLevel="0" collapsed="false">
      <c r="B98" s="0" t="s">
        <v>7</v>
      </c>
    </row>
    <row r="100" customFormat="false" ht="12.8" hidden="false" customHeight="false" outlineLevel="0" collapsed="false">
      <c r="A100" s="0" t="s">
        <v>67</v>
      </c>
      <c r="B100" s="0" t="str">
        <f aca="false">HYPERLINK("https://lindat.mff.cuni.cz/services/teitok/pdtc10/index.php?action=vallex&amp;frame=v-w10527f2", "aktivovat (v-w10527f2)")</f>
        <v>aktivovat (v-w10527f2)</v>
      </c>
    </row>
    <row r="101" customFormat="false" ht="12.8" hidden="false" customHeight="false" outlineLevel="0" collapsed="false">
      <c r="B101" s="0" t="s">
        <v>7</v>
      </c>
      <c r="C101" s="0" t="s">
        <v>68</v>
      </c>
      <c r="D101" s="0" t="s">
        <v>69</v>
      </c>
      <c r="E101" s="0" t="s">
        <v>69</v>
      </c>
      <c r="F101" s="0" t="s">
        <v>69</v>
      </c>
    </row>
    <row r="102" customFormat="false" ht="12.8" hidden="false" customHeight="false" outlineLevel="0" collapsed="false">
      <c r="B102" s="0" t="s">
        <v>14</v>
      </c>
      <c r="C102" s="0" t="s">
        <v>70</v>
      </c>
      <c r="D102" s="0" t="s">
        <v>71</v>
      </c>
      <c r="E102" s="0" t="s">
        <v>71</v>
      </c>
      <c r="F102" s="0" t="s">
        <v>71</v>
      </c>
    </row>
    <row r="104" customFormat="false" ht="12.8" hidden="false" customHeight="false" outlineLevel="0" collapsed="false">
      <c r="A104" s="0" t="s">
        <v>72</v>
      </c>
      <c r="B104" s="0" t="str">
        <f aca="false">HYPERLINK("https://lindat.mff.cuni.cz/services/teitok/pdtc10/index.php?action=vallex&amp;frame=v-w42f1", "aktualizovat (v-w42f1)")</f>
        <v>aktualizovat (v-w42f1)</v>
      </c>
    </row>
    <row r="105" customFormat="false" ht="12.8" hidden="false" customHeight="false" outlineLevel="0" collapsed="false">
      <c r="B105" s="0" t="s">
        <v>7</v>
      </c>
      <c r="C105" s="0" t="s">
        <v>46</v>
      </c>
      <c r="D105" s="0" t="s">
        <v>73</v>
      </c>
      <c r="E105" s="0" t="s">
        <v>73</v>
      </c>
      <c r="F105" s="0" t="s">
        <v>73</v>
      </c>
    </row>
    <row r="106" customFormat="false" ht="12.8" hidden="false" customHeight="false" outlineLevel="0" collapsed="false">
      <c r="B106" s="0" t="s">
        <v>14</v>
      </c>
      <c r="C106" s="0" t="s">
        <v>74</v>
      </c>
      <c r="D106" s="0" t="s">
        <v>75</v>
      </c>
      <c r="E106" s="0" t="s">
        <v>75</v>
      </c>
      <c r="F106" s="0" t="s">
        <v>75</v>
      </c>
    </row>
    <row r="108" customFormat="false" ht="12.8" hidden="false" customHeight="false" outlineLevel="0" collapsed="false">
      <c r="A108" s="0" t="s">
        <v>76</v>
      </c>
      <c r="B108" s="0" t="str">
        <f aca="false">HYPERLINK("https://lindat.mff.cuni.cz/services/teitok/pdtc10/index.php?action=vallex&amp;frame=v-w44f1", "akumulovat (v-w44f1)")</f>
        <v>akumulovat (v-w44f1)</v>
      </c>
    </row>
    <row r="109" customFormat="false" ht="12.8" hidden="false" customHeight="false" outlineLevel="0" collapsed="false">
      <c r="B109" s="0" t="s">
        <v>7</v>
      </c>
      <c r="C109" s="0" t="s">
        <v>31</v>
      </c>
      <c r="D109" s="0" t="s">
        <v>77</v>
      </c>
      <c r="E109" s="0" t="s">
        <v>77</v>
      </c>
      <c r="F109" s="0" t="s">
        <v>77</v>
      </c>
    </row>
    <row r="110" customFormat="false" ht="12.8" hidden="false" customHeight="false" outlineLevel="0" collapsed="false">
      <c r="B110" s="0" t="s">
        <v>14</v>
      </c>
      <c r="C110" s="0" t="s">
        <v>78</v>
      </c>
      <c r="D110" s="0" t="s">
        <v>79</v>
      </c>
      <c r="E110" s="0" t="s">
        <v>79</v>
      </c>
      <c r="F110" s="0" t="s">
        <v>79</v>
      </c>
    </row>
    <row r="112" customFormat="false" ht="12.8" hidden="false" customHeight="false" outlineLevel="0" collapsed="false">
      <c r="A112" s="0" t="s">
        <v>80</v>
      </c>
      <c r="B112" s="0" t="str">
        <f aca="false">HYPERLINK("https://lindat.mff.cuni.cz/services/teitok/pdtc10/index.php?action=vallex&amp;frame=v-w46f1", "alarmovat (v-w46f1)")</f>
        <v>alarmovat (v-w46f1)</v>
      </c>
    </row>
    <row r="113" customFormat="false" ht="12.8" hidden="false" customHeight="false" outlineLevel="0" collapsed="false">
      <c r="B113" s="0" t="s">
        <v>7</v>
      </c>
    </row>
    <row r="114" customFormat="false" ht="12.8" hidden="false" customHeight="false" outlineLevel="0" collapsed="false">
      <c r="B114" s="0" t="s">
        <v>81</v>
      </c>
    </row>
    <row r="115" customFormat="false" ht="12.8" hidden="false" customHeight="false" outlineLevel="0" collapsed="false">
      <c r="B115" s="0" t="s">
        <v>82</v>
      </c>
    </row>
    <row r="117" customFormat="false" ht="12.8" hidden="false" customHeight="false" outlineLevel="0" collapsed="false">
      <c r="A117" s="0" t="s">
        <v>83</v>
      </c>
      <c r="B117" s="0" t="str">
        <f aca="false">HYPERLINK("https://lindat.mff.cuni.cz/services/teitok/pdtc10/index.php?action=vallex&amp;frame=v-w10972f3", "alokovat (v-w10972f3)")</f>
        <v>alokovat (v-w10972f3)</v>
      </c>
    </row>
    <row r="118" customFormat="false" ht="12.8" hidden="false" customHeight="false" outlineLevel="0" collapsed="false">
      <c r="B118" s="0" t="s">
        <v>7</v>
      </c>
    </row>
    <row r="119" customFormat="false" ht="12.8" hidden="false" customHeight="false" outlineLevel="0" collapsed="false">
      <c r="B119" s="0" t="s">
        <v>14</v>
      </c>
    </row>
    <row r="120" customFormat="false" ht="12.8" hidden="false" customHeight="false" outlineLevel="0" collapsed="false">
      <c r="B120" s="0" t="s">
        <v>35</v>
      </c>
    </row>
    <row r="121" customFormat="false" ht="12.8" hidden="false" customHeight="false" outlineLevel="0" collapsed="false">
      <c r="B121" s="0" t="s">
        <v>84</v>
      </c>
    </row>
    <row r="123" customFormat="false" ht="12.8" hidden="false" customHeight="false" outlineLevel="0" collapsed="false">
      <c r="A123" s="0" t="s">
        <v>85</v>
      </c>
      <c r="B123" s="0" t="str">
        <f aca="false">HYPERLINK("https://lindat.mff.cuni.cz/services/teitok/pdtc10/index.php?action=vallex&amp;frame=v-w54f1", "alternovat (v-w54f1)")</f>
        <v>alternovat (v-w54f1)</v>
      </c>
    </row>
    <row r="124" customFormat="false" ht="12.8" hidden="false" customHeight="false" outlineLevel="0" collapsed="false">
      <c r="B124" s="0" t="s">
        <v>7</v>
      </c>
    </row>
    <row r="125" customFormat="false" ht="12.8" hidden="false" customHeight="false" outlineLevel="0" collapsed="false">
      <c r="B125" s="0" t="s">
        <v>86</v>
      </c>
    </row>
    <row r="127" customFormat="false" ht="12.8" hidden="false" customHeight="false" outlineLevel="0" collapsed="false">
      <c r="A127" s="0" t="s">
        <v>87</v>
      </c>
      <c r="B127" s="0" t="str">
        <f aca="false">HYPERLINK("https://lindat.mff.cuni.cz/services/teitok/pdtc10/index.php?action=vallex&amp;frame=v-w56f1", "amputovat (v-w56f1)")</f>
        <v>amputovat (v-w56f1)</v>
      </c>
    </row>
    <row r="128" customFormat="false" ht="12.8" hidden="false" customHeight="false" outlineLevel="0" collapsed="false">
      <c r="B128" s="0" t="s">
        <v>7</v>
      </c>
      <c r="D128" s="0" t="s">
        <v>88</v>
      </c>
      <c r="E128" s="0" t="s">
        <v>88</v>
      </c>
      <c r="F128" s="0" t="s">
        <v>88</v>
      </c>
    </row>
    <row r="129" customFormat="false" ht="12.8" hidden="false" customHeight="false" outlineLevel="0" collapsed="false">
      <c r="B129" s="0" t="s">
        <v>14</v>
      </c>
      <c r="D129" s="0" t="s">
        <v>89</v>
      </c>
      <c r="E129" s="0" t="s">
        <v>89</v>
      </c>
      <c r="F129" s="0" t="s">
        <v>89</v>
      </c>
    </row>
    <row r="131" customFormat="false" ht="12.8" hidden="false" customHeight="false" outlineLevel="0" collapsed="false">
      <c r="A131" s="0" t="s">
        <v>90</v>
      </c>
      <c r="B131" s="0" t="str">
        <f aca="false">HYPERLINK("https://lindat.mff.cuni.cz/services/teitok/pdtc10/index.php?action=vallex&amp;frame=v-w59f1", "analyzovat (v-w59f1)")</f>
        <v>analyzovat (v-w59f1)</v>
      </c>
    </row>
    <row r="132" customFormat="false" ht="12.8" hidden="false" customHeight="false" outlineLevel="0" collapsed="false">
      <c r="B132" s="0" t="s">
        <v>7</v>
      </c>
      <c r="C132" s="0" t="s">
        <v>91</v>
      </c>
      <c r="D132" s="0" t="s">
        <v>92</v>
      </c>
      <c r="E132" s="0" t="s">
        <v>92</v>
      </c>
      <c r="F132" s="0" t="s">
        <v>92</v>
      </c>
    </row>
    <row r="133" customFormat="false" ht="12.8" hidden="false" customHeight="false" outlineLevel="0" collapsed="false">
      <c r="B133" s="0" t="s">
        <v>93</v>
      </c>
      <c r="C133" s="0" t="s">
        <v>94</v>
      </c>
      <c r="D133" s="0" t="s">
        <v>95</v>
      </c>
      <c r="E133" s="0" t="s">
        <v>95</v>
      </c>
      <c r="F133" s="0" t="s">
        <v>95</v>
      </c>
    </row>
    <row r="135" customFormat="false" ht="12.8" hidden="false" customHeight="false" outlineLevel="0" collapsed="false">
      <c r="A135" s="0" t="s">
        <v>96</v>
      </c>
      <c r="B135" s="0" t="str">
        <f aca="false">HYPERLINK("https://lindat.mff.cuni.cz/services/teitok/pdtc10/index.php?action=vallex&amp;frame=v-w61f1", "anektovat (v-w61f1)")</f>
        <v>anektovat (v-w61f1)</v>
      </c>
    </row>
    <row r="136" customFormat="false" ht="12.8" hidden="false" customHeight="false" outlineLevel="0" collapsed="false">
      <c r="B136" s="0" t="s">
        <v>7</v>
      </c>
    </row>
    <row r="137" customFormat="false" ht="12.8" hidden="false" customHeight="false" outlineLevel="0" collapsed="false">
      <c r="B137" s="0" t="s">
        <v>14</v>
      </c>
    </row>
    <row r="139" customFormat="false" ht="12.8" hidden="false" customHeight="false" outlineLevel="0" collapsed="false">
      <c r="A139" s="0" t="s">
        <v>97</v>
      </c>
      <c r="B139" s="0" t="str">
        <f aca="false">HYPERLINK("https://lindat.mff.cuni.cz/services/teitok/pdtc10/index.php?action=vallex&amp;frame=v-w64f1", "angažovat (v-w64f1)")</f>
        <v>angažovat (v-w64f1)</v>
      </c>
    </row>
    <row r="140" customFormat="false" ht="12.8" hidden="false" customHeight="false" outlineLevel="0" collapsed="false">
      <c r="B140" s="0" t="s">
        <v>7</v>
      </c>
    </row>
    <row r="141" customFormat="false" ht="12.8" hidden="false" customHeight="false" outlineLevel="0" collapsed="false">
      <c r="B141" s="0" t="s">
        <v>14</v>
      </c>
    </row>
    <row r="142" customFormat="false" ht="12.8" hidden="false" customHeight="false" outlineLevel="0" collapsed="false">
      <c r="B142" s="0" t="s">
        <v>98</v>
      </c>
    </row>
    <row r="144" customFormat="false" ht="12.8" hidden="false" customHeight="false" outlineLevel="0" collapsed="false">
      <c r="A144" s="0" t="s">
        <v>99</v>
      </c>
      <c r="B144" s="0" t="str">
        <f aca="false">HYPERLINK("https://lindat.mff.cuni.cz/services/teitok/pdtc10/index.php?action=vallex&amp;frame=v-w64f2_ZU", "angažovat (v-w64f2_ZU)")</f>
        <v>angažovat (v-w64f2_ZU)</v>
      </c>
    </row>
    <row r="145" customFormat="false" ht="12.8" hidden="false" customHeight="false" outlineLevel="0" collapsed="false">
      <c r="B145" s="0" t="s">
        <v>7</v>
      </c>
      <c r="C145" s="0" t="s">
        <v>100</v>
      </c>
    </row>
    <row r="146" customFormat="false" ht="12.8" hidden="false" customHeight="false" outlineLevel="0" collapsed="false">
      <c r="B146" s="0" t="s">
        <v>14</v>
      </c>
      <c r="C146" s="0" t="s">
        <v>101</v>
      </c>
    </row>
    <row r="148" customFormat="false" ht="12.8" hidden="false" customHeight="false" outlineLevel="0" collapsed="false">
      <c r="A148" s="0" t="s">
        <v>102</v>
      </c>
      <c r="B148" s="0" t="str">
        <f aca="false">HYPERLINK("https://lindat.mff.cuni.cz/services/teitok/pdtc10/index.php?action=vallex&amp;frame=v-w65f1", "angažovat se (v-w65f1)")</f>
        <v>angažovat se (v-w65f1)</v>
      </c>
    </row>
    <row r="149" customFormat="false" ht="12.8" hidden="false" customHeight="false" outlineLevel="0" collapsed="false">
      <c r="B149" s="0" t="s">
        <v>7</v>
      </c>
      <c r="C149" s="0" t="s">
        <v>103</v>
      </c>
      <c r="D149" s="0" t="s">
        <v>104</v>
      </c>
      <c r="E149" s="0" t="s">
        <v>104</v>
      </c>
      <c r="F149" s="0" t="s">
        <v>104</v>
      </c>
    </row>
    <row r="151" customFormat="false" ht="12.8" hidden="false" customHeight="false" outlineLevel="0" collapsed="false">
      <c r="A151" s="0" t="s">
        <v>105</v>
      </c>
      <c r="B151" s="0" t="str">
        <f aca="false">HYPERLINK("https://lindat.mff.cuni.cz/services/teitok/pdtc10/index.php?action=vallex&amp;frame=v-w67f1", "anoncovat (v-w67f1)")</f>
        <v>anoncovat (v-w67f1)</v>
      </c>
    </row>
    <row r="152" customFormat="false" ht="12.8" hidden="false" customHeight="false" outlineLevel="0" collapsed="false">
      <c r="B152" s="0" t="s">
        <v>7</v>
      </c>
    </row>
    <row r="153" customFormat="false" ht="12.8" hidden="false" customHeight="false" outlineLevel="0" collapsed="false">
      <c r="B153" s="0" t="s">
        <v>14</v>
      </c>
    </row>
    <row r="154" customFormat="false" ht="12.8" hidden="false" customHeight="false" outlineLevel="0" collapsed="false">
      <c r="B154" s="0" t="s">
        <v>106</v>
      </c>
    </row>
    <row r="156" customFormat="false" ht="12.8" hidden="false" customHeight="false" outlineLevel="0" collapsed="false">
      <c r="A156" s="0" t="s">
        <v>107</v>
      </c>
      <c r="B156" s="0" t="str">
        <f aca="false">HYPERLINK("https://lindat.mff.cuni.cz/services/teitok/pdtc10/index.php?action=vallex&amp;frame=v-w70f1", "anulovat (v-w70f1)")</f>
        <v>anulovat (v-w70f1)</v>
      </c>
    </row>
    <row r="157" customFormat="false" ht="12.8" hidden="false" customHeight="false" outlineLevel="0" collapsed="false">
      <c r="B157" s="0" t="s">
        <v>7</v>
      </c>
      <c r="C157" s="0" t="s">
        <v>108</v>
      </c>
      <c r="D157" s="0" t="s">
        <v>109</v>
      </c>
      <c r="E157" s="0" t="s">
        <v>109</v>
      </c>
      <c r="F157" s="0" t="s">
        <v>109</v>
      </c>
    </row>
    <row r="158" customFormat="false" ht="12.8" hidden="false" customHeight="false" outlineLevel="0" collapsed="false">
      <c r="B158" s="0" t="s">
        <v>14</v>
      </c>
      <c r="C158" s="0" t="s">
        <v>110</v>
      </c>
      <c r="D158" s="0" t="s">
        <v>111</v>
      </c>
      <c r="E158" s="0" t="s">
        <v>111</v>
      </c>
      <c r="F158" s="0" t="s">
        <v>111</v>
      </c>
    </row>
    <row r="160" customFormat="false" ht="12.8" hidden="false" customHeight="false" outlineLevel="0" collapsed="false">
      <c r="A160" s="0" t="s">
        <v>112</v>
      </c>
      <c r="B160" s="0" t="str">
        <f aca="false">HYPERLINK("https://lindat.mff.cuni.cz/services/teitok/pdtc10/index.php?action=vallex&amp;frame=v-w72f1", "apelovat (v-w72f1)")</f>
        <v>apelovat (v-w72f1)</v>
      </c>
    </row>
    <row r="161" customFormat="false" ht="12.8" hidden="false" customHeight="false" outlineLevel="0" collapsed="false">
      <c r="B161" s="0" t="s">
        <v>7</v>
      </c>
      <c r="C161" s="0" t="s">
        <v>113</v>
      </c>
      <c r="D161" s="0" t="s">
        <v>114</v>
      </c>
      <c r="E161" s="0" t="s">
        <v>114</v>
      </c>
      <c r="F161" s="0" t="s">
        <v>114</v>
      </c>
    </row>
    <row r="162" customFormat="false" ht="12.8" hidden="false" customHeight="false" outlineLevel="0" collapsed="false">
      <c r="B162" s="0" t="s">
        <v>41</v>
      </c>
      <c r="C162" s="0" t="s">
        <v>115</v>
      </c>
      <c r="D162" s="0" t="s">
        <v>116</v>
      </c>
      <c r="E162" s="0" t="s">
        <v>116</v>
      </c>
      <c r="F162" s="0" t="s">
        <v>116</v>
      </c>
    </row>
    <row r="164" customFormat="false" ht="12.8" hidden="false" customHeight="false" outlineLevel="0" collapsed="false">
      <c r="A164" s="0" t="s">
        <v>117</v>
      </c>
      <c r="B164" s="0" t="str">
        <f aca="false">HYPERLINK("https://lindat.mff.cuni.cz/services/teitok/pdtc10/index.php?action=vallex&amp;frame=v-w73f1", "aplaudovat (v-w73f1)")</f>
        <v>aplaudovat (v-w73f1)</v>
      </c>
    </row>
    <row r="165" customFormat="false" ht="12.8" hidden="false" customHeight="false" outlineLevel="0" collapsed="false">
      <c r="B165" s="0" t="s">
        <v>7</v>
      </c>
      <c r="D165" s="0" t="s">
        <v>118</v>
      </c>
      <c r="E165" s="0" t="s">
        <v>118</v>
      </c>
      <c r="F165" s="0" t="s">
        <v>118</v>
      </c>
    </row>
    <row r="166" customFormat="false" ht="12.8" hidden="false" customHeight="false" outlineLevel="0" collapsed="false">
      <c r="B166" s="0" t="s">
        <v>119</v>
      </c>
      <c r="D166" s="0" t="s">
        <v>120</v>
      </c>
      <c r="E166" s="0" t="s">
        <v>120</v>
      </c>
      <c r="F166" s="0" t="s">
        <v>120</v>
      </c>
    </row>
    <row r="168" customFormat="false" ht="12.8" hidden="false" customHeight="false" outlineLevel="0" collapsed="false">
      <c r="A168" s="0" t="s">
        <v>121</v>
      </c>
      <c r="B168" s="0" t="str">
        <f aca="false">HYPERLINK("https://lindat.mff.cuni.cz/services/teitok/pdtc10/index.php?action=vallex&amp;frame=v-w76f3", "aplikovat (v-w76f3)")</f>
        <v>aplikovat (v-w76f3)</v>
      </c>
    </row>
    <row r="169" customFormat="false" ht="12.8" hidden="false" customHeight="false" outlineLevel="0" collapsed="false">
      <c r="B169" s="0" t="s">
        <v>7</v>
      </c>
    </row>
    <row r="170" customFormat="false" ht="12.8" hidden="false" customHeight="false" outlineLevel="0" collapsed="false">
      <c r="B170" s="0" t="s">
        <v>14</v>
      </c>
    </row>
    <row r="171" customFormat="false" ht="12.8" hidden="false" customHeight="false" outlineLevel="0" collapsed="false">
      <c r="B171" s="0" t="s">
        <v>122</v>
      </c>
    </row>
    <row r="173" customFormat="false" ht="12.8" hidden="false" customHeight="false" outlineLevel="0" collapsed="false">
      <c r="A173" s="0" t="s">
        <v>123</v>
      </c>
      <c r="B173" s="0" t="str">
        <f aca="false">HYPERLINK("https://lindat.mff.cuni.cz/services/teitok/pdtc10/index.php?action=vallex&amp;frame=v-w76f2", "aplikovat (v-w76f2)")</f>
        <v>aplikovat (v-w76f2)</v>
      </c>
    </row>
    <row r="174" customFormat="false" ht="12.8" hidden="false" customHeight="false" outlineLevel="0" collapsed="false">
      <c r="B174" s="0" t="s">
        <v>7</v>
      </c>
    </row>
    <row r="175" customFormat="false" ht="12.8" hidden="false" customHeight="false" outlineLevel="0" collapsed="false">
      <c r="B175" s="0" t="s">
        <v>14</v>
      </c>
    </row>
    <row r="176" customFormat="false" ht="12.8" hidden="false" customHeight="false" outlineLevel="0" collapsed="false">
      <c r="B176" s="0" t="s">
        <v>124</v>
      </c>
    </row>
    <row r="178" customFormat="false" ht="12.8" hidden="false" customHeight="false" outlineLevel="0" collapsed="false">
      <c r="A178" s="0" t="s">
        <v>125</v>
      </c>
      <c r="B178" s="0" t="str">
        <f aca="false">HYPERLINK("https://lindat.mff.cuni.cz/services/teitok/pdtc10/index.php?action=vallex&amp;frame=v-w76f1", "aplikovat (v-w76f1)")</f>
        <v>aplikovat (v-w76f1)</v>
      </c>
    </row>
    <row r="179" customFormat="false" ht="12.8" hidden="false" customHeight="false" outlineLevel="0" collapsed="false">
      <c r="B179" s="0" t="s">
        <v>7</v>
      </c>
      <c r="C179" s="0" t="s">
        <v>126</v>
      </c>
      <c r="D179" s="0" t="s">
        <v>127</v>
      </c>
      <c r="E179" s="0" t="s">
        <v>127</v>
      </c>
      <c r="F179" s="0" t="s">
        <v>127</v>
      </c>
    </row>
    <row r="180" customFormat="false" ht="12.8" hidden="false" customHeight="false" outlineLevel="0" collapsed="false">
      <c r="B180" s="0" t="s">
        <v>14</v>
      </c>
      <c r="C180" s="0" t="s">
        <v>128</v>
      </c>
      <c r="D180" s="0" t="s">
        <v>129</v>
      </c>
      <c r="E180" s="0" t="s">
        <v>129</v>
      </c>
      <c r="F180" s="0" t="s">
        <v>129</v>
      </c>
    </row>
    <row r="182" customFormat="false" ht="12.8" hidden="false" customHeight="false" outlineLevel="0" collapsed="false">
      <c r="A182" s="0" t="s">
        <v>130</v>
      </c>
      <c r="B182" s="0" t="str">
        <f aca="false">HYPERLINK("https://lindat.mff.cuni.cz/services/teitok/pdtc10/index.php?action=vallex&amp;frame=v-w81f1", "archivovat (v-w81f1)")</f>
        <v>archivovat (v-w81f1)</v>
      </c>
    </row>
    <row r="183" customFormat="false" ht="12.8" hidden="false" customHeight="false" outlineLevel="0" collapsed="false">
      <c r="B183" s="0" t="s">
        <v>7</v>
      </c>
    </row>
    <row r="184" customFormat="false" ht="12.8" hidden="false" customHeight="false" outlineLevel="0" collapsed="false">
      <c r="B184" s="0" t="s">
        <v>14</v>
      </c>
    </row>
    <row r="186" customFormat="false" ht="12.8" hidden="false" customHeight="false" outlineLevel="0" collapsed="false">
      <c r="A186" s="0" t="s">
        <v>131</v>
      </c>
      <c r="B186" s="0" t="str">
        <f aca="false">HYPERLINK("https://lindat.mff.cuni.cz/services/teitok/pdtc10/index.php?action=vallex&amp;frame=v-w79f1", "argumentovat (v-w79f1)")</f>
        <v>argumentovat (v-w79f1)</v>
      </c>
    </row>
    <row r="187" customFormat="false" ht="12.8" hidden="false" customHeight="false" outlineLevel="0" collapsed="false">
      <c r="B187" s="0" t="s">
        <v>7</v>
      </c>
      <c r="C187" s="0" t="s">
        <v>132</v>
      </c>
      <c r="D187" s="0" t="s">
        <v>133</v>
      </c>
      <c r="E187" s="0" t="s">
        <v>133</v>
      </c>
      <c r="F187" s="0" t="s">
        <v>133</v>
      </c>
    </row>
    <row r="188" customFormat="false" ht="12.8" hidden="false" customHeight="false" outlineLevel="0" collapsed="false">
      <c r="B188" s="0" t="s">
        <v>134</v>
      </c>
      <c r="C188" s="0" t="s">
        <v>135</v>
      </c>
      <c r="D188" s="0" t="s">
        <v>136</v>
      </c>
      <c r="E188" s="0" t="s">
        <v>136</v>
      </c>
      <c r="F188" s="0" t="s">
        <v>136</v>
      </c>
    </row>
    <row r="190" customFormat="false" ht="12.8" hidden="false" customHeight="false" outlineLevel="0" collapsed="false">
      <c r="A190" s="0" t="s">
        <v>137</v>
      </c>
      <c r="B190" s="0" t="str">
        <f aca="false">HYPERLINK("https://lindat.mff.cuni.cz/services/teitok/pdtc10/index.php?action=vallex&amp;frame=v-w10929f2", "asfaltovat (v-w10929f2)")</f>
        <v>asfaltovat (v-w10929f2)</v>
      </c>
    </row>
    <row r="191" customFormat="false" ht="12.8" hidden="false" customHeight="false" outlineLevel="0" collapsed="false">
      <c r="B191" s="0" t="s">
        <v>7</v>
      </c>
    </row>
    <row r="192" customFormat="false" ht="12.8" hidden="false" customHeight="false" outlineLevel="0" collapsed="false">
      <c r="B192" s="0" t="s">
        <v>14</v>
      </c>
    </row>
    <row r="194" customFormat="false" ht="12.8" hidden="false" customHeight="false" outlineLevel="0" collapsed="false">
      <c r="A194" s="0" t="s">
        <v>138</v>
      </c>
      <c r="B194" s="0" t="str">
        <f aca="false">HYPERLINK("https://lindat.mff.cuni.cz/services/teitok/pdtc10/index.php?action=vallex&amp;frame=v-w12217_ZUf1_ZU", "asimilovat (v-w12217_ZUf1_ZU)")</f>
        <v>asimilovat (v-w12217_ZUf1_ZU)</v>
      </c>
    </row>
    <row r="195" customFormat="false" ht="12.8" hidden="false" customHeight="false" outlineLevel="0" collapsed="false">
      <c r="B195" s="0" t="s">
        <v>7</v>
      </c>
    </row>
    <row r="196" customFormat="false" ht="12.8" hidden="false" customHeight="false" outlineLevel="0" collapsed="false">
      <c r="B196" s="0" t="s">
        <v>14</v>
      </c>
    </row>
    <row r="198" customFormat="false" ht="12.8" hidden="false" customHeight="false" outlineLevel="0" collapsed="false">
      <c r="A198" s="0" t="s">
        <v>139</v>
      </c>
      <c r="B198" s="0" t="str">
        <f aca="false">HYPERLINK("https://lindat.mff.cuni.cz/services/teitok/pdtc10/index.php?action=vallex&amp;frame=v-w90f1", "asistovat (v-w90f1)")</f>
        <v>asistovat (v-w90f1)</v>
      </c>
    </row>
    <row r="199" customFormat="false" ht="12.8" hidden="false" customHeight="false" outlineLevel="0" collapsed="false">
      <c r="B199" s="0" t="s">
        <v>7</v>
      </c>
      <c r="C199" s="0" t="s">
        <v>140</v>
      </c>
      <c r="D199" s="0" t="s">
        <v>141</v>
      </c>
      <c r="E199" s="0" t="s">
        <v>141</v>
      </c>
      <c r="F199" s="0" t="s">
        <v>141</v>
      </c>
    </row>
    <row r="200" customFormat="false" ht="12.8" hidden="false" customHeight="false" outlineLevel="0" collapsed="false">
      <c r="B200" s="0" t="s">
        <v>142</v>
      </c>
      <c r="C200" s="0" t="s">
        <v>143</v>
      </c>
      <c r="D200" s="0" t="s">
        <v>144</v>
      </c>
      <c r="E200" s="0" t="s">
        <v>144</v>
      </c>
      <c r="F200" s="0" t="s">
        <v>144</v>
      </c>
    </row>
    <row r="202" customFormat="false" ht="12.8" hidden="false" customHeight="false" outlineLevel="0" collapsed="false">
      <c r="A202" s="0" t="s">
        <v>145</v>
      </c>
      <c r="B202" s="0" t="str">
        <f aca="false">HYPERLINK("https://lindat.mff.cuni.cz/services/teitok/pdtc10/index.php?action=vallex&amp;frame=v-w92f1", "asociovat (v-w92f1)")</f>
        <v>asociovat (v-w92f1)</v>
      </c>
    </row>
    <row r="203" customFormat="false" ht="12.8" hidden="false" customHeight="false" outlineLevel="0" collapsed="false">
      <c r="B203" s="0" t="s">
        <v>7</v>
      </c>
    </row>
    <row r="204" customFormat="false" ht="12.8" hidden="false" customHeight="false" outlineLevel="0" collapsed="false">
      <c r="B204" s="0" t="s">
        <v>14</v>
      </c>
    </row>
    <row r="206" customFormat="false" ht="12.8" hidden="false" customHeight="false" outlineLevel="0" collapsed="false">
      <c r="A206" s="0" t="s">
        <v>146</v>
      </c>
      <c r="B206" s="0" t="str">
        <f aca="false">HYPERLINK("https://lindat.mff.cuni.cz/services/teitok/pdtc10/index.php?action=vallex&amp;frame=v-w93f2", "aspirovat (v-w93f2)")</f>
        <v>aspirovat (v-w93f2)</v>
      </c>
    </row>
    <row r="207" customFormat="false" ht="12.8" hidden="false" customHeight="false" outlineLevel="0" collapsed="false">
      <c r="B207" s="0" t="s">
        <v>7</v>
      </c>
    </row>
    <row r="208" customFormat="false" ht="12.8" hidden="false" customHeight="false" outlineLevel="0" collapsed="false">
      <c r="B208" s="0" t="s">
        <v>147</v>
      </c>
    </row>
    <row r="210" customFormat="false" ht="12.8" hidden="false" customHeight="false" outlineLevel="0" collapsed="false">
      <c r="A210" s="0" t="s">
        <v>146</v>
      </c>
      <c r="B210" s="0" t="str">
        <f aca="false">HYPERLINK("https://lindat.mff.cuni.cz/services/teitok/pdtc10/index.php?action=vallex&amp;frame=v-w93f1", "aspirovat (v-w93f1) - substituted with v-w93f2")</f>
        <v>aspirovat (v-w93f1) - substituted with v-w93f2</v>
      </c>
    </row>
    <row r="211" customFormat="false" ht="12.8" hidden="false" customHeight="false" outlineLevel="0" collapsed="false">
      <c r="B211" s="0" t="s">
        <v>7</v>
      </c>
    </row>
    <row r="212" customFormat="false" ht="12.8" hidden="false" customHeight="false" outlineLevel="0" collapsed="false">
      <c r="B212" s="0" t="s">
        <v>147</v>
      </c>
    </row>
    <row r="214" customFormat="false" ht="12.8" hidden="false" customHeight="false" outlineLevel="0" collapsed="false">
      <c r="A214" s="0" t="s">
        <v>148</v>
      </c>
      <c r="B214" s="0" t="str">
        <f aca="false">HYPERLINK("https://lindat.mff.cuni.cz/services/teitok/pdtc10/index.php?action=vallex&amp;frame=v-w95f1", "atakovat (v-w95f1)")</f>
        <v>atakovat (v-w95f1)</v>
      </c>
    </row>
    <row r="215" customFormat="false" ht="12.8" hidden="false" customHeight="false" outlineLevel="0" collapsed="false">
      <c r="B215" s="0" t="s">
        <v>7</v>
      </c>
      <c r="C215" s="0" t="s">
        <v>149</v>
      </c>
      <c r="D215" s="0" t="s">
        <v>150</v>
      </c>
      <c r="E215" s="0" t="s">
        <v>150</v>
      </c>
      <c r="F215" s="0" t="s">
        <v>150</v>
      </c>
    </row>
    <row r="216" customFormat="false" ht="12.8" hidden="false" customHeight="false" outlineLevel="0" collapsed="false">
      <c r="B216" s="0" t="s">
        <v>14</v>
      </c>
      <c r="C216" s="0" t="s">
        <v>151</v>
      </c>
      <c r="D216" s="0" t="s">
        <v>152</v>
      </c>
      <c r="E216" s="0" t="s">
        <v>152</v>
      </c>
      <c r="F216" s="0" t="s">
        <v>152</v>
      </c>
    </row>
    <row r="218" customFormat="false" ht="12.8" hidden="false" customHeight="false" outlineLevel="0" collapsed="false">
      <c r="A218" s="0" t="s">
        <v>153</v>
      </c>
      <c r="B218" s="0" t="str">
        <f aca="false">HYPERLINK("https://lindat.mff.cuni.cz/services/teitok/pdtc10/index.php?action=vallex&amp;frame=v-w98f1", "atomizovat (v-w98f1)")</f>
        <v>atomizovat (v-w98f1)</v>
      </c>
    </row>
    <row r="219" customFormat="false" ht="12.8" hidden="false" customHeight="false" outlineLevel="0" collapsed="false">
      <c r="B219" s="0" t="s">
        <v>7</v>
      </c>
    </row>
    <row r="220" customFormat="false" ht="12.8" hidden="false" customHeight="false" outlineLevel="0" collapsed="false">
      <c r="B220" s="0" t="s">
        <v>14</v>
      </c>
    </row>
    <row r="221" customFormat="false" ht="12.8" hidden="false" customHeight="false" outlineLevel="0" collapsed="false">
      <c r="B221" s="0" t="s">
        <v>84</v>
      </c>
    </row>
    <row r="223" customFormat="false" ht="12.8" hidden="false" customHeight="false" outlineLevel="0" collapsed="false">
      <c r="A223" s="0" t="s">
        <v>154</v>
      </c>
      <c r="B223" s="0" t="str">
        <f aca="false">HYPERLINK("https://lindat.mff.cuni.cz/services/teitok/pdtc10/index.php?action=vallex&amp;frame=v-w11166f2", "automatizovat (v-w11166f2)")</f>
        <v>automatizovat (v-w11166f2)</v>
      </c>
    </row>
    <row r="224" customFormat="false" ht="12.8" hidden="false" customHeight="false" outlineLevel="0" collapsed="false">
      <c r="B224" s="0" t="s">
        <v>7</v>
      </c>
    </row>
    <row r="225" customFormat="false" ht="12.8" hidden="false" customHeight="false" outlineLevel="0" collapsed="false">
      <c r="B225" s="0" t="s">
        <v>14</v>
      </c>
      <c r="C225" s="0" t="s">
        <v>155</v>
      </c>
    </row>
    <row r="227" customFormat="false" ht="12.8" hidden="false" customHeight="false" outlineLevel="0" collapsed="false">
      <c r="A227" s="0" t="s">
        <v>156</v>
      </c>
      <c r="B227" s="0" t="str">
        <f aca="false">HYPERLINK("https://lindat.mff.cuni.cz/services/teitok/pdtc10/index.php?action=vallex&amp;frame=v-w11025f2", "autorizovat (v-w11025f2)")</f>
        <v>autorizovat (v-w11025f2)</v>
      </c>
    </row>
    <row r="228" customFormat="false" ht="12.8" hidden="false" customHeight="false" outlineLevel="0" collapsed="false">
      <c r="B228" s="0" t="s">
        <v>7</v>
      </c>
      <c r="C228" s="0" t="s">
        <v>157</v>
      </c>
      <c r="D228" s="0" t="s">
        <v>158</v>
      </c>
      <c r="E228" s="0" t="s">
        <v>158</v>
      </c>
      <c r="F228" s="0" t="s">
        <v>158</v>
      </c>
    </row>
    <row r="229" customFormat="false" ht="12.8" hidden="false" customHeight="false" outlineLevel="0" collapsed="false">
      <c r="B229" s="0" t="s">
        <v>14</v>
      </c>
      <c r="C229" s="0" t="s">
        <v>159</v>
      </c>
      <c r="D229" s="0" t="s">
        <v>160</v>
      </c>
      <c r="E229" s="0" t="s">
        <v>160</v>
      </c>
      <c r="F229" s="0" t="s">
        <v>160</v>
      </c>
    </row>
    <row r="231" customFormat="false" ht="12.8" hidden="false" customHeight="false" outlineLevel="0" collapsed="false">
      <c r="A231" s="0" t="s">
        <v>161</v>
      </c>
      <c r="B231" s="0" t="str">
        <f aca="false">HYPERLINK("https://lindat.mff.cuni.cz/services/teitok/pdtc10/index.php?action=vallex&amp;frame=v-w12131_ZUf1_ZU", "avansovat (v-w12131_ZUf1_ZU)")</f>
        <v>avansovat (v-w12131_ZUf1_ZU)</v>
      </c>
    </row>
    <row r="232" customFormat="false" ht="12.8" hidden="false" customHeight="false" outlineLevel="0" collapsed="false">
      <c r="B232" s="0" t="s">
        <v>7</v>
      </c>
    </row>
    <row r="233" customFormat="false" ht="12.8" hidden="false" customHeight="false" outlineLevel="0" collapsed="false">
      <c r="B233" s="0" t="s">
        <v>63</v>
      </c>
    </row>
    <row r="235" customFormat="false" ht="12.8" hidden="false" customHeight="false" outlineLevel="0" collapsed="false">
      <c r="A235" s="0" t="s">
        <v>162</v>
      </c>
      <c r="B235" s="0" t="str">
        <f aca="false">HYPERLINK("https://lindat.mff.cuni.cz/services/teitok/pdtc10/index.php?action=vallex&amp;frame=v-w105f1", "avizovat (v-w105f1)")</f>
        <v>avizovat (v-w105f1)</v>
      </c>
    </row>
    <row r="236" customFormat="false" ht="12.8" hidden="false" customHeight="false" outlineLevel="0" collapsed="false">
      <c r="B236" s="0" t="s">
        <v>7</v>
      </c>
      <c r="C236" s="0" t="s">
        <v>163</v>
      </c>
      <c r="D236" s="0" t="s">
        <v>164</v>
      </c>
      <c r="E236" s="0" t="s">
        <v>164</v>
      </c>
      <c r="F236" s="0" t="s">
        <v>164</v>
      </c>
    </row>
    <row r="237" customFormat="false" ht="12.8" hidden="false" customHeight="false" outlineLevel="0" collapsed="false">
      <c r="B237" s="0" t="s">
        <v>165</v>
      </c>
      <c r="C237" s="0" t="s">
        <v>166</v>
      </c>
      <c r="D237" s="0" t="s">
        <v>167</v>
      </c>
      <c r="E237" s="0" t="s">
        <v>167</v>
      </c>
      <c r="F237" s="0" t="s">
        <v>167</v>
      </c>
    </row>
    <row r="238" customFormat="false" ht="12.8" hidden="false" customHeight="false" outlineLevel="0" collapsed="false">
      <c r="B238" s="0" t="s">
        <v>106</v>
      </c>
      <c r="D238" s="0" t="s">
        <v>168</v>
      </c>
      <c r="E238" s="0" t="s">
        <v>168</v>
      </c>
      <c r="F238" s="0" t="s">
        <v>168</v>
      </c>
    </row>
    <row r="240" customFormat="false" ht="12.8" hidden="false" customHeight="false" outlineLevel="0" collapsed="false">
      <c r="A240" s="0" t="s">
        <v>169</v>
      </c>
      <c r="B240" s="0" t="str">
        <f aca="false">HYPERLINK("https://lindat.mff.cuni.cz/services/teitok/pdtc10/index.php?action=vallex&amp;frame=v-whsa_1897hsa_1898", "bacit (v-whsa_1897hsa_1898)")</f>
        <v>bacit (v-whsa_1897hsa_1898)</v>
      </c>
    </row>
    <row r="241" customFormat="false" ht="12.8" hidden="false" customHeight="false" outlineLevel="0" collapsed="false">
      <c r="B241" s="0" t="s">
        <v>7</v>
      </c>
    </row>
    <row r="242" customFormat="false" ht="12.8" hidden="false" customHeight="false" outlineLevel="0" collapsed="false">
      <c r="B242" s="0" t="s">
        <v>14</v>
      </c>
    </row>
    <row r="244" customFormat="false" ht="12.8" hidden="false" customHeight="false" outlineLevel="0" collapsed="false">
      <c r="A244" s="0" t="s">
        <v>170</v>
      </c>
      <c r="B244" s="0" t="str">
        <f aca="false">HYPERLINK("https://lindat.mff.cuni.cz/services/teitok/pdtc10/index.php?action=vallex&amp;frame=v-w108f1", "bagatelizovat (v-w108f1)")</f>
        <v>bagatelizovat (v-w108f1)</v>
      </c>
    </row>
    <row r="245" customFormat="false" ht="12.8" hidden="false" customHeight="false" outlineLevel="0" collapsed="false">
      <c r="B245" s="0" t="s">
        <v>7</v>
      </c>
      <c r="C245" s="0" t="s">
        <v>31</v>
      </c>
      <c r="D245" s="0" t="s">
        <v>171</v>
      </c>
      <c r="E245" s="0" t="s">
        <v>171</v>
      </c>
      <c r="F245" s="0" t="s">
        <v>171</v>
      </c>
    </row>
    <row r="246" customFormat="false" ht="12.8" hidden="false" customHeight="false" outlineLevel="0" collapsed="false">
      <c r="B246" s="0" t="s">
        <v>172</v>
      </c>
      <c r="C246" s="0" t="s">
        <v>173</v>
      </c>
      <c r="D246" s="0" t="s">
        <v>174</v>
      </c>
      <c r="E246" s="0" t="s">
        <v>174</v>
      </c>
      <c r="F246" s="0" t="s">
        <v>174</v>
      </c>
    </row>
    <row r="248" customFormat="false" ht="12.8" hidden="false" customHeight="false" outlineLevel="0" collapsed="false">
      <c r="A248" s="0" t="s">
        <v>175</v>
      </c>
      <c r="B248" s="0" t="str">
        <f aca="false">HYPERLINK("https://lindat.mff.cuni.cz/services/teitok/pdtc10/index.php?action=vallex&amp;frame=v-w111f1", "balancovat (v-w111f1)")</f>
        <v>balancovat (v-w111f1)</v>
      </c>
    </row>
    <row r="249" customFormat="false" ht="12.8" hidden="false" customHeight="false" outlineLevel="0" collapsed="false">
      <c r="B249" s="0" t="s">
        <v>7</v>
      </c>
      <c r="C249" s="0" t="s">
        <v>176</v>
      </c>
      <c r="D249" s="0" t="s">
        <v>177</v>
      </c>
      <c r="E249" s="0" t="s">
        <v>177</v>
      </c>
      <c r="F249" s="0" t="s">
        <v>177</v>
      </c>
    </row>
    <row r="251" customFormat="false" ht="12.8" hidden="false" customHeight="false" outlineLevel="0" collapsed="false">
      <c r="A251" s="0" t="s">
        <v>178</v>
      </c>
      <c r="B251" s="0" t="str">
        <f aca="false">HYPERLINK("https://lindat.mff.cuni.cz/services/teitok/pdtc10/index.php?action=vallex&amp;frame=v-w113f2", "balit (v-w113f2)")</f>
        <v>balit (v-w113f2)</v>
      </c>
    </row>
    <row r="252" customFormat="false" ht="12.8" hidden="false" customHeight="false" outlineLevel="0" collapsed="false">
      <c r="B252" s="0" t="s">
        <v>7</v>
      </c>
      <c r="C252" s="0" t="s">
        <v>31</v>
      </c>
      <c r="D252" s="0" t="s">
        <v>108</v>
      </c>
      <c r="E252" s="0" t="s">
        <v>108</v>
      </c>
      <c r="F252" s="0" t="s">
        <v>108</v>
      </c>
    </row>
    <row r="253" customFormat="false" ht="12.8" hidden="false" customHeight="false" outlineLevel="0" collapsed="false">
      <c r="B253" s="0" t="s">
        <v>14</v>
      </c>
      <c r="C253" s="0" t="s">
        <v>179</v>
      </c>
      <c r="D253" s="0" t="s">
        <v>180</v>
      </c>
      <c r="E253" s="0" t="s">
        <v>180</v>
      </c>
      <c r="F253" s="0" t="s">
        <v>180</v>
      </c>
    </row>
    <row r="254" customFormat="false" ht="12.8" hidden="false" customHeight="false" outlineLevel="0" collapsed="false">
      <c r="B254" s="0" t="s">
        <v>181</v>
      </c>
      <c r="C254" s="0" t="s">
        <v>182</v>
      </c>
    </row>
    <row r="256" customFormat="false" ht="12.8" hidden="false" customHeight="false" outlineLevel="0" collapsed="false">
      <c r="A256" s="0" t="s">
        <v>183</v>
      </c>
      <c r="B256" s="0" t="str">
        <f aca="false">HYPERLINK("https://lindat.mff.cuni.cz/services/teitok/pdtc10/index.php?action=vallex&amp;frame=v-w113f1", "balit (v-w113f1)")</f>
        <v>balit (v-w113f1)</v>
      </c>
    </row>
    <row r="257" customFormat="false" ht="12.8" hidden="false" customHeight="false" outlineLevel="0" collapsed="false">
      <c r="B257" s="0" t="s">
        <v>7</v>
      </c>
      <c r="C257" s="0" t="s">
        <v>184</v>
      </c>
      <c r="D257" s="0" t="s">
        <v>108</v>
      </c>
      <c r="E257" s="0" t="s">
        <v>108</v>
      </c>
      <c r="F257" s="0" t="s">
        <v>108</v>
      </c>
    </row>
    <row r="258" customFormat="false" ht="12.8" hidden="false" customHeight="false" outlineLevel="0" collapsed="false">
      <c r="B258" s="0" t="s">
        <v>14</v>
      </c>
      <c r="C258" s="0" t="s">
        <v>185</v>
      </c>
      <c r="D258" s="0" t="s">
        <v>180</v>
      </c>
      <c r="E258" s="0" t="s">
        <v>180</v>
      </c>
      <c r="F258" s="0" t="s">
        <v>180</v>
      </c>
    </row>
    <row r="260" customFormat="false" ht="12.8" hidden="false" customHeight="false" outlineLevel="0" collapsed="false">
      <c r="A260" s="0" t="s">
        <v>186</v>
      </c>
      <c r="B260" s="0" t="str">
        <f aca="false">HYPERLINK("https://lindat.mff.cuni.cz/services/teitok/pdtc10/index.php?action=vallex&amp;frame=v-w113f4", "balit (v-w113f4)")</f>
        <v>balit (v-w113f4)</v>
      </c>
    </row>
    <row r="261" customFormat="false" ht="12.8" hidden="false" customHeight="false" outlineLevel="0" collapsed="false">
      <c r="B261" s="0" t="s">
        <v>7</v>
      </c>
    </row>
    <row r="262" customFormat="false" ht="12.8" hidden="false" customHeight="false" outlineLevel="0" collapsed="false">
      <c r="B262" s="0" t="s">
        <v>14</v>
      </c>
    </row>
    <row r="264" customFormat="false" ht="12.8" hidden="false" customHeight="false" outlineLevel="0" collapsed="false">
      <c r="A264" s="0" t="s">
        <v>187</v>
      </c>
      <c r="B264" s="0" t="str">
        <f aca="false">HYPERLINK("https://lindat.mff.cuni.cz/services/teitok/pdtc10/index.php?action=vallex&amp;frame=v-w113f3", "balit (v-w113f3)")</f>
        <v>balit (v-w113f3)</v>
      </c>
    </row>
    <row r="265" customFormat="false" ht="12.8" hidden="false" customHeight="false" outlineLevel="0" collapsed="false">
      <c r="B265" s="0" t="s">
        <v>7</v>
      </c>
    </row>
    <row r="266" customFormat="false" ht="12.8" hidden="false" customHeight="false" outlineLevel="0" collapsed="false">
      <c r="B266" s="0" t="s">
        <v>188</v>
      </c>
    </row>
    <row r="268" customFormat="false" ht="12.8" hidden="false" customHeight="false" outlineLevel="0" collapsed="false">
      <c r="A268" s="0" t="s">
        <v>189</v>
      </c>
      <c r="B268" s="0" t="str">
        <f aca="false">HYPERLINK("https://lindat.mff.cuni.cz/services/teitok/pdtc10/index.php?action=vallex&amp;frame=v-w113f5_ZU", "balit (v-w113f5_ZU)")</f>
        <v>balit (v-w113f5_ZU)</v>
      </c>
    </row>
    <row r="269" customFormat="false" ht="12.8" hidden="false" customHeight="false" outlineLevel="0" collapsed="false">
      <c r="B269" s="0" t="s">
        <v>7</v>
      </c>
    </row>
    <row r="270" customFormat="false" ht="12.8" hidden="false" customHeight="false" outlineLevel="0" collapsed="false">
      <c r="B270" s="0" t="s">
        <v>14</v>
      </c>
    </row>
    <row r="272" customFormat="false" ht="12.8" hidden="false" customHeight="false" outlineLevel="0" collapsed="false">
      <c r="A272" s="0" t="s">
        <v>190</v>
      </c>
      <c r="B272" s="0" t="str">
        <f aca="false">HYPERLINK("https://lindat.mff.cuni.cz/services/teitok/pdtc10/index.php?action=vallex&amp;frame=v-w114f1", "balit se (v-w114f1)")</f>
        <v>balit se (v-w114f1)</v>
      </c>
    </row>
    <row r="273" customFormat="false" ht="12.8" hidden="false" customHeight="false" outlineLevel="0" collapsed="false">
      <c r="B273" s="0" t="s">
        <v>7</v>
      </c>
      <c r="C273" s="0" t="s">
        <v>191</v>
      </c>
    </row>
    <row r="275" customFormat="false" ht="12.8" hidden="false" customHeight="false" outlineLevel="0" collapsed="false">
      <c r="A275" s="0" t="s">
        <v>192</v>
      </c>
      <c r="B275" s="0" t="str">
        <f aca="false">HYPERLINK("https://lindat.mff.cuni.cz/services/teitok/pdtc10/index.php?action=vallex&amp;frame=v-w118f1", "bankrotovat (v-w118f1)")</f>
        <v>bankrotovat (v-w118f1)</v>
      </c>
    </row>
    <row r="276" customFormat="false" ht="12.8" hidden="false" customHeight="false" outlineLevel="0" collapsed="false">
      <c r="B276" s="0" t="s">
        <v>7</v>
      </c>
    </row>
    <row r="278" customFormat="false" ht="12.8" hidden="false" customHeight="false" outlineLevel="0" collapsed="false">
      <c r="A278" s="0" t="s">
        <v>193</v>
      </c>
      <c r="B278" s="0" t="str">
        <f aca="false">HYPERLINK("https://lindat.mff.cuni.cz/services/teitok/pdtc10/index.php?action=vallex&amp;frame=v-w121f1", "barvit (v-w121f1)")</f>
        <v>barvit (v-w121f1)</v>
      </c>
    </row>
    <row r="279" customFormat="false" ht="12.8" hidden="false" customHeight="false" outlineLevel="0" collapsed="false">
      <c r="B279" s="0" t="s">
        <v>7</v>
      </c>
      <c r="D279" s="0" t="s">
        <v>194</v>
      </c>
      <c r="E279" s="0" t="s">
        <v>194</v>
      </c>
      <c r="F279" s="0" t="s">
        <v>194</v>
      </c>
    </row>
    <row r="280" customFormat="false" ht="12.8" hidden="false" customHeight="false" outlineLevel="0" collapsed="false">
      <c r="B280" s="0" t="s">
        <v>14</v>
      </c>
      <c r="D280" s="0" t="s">
        <v>195</v>
      </c>
      <c r="E280" s="0" t="s">
        <v>195</v>
      </c>
      <c r="F280" s="0" t="s">
        <v>195</v>
      </c>
    </row>
    <row r="282" customFormat="false" ht="12.8" hidden="false" customHeight="false" outlineLevel="0" collapsed="false">
      <c r="A282" s="0" t="s">
        <v>196</v>
      </c>
      <c r="B282" s="0" t="str">
        <f aca="false">HYPERLINK("https://lindat.mff.cuni.cz/services/teitok/pdtc10/index.php?action=vallex&amp;frame=v-w126f1", "batolit se (v-w126f1)")</f>
        <v>batolit se (v-w126f1)</v>
      </c>
    </row>
    <row r="283" customFormat="false" ht="12.8" hidden="false" customHeight="false" outlineLevel="0" collapsed="false">
      <c r="B283" s="0" t="s">
        <v>7</v>
      </c>
    </row>
    <row r="285" customFormat="false" ht="12.8" hidden="false" customHeight="false" outlineLevel="0" collapsed="false">
      <c r="A285" s="0" t="s">
        <v>197</v>
      </c>
      <c r="B285" s="0" t="str">
        <f aca="false">HYPERLINK("https://lindat.mff.cuni.cz/services/teitok/pdtc10/index.php?action=vallex&amp;frame=v-w128f2", "bavit (v-w128f2)")</f>
        <v>bavit (v-w128f2)</v>
      </c>
    </row>
    <row r="286" customFormat="false" ht="12.8" hidden="false" customHeight="false" outlineLevel="0" collapsed="false">
      <c r="B286" s="0" t="s">
        <v>7</v>
      </c>
    </row>
    <row r="287" customFormat="false" ht="12.8" hidden="false" customHeight="false" outlineLevel="0" collapsed="false">
      <c r="B287" s="0" t="s">
        <v>14</v>
      </c>
    </row>
    <row r="289" customFormat="false" ht="12.8" hidden="false" customHeight="false" outlineLevel="0" collapsed="false">
      <c r="A289" s="0" t="s">
        <v>198</v>
      </c>
      <c r="B289" s="0" t="str">
        <f aca="false">HYPERLINK("https://lindat.mff.cuni.cz/services/teitok/pdtc10/index.php?action=vallex&amp;frame=v-w128f1", "bavit (v-w128f1)")</f>
        <v>bavit (v-w128f1)</v>
      </c>
    </row>
    <row r="290" customFormat="false" ht="12.8" hidden="false" customHeight="false" outlineLevel="0" collapsed="false">
      <c r="B290" s="0" t="s">
        <v>199</v>
      </c>
      <c r="C290" s="0" t="s">
        <v>200</v>
      </c>
      <c r="D290" s="0" t="s">
        <v>201</v>
      </c>
      <c r="E290" s="0" t="s">
        <v>201</v>
      </c>
      <c r="F290" s="0" t="s">
        <v>201</v>
      </c>
    </row>
    <row r="291" customFormat="false" ht="12.8" hidden="false" customHeight="false" outlineLevel="0" collapsed="false">
      <c r="B291" s="0" t="s">
        <v>202</v>
      </c>
      <c r="C291" s="0" t="s">
        <v>203</v>
      </c>
      <c r="D291" s="0" t="s">
        <v>204</v>
      </c>
      <c r="E291" s="0" t="s">
        <v>204</v>
      </c>
      <c r="F291" s="0" t="s">
        <v>204</v>
      </c>
    </row>
    <row r="293" customFormat="false" ht="12.8" hidden="false" customHeight="false" outlineLevel="0" collapsed="false">
      <c r="A293" s="0" t="s">
        <v>205</v>
      </c>
      <c r="B293" s="0" t="str">
        <f aca="false">HYPERLINK("https://lindat.mff.cuni.cz/services/teitok/pdtc10/index.php?action=vallex&amp;frame=v-w129f4_ZU", "bavit se (v-w129f4_ZU)")</f>
        <v>bavit se (v-w129f4_ZU)</v>
      </c>
    </row>
    <row r="294" customFormat="false" ht="12.8" hidden="false" customHeight="false" outlineLevel="0" collapsed="false">
      <c r="B294" s="0" t="s">
        <v>7</v>
      </c>
    </row>
    <row r="295" customFormat="false" ht="12.8" hidden="false" customHeight="false" outlineLevel="0" collapsed="false">
      <c r="B295" s="0" t="s">
        <v>206</v>
      </c>
    </row>
    <row r="296" customFormat="false" ht="12.8" hidden="false" customHeight="false" outlineLevel="0" collapsed="false">
      <c r="B296" s="0" t="s">
        <v>207</v>
      </c>
    </row>
    <row r="298" customFormat="false" ht="12.8" hidden="false" customHeight="false" outlineLevel="0" collapsed="false">
      <c r="A298" s="0" t="s">
        <v>205</v>
      </c>
      <c r="B298" s="0" t="str">
        <f aca="false">HYPERLINK("https://lindat.mff.cuni.cz/services/teitok/pdtc10/index.php?action=vallex&amp;frame=v-w129f1", "bavit se (v-w129f1) - substituted with v-w129f4_ZU")</f>
        <v>bavit se (v-w129f1) - substituted with v-w129f4_ZU</v>
      </c>
    </row>
    <row r="299" customFormat="false" ht="12.8" hidden="false" customHeight="false" outlineLevel="0" collapsed="false">
      <c r="B299" s="0" t="s">
        <v>7</v>
      </c>
      <c r="C299" s="0" t="s">
        <v>208</v>
      </c>
      <c r="D299" s="0" t="s">
        <v>209</v>
      </c>
      <c r="E299" s="0" t="s">
        <v>209</v>
      </c>
      <c r="F299" s="0" t="s">
        <v>209</v>
      </c>
    </row>
    <row r="300" customFormat="false" ht="12.8" hidden="false" customHeight="false" outlineLevel="0" collapsed="false">
      <c r="B300" s="0" t="s">
        <v>206</v>
      </c>
      <c r="C300" s="0" t="s">
        <v>210</v>
      </c>
      <c r="D300" s="0" t="s">
        <v>211</v>
      </c>
      <c r="E300" s="0" t="s">
        <v>211</v>
      </c>
      <c r="F300" s="0" t="s">
        <v>211</v>
      </c>
    </row>
    <row r="301" customFormat="false" ht="12.8" hidden="false" customHeight="false" outlineLevel="0" collapsed="false">
      <c r="B301" s="0" t="s">
        <v>207</v>
      </c>
      <c r="C301" s="0" t="s">
        <v>212</v>
      </c>
      <c r="D301" s="0" t="s">
        <v>213</v>
      </c>
      <c r="E301" s="0" t="s">
        <v>213</v>
      </c>
      <c r="F301" s="0" t="s">
        <v>213</v>
      </c>
    </row>
    <row r="303" customFormat="false" ht="12.8" hidden="false" customHeight="false" outlineLevel="0" collapsed="false">
      <c r="A303" s="0" t="s">
        <v>214</v>
      </c>
      <c r="B303" s="0" t="str">
        <f aca="false">HYPERLINK("https://lindat.mff.cuni.cz/services/teitok/pdtc10/index.php?action=vallex&amp;frame=v-w129f3", "bavit se (v-w129f3)")</f>
        <v>bavit se (v-w129f3)</v>
      </c>
    </row>
    <row r="304" customFormat="false" ht="12.8" hidden="false" customHeight="false" outlineLevel="0" collapsed="false">
      <c r="B304" s="0" t="s">
        <v>7</v>
      </c>
      <c r="D304" s="0" t="s">
        <v>215</v>
      </c>
      <c r="E304" s="0" t="s">
        <v>215</v>
      </c>
      <c r="F304" s="0" t="s">
        <v>215</v>
      </c>
    </row>
    <row r="305" customFormat="false" ht="12.8" hidden="false" customHeight="false" outlineLevel="0" collapsed="false">
      <c r="B305" s="0" t="s">
        <v>216</v>
      </c>
      <c r="D305" s="0" t="s">
        <v>217</v>
      </c>
      <c r="E305" s="0" t="s">
        <v>217</v>
      </c>
      <c r="F305" s="0" t="s">
        <v>217</v>
      </c>
    </row>
    <row r="307" customFormat="false" ht="12.8" hidden="false" customHeight="false" outlineLevel="0" collapsed="false">
      <c r="A307" s="0" t="s">
        <v>218</v>
      </c>
      <c r="B307" s="0" t="str">
        <f aca="false">HYPERLINK("https://lindat.mff.cuni.cz/services/teitok/pdtc10/index.php?action=vallex&amp;frame=v-w129f2", "bavit se (v-w129f2)")</f>
        <v>bavit se (v-w129f2)</v>
      </c>
    </row>
    <row r="308" customFormat="false" ht="12.8" hidden="false" customHeight="false" outlineLevel="0" collapsed="false">
      <c r="B308" s="0" t="s">
        <v>7</v>
      </c>
    </row>
    <row r="310" customFormat="false" ht="12.8" hidden="false" customHeight="false" outlineLevel="0" collapsed="false">
      <c r="A310" s="0" t="s">
        <v>219</v>
      </c>
      <c r="B310" s="0" t="str">
        <f aca="false">HYPERLINK("https://lindat.mff.cuni.cz/services/teitok/pdtc10/index.php?action=vallex&amp;frame=v-w130f1", "bazírovat (v-w130f1)")</f>
        <v>bazírovat (v-w130f1)</v>
      </c>
    </row>
    <row r="311" customFormat="false" ht="12.8" hidden="false" customHeight="false" outlineLevel="0" collapsed="false">
      <c r="B311" s="0" t="s">
        <v>7</v>
      </c>
    </row>
    <row r="312" customFormat="false" ht="12.8" hidden="false" customHeight="false" outlineLevel="0" collapsed="false">
      <c r="B312" s="0" t="s">
        <v>220</v>
      </c>
    </row>
    <row r="314" customFormat="false" ht="12.8" hidden="false" customHeight="false" outlineLevel="0" collapsed="false">
      <c r="A314" s="0" t="s">
        <v>221</v>
      </c>
      <c r="B314" s="0" t="str">
        <f aca="false">HYPERLINK("https://lindat.mff.cuni.cz/services/teitok/pdtc10/index.php?action=vallex&amp;frame=v-w12148_ZUf1_ZU", "baštit (v-w12148_ZUf1_ZU)")</f>
        <v>baštit (v-w12148_ZUf1_ZU)</v>
      </c>
    </row>
    <row r="315" customFormat="false" ht="12.8" hidden="false" customHeight="false" outlineLevel="0" collapsed="false">
      <c r="B315" s="0" t="s">
        <v>7</v>
      </c>
    </row>
    <row r="316" customFormat="false" ht="12.8" hidden="false" customHeight="false" outlineLevel="0" collapsed="false">
      <c r="B316" s="0" t="s">
        <v>14</v>
      </c>
    </row>
    <row r="318" customFormat="false" ht="12.8" hidden="false" customHeight="false" outlineLevel="0" collapsed="false">
      <c r="A318" s="0" t="s">
        <v>222</v>
      </c>
      <c r="B318" s="0" t="str">
        <f aca="false">HYPERLINK("https://lindat.mff.cuni.cz/services/teitok/pdtc10/index.php?action=vallex&amp;frame=v-w131f1", "bdít (v-w131f1)")</f>
        <v>bdít (v-w131f1)</v>
      </c>
    </row>
    <row r="319" customFormat="false" ht="12.8" hidden="false" customHeight="false" outlineLevel="0" collapsed="false">
      <c r="B319" s="0" t="s">
        <v>7</v>
      </c>
    </row>
    <row r="320" customFormat="false" ht="12.8" hidden="false" customHeight="false" outlineLevel="0" collapsed="false">
      <c r="B320" s="0" t="s">
        <v>223</v>
      </c>
    </row>
    <row r="322" customFormat="false" ht="12.8" hidden="false" customHeight="false" outlineLevel="0" collapsed="false">
      <c r="A322" s="0" t="s">
        <v>224</v>
      </c>
      <c r="B322" s="0" t="str">
        <f aca="false">HYPERLINK("https://lindat.mff.cuni.cz/services/teitok/pdtc10/index.php?action=vallex&amp;frame=v-w131f2", "bdít (v-w131f2)")</f>
        <v>bdít (v-w131f2)</v>
      </c>
    </row>
    <row r="323" customFormat="false" ht="12.8" hidden="false" customHeight="false" outlineLevel="0" collapsed="false">
      <c r="B323" s="0" t="s">
        <v>7</v>
      </c>
    </row>
    <row r="325" customFormat="false" ht="12.8" hidden="false" customHeight="false" outlineLevel="0" collapsed="false">
      <c r="A325" s="0" t="s">
        <v>225</v>
      </c>
      <c r="B325" s="0" t="str">
        <f aca="false">HYPERLINK("https://lindat.mff.cuni.cz/services/teitok/pdtc10/index.php?action=vallex&amp;frame=v-w137f1", "belhat se (v-w137f1)")</f>
        <v>belhat se (v-w137f1)</v>
      </c>
    </row>
    <row r="326" customFormat="false" ht="12.8" hidden="false" customHeight="false" outlineLevel="0" collapsed="false">
      <c r="B326" s="0" t="s">
        <v>7</v>
      </c>
    </row>
    <row r="328" customFormat="false" ht="12.8" hidden="false" customHeight="false" outlineLevel="0" collapsed="false">
      <c r="A328" s="0" t="s">
        <v>226</v>
      </c>
      <c r="B328" s="0" t="str">
        <f aca="false">HYPERLINK("https://lindat.mff.cuni.cz/services/teitok/pdtc10/index.php?action=vallex&amp;frame=v-w10966f2", "benefitovat (v-w10966f2)")</f>
        <v>benefitovat (v-w10966f2)</v>
      </c>
    </row>
    <row r="329" customFormat="false" ht="12.8" hidden="false" customHeight="false" outlineLevel="0" collapsed="false">
      <c r="B329" s="0" t="s">
        <v>7</v>
      </c>
    </row>
    <row r="330" customFormat="false" ht="12.8" hidden="false" customHeight="false" outlineLevel="0" collapsed="false">
      <c r="B330" s="0" t="s">
        <v>227</v>
      </c>
    </row>
    <row r="332" customFormat="false" ht="12.8" hidden="false" customHeight="false" outlineLevel="0" collapsed="false">
      <c r="A332" s="0" t="s">
        <v>228</v>
      </c>
      <c r="B332" s="0" t="str">
        <f aca="false">HYPERLINK("https://lindat.mff.cuni.cz/services/teitok/pdtc10/index.php?action=vallex&amp;frame=v-w11950_ZUf2_ZU", "betonovat (v-w11950_ZUf2_ZU)")</f>
        <v>betonovat (v-w11950_ZUf2_ZU)</v>
      </c>
    </row>
    <row r="333" customFormat="false" ht="12.8" hidden="false" customHeight="false" outlineLevel="0" collapsed="false">
      <c r="B333" s="0" t="s">
        <v>7</v>
      </c>
    </row>
    <row r="334" customFormat="false" ht="12.8" hidden="false" customHeight="false" outlineLevel="0" collapsed="false">
      <c r="B334" s="0" t="s">
        <v>14</v>
      </c>
    </row>
    <row r="336" customFormat="false" ht="12.8" hidden="false" customHeight="false" outlineLevel="0" collapsed="false">
      <c r="A336" s="0" t="s">
        <v>228</v>
      </c>
      <c r="B336" s="0" t="str">
        <f aca="false">HYPERLINK("https://lindat.mff.cuni.cz/services/teitok/pdtc10/index.php?action=vallex&amp;frame=v-w11950_ZUf1_ZU", "betonovat (v-w11950_ZUf1_ZU) - substituted with v-w11950_ZUf2_ZU")</f>
        <v>betonovat (v-w11950_ZUf1_ZU) - substituted with v-w11950_ZUf2_ZU</v>
      </c>
    </row>
    <row r="337" customFormat="false" ht="12.8" hidden="false" customHeight="false" outlineLevel="0" collapsed="false">
      <c r="B337" s="0" t="s">
        <v>7</v>
      </c>
    </row>
    <row r="338" customFormat="false" ht="12.8" hidden="false" customHeight="false" outlineLevel="0" collapsed="false">
      <c r="B338" s="0" t="s">
        <v>14</v>
      </c>
    </row>
    <row r="340" customFormat="false" ht="12.8" hidden="false" customHeight="false" outlineLevel="0" collapsed="false">
      <c r="A340" s="0" t="s">
        <v>229</v>
      </c>
      <c r="B340" s="0" t="str">
        <f aca="false">HYPERLINK("https://lindat.mff.cuni.cz/services/teitok/pdtc10/index.php?action=vallex&amp;frame=v-w132f1", "bečet (v-w132f1)")</f>
        <v>bečet (v-w132f1)</v>
      </c>
    </row>
    <row r="341" customFormat="false" ht="12.8" hidden="false" customHeight="false" outlineLevel="0" collapsed="false">
      <c r="B341" s="0" t="s">
        <v>7</v>
      </c>
    </row>
    <row r="343" customFormat="false" ht="12.8" hidden="false" customHeight="false" outlineLevel="0" collapsed="false">
      <c r="A343" s="0" t="s">
        <v>230</v>
      </c>
      <c r="B343" s="0" t="str">
        <f aca="false">HYPERLINK("https://lindat.mff.cuni.cz/services/teitok/pdtc10/index.php?action=vallex&amp;frame=v-w149f1", "bilancovat (v-w149f1)")</f>
        <v>bilancovat (v-w149f1)</v>
      </c>
    </row>
    <row r="344" customFormat="false" ht="12.8" hidden="false" customHeight="false" outlineLevel="0" collapsed="false">
      <c r="B344" s="0" t="s">
        <v>7</v>
      </c>
      <c r="D344" s="0" t="s">
        <v>231</v>
      </c>
      <c r="E344" s="0" t="s">
        <v>231</v>
      </c>
      <c r="F344" s="0" t="s">
        <v>231</v>
      </c>
    </row>
    <row r="345" customFormat="false" ht="12.8" hidden="false" customHeight="false" outlineLevel="0" collapsed="false">
      <c r="B345" s="0" t="s">
        <v>232</v>
      </c>
      <c r="D345" s="0" t="s">
        <v>233</v>
      </c>
      <c r="E345" s="0" t="s">
        <v>233</v>
      </c>
      <c r="F345" s="0" t="s">
        <v>233</v>
      </c>
    </row>
    <row r="347" customFormat="false" ht="12.8" hidden="false" customHeight="false" outlineLevel="0" collapsed="false">
      <c r="A347" s="0" t="s">
        <v>234</v>
      </c>
      <c r="B347" s="0" t="str">
        <f aca="false">HYPERLINK("https://lindat.mff.cuni.cz/services/teitok/pdtc10/index.php?action=vallex&amp;frame=v-w147f1", "bičovat (v-w147f1)")</f>
        <v>bičovat (v-w147f1)</v>
      </c>
    </row>
    <row r="348" customFormat="false" ht="12.8" hidden="false" customHeight="false" outlineLevel="0" collapsed="false">
      <c r="B348" s="0" t="s">
        <v>7</v>
      </c>
    </row>
    <row r="349" customFormat="false" ht="12.8" hidden="false" customHeight="false" outlineLevel="0" collapsed="false">
      <c r="B349" s="0" t="s">
        <v>14</v>
      </c>
    </row>
    <row r="351" customFormat="false" ht="12.8" hidden="false" customHeight="false" outlineLevel="0" collapsed="false">
      <c r="A351" s="0" t="s">
        <v>235</v>
      </c>
      <c r="B351" s="0" t="str">
        <f aca="false">HYPERLINK("https://lindat.mff.cuni.cz/services/teitok/pdtc10/index.php?action=vallex&amp;frame=v-w12020_ZUf1_ZU", "biřmovat (v-w12020_ZUf1_ZU)")</f>
        <v>biřmovat (v-w12020_ZUf1_ZU)</v>
      </c>
    </row>
    <row r="352" customFormat="false" ht="12.8" hidden="false" customHeight="false" outlineLevel="0" collapsed="false">
      <c r="B352" s="0" t="s">
        <v>7</v>
      </c>
    </row>
    <row r="353" customFormat="false" ht="12.8" hidden="false" customHeight="false" outlineLevel="0" collapsed="false">
      <c r="B353" s="0" t="s">
        <v>14</v>
      </c>
    </row>
    <row r="355" customFormat="false" ht="12.8" hidden="false" customHeight="false" outlineLevel="0" collapsed="false">
      <c r="A355" s="0" t="s">
        <v>236</v>
      </c>
      <c r="B355" s="0" t="str">
        <f aca="false">HYPERLINK("https://lindat.mff.cuni.cz/services/teitok/pdtc10/index.php?action=vallex&amp;frame=v-w155f1", "blahopřát (v-w155f1)")</f>
        <v>blahopřát (v-w155f1)</v>
      </c>
    </row>
    <row r="356" customFormat="false" ht="12.8" hidden="false" customHeight="false" outlineLevel="0" collapsed="false">
      <c r="B356" s="0" t="s">
        <v>7</v>
      </c>
    </row>
    <row r="357" customFormat="false" ht="12.8" hidden="false" customHeight="false" outlineLevel="0" collapsed="false">
      <c r="B357" s="0" t="s">
        <v>237</v>
      </c>
    </row>
    <row r="358" customFormat="false" ht="12.8" hidden="false" customHeight="false" outlineLevel="0" collapsed="false">
      <c r="B358" s="0" t="s">
        <v>48</v>
      </c>
    </row>
    <row r="360" customFormat="false" ht="12.8" hidden="false" customHeight="false" outlineLevel="0" collapsed="false">
      <c r="A360" s="0" t="s">
        <v>238</v>
      </c>
      <c r="B360" s="0" t="str">
        <f aca="false">HYPERLINK("https://lindat.mff.cuni.cz/services/teitok/pdtc10/index.php?action=vallex&amp;frame=v-w10196f2", "blahořečit (v-w10196f2)")</f>
        <v>blahořečit (v-w10196f2)</v>
      </c>
    </row>
    <row r="361" customFormat="false" ht="12.8" hidden="false" customHeight="false" outlineLevel="0" collapsed="false">
      <c r="B361" s="0" t="s">
        <v>7</v>
      </c>
    </row>
    <row r="362" customFormat="false" ht="12.8" hidden="false" customHeight="false" outlineLevel="0" collapsed="false">
      <c r="B362" s="0" t="s">
        <v>48</v>
      </c>
    </row>
    <row r="363" customFormat="false" ht="12.8" hidden="false" customHeight="false" outlineLevel="0" collapsed="false">
      <c r="B363" s="0" t="s">
        <v>239</v>
      </c>
    </row>
    <row r="365" customFormat="false" ht="12.8" hidden="false" customHeight="false" outlineLevel="0" collapsed="false">
      <c r="A365" s="0" t="s">
        <v>240</v>
      </c>
      <c r="B365" s="0" t="str">
        <f aca="false">HYPERLINK("https://lindat.mff.cuni.cz/services/teitok/pdtc10/index.php?action=vallex&amp;frame=v-w157f1", "blamovat (v-w157f1)")</f>
        <v>blamovat (v-w157f1)</v>
      </c>
    </row>
    <row r="366" customFormat="false" ht="12.8" hidden="false" customHeight="false" outlineLevel="0" collapsed="false">
      <c r="B366" s="0" t="s">
        <v>7</v>
      </c>
    </row>
    <row r="367" customFormat="false" ht="12.8" hidden="false" customHeight="false" outlineLevel="0" collapsed="false">
      <c r="B367" s="0" t="s">
        <v>14</v>
      </c>
    </row>
    <row r="369" customFormat="false" ht="12.8" hidden="false" customHeight="false" outlineLevel="0" collapsed="false">
      <c r="A369" s="0" t="s">
        <v>241</v>
      </c>
      <c r="B369" s="0" t="str">
        <f aca="false">HYPERLINK("https://lindat.mff.cuni.cz/services/teitok/pdtc10/index.php?action=vallex&amp;frame=v-whsa_1409f1_ZU", "blbnout (v-whsa_1409f1_ZU)")</f>
        <v>blbnout (v-whsa_1409f1_ZU)</v>
      </c>
    </row>
    <row r="370" customFormat="false" ht="12.8" hidden="false" customHeight="false" outlineLevel="0" collapsed="false">
      <c r="B370" s="0" t="s">
        <v>7</v>
      </c>
    </row>
    <row r="372" customFormat="false" ht="12.8" hidden="false" customHeight="false" outlineLevel="0" collapsed="false">
      <c r="A372" s="0" t="s">
        <v>241</v>
      </c>
      <c r="B372" s="0" t="str">
        <f aca="false">HYPERLINK("https://lindat.mff.cuni.cz/services/teitok/pdtc10/index.php?action=vallex&amp;frame=v-whsa_1409hsa_1410", "blbnout (v-whsa_1409hsa_1410) - substituted with v-whsa_1409f1_ZU")</f>
        <v>blbnout (v-whsa_1409hsa_1410) - substituted with v-whsa_1409f1_ZU</v>
      </c>
    </row>
    <row r="373" customFormat="false" ht="12.8" hidden="false" customHeight="false" outlineLevel="0" collapsed="false">
      <c r="B373" s="0" t="s">
        <v>7</v>
      </c>
    </row>
    <row r="375" customFormat="false" ht="12.8" hidden="false" customHeight="false" outlineLevel="0" collapsed="false">
      <c r="A375" s="0" t="s">
        <v>242</v>
      </c>
      <c r="B375" s="0" t="str">
        <f aca="false">HYPERLINK("https://lindat.mff.cuni.cz/services/teitok/pdtc10/index.php?action=vallex&amp;frame=v-w158f1", "blednout (v-w158f1)")</f>
        <v>blednout (v-w158f1)</v>
      </c>
    </row>
    <row r="376" customFormat="false" ht="12.8" hidden="false" customHeight="false" outlineLevel="0" collapsed="false">
      <c r="B376" s="0" t="s">
        <v>7</v>
      </c>
    </row>
    <row r="378" customFormat="false" ht="12.8" hidden="false" customHeight="false" outlineLevel="0" collapsed="false">
      <c r="A378" s="0" t="s">
        <v>243</v>
      </c>
      <c r="B378" s="0" t="str">
        <f aca="false">HYPERLINK("https://lindat.mff.cuni.cz/services/teitok/pdtc10/index.php?action=vallex&amp;frame=v-w12230_ZUf1_ZU", "blekotat (v-w12230_ZUf1_ZU)")</f>
        <v>blekotat (v-w12230_ZUf1_ZU)</v>
      </c>
    </row>
    <row r="379" customFormat="false" ht="12.8" hidden="false" customHeight="false" outlineLevel="0" collapsed="false">
      <c r="B379" s="0" t="s">
        <v>7</v>
      </c>
    </row>
    <row r="380" customFormat="false" ht="12.8" hidden="false" customHeight="false" outlineLevel="0" collapsed="false">
      <c r="B380" s="0" t="s">
        <v>244</v>
      </c>
    </row>
    <row r="381" customFormat="false" ht="12.8" hidden="false" customHeight="false" outlineLevel="0" collapsed="false">
      <c r="B381" s="0" t="s">
        <v>245</v>
      </c>
    </row>
    <row r="383" customFormat="false" ht="12.8" hidden="false" customHeight="false" outlineLevel="0" collapsed="false">
      <c r="A383" s="0" t="s">
        <v>246</v>
      </c>
      <c r="B383" s="0" t="str">
        <f aca="false">HYPERLINK("https://lindat.mff.cuni.cz/services/teitok/pdtc10/index.php?action=vallex&amp;frame=v-w10399f2", "blikat (v-w10399f2)")</f>
        <v>blikat (v-w10399f2)</v>
      </c>
    </row>
    <row r="384" customFormat="false" ht="12.8" hidden="false" customHeight="false" outlineLevel="0" collapsed="false">
      <c r="B384" s="0" t="s">
        <v>7</v>
      </c>
      <c r="C384" s="0" t="s">
        <v>247</v>
      </c>
      <c r="D384" s="0" t="s">
        <v>248</v>
      </c>
      <c r="E384" s="0" t="s">
        <v>248</v>
      </c>
      <c r="F384" s="0" t="s">
        <v>249</v>
      </c>
    </row>
    <row r="386" customFormat="false" ht="12.8" hidden="false" customHeight="false" outlineLevel="0" collapsed="false">
      <c r="A386" s="0" t="s">
        <v>250</v>
      </c>
      <c r="B386" s="0" t="str">
        <f aca="false">HYPERLINK("https://lindat.mff.cuni.cz/services/teitok/pdtc10/index.php?action=vallex&amp;frame=v-w165f1", "blokovat (v-w165f1)")</f>
        <v>blokovat (v-w165f1)</v>
      </c>
    </row>
    <row r="387" customFormat="false" ht="12.8" hidden="false" customHeight="false" outlineLevel="0" collapsed="false">
      <c r="B387" s="0" t="s">
        <v>7</v>
      </c>
      <c r="C387" s="0" t="s">
        <v>251</v>
      </c>
      <c r="D387" s="0" t="s">
        <v>252</v>
      </c>
      <c r="E387" s="0" t="s">
        <v>253</v>
      </c>
      <c r="F387" s="0" t="s">
        <v>253</v>
      </c>
    </row>
    <row r="388" customFormat="false" ht="12.8" hidden="false" customHeight="false" outlineLevel="0" collapsed="false">
      <c r="B388" s="0" t="s">
        <v>14</v>
      </c>
      <c r="C388" s="0" t="s">
        <v>254</v>
      </c>
      <c r="D388" s="0" t="s">
        <v>255</v>
      </c>
      <c r="E388" s="0" t="s">
        <v>256</v>
      </c>
      <c r="F388" s="0" t="s">
        <v>256</v>
      </c>
    </row>
    <row r="390" customFormat="false" ht="12.8" hidden="false" customHeight="false" outlineLevel="0" collapsed="false">
      <c r="A390" s="0" t="s">
        <v>257</v>
      </c>
      <c r="B390" s="0" t="str">
        <f aca="false">HYPERLINK("https://lindat.mff.cuni.cz/services/teitok/pdtc10/index.php?action=vallex&amp;frame=v-w167f1", "bloudit (v-w167f1)")</f>
        <v>bloudit (v-w167f1)</v>
      </c>
    </row>
    <row r="391" customFormat="false" ht="12.8" hidden="false" customHeight="false" outlineLevel="0" collapsed="false">
      <c r="B391" s="0" t="s">
        <v>7</v>
      </c>
    </row>
    <row r="393" customFormat="false" ht="12.8" hidden="false" customHeight="false" outlineLevel="0" collapsed="false">
      <c r="A393" s="0" t="s">
        <v>258</v>
      </c>
      <c r="B393" s="0" t="str">
        <f aca="false">HYPERLINK("https://lindat.mff.cuni.cz/services/teitok/pdtc10/index.php?action=vallex&amp;frame=v-whsa_1026hsa_1027", "bloumat (v-whsa_1026hsa_1027)")</f>
        <v>bloumat (v-whsa_1026hsa_1027)</v>
      </c>
    </row>
    <row r="394" customFormat="false" ht="12.8" hidden="false" customHeight="false" outlineLevel="0" collapsed="false">
      <c r="B394" s="0" t="s">
        <v>7</v>
      </c>
      <c r="D394" s="0" t="s">
        <v>126</v>
      </c>
      <c r="E394" s="0" t="s">
        <v>194</v>
      </c>
      <c r="F394" s="0" t="s">
        <v>194</v>
      </c>
    </row>
    <row r="395" customFormat="false" ht="12.8" hidden="false" customHeight="false" outlineLevel="0" collapsed="false">
      <c r="B395" s="0" t="s">
        <v>259</v>
      </c>
      <c r="D395" s="0" t="s">
        <v>260</v>
      </c>
      <c r="E395" s="0" t="s">
        <v>261</v>
      </c>
      <c r="F395" s="0" t="s">
        <v>261</v>
      </c>
    </row>
    <row r="397" customFormat="false" ht="12.8" hidden="false" customHeight="false" outlineLevel="0" collapsed="false">
      <c r="A397" s="0" t="s">
        <v>262</v>
      </c>
      <c r="B397" s="0" t="str">
        <f aca="false">HYPERLINK("https://lindat.mff.cuni.cz/services/teitok/pdtc10/index.php?action=vallex&amp;frame=v-w12201_ZUf1_ZU", "bláznit (v-w12201_ZUf1_ZU)")</f>
        <v>bláznit (v-w12201_ZUf1_ZU)</v>
      </c>
    </row>
    <row r="398" customFormat="false" ht="12.8" hidden="false" customHeight="false" outlineLevel="0" collapsed="false">
      <c r="B398" s="0" t="s">
        <v>7</v>
      </c>
    </row>
    <row r="400" customFormat="false" ht="12.8" hidden="false" customHeight="false" outlineLevel="0" collapsed="false">
      <c r="A400" s="0" t="s">
        <v>263</v>
      </c>
      <c r="B400" s="0" t="str">
        <f aca="false">HYPERLINK("https://lindat.mff.cuni.cz/services/teitok/pdtc10/index.php?action=vallex&amp;frame=v-w12201_ZUf2_ZU", "bláznit (v-w12201_ZUf2_ZU)")</f>
        <v>bláznit (v-w12201_ZUf2_ZU)</v>
      </c>
    </row>
    <row r="401" customFormat="false" ht="12.8" hidden="false" customHeight="false" outlineLevel="0" collapsed="false">
      <c r="B401" s="0" t="s">
        <v>7</v>
      </c>
    </row>
    <row r="403" customFormat="false" ht="12.8" hidden="false" customHeight="false" outlineLevel="0" collapsed="false">
      <c r="A403" s="0" t="s">
        <v>264</v>
      </c>
      <c r="B403" s="0" t="str">
        <f aca="false">HYPERLINK("https://lindat.mff.cuni.cz/services/teitok/pdtc10/index.php?action=vallex&amp;frame=v-w162f4", "blížit se (v-w162f4)")</f>
        <v>blížit se (v-w162f4)</v>
      </c>
    </row>
    <row r="404" customFormat="false" ht="12.8" hidden="false" customHeight="false" outlineLevel="0" collapsed="false">
      <c r="B404" s="0" t="s">
        <v>265</v>
      </c>
      <c r="C404" s="0" t="s">
        <v>266</v>
      </c>
      <c r="D404" s="0" t="s">
        <v>267</v>
      </c>
      <c r="E404" s="0" t="s">
        <v>267</v>
      </c>
      <c r="F404" s="0" t="s">
        <v>267</v>
      </c>
    </row>
    <row r="405" customFormat="false" ht="12.8" hidden="false" customHeight="false" outlineLevel="0" collapsed="false">
      <c r="B405" s="0" t="s">
        <v>268</v>
      </c>
      <c r="C405" s="0" t="s">
        <v>269</v>
      </c>
      <c r="D405" s="0" t="s">
        <v>270</v>
      </c>
      <c r="E405" s="0" t="s">
        <v>270</v>
      </c>
      <c r="F405" s="0" t="s">
        <v>270</v>
      </c>
    </row>
    <row r="407" customFormat="false" ht="12.8" hidden="false" customHeight="false" outlineLevel="0" collapsed="false">
      <c r="A407" s="0" t="s">
        <v>271</v>
      </c>
      <c r="B407" s="0" t="str">
        <f aca="false">HYPERLINK("https://lindat.mff.cuni.cz/services/teitok/pdtc10/index.php?action=vallex&amp;frame=v-w162f1", "blížit se (v-w162f1)")</f>
        <v>blížit se (v-w162f1)</v>
      </c>
    </row>
    <row r="408" customFormat="false" ht="12.8" hidden="false" customHeight="false" outlineLevel="0" collapsed="false">
      <c r="B408" s="0" t="s">
        <v>7</v>
      </c>
      <c r="C408" s="0" t="s">
        <v>272</v>
      </c>
      <c r="D408" s="0" t="s">
        <v>273</v>
      </c>
      <c r="E408" s="0" t="s">
        <v>273</v>
      </c>
      <c r="F408" s="0" t="s">
        <v>273</v>
      </c>
    </row>
    <row r="409" customFormat="false" ht="12.8" hidden="false" customHeight="false" outlineLevel="0" collapsed="false">
      <c r="B409" s="0" t="s">
        <v>142</v>
      </c>
      <c r="C409" s="0" t="s">
        <v>274</v>
      </c>
      <c r="D409" s="0" t="s">
        <v>275</v>
      </c>
      <c r="E409" s="0" t="s">
        <v>275</v>
      </c>
      <c r="F409" s="0" t="s">
        <v>275</v>
      </c>
    </row>
    <row r="411" customFormat="false" ht="12.8" hidden="false" customHeight="false" outlineLevel="0" collapsed="false">
      <c r="A411" s="0" t="s">
        <v>276</v>
      </c>
      <c r="B411" s="0" t="str">
        <f aca="false">HYPERLINK("https://lindat.mff.cuni.cz/services/teitok/pdtc10/index.php?action=vallex&amp;frame=v-w162f5", "blížit se (v-w162f5)")</f>
        <v>blížit se (v-w162f5)</v>
      </c>
    </row>
    <row r="412" customFormat="false" ht="12.8" hidden="false" customHeight="false" outlineLevel="0" collapsed="false">
      <c r="B412" s="0" t="s">
        <v>7</v>
      </c>
      <c r="C412" s="0" t="s">
        <v>277</v>
      </c>
      <c r="D412" s="0" t="s">
        <v>278</v>
      </c>
      <c r="E412" s="0" t="s">
        <v>278</v>
      </c>
      <c r="F412" s="0" t="s">
        <v>278</v>
      </c>
    </row>
    <row r="413" customFormat="false" ht="12.8" hidden="false" customHeight="false" outlineLevel="0" collapsed="false">
      <c r="B413" s="0" t="s">
        <v>279</v>
      </c>
      <c r="C413" s="0" t="s">
        <v>280</v>
      </c>
      <c r="D413" s="0" t="s">
        <v>281</v>
      </c>
      <c r="E413" s="0" t="s">
        <v>281</v>
      </c>
      <c r="F413" s="0" t="s">
        <v>281</v>
      </c>
    </row>
    <row r="415" customFormat="false" ht="12.8" hidden="false" customHeight="false" outlineLevel="0" collapsed="false">
      <c r="A415" s="0" t="s">
        <v>282</v>
      </c>
      <c r="B415" s="0" t="str">
        <f aca="false">HYPERLINK("https://lindat.mff.cuni.cz/services/teitok/pdtc10/index.php?action=vallex&amp;frame=v-w162f3", "blížit se (v-w162f3)")</f>
        <v>blížit se (v-w162f3)</v>
      </c>
    </row>
    <row r="416" customFormat="false" ht="12.8" hidden="false" customHeight="false" outlineLevel="0" collapsed="false">
      <c r="B416" s="0" t="s">
        <v>7</v>
      </c>
      <c r="C416" s="0" t="s">
        <v>283</v>
      </c>
      <c r="D416" s="0" t="s">
        <v>284</v>
      </c>
      <c r="E416" s="0" t="s">
        <v>284</v>
      </c>
      <c r="F416" s="0" t="s">
        <v>284</v>
      </c>
    </row>
    <row r="417" customFormat="false" ht="12.8" hidden="false" customHeight="false" outlineLevel="0" collapsed="false">
      <c r="B417" s="0" t="s">
        <v>124</v>
      </c>
      <c r="C417" s="0" t="s">
        <v>285</v>
      </c>
      <c r="D417" s="0" t="s">
        <v>285</v>
      </c>
      <c r="E417" s="0" t="s">
        <v>285</v>
      </c>
      <c r="F417" s="0" t="s">
        <v>285</v>
      </c>
    </row>
    <row r="419" customFormat="false" ht="12.8" hidden="false" customHeight="false" outlineLevel="0" collapsed="false">
      <c r="A419" s="0" t="s">
        <v>286</v>
      </c>
      <c r="B419" s="0" t="str">
        <f aca="false">HYPERLINK("https://lindat.mff.cuni.cz/services/teitok/pdtc10/index.php?action=vallex&amp;frame=v-w162f2", "blížit se (v-w162f2)")</f>
        <v>blížit se (v-w162f2)</v>
      </c>
    </row>
    <row r="420" customFormat="false" ht="12.8" hidden="false" customHeight="false" outlineLevel="0" collapsed="false">
      <c r="B420" s="0" t="s">
        <v>7</v>
      </c>
      <c r="C420" s="0" t="s">
        <v>287</v>
      </c>
      <c r="D420" s="0" t="s">
        <v>288</v>
      </c>
      <c r="E420" s="0" t="s">
        <v>288</v>
      </c>
      <c r="F420" s="0" t="s">
        <v>288</v>
      </c>
    </row>
    <row r="422" customFormat="false" ht="12.8" hidden="false" customHeight="false" outlineLevel="0" collapsed="false">
      <c r="A422" s="0" t="s">
        <v>289</v>
      </c>
      <c r="B422" s="0" t="str">
        <f aca="false">HYPERLINK("https://lindat.mff.cuni.cz/services/teitok/pdtc10/index.php?action=vallex&amp;frame=v-w168f1", "blýskat se (v-w168f1)")</f>
        <v>blýskat se (v-w168f1)</v>
      </c>
    </row>
    <row r="424" customFormat="false" ht="12.8" hidden="false" customHeight="false" outlineLevel="0" collapsed="false">
      <c r="A424" s="0" t="s">
        <v>290</v>
      </c>
      <c r="B424" s="0" t="str">
        <f aca="false">HYPERLINK("https://lindat.mff.cuni.cz/services/teitok/pdtc10/index.php?action=vallex&amp;frame=v-w168f3_ZU", "blýskat se (v-w168f3_ZU)")</f>
        <v>blýskat se (v-w168f3_ZU)</v>
      </c>
    </row>
    <row r="425" customFormat="false" ht="12.8" hidden="false" customHeight="false" outlineLevel="0" collapsed="false">
      <c r="B425" s="0" t="s">
        <v>7</v>
      </c>
    </row>
    <row r="427" customFormat="false" ht="12.8" hidden="false" customHeight="false" outlineLevel="0" collapsed="false">
      <c r="A427" s="0" t="s">
        <v>290</v>
      </c>
      <c r="B427" s="0" t="str">
        <f aca="false">HYPERLINK("https://lindat.mff.cuni.cz/services/teitok/pdtc10/index.php?action=vallex&amp;frame=v-w168f2_ZU", "blýskat se (v-w168f2_ZU) - substituted with v-w168f3_ZU")</f>
        <v>blýskat se (v-w168f2_ZU) - substituted with v-w168f3_ZU</v>
      </c>
    </row>
    <row r="428" customFormat="false" ht="12.8" hidden="false" customHeight="false" outlineLevel="0" collapsed="false">
      <c r="B428" s="0" t="s">
        <v>7</v>
      </c>
    </row>
    <row r="430" customFormat="false" ht="12.8" hidden="false" customHeight="false" outlineLevel="0" collapsed="false">
      <c r="A430" s="0" t="s">
        <v>291</v>
      </c>
      <c r="B430" s="0" t="str">
        <f aca="false">HYPERLINK("https://lindat.mff.cuni.cz/services/teitok/pdtc10/index.php?action=vallex&amp;frame=v-w169f1", "blýsknout se (v-w169f1)")</f>
        <v>blýsknout se (v-w169f1)</v>
      </c>
    </row>
    <row r="431" customFormat="false" ht="12.8" hidden="false" customHeight="false" outlineLevel="0" collapsed="false">
      <c r="B431" s="0" t="s">
        <v>7</v>
      </c>
    </row>
    <row r="432" customFormat="false" ht="12.8" hidden="false" customHeight="false" outlineLevel="0" collapsed="false">
      <c r="B432" s="0" t="s">
        <v>292</v>
      </c>
    </row>
    <row r="433" customFormat="false" ht="12.8" hidden="false" customHeight="false" outlineLevel="0" collapsed="false">
      <c r="B433" s="0" t="s">
        <v>293</v>
      </c>
    </row>
    <row r="435" customFormat="false" ht="12.8" hidden="false" customHeight="false" outlineLevel="0" collapsed="false">
      <c r="A435" s="0" t="s">
        <v>294</v>
      </c>
      <c r="B435" s="0" t="str">
        <f aca="false">HYPERLINK("https://lindat.mff.cuni.cz/services/teitok/pdtc10/index.php?action=vallex&amp;frame=v-w170f1", "bodnout (v-w170f1)")</f>
        <v>bodnout (v-w170f1)</v>
      </c>
    </row>
    <row r="436" customFormat="false" ht="12.8" hidden="false" customHeight="false" outlineLevel="0" collapsed="false">
      <c r="B436" s="0" t="s">
        <v>7</v>
      </c>
    </row>
    <row r="437" customFormat="false" ht="12.8" hidden="false" customHeight="false" outlineLevel="0" collapsed="false">
      <c r="B437" s="0" t="s">
        <v>14</v>
      </c>
    </row>
    <row r="439" customFormat="false" ht="12.8" hidden="false" customHeight="false" outlineLevel="0" collapsed="false">
      <c r="A439" s="0" t="s">
        <v>295</v>
      </c>
      <c r="B439" s="0" t="str">
        <f aca="false">HYPERLINK("https://lindat.mff.cuni.cz/services/teitok/pdtc10/index.php?action=vallex&amp;frame=v-w170f2", "bodnout (v-w170f2)")</f>
        <v>bodnout (v-w170f2)</v>
      </c>
    </row>
    <row r="440" customFormat="false" ht="12.8" hidden="false" customHeight="false" outlineLevel="0" collapsed="false">
      <c r="B440" s="0" t="s">
        <v>199</v>
      </c>
    </row>
    <row r="441" customFormat="false" ht="12.8" hidden="false" customHeight="false" outlineLevel="0" collapsed="false">
      <c r="B441" s="0" t="s">
        <v>11</v>
      </c>
    </row>
    <row r="443" customFormat="false" ht="12.8" hidden="false" customHeight="false" outlineLevel="0" collapsed="false">
      <c r="A443" s="0" t="s">
        <v>296</v>
      </c>
      <c r="B443" s="0" t="str">
        <f aca="false">HYPERLINK("https://lindat.mff.cuni.cz/services/teitok/pdtc10/index.php?action=vallex&amp;frame=v-w170f3", "bodnout (v-w170f3)")</f>
        <v>bodnout (v-w170f3)</v>
      </c>
    </row>
    <row r="444" customFormat="false" ht="12.8" hidden="false" customHeight="false" outlineLevel="0" collapsed="false">
      <c r="B444" s="0" t="s">
        <v>7</v>
      </c>
    </row>
    <row r="445" customFormat="false" ht="12.8" hidden="false" customHeight="false" outlineLevel="0" collapsed="false">
      <c r="B445" s="0" t="s">
        <v>124</v>
      </c>
    </row>
    <row r="446" customFormat="false" ht="12.8" hidden="false" customHeight="false" outlineLevel="0" collapsed="false">
      <c r="B446" s="0" t="s">
        <v>297</v>
      </c>
    </row>
    <row r="448" customFormat="false" ht="12.8" hidden="false" customHeight="false" outlineLevel="0" collapsed="false">
      <c r="A448" s="0" t="s">
        <v>298</v>
      </c>
      <c r="B448" s="0" t="str">
        <f aca="false">HYPERLINK("https://lindat.mff.cuni.cz/services/teitok/pdtc10/index.php?action=vallex&amp;frame=v-w172f2", "bodovat (v-w172f2)")</f>
        <v>bodovat (v-w172f2)</v>
      </c>
    </row>
    <row r="449" customFormat="false" ht="12.8" hidden="false" customHeight="false" outlineLevel="0" collapsed="false">
      <c r="B449" s="0" t="s">
        <v>7</v>
      </c>
    </row>
    <row r="450" customFormat="false" ht="12.8" hidden="false" customHeight="false" outlineLevel="0" collapsed="false">
      <c r="B450" s="0" t="s">
        <v>14</v>
      </c>
    </row>
    <row r="452" customFormat="false" ht="12.8" hidden="false" customHeight="false" outlineLevel="0" collapsed="false">
      <c r="A452" s="0" t="s">
        <v>299</v>
      </c>
      <c r="B452" s="0" t="str">
        <f aca="false">HYPERLINK("https://lindat.mff.cuni.cz/services/teitok/pdtc10/index.php?action=vallex&amp;frame=v-w172f1", "bodovat (v-w172f1)")</f>
        <v>bodovat (v-w172f1)</v>
      </c>
    </row>
    <row r="453" customFormat="false" ht="12.8" hidden="false" customHeight="false" outlineLevel="0" collapsed="false">
      <c r="B453" s="0" t="s">
        <v>7</v>
      </c>
    </row>
    <row r="454" customFormat="false" ht="12.8" hidden="false" customHeight="false" outlineLevel="0" collapsed="false">
      <c r="B454" s="0" t="s">
        <v>300</v>
      </c>
    </row>
    <row r="456" customFormat="false" ht="12.8" hidden="false" customHeight="false" outlineLevel="0" collapsed="false">
      <c r="A456" s="0" t="s">
        <v>301</v>
      </c>
      <c r="B456" s="0" t="str">
        <f aca="false">HYPERLINK("https://lindat.mff.cuni.cz/services/teitok/pdtc10/index.php?action=vallex&amp;frame=v-w173f1", "bohatnout (v-w173f1)")</f>
        <v>bohatnout (v-w173f1)</v>
      </c>
    </row>
    <row r="457" customFormat="false" ht="12.8" hidden="false" customHeight="false" outlineLevel="0" collapsed="false">
      <c r="B457" s="0" t="s">
        <v>7</v>
      </c>
    </row>
    <row r="458" customFormat="false" ht="12.8" hidden="false" customHeight="false" outlineLevel="0" collapsed="false">
      <c r="B458" s="0" t="s">
        <v>302</v>
      </c>
    </row>
    <row r="459" customFormat="false" ht="12.8" hidden="false" customHeight="false" outlineLevel="0" collapsed="false">
      <c r="B459" s="0" t="s">
        <v>303</v>
      </c>
    </row>
    <row r="461" customFormat="false" ht="12.8" hidden="false" customHeight="false" outlineLevel="0" collapsed="false">
      <c r="A461" s="0" t="s">
        <v>304</v>
      </c>
      <c r="B461" s="0" t="str">
        <f aca="false">HYPERLINK("https://lindat.mff.cuni.cz/services/teitok/pdtc10/index.php?action=vallex&amp;frame=v-w177f1", "bojkotovat (v-w177f1)")</f>
        <v>bojkotovat (v-w177f1)</v>
      </c>
    </row>
    <row r="462" customFormat="false" ht="12.8" hidden="false" customHeight="false" outlineLevel="0" collapsed="false">
      <c r="B462" s="0" t="s">
        <v>7</v>
      </c>
      <c r="C462" s="0" t="s">
        <v>191</v>
      </c>
      <c r="D462" s="0" t="s">
        <v>305</v>
      </c>
      <c r="E462" s="0" t="s">
        <v>305</v>
      </c>
      <c r="F462" s="0" t="s">
        <v>305</v>
      </c>
    </row>
    <row r="463" customFormat="false" ht="12.8" hidden="false" customHeight="false" outlineLevel="0" collapsed="false">
      <c r="B463" s="0" t="s">
        <v>306</v>
      </c>
      <c r="C463" s="0" t="s">
        <v>155</v>
      </c>
      <c r="D463" s="0" t="s">
        <v>307</v>
      </c>
      <c r="E463" s="0" t="s">
        <v>307</v>
      </c>
      <c r="F463" s="0" t="s">
        <v>307</v>
      </c>
    </row>
    <row r="465" customFormat="false" ht="12.8" hidden="false" customHeight="false" outlineLevel="0" collapsed="false">
      <c r="A465" s="0" t="s">
        <v>308</v>
      </c>
      <c r="B465" s="0" t="str">
        <f aca="false">HYPERLINK("https://lindat.mff.cuni.cz/services/teitok/pdtc10/index.php?action=vallex&amp;frame=v-w178f2", "bojovat (v-w178f2)")</f>
        <v>bojovat (v-w178f2)</v>
      </c>
    </row>
    <row r="466" customFormat="false" ht="12.8" hidden="false" customHeight="false" outlineLevel="0" collapsed="false">
      <c r="B466" s="0" t="s">
        <v>7</v>
      </c>
      <c r="C466" s="0" t="s">
        <v>309</v>
      </c>
      <c r="D466" s="0" t="s">
        <v>310</v>
      </c>
      <c r="E466" s="0" t="s">
        <v>310</v>
      </c>
      <c r="F466" s="0" t="s">
        <v>310</v>
      </c>
    </row>
    <row r="467" customFormat="false" ht="12.8" hidden="false" customHeight="false" outlineLevel="0" collapsed="false">
      <c r="B467" s="0" t="s">
        <v>311</v>
      </c>
      <c r="C467" s="0" t="s">
        <v>312</v>
      </c>
      <c r="D467" s="0" t="s">
        <v>313</v>
      </c>
      <c r="E467" s="0" t="s">
        <v>313</v>
      </c>
      <c r="F467" s="0" t="s">
        <v>313</v>
      </c>
    </row>
    <row r="469" customFormat="false" ht="12.8" hidden="false" customHeight="false" outlineLevel="0" collapsed="false">
      <c r="A469" s="0" t="s">
        <v>314</v>
      </c>
      <c r="B469" s="0" t="str">
        <f aca="false">HYPERLINK("https://lindat.mff.cuni.cz/services/teitok/pdtc10/index.php?action=vallex&amp;frame=v-w178f1", "bojovat (v-w178f1)")</f>
        <v>bojovat (v-w178f1)</v>
      </c>
    </row>
    <row r="470" customFormat="false" ht="12.8" hidden="false" customHeight="false" outlineLevel="0" collapsed="false">
      <c r="B470" s="0" t="s">
        <v>7</v>
      </c>
      <c r="C470" s="0" t="s">
        <v>315</v>
      </c>
      <c r="D470" s="0" t="s">
        <v>316</v>
      </c>
      <c r="E470" s="0" t="s">
        <v>316</v>
      </c>
      <c r="F470" s="0" t="s">
        <v>316</v>
      </c>
    </row>
    <row r="471" customFormat="false" ht="12.8" hidden="false" customHeight="false" outlineLevel="0" collapsed="false">
      <c r="B471" s="0" t="s">
        <v>317</v>
      </c>
      <c r="C471" s="0" t="s">
        <v>318</v>
      </c>
      <c r="D471" s="0" t="s">
        <v>319</v>
      </c>
      <c r="E471" s="0" t="s">
        <v>319</v>
      </c>
      <c r="F471" s="0" t="s">
        <v>319</v>
      </c>
    </row>
    <row r="472" customFormat="false" ht="12.8" hidden="false" customHeight="false" outlineLevel="0" collapsed="false">
      <c r="B472" s="0" t="s">
        <v>320</v>
      </c>
      <c r="C472" s="0" t="s">
        <v>321</v>
      </c>
      <c r="D472" s="0" t="s">
        <v>322</v>
      </c>
      <c r="E472" s="0" t="s">
        <v>322</v>
      </c>
      <c r="F472" s="0" t="s">
        <v>322</v>
      </c>
    </row>
    <row r="474" customFormat="false" ht="12.8" hidden="false" customHeight="false" outlineLevel="0" collapsed="false">
      <c r="A474" s="0" t="s">
        <v>323</v>
      </c>
      <c r="B474" s="0" t="str">
        <f aca="false">HYPERLINK("https://lindat.mff.cuni.cz/services/teitok/pdtc10/index.php?action=vallex&amp;frame=v-w178hsa_269", "bojovat (v-w178hsa_269)")</f>
        <v>bojovat (v-w178hsa_269)</v>
      </c>
    </row>
    <row r="475" customFormat="false" ht="12.8" hidden="false" customHeight="false" outlineLevel="0" collapsed="false">
      <c r="B475" s="0" t="s">
        <v>7</v>
      </c>
      <c r="C475" s="0" t="s">
        <v>157</v>
      </c>
      <c r="D475" s="0" t="s">
        <v>157</v>
      </c>
      <c r="E475" s="0" t="s">
        <v>157</v>
      </c>
      <c r="F475" s="0" t="s">
        <v>157</v>
      </c>
    </row>
    <row r="476" customFormat="false" ht="12.8" hidden="false" customHeight="false" outlineLevel="0" collapsed="false">
      <c r="B476" s="0" t="s">
        <v>14</v>
      </c>
      <c r="C476" s="0" t="s">
        <v>324</v>
      </c>
      <c r="D476" s="0" t="s">
        <v>324</v>
      </c>
      <c r="E476" s="0" t="s">
        <v>324</v>
      </c>
      <c r="F476" s="0" t="s">
        <v>324</v>
      </c>
    </row>
    <row r="478" customFormat="false" ht="12.8" hidden="false" customHeight="false" outlineLevel="0" collapsed="false">
      <c r="A478" s="0" t="s">
        <v>325</v>
      </c>
      <c r="B478" s="0" t="str">
        <f aca="false">HYPERLINK("https://lindat.mff.cuni.cz/services/teitok/pdtc10/index.php?action=vallex&amp;frame=v-w183f1", "bolet (v-w183f1)")</f>
        <v>bolet (v-w183f1)</v>
      </c>
    </row>
    <row r="479" customFormat="false" ht="12.8" hidden="false" customHeight="false" outlineLevel="0" collapsed="false">
      <c r="B479" s="0" t="s">
        <v>199</v>
      </c>
      <c r="C479" s="0" t="s">
        <v>326</v>
      </c>
      <c r="D479" s="0" t="s">
        <v>327</v>
      </c>
      <c r="E479" s="0" t="s">
        <v>327</v>
      </c>
      <c r="F479" s="0" t="s">
        <v>327</v>
      </c>
    </row>
    <row r="480" customFormat="false" ht="12.8" hidden="false" customHeight="false" outlineLevel="0" collapsed="false">
      <c r="B480" s="0" t="s">
        <v>328</v>
      </c>
      <c r="C480" s="0" t="s">
        <v>329</v>
      </c>
      <c r="D480" s="0" t="s">
        <v>330</v>
      </c>
      <c r="E480" s="0" t="s">
        <v>330</v>
      </c>
      <c r="F480" s="0" t="s">
        <v>330</v>
      </c>
    </row>
    <row r="482" customFormat="false" ht="12.8" hidden="false" customHeight="false" outlineLevel="0" collapsed="false">
      <c r="A482" s="0" t="s">
        <v>331</v>
      </c>
      <c r="B482" s="0" t="str">
        <f aca="false">HYPERLINK("https://lindat.mff.cuni.cz/services/teitok/pdtc10/index.php?action=vallex&amp;frame=v-w183f2", "bolet (v-w183f2)")</f>
        <v>bolet (v-w183f2)</v>
      </c>
    </row>
    <row r="483" customFormat="false" ht="12.8" hidden="false" customHeight="false" outlineLevel="0" collapsed="false">
      <c r="B483" s="0" t="s">
        <v>199</v>
      </c>
    </row>
    <row r="484" customFormat="false" ht="12.8" hidden="false" customHeight="false" outlineLevel="0" collapsed="false">
      <c r="B484" s="0" t="s">
        <v>11</v>
      </c>
    </row>
    <row r="486" customFormat="false" ht="12.8" hidden="false" customHeight="false" outlineLevel="0" collapsed="false">
      <c r="A486" s="0" t="s">
        <v>332</v>
      </c>
      <c r="B486" s="0" t="str">
        <f aca="false">HYPERLINK("https://lindat.mff.cuni.cz/services/teitok/pdtc10/index.php?action=vallex&amp;frame=v-w183f3_ZU", "bolet (v-w183f3_ZU)")</f>
        <v>bolet (v-w183f3_ZU)</v>
      </c>
    </row>
    <row r="487" customFormat="false" ht="12.8" hidden="false" customHeight="false" outlineLevel="0" collapsed="false">
      <c r="B487" s="0" t="s">
        <v>7</v>
      </c>
    </row>
    <row r="488" customFormat="false" ht="12.8" hidden="false" customHeight="false" outlineLevel="0" collapsed="false">
      <c r="B488" s="0" t="s">
        <v>333</v>
      </c>
    </row>
    <row r="490" customFormat="false" ht="12.8" hidden="false" customHeight="false" outlineLevel="0" collapsed="false">
      <c r="A490" s="0" t="s">
        <v>334</v>
      </c>
      <c r="B490" s="0" t="str">
        <f aca="false">HYPERLINK("https://lindat.mff.cuni.cz/services/teitok/pdtc10/index.php?action=vallex&amp;frame=v-w185f1", "bombardovat (v-w185f1)")</f>
        <v>bombardovat (v-w185f1)</v>
      </c>
    </row>
    <row r="491" customFormat="false" ht="12.8" hidden="false" customHeight="false" outlineLevel="0" collapsed="false">
      <c r="B491" s="0" t="s">
        <v>7</v>
      </c>
      <c r="C491" s="0" t="s">
        <v>335</v>
      </c>
      <c r="D491" s="0" t="s">
        <v>113</v>
      </c>
      <c r="E491" s="0" t="s">
        <v>113</v>
      </c>
      <c r="F491" s="0" t="s">
        <v>113</v>
      </c>
    </row>
    <row r="492" customFormat="false" ht="12.8" hidden="false" customHeight="false" outlineLevel="0" collapsed="false">
      <c r="B492" s="0" t="s">
        <v>14</v>
      </c>
      <c r="C492" s="0" t="s">
        <v>74</v>
      </c>
      <c r="D492" s="0" t="s">
        <v>74</v>
      </c>
      <c r="E492" s="0" t="s">
        <v>74</v>
      </c>
      <c r="F492" s="0" t="s">
        <v>74</v>
      </c>
    </row>
    <row r="494" customFormat="false" ht="12.8" hidden="false" customHeight="false" outlineLevel="0" collapsed="false">
      <c r="A494" s="0" t="s">
        <v>336</v>
      </c>
      <c r="B494" s="0" t="str">
        <f aca="false">HYPERLINK("https://lindat.mff.cuni.cz/services/teitok/pdtc10/index.php?action=vallex&amp;frame=v-w186f1", "bortit se (v-w186f1)")</f>
        <v>bortit se (v-w186f1)</v>
      </c>
    </row>
    <row r="495" customFormat="false" ht="12.8" hidden="false" customHeight="false" outlineLevel="0" collapsed="false">
      <c r="B495" s="0" t="s">
        <v>7</v>
      </c>
    </row>
    <row r="497" customFormat="false" ht="12.8" hidden="false" customHeight="false" outlineLevel="0" collapsed="false">
      <c r="A497" s="0" t="s">
        <v>337</v>
      </c>
      <c r="B497" s="0" t="str">
        <f aca="false">HYPERLINK("https://lindat.mff.cuni.cz/services/teitok/pdtc10/index.php?action=vallex&amp;frame=v-w11731_ZUf3_ZU", "bouchat (v-w11731_ZUf3_ZU)")</f>
        <v>bouchat (v-w11731_ZUf3_ZU)</v>
      </c>
    </row>
    <row r="498" customFormat="false" ht="12.8" hidden="false" customHeight="false" outlineLevel="0" collapsed="false">
      <c r="B498" s="0" t="s">
        <v>7</v>
      </c>
    </row>
    <row r="499" customFormat="false" ht="12.8" hidden="false" customHeight="false" outlineLevel="0" collapsed="false">
      <c r="B499" s="0" t="s">
        <v>338</v>
      </c>
    </row>
    <row r="501" customFormat="false" ht="12.8" hidden="false" customHeight="false" outlineLevel="0" collapsed="false">
      <c r="A501" s="0" t="s">
        <v>337</v>
      </c>
      <c r="B501" s="0" t="str">
        <f aca="false">HYPERLINK("https://lindat.mff.cuni.cz/services/teitok/pdtc10/index.php?action=vallex&amp;frame=v-w11731_ZUf1_ZU", "bouchat (v-w11731_ZUf1_ZU) - substituted with v-w11731_ZUf3_ZU")</f>
        <v>bouchat (v-w11731_ZUf1_ZU) - substituted with v-w11731_ZUf3_ZU</v>
      </c>
    </row>
    <row r="502" customFormat="false" ht="12.8" hidden="false" customHeight="false" outlineLevel="0" collapsed="false">
      <c r="B502" s="0" t="s">
        <v>7</v>
      </c>
    </row>
    <row r="503" customFormat="false" ht="12.8" hidden="false" customHeight="false" outlineLevel="0" collapsed="false">
      <c r="B503" s="0" t="s">
        <v>338</v>
      </c>
    </row>
    <row r="505" customFormat="false" ht="12.8" hidden="false" customHeight="false" outlineLevel="0" collapsed="false">
      <c r="A505" s="0" t="s">
        <v>337</v>
      </c>
      <c r="B505" s="0" t="str">
        <f aca="false">HYPERLINK("https://lindat.mff.cuni.cz/services/teitok/pdtc10/index.php?action=vallex&amp;frame=v-w11731_ZUf2_ZU", "bouchat (v-w11731_ZUf2_ZU) - substituted with v-w11731_ZUf3_ZU")</f>
        <v>bouchat (v-w11731_ZUf2_ZU) - substituted with v-w11731_ZUf3_ZU</v>
      </c>
    </row>
    <row r="506" customFormat="false" ht="12.8" hidden="false" customHeight="false" outlineLevel="0" collapsed="false">
      <c r="B506" s="0" t="s">
        <v>7</v>
      </c>
    </row>
    <row r="507" customFormat="false" ht="12.8" hidden="false" customHeight="false" outlineLevel="0" collapsed="false">
      <c r="B507" s="0" t="s">
        <v>338</v>
      </c>
    </row>
    <row r="509" customFormat="false" ht="12.8" hidden="false" customHeight="false" outlineLevel="0" collapsed="false">
      <c r="A509" s="0" t="s">
        <v>339</v>
      </c>
      <c r="B509" s="0" t="str">
        <f aca="false">HYPERLINK("https://lindat.mff.cuni.cz/services/teitok/pdtc10/index.php?action=vallex&amp;frame=v-w189f4", "bouchnout (v-w189f4)")</f>
        <v>bouchnout (v-w189f4)</v>
      </c>
    </row>
    <row r="510" customFormat="false" ht="12.8" hidden="false" customHeight="false" outlineLevel="0" collapsed="false">
      <c r="B510" s="0" t="s">
        <v>7</v>
      </c>
    </row>
    <row r="511" customFormat="false" ht="12.8" hidden="false" customHeight="false" outlineLevel="0" collapsed="false">
      <c r="B511" s="0" t="s">
        <v>14</v>
      </c>
    </row>
    <row r="513" customFormat="false" ht="12.8" hidden="false" customHeight="false" outlineLevel="0" collapsed="false">
      <c r="A513" s="0" t="s">
        <v>340</v>
      </c>
      <c r="B513" s="0" t="str">
        <f aca="false">HYPERLINK("https://lindat.mff.cuni.cz/services/teitok/pdtc10/index.php?action=vallex&amp;frame=v-w189f3", "bouchnout (v-w189f3)")</f>
        <v>bouchnout (v-w189f3)</v>
      </c>
    </row>
    <row r="514" customFormat="false" ht="12.8" hidden="false" customHeight="false" outlineLevel="0" collapsed="false">
      <c r="B514" s="0" t="s">
        <v>7</v>
      </c>
      <c r="D514" s="0" t="s">
        <v>46</v>
      </c>
      <c r="E514" s="0" t="s">
        <v>341</v>
      </c>
      <c r="F514" s="0" t="s">
        <v>341</v>
      </c>
    </row>
    <row r="515" customFormat="false" ht="12.8" hidden="false" customHeight="false" outlineLevel="0" collapsed="false">
      <c r="B515" s="0" t="s">
        <v>216</v>
      </c>
      <c r="D515" s="0" t="s">
        <v>155</v>
      </c>
      <c r="E515" s="0" t="s">
        <v>342</v>
      </c>
      <c r="F515" s="0" t="s">
        <v>342</v>
      </c>
    </row>
    <row r="517" customFormat="false" ht="12.8" hidden="false" customHeight="false" outlineLevel="0" collapsed="false">
      <c r="A517" s="0" t="s">
        <v>343</v>
      </c>
      <c r="B517" s="0" t="str">
        <f aca="false">HYPERLINK("https://lindat.mff.cuni.cz/services/teitok/pdtc10/index.php?action=vallex&amp;frame=v-w189f1", "bouchnout (v-w189f1)")</f>
        <v>bouchnout (v-w189f1)</v>
      </c>
    </row>
    <row r="518" customFormat="false" ht="12.8" hidden="false" customHeight="false" outlineLevel="0" collapsed="false">
      <c r="B518" s="0" t="s">
        <v>7</v>
      </c>
    </row>
    <row r="520" customFormat="false" ht="12.8" hidden="false" customHeight="false" outlineLevel="0" collapsed="false">
      <c r="A520" s="0" t="s">
        <v>344</v>
      </c>
      <c r="B520" s="0" t="str">
        <f aca="false">HYPERLINK("https://lindat.mff.cuni.cz/services/teitok/pdtc10/index.php?action=vallex&amp;frame=v-w189f2", "bouchnout (v-w189f2)")</f>
        <v>bouchnout (v-w189f2)</v>
      </c>
    </row>
    <row r="521" customFormat="false" ht="12.8" hidden="false" customHeight="false" outlineLevel="0" collapsed="false">
      <c r="B521" s="0" t="s">
        <v>7</v>
      </c>
    </row>
    <row r="523" customFormat="false" ht="12.8" hidden="false" customHeight="false" outlineLevel="0" collapsed="false">
      <c r="A523" s="0" t="s">
        <v>345</v>
      </c>
      <c r="B523" s="0" t="str">
        <f aca="false">HYPERLINK("https://lindat.mff.cuni.cz/services/teitok/pdtc10/index.php?action=vallex&amp;frame=v-w11938_ZUf1_ZU", "bouchnout se (v-w11938_ZUf1_ZU)")</f>
        <v>bouchnout se (v-w11938_ZUf1_ZU)</v>
      </c>
    </row>
    <row r="524" customFormat="false" ht="12.8" hidden="false" customHeight="false" outlineLevel="0" collapsed="false">
      <c r="B524" s="0" t="s">
        <v>7</v>
      </c>
    </row>
    <row r="526" customFormat="false" ht="12.8" hidden="false" customHeight="false" outlineLevel="0" collapsed="false">
      <c r="A526" s="0" t="s">
        <v>346</v>
      </c>
      <c r="B526" s="0" t="str">
        <f aca="false">HYPERLINK("https://lindat.mff.cuni.cz/services/teitok/pdtc10/index.php?action=vallex&amp;frame=v-w191f1", "bourat (v-w191f1)")</f>
        <v>bourat (v-w191f1)</v>
      </c>
    </row>
    <row r="527" customFormat="false" ht="12.8" hidden="false" customHeight="false" outlineLevel="0" collapsed="false">
      <c r="B527" s="0" t="s">
        <v>7</v>
      </c>
    </row>
    <row r="528" customFormat="false" ht="12.8" hidden="false" customHeight="false" outlineLevel="0" collapsed="false">
      <c r="B528" s="0" t="s">
        <v>232</v>
      </c>
    </row>
    <row r="529" customFormat="false" ht="12.8" hidden="false" customHeight="false" outlineLevel="0" collapsed="false">
      <c r="B529" s="0" t="s">
        <v>84</v>
      </c>
    </row>
    <row r="531" customFormat="false" ht="12.8" hidden="false" customHeight="false" outlineLevel="0" collapsed="false">
      <c r="A531" s="0" t="s">
        <v>347</v>
      </c>
      <c r="B531" s="0" t="str">
        <f aca="false">HYPERLINK("https://lindat.mff.cuni.cz/services/teitok/pdtc10/index.php?action=vallex&amp;frame=v-w192f1", "bouřit (v-w192f1)")</f>
        <v>bouřit (v-w192f1)</v>
      </c>
    </row>
    <row r="532" customFormat="false" ht="12.8" hidden="false" customHeight="false" outlineLevel="0" collapsed="false">
      <c r="B532" s="0" t="s">
        <v>7</v>
      </c>
      <c r="D532" s="0" t="s">
        <v>348</v>
      </c>
      <c r="E532" s="0" t="s">
        <v>348</v>
      </c>
      <c r="F532" s="0" t="s">
        <v>348</v>
      </c>
    </row>
    <row r="534" customFormat="false" ht="12.8" hidden="false" customHeight="false" outlineLevel="0" collapsed="false">
      <c r="A534" s="0" t="s">
        <v>349</v>
      </c>
      <c r="B534" s="0" t="str">
        <f aca="false">HYPERLINK("https://lindat.mff.cuni.cz/services/teitok/pdtc10/index.php?action=vallex&amp;frame=v-w192f2", "bouřit (v-w192f2)")</f>
        <v>bouřit (v-w192f2)</v>
      </c>
    </row>
    <row r="535" customFormat="false" ht="12.8" hidden="false" customHeight="false" outlineLevel="0" collapsed="false">
      <c r="B535" s="0" t="s">
        <v>7</v>
      </c>
      <c r="D535" s="0" t="s">
        <v>348</v>
      </c>
      <c r="E535" s="0" t="s">
        <v>348</v>
      </c>
      <c r="F535" s="0" t="s">
        <v>348</v>
      </c>
    </row>
    <row r="537" customFormat="false" ht="12.8" hidden="false" customHeight="false" outlineLevel="0" collapsed="false">
      <c r="A537" s="0" t="s">
        <v>350</v>
      </c>
      <c r="B537" s="0" t="str">
        <f aca="false">HYPERLINK("https://lindat.mff.cuni.cz/services/teitok/pdtc10/index.php?action=vallex&amp;frame=v-w193f1", "bouřit se (v-w193f1)")</f>
        <v>bouřit se (v-w193f1)</v>
      </c>
    </row>
    <row r="538" customFormat="false" ht="12.8" hidden="false" customHeight="false" outlineLevel="0" collapsed="false">
      <c r="B538" s="0" t="s">
        <v>7</v>
      </c>
      <c r="C538" s="0" t="s">
        <v>46</v>
      </c>
      <c r="D538" s="0" t="s">
        <v>351</v>
      </c>
      <c r="E538" s="0" t="s">
        <v>351</v>
      </c>
      <c r="F538" s="0" t="s">
        <v>351</v>
      </c>
    </row>
    <row r="540" customFormat="false" ht="12.8" hidden="false" customHeight="false" outlineLevel="0" collapsed="false">
      <c r="A540" s="0" t="s">
        <v>352</v>
      </c>
      <c r="B540" s="0" t="str">
        <f aca="false">HYPERLINK("https://lindat.mff.cuni.cz/services/teitok/pdtc10/index.php?action=vallex&amp;frame=v-w194f1", "boxovat (v-w194f1)")</f>
        <v>boxovat (v-w194f1)</v>
      </c>
    </row>
    <row r="541" customFormat="false" ht="12.8" hidden="false" customHeight="false" outlineLevel="0" collapsed="false">
      <c r="B541" s="0" t="s">
        <v>7</v>
      </c>
      <c r="D541" s="0" t="s">
        <v>46</v>
      </c>
      <c r="E541" s="0" t="s">
        <v>113</v>
      </c>
      <c r="F541" s="0" t="s">
        <v>113</v>
      </c>
    </row>
    <row r="543" customFormat="false" ht="12.8" hidden="false" customHeight="false" outlineLevel="0" collapsed="false">
      <c r="A543" s="0" t="s">
        <v>353</v>
      </c>
      <c r="B543" s="0" t="str">
        <f aca="false">HYPERLINK("https://lindat.mff.cuni.cz/services/teitok/pdtc10/index.php?action=vallex&amp;frame=v-w206f2", "brblat (v-w206f2)")</f>
        <v>brblat (v-w206f2)</v>
      </c>
    </row>
    <row r="544" customFormat="false" ht="12.8" hidden="false" customHeight="false" outlineLevel="0" collapsed="false">
      <c r="B544" s="0" t="s">
        <v>7</v>
      </c>
      <c r="C544" s="0" t="s">
        <v>191</v>
      </c>
      <c r="D544" s="0" t="s">
        <v>354</v>
      </c>
      <c r="E544" s="0" t="s">
        <v>354</v>
      </c>
      <c r="F544" s="0" t="s">
        <v>354</v>
      </c>
    </row>
    <row r="545" customFormat="false" ht="12.8" hidden="false" customHeight="false" outlineLevel="0" collapsed="false">
      <c r="B545" s="0" t="s">
        <v>355</v>
      </c>
      <c r="C545" s="0" t="s">
        <v>155</v>
      </c>
      <c r="D545" s="0" t="s">
        <v>356</v>
      </c>
      <c r="E545" s="0" t="s">
        <v>356</v>
      </c>
      <c r="F545" s="0" t="s">
        <v>356</v>
      </c>
    </row>
    <row r="547" customFormat="false" ht="12.8" hidden="false" customHeight="false" outlineLevel="0" collapsed="false">
      <c r="A547" s="0" t="s">
        <v>353</v>
      </c>
      <c r="B547" s="0" t="str">
        <f aca="false">HYPERLINK("https://lindat.mff.cuni.cz/services/teitok/pdtc10/index.php?action=vallex&amp;frame=v-w206f1", "brblat (v-w206f1) - substituted with v-w206f2")</f>
        <v>brblat (v-w206f1) - substituted with v-w206f2</v>
      </c>
    </row>
    <row r="548" customFormat="false" ht="12.8" hidden="false" customHeight="false" outlineLevel="0" collapsed="false">
      <c r="B548" s="0" t="s">
        <v>7</v>
      </c>
    </row>
    <row r="549" customFormat="false" ht="12.8" hidden="false" customHeight="false" outlineLevel="0" collapsed="false">
      <c r="B549" s="0" t="s">
        <v>355</v>
      </c>
    </row>
    <row r="551" customFormat="false" ht="12.8" hidden="false" customHeight="false" outlineLevel="0" collapsed="false">
      <c r="A551" s="0" t="s">
        <v>357</v>
      </c>
      <c r="B551" s="0" t="str">
        <f aca="false">HYPERLINK("https://lindat.mff.cuni.cz/services/teitok/pdtc10/index.php?action=vallex&amp;frame=v-w10657f2", "brebentit (v-w10657f2)")</f>
        <v>brebentit (v-w10657f2)</v>
      </c>
    </row>
    <row r="552" customFormat="false" ht="12.8" hidden="false" customHeight="false" outlineLevel="0" collapsed="false">
      <c r="B552" s="0" t="s">
        <v>7</v>
      </c>
      <c r="F552" s="0" t="s">
        <v>358</v>
      </c>
    </row>
    <row r="553" customFormat="false" ht="12.8" hidden="false" customHeight="false" outlineLevel="0" collapsed="false">
      <c r="B553" s="0" t="s">
        <v>14</v>
      </c>
      <c r="F553" s="0" t="s">
        <v>89</v>
      </c>
    </row>
    <row r="555" customFormat="false" ht="12.8" hidden="false" customHeight="false" outlineLevel="0" collapsed="false">
      <c r="A555" s="0" t="s">
        <v>359</v>
      </c>
      <c r="B555" s="0" t="str">
        <f aca="false">HYPERLINK("https://lindat.mff.cuni.cz/services/teitok/pdtc10/index.php?action=vallex&amp;frame=v-w10657f4_ZU", "brebentit (v-w10657f4_ZU)")</f>
        <v>brebentit (v-w10657f4_ZU)</v>
      </c>
    </row>
    <row r="556" customFormat="false" ht="12.8" hidden="false" customHeight="false" outlineLevel="0" collapsed="false">
      <c r="B556" s="0" t="s">
        <v>7</v>
      </c>
      <c r="C556" s="0" t="s">
        <v>191</v>
      </c>
      <c r="F556" s="0" t="s">
        <v>358</v>
      </c>
    </row>
    <row r="557" customFormat="false" ht="12.8" hidden="false" customHeight="false" outlineLevel="0" collapsed="false">
      <c r="B557" s="0" t="s">
        <v>360</v>
      </c>
      <c r="C557" s="0" t="s">
        <v>361</v>
      </c>
      <c r="F557" s="0" t="s">
        <v>362</v>
      </c>
    </row>
    <row r="558" customFormat="false" ht="12.8" hidden="false" customHeight="false" outlineLevel="0" collapsed="false">
      <c r="B558" s="0" t="s">
        <v>363</v>
      </c>
      <c r="F558" s="0" t="s">
        <v>89</v>
      </c>
    </row>
    <row r="560" customFormat="false" ht="12.8" hidden="false" customHeight="false" outlineLevel="0" collapsed="false">
      <c r="A560" s="0" t="s">
        <v>359</v>
      </c>
      <c r="B560" s="0" t="str">
        <f aca="false">HYPERLINK("https://lindat.mff.cuni.cz/services/teitok/pdtc10/index.php?action=vallex&amp;frame=v-w10657f3_ZU", "brebentit (v-w10657f3_ZU) - substituted with v-w10657f4_ZU")</f>
        <v>brebentit (v-w10657f3_ZU) - substituted with v-w10657f4_ZU</v>
      </c>
    </row>
    <row r="561" customFormat="false" ht="12.8" hidden="false" customHeight="false" outlineLevel="0" collapsed="false">
      <c r="B561" s="0" t="s">
        <v>7</v>
      </c>
    </row>
    <row r="562" customFormat="false" ht="12.8" hidden="false" customHeight="false" outlineLevel="0" collapsed="false">
      <c r="B562" s="0" t="s">
        <v>360</v>
      </c>
    </row>
    <row r="563" customFormat="false" ht="12.8" hidden="false" customHeight="false" outlineLevel="0" collapsed="false">
      <c r="B563" s="0" t="s">
        <v>363</v>
      </c>
    </row>
    <row r="565" customFormat="false" ht="12.8" hidden="false" customHeight="false" outlineLevel="0" collapsed="false">
      <c r="A565" s="0" t="s">
        <v>364</v>
      </c>
      <c r="B565" s="0" t="str">
        <f aca="false">HYPERLINK("https://lindat.mff.cuni.cz/services/teitok/pdtc10/index.php?action=vallex&amp;frame=v-w10702f2", "brečet (v-w10702f2)")</f>
        <v>brečet (v-w10702f2)</v>
      </c>
    </row>
    <row r="566" customFormat="false" ht="12.8" hidden="false" customHeight="false" outlineLevel="0" collapsed="false">
      <c r="B566" s="0" t="s">
        <v>7</v>
      </c>
    </row>
    <row r="568" customFormat="false" ht="12.8" hidden="false" customHeight="false" outlineLevel="0" collapsed="false">
      <c r="A568" s="0" t="s">
        <v>365</v>
      </c>
      <c r="B568" s="0" t="str">
        <f aca="false">HYPERLINK("https://lindat.mff.cuni.cz/services/teitok/pdtc10/index.php?action=vallex&amp;frame=v-w12339_MMf1_MM", "brnkat (v-w12339_MMf1_MM)")</f>
        <v>brnkat (v-w12339_MMf1_MM)</v>
      </c>
    </row>
    <row r="569" customFormat="false" ht="12.8" hidden="false" customHeight="false" outlineLevel="0" collapsed="false">
      <c r="B569" s="0" t="s">
        <v>7</v>
      </c>
    </row>
    <row r="571" customFormat="false" ht="12.8" hidden="false" customHeight="false" outlineLevel="0" collapsed="false">
      <c r="A571" s="0" t="s">
        <v>366</v>
      </c>
      <c r="B571" s="0" t="str">
        <f aca="false">HYPERLINK("https://lindat.mff.cuni.cz/services/teitok/pdtc10/index.php?action=vallex&amp;frame=v-whsa_1115hsa_1116", "brnknout (v-whsa_1115hsa_1116)")</f>
        <v>brnknout (v-whsa_1115hsa_1116)</v>
      </c>
    </row>
    <row r="572" customFormat="false" ht="12.8" hidden="false" customHeight="false" outlineLevel="0" collapsed="false">
      <c r="B572" s="0" t="s">
        <v>7</v>
      </c>
    </row>
    <row r="573" customFormat="false" ht="12.8" hidden="false" customHeight="false" outlineLevel="0" collapsed="false">
      <c r="B573" s="0" t="s">
        <v>367</v>
      </c>
    </row>
    <row r="574" customFormat="false" ht="12.8" hidden="false" customHeight="false" outlineLevel="0" collapsed="false">
      <c r="B574" s="0" t="s">
        <v>48</v>
      </c>
    </row>
    <row r="576" customFormat="false" ht="12.8" hidden="false" customHeight="false" outlineLevel="0" collapsed="false">
      <c r="A576" s="0" t="s">
        <v>368</v>
      </c>
      <c r="B576" s="0" t="str">
        <f aca="false">HYPERLINK("https://lindat.mff.cuni.cz/services/teitok/pdtc10/index.php?action=vallex&amp;frame=v-w208f1", "brodit se (v-w208f1)")</f>
        <v>brodit se (v-w208f1)</v>
      </c>
    </row>
    <row r="577" customFormat="false" ht="12.8" hidden="false" customHeight="false" outlineLevel="0" collapsed="false">
      <c r="B577" s="0" t="s">
        <v>7</v>
      </c>
      <c r="C577" s="0" t="s">
        <v>46</v>
      </c>
    </row>
    <row r="579" customFormat="false" ht="12.8" hidden="false" customHeight="false" outlineLevel="0" collapsed="false">
      <c r="A579" s="0" t="s">
        <v>369</v>
      </c>
      <c r="B579" s="0" t="str">
        <f aca="false">HYPERLINK("https://lindat.mff.cuni.cz/services/teitok/pdtc10/index.php?action=vallex&amp;frame=v-w208hsa_560", "brodit se (v-w208hsa_560)")</f>
        <v>brodit se (v-w208hsa_560)</v>
      </c>
    </row>
    <row r="580" customFormat="false" ht="12.8" hidden="false" customHeight="false" outlineLevel="0" collapsed="false">
      <c r="B580" s="0" t="s">
        <v>7</v>
      </c>
      <c r="D580" s="0" t="s">
        <v>310</v>
      </c>
      <c r="E580" s="0" t="s">
        <v>310</v>
      </c>
      <c r="F580" s="0" t="s">
        <v>310</v>
      </c>
    </row>
    <row r="581" customFormat="false" ht="12.8" hidden="false" customHeight="false" outlineLevel="0" collapsed="false">
      <c r="B581" s="0" t="s">
        <v>216</v>
      </c>
      <c r="D581" s="0" t="s">
        <v>313</v>
      </c>
      <c r="E581" s="0" t="s">
        <v>313</v>
      </c>
      <c r="F581" s="0" t="s">
        <v>313</v>
      </c>
    </row>
    <row r="583" customFormat="false" ht="12.8" hidden="false" customHeight="false" outlineLevel="0" collapsed="false">
      <c r="A583" s="0" t="s">
        <v>370</v>
      </c>
      <c r="B583" s="0" t="str">
        <f aca="false">HYPERLINK("https://lindat.mff.cuni.cz/services/teitok/pdtc10/index.php?action=vallex&amp;frame=v-w209f1", "brojit (v-w209f1)")</f>
        <v>brojit (v-w209f1)</v>
      </c>
    </row>
    <row r="584" customFormat="false" ht="12.8" hidden="false" customHeight="false" outlineLevel="0" collapsed="false">
      <c r="B584" s="0" t="s">
        <v>7</v>
      </c>
    </row>
    <row r="585" customFormat="false" ht="12.8" hidden="false" customHeight="false" outlineLevel="0" collapsed="false">
      <c r="B585" s="0" t="s">
        <v>371</v>
      </c>
    </row>
    <row r="587" customFormat="false" ht="12.8" hidden="false" customHeight="false" outlineLevel="0" collapsed="false">
      <c r="A587" s="0" t="s">
        <v>372</v>
      </c>
      <c r="B587" s="0" t="str">
        <f aca="false">HYPERLINK("https://lindat.mff.cuni.cz/services/teitok/pdtc10/index.php?action=vallex&amp;frame=v-w11504_ZUf1_ZU", "broukat (v-w11504_ZUf1_ZU)")</f>
        <v>broukat (v-w11504_ZUf1_ZU)</v>
      </c>
    </row>
    <row r="588" customFormat="false" ht="12.8" hidden="false" customHeight="false" outlineLevel="0" collapsed="false">
      <c r="B588" s="0" t="s">
        <v>7</v>
      </c>
      <c r="C588" s="0" t="s">
        <v>191</v>
      </c>
      <c r="D588" s="0" t="s">
        <v>157</v>
      </c>
      <c r="E588" s="0" t="s">
        <v>157</v>
      </c>
      <c r="F588" s="0" t="s">
        <v>157</v>
      </c>
    </row>
    <row r="589" customFormat="false" ht="12.8" hidden="false" customHeight="false" outlineLevel="0" collapsed="false">
      <c r="B589" s="0" t="s">
        <v>373</v>
      </c>
      <c r="C589" s="0" t="s">
        <v>155</v>
      </c>
      <c r="D589" s="0" t="s">
        <v>120</v>
      </c>
      <c r="E589" s="0" t="s">
        <v>120</v>
      </c>
      <c r="F589" s="0" t="s">
        <v>120</v>
      </c>
    </row>
    <row r="591" customFormat="false" ht="12.8" hidden="false" customHeight="false" outlineLevel="0" collapsed="false">
      <c r="A591" s="0" t="s">
        <v>374</v>
      </c>
      <c r="B591" s="0" t="str">
        <f aca="false">HYPERLINK("https://lindat.mff.cuni.cz/services/teitok/pdtc10/index.php?action=vallex&amp;frame=v-w210f1", "brousit (v-w210f1)")</f>
        <v>brousit (v-w210f1)</v>
      </c>
    </row>
    <row r="592" customFormat="false" ht="12.8" hidden="false" customHeight="false" outlineLevel="0" collapsed="false">
      <c r="B592" s="0" t="s">
        <v>7</v>
      </c>
      <c r="D592" s="0" t="s">
        <v>184</v>
      </c>
      <c r="E592" s="0" t="s">
        <v>184</v>
      </c>
      <c r="F592" s="0" t="s">
        <v>184</v>
      </c>
    </row>
    <row r="593" customFormat="false" ht="12.8" hidden="false" customHeight="false" outlineLevel="0" collapsed="false">
      <c r="B593" s="0" t="s">
        <v>14</v>
      </c>
      <c r="D593" s="0" t="s">
        <v>155</v>
      </c>
      <c r="E593" s="0" t="s">
        <v>155</v>
      </c>
      <c r="F593" s="0" t="s">
        <v>155</v>
      </c>
    </row>
    <row r="595" customFormat="false" ht="12.8" hidden="false" customHeight="false" outlineLevel="0" collapsed="false">
      <c r="A595" s="0" t="s">
        <v>375</v>
      </c>
      <c r="B595" s="0" t="str">
        <f aca="false">HYPERLINK("https://lindat.mff.cuni.cz/services/teitok/pdtc10/index.php?action=vallex&amp;frame=v-w211f1", "brousit si (v-w211f1)")</f>
        <v>brousit si (v-w211f1)</v>
      </c>
    </row>
    <row r="596" customFormat="false" ht="12.8" hidden="false" customHeight="false" outlineLevel="0" collapsed="false">
      <c r="B596" s="0" t="s">
        <v>7</v>
      </c>
      <c r="C596" s="0" t="s">
        <v>335</v>
      </c>
      <c r="D596" s="0" t="s">
        <v>376</v>
      </c>
      <c r="E596" s="0" t="s">
        <v>376</v>
      </c>
      <c r="F596" s="0" t="s">
        <v>376</v>
      </c>
    </row>
    <row r="597" customFormat="false" ht="12.8" hidden="false" customHeight="false" outlineLevel="0" collapsed="false">
      <c r="B597" s="0" t="s">
        <v>377</v>
      </c>
      <c r="C597" s="0" t="s">
        <v>378</v>
      </c>
    </row>
    <row r="598" customFormat="false" ht="12.8" hidden="false" customHeight="false" outlineLevel="0" collapsed="false">
      <c r="B598" s="0" t="s">
        <v>41</v>
      </c>
      <c r="D598" s="0" t="s">
        <v>379</v>
      </c>
      <c r="E598" s="0" t="s">
        <v>379</v>
      </c>
      <c r="F598" s="0" t="s">
        <v>379</v>
      </c>
    </row>
    <row r="600" customFormat="false" ht="12.8" hidden="false" customHeight="false" outlineLevel="0" collapsed="false">
      <c r="A600" s="0" t="s">
        <v>380</v>
      </c>
      <c r="B600" s="0" t="str">
        <f aca="false">HYPERLINK("https://lindat.mff.cuni.cz/services/teitok/pdtc10/index.php?action=vallex&amp;frame=v-whsa_1232hsa_1233", "brouzdat (v-whsa_1232hsa_1233)")</f>
        <v>brouzdat (v-whsa_1232hsa_1233)</v>
      </c>
    </row>
    <row r="601" customFormat="false" ht="12.8" hidden="false" customHeight="false" outlineLevel="0" collapsed="false">
      <c r="B601" s="0" t="s">
        <v>7</v>
      </c>
    </row>
    <row r="602" customFormat="false" ht="12.8" hidden="false" customHeight="false" outlineLevel="0" collapsed="false">
      <c r="B602" s="0" t="s">
        <v>14</v>
      </c>
    </row>
    <row r="604" customFormat="false" ht="12.8" hidden="false" customHeight="false" outlineLevel="0" collapsed="false">
      <c r="A604" s="0" t="s">
        <v>381</v>
      </c>
      <c r="B604" s="0" t="str">
        <f aca="false">HYPERLINK("https://lindat.mff.cuni.cz/services/teitok/pdtc10/index.php?action=vallex&amp;frame=v-whsa_1836hsa_1837", "brouzdat se (v-whsa_1836hsa_1837)")</f>
        <v>brouzdat se (v-whsa_1836hsa_1837)</v>
      </c>
    </row>
    <row r="605" customFormat="false" ht="12.8" hidden="false" customHeight="false" outlineLevel="0" collapsed="false">
      <c r="B605" s="0" t="s">
        <v>7</v>
      </c>
    </row>
    <row r="607" customFormat="false" ht="12.8" hidden="false" customHeight="false" outlineLevel="0" collapsed="false">
      <c r="A607" s="0" t="s">
        <v>382</v>
      </c>
      <c r="B607" s="0" t="str">
        <f aca="false">HYPERLINK("https://lindat.mff.cuni.cz/services/teitok/pdtc10/index.php?action=vallex&amp;frame=v-w215f1", "brumlat (v-w215f1)")</f>
        <v>brumlat (v-w215f1)</v>
      </c>
    </row>
    <row r="608" customFormat="false" ht="12.8" hidden="false" customHeight="false" outlineLevel="0" collapsed="false">
      <c r="B608" s="0" t="s">
        <v>7</v>
      </c>
      <c r="D608" s="0" t="s">
        <v>88</v>
      </c>
      <c r="E608" s="0" t="s">
        <v>88</v>
      </c>
      <c r="F608" s="0" t="s">
        <v>88</v>
      </c>
    </row>
    <row r="609" customFormat="false" ht="12.8" hidden="false" customHeight="false" outlineLevel="0" collapsed="false">
      <c r="B609" s="0" t="s">
        <v>383</v>
      </c>
      <c r="D609" s="0" t="s">
        <v>384</v>
      </c>
      <c r="E609" s="0" t="s">
        <v>384</v>
      </c>
      <c r="F609" s="0" t="s">
        <v>384</v>
      </c>
    </row>
    <row r="611" customFormat="false" ht="12.8" hidden="false" customHeight="false" outlineLevel="0" collapsed="false">
      <c r="A611" s="0" t="s">
        <v>385</v>
      </c>
      <c r="B611" s="0" t="str">
        <f aca="false">HYPERLINK("https://lindat.mff.cuni.cz/services/teitok/pdtc10/index.php?action=vallex&amp;frame=v-w217f1", "bruslit (v-w217f1)")</f>
        <v>bruslit (v-w217f1)</v>
      </c>
    </row>
    <row r="612" customFormat="false" ht="12.8" hidden="false" customHeight="false" outlineLevel="0" collapsed="false">
      <c r="B612" s="0" t="s">
        <v>7</v>
      </c>
    </row>
    <row r="614" customFormat="false" ht="12.8" hidden="false" customHeight="false" outlineLevel="0" collapsed="false">
      <c r="A614" s="0" t="s">
        <v>386</v>
      </c>
      <c r="B614" s="0" t="str">
        <f aca="false">HYPERLINK("https://lindat.mff.cuni.cz/services/teitok/pdtc10/index.php?action=vallex&amp;frame=v-w217f2_ZU", "bruslit (v-w217f2_ZU)")</f>
        <v>bruslit (v-w217f2_ZU)</v>
      </c>
    </row>
    <row r="615" customFormat="false" ht="12.8" hidden="false" customHeight="false" outlineLevel="0" collapsed="false">
      <c r="B615" s="0" t="s">
        <v>7</v>
      </c>
    </row>
    <row r="616" customFormat="false" ht="12.8" hidden="false" customHeight="false" outlineLevel="0" collapsed="false">
      <c r="B616" s="0" t="s">
        <v>387</v>
      </c>
    </row>
    <row r="618" customFormat="false" ht="12.8" hidden="false" customHeight="false" outlineLevel="0" collapsed="false">
      <c r="A618" s="0" t="s">
        <v>388</v>
      </c>
      <c r="B618" s="0" t="str">
        <f aca="false">HYPERLINK("https://lindat.mff.cuni.cz/services/teitok/pdtc10/index.php?action=vallex&amp;frame=v-whsa_376hsa_377", "bruslívat (v-whsa_376hsa_377)")</f>
        <v>bruslívat (v-whsa_376hsa_377)</v>
      </c>
    </row>
    <row r="619" customFormat="false" ht="12.8" hidden="false" customHeight="false" outlineLevel="0" collapsed="false">
      <c r="B619" s="0" t="s">
        <v>7</v>
      </c>
    </row>
    <row r="621" customFormat="false" ht="12.8" hidden="false" customHeight="false" outlineLevel="0" collapsed="false">
      <c r="A621" s="0" t="s">
        <v>389</v>
      </c>
      <c r="B621" s="0" t="str">
        <f aca="false">HYPERLINK("https://lindat.mff.cuni.cz/services/teitok/pdtc10/index.php?action=vallex&amp;frame=v-w10673f2", "bručet (v-w10673f2)")</f>
        <v>bručet (v-w10673f2)</v>
      </c>
    </row>
    <row r="622" customFormat="false" ht="12.8" hidden="false" customHeight="false" outlineLevel="0" collapsed="false">
      <c r="B622" s="0" t="s">
        <v>7</v>
      </c>
      <c r="D622" s="0" t="s">
        <v>88</v>
      </c>
      <c r="E622" s="0" t="s">
        <v>88</v>
      </c>
      <c r="F622" s="0" t="s">
        <v>88</v>
      </c>
    </row>
    <row r="623" customFormat="false" ht="12.8" hidden="false" customHeight="false" outlineLevel="0" collapsed="false">
      <c r="B623" s="0" t="s">
        <v>383</v>
      </c>
      <c r="D623" s="0" t="s">
        <v>384</v>
      </c>
      <c r="E623" s="0" t="s">
        <v>384</v>
      </c>
      <c r="F623" s="0" t="s">
        <v>384</v>
      </c>
    </row>
    <row r="625" customFormat="false" ht="12.8" hidden="false" customHeight="false" outlineLevel="0" collapsed="false">
      <c r="A625" s="0" t="s">
        <v>390</v>
      </c>
      <c r="B625" s="0" t="str">
        <f aca="false">HYPERLINK("https://lindat.mff.cuni.cz/services/teitok/pdtc10/index.php?action=vallex&amp;frame=v-w220f1", "brzdit (v-w220f1)")</f>
        <v>brzdit (v-w220f1)</v>
      </c>
    </row>
    <row r="626" customFormat="false" ht="12.8" hidden="false" customHeight="false" outlineLevel="0" collapsed="false">
      <c r="B626" s="0" t="s">
        <v>7</v>
      </c>
      <c r="C626" s="0" t="s">
        <v>391</v>
      </c>
      <c r="D626" s="0" t="s">
        <v>392</v>
      </c>
      <c r="E626" s="0" t="s">
        <v>392</v>
      </c>
      <c r="F626" s="0" t="s">
        <v>392</v>
      </c>
    </row>
    <row r="627" customFormat="false" ht="12.8" hidden="false" customHeight="false" outlineLevel="0" collapsed="false">
      <c r="B627" s="0" t="s">
        <v>14</v>
      </c>
      <c r="C627" s="0" t="s">
        <v>393</v>
      </c>
      <c r="D627" s="0" t="s">
        <v>394</v>
      </c>
      <c r="E627" s="0" t="s">
        <v>394</v>
      </c>
      <c r="F627" s="0" t="s">
        <v>394</v>
      </c>
    </row>
    <row r="629" customFormat="false" ht="12.8" hidden="false" customHeight="false" outlineLevel="0" collapsed="false">
      <c r="A629" s="0" t="s">
        <v>395</v>
      </c>
      <c r="B629" s="0" t="str">
        <f aca="false">HYPERLINK("https://lindat.mff.cuni.cz/services/teitok/pdtc10/index.php?action=vallex&amp;frame=v-w220f2", "brzdit (v-w220f2)")</f>
        <v>brzdit (v-w220f2)</v>
      </c>
    </row>
    <row r="630" customFormat="false" ht="12.8" hidden="false" customHeight="false" outlineLevel="0" collapsed="false">
      <c r="B630" s="0" t="s">
        <v>7</v>
      </c>
      <c r="C630" s="0" t="s">
        <v>191</v>
      </c>
      <c r="D630" s="0" t="s">
        <v>396</v>
      </c>
      <c r="E630" s="0" t="s">
        <v>396</v>
      </c>
      <c r="F630" s="0" t="s">
        <v>396</v>
      </c>
    </row>
    <row r="631" customFormat="false" ht="12.8" hidden="false" customHeight="false" outlineLevel="0" collapsed="false">
      <c r="B631" s="0" t="s">
        <v>81</v>
      </c>
      <c r="C631" s="0" t="s">
        <v>397</v>
      </c>
      <c r="D631" s="0" t="s">
        <v>398</v>
      </c>
      <c r="E631" s="0" t="s">
        <v>398</v>
      </c>
      <c r="F631" s="0" t="s">
        <v>398</v>
      </c>
    </row>
    <row r="632" customFormat="false" ht="12.8" hidden="false" customHeight="false" outlineLevel="0" collapsed="false">
      <c r="B632" s="0" t="s">
        <v>399</v>
      </c>
      <c r="C632" s="0" t="s">
        <v>400</v>
      </c>
    </row>
    <row r="634" customFormat="false" ht="12.8" hidden="false" customHeight="false" outlineLevel="0" collapsed="false">
      <c r="A634" s="0" t="s">
        <v>401</v>
      </c>
      <c r="B634" s="0" t="str">
        <f aca="false">HYPERLINK("https://lindat.mff.cuni.cz/services/teitok/pdtc10/index.php?action=vallex&amp;frame=v-w198f2", "bránit (v-w198f2)")</f>
        <v>bránit (v-w198f2)</v>
      </c>
    </row>
    <row r="635" customFormat="false" ht="12.8" hidden="false" customHeight="false" outlineLevel="0" collapsed="false">
      <c r="B635" s="0" t="s">
        <v>7</v>
      </c>
      <c r="C635" s="0" t="s">
        <v>402</v>
      </c>
      <c r="D635" s="0" t="s">
        <v>403</v>
      </c>
      <c r="E635" s="0" t="s">
        <v>403</v>
      </c>
      <c r="F635" s="0" t="s">
        <v>403</v>
      </c>
    </row>
    <row r="636" customFormat="false" ht="12.8" hidden="false" customHeight="false" outlineLevel="0" collapsed="false">
      <c r="B636" s="0" t="s">
        <v>404</v>
      </c>
      <c r="C636" s="0" t="s">
        <v>405</v>
      </c>
      <c r="D636" s="0" t="s">
        <v>406</v>
      </c>
      <c r="E636" s="0" t="s">
        <v>406</v>
      </c>
      <c r="F636" s="0" t="s">
        <v>406</v>
      </c>
    </row>
    <row r="637" customFormat="false" ht="12.8" hidden="false" customHeight="false" outlineLevel="0" collapsed="false">
      <c r="B637" s="0" t="s">
        <v>106</v>
      </c>
      <c r="C637" s="0" t="s">
        <v>407</v>
      </c>
      <c r="D637" s="0" t="s">
        <v>408</v>
      </c>
      <c r="E637" s="0" t="s">
        <v>408</v>
      </c>
      <c r="F637" s="0" t="s">
        <v>408</v>
      </c>
    </row>
    <row r="639" customFormat="false" ht="12.8" hidden="false" customHeight="false" outlineLevel="0" collapsed="false">
      <c r="A639" s="0" t="s">
        <v>409</v>
      </c>
      <c r="B639" s="0" t="str">
        <f aca="false">HYPERLINK("https://lindat.mff.cuni.cz/services/teitok/pdtc10/index.php?action=vallex&amp;frame=v-w198f3", "bránit (v-w198f3)")</f>
        <v>bránit (v-w198f3)</v>
      </c>
    </row>
    <row r="640" customFormat="false" ht="12.8" hidden="false" customHeight="false" outlineLevel="0" collapsed="false">
      <c r="B640" s="0" t="s">
        <v>7</v>
      </c>
      <c r="C640" s="0" t="s">
        <v>410</v>
      </c>
      <c r="D640" s="0" t="s">
        <v>411</v>
      </c>
      <c r="E640" s="0" t="s">
        <v>412</v>
      </c>
      <c r="F640" s="0" t="s">
        <v>412</v>
      </c>
    </row>
    <row r="641" customFormat="false" ht="12.8" hidden="false" customHeight="false" outlineLevel="0" collapsed="false">
      <c r="B641" s="0" t="s">
        <v>14</v>
      </c>
      <c r="C641" s="0" t="s">
        <v>413</v>
      </c>
      <c r="D641" s="0" t="s">
        <v>414</v>
      </c>
      <c r="E641" s="0" t="s">
        <v>415</v>
      </c>
      <c r="F641" s="0" t="s">
        <v>415</v>
      </c>
    </row>
    <row r="642" customFormat="false" ht="12.8" hidden="false" customHeight="false" outlineLevel="0" collapsed="false">
      <c r="B642" s="0" t="s">
        <v>416</v>
      </c>
      <c r="C642" s="0" t="s">
        <v>361</v>
      </c>
      <c r="D642" s="0" t="s">
        <v>361</v>
      </c>
      <c r="E642" s="0" t="s">
        <v>417</v>
      </c>
      <c r="F642" s="0" t="s">
        <v>417</v>
      </c>
    </row>
    <row r="644" customFormat="false" ht="12.8" hidden="false" customHeight="false" outlineLevel="0" collapsed="false">
      <c r="A644" s="0" t="s">
        <v>418</v>
      </c>
      <c r="B644" s="0" t="str">
        <f aca="false">HYPERLINK("https://lindat.mff.cuni.cz/services/teitok/pdtc10/index.php?action=vallex&amp;frame=v-w198f1", "bránit (v-w198f1)")</f>
        <v>bránit (v-w198f1)</v>
      </c>
    </row>
    <row r="645" customFormat="false" ht="12.8" hidden="false" customHeight="false" outlineLevel="0" collapsed="false">
      <c r="B645" s="0" t="s">
        <v>7</v>
      </c>
      <c r="C645" s="0" t="s">
        <v>419</v>
      </c>
      <c r="D645" s="0" t="s">
        <v>252</v>
      </c>
      <c r="E645" s="0" t="s">
        <v>253</v>
      </c>
      <c r="F645" s="0" t="s">
        <v>253</v>
      </c>
    </row>
    <row r="646" customFormat="false" ht="12.8" hidden="false" customHeight="false" outlineLevel="0" collapsed="false">
      <c r="B646" s="0" t="s">
        <v>142</v>
      </c>
      <c r="C646" s="0" t="s">
        <v>420</v>
      </c>
      <c r="D646" s="0" t="s">
        <v>255</v>
      </c>
      <c r="E646" s="0" t="s">
        <v>256</v>
      </c>
      <c r="F646" s="0" t="s">
        <v>256</v>
      </c>
    </row>
    <row r="648" customFormat="false" ht="12.8" hidden="false" customHeight="false" outlineLevel="0" collapsed="false">
      <c r="A648" s="0" t="s">
        <v>421</v>
      </c>
      <c r="B648" s="0" t="str">
        <f aca="false">HYPERLINK("https://lindat.mff.cuni.cz/services/teitok/pdtc10/index.php?action=vallex&amp;frame=v-w199f1", "bránit se (v-w199f1)")</f>
        <v>bránit se (v-w199f1)</v>
      </c>
    </row>
    <row r="649" customFormat="false" ht="12.8" hidden="false" customHeight="false" outlineLevel="0" collapsed="false">
      <c r="B649" s="0" t="s">
        <v>7</v>
      </c>
      <c r="C649" s="0" t="s">
        <v>422</v>
      </c>
      <c r="D649" s="0" t="s">
        <v>423</v>
      </c>
      <c r="E649" s="0" t="s">
        <v>423</v>
      </c>
      <c r="F649" s="0" t="s">
        <v>423</v>
      </c>
    </row>
    <row r="650" customFormat="false" ht="12.8" hidden="false" customHeight="false" outlineLevel="0" collapsed="false">
      <c r="B650" s="0" t="s">
        <v>424</v>
      </c>
      <c r="C650" s="0" t="s">
        <v>425</v>
      </c>
      <c r="D650" s="0" t="s">
        <v>426</v>
      </c>
      <c r="E650" s="0" t="s">
        <v>426</v>
      </c>
      <c r="F650" s="0" t="s">
        <v>426</v>
      </c>
    </row>
    <row r="652" customFormat="false" ht="12.8" hidden="false" customHeight="false" outlineLevel="0" collapsed="false">
      <c r="A652" s="0" t="s">
        <v>427</v>
      </c>
      <c r="B652" s="0" t="str">
        <f aca="false">HYPERLINK("https://lindat.mff.cuni.cz/services/teitok/pdtc10/index.php?action=vallex&amp;frame=v-w202f8", "brát (v-w202f8)")</f>
        <v>brát (v-w202f8)</v>
      </c>
    </row>
    <row r="653" customFormat="false" ht="12.8" hidden="false" customHeight="false" outlineLevel="0" collapsed="false">
      <c r="B653" s="0" t="s">
        <v>7</v>
      </c>
      <c r="C653" s="0" t="s">
        <v>428</v>
      </c>
      <c r="D653" s="0" t="s">
        <v>429</v>
      </c>
      <c r="E653" s="0" t="s">
        <v>430</v>
      </c>
      <c r="F653" s="0" t="s">
        <v>431</v>
      </c>
    </row>
    <row r="654" customFormat="false" ht="12.8" hidden="false" customHeight="false" outlineLevel="0" collapsed="false">
      <c r="B654" s="0" t="s">
        <v>14</v>
      </c>
      <c r="C654" s="0" t="s">
        <v>432</v>
      </c>
      <c r="D654" s="0" t="s">
        <v>433</v>
      </c>
      <c r="E654" s="0" t="s">
        <v>434</v>
      </c>
      <c r="F654" s="0" t="s">
        <v>435</v>
      </c>
    </row>
    <row r="655" customFormat="false" ht="12.8" hidden="false" customHeight="false" outlineLevel="0" collapsed="false">
      <c r="B655" s="0" t="s">
        <v>48</v>
      </c>
      <c r="C655" s="0" t="s">
        <v>436</v>
      </c>
      <c r="D655" s="0" t="s">
        <v>437</v>
      </c>
      <c r="E655" s="0" t="s">
        <v>438</v>
      </c>
      <c r="F655" s="0" t="s">
        <v>439</v>
      </c>
    </row>
    <row r="657" customFormat="false" ht="12.8" hidden="false" customHeight="false" outlineLevel="0" collapsed="false">
      <c r="A657" s="0" t="s">
        <v>440</v>
      </c>
      <c r="B657" s="0" t="str">
        <f aca="false">HYPERLINK("https://lindat.mff.cuni.cz/services/teitok/pdtc10/index.php?action=vallex&amp;frame=v-w202f42_ZU", "brát (v-w202f42_ZU)")</f>
        <v>brát (v-w202f42_ZU)</v>
      </c>
    </row>
    <row r="658" customFormat="false" ht="12.8" hidden="false" customHeight="false" outlineLevel="0" collapsed="false">
      <c r="B658" s="0" t="s">
        <v>7</v>
      </c>
    </row>
    <row r="659" customFormat="false" ht="12.8" hidden="false" customHeight="false" outlineLevel="0" collapsed="false">
      <c r="B659" s="0" t="s">
        <v>14</v>
      </c>
    </row>
    <row r="660" customFormat="false" ht="12.8" hidden="false" customHeight="false" outlineLevel="0" collapsed="false">
      <c r="B660" s="0" t="s">
        <v>441</v>
      </c>
    </row>
    <row r="662" customFormat="false" ht="12.8" hidden="false" customHeight="false" outlineLevel="0" collapsed="false">
      <c r="A662" s="0" t="s">
        <v>440</v>
      </c>
      <c r="B662" s="0" t="str">
        <f aca="false">HYPERLINK("https://lindat.mff.cuni.cz/services/teitok/pdtc10/index.php?action=vallex&amp;frame=v-w202f4", "brát (v-w202f4) - substituted with v-w202f42_ZU")</f>
        <v>brát (v-w202f4) - substituted with v-w202f42_ZU</v>
      </c>
    </row>
    <row r="663" customFormat="false" ht="12.8" hidden="false" customHeight="false" outlineLevel="0" collapsed="false">
      <c r="B663" s="0" t="s">
        <v>7</v>
      </c>
      <c r="C663" s="0" t="s">
        <v>442</v>
      </c>
      <c r="D663" s="0" t="s">
        <v>443</v>
      </c>
      <c r="E663" s="0" t="s">
        <v>443</v>
      </c>
      <c r="F663" s="0" t="s">
        <v>443</v>
      </c>
    </row>
    <row r="664" customFormat="false" ht="12.8" hidden="false" customHeight="false" outlineLevel="0" collapsed="false">
      <c r="B664" s="0" t="s">
        <v>14</v>
      </c>
      <c r="C664" s="0" t="s">
        <v>444</v>
      </c>
      <c r="D664" s="0" t="s">
        <v>445</v>
      </c>
      <c r="E664" s="0" t="s">
        <v>445</v>
      </c>
      <c r="F664" s="0" t="s">
        <v>445</v>
      </c>
    </row>
    <row r="665" customFormat="false" ht="12.8" hidden="false" customHeight="false" outlineLevel="0" collapsed="false">
      <c r="B665" s="0" t="s">
        <v>441</v>
      </c>
      <c r="D665" s="0" t="s">
        <v>446</v>
      </c>
      <c r="E665" s="0" t="s">
        <v>446</v>
      </c>
      <c r="F665" s="0" t="s">
        <v>446</v>
      </c>
    </row>
    <row r="667" customFormat="false" ht="12.8" hidden="false" customHeight="false" outlineLevel="0" collapsed="false">
      <c r="A667" s="0" t="s">
        <v>447</v>
      </c>
      <c r="B667" s="0" t="str">
        <f aca="false">HYPERLINK("https://lindat.mff.cuni.cz/services/teitok/pdtc10/index.php?action=vallex&amp;frame=v-w202f6", "brát (v-w202f6)")</f>
        <v>brát (v-w202f6)</v>
      </c>
    </row>
    <row r="668" customFormat="false" ht="12.8" hidden="false" customHeight="false" outlineLevel="0" collapsed="false">
      <c r="B668" s="0" t="s">
        <v>7</v>
      </c>
    </row>
    <row r="669" customFormat="false" ht="12.8" hidden="false" customHeight="false" outlineLevel="0" collapsed="false">
      <c r="B669" s="0" t="s">
        <v>14</v>
      </c>
    </row>
    <row r="670" customFormat="false" ht="12.8" hidden="false" customHeight="false" outlineLevel="0" collapsed="false">
      <c r="B670" s="0" t="s">
        <v>441</v>
      </c>
    </row>
    <row r="672" customFormat="false" ht="12.8" hidden="false" customHeight="false" outlineLevel="0" collapsed="false">
      <c r="A672" s="0" t="s">
        <v>448</v>
      </c>
      <c r="B672" s="0" t="str">
        <f aca="false">HYPERLINK("https://lindat.mff.cuni.cz/services/teitok/pdtc10/index.php?action=vallex&amp;frame=v-w202f43_ZU", "brát (v-w202f43_ZU)")</f>
        <v>brát (v-w202f43_ZU)</v>
      </c>
    </row>
    <row r="673" customFormat="false" ht="12.8" hidden="false" customHeight="false" outlineLevel="0" collapsed="false">
      <c r="B673" s="0" t="s">
        <v>7</v>
      </c>
    </row>
    <row r="674" customFormat="false" ht="12.8" hidden="false" customHeight="false" outlineLevel="0" collapsed="false">
      <c r="B674" s="0" t="s">
        <v>54</v>
      </c>
    </row>
    <row r="675" customFormat="false" ht="12.8" hidden="false" customHeight="false" outlineLevel="0" collapsed="false">
      <c r="B675" s="0" t="s">
        <v>449</v>
      </c>
    </row>
    <row r="677" customFormat="false" ht="12.8" hidden="false" customHeight="false" outlineLevel="0" collapsed="false">
      <c r="A677" s="0" t="s">
        <v>448</v>
      </c>
      <c r="B677" s="0" t="str">
        <f aca="false">HYPERLINK("https://lindat.mff.cuni.cz/services/teitok/pdtc10/index.php?action=vallex&amp;frame=v-w202f1", "brát (v-w202f1) - substituted with v-w202f43_ZU")</f>
        <v>brát (v-w202f1) - substituted with v-w202f43_ZU</v>
      </c>
    </row>
    <row r="678" customFormat="false" ht="12.8" hidden="false" customHeight="false" outlineLevel="0" collapsed="false">
      <c r="B678" s="0" t="s">
        <v>7</v>
      </c>
      <c r="C678" s="0" t="s">
        <v>450</v>
      </c>
      <c r="D678" s="0" t="s">
        <v>451</v>
      </c>
      <c r="E678" s="0" t="s">
        <v>451</v>
      </c>
      <c r="F678" s="0" t="s">
        <v>451</v>
      </c>
    </row>
    <row r="679" customFormat="false" ht="12.8" hidden="false" customHeight="false" outlineLevel="0" collapsed="false">
      <c r="B679" s="0" t="s">
        <v>54</v>
      </c>
      <c r="C679" s="0" t="s">
        <v>452</v>
      </c>
      <c r="D679" s="0" t="s">
        <v>453</v>
      </c>
      <c r="E679" s="0" t="s">
        <v>453</v>
      </c>
      <c r="F679" s="0" t="s">
        <v>453</v>
      </c>
    </row>
    <row r="680" customFormat="false" ht="12.8" hidden="false" customHeight="false" outlineLevel="0" collapsed="false">
      <c r="B680" s="0" t="s">
        <v>449</v>
      </c>
      <c r="C680" s="0" t="s">
        <v>454</v>
      </c>
      <c r="D680" s="0" t="s">
        <v>455</v>
      </c>
      <c r="E680" s="0" t="s">
        <v>455</v>
      </c>
      <c r="F680" s="0" t="s">
        <v>455</v>
      </c>
    </row>
    <row r="682" customFormat="false" ht="12.8" hidden="false" customHeight="false" outlineLevel="0" collapsed="false">
      <c r="A682" s="0" t="s">
        <v>448</v>
      </c>
      <c r="B682" s="0" t="str">
        <f aca="false">HYPERLINK("https://lindat.mff.cuni.cz/services/teitok/pdtc10/index.php?action=vallex&amp;frame=v-w202f31_ZU", "brát (v-w202f31_ZU) - substituted with v-w202f43_ZU")</f>
        <v>brát (v-w202f31_ZU) - substituted with v-w202f43_ZU</v>
      </c>
    </row>
    <row r="683" customFormat="false" ht="12.8" hidden="false" customHeight="false" outlineLevel="0" collapsed="false">
      <c r="B683" s="0" t="s">
        <v>7</v>
      </c>
    </row>
    <row r="684" customFormat="false" ht="12.8" hidden="false" customHeight="false" outlineLevel="0" collapsed="false">
      <c r="B684" s="0" t="s">
        <v>54</v>
      </c>
    </row>
    <row r="685" customFormat="false" ht="12.8" hidden="false" customHeight="false" outlineLevel="0" collapsed="false">
      <c r="B685" s="0" t="s">
        <v>449</v>
      </c>
    </row>
    <row r="687" customFormat="false" ht="12.8" hidden="false" customHeight="false" outlineLevel="0" collapsed="false">
      <c r="A687" s="0" t="s">
        <v>448</v>
      </c>
      <c r="B687" s="0" t="str">
        <f aca="false">HYPERLINK("https://lindat.mff.cuni.cz/services/teitok/pdtc10/index.php?action=vallex&amp;frame=v-w202hsa_1928", "brát (v-w202hsa_1928) - substituted with v-w202f43_ZU")</f>
        <v>brát (v-w202hsa_1928) - substituted with v-w202f43_ZU</v>
      </c>
    </row>
    <row r="688" customFormat="false" ht="12.8" hidden="false" customHeight="false" outlineLevel="0" collapsed="false">
      <c r="B688" s="0" t="s">
        <v>7</v>
      </c>
    </row>
    <row r="689" customFormat="false" ht="12.8" hidden="false" customHeight="false" outlineLevel="0" collapsed="false">
      <c r="B689" s="0" t="s">
        <v>54</v>
      </c>
    </row>
    <row r="690" customFormat="false" ht="12.8" hidden="false" customHeight="false" outlineLevel="0" collapsed="false">
      <c r="B690" s="0" t="s">
        <v>449</v>
      </c>
    </row>
    <row r="692" customFormat="false" ht="12.8" hidden="false" customHeight="false" outlineLevel="0" collapsed="false">
      <c r="A692" s="0" t="s">
        <v>456</v>
      </c>
      <c r="B692" s="0" t="str">
        <f aca="false">HYPERLINK("https://lindat.mff.cuni.cz/services/teitok/pdtc10/index.php?action=vallex&amp;frame=v-w202f15", "brát (v-w202f15)")</f>
        <v>brát (v-w202f15)</v>
      </c>
    </row>
    <row r="693" customFormat="false" ht="12.8" hidden="false" customHeight="false" outlineLevel="0" collapsed="false">
      <c r="B693" s="0" t="s">
        <v>457</v>
      </c>
    </row>
    <row r="694" customFormat="false" ht="12.8" hidden="false" customHeight="false" outlineLevel="0" collapsed="false">
      <c r="B694" s="0" t="s">
        <v>14</v>
      </c>
    </row>
    <row r="695" customFormat="false" ht="12.8" hidden="false" customHeight="false" outlineLevel="0" collapsed="false">
      <c r="B695" s="0" t="s">
        <v>11</v>
      </c>
    </row>
    <row r="697" customFormat="false" ht="12.8" hidden="false" customHeight="false" outlineLevel="0" collapsed="false">
      <c r="A697" s="0" t="s">
        <v>458</v>
      </c>
      <c r="B697" s="0" t="str">
        <f aca="false">HYPERLINK("https://lindat.mff.cuni.cz/services/teitok/pdtc10/index.php?action=vallex&amp;frame=v-w202f39_ZU", "brát (v-w202f39_ZU)")</f>
        <v>brát (v-w202f39_ZU)</v>
      </c>
    </row>
    <row r="698" customFormat="false" ht="12.8" hidden="false" customHeight="false" outlineLevel="0" collapsed="false">
      <c r="B698" s="0" t="s">
        <v>7</v>
      </c>
    </row>
    <row r="699" customFormat="false" ht="12.8" hidden="false" customHeight="false" outlineLevel="0" collapsed="false">
      <c r="B699" s="0" t="s">
        <v>14</v>
      </c>
    </row>
    <row r="700" customFormat="false" ht="12.8" hidden="false" customHeight="false" outlineLevel="0" collapsed="false">
      <c r="B700" s="0" t="s">
        <v>459</v>
      </c>
    </row>
    <row r="702" customFormat="false" ht="12.8" hidden="false" customHeight="false" outlineLevel="0" collapsed="false">
      <c r="A702" s="0" t="s">
        <v>458</v>
      </c>
      <c r="B702" s="0" t="str">
        <f aca="false">HYPERLINK("https://lindat.mff.cuni.cz/services/teitok/pdtc10/index.php?action=vallex&amp;frame=v-w202f25", "brát (v-w202f25) - substituted with v-w202f39_ZU")</f>
        <v>brát (v-w202f25) - substituted with v-w202f39_ZU</v>
      </c>
    </row>
    <row r="703" customFormat="false" ht="12.8" hidden="false" customHeight="false" outlineLevel="0" collapsed="false">
      <c r="B703" s="0" t="s">
        <v>7</v>
      </c>
      <c r="C703" s="0" t="s">
        <v>460</v>
      </c>
      <c r="F703" s="0" t="s">
        <v>157</v>
      </c>
    </row>
    <row r="704" customFormat="false" ht="12.8" hidden="false" customHeight="false" outlineLevel="0" collapsed="false">
      <c r="B704" s="0" t="s">
        <v>14</v>
      </c>
      <c r="C704" s="0" t="s">
        <v>461</v>
      </c>
      <c r="F704" s="0" t="s">
        <v>462</v>
      </c>
    </row>
    <row r="705" customFormat="false" ht="12.8" hidden="false" customHeight="false" outlineLevel="0" collapsed="false">
      <c r="B705" s="0" t="s">
        <v>459</v>
      </c>
      <c r="F705" s="0" t="s">
        <v>463</v>
      </c>
    </row>
    <row r="707" customFormat="false" ht="12.8" hidden="false" customHeight="false" outlineLevel="0" collapsed="false">
      <c r="A707" s="0" t="s">
        <v>464</v>
      </c>
      <c r="B707" s="0" t="str">
        <f aca="false">HYPERLINK("https://lindat.mff.cuni.cz/services/teitok/pdtc10/index.php?action=vallex&amp;frame=v-w202f35_ZU", "brát (v-w202f35_ZU)")</f>
        <v>brát (v-w202f35_ZU)</v>
      </c>
    </row>
    <row r="708" customFormat="false" ht="12.8" hidden="false" customHeight="false" outlineLevel="0" collapsed="false">
      <c r="B708" s="0" t="s">
        <v>7</v>
      </c>
    </row>
    <row r="709" customFormat="false" ht="12.8" hidden="false" customHeight="false" outlineLevel="0" collapsed="false">
      <c r="B709" s="0" t="s">
        <v>14</v>
      </c>
    </row>
    <row r="710" customFormat="false" ht="12.8" hidden="false" customHeight="false" outlineLevel="0" collapsed="false">
      <c r="B710" s="0" t="s">
        <v>441</v>
      </c>
    </row>
    <row r="712" customFormat="false" ht="12.8" hidden="false" customHeight="false" outlineLevel="0" collapsed="false">
      <c r="A712" s="0" t="s">
        <v>464</v>
      </c>
      <c r="B712" s="0" t="str">
        <f aca="false">HYPERLINK("https://lindat.mff.cuni.cz/services/teitok/pdtc10/index.php?action=vallex&amp;frame=v-w202f3", "brát (v-w202f3) - substituted with v-w202f35_ZU")</f>
        <v>brát (v-w202f3) - substituted with v-w202f35_ZU</v>
      </c>
    </row>
    <row r="713" customFormat="false" ht="12.8" hidden="false" customHeight="false" outlineLevel="0" collapsed="false">
      <c r="B713" s="0" t="s">
        <v>7</v>
      </c>
      <c r="C713" s="0" t="s">
        <v>465</v>
      </c>
    </row>
    <row r="714" customFormat="false" ht="12.8" hidden="false" customHeight="false" outlineLevel="0" collapsed="false">
      <c r="B714" s="0" t="s">
        <v>14</v>
      </c>
      <c r="C714" s="0" t="s">
        <v>466</v>
      </c>
    </row>
    <row r="715" customFormat="false" ht="12.8" hidden="false" customHeight="false" outlineLevel="0" collapsed="false">
      <c r="B715" s="0" t="s">
        <v>441</v>
      </c>
    </row>
    <row r="717" customFormat="false" ht="12.8" hidden="false" customHeight="false" outlineLevel="0" collapsed="false">
      <c r="A717" s="0" t="s">
        <v>467</v>
      </c>
      <c r="B717" s="0" t="str">
        <f aca="false">HYPERLINK("https://lindat.mff.cuni.cz/services/teitok/pdtc10/index.php?action=vallex&amp;frame=v-w202f5", "brát (v-w202f5)")</f>
        <v>brát (v-w202f5)</v>
      </c>
    </row>
    <row r="718" customFormat="false" ht="12.8" hidden="false" customHeight="false" outlineLevel="0" collapsed="false">
      <c r="B718" s="0" t="s">
        <v>7</v>
      </c>
      <c r="C718" s="0" t="s">
        <v>468</v>
      </c>
    </row>
    <row r="719" customFormat="false" ht="12.8" hidden="false" customHeight="false" outlineLevel="0" collapsed="false">
      <c r="B719" s="0" t="s">
        <v>14</v>
      </c>
      <c r="C719" s="0" t="s">
        <v>469</v>
      </c>
    </row>
    <row r="721" customFormat="false" ht="12.8" hidden="false" customHeight="false" outlineLevel="0" collapsed="false">
      <c r="A721" s="0" t="s">
        <v>470</v>
      </c>
      <c r="B721" s="0" t="str">
        <f aca="false">HYPERLINK("https://lindat.mff.cuni.cz/services/teitok/pdtc10/index.php?action=vallex&amp;frame=v-w202f7", "brát (v-w202f7)")</f>
        <v>brát (v-w202f7)</v>
      </c>
    </row>
    <row r="722" customFormat="false" ht="12.8" hidden="false" customHeight="false" outlineLevel="0" collapsed="false">
      <c r="B722" s="0" t="s">
        <v>7</v>
      </c>
    </row>
    <row r="723" customFormat="false" ht="12.8" hidden="false" customHeight="false" outlineLevel="0" collapsed="false">
      <c r="B723" s="0" t="s">
        <v>14</v>
      </c>
    </row>
    <row r="725" customFormat="false" ht="12.8" hidden="false" customHeight="false" outlineLevel="0" collapsed="false">
      <c r="A725" s="0" t="s">
        <v>471</v>
      </c>
      <c r="B725" s="0" t="str">
        <f aca="false">HYPERLINK("https://lindat.mff.cuni.cz/services/teitok/pdtc10/index.php?action=vallex&amp;frame=v-w202f9", "brát (v-w202f9)")</f>
        <v>brát (v-w202f9)</v>
      </c>
    </row>
    <row r="726" customFormat="false" ht="12.8" hidden="false" customHeight="false" outlineLevel="0" collapsed="false">
      <c r="B726" s="0" t="s">
        <v>7</v>
      </c>
      <c r="C726" s="0" t="s">
        <v>472</v>
      </c>
      <c r="D726" s="0" t="s">
        <v>88</v>
      </c>
      <c r="E726" s="0" t="s">
        <v>88</v>
      </c>
      <c r="F726" s="0" t="s">
        <v>88</v>
      </c>
    </row>
    <row r="727" customFormat="false" ht="12.8" hidden="false" customHeight="false" outlineLevel="0" collapsed="false">
      <c r="B727" s="0" t="s">
        <v>14</v>
      </c>
      <c r="C727" s="0" t="s">
        <v>473</v>
      </c>
      <c r="D727" s="0" t="s">
        <v>461</v>
      </c>
      <c r="E727" s="0" t="s">
        <v>461</v>
      </c>
      <c r="F727" s="0" t="s">
        <v>461</v>
      </c>
    </row>
    <row r="728" customFormat="false" ht="12.8" hidden="false" customHeight="false" outlineLevel="0" collapsed="false">
      <c r="B728" s="0" t="s">
        <v>474</v>
      </c>
      <c r="C728" s="0" t="s">
        <v>475</v>
      </c>
      <c r="D728" s="0" t="s">
        <v>476</v>
      </c>
      <c r="E728" s="0" t="s">
        <v>476</v>
      </c>
      <c r="F728" s="0" t="s">
        <v>476</v>
      </c>
    </row>
    <row r="729" customFormat="false" ht="12.8" hidden="false" customHeight="false" outlineLevel="0" collapsed="false">
      <c r="B729" s="0" t="s">
        <v>477</v>
      </c>
      <c r="D729" s="0" t="s">
        <v>478</v>
      </c>
      <c r="E729" s="0" t="s">
        <v>478</v>
      </c>
      <c r="F729" s="0" t="s">
        <v>478</v>
      </c>
    </row>
    <row r="730" customFormat="false" ht="12.8" hidden="false" customHeight="false" outlineLevel="0" collapsed="false">
      <c r="B730" s="0" t="s">
        <v>479</v>
      </c>
      <c r="D730" s="0" t="s">
        <v>480</v>
      </c>
      <c r="E730" s="0" t="s">
        <v>480</v>
      </c>
      <c r="F730" s="0" t="s">
        <v>480</v>
      </c>
    </row>
    <row r="731" customFormat="false" ht="12.8" hidden="false" customHeight="false" outlineLevel="0" collapsed="false">
      <c r="B731" s="0" t="s">
        <v>481</v>
      </c>
      <c r="D731" s="0" t="s">
        <v>482</v>
      </c>
      <c r="E731" s="0" t="s">
        <v>482</v>
      </c>
      <c r="F731" s="0" t="s">
        <v>482</v>
      </c>
    </row>
    <row r="732" customFormat="false" ht="12.8" hidden="false" customHeight="false" outlineLevel="0" collapsed="false">
      <c r="B732" s="0" t="s">
        <v>483</v>
      </c>
      <c r="D732" s="0" t="s">
        <v>484</v>
      </c>
      <c r="E732" s="0" t="s">
        <v>484</v>
      </c>
      <c r="F732" s="0" t="s">
        <v>484</v>
      </c>
    </row>
    <row r="734" customFormat="false" ht="12.8" hidden="false" customHeight="false" outlineLevel="0" collapsed="false">
      <c r="A734" s="0" t="s">
        <v>485</v>
      </c>
      <c r="B734" s="0" t="str">
        <f aca="false">HYPERLINK("https://lindat.mff.cuni.cz/services/teitok/pdtc10/index.php?action=vallex&amp;frame=v-w202f11", "brát (v-w202f11)")</f>
        <v>brát (v-w202f11)</v>
      </c>
    </row>
    <row r="735" customFormat="false" ht="12.8" hidden="false" customHeight="false" outlineLevel="0" collapsed="false">
      <c r="B735" s="0" t="s">
        <v>7</v>
      </c>
    </row>
    <row r="736" customFormat="false" ht="12.8" hidden="false" customHeight="false" outlineLevel="0" collapsed="false">
      <c r="B736" s="0" t="s">
        <v>14</v>
      </c>
    </row>
    <row r="738" customFormat="false" ht="12.8" hidden="false" customHeight="false" outlineLevel="0" collapsed="false">
      <c r="A738" s="0" t="s">
        <v>486</v>
      </c>
      <c r="B738" s="0" t="str">
        <f aca="false">HYPERLINK("https://lindat.mff.cuni.cz/services/teitok/pdtc10/index.php?action=vallex&amp;frame=v-w202f41_ZU", "brát (v-w202f41_ZU)")</f>
        <v>brát (v-w202f41_ZU)</v>
      </c>
    </row>
    <row r="739" customFormat="false" ht="12.8" hidden="false" customHeight="false" outlineLevel="0" collapsed="false">
      <c r="B739" s="0" t="s">
        <v>7</v>
      </c>
    </row>
    <row r="740" customFormat="false" ht="12.8" hidden="false" customHeight="false" outlineLevel="0" collapsed="false">
      <c r="B740" s="0" t="s">
        <v>14</v>
      </c>
    </row>
    <row r="742" customFormat="false" ht="12.8" hidden="false" customHeight="false" outlineLevel="0" collapsed="false">
      <c r="A742" s="0" t="s">
        <v>486</v>
      </c>
      <c r="B742" s="0" t="str">
        <f aca="false">HYPERLINK("https://lindat.mff.cuni.cz/services/teitok/pdtc10/index.php?action=vallex&amp;frame=v-w202f27", "brát (v-w202f27) - substituted with v-w202f41_ZU")</f>
        <v>brát (v-w202f27) - substituted with v-w202f41_ZU</v>
      </c>
    </row>
    <row r="743" customFormat="false" ht="12.8" hidden="false" customHeight="false" outlineLevel="0" collapsed="false">
      <c r="B743" s="0" t="s">
        <v>7</v>
      </c>
      <c r="C743" s="0" t="s">
        <v>460</v>
      </c>
      <c r="D743" s="0" t="s">
        <v>465</v>
      </c>
      <c r="E743" s="0" t="s">
        <v>465</v>
      </c>
      <c r="F743" s="0" t="s">
        <v>465</v>
      </c>
    </row>
    <row r="744" customFormat="false" ht="12.8" hidden="false" customHeight="false" outlineLevel="0" collapsed="false">
      <c r="B744" s="0" t="s">
        <v>14</v>
      </c>
      <c r="C744" s="0" t="s">
        <v>487</v>
      </c>
      <c r="D744" s="0" t="s">
        <v>488</v>
      </c>
      <c r="E744" s="0" t="s">
        <v>488</v>
      </c>
      <c r="F744" s="0" t="s">
        <v>488</v>
      </c>
    </row>
    <row r="746" customFormat="false" ht="12.8" hidden="false" customHeight="false" outlineLevel="0" collapsed="false">
      <c r="A746" s="0" t="s">
        <v>489</v>
      </c>
      <c r="B746" s="0" t="str">
        <f aca="false">HYPERLINK("https://lindat.mff.cuni.cz/services/teitok/pdtc10/index.php?action=vallex&amp;frame=v-w202f18", "brát (v-w202f18)")</f>
        <v>brát (v-w202f18)</v>
      </c>
    </row>
    <row r="747" customFormat="false" ht="12.8" hidden="false" customHeight="false" outlineLevel="0" collapsed="false">
      <c r="B747" s="0" t="s">
        <v>7</v>
      </c>
    </row>
    <row r="748" customFormat="false" ht="12.8" hidden="false" customHeight="false" outlineLevel="0" collapsed="false">
      <c r="B748" s="0" t="s">
        <v>41</v>
      </c>
    </row>
    <row r="750" customFormat="false" ht="12.8" hidden="false" customHeight="false" outlineLevel="0" collapsed="false">
      <c r="A750" s="0" t="s">
        <v>490</v>
      </c>
      <c r="B750" s="0" t="str">
        <f aca="false">HYPERLINK("https://lindat.mff.cuni.cz/services/teitok/pdtc10/index.php?action=vallex&amp;frame=v-w202f23", "brát (v-w202f23)")</f>
        <v>brát (v-w202f23)</v>
      </c>
    </row>
    <row r="751" customFormat="false" ht="12.8" hidden="false" customHeight="false" outlineLevel="0" collapsed="false">
      <c r="B751" s="0" t="s">
        <v>7</v>
      </c>
    </row>
    <row r="752" customFormat="false" ht="12.8" hidden="false" customHeight="false" outlineLevel="0" collapsed="false">
      <c r="B752" s="0" t="s">
        <v>491</v>
      </c>
    </row>
    <row r="754" customFormat="false" ht="12.8" hidden="false" customHeight="false" outlineLevel="0" collapsed="false">
      <c r="A754" s="0" t="s">
        <v>492</v>
      </c>
      <c r="B754" s="0" t="str">
        <f aca="false">HYPERLINK("https://lindat.mff.cuni.cz/services/teitok/pdtc10/index.php?action=vallex&amp;frame=v-w202f29_ZU", "brát (v-w202f29_ZU)")</f>
        <v>brát (v-w202f29_ZU)</v>
      </c>
    </row>
    <row r="755" customFormat="false" ht="12.8" hidden="false" customHeight="false" outlineLevel="0" collapsed="false">
      <c r="B755" s="0" t="s">
        <v>7</v>
      </c>
      <c r="C755" s="0" t="s">
        <v>460</v>
      </c>
    </row>
    <row r="756" customFormat="false" ht="12.8" hidden="false" customHeight="false" outlineLevel="0" collapsed="false">
      <c r="B756" s="0" t="s">
        <v>14</v>
      </c>
      <c r="C756" s="0" t="s">
        <v>493</v>
      </c>
    </row>
    <row r="758" customFormat="false" ht="12.8" hidden="false" customHeight="false" outlineLevel="0" collapsed="false">
      <c r="A758" s="0" t="s">
        <v>494</v>
      </c>
      <c r="B758" s="0" t="str">
        <f aca="false">HYPERLINK("https://lindat.mff.cuni.cz/services/teitok/pdtc10/index.php?action=vallex&amp;frame=v-w202f26", "brát (v-w202f26)")</f>
        <v>brát (v-w202f26)</v>
      </c>
    </row>
    <row r="759" customFormat="false" ht="12.8" hidden="false" customHeight="false" outlineLevel="0" collapsed="false">
      <c r="B759" s="0" t="s">
        <v>7</v>
      </c>
    </row>
    <row r="761" customFormat="false" ht="12.8" hidden="false" customHeight="false" outlineLevel="0" collapsed="false">
      <c r="A761" s="0" t="s">
        <v>495</v>
      </c>
      <c r="B761" s="0" t="str">
        <f aca="false">HYPERLINK("https://lindat.mff.cuni.cz/services/teitok/pdtc10/index.php?action=vallex&amp;frame=v-w202f28", "brát (v-w202f28)")</f>
        <v>brát (v-w202f28)</v>
      </c>
    </row>
    <row r="762" customFormat="false" ht="12.8" hidden="false" customHeight="false" outlineLevel="0" collapsed="false">
      <c r="B762" s="0" t="s">
        <v>457</v>
      </c>
    </row>
    <row r="763" customFormat="false" ht="12.8" hidden="false" customHeight="false" outlineLevel="0" collapsed="false">
      <c r="B763" s="0" t="s">
        <v>496</v>
      </c>
    </row>
    <row r="764" customFormat="false" ht="12.8" hidden="false" customHeight="false" outlineLevel="0" collapsed="false">
      <c r="B764" s="0" t="s">
        <v>48</v>
      </c>
    </row>
    <row r="766" customFormat="false" ht="12.8" hidden="false" customHeight="false" outlineLevel="0" collapsed="false">
      <c r="A766" s="0" t="s">
        <v>497</v>
      </c>
      <c r="B766" s="0" t="str">
        <f aca="false">HYPERLINK("https://lindat.mff.cuni.cz/services/teitok/pdtc10/index.php?action=vallex&amp;frame=v-w202f10", "brát (v-w202f10)")</f>
        <v>brát (v-w202f10)</v>
      </c>
    </row>
    <row r="767" customFormat="false" ht="12.8" hidden="false" customHeight="false" outlineLevel="0" collapsed="false">
      <c r="B767" s="0" t="s">
        <v>7</v>
      </c>
      <c r="C767" s="0" t="s">
        <v>498</v>
      </c>
    </row>
    <row r="768" customFormat="false" ht="12.8" hidden="false" customHeight="false" outlineLevel="0" collapsed="false">
      <c r="B768" s="0" t="s">
        <v>499</v>
      </c>
      <c r="C768" s="0" t="s">
        <v>500</v>
      </c>
    </row>
    <row r="770" customFormat="false" ht="12.8" hidden="false" customHeight="false" outlineLevel="0" collapsed="false">
      <c r="A770" s="0" t="s">
        <v>501</v>
      </c>
      <c r="B770" s="0" t="str">
        <f aca="false">HYPERLINK("https://lindat.mff.cuni.cz/services/teitok/pdtc10/index.php?action=vallex&amp;frame=v-w202f20", "brát (v-w202f20)")</f>
        <v>brát (v-w202f20)</v>
      </c>
    </row>
    <row r="771" customFormat="false" ht="12.8" hidden="false" customHeight="false" outlineLevel="0" collapsed="false">
      <c r="B771" s="0" t="s">
        <v>7</v>
      </c>
    </row>
    <row r="772" customFormat="false" ht="12.8" hidden="false" customHeight="false" outlineLevel="0" collapsed="false">
      <c r="B772" s="0" t="s">
        <v>502</v>
      </c>
    </row>
    <row r="774" customFormat="false" ht="12.8" hidden="false" customHeight="false" outlineLevel="0" collapsed="false">
      <c r="A774" s="0" t="s">
        <v>503</v>
      </c>
      <c r="B774" s="0" t="str">
        <f aca="false">HYPERLINK("https://lindat.mff.cuni.cz/services/teitok/pdtc10/index.php?action=vallex&amp;frame=v-w202f14", "brát (v-w202f14)")</f>
        <v>brát (v-w202f14)</v>
      </c>
    </row>
    <row r="775" customFormat="false" ht="12.8" hidden="false" customHeight="false" outlineLevel="0" collapsed="false">
      <c r="B775" s="0" t="s">
        <v>7</v>
      </c>
      <c r="C775" s="0" t="s">
        <v>504</v>
      </c>
    </row>
    <row r="776" customFormat="false" ht="12.8" hidden="false" customHeight="false" outlineLevel="0" collapsed="false">
      <c r="B776" s="0" t="s">
        <v>505</v>
      </c>
    </row>
    <row r="777" customFormat="false" ht="12.8" hidden="false" customHeight="false" outlineLevel="0" collapsed="false">
      <c r="B777" s="0" t="s">
        <v>54</v>
      </c>
      <c r="C777" s="0" t="s">
        <v>151</v>
      </c>
    </row>
    <row r="779" customFormat="false" ht="12.8" hidden="false" customHeight="false" outlineLevel="0" collapsed="false">
      <c r="A779" s="0" t="s">
        <v>506</v>
      </c>
      <c r="B779" s="0" t="str">
        <f aca="false">HYPERLINK("https://lindat.mff.cuni.cz/services/teitok/pdtc10/index.php?action=vallex&amp;frame=v-w202f19", "brát (v-w202f19)")</f>
        <v>brát (v-w202f19)</v>
      </c>
    </row>
    <row r="780" customFormat="false" ht="12.8" hidden="false" customHeight="false" outlineLevel="0" collapsed="false">
      <c r="B780" s="0" t="s">
        <v>7</v>
      </c>
      <c r="C780" s="0" t="s">
        <v>88</v>
      </c>
      <c r="D780" s="0" t="s">
        <v>88</v>
      </c>
      <c r="E780" s="0" t="s">
        <v>88</v>
      </c>
      <c r="F780" s="0" t="s">
        <v>88</v>
      </c>
    </row>
    <row r="781" customFormat="false" ht="12.8" hidden="false" customHeight="false" outlineLevel="0" collapsed="false">
      <c r="B781" s="0" t="s">
        <v>507</v>
      </c>
      <c r="C781" s="0" t="s">
        <v>508</v>
      </c>
      <c r="D781" s="0" t="s">
        <v>508</v>
      </c>
      <c r="E781" s="0" t="s">
        <v>508</v>
      </c>
      <c r="F781" s="0" t="s">
        <v>508</v>
      </c>
    </row>
    <row r="782" customFormat="false" ht="12.8" hidden="false" customHeight="false" outlineLevel="0" collapsed="false">
      <c r="B782" s="0" t="s">
        <v>172</v>
      </c>
      <c r="C782" s="0" t="s">
        <v>461</v>
      </c>
      <c r="D782" s="0" t="s">
        <v>461</v>
      </c>
      <c r="E782" s="0" t="s">
        <v>461</v>
      </c>
      <c r="F782" s="0" t="s">
        <v>461</v>
      </c>
    </row>
    <row r="784" customFormat="false" ht="12.8" hidden="false" customHeight="false" outlineLevel="0" collapsed="false">
      <c r="A784" s="0" t="s">
        <v>509</v>
      </c>
      <c r="B784" s="0" t="str">
        <f aca="false">HYPERLINK("https://lindat.mff.cuni.cz/services/teitok/pdtc10/index.php?action=vallex&amp;frame=v-w202f12", "brát (v-w202f12)")</f>
        <v>brát (v-w202f12)</v>
      </c>
    </row>
    <row r="785" customFormat="false" ht="12.8" hidden="false" customHeight="false" outlineLevel="0" collapsed="false">
      <c r="B785" s="0" t="s">
        <v>7</v>
      </c>
    </row>
    <row r="786" customFormat="false" ht="12.8" hidden="false" customHeight="false" outlineLevel="0" collapsed="false">
      <c r="B786" s="0" t="s">
        <v>510</v>
      </c>
    </row>
    <row r="787" customFormat="false" ht="12.8" hidden="false" customHeight="false" outlineLevel="0" collapsed="false">
      <c r="B787" s="0" t="s">
        <v>172</v>
      </c>
    </row>
    <row r="789" customFormat="false" ht="12.8" hidden="false" customHeight="false" outlineLevel="0" collapsed="false">
      <c r="A789" s="0" t="s">
        <v>511</v>
      </c>
      <c r="B789" s="0" t="str">
        <f aca="false">HYPERLINK("https://lindat.mff.cuni.cz/services/teitok/pdtc10/index.php?action=vallex&amp;frame=v-w202f13", "brát (v-w202f13)")</f>
        <v>brát (v-w202f13)</v>
      </c>
    </row>
    <row r="790" customFormat="false" ht="12.8" hidden="false" customHeight="false" outlineLevel="0" collapsed="false">
      <c r="B790" s="0" t="s">
        <v>7</v>
      </c>
    </row>
    <row r="791" customFormat="false" ht="12.8" hidden="false" customHeight="false" outlineLevel="0" collapsed="false">
      <c r="B791" s="0" t="s">
        <v>512</v>
      </c>
    </row>
    <row r="792" customFormat="false" ht="12.8" hidden="false" customHeight="false" outlineLevel="0" collapsed="false">
      <c r="B792" s="0" t="s">
        <v>172</v>
      </c>
    </row>
    <row r="794" customFormat="false" ht="12.8" hidden="false" customHeight="false" outlineLevel="0" collapsed="false">
      <c r="A794" s="0" t="s">
        <v>513</v>
      </c>
      <c r="B794" s="0" t="str">
        <f aca="false">HYPERLINK("https://lindat.mff.cuni.cz/services/teitok/pdtc10/index.php?action=vallex&amp;frame=v-w202f2", "brát (v-w202f2)")</f>
        <v>brát (v-w202f2)</v>
      </c>
    </row>
    <row r="795" customFormat="false" ht="12.8" hidden="false" customHeight="false" outlineLevel="0" collapsed="false">
      <c r="B795" s="0" t="s">
        <v>7</v>
      </c>
      <c r="C795" s="0" t="s">
        <v>514</v>
      </c>
      <c r="D795" s="0" t="s">
        <v>515</v>
      </c>
      <c r="E795" s="0" t="s">
        <v>515</v>
      </c>
      <c r="F795" s="0" t="s">
        <v>515</v>
      </c>
    </row>
    <row r="796" customFormat="false" ht="12.8" hidden="false" customHeight="false" outlineLevel="0" collapsed="false">
      <c r="B796" s="0" t="s">
        <v>516</v>
      </c>
      <c r="C796" s="0" t="s">
        <v>517</v>
      </c>
    </row>
    <row r="797" customFormat="false" ht="12.8" hidden="false" customHeight="false" outlineLevel="0" collapsed="false">
      <c r="B797" s="0" t="s">
        <v>172</v>
      </c>
      <c r="C797" s="0" t="s">
        <v>518</v>
      </c>
      <c r="D797" s="0" t="s">
        <v>519</v>
      </c>
      <c r="E797" s="0" t="s">
        <v>519</v>
      </c>
      <c r="F797" s="0" t="s">
        <v>519</v>
      </c>
    </row>
    <row r="799" customFormat="false" ht="12.8" hidden="false" customHeight="false" outlineLevel="0" collapsed="false">
      <c r="A799" s="0" t="s">
        <v>520</v>
      </c>
      <c r="B799" s="0" t="str">
        <f aca="false">HYPERLINK("https://lindat.mff.cuni.cz/services/teitok/pdtc10/index.php?action=vallex&amp;frame=v-w202f24", "brát (v-w202f24)")</f>
        <v>brát (v-w202f24)</v>
      </c>
    </row>
    <row r="800" customFormat="false" ht="12.8" hidden="false" customHeight="false" outlineLevel="0" collapsed="false">
      <c r="B800" s="0" t="s">
        <v>7</v>
      </c>
    </row>
    <row r="801" customFormat="false" ht="12.8" hidden="false" customHeight="false" outlineLevel="0" collapsed="false">
      <c r="B801" s="0" t="s">
        <v>521</v>
      </c>
    </row>
    <row r="802" customFormat="false" ht="12.8" hidden="false" customHeight="false" outlineLevel="0" collapsed="false">
      <c r="B802" s="0" t="s">
        <v>216</v>
      </c>
    </row>
    <row r="804" customFormat="false" ht="12.8" hidden="false" customHeight="false" outlineLevel="0" collapsed="false">
      <c r="A804" s="0" t="s">
        <v>522</v>
      </c>
      <c r="B804" s="0" t="str">
        <f aca="false">HYPERLINK("https://lindat.mff.cuni.cz/services/teitok/pdtc10/index.php?action=vallex&amp;frame=v-w202f22", "brát (v-w202f22)")</f>
        <v>brát (v-w202f22)</v>
      </c>
    </row>
    <row r="805" customFormat="false" ht="12.8" hidden="false" customHeight="false" outlineLevel="0" collapsed="false">
      <c r="B805" s="0" t="s">
        <v>7</v>
      </c>
    </row>
    <row r="806" customFormat="false" ht="12.8" hidden="false" customHeight="false" outlineLevel="0" collapsed="false">
      <c r="B806" s="0" t="s">
        <v>523</v>
      </c>
    </row>
    <row r="807" customFormat="false" ht="12.8" hidden="false" customHeight="false" outlineLevel="0" collapsed="false">
      <c r="B807" s="0" t="s">
        <v>14</v>
      </c>
    </row>
    <row r="809" customFormat="false" ht="12.8" hidden="false" customHeight="false" outlineLevel="0" collapsed="false">
      <c r="A809" s="0" t="s">
        <v>524</v>
      </c>
      <c r="B809" s="0" t="str">
        <f aca="false">HYPERLINK("https://lindat.mff.cuni.cz/services/teitok/pdtc10/index.php?action=vallex&amp;frame=v-w202f34_ZU", "brát (v-w202f34_ZU)")</f>
        <v>brát (v-w202f34_ZU)</v>
      </c>
    </row>
    <row r="810" customFormat="false" ht="12.8" hidden="false" customHeight="false" outlineLevel="0" collapsed="false">
      <c r="B810" s="0" t="s">
        <v>7</v>
      </c>
    </row>
    <row r="811" customFormat="false" ht="12.8" hidden="false" customHeight="false" outlineLevel="0" collapsed="false">
      <c r="B811" s="0" t="s">
        <v>525</v>
      </c>
    </row>
    <row r="812" customFormat="false" ht="12.8" hidden="false" customHeight="false" outlineLevel="0" collapsed="false">
      <c r="B812" s="0" t="s">
        <v>259</v>
      </c>
    </row>
    <row r="814" customFormat="false" ht="12.8" hidden="false" customHeight="false" outlineLevel="0" collapsed="false">
      <c r="A814" s="0" t="s">
        <v>524</v>
      </c>
      <c r="B814" s="0" t="str">
        <f aca="false">HYPERLINK("https://lindat.mff.cuni.cz/services/teitok/pdtc10/index.php?action=vallex&amp;frame=v-w202f21", "brát (v-w202f21) - substituted with v-w202f34_ZU")</f>
        <v>brát (v-w202f21) - substituted with v-w202f34_ZU</v>
      </c>
    </row>
    <row r="815" customFormat="false" ht="12.8" hidden="false" customHeight="false" outlineLevel="0" collapsed="false">
      <c r="B815" s="0" t="s">
        <v>7</v>
      </c>
    </row>
    <row r="816" customFormat="false" ht="12.8" hidden="false" customHeight="false" outlineLevel="0" collapsed="false">
      <c r="B816" s="0" t="s">
        <v>525</v>
      </c>
    </row>
    <row r="817" customFormat="false" ht="12.8" hidden="false" customHeight="false" outlineLevel="0" collapsed="false">
      <c r="B817" s="0" t="s">
        <v>259</v>
      </c>
    </row>
    <row r="819" customFormat="false" ht="12.8" hidden="false" customHeight="false" outlineLevel="0" collapsed="false">
      <c r="A819" s="0" t="s">
        <v>526</v>
      </c>
      <c r="B819" s="0" t="str">
        <f aca="false">HYPERLINK("https://lindat.mff.cuni.cz/services/teitok/pdtc10/index.php?action=vallex&amp;frame=v-w202f17", "brát (v-w202f17)")</f>
        <v>brát (v-w202f17)</v>
      </c>
    </row>
    <row r="820" customFormat="false" ht="12.8" hidden="false" customHeight="false" outlineLevel="0" collapsed="false">
      <c r="B820" s="0" t="s">
        <v>7</v>
      </c>
    </row>
    <row r="821" customFormat="false" ht="12.8" hidden="false" customHeight="false" outlineLevel="0" collapsed="false">
      <c r="B821" s="0" t="s">
        <v>527</v>
      </c>
    </row>
    <row r="823" customFormat="false" ht="12.8" hidden="false" customHeight="false" outlineLevel="0" collapsed="false">
      <c r="A823" s="0" t="s">
        <v>528</v>
      </c>
      <c r="B823" s="0" t="str">
        <f aca="false">HYPERLINK("https://lindat.mff.cuni.cz/services/teitok/pdtc10/index.php?action=vallex&amp;frame=v-w202f16", "brát (v-w202f16)")</f>
        <v>brát (v-w202f16)</v>
      </c>
    </row>
    <row r="824" customFormat="false" ht="12.8" hidden="false" customHeight="false" outlineLevel="0" collapsed="false">
      <c r="B824" s="0" t="s">
        <v>7</v>
      </c>
    </row>
    <row r="825" customFormat="false" ht="12.8" hidden="false" customHeight="false" outlineLevel="0" collapsed="false">
      <c r="B825" s="0" t="s">
        <v>529</v>
      </c>
    </row>
    <row r="827" customFormat="false" ht="12.8" hidden="false" customHeight="false" outlineLevel="0" collapsed="false">
      <c r="A827" s="0" t="s">
        <v>530</v>
      </c>
      <c r="B827" s="0" t="str">
        <f aca="false">HYPERLINK("https://lindat.mff.cuni.cz/services/teitok/pdtc10/index.php?action=vallex&amp;frame=v-w202f30_ZU", "brát (v-w202f30_ZU)")</f>
        <v>brát (v-w202f30_ZU)</v>
      </c>
    </row>
    <row r="828" customFormat="false" ht="12.8" hidden="false" customHeight="false" outlineLevel="0" collapsed="false">
      <c r="B828" s="0" t="s">
        <v>7</v>
      </c>
      <c r="C828" s="0" t="s">
        <v>191</v>
      </c>
    </row>
    <row r="829" customFormat="false" ht="12.8" hidden="false" customHeight="false" outlineLevel="0" collapsed="false">
      <c r="B829" s="0" t="s">
        <v>531</v>
      </c>
      <c r="C829" s="0" t="s">
        <v>532</v>
      </c>
    </row>
    <row r="830" customFormat="false" ht="12.8" hidden="false" customHeight="false" outlineLevel="0" collapsed="false">
      <c r="B830" s="0" t="s">
        <v>142</v>
      </c>
    </row>
    <row r="832" customFormat="false" ht="12.8" hidden="false" customHeight="false" outlineLevel="0" collapsed="false">
      <c r="A832" s="0" t="s">
        <v>530</v>
      </c>
      <c r="B832" s="0" t="str">
        <f aca="false">HYPERLINK("https://lindat.mff.cuni.cz/services/teitok/pdtc10/index.php?action=vallex&amp;frame=v-w202hsa_1078", "brát (v-w202hsa_1078) - substituted with v-w202f30_ZU")</f>
        <v>brát (v-w202hsa_1078) - substituted with v-w202f30_ZU</v>
      </c>
    </row>
    <row r="833" customFormat="false" ht="12.8" hidden="false" customHeight="false" outlineLevel="0" collapsed="false">
      <c r="B833" s="0" t="s">
        <v>7</v>
      </c>
    </row>
    <row r="834" customFormat="false" ht="12.8" hidden="false" customHeight="false" outlineLevel="0" collapsed="false">
      <c r="B834" s="0" t="s">
        <v>531</v>
      </c>
    </row>
    <row r="835" customFormat="false" ht="12.8" hidden="false" customHeight="false" outlineLevel="0" collapsed="false">
      <c r="B835" s="0" t="s">
        <v>142</v>
      </c>
    </row>
    <row r="837" customFormat="false" ht="12.8" hidden="false" customHeight="false" outlineLevel="0" collapsed="false">
      <c r="A837" s="0" t="s">
        <v>533</v>
      </c>
      <c r="B837" s="0" t="str">
        <f aca="false">HYPERLINK("https://lindat.mff.cuni.cz/services/teitok/pdtc10/index.php?action=vallex&amp;frame=v-w202f33_ZU", "brát (v-w202f33_ZU)")</f>
        <v>brát (v-w202f33_ZU)</v>
      </c>
    </row>
    <row r="838" customFormat="false" ht="12.8" hidden="false" customHeight="false" outlineLevel="0" collapsed="false">
      <c r="B838" s="0" t="s">
        <v>7</v>
      </c>
    </row>
    <row r="839" customFormat="false" ht="12.8" hidden="false" customHeight="false" outlineLevel="0" collapsed="false">
      <c r="B839" s="0" t="s">
        <v>279</v>
      </c>
    </row>
    <row r="841" customFormat="false" ht="12.8" hidden="false" customHeight="false" outlineLevel="0" collapsed="false">
      <c r="A841" s="0" t="s">
        <v>534</v>
      </c>
      <c r="B841" s="0" t="str">
        <f aca="false">HYPERLINK("https://lindat.mff.cuni.cz/services/teitok/pdtc10/index.php?action=vallex&amp;frame=v-w202f36_ZU", "brát (v-w202f36_ZU)")</f>
        <v>brát (v-w202f36_ZU)</v>
      </c>
    </row>
    <row r="842" customFormat="false" ht="12.8" hidden="false" customHeight="false" outlineLevel="0" collapsed="false">
      <c r="B842" s="0" t="s">
        <v>7</v>
      </c>
    </row>
    <row r="843" customFormat="false" ht="12.8" hidden="false" customHeight="false" outlineLevel="0" collapsed="false">
      <c r="B843" s="0" t="s">
        <v>14</v>
      </c>
    </row>
    <row r="845" customFormat="false" ht="12.8" hidden="false" customHeight="false" outlineLevel="0" collapsed="false">
      <c r="A845" s="0" t="s">
        <v>535</v>
      </c>
      <c r="B845" s="0" t="str">
        <f aca="false">HYPERLINK("https://lindat.mff.cuni.cz/services/teitok/pdtc10/index.php?action=vallex&amp;frame=v-w202f37_ZU", "brát (v-w202f37_ZU)")</f>
        <v>brát (v-w202f37_ZU)</v>
      </c>
    </row>
    <row r="846" customFormat="false" ht="12.8" hidden="false" customHeight="false" outlineLevel="0" collapsed="false">
      <c r="B846" s="0" t="s">
        <v>7</v>
      </c>
    </row>
    <row r="847" customFormat="false" ht="12.8" hidden="false" customHeight="false" outlineLevel="0" collapsed="false">
      <c r="B847" s="0" t="s">
        <v>14</v>
      </c>
    </row>
    <row r="849" customFormat="false" ht="12.8" hidden="false" customHeight="false" outlineLevel="0" collapsed="false">
      <c r="A849" s="0" t="s">
        <v>536</v>
      </c>
      <c r="B849" s="0" t="str">
        <f aca="false">HYPERLINK("https://lindat.mff.cuni.cz/services/teitok/pdtc10/index.php?action=vallex&amp;frame=v-w202f38_ZU", "brát (v-w202f38_ZU)")</f>
        <v>brát (v-w202f38_ZU)</v>
      </c>
    </row>
    <row r="850" customFormat="false" ht="12.8" hidden="false" customHeight="false" outlineLevel="0" collapsed="false">
      <c r="B850" s="0" t="s">
        <v>7</v>
      </c>
    </row>
    <row r="851" customFormat="false" ht="12.8" hidden="false" customHeight="false" outlineLevel="0" collapsed="false">
      <c r="B851" s="0" t="s">
        <v>14</v>
      </c>
    </row>
    <row r="853" customFormat="false" ht="12.8" hidden="false" customHeight="false" outlineLevel="0" collapsed="false">
      <c r="A853" s="0" t="s">
        <v>536</v>
      </c>
      <c r="B853" s="0" t="str">
        <f aca="false">HYPERLINK("https://lindat.mff.cuni.cz/services/teitok/pdtc10/index.php?action=vallex&amp;frame=v-w202f32_ZU", "brát (v-w202f32_ZU) - substituted with v-w202f38_ZU")</f>
        <v>brát (v-w202f32_ZU) - substituted with v-w202f38_ZU</v>
      </c>
    </row>
    <row r="854" customFormat="false" ht="12.8" hidden="false" customHeight="false" outlineLevel="0" collapsed="false">
      <c r="B854" s="0" t="s">
        <v>7</v>
      </c>
    </row>
    <row r="855" customFormat="false" ht="12.8" hidden="false" customHeight="false" outlineLevel="0" collapsed="false">
      <c r="B855" s="0" t="s">
        <v>14</v>
      </c>
    </row>
    <row r="857" customFormat="false" ht="12.8" hidden="false" customHeight="false" outlineLevel="0" collapsed="false">
      <c r="A857" s="0" t="s">
        <v>537</v>
      </c>
      <c r="B857" s="0" t="str">
        <f aca="false">HYPERLINK("https://lindat.mff.cuni.cz/services/teitok/pdtc10/index.php?action=vallex&amp;frame=v-w202f44_ZU", "brát (v-w202f44_ZU)")</f>
        <v>brát (v-w202f44_ZU)</v>
      </c>
    </row>
    <row r="858" customFormat="false" ht="12.8" hidden="false" customHeight="false" outlineLevel="0" collapsed="false">
      <c r="B858" s="0" t="s">
        <v>7</v>
      </c>
    </row>
    <row r="859" customFormat="false" ht="12.8" hidden="false" customHeight="false" outlineLevel="0" collapsed="false">
      <c r="B859" s="0" t="s">
        <v>538</v>
      </c>
    </row>
    <row r="861" customFormat="false" ht="12.8" hidden="false" customHeight="false" outlineLevel="0" collapsed="false">
      <c r="A861" s="0" t="s">
        <v>539</v>
      </c>
      <c r="B861" s="0" t="str">
        <f aca="false">HYPERLINK("https://lindat.mff.cuni.cz/services/teitok/pdtc10/index.php?action=vallex&amp;frame=v-w202f45_MM", "brát (v-w202f45_MM)")</f>
        <v>brát (v-w202f45_MM)</v>
      </c>
    </row>
    <row r="862" customFormat="false" ht="12.8" hidden="false" customHeight="false" outlineLevel="0" collapsed="false">
      <c r="B862" s="0" t="s">
        <v>7</v>
      </c>
    </row>
    <row r="863" customFormat="false" ht="12.8" hidden="false" customHeight="false" outlineLevel="0" collapsed="false">
      <c r="B863" s="0" t="s">
        <v>232</v>
      </c>
    </row>
    <row r="865" customFormat="false" ht="12.8" hidden="false" customHeight="false" outlineLevel="0" collapsed="false">
      <c r="A865" s="0" t="s">
        <v>539</v>
      </c>
      <c r="B865" s="0" t="str">
        <f aca="false">HYPERLINK("https://lindat.mff.cuni.cz/services/teitok/pdtc10/index.php?action=vallex&amp;frame=v-w202f40_ZU", "brát (v-w202f40_ZU) - substituted with v-w202f45_MM")</f>
        <v>brát (v-w202f40_ZU) - substituted with v-w202f45_MM</v>
      </c>
    </row>
    <row r="866" customFormat="false" ht="12.8" hidden="false" customHeight="false" outlineLevel="0" collapsed="false">
      <c r="B866" s="0" t="s">
        <v>7</v>
      </c>
    </row>
    <row r="867" customFormat="false" ht="12.8" hidden="false" customHeight="false" outlineLevel="0" collapsed="false">
      <c r="B867" s="0" t="s">
        <v>232</v>
      </c>
    </row>
    <row r="869" customFormat="false" ht="12.8" hidden="false" customHeight="false" outlineLevel="0" collapsed="false">
      <c r="A869" s="0" t="s">
        <v>539</v>
      </c>
      <c r="B869" s="0" t="str">
        <f aca="false">HYPERLINK("https://lindat.mff.cuni.cz/services/teitok/pdtc10/index.php?action=vallex&amp;frame=v-w202hsa_1926", "brát (v-w202hsa_1926) - substituted with v-w202f45_MM")</f>
        <v>brát (v-w202hsa_1926) - substituted with v-w202f45_MM</v>
      </c>
    </row>
    <row r="870" customFormat="false" ht="12.8" hidden="false" customHeight="false" outlineLevel="0" collapsed="false">
      <c r="B870" s="0" t="s">
        <v>7</v>
      </c>
    </row>
    <row r="871" customFormat="false" ht="12.8" hidden="false" customHeight="false" outlineLevel="0" collapsed="false">
      <c r="B871" s="0" t="s">
        <v>232</v>
      </c>
    </row>
    <row r="873" customFormat="false" ht="12.8" hidden="false" customHeight="false" outlineLevel="0" collapsed="false">
      <c r="A873" s="0" t="s">
        <v>540</v>
      </c>
      <c r="B873" s="0" t="str">
        <f aca="false">HYPERLINK("https://lindat.mff.cuni.cz/services/teitok/pdtc10/index.php?action=vallex&amp;frame=v-w202hsa_1927", "brát (v-w202hsa_1927)")</f>
        <v>brát (v-w202hsa_1927)</v>
      </c>
    </row>
    <row r="874" customFormat="false" ht="12.8" hidden="false" customHeight="false" outlineLevel="0" collapsed="false">
      <c r="B874" s="0" t="s">
        <v>7</v>
      </c>
    </row>
    <row r="875" customFormat="false" ht="12.8" hidden="false" customHeight="false" outlineLevel="0" collapsed="false">
      <c r="B875" s="0" t="s">
        <v>14</v>
      </c>
    </row>
    <row r="876" customFormat="false" ht="12.8" hidden="false" customHeight="false" outlineLevel="0" collapsed="false">
      <c r="B876" s="0" t="s">
        <v>459</v>
      </c>
    </row>
    <row r="878" customFormat="false" ht="12.8" hidden="false" customHeight="false" outlineLevel="0" collapsed="false">
      <c r="A878" s="0" t="s">
        <v>541</v>
      </c>
      <c r="B878" s="0" t="str">
        <f aca="false">HYPERLINK("https://lindat.mff.cuni.cz/services/teitok/pdtc10/index.php?action=vallex&amp;frame=v-w203f2", "brát se (v-w203f2)")</f>
        <v>brát se (v-w203f2)</v>
      </c>
    </row>
    <row r="879" customFormat="false" ht="12.8" hidden="false" customHeight="false" outlineLevel="0" collapsed="false">
      <c r="B879" s="0" t="s">
        <v>7</v>
      </c>
    </row>
    <row r="880" customFormat="false" ht="12.8" hidden="false" customHeight="false" outlineLevel="0" collapsed="false">
      <c r="B880" s="0" t="s">
        <v>387</v>
      </c>
    </row>
    <row r="881" customFormat="false" ht="12.8" hidden="false" customHeight="false" outlineLevel="0" collapsed="false">
      <c r="B881" s="0" t="s">
        <v>11</v>
      </c>
    </row>
    <row r="883" customFormat="false" ht="12.8" hidden="false" customHeight="false" outlineLevel="0" collapsed="false">
      <c r="A883" s="0" t="s">
        <v>542</v>
      </c>
      <c r="B883" s="0" t="str">
        <f aca="false">HYPERLINK("https://lindat.mff.cuni.cz/services/teitok/pdtc10/index.php?action=vallex&amp;frame=v-w203f1", "brát se (v-w203f1)")</f>
        <v>brát se (v-w203f1)</v>
      </c>
    </row>
    <row r="884" customFormat="false" ht="12.8" hidden="false" customHeight="false" outlineLevel="0" collapsed="false">
      <c r="B884" s="0" t="s">
        <v>7</v>
      </c>
      <c r="F884" s="0" t="s">
        <v>543</v>
      </c>
    </row>
    <row r="885" customFormat="false" ht="12.8" hidden="false" customHeight="false" outlineLevel="0" collapsed="false">
      <c r="B885" s="0" t="s">
        <v>544</v>
      </c>
      <c r="F885" s="0" t="s">
        <v>545</v>
      </c>
    </row>
    <row r="887" customFormat="false" ht="12.8" hidden="false" customHeight="false" outlineLevel="0" collapsed="false">
      <c r="A887" s="0" t="s">
        <v>546</v>
      </c>
      <c r="B887" s="0" t="str">
        <f aca="false">HYPERLINK("https://lindat.mff.cuni.cz/services/teitok/pdtc10/index.php?action=vallex&amp;frame=v-w203f3", "brát se (v-w203f3)")</f>
        <v>brát se (v-w203f3)</v>
      </c>
    </row>
    <row r="888" customFormat="false" ht="12.8" hidden="false" customHeight="false" outlineLevel="0" collapsed="false">
      <c r="B888" s="0" t="s">
        <v>7</v>
      </c>
    </row>
    <row r="889" customFormat="false" ht="12.8" hidden="false" customHeight="false" outlineLevel="0" collapsed="false">
      <c r="B889" s="0" t="s">
        <v>11</v>
      </c>
    </row>
    <row r="891" customFormat="false" ht="12.8" hidden="false" customHeight="false" outlineLevel="0" collapsed="false">
      <c r="A891" s="0" t="s">
        <v>547</v>
      </c>
      <c r="B891" s="0" t="str">
        <f aca="false">HYPERLINK("https://lindat.mff.cuni.cz/services/teitok/pdtc10/index.php?action=vallex&amp;frame=v-w203hsa_1930", "brát se (v-w203hsa_1930)")</f>
        <v>brát se (v-w203hsa_1930)</v>
      </c>
    </row>
    <row r="892" customFormat="false" ht="12.8" hidden="false" customHeight="false" outlineLevel="0" collapsed="false">
      <c r="B892" s="0" t="s">
        <v>7</v>
      </c>
    </row>
    <row r="893" customFormat="false" ht="12.8" hidden="false" customHeight="false" outlineLevel="0" collapsed="false">
      <c r="B893" s="0" t="s">
        <v>548</v>
      </c>
    </row>
    <row r="895" customFormat="false" ht="12.8" hidden="false" customHeight="false" outlineLevel="0" collapsed="false">
      <c r="A895" s="0" t="s">
        <v>549</v>
      </c>
      <c r="B895" s="0" t="str">
        <f aca="false">HYPERLINK("https://lindat.mff.cuni.cz/services/teitok/pdtc10/index.php?action=vallex&amp;frame=v-w204f1", "brát si (v-w204f1)")</f>
        <v>brát si (v-w204f1)</v>
      </c>
    </row>
    <row r="896" customFormat="false" ht="12.8" hidden="false" customHeight="false" outlineLevel="0" collapsed="false">
      <c r="B896" s="0" t="s">
        <v>7</v>
      </c>
    </row>
    <row r="897" customFormat="false" ht="12.8" hidden="false" customHeight="false" outlineLevel="0" collapsed="false">
      <c r="B897" s="0" t="s">
        <v>14</v>
      </c>
    </row>
    <row r="898" customFormat="false" ht="12.8" hidden="false" customHeight="false" outlineLevel="0" collapsed="false">
      <c r="B898" s="0" t="s">
        <v>550</v>
      </c>
    </row>
    <row r="900" customFormat="false" ht="12.8" hidden="false" customHeight="false" outlineLevel="0" collapsed="false">
      <c r="A900" s="0" t="s">
        <v>551</v>
      </c>
      <c r="B900" s="0" t="str">
        <f aca="false">HYPERLINK("https://lindat.mff.cuni.cz/services/teitok/pdtc10/index.php?action=vallex&amp;frame=v-w204f2", "brát si (v-w204f2)")</f>
        <v>brát si (v-w204f2)</v>
      </c>
    </row>
    <row r="901" customFormat="false" ht="12.8" hidden="false" customHeight="false" outlineLevel="0" collapsed="false">
      <c r="B901" s="0" t="s">
        <v>7</v>
      </c>
      <c r="C901" s="0" t="s">
        <v>88</v>
      </c>
      <c r="D901" s="0" t="s">
        <v>88</v>
      </c>
      <c r="E901" s="0" t="s">
        <v>88</v>
      </c>
      <c r="F901" s="0" t="s">
        <v>88</v>
      </c>
    </row>
    <row r="902" customFormat="false" ht="12.8" hidden="false" customHeight="false" outlineLevel="0" collapsed="false">
      <c r="B902" s="0" t="s">
        <v>14</v>
      </c>
      <c r="C902" s="0" t="s">
        <v>461</v>
      </c>
      <c r="D902" s="0" t="s">
        <v>461</v>
      </c>
      <c r="E902" s="0" t="s">
        <v>461</v>
      </c>
      <c r="F902" s="0" t="s">
        <v>461</v>
      </c>
    </row>
    <row r="903" customFormat="false" ht="12.8" hidden="false" customHeight="false" outlineLevel="0" collapsed="false">
      <c r="B903" s="0" t="s">
        <v>552</v>
      </c>
      <c r="D903" s="0" t="s">
        <v>553</v>
      </c>
      <c r="E903" s="0" t="s">
        <v>553</v>
      </c>
      <c r="F903" s="0" t="s">
        <v>553</v>
      </c>
    </row>
    <row r="904" customFormat="false" ht="12.8" hidden="false" customHeight="false" outlineLevel="0" collapsed="false">
      <c r="B904" s="0" t="s">
        <v>474</v>
      </c>
      <c r="C904" s="0" t="s">
        <v>476</v>
      </c>
      <c r="D904" s="0" t="s">
        <v>476</v>
      </c>
      <c r="E904" s="0" t="s">
        <v>476</v>
      </c>
      <c r="F904" s="0" t="s">
        <v>476</v>
      </c>
    </row>
    <row r="905" customFormat="false" ht="12.8" hidden="false" customHeight="false" outlineLevel="0" collapsed="false">
      <c r="B905" s="0" t="s">
        <v>477</v>
      </c>
      <c r="D905" s="0" t="s">
        <v>478</v>
      </c>
      <c r="E905" s="0" t="s">
        <v>478</v>
      </c>
      <c r="F905" s="0" t="s">
        <v>478</v>
      </c>
    </row>
    <row r="906" customFormat="false" ht="12.8" hidden="false" customHeight="false" outlineLevel="0" collapsed="false">
      <c r="B906" s="0" t="s">
        <v>479</v>
      </c>
      <c r="D906" s="0" t="s">
        <v>480</v>
      </c>
      <c r="E906" s="0" t="s">
        <v>480</v>
      </c>
      <c r="F906" s="0" t="s">
        <v>480</v>
      </c>
    </row>
    <row r="907" customFormat="false" ht="12.8" hidden="false" customHeight="false" outlineLevel="0" collapsed="false">
      <c r="B907" s="0" t="s">
        <v>481</v>
      </c>
      <c r="D907" s="0" t="s">
        <v>482</v>
      </c>
      <c r="E907" s="0" t="s">
        <v>482</v>
      </c>
      <c r="F907" s="0" t="s">
        <v>482</v>
      </c>
    </row>
    <row r="908" customFormat="false" ht="12.8" hidden="false" customHeight="false" outlineLevel="0" collapsed="false">
      <c r="B908" s="0" t="s">
        <v>483</v>
      </c>
      <c r="D908" s="0" t="s">
        <v>484</v>
      </c>
      <c r="E908" s="0" t="s">
        <v>484</v>
      </c>
      <c r="F908" s="0" t="s">
        <v>484</v>
      </c>
    </row>
    <row r="910" customFormat="false" ht="12.8" hidden="false" customHeight="false" outlineLevel="0" collapsed="false">
      <c r="A910" s="0" t="s">
        <v>554</v>
      </c>
      <c r="B910" s="0" t="str">
        <f aca="false">HYPERLINK("https://lindat.mff.cuni.cz/services/teitok/pdtc10/index.php?action=vallex&amp;frame=v-w204f3", "brát si (v-w204f3)")</f>
        <v>brát si (v-w204f3)</v>
      </c>
    </row>
    <row r="911" customFormat="false" ht="12.8" hidden="false" customHeight="false" outlineLevel="0" collapsed="false">
      <c r="B911" s="0" t="s">
        <v>7</v>
      </c>
    </row>
    <row r="912" customFormat="false" ht="12.8" hidden="false" customHeight="false" outlineLevel="0" collapsed="false">
      <c r="B912" s="0" t="s">
        <v>555</v>
      </c>
    </row>
    <row r="913" customFormat="false" ht="12.8" hidden="false" customHeight="false" outlineLevel="0" collapsed="false">
      <c r="B913" s="0" t="s">
        <v>14</v>
      </c>
    </row>
    <row r="915" customFormat="false" ht="12.8" hidden="false" customHeight="false" outlineLevel="0" collapsed="false">
      <c r="A915" s="0" t="s">
        <v>556</v>
      </c>
      <c r="B915" s="0" t="str">
        <f aca="false">HYPERLINK("https://lindat.mff.cuni.cz/services/teitok/pdtc10/index.php?action=vallex&amp;frame=v-w204f6_ZU", "brát si (v-w204f6_ZU)")</f>
        <v>brát si (v-w204f6_ZU)</v>
      </c>
    </row>
    <row r="916" customFormat="false" ht="12.8" hidden="false" customHeight="false" outlineLevel="0" collapsed="false">
      <c r="B916" s="0" t="s">
        <v>7</v>
      </c>
      <c r="C916" s="0" t="s">
        <v>191</v>
      </c>
    </row>
    <row r="917" customFormat="false" ht="12.8" hidden="false" customHeight="false" outlineLevel="0" collapsed="false">
      <c r="B917" s="0" t="s">
        <v>523</v>
      </c>
    </row>
    <row r="918" customFormat="false" ht="12.8" hidden="false" customHeight="false" outlineLevel="0" collapsed="false">
      <c r="B918" s="0" t="s">
        <v>232</v>
      </c>
      <c r="C918" s="0" t="s">
        <v>115</v>
      </c>
    </row>
    <row r="920" customFormat="false" ht="12.8" hidden="false" customHeight="false" outlineLevel="0" collapsed="false">
      <c r="A920" s="0" t="s">
        <v>556</v>
      </c>
      <c r="B920" s="0" t="str">
        <f aca="false">HYPERLINK("https://lindat.mff.cuni.cz/services/teitok/pdtc10/index.php?action=vallex&amp;frame=v-w204f5_ZU", "brát si (v-w204f5_ZU) - substituted with v-w204f6_ZU")</f>
        <v>brát si (v-w204f5_ZU) - substituted with v-w204f6_ZU</v>
      </c>
    </row>
    <row r="921" customFormat="false" ht="12.8" hidden="false" customHeight="false" outlineLevel="0" collapsed="false">
      <c r="B921" s="0" t="s">
        <v>7</v>
      </c>
    </row>
    <row r="922" customFormat="false" ht="12.8" hidden="false" customHeight="false" outlineLevel="0" collapsed="false">
      <c r="B922" s="0" t="s">
        <v>523</v>
      </c>
    </row>
    <row r="923" customFormat="false" ht="12.8" hidden="false" customHeight="false" outlineLevel="0" collapsed="false">
      <c r="B923" s="0" t="s">
        <v>232</v>
      </c>
    </row>
    <row r="925" customFormat="false" ht="12.8" hidden="false" customHeight="false" outlineLevel="0" collapsed="false">
      <c r="A925" s="0" t="s">
        <v>557</v>
      </c>
      <c r="B925" s="0" t="str">
        <f aca="false">HYPERLINK("https://lindat.mff.cuni.cz/services/teitok/pdtc10/index.php?action=vallex&amp;frame=v-w204f4_ZU", "brát si (v-w204f4_ZU)")</f>
        <v>brát si (v-w204f4_ZU)</v>
      </c>
    </row>
    <row r="926" customFormat="false" ht="12.8" hidden="false" customHeight="false" outlineLevel="0" collapsed="false">
      <c r="B926" s="0" t="s">
        <v>7</v>
      </c>
      <c r="D926" s="0" t="s">
        <v>558</v>
      </c>
      <c r="E926" s="0" t="s">
        <v>558</v>
      </c>
      <c r="F926" s="0" t="s">
        <v>558</v>
      </c>
    </row>
    <row r="927" customFormat="false" ht="12.8" hidden="false" customHeight="false" outlineLevel="0" collapsed="false">
      <c r="B927" s="0" t="s">
        <v>559</v>
      </c>
    </row>
    <row r="929" customFormat="false" ht="12.8" hidden="false" customHeight="false" outlineLevel="0" collapsed="false">
      <c r="A929" s="0" t="s">
        <v>560</v>
      </c>
      <c r="B929" s="0" t="str">
        <f aca="false">HYPERLINK("https://lindat.mff.cuni.cz/services/teitok/pdtc10/index.php?action=vallex&amp;frame=v-w204hsa_1475", "brát si (v-w204hsa_1475)")</f>
        <v>brát si (v-w204hsa_1475)</v>
      </c>
    </row>
    <row r="930" customFormat="false" ht="12.8" hidden="false" customHeight="false" outlineLevel="0" collapsed="false">
      <c r="B930" s="0" t="s">
        <v>7</v>
      </c>
    </row>
    <row r="931" customFormat="false" ht="12.8" hidden="false" customHeight="false" outlineLevel="0" collapsed="false">
      <c r="B931" s="0" t="s">
        <v>14</v>
      </c>
    </row>
    <row r="932" customFormat="false" ht="12.8" hidden="false" customHeight="false" outlineLevel="0" collapsed="false">
      <c r="B932" s="0" t="s">
        <v>441</v>
      </c>
    </row>
    <row r="934" customFormat="false" ht="12.8" hidden="false" customHeight="false" outlineLevel="0" collapsed="false">
      <c r="A934" s="0" t="s">
        <v>561</v>
      </c>
      <c r="B934" s="0" t="str">
        <f aca="false">HYPERLINK("https://lindat.mff.cuni.cz/services/teitok/pdtc10/index.php?action=vallex&amp;frame=v-w204hsa_1476", "brát si (v-w204hsa_1476)")</f>
        <v>brát si (v-w204hsa_1476)</v>
      </c>
    </row>
    <row r="935" customFormat="false" ht="12.8" hidden="false" customHeight="false" outlineLevel="0" collapsed="false">
      <c r="B935" s="0" t="s">
        <v>7</v>
      </c>
    </row>
    <row r="936" customFormat="false" ht="12.8" hidden="false" customHeight="false" outlineLevel="0" collapsed="false">
      <c r="B936" s="0" t="s">
        <v>14</v>
      </c>
    </row>
    <row r="938" customFormat="false" ht="12.8" hidden="false" customHeight="false" outlineLevel="0" collapsed="false">
      <c r="A938" s="0" t="s">
        <v>562</v>
      </c>
      <c r="B938" s="0" t="str">
        <f aca="false">HYPERLINK("https://lindat.mff.cuni.cz/services/teitok/pdtc10/index.php?action=vallex&amp;frame=v-whsa_1346hsa_1347", "brávat (v-whsa_1346hsa_1347)")</f>
        <v>brávat (v-whsa_1346hsa_1347)</v>
      </c>
    </row>
    <row r="939" customFormat="false" ht="12.8" hidden="false" customHeight="false" outlineLevel="0" collapsed="false">
      <c r="B939" s="0" t="s">
        <v>7</v>
      </c>
    </row>
    <row r="940" customFormat="false" ht="12.8" hidden="false" customHeight="false" outlineLevel="0" collapsed="false">
      <c r="B940" s="0" t="s">
        <v>14</v>
      </c>
    </row>
    <row r="942" customFormat="false" ht="12.8" hidden="false" customHeight="false" outlineLevel="0" collapsed="false">
      <c r="A942" s="0" t="s">
        <v>563</v>
      </c>
      <c r="B942" s="0" t="str">
        <f aca="false">HYPERLINK("https://lindat.mff.cuni.cz/services/teitok/pdtc10/index.php?action=vallex&amp;frame=v-w205f1", "brázdit (v-w205f1)")</f>
        <v>brázdit (v-w205f1)</v>
      </c>
    </row>
    <row r="943" customFormat="false" ht="12.8" hidden="false" customHeight="false" outlineLevel="0" collapsed="false">
      <c r="B943" s="0" t="s">
        <v>7</v>
      </c>
    </row>
    <row r="944" customFormat="false" ht="12.8" hidden="false" customHeight="false" outlineLevel="0" collapsed="false">
      <c r="B944" s="0" t="s">
        <v>14</v>
      </c>
    </row>
    <row r="946" customFormat="false" ht="12.8" hidden="false" customHeight="false" outlineLevel="0" collapsed="false">
      <c r="A946" s="0" t="s">
        <v>564</v>
      </c>
      <c r="B946" s="0" t="str">
        <f aca="false">HYPERLINK("https://lindat.mff.cuni.cz/services/teitok/pdtc10/index.php?action=vallex&amp;frame=v-w205f2", "brázdit (v-w205f2)")</f>
        <v>brázdit (v-w205f2)</v>
      </c>
    </row>
    <row r="947" customFormat="false" ht="12.8" hidden="false" customHeight="false" outlineLevel="0" collapsed="false">
      <c r="B947" s="0" t="s">
        <v>7</v>
      </c>
    </row>
    <row r="948" customFormat="false" ht="12.8" hidden="false" customHeight="false" outlineLevel="0" collapsed="false">
      <c r="B948" s="0" t="s">
        <v>14</v>
      </c>
    </row>
    <row r="950" customFormat="false" ht="12.8" hidden="false" customHeight="false" outlineLevel="0" collapsed="false">
      <c r="A950" s="0" t="s">
        <v>565</v>
      </c>
      <c r="B950" s="0" t="str">
        <f aca="false">HYPERLINK("https://lindat.mff.cuni.cz/services/teitok/pdtc10/index.php?action=vallex&amp;frame=v-w222f1", "bubnovat (v-w222f1)")</f>
        <v>bubnovat (v-w222f1)</v>
      </c>
    </row>
    <row r="951" customFormat="false" ht="12.8" hidden="false" customHeight="false" outlineLevel="0" collapsed="false">
      <c r="B951" s="0" t="s">
        <v>7</v>
      </c>
    </row>
    <row r="953" customFormat="false" ht="12.8" hidden="false" customHeight="false" outlineLevel="0" collapsed="false">
      <c r="A953" s="0" t="s">
        <v>566</v>
      </c>
      <c r="B953" s="0" t="str">
        <f aca="false">HYPERLINK("https://lindat.mff.cuni.cz/services/teitok/pdtc10/index.php?action=vallex&amp;frame=v-w224f2", "budit (v-w224f2)")</f>
        <v>budit (v-w224f2)</v>
      </c>
    </row>
    <row r="954" customFormat="false" ht="12.8" hidden="false" customHeight="false" outlineLevel="0" collapsed="false">
      <c r="B954" s="0" t="s">
        <v>7</v>
      </c>
      <c r="D954" s="0" t="s">
        <v>46</v>
      </c>
      <c r="E954" s="0" t="s">
        <v>46</v>
      </c>
      <c r="F954" s="0" t="s">
        <v>46</v>
      </c>
    </row>
    <row r="955" customFormat="false" ht="12.8" hidden="false" customHeight="false" outlineLevel="0" collapsed="false">
      <c r="B955" s="0" t="s">
        <v>14</v>
      </c>
      <c r="D955" s="0" t="s">
        <v>567</v>
      </c>
      <c r="E955" s="0" t="s">
        <v>567</v>
      </c>
      <c r="F955" s="0" t="s">
        <v>567</v>
      </c>
    </row>
    <row r="956" customFormat="false" ht="12.8" hidden="false" customHeight="false" outlineLevel="0" collapsed="false">
      <c r="B956" s="0" t="s">
        <v>35</v>
      </c>
    </row>
    <row r="958" customFormat="false" ht="12.8" hidden="false" customHeight="false" outlineLevel="0" collapsed="false">
      <c r="A958" s="0" t="s">
        <v>568</v>
      </c>
      <c r="B958" s="0" t="str">
        <f aca="false">HYPERLINK("https://lindat.mff.cuni.cz/services/teitok/pdtc10/index.php?action=vallex&amp;frame=v-w224hsa_390", "budit (v-w224hsa_390)")</f>
        <v>budit (v-w224hsa_390)</v>
      </c>
    </row>
    <row r="959" customFormat="false" ht="12.8" hidden="false" customHeight="false" outlineLevel="0" collapsed="false">
      <c r="B959" s="0" t="s">
        <v>7</v>
      </c>
      <c r="C959" s="0" t="s">
        <v>569</v>
      </c>
      <c r="D959" s="0" t="s">
        <v>570</v>
      </c>
      <c r="E959" s="0" t="s">
        <v>570</v>
      </c>
      <c r="F959" s="0" t="s">
        <v>570</v>
      </c>
    </row>
    <row r="960" customFormat="false" ht="12.8" hidden="false" customHeight="false" outlineLevel="0" collapsed="false">
      <c r="B960" s="0" t="s">
        <v>571</v>
      </c>
      <c r="C960" s="0" t="s">
        <v>572</v>
      </c>
      <c r="D960" s="0" t="s">
        <v>573</v>
      </c>
      <c r="E960" s="0" t="s">
        <v>573</v>
      </c>
      <c r="F960" s="0" t="s">
        <v>573</v>
      </c>
    </row>
    <row r="961" customFormat="false" ht="12.8" hidden="false" customHeight="false" outlineLevel="0" collapsed="false">
      <c r="B961" s="0" t="s">
        <v>11</v>
      </c>
      <c r="D961" s="0" t="s">
        <v>574</v>
      </c>
      <c r="E961" s="0" t="s">
        <v>574</v>
      </c>
      <c r="F961" s="0" t="s">
        <v>574</v>
      </c>
    </row>
    <row r="963" customFormat="false" ht="12.8" hidden="false" customHeight="false" outlineLevel="0" collapsed="false">
      <c r="A963" s="0" t="s">
        <v>568</v>
      </c>
      <c r="B963" s="0" t="str">
        <f aca="false">HYPERLINK("https://lindat.mff.cuni.cz/services/teitok/pdtc10/index.php?action=vallex&amp;frame=v-w224f1", "budit (v-w224f1) - substituted with v-w224hsa_390")</f>
        <v>budit (v-w224f1) - substituted with v-w224hsa_390</v>
      </c>
    </row>
    <row r="964" customFormat="false" ht="12.8" hidden="false" customHeight="false" outlineLevel="0" collapsed="false">
      <c r="B964" s="0" t="s">
        <v>7</v>
      </c>
      <c r="C964" s="0" t="s">
        <v>575</v>
      </c>
    </row>
    <row r="965" customFormat="false" ht="12.8" hidden="false" customHeight="false" outlineLevel="0" collapsed="false">
      <c r="B965" s="0" t="s">
        <v>571</v>
      </c>
      <c r="C965" s="0" t="s">
        <v>576</v>
      </c>
    </row>
    <row r="966" customFormat="false" ht="12.8" hidden="false" customHeight="false" outlineLevel="0" collapsed="false">
      <c r="B966" s="0" t="s">
        <v>11</v>
      </c>
    </row>
    <row r="968" customFormat="false" ht="12.8" hidden="false" customHeight="false" outlineLevel="0" collapsed="false">
      <c r="A968" s="0" t="s">
        <v>568</v>
      </c>
      <c r="B968" s="0" t="str">
        <f aca="false">HYPERLINK("https://lindat.mff.cuni.cz/services/teitok/pdtc10/index.php?action=vallex&amp;frame=v-w224f3_ZU", "budit (v-w224f3_ZU) - substituted with v-w224hsa_390")</f>
        <v>budit (v-w224f3_ZU) - substituted with v-w224hsa_390</v>
      </c>
    </row>
    <row r="969" customFormat="false" ht="12.8" hidden="false" customHeight="false" outlineLevel="0" collapsed="false">
      <c r="B969" s="0" t="s">
        <v>7</v>
      </c>
      <c r="C969" s="0" t="s">
        <v>577</v>
      </c>
    </row>
    <row r="970" customFormat="false" ht="12.8" hidden="false" customHeight="false" outlineLevel="0" collapsed="false">
      <c r="B970" s="0" t="s">
        <v>571</v>
      </c>
      <c r="C970" s="0" t="s">
        <v>578</v>
      </c>
    </row>
    <row r="971" customFormat="false" ht="12.8" hidden="false" customHeight="false" outlineLevel="0" collapsed="false">
      <c r="B971" s="0" t="s">
        <v>11</v>
      </c>
    </row>
    <row r="973" customFormat="false" ht="12.8" hidden="false" customHeight="false" outlineLevel="0" collapsed="false">
      <c r="A973" s="0" t="s">
        <v>579</v>
      </c>
      <c r="B973" s="0" t="str">
        <f aca="false">HYPERLINK("https://lindat.mff.cuni.cz/services/teitok/pdtc10/index.php?action=vallex&amp;frame=v-w225f1", "budit se (v-w225f1)")</f>
        <v>budit se (v-w225f1)</v>
      </c>
    </row>
    <row r="974" customFormat="false" ht="12.8" hidden="false" customHeight="false" outlineLevel="0" collapsed="false">
      <c r="B974" s="0" t="s">
        <v>7</v>
      </c>
      <c r="D974" s="0" t="s">
        <v>580</v>
      </c>
      <c r="E974" s="0" t="s">
        <v>580</v>
      </c>
      <c r="F974" s="0" t="s">
        <v>580</v>
      </c>
    </row>
    <row r="975" customFormat="false" ht="12.8" hidden="false" customHeight="false" outlineLevel="0" collapsed="false">
      <c r="B975" s="0" t="s">
        <v>581</v>
      </c>
    </row>
    <row r="977" customFormat="false" ht="12.8" hidden="false" customHeight="false" outlineLevel="0" collapsed="false">
      <c r="A977" s="0" t="s">
        <v>582</v>
      </c>
      <c r="B977" s="0" t="str">
        <f aca="false">HYPERLINK("https://lindat.mff.cuni.cz/services/teitok/pdtc10/index.php?action=vallex&amp;frame=v-w228f2", "budovat (v-w228f2)")</f>
        <v>budovat (v-w228f2)</v>
      </c>
    </row>
    <row r="978" customFormat="false" ht="12.8" hidden="false" customHeight="false" outlineLevel="0" collapsed="false">
      <c r="B978" s="0" t="s">
        <v>7</v>
      </c>
      <c r="C978" s="0" t="s">
        <v>583</v>
      </c>
      <c r="D978" s="0" t="s">
        <v>460</v>
      </c>
      <c r="E978" s="0" t="s">
        <v>460</v>
      </c>
      <c r="F978" s="0" t="s">
        <v>460</v>
      </c>
    </row>
    <row r="979" customFormat="false" ht="12.8" hidden="false" customHeight="false" outlineLevel="0" collapsed="false">
      <c r="B979" s="0" t="s">
        <v>14</v>
      </c>
      <c r="C979" s="0" t="s">
        <v>584</v>
      </c>
      <c r="D979" s="0" t="s">
        <v>585</v>
      </c>
      <c r="E979" s="0" t="s">
        <v>585</v>
      </c>
      <c r="F979" s="0" t="s">
        <v>585</v>
      </c>
    </row>
    <row r="980" customFormat="false" ht="12.8" hidden="false" customHeight="false" outlineLevel="0" collapsed="false">
      <c r="B980" s="0" t="s">
        <v>586</v>
      </c>
      <c r="C980" s="0" t="s">
        <v>587</v>
      </c>
      <c r="D980" s="0" t="s">
        <v>588</v>
      </c>
      <c r="E980" s="0" t="s">
        <v>588</v>
      </c>
      <c r="F980" s="0" t="s">
        <v>588</v>
      </c>
    </row>
    <row r="982" customFormat="false" ht="12.8" hidden="false" customHeight="false" outlineLevel="0" collapsed="false">
      <c r="A982" s="0" t="s">
        <v>589</v>
      </c>
      <c r="B982" s="0" t="str">
        <f aca="false">HYPERLINK("https://lindat.mff.cuni.cz/services/teitok/pdtc10/index.php?action=vallex&amp;frame=v-w228f1", "budovat (v-w228f1)")</f>
        <v>budovat (v-w228f1)</v>
      </c>
    </row>
    <row r="983" customFormat="false" ht="12.8" hidden="false" customHeight="false" outlineLevel="0" collapsed="false">
      <c r="B983" s="0" t="s">
        <v>7</v>
      </c>
      <c r="C983" s="0" t="s">
        <v>590</v>
      </c>
      <c r="D983" s="0" t="s">
        <v>591</v>
      </c>
      <c r="E983" s="0" t="s">
        <v>591</v>
      </c>
      <c r="F983" s="0" t="s">
        <v>591</v>
      </c>
    </row>
    <row r="984" customFormat="false" ht="12.8" hidden="false" customHeight="false" outlineLevel="0" collapsed="false">
      <c r="B984" s="0" t="s">
        <v>14</v>
      </c>
      <c r="C984" s="0" t="s">
        <v>592</v>
      </c>
      <c r="D984" s="0" t="s">
        <v>593</v>
      </c>
      <c r="E984" s="0" t="s">
        <v>593</v>
      </c>
      <c r="F984" s="0" t="s">
        <v>593</v>
      </c>
    </row>
    <row r="985" customFormat="false" ht="12.8" hidden="false" customHeight="false" outlineLevel="0" collapsed="false">
      <c r="B985" s="0" t="s">
        <v>35</v>
      </c>
      <c r="C985" s="0" t="s">
        <v>594</v>
      </c>
      <c r="D985" s="0" t="s">
        <v>595</v>
      </c>
      <c r="E985" s="0" t="s">
        <v>595</v>
      </c>
      <c r="F985" s="0" t="s">
        <v>595</v>
      </c>
    </row>
    <row r="987" customFormat="false" ht="12.8" hidden="false" customHeight="false" outlineLevel="0" collapsed="false">
      <c r="A987" s="0" t="s">
        <v>596</v>
      </c>
      <c r="B987" s="0" t="str">
        <f aca="false">HYPERLINK("https://lindat.mff.cuni.cz/services/teitok/pdtc10/index.php?action=vallex&amp;frame=v-w231f1", "bujet (v-w231f1)")</f>
        <v>bujet (v-w231f1)</v>
      </c>
    </row>
    <row r="988" customFormat="false" ht="12.8" hidden="false" customHeight="false" outlineLevel="0" collapsed="false">
      <c r="B988" s="0" t="s">
        <v>7</v>
      </c>
    </row>
    <row r="990" customFormat="false" ht="12.8" hidden="false" customHeight="false" outlineLevel="0" collapsed="false">
      <c r="A990" s="0" t="s">
        <v>597</v>
      </c>
      <c r="B990" s="0" t="str">
        <f aca="false">HYPERLINK("https://lindat.mff.cuni.cz/services/teitok/pdtc10/index.php?action=vallex&amp;frame=v-w234f1", "burcovat (v-w234f1)")</f>
        <v>burcovat (v-w234f1)</v>
      </c>
    </row>
    <row r="991" customFormat="false" ht="12.8" hidden="false" customHeight="false" outlineLevel="0" collapsed="false">
      <c r="B991" s="0" t="s">
        <v>7</v>
      </c>
    </row>
    <row r="992" customFormat="false" ht="12.8" hidden="false" customHeight="false" outlineLevel="0" collapsed="false">
      <c r="B992" s="0" t="s">
        <v>81</v>
      </c>
    </row>
    <row r="993" customFormat="false" ht="12.8" hidden="false" customHeight="false" outlineLevel="0" collapsed="false">
      <c r="B993" s="0" t="s">
        <v>82</v>
      </c>
    </row>
    <row r="995" customFormat="false" ht="12.8" hidden="false" customHeight="false" outlineLevel="0" collapsed="false">
      <c r="A995" s="0" t="s">
        <v>598</v>
      </c>
      <c r="B995" s="0" t="str">
        <f aca="false">HYPERLINK("https://lindat.mff.cuni.cz/services/teitok/pdtc10/index.php?action=vallex&amp;frame=v-w232f1", "burácet (v-w232f1)")</f>
        <v>burácet (v-w232f1)</v>
      </c>
    </row>
    <row r="996" customFormat="false" ht="12.8" hidden="false" customHeight="false" outlineLevel="0" collapsed="false">
      <c r="B996" s="0" t="s">
        <v>7</v>
      </c>
      <c r="C996" s="0" t="s">
        <v>184</v>
      </c>
      <c r="D996" s="0" t="s">
        <v>171</v>
      </c>
      <c r="E996" s="0" t="s">
        <v>171</v>
      </c>
      <c r="F996" s="0" t="s">
        <v>171</v>
      </c>
    </row>
    <row r="998" customFormat="false" ht="12.8" hidden="false" customHeight="false" outlineLevel="0" collapsed="false">
      <c r="A998" s="0" t="s">
        <v>599</v>
      </c>
      <c r="B998" s="0" t="str">
        <f aca="false">HYPERLINK("https://lindat.mff.cuni.cz/services/teitok/pdtc10/index.php?action=vallex&amp;frame=v-w10291f2", "bučet (v-w10291f2)")</f>
        <v>bučet (v-w10291f2)</v>
      </c>
    </row>
    <row r="999" customFormat="false" ht="12.8" hidden="false" customHeight="false" outlineLevel="0" collapsed="false">
      <c r="B999" s="0" t="s">
        <v>7</v>
      </c>
      <c r="C999" s="0" t="s">
        <v>191</v>
      </c>
      <c r="D999" s="0" t="s">
        <v>184</v>
      </c>
      <c r="E999" s="0" t="s">
        <v>184</v>
      </c>
      <c r="F999" s="0" t="s">
        <v>184</v>
      </c>
    </row>
    <row r="1000" customFormat="false" ht="12.8" hidden="false" customHeight="false" outlineLevel="0" collapsed="false">
      <c r="B1000" s="0" t="s">
        <v>600</v>
      </c>
      <c r="C1000" s="0" t="s">
        <v>155</v>
      </c>
      <c r="D1000" s="0" t="s">
        <v>47</v>
      </c>
      <c r="E1000" s="0" t="s">
        <v>47</v>
      </c>
      <c r="F1000" s="0" t="s">
        <v>47</v>
      </c>
    </row>
    <row r="1002" customFormat="false" ht="12.8" hidden="false" customHeight="false" outlineLevel="0" collapsed="false">
      <c r="A1002" s="0" t="s">
        <v>601</v>
      </c>
      <c r="B1002" s="0" t="str">
        <f aca="false">HYPERLINK("https://lindat.mff.cuni.cz/services/teitok/pdtc10/index.php?action=vallex&amp;frame=v-w237f4", "bušit (v-w237f4)")</f>
        <v>bušit (v-w237f4)</v>
      </c>
    </row>
    <row r="1003" customFormat="false" ht="12.8" hidden="false" customHeight="false" outlineLevel="0" collapsed="false">
      <c r="B1003" s="0" t="s">
        <v>7</v>
      </c>
      <c r="D1003" s="0" t="s">
        <v>46</v>
      </c>
      <c r="E1003" s="0" t="s">
        <v>113</v>
      </c>
      <c r="F1003" s="0" t="s">
        <v>113</v>
      </c>
    </row>
    <row r="1004" customFormat="false" ht="12.8" hidden="false" customHeight="false" outlineLevel="0" collapsed="false">
      <c r="B1004" s="0" t="s">
        <v>14</v>
      </c>
      <c r="D1004" s="0" t="s">
        <v>115</v>
      </c>
      <c r="E1004" s="0" t="s">
        <v>74</v>
      </c>
      <c r="F1004" s="0" t="s">
        <v>74</v>
      </c>
    </row>
    <row r="1006" customFormat="false" ht="12.8" hidden="false" customHeight="false" outlineLevel="0" collapsed="false">
      <c r="A1006" s="0" t="s">
        <v>602</v>
      </c>
      <c r="B1006" s="0" t="str">
        <f aca="false">HYPERLINK("https://lindat.mff.cuni.cz/services/teitok/pdtc10/index.php?action=vallex&amp;frame=v-w237f2", "bušit (v-w237f2)")</f>
        <v>bušit (v-w237f2)</v>
      </c>
    </row>
    <row r="1007" customFormat="false" ht="12.8" hidden="false" customHeight="false" outlineLevel="0" collapsed="false">
      <c r="B1007" s="0" t="s">
        <v>603</v>
      </c>
    </row>
    <row r="1008" customFormat="false" ht="12.8" hidden="false" customHeight="false" outlineLevel="0" collapsed="false">
      <c r="B1008" s="0" t="s">
        <v>328</v>
      </c>
    </row>
    <row r="1010" customFormat="false" ht="12.8" hidden="false" customHeight="false" outlineLevel="0" collapsed="false">
      <c r="A1010" s="0" t="s">
        <v>604</v>
      </c>
      <c r="B1010" s="0" t="str">
        <f aca="false">HYPERLINK("https://lindat.mff.cuni.cz/services/teitok/pdtc10/index.php?action=vallex&amp;frame=v-w237f3", "bušit (v-w237f3)")</f>
        <v>bušit (v-w237f3)</v>
      </c>
    </row>
    <row r="1011" customFormat="false" ht="12.8" hidden="false" customHeight="false" outlineLevel="0" collapsed="false">
      <c r="B1011" s="0" t="s">
        <v>603</v>
      </c>
    </row>
    <row r="1012" customFormat="false" ht="12.8" hidden="false" customHeight="false" outlineLevel="0" collapsed="false">
      <c r="B1012" s="0" t="s">
        <v>11</v>
      </c>
    </row>
    <row r="1014" customFormat="false" ht="12.8" hidden="false" customHeight="false" outlineLevel="0" collapsed="false">
      <c r="A1014" s="0" t="s">
        <v>605</v>
      </c>
      <c r="B1014" s="0" t="str">
        <f aca="false">HYPERLINK("https://lindat.mff.cuni.cz/services/teitok/pdtc10/index.php?action=vallex&amp;frame=v-w237f1", "bušit (v-w237f1)")</f>
        <v>bušit (v-w237f1)</v>
      </c>
    </row>
    <row r="1015" customFormat="false" ht="12.8" hidden="false" customHeight="false" outlineLevel="0" collapsed="false">
      <c r="B1015" s="0" t="s">
        <v>7</v>
      </c>
    </row>
    <row r="1016" customFormat="false" ht="12.8" hidden="false" customHeight="false" outlineLevel="0" collapsed="false">
      <c r="B1016" s="0" t="s">
        <v>124</v>
      </c>
    </row>
    <row r="1018" customFormat="false" ht="12.8" hidden="false" customHeight="false" outlineLevel="0" collapsed="false">
      <c r="A1018" s="0" t="s">
        <v>606</v>
      </c>
      <c r="B1018" s="0" t="str">
        <f aca="false">HYPERLINK("https://lindat.mff.cuni.cz/services/teitok/pdtc10/index.php?action=vallex&amp;frame=v-w237hsa_479", "bušit (v-w237hsa_479)")</f>
        <v>bušit (v-w237hsa_479)</v>
      </c>
    </row>
    <row r="1019" customFormat="false" ht="12.8" hidden="false" customHeight="false" outlineLevel="0" collapsed="false">
      <c r="B1019" s="0" t="s">
        <v>7</v>
      </c>
    </row>
    <row r="1020" customFormat="false" ht="12.8" hidden="false" customHeight="false" outlineLevel="0" collapsed="false">
      <c r="B1020" s="0" t="s">
        <v>124</v>
      </c>
    </row>
    <row r="1022" customFormat="false" ht="12.8" hidden="false" customHeight="false" outlineLevel="0" collapsed="false">
      <c r="A1022" s="0" t="s">
        <v>607</v>
      </c>
      <c r="B1022" s="0" t="str">
        <f aca="false">HYPERLINK("https://lindat.mff.cuni.cz/services/teitok/pdtc10/index.php?action=vallex&amp;frame=v-w239f1", "bydlet (v-w239f1)")</f>
        <v>bydlet (v-w239f1)</v>
      </c>
    </row>
    <row r="1023" customFormat="false" ht="12.8" hidden="false" customHeight="false" outlineLevel="0" collapsed="false">
      <c r="B1023" s="0" t="s">
        <v>7</v>
      </c>
      <c r="C1023" s="0" t="s">
        <v>608</v>
      </c>
    </row>
    <row r="1024" customFormat="false" ht="12.8" hidden="false" customHeight="false" outlineLevel="0" collapsed="false">
      <c r="B1024" s="0" t="s">
        <v>11</v>
      </c>
      <c r="C1024" s="0" t="s">
        <v>609</v>
      </c>
    </row>
    <row r="1026" customFormat="false" ht="12.8" hidden="false" customHeight="false" outlineLevel="0" collapsed="false">
      <c r="A1026" s="0" t="s">
        <v>610</v>
      </c>
      <c r="B1026" s="0" t="str">
        <f aca="false">HYPERLINK("https://lindat.mff.cuni.cz/services/teitok/pdtc10/index.php?action=vallex&amp;frame=v-w240f1", "bydlívat (v-w240f1)")</f>
        <v>bydlívat (v-w240f1)</v>
      </c>
    </row>
    <row r="1027" customFormat="false" ht="12.8" hidden="false" customHeight="false" outlineLevel="0" collapsed="false">
      <c r="B1027" s="0" t="s">
        <v>7</v>
      </c>
    </row>
    <row r="1028" customFormat="false" ht="12.8" hidden="false" customHeight="false" outlineLevel="0" collapsed="false">
      <c r="B1028" s="0" t="s">
        <v>11</v>
      </c>
    </row>
    <row r="1030" customFormat="false" ht="12.8" hidden="false" customHeight="false" outlineLevel="0" collapsed="false">
      <c r="A1030" s="0" t="s">
        <v>611</v>
      </c>
      <c r="B1030" s="0" t="str">
        <f aca="false">HYPERLINK("https://lindat.mff.cuni.cz/services/teitok/pdtc10/index.php?action=vallex&amp;frame=v-w107f1", "bádat (v-w107f1)")</f>
        <v>bádat (v-w107f1)</v>
      </c>
    </row>
    <row r="1031" customFormat="false" ht="12.8" hidden="false" customHeight="false" outlineLevel="0" collapsed="false">
      <c r="B1031" s="0" t="s">
        <v>7</v>
      </c>
    </row>
    <row r="1032" customFormat="false" ht="12.8" hidden="false" customHeight="false" outlineLevel="0" collapsed="false">
      <c r="B1032" s="0" t="s">
        <v>612</v>
      </c>
    </row>
    <row r="1034" customFormat="false" ht="12.8" hidden="false" customHeight="false" outlineLevel="0" collapsed="false">
      <c r="A1034" s="0" t="s">
        <v>613</v>
      </c>
      <c r="B1034" s="0" t="str">
        <f aca="false">HYPERLINK("https://lindat.mff.cuni.cz/services/teitok/pdtc10/index.php?action=vallex&amp;frame=v-w125f1", "básnit (v-w125f1)")</f>
        <v>básnit (v-w125f1)</v>
      </c>
    </row>
    <row r="1035" customFormat="false" ht="12.8" hidden="false" customHeight="false" outlineLevel="0" collapsed="false">
      <c r="B1035" s="0" t="s">
        <v>7</v>
      </c>
    </row>
    <row r="1036" customFormat="false" ht="12.8" hidden="false" customHeight="false" outlineLevel="0" collapsed="false">
      <c r="B1036" s="0" t="s">
        <v>363</v>
      </c>
    </row>
    <row r="1038" customFormat="false" ht="12.8" hidden="false" customHeight="false" outlineLevel="0" collapsed="false">
      <c r="A1038" s="0" t="s">
        <v>614</v>
      </c>
      <c r="B1038" s="0" t="str">
        <f aca="false">HYPERLINK("https://lindat.mff.cuni.cz/services/teitok/pdtc10/index.php?action=vallex&amp;frame=v-w127f2", "bát se (v-w127f2)")</f>
        <v>bát se (v-w127f2)</v>
      </c>
    </row>
    <row r="1039" customFormat="false" ht="12.8" hidden="false" customHeight="false" outlineLevel="0" collapsed="false">
      <c r="B1039" s="0" t="s">
        <v>7</v>
      </c>
    </row>
    <row r="1040" customFormat="false" ht="12.8" hidden="false" customHeight="false" outlineLevel="0" collapsed="false">
      <c r="B1040" s="0" t="s">
        <v>615</v>
      </c>
    </row>
    <row r="1042" customFormat="false" ht="12.8" hidden="false" customHeight="false" outlineLevel="0" collapsed="false">
      <c r="A1042" s="0" t="s">
        <v>616</v>
      </c>
      <c r="B1042" s="0" t="str">
        <f aca="false">HYPERLINK("https://lindat.mff.cuni.cz/services/teitok/pdtc10/index.php?action=vallex&amp;frame=v-w127f1", "bát se (v-w127f1)")</f>
        <v>bát se (v-w127f1)</v>
      </c>
    </row>
    <row r="1043" customFormat="false" ht="12.8" hidden="false" customHeight="false" outlineLevel="0" collapsed="false">
      <c r="B1043" s="0" t="s">
        <v>7</v>
      </c>
      <c r="C1043" s="0" t="s">
        <v>617</v>
      </c>
      <c r="D1043" s="0" t="s">
        <v>618</v>
      </c>
      <c r="E1043" s="0" t="s">
        <v>618</v>
      </c>
      <c r="F1043" s="0" t="s">
        <v>618</v>
      </c>
    </row>
    <row r="1044" customFormat="false" ht="12.8" hidden="false" customHeight="false" outlineLevel="0" collapsed="false">
      <c r="B1044" s="0" t="s">
        <v>619</v>
      </c>
      <c r="C1044" s="0" t="s">
        <v>620</v>
      </c>
      <c r="D1044" s="0" t="s">
        <v>621</v>
      </c>
      <c r="E1044" s="0" t="s">
        <v>621</v>
      </c>
      <c r="F1044" s="0" t="s">
        <v>621</v>
      </c>
    </row>
    <row r="1046" customFormat="false" ht="12.8" hidden="false" customHeight="false" outlineLevel="0" collapsed="false">
      <c r="A1046" s="0" t="s">
        <v>622</v>
      </c>
      <c r="B1046" s="0" t="str">
        <f aca="false">HYPERLINK("https://lindat.mff.cuni.cz/services/teitok/pdtc10/index.php?action=vallex&amp;frame=v-w150f1", "bít (v-w150f1)")</f>
        <v>bít (v-w150f1)</v>
      </c>
    </row>
    <row r="1047" customFormat="false" ht="12.8" hidden="false" customHeight="false" outlineLevel="0" collapsed="false">
      <c r="B1047" s="0" t="s">
        <v>7</v>
      </c>
      <c r="C1047" s="0" t="s">
        <v>46</v>
      </c>
      <c r="D1047" s="0" t="s">
        <v>623</v>
      </c>
      <c r="E1047" s="0" t="s">
        <v>108</v>
      </c>
      <c r="F1047" s="0" t="s">
        <v>108</v>
      </c>
    </row>
    <row r="1048" customFormat="false" ht="12.8" hidden="false" customHeight="false" outlineLevel="0" collapsed="false">
      <c r="B1048" s="0" t="s">
        <v>14</v>
      </c>
      <c r="C1048" s="0" t="s">
        <v>115</v>
      </c>
      <c r="D1048" s="0" t="s">
        <v>624</v>
      </c>
      <c r="E1048" s="0" t="s">
        <v>625</v>
      </c>
      <c r="F1048" s="0" t="s">
        <v>625</v>
      </c>
    </row>
    <row r="1050" customFormat="false" ht="12.8" hidden="false" customHeight="false" outlineLevel="0" collapsed="false">
      <c r="A1050" s="0" t="s">
        <v>626</v>
      </c>
      <c r="B1050" s="0" t="str">
        <f aca="false">HYPERLINK("https://lindat.mff.cuni.cz/services/teitok/pdtc10/index.php?action=vallex&amp;frame=v-w150f2", "bít (v-w150f2)")</f>
        <v>bít (v-w150f2)</v>
      </c>
    </row>
    <row r="1051" customFormat="false" ht="12.8" hidden="false" customHeight="false" outlineLevel="0" collapsed="false">
      <c r="B1051" s="0" t="s">
        <v>7</v>
      </c>
    </row>
    <row r="1052" customFormat="false" ht="12.8" hidden="false" customHeight="false" outlineLevel="0" collapsed="false">
      <c r="B1052" s="0" t="s">
        <v>627</v>
      </c>
    </row>
    <row r="1054" customFormat="false" ht="12.8" hidden="false" customHeight="false" outlineLevel="0" collapsed="false">
      <c r="A1054" s="0" t="s">
        <v>628</v>
      </c>
      <c r="B1054" s="0" t="str">
        <f aca="false">HYPERLINK("https://lindat.mff.cuni.cz/services/teitok/pdtc10/index.php?action=vallex&amp;frame=v-w150f3_ZU", "bít (v-w150f3_ZU)")</f>
        <v>bít (v-w150f3_ZU)</v>
      </c>
    </row>
    <row r="1055" customFormat="false" ht="12.8" hidden="false" customHeight="false" outlineLevel="0" collapsed="false">
      <c r="B1055" s="0" t="s">
        <v>7</v>
      </c>
    </row>
    <row r="1056" customFormat="false" ht="12.8" hidden="false" customHeight="false" outlineLevel="0" collapsed="false">
      <c r="B1056" s="0" t="s">
        <v>629</v>
      </c>
    </row>
    <row r="1058" customFormat="false" ht="12.8" hidden="false" customHeight="false" outlineLevel="0" collapsed="false">
      <c r="A1058" s="0" t="s">
        <v>630</v>
      </c>
      <c r="B1058" s="0" t="str">
        <f aca="false">HYPERLINK("https://lindat.mff.cuni.cz/services/teitok/pdtc10/index.php?action=vallex&amp;frame=v-w150f4_ZU", "bít (v-w150f4_ZU)")</f>
        <v>bít (v-w150f4_ZU)</v>
      </c>
    </row>
    <row r="1059" customFormat="false" ht="12.8" hidden="false" customHeight="false" outlineLevel="0" collapsed="false">
      <c r="B1059" s="0" t="s">
        <v>7</v>
      </c>
    </row>
    <row r="1060" customFormat="false" ht="12.8" hidden="false" customHeight="false" outlineLevel="0" collapsed="false">
      <c r="B1060" s="0" t="s">
        <v>14</v>
      </c>
    </row>
    <row r="1062" customFormat="false" ht="12.8" hidden="false" customHeight="false" outlineLevel="0" collapsed="false">
      <c r="A1062" s="0" t="s">
        <v>631</v>
      </c>
      <c r="B1062" s="0" t="str">
        <f aca="false">HYPERLINK("https://lindat.mff.cuni.cz/services/teitok/pdtc10/index.php?action=vallex&amp;frame=v-w243hsa_80", "být (v-w243hsa_80)")</f>
        <v>být (v-w243hsa_80)</v>
      </c>
    </row>
    <row r="1063" customFormat="false" ht="12.8" hidden="false" customHeight="false" outlineLevel="0" collapsed="false">
      <c r="B1063" s="0" t="s">
        <v>632</v>
      </c>
      <c r="C1063" s="0" t="s">
        <v>498</v>
      </c>
    </row>
    <row r="1064" customFormat="false" ht="12.8" hidden="false" customHeight="false" outlineLevel="0" collapsed="false">
      <c r="B1064" s="0" t="s">
        <v>633</v>
      </c>
      <c r="C1064" s="0" t="s">
        <v>634</v>
      </c>
    </row>
    <row r="1065" customFormat="false" ht="12.8" hidden="false" customHeight="false" outlineLevel="0" collapsed="false">
      <c r="B1065" s="0" t="s">
        <v>635</v>
      </c>
    </row>
    <row r="1067" customFormat="false" ht="12.8" hidden="false" customHeight="false" outlineLevel="0" collapsed="false">
      <c r="A1067" s="0" t="s">
        <v>631</v>
      </c>
      <c r="B1067" s="0" t="str">
        <f aca="false">HYPERLINK("https://lindat.mff.cuni.cz/services/teitok/pdtc10/index.php?action=vallex&amp;frame=v-w243f21", "být (v-w243f21) - substituted with v-w243hsa_80")</f>
        <v>být (v-w243f21) - substituted with v-w243hsa_80</v>
      </c>
    </row>
    <row r="1068" customFormat="false" ht="12.8" hidden="false" customHeight="false" outlineLevel="0" collapsed="false">
      <c r="B1068" s="0" t="s">
        <v>632</v>
      </c>
    </row>
    <row r="1069" customFormat="false" ht="12.8" hidden="false" customHeight="false" outlineLevel="0" collapsed="false">
      <c r="B1069" s="0" t="s">
        <v>633</v>
      </c>
    </row>
    <row r="1070" customFormat="false" ht="12.8" hidden="false" customHeight="false" outlineLevel="0" collapsed="false">
      <c r="B1070" s="0" t="s">
        <v>635</v>
      </c>
    </row>
    <row r="1072" customFormat="false" ht="12.8" hidden="false" customHeight="false" outlineLevel="0" collapsed="false">
      <c r="A1072" s="0" t="s">
        <v>636</v>
      </c>
      <c r="B1072" s="0" t="str">
        <f aca="false">HYPERLINK("https://lindat.mff.cuni.cz/services/teitok/pdtc10/index.php?action=vallex&amp;frame=v-w243f22", "být (v-w243f22)")</f>
        <v>být (v-w243f22)</v>
      </c>
    </row>
    <row r="1073" customFormat="false" ht="12.8" hidden="false" customHeight="false" outlineLevel="0" collapsed="false">
      <c r="B1073" s="0" t="s">
        <v>7</v>
      </c>
    </row>
    <row r="1074" customFormat="false" ht="12.8" hidden="false" customHeight="false" outlineLevel="0" collapsed="false">
      <c r="B1074" s="0" t="s">
        <v>328</v>
      </c>
    </row>
    <row r="1075" customFormat="false" ht="12.8" hidden="false" customHeight="false" outlineLevel="0" collapsed="false">
      <c r="B1075" s="0" t="s">
        <v>637</v>
      </c>
    </row>
    <row r="1077" customFormat="false" ht="12.8" hidden="false" customHeight="false" outlineLevel="0" collapsed="false">
      <c r="A1077" s="0" t="s">
        <v>638</v>
      </c>
      <c r="B1077" s="0" t="str">
        <f aca="false">HYPERLINK("https://lindat.mff.cuni.cz/services/teitok/pdtc10/index.php?action=vallex&amp;frame=v-w243f47", "být (v-w243f47)")</f>
        <v>být (v-w243f47)</v>
      </c>
    </row>
    <row r="1078" customFormat="false" ht="12.8" hidden="false" customHeight="false" outlineLevel="0" collapsed="false">
      <c r="B1078" s="0" t="s">
        <v>603</v>
      </c>
    </row>
    <row r="1079" customFormat="false" ht="12.8" hidden="false" customHeight="false" outlineLevel="0" collapsed="false">
      <c r="B1079" s="0" t="s">
        <v>328</v>
      </c>
    </row>
    <row r="1080" customFormat="false" ht="12.8" hidden="false" customHeight="false" outlineLevel="0" collapsed="false">
      <c r="B1080" s="0" t="s">
        <v>639</v>
      </c>
    </row>
    <row r="1082" customFormat="false" ht="12.8" hidden="false" customHeight="false" outlineLevel="0" collapsed="false">
      <c r="A1082" s="0" t="s">
        <v>640</v>
      </c>
      <c r="B1082" s="0" t="str">
        <f aca="false">HYPERLINK("https://lindat.mff.cuni.cz/services/teitok/pdtc10/index.php?action=vallex&amp;frame=v-w243f137_ZU", "být (v-w243f137_ZU)")</f>
        <v>být (v-w243f137_ZU)</v>
      </c>
    </row>
    <row r="1083" customFormat="false" ht="12.8" hidden="false" customHeight="false" outlineLevel="0" collapsed="false">
      <c r="B1083" s="0" t="s">
        <v>641</v>
      </c>
    </row>
    <row r="1084" customFormat="false" ht="12.8" hidden="false" customHeight="false" outlineLevel="0" collapsed="false">
      <c r="B1084" s="0" t="s">
        <v>220</v>
      </c>
    </row>
    <row r="1085" customFormat="false" ht="12.8" hidden="false" customHeight="false" outlineLevel="0" collapsed="false">
      <c r="B1085" s="0" t="s">
        <v>642</v>
      </c>
    </row>
    <row r="1087" customFormat="false" ht="12.8" hidden="false" customHeight="false" outlineLevel="0" collapsed="false">
      <c r="A1087" s="0" t="s">
        <v>640</v>
      </c>
      <c r="B1087" s="0" t="str">
        <f aca="false">HYPERLINK("https://lindat.mff.cuni.cz/services/teitok/pdtc10/index.php?action=vallex&amp;frame=v-w243f119_ZU", "být (v-w243f119_ZU) - substituted with v-w243f137_ZU")</f>
        <v>být (v-w243f119_ZU) - substituted with v-w243f137_ZU</v>
      </c>
    </row>
    <row r="1088" customFormat="false" ht="12.8" hidden="false" customHeight="false" outlineLevel="0" collapsed="false">
      <c r="B1088" s="0" t="s">
        <v>641</v>
      </c>
    </row>
    <row r="1089" customFormat="false" ht="12.8" hidden="false" customHeight="false" outlineLevel="0" collapsed="false">
      <c r="B1089" s="0" t="s">
        <v>220</v>
      </c>
    </row>
    <row r="1090" customFormat="false" ht="12.8" hidden="false" customHeight="false" outlineLevel="0" collapsed="false">
      <c r="B1090" s="0" t="s">
        <v>642</v>
      </c>
    </row>
    <row r="1092" customFormat="false" ht="12.8" hidden="false" customHeight="false" outlineLevel="0" collapsed="false">
      <c r="A1092" s="0" t="s">
        <v>640</v>
      </c>
      <c r="B1092" s="0" t="str">
        <f aca="false">HYPERLINK("https://lindat.mff.cuni.cz/services/teitok/pdtc10/index.php?action=vallex&amp;frame=v-w243f136_ZU", "být (v-w243f136_ZU) - substituted with v-w243f137_ZU")</f>
        <v>být (v-w243f136_ZU) - substituted with v-w243f137_ZU</v>
      </c>
    </row>
    <row r="1093" customFormat="false" ht="12.8" hidden="false" customHeight="false" outlineLevel="0" collapsed="false">
      <c r="B1093" s="0" t="s">
        <v>641</v>
      </c>
    </row>
    <row r="1094" customFormat="false" ht="12.8" hidden="false" customHeight="false" outlineLevel="0" collapsed="false">
      <c r="B1094" s="0" t="s">
        <v>220</v>
      </c>
    </row>
    <row r="1095" customFormat="false" ht="12.8" hidden="false" customHeight="false" outlineLevel="0" collapsed="false">
      <c r="B1095" s="0" t="s">
        <v>642</v>
      </c>
    </row>
    <row r="1097" customFormat="false" ht="12.8" hidden="false" customHeight="false" outlineLevel="0" collapsed="false">
      <c r="A1097" s="0" t="s">
        <v>640</v>
      </c>
      <c r="B1097" s="0" t="str">
        <f aca="false">HYPERLINK("https://lindat.mff.cuni.cz/services/teitok/pdtc10/index.php?action=vallex&amp;frame=v-w243f78_ZU", "být (v-w243f78_ZU) - substituted with v-w243f137_ZU")</f>
        <v>být (v-w243f78_ZU) - substituted with v-w243f137_ZU</v>
      </c>
    </row>
    <row r="1098" customFormat="false" ht="12.8" hidden="false" customHeight="false" outlineLevel="0" collapsed="false">
      <c r="B1098" s="0" t="s">
        <v>641</v>
      </c>
    </row>
    <row r="1099" customFormat="false" ht="12.8" hidden="false" customHeight="false" outlineLevel="0" collapsed="false">
      <c r="B1099" s="0" t="s">
        <v>220</v>
      </c>
    </row>
    <row r="1100" customFormat="false" ht="12.8" hidden="false" customHeight="false" outlineLevel="0" collapsed="false">
      <c r="B1100" s="0" t="s">
        <v>642</v>
      </c>
    </row>
    <row r="1102" customFormat="false" ht="12.8" hidden="false" customHeight="false" outlineLevel="0" collapsed="false">
      <c r="A1102" s="0" t="s">
        <v>640</v>
      </c>
      <c r="B1102" s="0" t="str">
        <f aca="false">HYPERLINK("https://lindat.mff.cuni.cz/services/teitok/pdtc10/index.php?action=vallex&amp;frame=v-w243f84_ZU", "být (v-w243f84_ZU) - substituted with v-w243f137_ZU")</f>
        <v>být (v-w243f84_ZU) - substituted with v-w243f137_ZU</v>
      </c>
    </row>
    <row r="1103" customFormat="false" ht="12.8" hidden="false" customHeight="false" outlineLevel="0" collapsed="false">
      <c r="B1103" s="0" t="s">
        <v>641</v>
      </c>
      <c r="C1103" s="0" t="s">
        <v>643</v>
      </c>
    </row>
    <row r="1104" customFormat="false" ht="12.8" hidden="false" customHeight="false" outlineLevel="0" collapsed="false">
      <c r="B1104" s="0" t="s">
        <v>220</v>
      </c>
    </row>
    <row r="1105" customFormat="false" ht="12.8" hidden="false" customHeight="false" outlineLevel="0" collapsed="false">
      <c r="B1105" s="0" t="s">
        <v>642</v>
      </c>
      <c r="C1105" s="0" t="s">
        <v>644</v>
      </c>
    </row>
    <row r="1107" customFormat="false" ht="12.8" hidden="false" customHeight="false" outlineLevel="0" collapsed="false">
      <c r="A1107" s="0" t="s">
        <v>645</v>
      </c>
      <c r="B1107" s="0" t="str">
        <f aca="false">HYPERLINK("https://lindat.mff.cuni.cz/services/teitok/pdtc10/index.php?action=vallex&amp;frame=v-w243f25", "být (v-w243f25)")</f>
        <v>být (v-w243f25)</v>
      </c>
    </row>
    <row r="1108" customFormat="false" ht="12.8" hidden="false" customHeight="false" outlineLevel="0" collapsed="false">
      <c r="B1108" s="0" t="s">
        <v>7</v>
      </c>
    </row>
    <row r="1109" customFormat="false" ht="12.8" hidden="false" customHeight="false" outlineLevel="0" collapsed="false">
      <c r="B1109" s="0" t="s">
        <v>142</v>
      </c>
    </row>
    <row r="1111" customFormat="false" ht="12.8" hidden="false" customHeight="false" outlineLevel="0" collapsed="false">
      <c r="A1111" s="0" t="s">
        <v>646</v>
      </c>
      <c r="B1111" s="0" t="str">
        <f aca="false">HYPERLINK("https://lindat.mff.cuni.cz/services/teitok/pdtc10/index.php?action=vallex&amp;frame=v-w243f177_ZU", "být (v-w243f177_ZU)")</f>
        <v>být (v-w243f177_ZU)</v>
      </c>
    </row>
    <row r="1112" customFormat="false" ht="12.8" hidden="false" customHeight="false" outlineLevel="0" collapsed="false">
      <c r="B1112" s="0" t="s">
        <v>603</v>
      </c>
    </row>
    <row r="1113" customFormat="false" ht="12.8" hidden="false" customHeight="false" outlineLevel="0" collapsed="false">
      <c r="B1113" s="0" t="s">
        <v>328</v>
      </c>
    </row>
    <row r="1115" customFormat="false" ht="12.8" hidden="false" customHeight="false" outlineLevel="0" collapsed="false">
      <c r="A1115" s="0" t="s">
        <v>646</v>
      </c>
      <c r="B1115" s="0" t="str">
        <f aca="false">HYPERLINK("https://lindat.mff.cuni.cz/services/teitok/pdtc10/index.php?action=vallex&amp;frame=v-w243f7", "být (v-w243f7) - substituted with v-w243f177_ZU")</f>
        <v>být (v-w243f7) - substituted with v-w243f177_ZU</v>
      </c>
    </row>
    <row r="1116" customFormat="false" ht="12.8" hidden="false" customHeight="false" outlineLevel="0" collapsed="false">
      <c r="B1116" s="0" t="s">
        <v>603</v>
      </c>
      <c r="C1116" s="0" t="s">
        <v>647</v>
      </c>
    </row>
    <row r="1117" customFormat="false" ht="12.8" hidden="false" customHeight="false" outlineLevel="0" collapsed="false">
      <c r="B1117" s="0" t="s">
        <v>328</v>
      </c>
      <c r="C1117" s="0" t="s">
        <v>648</v>
      </c>
    </row>
    <row r="1119" customFormat="false" ht="12.8" hidden="false" customHeight="false" outlineLevel="0" collapsed="false">
      <c r="A1119" s="0" t="s">
        <v>649</v>
      </c>
      <c r="B1119" s="0" t="str">
        <f aca="false">HYPERLINK("https://lindat.mff.cuni.cz/services/teitok/pdtc10/index.php?action=vallex&amp;frame=v-w243f187_MM", "být (v-w243f187_MM)")</f>
        <v>být (v-w243f187_MM)</v>
      </c>
    </row>
    <row r="1120" customFormat="false" ht="12.8" hidden="false" customHeight="false" outlineLevel="0" collapsed="false">
      <c r="B1120" s="0" t="s">
        <v>650</v>
      </c>
    </row>
    <row r="1121" customFormat="false" ht="12.8" hidden="false" customHeight="false" outlineLevel="0" collapsed="false">
      <c r="B1121" s="0" t="s">
        <v>651</v>
      </c>
    </row>
    <row r="1123" customFormat="false" ht="12.8" hidden="false" customHeight="false" outlineLevel="0" collapsed="false">
      <c r="A1123" s="0" t="s">
        <v>649</v>
      </c>
      <c r="B1123" s="0" t="str">
        <f aca="false">HYPERLINK("https://lindat.mff.cuni.cz/services/teitok/pdtc10/index.php?action=vallex&amp;frame=v-w243f1", "být (v-w243f1) - substituted with v-w243f187_MM")</f>
        <v>být (v-w243f1) - substituted with v-w243f187_MM</v>
      </c>
      <c r="G1123" s="0" t="s">
        <v>652</v>
      </c>
    </row>
    <row r="1124" customFormat="false" ht="12.8" hidden="false" customHeight="false" outlineLevel="0" collapsed="false">
      <c r="B1124" s="0" t="s">
        <v>650</v>
      </c>
      <c r="C1124" s="0" t="s">
        <v>653</v>
      </c>
      <c r="G1124" s="0" t="s">
        <v>654</v>
      </c>
    </row>
    <row r="1125" customFormat="false" ht="12.8" hidden="false" customHeight="false" outlineLevel="0" collapsed="false">
      <c r="B1125" s="0" t="s">
        <v>651</v>
      </c>
      <c r="C1125" s="0" t="s">
        <v>655</v>
      </c>
      <c r="G1125" s="0" t="s">
        <v>656</v>
      </c>
    </row>
    <row r="1127" customFormat="false" ht="12.8" hidden="false" customHeight="false" outlineLevel="0" collapsed="false">
      <c r="A1127" s="0" t="s">
        <v>649</v>
      </c>
      <c r="B1127" s="0" t="str">
        <f aca="false">HYPERLINK("https://lindat.mff.cuni.cz/services/teitok/pdtc10/index.php?action=vallex&amp;frame=v-w243f179_ZU", "být (v-w243f179_ZU) - substituted with v-w243f187_MM")</f>
        <v>být (v-w243f179_ZU) - substituted with v-w243f187_MM</v>
      </c>
    </row>
    <row r="1128" customFormat="false" ht="12.8" hidden="false" customHeight="false" outlineLevel="0" collapsed="false">
      <c r="B1128" s="0" t="s">
        <v>650</v>
      </c>
    </row>
    <row r="1129" customFormat="false" ht="12.8" hidden="false" customHeight="false" outlineLevel="0" collapsed="false">
      <c r="B1129" s="0" t="s">
        <v>651</v>
      </c>
    </row>
    <row r="1131" customFormat="false" ht="12.8" hidden="false" customHeight="false" outlineLevel="0" collapsed="false">
      <c r="A1131" s="0" t="s">
        <v>649</v>
      </c>
      <c r="B1131" s="0" t="str">
        <f aca="false">HYPERLINK("https://lindat.mff.cuni.cz/services/teitok/pdtc10/index.php?action=vallex&amp;frame=v-w243f186_MM", "být (v-w243f186_MM) - substituted with v-w243f187_MM")</f>
        <v>být (v-w243f186_MM) - substituted with v-w243f187_MM</v>
      </c>
    </row>
    <row r="1132" customFormat="false" ht="12.8" hidden="false" customHeight="false" outlineLevel="0" collapsed="false">
      <c r="B1132" s="0" t="s">
        <v>650</v>
      </c>
    </row>
    <row r="1133" customFormat="false" ht="12.8" hidden="false" customHeight="false" outlineLevel="0" collapsed="false">
      <c r="B1133" s="0" t="s">
        <v>651</v>
      </c>
    </row>
    <row r="1135" customFormat="false" ht="12.8" hidden="false" customHeight="false" outlineLevel="0" collapsed="false">
      <c r="A1135" s="0" t="s">
        <v>649</v>
      </c>
      <c r="B1135" s="0" t="str">
        <f aca="false">HYPERLINK("https://lindat.mff.cuni.cz/services/teitok/pdtc10/index.php?action=vallex&amp;frame=v-w243f56_ZU", "být (v-w243f56_ZU) - substituted with v-w243f187_MM")</f>
        <v>být (v-w243f56_ZU) - substituted with v-w243f187_MM</v>
      </c>
    </row>
    <row r="1136" customFormat="false" ht="12.8" hidden="false" customHeight="false" outlineLevel="0" collapsed="false">
      <c r="B1136" s="0" t="s">
        <v>650</v>
      </c>
      <c r="C1136" s="0" t="s">
        <v>498</v>
      </c>
    </row>
    <row r="1137" customFormat="false" ht="12.8" hidden="false" customHeight="false" outlineLevel="0" collapsed="false">
      <c r="B1137" s="0" t="s">
        <v>651</v>
      </c>
      <c r="C1137" s="0" t="s">
        <v>634</v>
      </c>
    </row>
    <row r="1139" customFormat="false" ht="12.8" hidden="false" customHeight="false" outlineLevel="0" collapsed="false">
      <c r="A1139" s="0" t="s">
        <v>649</v>
      </c>
      <c r="B1139" s="0" t="str">
        <f aca="false">HYPERLINK("https://lindat.mff.cuni.cz/services/teitok/pdtc10/index.php?action=vallex&amp;frame=v-w243f80_ZU", "být (v-w243f80_ZU) - substituted with v-w243f187_MM")</f>
        <v>být (v-w243f80_ZU) - substituted with v-w243f187_MM</v>
      </c>
    </row>
    <row r="1140" customFormat="false" ht="12.8" hidden="false" customHeight="false" outlineLevel="0" collapsed="false">
      <c r="B1140" s="0" t="s">
        <v>650</v>
      </c>
      <c r="C1140" s="0" t="s">
        <v>657</v>
      </c>
    </row>
    <row r="1141" customFormat="false" ht="12.8" hidden="false" customHeight="false" outlineLevel="0" collapsed="false">
      <c r="B1141" s="0" t="s">
        <v>651</v>
      </c>
      <c r="C1141" s="0" t="s">
        <v>658</v>
      </c>
    </row>
    <row r="1143" customFormat="false" ht="12.8" hidden="false" customHeight="false" outlineLevel="0" collapsed="false">
      <c r="A1143" s="0" t="s">
        <v>659</v>
      </c>
      <c r="B1143" s="0" t="str">
        <f aca="false">HYPERLINK("https://lindat.mff.cuni.cz/services/teitok/pdtc10/index.php?action=vallex&amp;frame=v-w243f65_ZU", "být (v-w243f65_ZU)")</f>
        <v>být (v-w243f65_ZU)</v>
      </c>
    </row>
    <row r="1144" customFormat="false" ht="12.8" hidden="false" customHeight="false" outlineLevel="0" collapsed="false">
      <c r="B1144" s="0" t="s">
        <v>7</v>
      </c>
      <c r="C1144" s="0" t="s">
        <v>498</v>
      </c>
    </row>
    <row r="1145" customFormat="false" ht="12.8" hidden="false" customHeight="false" outlineLevel="0" collapsed="false">
      <c r="B1145" s="0" t="s">
        <v>244</v>
      </c>
      <c r="C1145" s="0" t="s">
        <v>634</v>
      </c>
    </row>
    <row r="1147" customFormat="false" ht="12.8" hidden="false" customHeight="false" outlineLevel="0" collapsed="false">
      <c r="A1147" s="0" t="s">
        <v>660</v>
      </c>
      <c r="B1147" s="0" t="str">
        <f aca="false">HYPERLINK("https://lindat.mff.cuni.cz/services/teitok/pdtc10/index.php?action=vallex&amp;frame=v-w243f16", "být (v-w243f16)")</f>
        <v>být (v-w243f16)</v>
      </c>
    </row>
    <row r="1148" customFormat="false" ht="12.8" hidden="false" customHeight="false" outlineLevel="0" collapsed="false">
      <c r="B1148" s="0" t="s">
        <v>603</v>
      </c>
      <c r="C1148" s="0" t="s">
        <v>661</v>
      </c>
    </row>
    <row r="1149" customFormat="false" ht="12.8" hidden="false" customHeight="false" outlineLevel="0" collapsed="false">
      <c r="B1149" s="0" t="s">
        <v>662</v>
      </c>
      <c r="C1149" s="0" t="s">
        <v>663</v>
      </c>
    </row>
    <row r="1151" customFormat="false" ht="12.8" hidden="false" customHeight="false" outlineLevel="0" collapsed="false">
      <c r="A1151" s="0" t="s">
        <v>664</v>
      </c>
      <c r="B1151" s="0" t="str">
        <f aca="false">HYPERLINK("https://lindat.mff.cuni.cz/services/teitok/pdtc10/index.php?action=vallex&amp;frame=v-w243f26", "být (v-w243f26)")</f>
        <v>být (v-w243f26)</v>
      </c>
    </row>
    <row r="1152" customFormat="false" ht="12.8" hidden="false" customHeight="false" outlineLevel="0" collapsed="false">
      <c r="B1152" s="0" t="s">
        <v>665</v>
      </c>
    </row>
    <row r="1153" customFormat="false" ht="12.8" hidden="false" customHeight="false" outlineLevel="0" collapsed="false">
      <c r="B1153" s="0" t="s">
        <v>666</v>
      </c>
    </row>
    <row r="1155" customFormat="false" ht="12.8" hidden="false" customHeight="false" outlineLevel="0" collapsed="false">
      <c r="A1155" s="0" t="s">
        <v>667</v>
      </c>
      <c r="B1155" s="0" t="str">
        <f aca="false">HYPERLINK("https://lindat.mff.cuni.cz/services/teitok/pdtc10/index.php?action=vallex&amp;frame=v-w243f181_ZU", "být (v-w243f181_ZU)")</f>
        <v>být (v-w243f181_ZU)</v>
      </c>
    </row>
    <row r="1156" customFormat="false" ht="12.8" hidden="false" customHeight="false" outlineLevel="0" collapsed="false">
      <c r="B1156" s="0" t="s">
        <v>668</v>
      </c>
    </row>
    <row r="1158" customFormat="false" ht="12.8" hidden="false" customHeight="false" outlineLevel="0" collapsed="false">
      <c r="A1158" s="0" t="s">
        <v>667</v>
      </c>
      <c r="B1158" s="0" t="str">
        <f aca="false">HYPERLINK("https://lindat.mff.cuni.cz/services/teitok/pdtc10/index.php?action=vallex&amp;frame=v-w243f173_ZU", "být (v-w243f173_ZU) - substituted with v-w243f181_ZU")</f>
        <v>být (v-w243f173_ZU) - substituted with v-w243f181_ZU</v>
      </c>
    </row>
    <row r="1159" customFormat="false" ht="12.8" hidden="false" customHeight="false" outlineLevel="0" collapsed="false">
      <c r="B1159" s="0" t="s">
        <v>668</v>
      </c>
    </row>
    <row r="1161" customFormat="false" ht="12.8" hidden="false" customHeight="false" outlineLevel="0" collapsed="false">
      <c r="A1161" s="0" t="s">
        <v>667</v>
      </c>
      <c r="B1161" s="0" t="str">
        <f aca="false">HYPERLINK("https://lindat.mff.cuni.cz/services/teitok/pdtc10/index.php?action=vallex&amp;frame=v-w243f176_ZU", "být (v-w243f176_ZU) - substituted with v-w243f181_ZU")</f>
        <v>být (v-w243f176_ZU) - substituted with v-w243f181_ZU</v>
      </c>
    </row>
    <row r="1162" customFormat="false" ht="12.8" hidden="false" customHeight="false" outlineLevel="0" collapsed="false">
      <c r="B1162" s="0" t="s">
        <v>668</v>
      </c>
    </row>
    <row r="1164" customFormat="false" ht="12.8" hidden="false" customHeight="false" outlineLevel="0" collapsed="false">
      <c r="A1164" s="0" t="s">
        <v>667</v>
      </c>
      <c r="B1164" s="0" t="str">
        <f aca="false">HYPERLINK("https://lindat.mff.cuni.cz/services/teitok/pdtc10/index.php?action=vallex&amp;frame=v-w243f178_ZU", "být (v-w243f178_ZU) - substituted with v-w243f181_ZU")</f>
        <v>být (v-w243f178_ZU) - substituted with v-w243f181_ZU</v>
      </c>
    </row>
    <row r="1165" customFormat="false" ht="12.8" hidden="false" customHeight="false" outlineLevel="0" collapsed="false">
      <c r="B1165" s="0" t="s">
        <v>668</v>
      </c>
    </row>
    <row r="1167" customFormat="false" ht="12.8" hidden="false" customHeight="false" outlineLevel="0" collapsed="false">
      <c r="A1167" s="0" t="s">
        <v>667</v>
      </c>
      <c r="B1167" s="0" t="str">
        <f aca="false">HYPERLINK("https://lindat.mff.cuni.cz/services/teitok/pdtc10/index.php?action=vallex&amp;frame=v-w243f2", "být (v-w243f2) - substituted with v-w243f181_ZU")</f>
        <v>být (v-w243f2) - substituted with v-w243f181_ZU</v>
      </c>
    </row>
    <row r="1168" customFormat="false" ht="12.8" hidden="false" customHeight="false" outlineLevel="0" collapsed="false">
      <c r="B1168" s="0" t="s">
        <v>668</v>
      </c>
      <c r="C1168" s="0" t="s">
        <v>669</v>
      </c>
    </row>
    <row r="1170" customFormat="false" ht="12.8" hidden="false" customHeight="false" outlineLevel="0" collapsed="false">
      <c r="A1170" s="0" t="s">
        <v>670</v>
      </c>
      <c r="B1170" s="0" t="str">
        <f aca="false">HYPERLINK("https://lindat.mff.cuni.cz/services/teitok/pdtc10/index.php?action=vallex&amp;frame=v-w243f10", "být (v-w243f10)")</f>
        <v>být (v-w243f10)</v>
      </c>
    </row>
    <row r="1171" customFormat="false" ht="12.8" hidden="false" customHeight="false" outlineLevel="0" collapsed="false">
      <c r="B1171" s="0" t="s">
        <v>671</v>
      </c>
      <c r="C1171" s="0" t="s">
        <v>672</v>
      </c>
    </row>
    <row r="1173" customFormat="false" ht="12.8" hidden="false" customHeight="false" outlineLevel="0" collapsed="false">
      <c r="A1173" s="0" t="s">
        <v>673</v>
      </c>
      <c r="B1173" s="0" t="str">
        <f aca="false">HYPERLINK("https://lindat.mff.cuni.cz/services/teitok/pdtc10/index.php?action=vallex&amp;frame=v-w243f53", "být (v-w243f53)")</f>
        <v>být (v-w243f53)</v>
      </c>
    </row>
    <row r="1174" customFormat="false" ht="12.8" hidden="false" customHeight="false" outlineLevel="0" collapsed="false">
      <c r="B1174" s="0" t="s">
        <v>674</v>
      </c>
      <c r="C1174" s="0" t="s">
        <v>498</v>
      </c>
    </row>
    <row r="1176" customFormat="false" ht="12.8" hidden="false" customHeight="false" outlineLevel="0" collapsed="false">
      <c r="A1176" s="0" t="s">
        <v>675</v>
      </c>
      <c r="B1176" s="0" t="str">
        <f aca="false">HYPERLINK("https://lindat.mff.cuni.cz/services/teitok/pdtc10/index.php?action=vallex&amp;frame=v-w243f18", "být (v-w243f18)")</f>
        <v>být (v-w243f18)</v>
      </c>
    </row>
    <row r="1177" customFormat="false" ht="12.8" hidden="false" customHeight="false" outlineLevel="0" collapsed="false">
      <c r="B1177" s="0" t="s">
        <v>676</v>
      </c>
      <c r="C1177" s="0" t="s">
        <v>677</v>
      </c>
    </row>
    <row r="1179" customFormat="false" ht="12.8" hidden="false" customHeight="false" outlineLevel="0" collapsed="false">
      <c r="A1179" s="0" t="s">
        <v>678</v>
      </c>
      <c r="B1179" s="0" t="str">
        <f aca="false">HYPERLINK("https://lindat.mff.cuni.cz/services/teitok/pdtc10/index.php?action=vallex&amp;frame=v-w243f54", "být (v-w243f54)")</f>
        <v>být (v-w243f54)</v>
      </c>
    </row>
    <row r="1180" customFormat="false" ht="12.8" hidden="false" customHeight="false" outlineLevel="0" collapsed="false">
      <c r="B1180" s="0" t="s">
        <v>679</v>
      </c>
    </row>
    <row r="1182" customFormat="false" ht="12.8" hidden="false" customHeight="false" outlineLevel="0" collapsed="false">
      <c r="A1182" s="0" t="s">
        <v>680</v>
      </c>
      <c r="B1182" s="0" t="str">
        <f aca="false">HYPERLINK("https://lindat.mff.cuni.cz/services/teitok/pdtc10/index.php?action=vallex&amp;frame=v-w243f34", "být (v-w243f34)")</f>
        <v>být (v-w243f34)</v>
      </c>
    </row>
    <row r="1183" customFormat="false" ht="12.8" hidden="false" customHeight="false" outlineLevel="0" collapsed="false">
      <c r="B1183" s="0" t="s">
        <v>681</v>
      </c>
    </row>
    <row r="1185" customFormat="false" ht="12.8" hidden="false" customHeight="false" outlineLevel="0" collapsed="false">
      <c r="A1185" s="0" t="s">
        <v>682</v>
      </c>
      <c r="B1185" s="0" t="str">
        <f aca="false">HYPERLINK("https://lindat.mff.cuni.cz/services/teitok/pdtc10/index.php?action=vallex&amp;frame=v-w243f6", "být (v-w243f6)")</f>
        <v>být (v-w243f6)</v>
      </c>
    </row>
    <row r="1186" customFormat="false" ht="12.8" hidden="false" customHeight="false" outlineLevel="0" collapsed="false">
      <c r="B1186" s="0" t="s">
        <v>552</v>
      </c>
    </row>
    <row r="1187" customFormat="false" ht="12.8" hidden="false" customHeight="false" outlineLevel="0" collapsed="false">
      <c r="B1187" s="0" t="s">
        <v>474</v>
      </c>
      <c r="C1187" s="0" t="s">
        <v>683</v>
      </c>
    </row>
    <row r="1188" customFormat="false" ht="12.8" hidden="false" customHeight="false" outlineLevel="0" collapsed="false">
      <c r="B1188" s="0" t="s">
        <v>477</v>
      </c>
    </row>
    <row r="1189" customFormat="false" ht="12.8" hidden="false" customHeight="false" outlineLevel="0" collapsed="false">
      <c r="B1189" s="0" t="s">
        <v>479</v>
      </c>
    </row>
    <row r="1190" customFormat="false" ht="12.8" hidden="false" customHeight="false" outlineLevel="0" collapsed="false">
      <c r="B1190" s="0" t="s">
        <v>481</v>
      </c>
    </row>
    <row r="1191" customFormat="false" ht="12.8" hidden="false" customHeight="false" outlineLevel="0" collapsed="false">
      <c r="B1191" s="0" t="s">
        <v>483</v>
      </c>
    </row>
    <row r="1193" customFormat="false" ht="12.8" hidden="false" customHeight="false" outlineLevel="0" collapsed="false">
      <c r="A1193" s="0" t="s">
        <v>684</v>
      </c>
      <c r="B1193" s="0" t="str">
        <f aca="false">HYPERLINK("https://lindat.mff.cuni.cz/services/teitok/pdtc10/index.php?action=vallex&amp;frame=v-w243f13", "být (v-w243f13)")</f>
        <v>být (v-w243f13)</v>
      </c>
    </row>
    <row r="1194" customFormat="false" ht="12.8" hidden="false" customHeight="false" outlineLevel="0" collapsed="false">
      <c r="B1194" s="0" t="s">
        <v>685</v>
      </c>
      <c r="C1194" s="0" t="s">
        <v>686</v>
      </c>
    </row>
    <row r="1195" customFormat="false" ht="12.8" hidden="false" customHeight="false" outlineLevel="0" collapsed="false">
      <c r="B1195" s="0" t="s">
        <v>687</v>
      </c>
      <c r="C1195" s="0" t="s">
        <v>500</v>
      </c>
    </row>
    <row r="1196" customFormat="false" ht="12.8" hidden="false" customHeight="false" outlineLevel="0" collapsed="false">
      <c r="B1196" s="0" t="s">
        <v>48</v>
      </c>
      <c r="C1196" s="0" t="s">
        <v>688</v>
      </c>
    </row>
    <row r="1198" customFormat="false" ht="12.8" hidden="false" customHeight="false" outlineLevel="0" collapsed="false">
      <c r="A1198" s="0" t="s">
        <v>689</v>
      </c>
      <c r="B1198" s="0" t="str">
        <f aca="false">HYPERLINK("https://lindat.mff.cuni.cz/services/teitok/pdtc10/index.php?action=vallex&amp;frame=v-w243f17", "být (v-w243f17)")</f>
        <v>být (v-w243f17)</v>
      </c>
    </row>
    <row r="1199" customFormat="false" ht="12.8" hidden="false" customHeight="false" outlineLevel="0" collapsed="false">
      <c r="B1199" s="0" t="s">
        <v>690</v>
      </c>
    </row>
    <row r="1200" customFormat="false" ht="12.8" hidden="false" customHeight="false" outlineLevel="0" collapsed="false">
      <c r="B1200" s="0" t="s">
        <v>691</v>
      </c>
      <c r="C1200" s="0" t="s">
        <v>500</v>
      </c>
    </row>
    <row r="1201" customFormat="false" ht="12.8" hidden="false" customHeight="false" outlineLevel="0" collapsed="false">
      <c r="B1201" s="0" t="s">
        <v>48</v>
      </c>
      <c r="C1201" s="0" t="s">
        <v>692</v>
      </c>
    </row>
    <row r="1203" customFormat="false" ht="12.8" hidden="false" customHeight="false" outlineLevel="0" collapsed="false">
      <c r="A1203" s="0" t="s">
        <v>693</v>
      </c>
      <c r="B1203" s="0" t="str">
        <f aca="false">HYPERLINK("https://lindat.mff.cuni.cz/services/teitok/pdtc10/index.php?action=vallex&amp;frame=v-w243f185_MM", "být (v-w243f185_MM)")</f>
        <v>být (v-w243f185_MM)</v>
      </c>
    </row>
    <row r="1204" customFormat="false" ht="12.8" hidden="false" customHeight="false" outlineLevel="0" collapsed="false">
      <c r="B1204" s="0" t="s">
        <v>694</v>
      </c>
    </row>
    <row r="1205" customFormat="false" ht="12.8" hidden="false" customHeight="false" outlineLevel="0" collapsed="false">
      <c r="B1205" s="0" t="s">
        <v>695</v>
      </c>
    </row>
    <row r="1207" customFormat="false" ht="12.8" hidden="false" customHeight="false" outlineLevel="0" collapsed="false">
      <c r="A1207" s="0" t="s">
        <v>693</v>
      </c>
      <c r="B1207" s="0" t="str">
        <f aca="false">HYPERLINK("https://lindat.mff.cuni.cz/services/teitok/pdtc10/index.php?action=vallex&amp;frame=v-w243f124_ZU", "být (v-w243f124_ZU) - substituted with v-w243f185_MM")</f>
        <v>být (v-w243f124_ZU) - substituted with v-w243f185_MM</v>
      </c>
    </row>
    <row r="1208" customFormat="false" ht="12.8" hidden="false" customHeight="false" outlineLevel="0" collapsed="false">
      <c r="B1208" s="0" t="s">
        <v>694</v>
      </c>
      <c r="C1208" s="0" t="s">
        <v>498</v>
      </c>
    </row>
    <row r="1209" customFormat="false" ht="12.8" hidden="false" customHeight="false" outlineLevel="0" collapsed="false">
      <c r="B1209" s="0" t="s">
        <v>695</v>
      </c>
      <c r="C1209" s="0" t="s">
        <v>500</v>
      </c>
    </row>
    <row r="1211" customFormat="false" ht="12.8" hidden="false" customHeight="false" outlineLevel="0" collapsed="false">
      <c r="A1211" s="0" t="s">
        <v>693</v>
      </c>
      <c r="B1211" s="0" t="str">
        <f aca="false">HYPERLINK("https://lindat.mff.cuni.cz/services/teitok/pdtc10/index.php?action=vallex&amp;frame=v-w243f3", "být (v-w243f3) - substituted with v-w243f185_MM")</f>
        <v>být (v-w243f3) - substituted with v-w243f185_MM</v>
      </c>
    </row>
    <row r="1212" customFormat="false" ht="12.8" hidden="false" customHeight="false" outlineLevel="0" collapsed="false">
      <c r="B1212" s="0" t="s">
        <v>694</v>
      </c>
      <c r="C1212" s="0" t="s">
        <v>696</v>
      </c>
    </row>
    <row r="1213" customFormat="false" ht="12.8" hidden="false" customHeight="false" outlineLevel="0" collapsed="false">
      <c r="B1213" s="0" t="s">
        <v>695</v>
      </c>
      <c r="C1213" s="0" t="s">
        <v>500</v>
      </c>
    </row>
    <row r="1215" customFormat="false" ht="12.8" hidden="false" customHeight="false" outlineLevel="0" collapsed="false">
      <c r="A1215" s="0" t="s">
        <v>697</v>
      </c>
      <c r="B1215" s="0" t="str">
        <f aca="false">HYPERLINK("https://lindat.mff.cuni.cz/services/teitok/pdtc10/index.php?action=vallex&amp;frame=v-w243f125_ZU", "být (v-w243f125_ZU)")</f>
        <v>být (v-w243f125_ZU)</v>
      </c>
    </row>
    <row r="1216" customFormat="false" ht="12.8" hidden="false" customHeight="false" outlineLevel="0" collapsed="false">
      <c r="B1216" s="0" t="s">
        <v>698</v>
      </c>
    </row>
    <row r="1217" customFormat="false" ht="12.8" hidden="false" customHeight="false" outlineLevel="0" collapsed="false">
      <c r="B1217" s="0" t="s">
        <v>699</v>
      </c>
    </row>
    <row r="1219" customFormat="false" ht="12.8" hidden="false" customHeight="false" outlineLevel="0" collapsed="false">
      <c r="A1219" s="0" t="s">
        <v>697</v>
      </c>
      <c r="B1219" s="0" t="str">
        <f aca="false">HYPERLINK("https://lindat.mff.cuni.cz/services/teitok/pdtc10/index.php?action=vallex&amp;frame=v-w243f4", "být (v-w243f4) - substituted with v-w243f125_ZU")</f>
        <v>být (v-w243f4) - substituted with v-w243f125_ZU</v>
      </c>
    </row>
    <row r="1220" customFormat="false" ht="12.8" hidden="false" customHeight="false" outlineLevel="0" collapsed="false">
      <c r="B1220" s="0" t="s">
        <v>698</v>
      </c>
      <c r="C1220" s="0" t="s">
        <v>700</v>
      </c>
    </row>
    <row r="1221" customFormat="false" ht="12.8" hidden="false" customHeight="false" outlineLevel="0" collapsed="false">
      <c r="B1221" s="0" t="s">
        <v>699</v>
      </c>
      <c r="C1221" s="0" t="s">
        <v>701</v>
      </c>
    </row>
    <row r="1223" customFormat="false" ht="12.8" hidden="false" customHeight="false" outlineLevel="0" collapsed="false">
      <c r="A1223" s="0" t="s">
        <v>697</v>
      </c>
      <c r="B1223" s="0" t="str">
        <f aca="false">HYPERLINK("https://lindat.mff.cuni.cz/services/teitok/pdtc10/index.php?action=vallex&amp;frame=v-w243f58_ZU", "být (v-w243f58_ZU) - substituted with v-w243f125_ZU")</f>
        <v>být (v-w243f58_ZU) - substituted with v-w243f125_ZU</v>
      </c>
    </row>
    <row r="1224" customFormat="false" ht="12.8" hidden="false" customHeight="false" outlineLevel="0" collapsed="false">
      <c r="B1224" s="0" t="s">
        <v>698</v>
      </c>
      <c r="C1224" s="0" t="s">
        <v>702</v>
      </c>
    </row>
    <row r="1225" customFormat="false" ht="12.8" hidden="false" customHeight="false" outlineLevel="0" collapsed="false">
      <c r="B1225" s="0" t="s">
        <v>699</v>
      </c>
      <c r="C1225" s="0" t="s">
        <v>703</v>
      </c>
    </row>
    <row r="1227" customFormat="false" ht="12.8" hidden="false" customHeight="false" outlineLevel="0" collapsed="false">
      <c r="A1227" s="0" t="s">
        <v>697</v>
      </c>
      <c r="B1227" s="0" t="str">
        <f aca="false">HYPERLINK("https://lindat.mff.cuni.cz/services/teitok/pdtc10/index.php?action=vallex&amp;frame=v-w243hsa_84", "být (v-w243hsa_84) - substituted with v-w243f125_ZU")</f>
        <v>být (v-w243hsa_84) - substituted with v-w243f125_ZU</v>
      </c>
    </row>
    <row r="1228" customFormat="false" ht="12.8" hidden="false" customHeight="false" outlineLevel="0" collapsed="false">
      <c r="B1228" s="0" t="s">
        <v>698</v>
      </c>
      <c r="C1228" s="0" t="s">
        <v>498</v>
      </c>
    </row>
    <row r="1229" customFormat="false" ht="12.8" hidden="false" customHeight="false" outlineLevel="0" collapsed="false">
      <c r="B1229" s="0" t="s">
        <v>699</v>
      </c>
      <c r="C1229" s="0" t="s">
        <v>500</v>
      </c>
    </row>
    <row r="1231" customFormat="false" ht="12.8" hidden="false" customHeight="false" outlineLevel="0" collapsed="false">
      <c r="A1231" s="0" t="s">
        <v>704</v>
      </c>
      <c r="B1231" s="0" t="str">
        <f aca="false">HYPERLINK("https://lindat.mff.cuni.cz/services/teitok/pdtc10/index.php?action=vallex&amp;frame=v-w243f118_ZU", "být (v-w243f118_ZU)")</f>
        <v>být (v-w243f118_ZU)</v>
      </c>
    </row>
    <row r="1232" customFormat="false" ht="12.8" hidden="false" customHeight="false" outlineLevel="0" collapsed="false">
      <c r="B1232" s="0" t="s">
        <v>7</v>
      </c>
    </row>
    <row r="1233" customFormat="false" ht="12.8" hidden="false" customHeight="false" outlineLevel="0" collapsed="false">
      <c r="B1233" s="0" t="s">
        <v>705</v>
      </c>
    </row>
    <row r="1234" customFormat="false" ht="12.8" hidden="false" customHeight="false" outlineLevel="0" collapsed="false">
      <c r="B1234" s="0" t="s">
        <v>706</v>
      </c>
    </row>
    <row r="1235" customFormat="false" ht="12.8" hidden="false" customHeight="false" outlineLevel="0" collapsed="false">
      <c r="B1235" s="0" t="s">
        <v>207</v>
      </c>
    </row>
    <row r="1237" customFormat="false" ht="12.8" hidden="false" customHeight="false" outlineLevel="0" collapsed="false">
      <c r="A1237" s="0" t="s">
        <v>704</v>
      </c>
      <c r="B1237" s="0" t="str">
        <f aca="false">HYPERLINK("https://lindat.mff.cuni.cz/services/teitok/pdtc10/index.php?action=vallex&amp;frame=v-w243f72_ZU", "být (v-w243f72_ZU) - substituted with v-w243f118_ZU")</f>
        <v>být (v-w243f72_ZU) - substituted with v-w243f118_ZU</v>
      </c>
    </row>
    <row r="1238" customFormat="false" ht="12.8" hidden="false" customHeight="false" outlineLevel="0" collapsed="false">
      <c r="B1238" s="0" t="s">
        <v>7</v>
      </c>
      <c r="C1238" s="0" t="s">
        <v>498</v>
      </c>
    </row>
    <row r="1239" customFormat="false" ht="12.8" hidden="false" customHeight="false" outlineLevel="0" collapsed="false">
      <c r="B1239" s="0" t="s">
        <v>705</v>
      </c>
      <c r="C1239" s="0" t="s">
        <v>707</v>
      </c>
    </row>
    <row r="1240" customFormat="false" ht="12.8" hidden="false" customHeight="false" outlineLevel="0" collapsed="false">
      <c r="B1240" s="0" t="s">
        <v>706</v>
      </c>
    </row>
    <row r="1241" customFormat="false" ht="12.8" hidden="false" customHeight="false" outlineLevel="0" collapsed="false">
      <c r="B1241" s="0" t="s">
        <v>207</v>
      </c>
    </row>
    <row r="1243" customFormat="false" ht="12.8" hidden="false" customHeight="false" outlineLevel="0" collapsed="false">
      <c r="A1243" s="0" t="s">
        <v>704</v>
      </c>
      <c r="B1243" s="0" t="str">
        <f aca="false">HYPERLINK("https://lindat.mff.cuni.cz/services/teitok/pdtc10/index.php?action=vallex&amp;frame=v-w243f75_ZU", "být (v-w243f75_ZU) - substituted with v-w243f118_ZU")</f>
        <v>být (v-w243f75_ZU) - substituted with v-w243f118_ZU</v>
      </c>
    </row>
    <row r="1244" customFormat="false" ht="12.8" hidden="false" customHeight="false" outlineLevel="0" collapsed="false">
      <c r="B1244" s="0" t="s">
        <v>7</v>
      </c>
      <c r="C1244" s="0" t="s">
        <v>708</v>
      </c>
    </row>
    <row r="1245" customFormat="false" ht="12.8" hidden="false" customHeight="false" outlineLevel="0" collapsed="false">
      <c r="B1245" s="0" t="s">
        <v>705</v>
      </c>
    </row>
    <row r="1246" customFormat="false" ht="12.8" hidden="false" customHeight="false" outlineLevel="0" collapsed="false">
      <c r="B1246" s="0" t="s">
        <v>706</v>
      </c>
    </row>
    <row r="1247" customFormat="false" ht="12.8" hidden="false" customHeight="false" outlineLevel="0" collapsed="false">
      <c r="B1247" s="0" t="s">
        <v>207</v>
      </c>
      <c r="C1247" s="0" t="s">
        <v>709</v>
      </c>
    </row>
    <row r="1249" customFormat="false" ht="12.8" hidden="false" customHeight="false" outlineLevel="0" collapsed="false">
      <c r="A1249" s="0" t="s">
        <v>710</v>
      </c>
      <c r="B1249" s="0" t="str">
        <f aca="false">HYPERLINK("https://lindat.mff.cuni.cz/services/teitok/pdtc10/index.php?action=vallex&amp;frame=v-w243f36", "být (v-w243f36)")</f>
        <v>být (v-w243f36)</v>
      </c>
    </row>
    <row r="1250" customFormat="false" ht="12.8" hidden="false" customHeight="false" outlineLevel="0" collapsed="false">
      <c r="B1250" s="0" t="s">
        <v>7</v>
      </c>
    </row>
    <row r="1251" customFormat="false" ht="12.8" hidden="false" customHeight="false" outlineLevel="0" collapsed="false">
      <c r="B1251" s="0" t="s">
        <v>711</v>
      </c>
    </row>
    <row r="1252" customFormat="false" ht="12.8" hidden="false" customHeight="false" outlineLevel="0" collapsed="false">
      <c r="B1252" s="0" t="s">
        <v>712</v>
      </c>
    </row>
    <row r="1254" customFormat="false" ht="12.8" hidden="false" customHeight="false" outlineLevel="0" collapsed="false">
      <c r="A1254" s="0" t="s">
        <v>713</v>
      </c>
      <c r="B1254" s="0" t="str">
        <f aca="false">HYPERLINK("https://lindat.mff.cuni.cz/services/teitok/pdtc10/index.php?action=vallex&amp;frame=v-w243f12", "být (v-w243f12)")</f>
        <v>být (v-w243f12)</v>
      </c>
    </row>
    <row r="1255" customFormat="false" ht="12.8" hidden="false" customHeight="false" outlineLevel="0" collapsed="false">
      <c r="B1255" s="0" t="s">
        <v>7</v>
      </c>
      <c r="D1255" s="0" t="s">
        <v>714</v>
      </c>
      <c r="E1255" s="0" t="s">
        <v>714</v>
      </c>
      <c r="F1255" s="0" t="s">
        <v>714</v>
      </c>
    </row>
    <row r="1256" customFormat="false" ht="12.8" hidden="false" customHeight="false" outlineLevel="0" collapsed="false">
      <c r="B1256" s="0" t="s">
        <v>715</v>
      </c>
    </row>
    <row r="1257" customFormat="false" ht="12.8" hidden="false" customHeight="false" outlineLevel="0" collapsed="false">
      <c r="B1257" s="0" t="s">
        <v>712</v>
      </c>
      <c r="D1257" s="0" t="s">
        <v>716</v>
      </c>
      <c r="E1257" s="0" t="s">
        <v>716</v>
      </c>
      <c r="F1257" s="0" t="s">
        <v>716</v>
      </c>
    </row>
    <row r="1259" customFormat="false" ht="12.8" hidden="false" customHeight="false" outlineLevel="0" collapsed="false">
      <c r="A1259" s="0" t="s">
        <v>717</v>
      </c>
      <c r="B1259" s="0" t="str">
        <f aca="false">HYPERLINK("https://lindat.mff.cuni.cz/services/teitok/pdtc10/index.php?action=vallex&amp;frame=v-w243f43", "být (v-w243f43)")</f>
        <v>být (v-w243f43)</v>
      </c>
    </row>
    <row r="1260" customFormat="false" ht="12.8" hidden="false" customHeight="false" outlineLevel="0" collapsed="false">
      <c r="B1260" s="0" t="s">
        <v>7</v>
      </c>
    </row>
    <row r="1261" customFormat="false" ht="12.8" hidden="false" customHeight="false" outlineLevel="0" collapsed="false">
      <c r="B1261" s="0" t="s">
        <v>718</v>
      </c>
    </row>
    <row r="1262" customFormat="false" ht="12.8" hidden="false" customHeight="false" outlineLevel="0" collapsed="false">
      <c r="B1262" s="0" t="s">
        <v>548</v>
      </c>
    </row>
    <row r="1264" customFormat="false" ht="12.8" hidden="false" customHeight="false" outlineLevel="0" collapsed="false">
      <c r="A1264" s="0" t="s">
        <v>719</v>
      </c>
      <c r="B1264" s="0" t="str">
        <f aca="false">HYPERLINK("https://lindat.mff.cuni.cz/services/teitok/pdtc10/index.php?action=vallex&amp;frame=v-w243f122_ZU", "být (v-w243f122_ZU)")</f>
        <v>být (v-w243f122_ZU)</v>
      </c>
    </row>
    <row r="1265" customFormat="false" ht="12.8" hidden="false" customHeight="false" outlineLevel="0" collapsed="false">
      <c r="B1265" s="0" t="s">
        <v>7</v>
      </c>
    </row>
    <row r="1266" customFormat="false" ht="12.8" hidden="false" customHeight="false" outlineLevel="0" collapsed="false">
      <c r="B1266" s="0" t="s">
        <v>720</v>
      </c>
      <c r="C1266" s="0" t="s">
        <v>707</v>
      </c>
    </row>
    <row r="1267" customFormat="false" ht="12.8" hidden="false" customHeight="false" outlineLevel="0" collapsed="false">
      <c r="B1267" s="0" t="s">
        <v>142</v>
      </c>
      <c r="C1267" s="0" t="s">
        <v>721</v>
      </c>
    </row>
    <row r="1269" customFormat="false" ht="12.8" hidden="false" customHeight="false" outlineLevel="0" collapsed="false">
      <c r="A1269" s="0" t="s">
        <v>719</v>
      </c>
      <c r="B1269" s="0" t="str">
        <f aca="false">HYPERLINK("https://lindat.mff.cuni.cz/services/teitok/pdtc10/index.php?action=vallex&amp;frame=v-w243f100_ZU", "být (v-w243f100_ZU) - substituted with v-w243f122_ZU")</f>
        <v>být (v-w243f100_ZU) - substituted with v-w243f122_ZU</v>
      </c>
    </row>
    <row r="1270" customFormat="false" ht="12.8" hidden="false" customHeight="false" outlineLevel="0" collapsed="false">
      <c r="B1270" s="0" t="s">
        <v>7</v>
      </c>
      <c r="C1270" s="0" t="s">
        <v>498</v>
      </c>
    </row>
    <row r="1271" customFormat="false" ht="12.8" hidden="false" customHeight="false" outlineLevel="0" collapsed="false">
      <c r="B1271" s="0" t="s">
        <v>720</v>
      </c>
      <c r="C1271" s="0" t="s">
        <v>707</v>
      </c>
    </row>
    <row r="1272" customFormat="false" ht="12.8" hidden="false" customHeight="false" outlineLevel="0" collapsed="false">
      <c r="B1272" s="0" t="s">
        <v>142</v>
      </c>
    </row>
    <row r="1274" customFormat="false" ht="12.8" hidden="false" customHeight="false" outlineLevel="0" collapsed="false">
      <c r="A1274" s="0" t="s">
        <v>719</v>
      </c>
      <c r="B1274" s="0" t="str">
        <f aca="false">HYPERLINK("https://lindat.mff.cuni.cz/services/teitok/pdtc10/index.php?action=vallex&amp;frame=v-w243f121_ZU", "být (v-w243f121_ZU) - substituted with v-w243f122_ZU")</f>
        <v>být (v-w243f121_ZU) - substituted with v-w243f122_ZU</v>
      </c>
    </row>
    <row r="1275" customFormat="false" ht="12.8" hidden="false" customHeight="false" outlineLevel="0" collapsed="false">
      <c r="B1275" s="0" t="s">
        <v>7</v>
      </c>
    </row>
    <row r="1276" customFormat="false" ht="12.8" hidden="false" customHeight="false" outlineLevel="0" collapsed="false">
      <c r="B1276" s="0" t="s">
        <v>720</v>
      </c>
    </row>
    <row r="1277" customFormat="false" ht="12.8" hidden="false" customHeight="false" outlineLevel="0" collapsed="false">
      <c r="B1277" s="0" t="s">
        <v>142</v>
      </c>
    </row>
    <row r="1279" customFormat="false" ht="12.8" hidden="false" customHeight="false" outlineLevel="0" collapsed="false">
      <c r="A1279" s="0" t="s">
        <v>719</v>
      </c>
      <c r="B1279" s="0" t="str">
        <f aca="false">HYPERLINK("https://lindat.mff.cuni.cz/services/teitok/pdtc10/index.php?action=vallex&amp;frame=v-w243f62_ZU", "být (v-w243f62_ZU) - substituted with v-w243f122_ZU")</f>
        <v>být (v-w243f62_ZU) - substituted with v-w243f122_ZU</v>
      </c>
    </row>
    <row r="1280" customFormat="false" ht="12.8" hidden="false" customHeight="false" outlineLevel="0" collapsed="false">
      <c r="B1280" s="0" t="s">
        <v>7</v>
      </c>
    </row>
    <row r="1281" customFormat="false" ht="12.8" hidden="false" customHeight="false" outlineLevel="0" collapsed="false">
      <c r="B1281" s="0" t="s">
        <v>720</v>
      </c>
    </row>
    <row r="1282" customFormat="false" ht="12.8" hidden="false" customHeight="false" outlineLevel="0" collapsed="false">
      <c r="B1282" s="0" t="s">
        <v>142</v>
      </c>
    </row>
    <row r="1284" customFormat="false" ht="12.8" hidden="false" customHeight="false" outlineLevel="0" collapsed="false">
      <c r="A1284" s="0" t="s">
        <v>719</v>
      </c>
      <c r="B1284" s="0" t="str">
        <f aca="false">HYPERLINK("https://lindat.mff.cuni.cz/services/teitok/pdtc10/index.php?action=vallex&amp;frame=v-w243f63_ZU", "být (v-w243f63_ZU) - substituted with v-w243f122_ZU")</f>
        <v>být (v-w243f63_ZU) - substituted with v-w243f122_ZU</v>
      </c>
    </row>
    <row r="1285" customFormat="false" ht="12.8" hidden="false" customHeight="false" outlineLevel="0" collapsed="false">
      <c r="B1285" s="0" t="s">
        <v>7</v>
      </c>
    </row>
    <row r="1286" customFormat="false" ht="12.8" hidden="false" customHeight="false" outlineLevel="0" collapsed="false">
      <c r="B1286" s="0" t="s">
        <v>720</v>
      </c>
    </row>
    <row r="1287" customFormat="false" ht="12.8" hidden="false" customHeight="false" outlineLevel="0" collapsed="false">
      <c r="B1287" s="0" t="s">
        <v>142</v>
      </c>
    </row>
    <row r="1289" customFormat="false" ht="12.8" hidden="false" customHeight="false" outlineLevel="0" collapsed="false">
      <c r="A1289" s="0" t="s">
        <v>722</v>
      </c>
      <c r="B1289" s="0" t="str">
        <f aca="false">HYPERLINK("https://lindat.mff.cuni.cz/services/teitok/pdtc10/index.php?action=vallex&amp;frame=v-w243f61_ZU", "být (v-w243f61_ZU)")</f>
        <v>být (v-w243f61_ZU)</v>
      </c>
    </row>
    <row r="1290" customFormat="false" ht="12.8" hidden="false" customHeight="false" outlineLevel="0" collapsed="false">
      <c r="B1290" s="0" t="s">
        <v>7</v>
      </c>
      <c r="C1290" s="0" t="s">
        <v>723</v>
      </c>
    </row>
    <row r="1291" customFormat="false" ht="12.8" hidden="false" customHeight="false" outlineLevel="0" collapsed="false">
      <c r="B1291" s="0" t="s">
        <v>724</v>
      </c>
    </row>
    <row r="1292" customFormat="false" ht="12.8" hidden="false" customHeight="false" outlineLevel="0" collapsed="false">
      <c r="B1292" s="0" t="s">
        <v>41</v>
      </c>
      <c r="C1292" s="0" t="s">
        <v>725</v>
      </c>
    </row>
    <row r="1294" customFormat="false" ht="12.8" hidden="false" customHeight="false" outlineLevel="0" collapsed="false">
      <c r="A1294" s="0" t="s">
        <v>726</v>
      </c>
      <c r="B1294" s="0" t="str">
        <f aca="false">HYPERLINK("https://lindat.mff.cuni.cz/services/teitok/pdtc10/index.php?action=vallex&amp;frame=v-w243f127_ZU", "být (v-w243f127_ZU)")</f>
        <v>být (v-w243f127_ZU)</v>
      </c>
    </row>
    <row r="1295" customFormat="false" ht="12.8" hidden="false" customHeight="false" outlineLevel="0" collapsed="false">
      <c r="B1295" s="0" t="s">
        <v>7</v>
      </c>
      <c r="C1295" s="0" t="s">
        <v>727</v>
      </c>
    </row>
    <row r="1296" customFormat="false" ht="12.8" hidden="false" customHeight="false" outlineLevel="0" collapsed="false">
      <c r="B1296" s="0" t="s">
        <v>728</v>
      </c>
      <c r="C1296" s="0" t="s">
        <v>729</v>
      </c>
    </row>
    <row r="1297" customFormat="false" ht="12.8" hidden="false" customHeight="false" outlineLevel="0" collapsed="false">
      <c r="B1297" s="0" t="s">
        <v>730</v>
      </c>
    </row>
    <row r="1299" customFormat="false" ht="12.8" hidden="false" customHeight="false" outlineLevel="0" collapsed="false">
      <c r="A1299" s="0" t="s">
        <v>726</v>
      </c>
      <c r="B1299" s="0" t="str">
        <f aca="false">HYPERLINK("https://lindat.mff.cuni.cz/services/teitok/pdtc10/index.php?action=vallex&amp;frame=v-w243f126_ZU", "být (v-w243f126_ZU) - substituted with v-w243f127_ZU")</f>
        <v>být (v-w243f126_ZU) - substituted with v-w243f127_ZU</v>
      </c>
    </row>
    <row r="1300" customFormat="false" ht="12.8" hidden="false" customHeight="false" outlineLevel="0" collapsed="false">
      <c r="B1300" s="0" t="s">
        <v>7</v>
      </c>
      <c r="C1300" s="0" t="s">
        <v>727</v>
      </c>
    </row>
    <row r="1301" customFormat="false" ht="12.8" hidden="false" customHeight="false" outlineLevel="0" collapsed="false">
      <c r="B1301" s="0" t="s">
        <v>728</v>
      </c>
      <c r="C1301" s="0" t="s">
        <v>729</v>
      </c>
    </row>
    <row r="1302" customFormat="false" ht="12.8" hidden="false" customHeight="false" outlineLevel="0" collapsed="false">
      <c r="B1302" s="0" t="s">
        <v>730</v>
      </c>
    </row>
    <row r="1304" customFormat="false" ht="12.8" hidden="false" customHeight="false" outlineLevel="0" collapsed="false">
      <c r="A1304" s="0" t="s">
        <v>726</v>
      </c>
      <c r="B1304" s="0" t="str">
        <f aca="false">HYPERLINK("https://lindat.mff.cuni.cz/services/teitok/pdtc10/index.php?action=vallex&amp;frame=v-w243f66_ZU", "být (v-w243f66_ZU) - substituted with v-w243f127_ZU")</f>
        <v>být (v-w243f66_ZU) - substituted with v-w243f127_ZU</v>
      </c>
    </row>
    <row r="1305" customFormat="false" ht="12.8" hidden="false" customHeight="false" outlineLevel="0" collapsed="false">
      <c r="B1305" s="0" t="s">
        <v>7</v>
      </c>
    </row>
    <row r="1306" customFormat="false" ht="12.8" hidden="false" customHeight="false" outlineLevel="0" collapsed="false">
      <c r="B1306" s="0" t="s">
        <v>728</v>
      </c>
    </row>
    <row r="1307" customFormat="false" ht="12.8" hidden="false" customHeight="false" outlineLevel="0" collapsed="false">
      <c r="B1307" s="0" t="s">
        <v>730</v>
      </c>
    </row>
    <row r="1309" customFormat="false" ht="12.8" hidden="false" customHeight="false" outlineLevel="0" collapsed="false">
      <c r="A1309" s="0" t="s">
        <v>726</v>
      </c>
      <c r="B1309" s="0" t="str">
        <f aca="false">HYPERLINK("https://lindat.mff.cuni.cz/services/teitok/pdtc10/index.php?action=vallex&amp;frame=v-w243f67_ZU", "být (v-w243f67_ZU) - substituted with v-w243f127_ZU")</f>
        <v>být (v-w243f67_ZU) - substituted with v-w243f127_ZU</v>
      </c>
    </row>
    <row r="1310" customFormat="false" ht="12.8" hidden="false" customHeight="false" outlineLevel="0" collapsed="false">
      <c r="B1310" s="0" t="s">
        <v>7</v>
      </c>
    </row>
    <row r="1311" customFormat="false" ht="12.8" hidden="false" customHeight="false" outlineLevel="0" collapsed="false">
      <c r="B1311" s="0" t="s">
        <v>728</v>
      </c>
    </row>
    <row r="1312" customFormat="false" ht="12.8" hidden="false" customHeight="false" outlineLevel="0" collapsed="false">
      <c r="B1312" s="0" t="s">
        <v>730</v>
      </c>
    </row>
    <row r="1314" customFormat="false" ht="12.8" hidden="false" customHeight="false" outlineLevel="0" collapsed="false">
      <c r="A1314" s="0" t="s">
        <v>726</v>
      </c>
      <c r="B1314" s="0" t="str">
        <f aca="false">HYPERLINK("https://lindat.mff.cuni.cz/services/teitok/pdtc10/index.php?action=vallex&amp;frame=v-w243f82_ZU", "být (v-w243f82_ZU) - substituted with v-w243f127_ZU")</f>
        <v>být (v-w243f82_ZU) - substituted with v-w243f127_ZU</v>
      </c>
    </row>
    <row r="1315" customFormat="false" ht="12.8" hidden="false" customHeight="false" outlineLevel="0" collapsed="false">
      <c r="B1315" s="0" t="s">
        <v>7</v>
      </c>
      <c r="C1315" s="0" t="s">
        <v>277</v>
      </c>
    </row>
    <row r="1316" customFormat="false" ht="12.8" hidden="false" customHeight="false" outlineLevel="0" collapsed="false">
      <c r="B1316" s="0" t="s">
        <v>728</v>
      </c>
      <c r="C1316" s="0" t="s">
        <v>731</v>
      </c>
    </row>
    <row r="1317" customFormat="false" ht="12.8" hidden="false" customHeight="false" outlineLevel="0" collapsed="false">
      <c r="B1317" s="0" t="s">
        <v>730</v>
      </c>
    </row>
    <row r="1319" customFormat="false" ht="12.8" hidden="false" customHeight="false" outlineLevel="0" collapsed="false">
      <c r="A1319" s="0" t="s">
        <v>732</v>
      </c>
      <c r="B1319" s="0" t="str">
        <f aca="false">HYPERLINK("https://lindat.mff.cuni.cz/services/teitok/pdtc10/index.php?action=vallex&amp;frame=v-w243f57_ZU", "být (v-w243f57_ZU)")</f>
        <v>být (v-w243f57_ZU)</v>
      </c>
    </row>
    <row r="1320" customFormat="false" ht="12.8" hidden="false" customHeight="false" outlineLevel="0" collapsed="false">
      <c r="B1320" s="0" t="s">
        <v>7</v>
      </c>
    </row>
    <row r="1321" customFormat="false" ht="12.8" hidden="false" customHeight="false" outlineLevel="0" collapsed="false">
      <c r="B1321" s="0" t="s">
        <v>733</v>
      </c>
    </row>
    <row r="1322" customFormat="false" ht="12.8" hidden="false" customHeight="false" outlineLevel="0" collapsed="false">
      <c r="B1322" s="0" t="s">
        <v>548</v>
      </c>
    </row>
    <row r="1324" customFormat="false" ht="12.8" hidden="false" customHeight="false" outlineLevel="0" collapsed="false">
      <c r="A1324" s="0" t="s">
        <v>734</v>
      </c>
      <c r="B1324" s="0" t="str">
        <f aca="false">HYPERLINK("https://lindat.mff.cuni.cz/services/teitok/pdtc10/index.php?action=vallex&amp;frame=v-w243f96_ZU", "být (v-w243f96_ZU)")</f>
        <v>být (v-w243f96_ZU)</v>
      </c>
    </row>
    <row r="1325" customFormat="false" ht="12.8" hidden="false" customHeight="false" outlineLevel="0" collapsed="false">
      <c r="B1325" s="0" t="s">
        <v>735</v>
      </c>
      <c r="C1325" s="0" t="s">
        <v>736</v>
      </c>
    </row>
    <row r="1326" customFormat="false" ht="12.8" hidden="false" customHeight="false" outlineLevel="0" collapsed="false">
      <c r="B1326" s="0" t="s">
        <v>737</v>
      </c>
      <c r="C1326" s="0" t="s">
        <v>738</v>
      </c>
    </row>
    <row r="1327" customFormat="false" ht="12.8" hidden="false" customHeight="false" outlineLevel="0" collapsed="false">
      <c r="B1327" s="0" t="s">
        <v>739</v>
      </c>
    </row>
    <row r="1329" customFormat="false" ht="12.8" hidden="false" customHeight="false" outlineLevel="0" collapsed="false">
      <c r="A1329" s="0" t="s">
        <v>734</v>
      </c>
      <c r="B1329" s="0" t="str">
        <f aca="false">HYPERLINK("https://lindat.mff.cuni.cz/services/teitok/pdtc10/index.php?action=vallex&amp;frame=v-w243f11", "být (v-w243f11) - substituted with v-w243f96_ZU")</f>
        <v>být (v-w243f11) - substituted with v-w243f96_ZU</v>
      </c>
    </row>
    <row r="1330" customFormat="false" ht="12.8" hidden="false" customHeight="false" outlineLevel="0" collapsed="false">
      <c r="B1330" s="0" t="s">
        <v>735</v>
      </c>
      <c r="C1330" s="0" t="s">
        <v>740</v>
      </c>
    </row>
    <row r="1331" customFormat="false" ht="12.8" hidden="false" customHeight="false" outlineLevel="0" collapsed="false">
      <c r="B1331" s="0" t="s">
        <v>737</v>
      </c>
      <c r="C1331" s="0" t="s">
        <v>741</v>
      </c>
    </row>
    <row r="1332" customFormat="false" ht="12.8" hidden="false" customHeight="false" outlineLevel="0" collapsed="false">
      <c r="B1332" s="0" t="s">
        <v>739</v>
      </c>
    </row>
    <row r="1334" customFormat="false" ht="12.8" hidden="false" customHeight="false" outlineLevel="0" collapsed="false">
      <c r="A1334" s="0" t="s">
        <v>742</v>
      </c>
      <c r="B1334" s="0" t="str">
        <f aca="false">HYPERLINK("https://lindat.mff.cuni.cz/services/teitok/pdtc10/index.php?action=vallex&amp;frame=v-w243f95_ZU", "být (v-w243f95_ZU)")</f>
        <v>být (v-w243f95_ZU)</v>
      </c>
    </row>
    <row r="1335" customFormat="false" ht="12.8" hidden="false" customHeight="false" outlineLevel="0" collapsed="false">
      <c r="B1335" s="0" t="s">
        <v>7</v>
      </c>
      <c r="D1335" s="0" t="s">
        <v>743</v>
      </c>
      <c r="E1335" s="0" t="s">
        <v>743</v>
      </c>
      <c r="F1335" s="0" t="s">
        <v>743</v>
      </c>
    </row>
    <row r="1336" customFormat="false" ht="12.8" hidden="false" customHeight="false" outlineLevel="0" collapsed="false">
      <c r="B1336" s="0" t="s">
        <v>744</v>
      </c>
    </row>
    <row r="1337" customFormat="false" ht="12.8" hidden="false" customHeight="false" outlineLevel="0" collapsed="false">
      <c r="B1337" s="0" t="s">
        <v>745</v>
      </c>
      <c r="D1337" s="0" t="s">
        <v>746</v>
      </c>
      <c r="E1337" s="0" t="s">
        <v>746</v>
      </c>
      <c r="F1337" s="0" t="s">
        <v>746</v>
      </c>
    </row>
    <row r="1339" customFormat="false" ht="12.8" hidden="false" customHeight="false" outlineLevel="0" collapsed="false">
      <c r="A1339" s="0" t="s">
        <v>742</v>
      </c>
      <c r="B1339" s="0" t="str">
        <f aca="false">HYPERLINK("https://lindat.mff.cuni.cz/services/teitok/pdtc10/index.php?action=vallex&amp;frame=v-w243f14", "být (v-w243f14) - substituted with v-w243f95_ZU")</f>
        <v>být (v-w243f14) - substituted with v-w243f95_ZU</v>
      </c>
    </row>
    <row r="1340" customFormat="false" ht="12.8" hidden="false" customHeight="false" outlineLevel="0" collapsed="false">
      <c r="B1340" s="0" t="s">
        <v>7</v>
      </c>
      <c r="C1340" s="0" t="s">
        <v>498</v>
      </c>
    </row>
    <row r="1341" customFormat="false" ht="12.8" hidden="false" customHeight="false" outlineLevel="0" collapsed="false">
      <c r="B1341" s="0" t="s">
        <v>744</v>
      </c>
      <c r="C1341" s="0" t="s">
        <v>707</v>
      </c>
    </row>
    <row r="1342" customFormat="false" ht="12.8" hidden="false" customHeight="false" outlineLevel="0" collapsed="false">
      <c r="B1342" s="0" t="s">
        <v>745</v>
      </c>
    </row>
    <row r="1344" customFormat="false" ht="12.8" hidden="false" customHeight="false" outlineLevel="0" collapsed="false">
      <c r="A1344" s="0" t="s">
        <v>747</v>
      </c>
      <c r="B1344" s="0" t="str">
        <f aca="false">HYPERLINK("https://lindat.mff.cuni.cz/services/teitok/pdtc10/index.php?action=vallex&amp;frame=v-w243f8", "být (v-w243f8)")</f>
        <v>být (v-w243f8)</v>
      </c>
    </row>
    <row r="1345" customFormat="false" ht="12.8" hidden="false" customHeight="false" outlineLevel="0" collapsed="false">
      <c r="B1345" s="0" t="s">
        <v>7</v>
      </c>
      <c r="C1345" s="0" t="s">
        <v>748</v>
      </c>
      <c r="D1345" s="0" t="s">
        <v>749</v>
      </c>
      <c r="E1345" s="0" t="s">
        <v>749</v>
      </c>
      <c r="F1345" s="0" t="s">
        <v>749</v>
      </c>
    </row>
    <row r="1346" customFormat="false" ht="12.8" hidden="false" customHeight="false" outlineLevel="0" collapsed="false">
      <c r="B1346" s="0" t="s">
        <v>750</v>
      </c>
    </row>
    <row r="1347" customFormat="false" ht="12.8" hidden="false" customHeight="false" outlineLevel="0" collapsed="false">
      <c r="B1347" s="0" t="s">
        <v>662</v>
      </c>
      <c r="C1347" s="0" t="s">
        <v>751</v>
      </c>
      <c r="D1347" s="0" t="s">
        <v>752</v>
      </c>
      <c r="E1347" s="0" t="s">
        <v>752</v>
      </c>
      <c r="F1347" s="0" t="s">
        <v>752</v>
      </c>
    </row>
    <row r="1349" customFormat="false" ht="12.8" hidden="false" customHeight="false" outlineLevel="0" collapsed="false">
      <c r="A1349" s="0" t="s">
        <v>753</v>
      </c>
      <c r="B1349" s="0" t="str">
        <f aca="false">HYPERLINK("https://lindat.mff.cuni.cz/services/teitok/pdtc10/index.php?action=vallex&amp;frame=v-w243f94_ZU", "být (v-w243f94_ZU)")</f>
        <v>být (v-w243f94_ZU)</v>
      </c>
    </row>
    <row r="1350" customFormat="false" ht="12.8" hidden="false" customHeight="false" outlineLevel="0" collapsed="false">
      <c r="B1350" s="0" t="s">
        <v>674</v>
      </c>
    </row>
    <row r="1351" customFormat="false" ht="12.8" hidden="false" customHeight="false" outlineLevel="0" collapsed="false">
      <c r="B1351" s="0" t="s">
        <v>754</v>
      </c>
    </row>
    <row r="1352" customFormat="false" ht="12.8" hidden="false" customHeight="false" outlineLevel="0" collapsed="false">
      <c r="B1352" s="0" t="s">
        <v>666</v>
      </c>
    </row>
    <row r="1354" customFormat="false" ht="12.8" hidden="false" customHeight="false" outlineLevel="0" collapsed="false">
      <c r="A1354" s="0" t="s">
        <v>753</v>
      </c>
      <c r="B1354" s="0" t="str">
        <f aca="false">HYPERLINK("https://lindat.mff.cuni.cz/services/teitok/pdtc10/index.php?action=vallex&amp;frame=v-w243f93_ZU", "být (v-w243f93_ZU) - substituted with v-w243f94_ZU")</f>
        <v>být (v-w243f93_ZU) - substituted with v-w243f94_ZU</v>
      </c>
    </row>
    <row r="1355" customFormat="false" ht="12.8" hidden="false" customHeight="false" outlineLevel="0" collapsed="false">
      <c r="B1355" s="0" t="s">
        <v>674</v>
      </c>
    </row>
    <row r="1356" customFormat="false" ht="12.8" hidden="false" customHeight="false" outlineLevel="0" collapsed="false">
      <c r="B1356" s="0" t="s">
        <v>754</v>
      </c>
    </row>
    <row r="1357" customFormat="false" ht="12.8" hidden="false" customHeight="false" outlineLevel="0" collapsed="false">
      <c r="B1357" s="0" t="s">
        <v>666</v>
      </c>
    </row>
    <row r="1359" customFormat="false" ht="12.8" hidden="false" customHeight="false" outlineLevel="0" collapsed="false">
      <c r="A1359" s="0" t="s">
        <v>755</v>
      </c>
      <c r="B1359" s="0" t="str">
        <f aca="false">HYPERLINK("https://lindat.mff.cuni.cz/services/teitok/pdtc10/index.php?action=vallex&amp;frame=v-w243f87_ZU", "být (v-w243f87_ZU)")</f>
        <v>být (v-w243f87_ZU)</v>
      </c>
    </row>
    <row r="1360" customFormat="false" ht="12.8" hidden="false" customHeight="false" outlineLevel="0" collapsed="false">
      <c r="B1360" s="0" t="s">
        <v>756</v>
      </c>
      <c r="C1360" s="0" t="s">
        <v>498</v>
      </c>
    </row>
    <row r="1361" customFormat="false" ht="12.8" hidden="false" customHeight="false" outlineLevel="0" collapsed="false">
      <c r="B1361" s="0" t="s">
        <v>757</v>
      </c>
      <c r="C1361" s="0" t="s">
        <v>707</v>
      </c>
    </row>
    <row r="1362" customFormat="false" ht="12.8" hidden="false" customHeight="false" outlineLevel="0" collapsed="false">
      <c r="B1362" s="0" t="s">
        <v>666</v>
      </c>
    </row>
    <row r="1364" customFormat="false" ht="12.8" hidden="false" customHeight="false" outlineLevel="0" collapsed="false">
      <c r="A1364" s="0" t="s">
        <v>755</v>
      </c>
      <c r="B1364" s="0" t="str">
        <f aca="false">HYPERLINK("https://lindat.mff.cuni.cz/services/teitok/pdtc10/index.php?action=vallex&amp;frame=v-w243f81_ZU", "být (v-w243f81_ZU) - substituted with v-w243f87_ZU")</f>
        <v>být (v-w243f81_ZU) - substituted with v-w243f87_ZU</v>
      </c>
    </row>
    <row r="1365" customFormat="false" ht="12.8" hidden="false" customHeight="false" outlineLevel="0" collapsed="false">
      <c r="B1365" s="0" t="s">
        <v>756</v>
      </c>
    </row>
    <row r="1366" customFormat="false" ht="12.8" hidden="false" customHeight="false" outlineLevel="0" collapsed="false">
      <c r="B1366" s="0" t="s">
        <v>757</v>
      </c>
    </row>
    <row r="1367" customFormat="false" ht="12.8" hidden="false" customHeight="false" outlineLevel="0" collapsed="false">
      <c r="B1367" s="0" t="s">
        <v>666</v>
      </c>
    </row>
    <row r="1369" customFormat="false" ht="12.8" hidden="false" customHeight="false" outlineLevel="0" collapsed="false">
      <c r="A1369" s="0" t="s">
        <v>755</v>
      </c>
      <c r="B1369" s="0" t="str">
        <f aca="false">HYPERLINK("https://lindat.mff.cuni.cz/services/teitok/pdtc10/index.php?action=vallex&amp;frame=v-w243f86_ZU", "být (v-w243f86_ZU) - substituted with v-w243f87_ZU")</f>
        <v>být (v-w243f86_ZU) - substituted with v-w243f87_ZU</v>
      </c>
    </row>
    <row r="1370" customFormat="false" ht="12.8" hidden="false" customHeight="false" outlineLevel="0" collapsed="false">
      <c r="B1370" s="0" t="s">
        <v>756</v>
      </c>
    </row>
    <row r="1371" customFormat="false" ht="12.8" hidden="false" customHeight="false" outlineLevel="0" collapsed="false">
      <c r="B1371" s="0" t="s">
        <v>757</v>
      </c>
    </row>
    <row r="1372" customFormat="false" ht="12.8" hidden="false" customHeight="false" outlineLevel="0" collapsed="false">
      <c r="B1372" s="0" t="s">
        <v>666</v>
      </c>
    </row>
    <row r="1374" customFormat="false" ht="12.8" hidden="false" customHeight="false" outlineLevel="0" collapsed="false">
      <c r="A1374" s="0" t="s">
        <v>758</v>
      </c>
      <c r="B1374" s="0" t="str">
        <f aca="false">HYPERLINK("https://lindat.mff.cuni.cz/services/teitok/pdtc10/index.php?action=vallex&amp;frame=v-w243f92_ZU", "být (v-w243f92_ZU)")</f>
        <v>být (v-w243f92_ZU)</v>
      </c>
    </row>
    <row r="1375" customFormat="false" ht="12.8" hidden="false" customHeight="false" outlineLevel="0" collapsed="false">
      <c r="B1375" s="0" t="s">
        <v>759</v>
      </c>
    </row>
    <row r="1376" customFormat="false" ht="12.8" hidden="false" customHeight="false" outlineLevel="0" collapsed="false">
      <c r="B1376" s="0" t="s">
        <v>760</v>
      </c>
    </row>
    <row r="1377" customFormat="false" ht="12.8" hidden="false" customHeight="false" outlineLevel="0" collapsed="false">
      <c r="B1377" s="0" t="s">
        <v>666</v>
      </c>
    </row>
    <row r="1379" customFormat="false" ht="12.8" hidden="false" customHeight="false" outlineLevel="0" collapsed="false">
      <c r="A1379" s="0" t="s">
        <v>761</v>
      </c>
      <c r="B1379" s="0" t="str">
        <f aca="false">HYPERLINK("https://lindat.mff.cuni.cz/services/teitok/pdtc10/index.php?action=vallex&amp;frame=v-w243f28", "být (v-w243f28)")</f>
        <v>být (v-w243f28)</v>
      </c>
    </row>
    <row r="1380" customFormat="false" ht="12.8" hidden="false" customHeight="false" outlineLevel="0" collapsed="false">
      <c r="B1380" s="0" t="s">
        <v>762</v>
      </c>
    </row>
    <row r="1381" customFormat="false" ht="12.8" hidden="false" customHeight="false" outlineLevel="0" collapsed="false">
      <c r="B1381" s="0" t="s">
        <v>763</v>
      </c>
    </row>
    <row r="1383" customFormat="false" ht="12.8" hidden="false" customHeight="false" outlineLevel="0" collapsed="false">
      <c r="A1383" s="0" t="s">
        <v>764</v>
      </c>
      <c r="B1383" s="0" t="str">
        <f aca="false">HYPERLINK("https://lindat.mff.cuni.cz/services/teitok/pdtc10/index.php?action=vallex&amp;frame=v-w243f35", "být (v-w243f35)")</f>
        <v>být (v-w243f35)</v>
      </c>
    </row>
    <row r="1384" customFormat="false" ht="12.8" hidden="false" customHeight="false" outlineLevel="0" collapsed="false">
      <c r="B1384" s="0" t="s">
        <v>765</v>
      </c>
    </row>
    <row r="1385" customFormat="false" ht="12.8" hidden="false" customHeight="false" outlineLevel="0" collapsed="false">
      <c r="B1385" s="0" t="s">
        <v>766</v>
      </c>
    </row>
    <row r="1387" customFormat="false" ht="12.8" hidden="false" customHeight="false" outlineLevel="0" collapsed="false">
      <c r="A1387" s="0" t="s">
        <v>767</v>
      </c>
      <c r="B1387" s="0" t="str">
        <f aca="false">HYPERLINK("https://lindat.mff.cuni.cz/services/teitok/pdtc10/index.php?action=vallex&amp;frame=v-w243f9", "být (v-w243f9)")</f>
        <v>být (v-w243f9)</v>
      </c>
    </row>
    <row r="1388" customFormat="false" ht="12.8" hidden="false" customHeight="false" outlineLevel="0" collapsed="false">
      <c r="B1388" s="0" t="s">
        <v>768</v>
      </c>
      <c r="C1388" s="0" t="s">
        <v>498</v>
      </c>
    </row>
    <row r="1389" customFormat="false" ht="12.8" hidden="false" customHeight="false" outlineLevel="0" collapsed="false">
      <c r="B1389" s="0" t="s">
        <v>769</v>
      </c>
      <c r="C1389" s="0" t="s">
        <v>707</v>
      </c>
    </row>
    <row r="1391" customFormat="false" ht="12.8" hidden="false" customHeight="false" outlineLevel="0" collapsed="false">
      <c r="A1391" s="0" t="s">
        <v>770</v>
      </c>
      <c r="B1391" s="0" t="str">
        <f aca="false">HYPERLINK("https://lindat.mff.cuni.cz/services/teitok/pdtc10/index.php?action=vallex&amp;frame=v-w243f29", "být (v-w243f29)")</f>
        <v>být (v-w243f29)</v>
      </c>
    </row>
    <row r="1392" customFormat="false" ht="12.8" hidden="false" customHeight="false" outlineLevel="0" collapsed="false">
      <c r="B1392" s="0" t="s">
        <v>641</v>
      </c>
    </row>
    <row r="1393" customFormat="false" ht="12.8" hidden="false" customHeight="false" outlineLevel="0" collapsed="false">
      <c r="B1393" s="0" t="s">
        <v>771</v>
      </c>
    </row>
    <row r="1395" customFormat="false" ht="12.8" hidden="false" customHeight="false" outlineLevel="0" collapsed="false">
      <c r="A1395" s="0" t="s">
        <v>772</v>
      </c>
      <c r="B1395" s="0" t="str">
        <f aca="false">HYPERLINK("https://lindat.mff.cuni.cz/services/teitok/pdtc10/index.php?action=vallex&amp;frame=v-w243f51", "být (v-w243f51)")</f>
        <v>být (v-w243f51)</v>
      </c>
    </row>
    <row r="1396" customFormat="false" ht="12.8" hidden="false" customHeight="false" outlineLevel="0" collapsed="false">
      <c r="B1396" s="0" t="s">
        <v>7</v>
      </c>
    </row>
    <row r="1397" customFormat="false" ht="12.8" hidden="false" customHeight="false" outlineLevel="0" collapsed="false">
      <c r="B1397" s="0" t="s">
        <v>773</v>
      </c>
    </row>
    <row r="1399" customFormat="false" ht="12.8" hidden="false" customHeight="false" outlineLevel="0" collapsed="false">
      <c r="A1399" s="0" t="s">
        <v>774</v>
      </c>
      <c r="B1399" s="0" t="str">
        <f aca="false">HYPERLINK("https://lindat.mff.cuni.cz/services/teitok/pdtc10/index.php?action=vallex&amp;frame=v-w243f5", "být (v-w243f5)")</f>
        <v>být (v-w243f5)</v>
      </c>
    </row>
    <row r="1400" customFormat="false" ht="12.8" hidden="false" customHeight="false" outlineLevel="0" collapsed="false">
      <c r="B1400" s="0" t="s">
        <v>7</v>
      </c>
      <c r="C1400" s="0" t="s">
        <v>775</v>
      </c>
      <c r="D1400" s="0" t="s">
        <v>776</v>
      </c>
      <c r="E1400" s="0" t="s">
        <v>776</v>
      </c>
      <c r="F1400" s="0" t="s">
        <v>776</v>
      </c>
    </row>
    <row r="1401" customFormat="false" ht="12.8" hidden="false" customHeight="false" outlineLevel="0" collapsed="false">
      <c r="B1401" s="0" t="s">
        <v>777</v>
      </c>
      <c r="C1401" s="0" t="s">
        <v>778</v>
      </c>
    </row>
    <row r="1403" customFormat="false" ht="12.8" hidden="false" customHeight="false" outlineLevel="0" collapsed="false">
      <c r="A1403" s="0" t="s">
        <v>779</v>
      </c>
      <c r="B1403" s="0" t="str">
        <f aca="false">HYPERLINK("https://lindat.mff.cuni.cz/services/teitok/pdtc10/index.php?action=vallex&amp;frame=v-w243f38", "být (v-w243f38)")</f>
        <v>být (v-w243f38)</v>
      </c>
    </row>
    <row r="1404" customFormat="false" ht="12.8" hidden="false" customHeight="false" outlineLevel="0" collapsed="false">
      <c r="B1404" s="0" t="s">
        <v>7</v>
      </c>
    </row>
    <row r="1405" customFormat="false" ht="12.8" hidden="false" customHeight="false" outlineLevel="0" collapsed="false">
      <c r="B1405" s="0" t="s">
        <v>780</v>
      </c>
    </row>
    <row r="1407" customFormat="false" ht="12.8" hidden="false" customHeight="false" outlineLevel="0" collapsed="false">
      <c r="A1407" s="0" t="s">
        <v>781</v>
      </c>
      <c r="B1407" s="0" t="str">
        <f aca="false">HYPERLINK("https://lindat.mff.cuni.cz/services/teitok/pdtc10/index.php?action=vallex&amp;frame=v-w243f20", "být (v-w243f20)")</f>
        <v>být (v-w243f20)</v>
      </c>
    </row>
    <row r="1408" customFormat="false" ht="12.8" hidden="false" customHeight="false" outlineLevel="0" collapsed="false">
      <c r="B1408" s="0" t="s">
        <v>7</v>
      </c>
    </row>
    <row r="1409" customFormat="false" ht="12.8" hidden="false" customHeight="false" outlineLevel="0" collapsed="false">
      <c r="B1409" s="0" t="s">
        <v>782</v>
      </c>
    </row>
    <row r="1411" customFormat="false" ht="12.8" hidden="false" customHeight="false" outlineLevel="0" collapsed="false">
      <c r="A1411" s="0" t="s">
        <v>783</v>
      </c>
      <c r="B1411" s="0" t="str">
        <f aca="false">HYPERLINK("https://lindat.mff.cuni.cz/services/teitok/pdtc10/index.php?action=vallex&amp;frame=v-w243f46", "být (v-w243f46)")</f>
        <v>být (v-w243f46)</v>
      </c>
    </row>
    <row r="1412" customFormat="false" ht="12.8" hidden="false" customHeight="false" outlineLevel="0" collapsed="false">
      <c r="B1412" s="0" t="s">
        <v>7</v>
      </c>
    </row>
    <row r="1413" customFormat="false" ht="12.8" hidden="false" customHeight="false" outlineLevel="0" collapsed="false">
      <c r="B1413" s="0" t="s">
        <v>784</v>
      </c>
    </row>
    <row r="1415" customFormat="false" ht="12.8" hidden="false" customHeight="false" outlineLevel="0" collapsed="false">
      <c r="A1415" s="0" t="s">
        <v>785</v>
      </c>
      <c r="B1415" s="0" t="str">
        <f aca="false">HYPERLINK("https://lindat.mff.cuni.cz/services/teitok/pdtc10/index.php?action=vallex&amp;frame=v-w243f50", "být (v-w243f50)")</f>
        <v>být (v-w243f50)</v>
      </c>
    </row>
    <row r="1416" customFormat="false" ht="12.8" hidden="false" customHeight="false" outlineLevel="0" collapsed="false">
      <c r="B1416" s="0" t="s">
        <v>7</v>
      </c>
    </row>
    <row r="1417" customFormat="false" ht="12.8" hidden="false" customHeight="false" outlineLevel="0" collapsed="false">
      <c r="B1417" s="0" t="s">
        <v>786</v>
      </c>
    </row>
    <row r="1419" customFormat="false" ht="12.8" hidden="false" customHeight="false" outlineLevel="0" collapsed="false">
      <c r="A1419" s="0" t="s">
        <v>787</v>
      </c>
      <c r="B1419" s="0" t="str">
        <f aca="false">HYPERLINK("https://lindat.mff.cuni.cz/services/teitok/pdtc10/index.php?action=vallex&amp;frame=v-w243f52", "být (v-w243f52)")</f>
        <v>být (v-w243f52)</v>
      </c>
    </row>
    <row r="1420" customFormat="false" ht="12.8" hidden="false" customHeight="false" outlineLevel="0" collapsed="false">
      <c r="B1420" s="0" t="s">
        <v>7</v>
      </c>
    </row>
    <row r="1421" customFormat="false" ht="12.8" hidden="false" customHeight="false" outlineLevel="0" collapsed="false">
      <c r="B1421" s="0" t="s">
        <v>788</v>
      </c>
    </row>
    <row r="1423" customFormat="false" ht="12.8" hidden="false" customHeight="false" outlineLevel="0" collapsed="false">
      <c r="A1423" s="0" t="s">
        <v>789</v>
      </c>
      <c r="B1423" s="0" t="str">
        <f aca="false">HYPERLINK("https://lindat.mff.cuni.cz/services/teitok/pdtc10/index.php?action=vallex&amp;frame=v-w243f49", "být (v-w243f49)")</f>
        <v>být (v-w243f49)</v>
      </c>
    </row>
    <row r="1424" customFormat="false" ht="12.8" hidden="false" customHeight="false" outlineLevel="0" collapsed="false">
      <c r="B1424" s="0" t="s">
        <v>7</v>
      </c>
    </row>
    <row r="1425" customFormat="false" ht="12.8" hidden="false" customHeight="false" outlineLevel="0" collapsed="false">
      <c r="B1425" s="0" t="s">
        <v>790</v>
      </c>
    </row>
    <row r="1427" customFormat="false" ht="12.8" hidden="false" customHeight="false" outlineLevel="0" collapsed="false">
      <c r="A1427" s="0" t="s">
        <v>791</v>
      </c>
      <c r="B1427" s="0" t="str">
        <f aca="false">HYPERLINK("https://lindat.mff.cuni.cz/services/teitok/pdtc10/index.php?action=vallex&amp;frame=v-w243f37", "být (v-w243f37)")</f>
        <v>být (v-w243f37)</v>
      </c>
    </row>
    <row r="1428" customFormat="false" ht="12.8" hidden="false" customHeight="false" outlineLevel="0" collapsed="false">
      <c r="B1428" s="0" t="s">
        <v>7</v>
      </c>
      <c r="D1428" s="0" t="s">
        <v>714</v>
      </c>
      <c r="E1428" s="0" t="s">
        <v>714</v>
      </c>
      <c r="F1428" s="0" t="s">
        <v>714</v>
      </c>
    </row>
    <row r="1429" customFormat="false" ht="12.8" hidden="false" customHeight="false" outlineLevel="0" collapsed="false">
      <c r="B1429" s="0" t="s">
        <v>792</v>
      </c>
    </row>
    <row r="1431" customFormat="false" ht="12.8" hidden="false" customHeight="false" outlineLevel="0" collapsed="false">
      <c r="A1431" s="0" t="s">
        <v>793</v>
      </c>
      <c r="B1431" s="0" t="str">
        <f aca="false">HYPERLINK("https://lindat.mff.cuni.cz/services/teitok/pdtc10/index.php?action=vallex&amp;frame=v-w243f24", "být (v-w243f24)")</f>
        <v>být (v-w243f24)</v>
      </c>
    </row>
    <row r="1432" customFormat="false" ht="12.8" hidden="false" customHeight="false" outlineLevel="0" collapsed="false">
      <c r="B1432" s="0" t="s">
        <v>7</v>
      </c>
    </row>
    <row r="1433" customFormat="false" ht="12.8" hidden="false" customHeight="false" outlineLevel="0" collapsed="false">
      <c r="B1433" s="0" t="s">
        <v>794</v>
      </c>
    </row>
    <row r="1435" customFormat="false" ht="12.8" hidden="false" customHeight="false" outlineLevel="0" collapsed="false">
      <c r="A1435" s="0" t="s">
        <v>795</v>
      </c>
      <c r="B1435" s="0" t="str">
        <f aca="false">HYPERLINK("https://lindat.mff.cuni.cz/services/teitok/pdtc10/index.php?action=vallex&amp;frame=v-w243f40", "být (v-w243f40)")</f>
        <v>být (v-w243f40)</v>
      </c>
    </row>
    <row r="1436" customFormat="false" ht="12.8" hidden="false" customHeight="false" outlineLevel="0" collapsed="false">
      <c r="B1436" s="0" t="s">
        <v>7</v>
      </c>
    </row>
    <row r="1437" customFormat="false" ht="12.8" hidden="false" customHeight="false" outlineLevel="0" collapsed="false">
      <c r="B1437" s="0" t="s">
        <v>796</v>
      </c>
    </row>
    <row r="1439" customFormat="false" ht="12.8" hidden="false" customHeight="false" outlineLevel="0" collapsed="false">
      <c r="A1439" s="0" t="s">
        <v>797</v>
      </c>
      <c r="B1439" s="0" t="str">
        <f aca="false">HYPERLINK("https://lindat.mff.cuni.cz/services/teitok/pdtc10/index.php?action=vallex&amp;frame=v-w243f42", "být (v-w243f42)")</f>
        <v>být (v-w243f42)</v>
      </c>
    </row>
    <row r="1440" customFormat="false" ht="12.8" hidden="false" customHeight="false" outlineLevel="0" collapsed="false">
      <c r="B1440" s="0" t="s">
        <v>7</v>
      </c>
    </row>
    <row r="1441" customFormat="false" ht="12.8" hidden="false" customHeight="false" outlineLevel="0" collapsed="false">
      <c r="B1441" s="0" t="s">
        <v>798</v>
      </c>
    </row>
    <row r="1443" customFormat="false" ht="12.8" hidden="false" customHeight="false" outlineLevel="0" collapsed="false">
      <c r="A1443" s="0" t="s">
        <v>799</v>
      </c>
      <c r="B1443" s="0" t="str">
        <f aca="false">HYPERLINK("https://lindat.mff.cuni.cz/services/teitok/pdtc10/index.php?action=vallex&amp;frame=v-w243f32", "být (v-w243f32)")</f>
        <v>být (v-w243f32)</v>
      </c>
    </row>
    <row r="1444" customFormat="false" ht="12.8" hidden="false" customHeight="false" outlineLevel="0" collapsed="false">
      <c r="B1444" s="0" t="s">
        <v>7</v>
      </c>
      <c r="C1444" s="0" t="s">
        <v>727</v>
      </c>
    </row>
    <row r="1445" customFormat="false" ht="12.8" hidden="false" customHeight="false" outlineLevel="0" collapsed="false">
      <c r="B1445" s="0" t="s">
        <v>800</v>
      </c>
      <c r="C1445" s="0" t="s">
        <v>729</v>
      </c>
    </row>
    <row r="1447" customFormat="false" ht="12.8" hidden="false" customHeight="false" outlineLevel="0" collapsed="false">
      <c r="A1447" s="0" t="s">
        <v>801</v>
      </c>
      <c r="B1447" s="0" t="str">
        <f aca="false">HYPERLINK("https://lindat.mff.cuni.cz/services/teitok/pdtc10/index.php?action=vallex&amp;frame=v-w243f44", "být (v-w243f44)")</f>
        <v>být (v-w243f44)</v>
      </c>
    </row>
    <row r="1448" customFormat="false" ht="12.8" hidden="false" customHeight="false" outlineLevel="0" collapsed="false">
      <c r="B1448" s="0" t="s">
        <v>7</v>
      </c>
    </row>
    <row r="1449" customFormat="false" ht="12.8" hidden="false" customHeight="false" outlineLevel="0" collapsed="false">
      <c r="B1449" s="0" t="s">
        <v>802</v>
      </c>
    </row>
    <row r="1451" customFormat="false" ht="12.8" hidden="false" customHeight="false" outlineLevel="0" collapsed="false">
      <c r="A1451" s="0" t="s">
        <v>803</v>
      </c>
      <c r="B1451" s="0" t="str">
        <f aca="false">HYPERLINK("https://lindat.mff.cuni.cz/services/teitok/pdtc10/index.php?action=vallex&amp;frame=v-w243f15", "být (v-w243f15)")</f>
        <v>být (v-w243f15)</v>
      </c>
    </row>
    <row r="1452" customFormat="false" ht="12.8" hidden="false" customHeight="false" outlineLevel="0" collapsed="false">
      <c r="B1452" s="0" t="s">
        <v>7</v>
      </c>
      <c r="C1452" s="0" t="s">
        <v>727</v>
      </c>
    </row>
    <row r="1453" customFormat="false" ht="12.8" hidden="false" customHeight="false" outlineLevel="0" collapsed="false">
      <c r="B1453" s="0" t="s">
        <v>804</v>
      </c>
      <c r="C1453" s="0" t="s">
        <v>729</v>
      </c>
    </row>
    <row r="1455" customFormat="false" ht="12.8" hidden="false" customHeight="false" outlineLevel="0" collapsed="false">
      <c r="A1455" s="0" t="s">
        <v>805</v>
      </c>
      <c r="B1455" s="0" t="str">
        <f aca="false">HYPERLINK("https://lindat.mff.cuni.cz/services/teitok/pdtc10/index.php?action=vallex&amp;frame=v-w243f48", "být (v-w243f48)")</f>
        <v>být (v-w243f48)</v>
      </c>
    </row>
    <row r="1456" customFormat="false" ht="12.8" hidden="false" customHeight="false" outlineLevel="0" collapsed="false">
      <c r="B1456" s="0" t="s">
        <v>7</v>
      </c>
    </row>
    <row r="1457" customFormat="false" ht="12.8" hidden="false" customHeight="false" outlineLevel="0" collapsed="false">
      <c r="B1457" s="0" t="s">
        <v>806</v>
      </c>
    </row>
    <row r="1459" customFormat="false" ht="12.8" hidden="false" customHeight="false" outlineLevel="0" collapsed="false">
      <c r="A1459" s="0" t="s">
        <v>807</v>
      </c>
      <c r="B1459" s="0" t="str">
        <f aca="false">HYPERLINK("https://lindat.mff.cuni.cz/services/teitok/pdtc10/index.php?action=vallex&amp;frame=v-w243f41", "být (v-w243f41)")</f>
        <v>být (v-w243f41)</v>
      </c>
    </row>
    <row r="1460" customFormat="false" ht="12.8" hidden="false" customHeight="false" outlineLevel="0" collapsed="false">
      <c r="B1460" s="0" t="s">
        <v>7</v>
      </c>
      <c r="D1460" s="0" t="s">
        <v>808</v>
      </c>
      <c r="E1460" s="0" t="s">
        <v>808</v>
      </c>
      <c r="F1460" s="0" t="s">
        <v>808</v>
      </c>
    </row>
    <row r="1461" customFormat="false" ht="12.8" hidden="false" customHeight="false" outlineLevel="0" collapsed="false">
      <c r="B1461" s="0" t="s">
        <v>809</v>
      </c>
      <c r="C1461" s="0" t="s">
        <v>810</v>
      </c>
    </row>
    <row r="1463" customFormat="false" ht="12.8" hidden="false" customHeight="false" outlineLevel="0" collapsed="false">
      <c r="A1463" s="0" t="s">
        <v>811</v>
      </c>
      <c r="B1463" s="0" t="str">
        <f aca="false">HYPERLINK("https://lindat.mff.cuni.cz/services/teitok/pdtc10/index.php?action=vallex&amp;frame=v-w243f33", "být (v-w243f33)")</f>
        <v>být (v-w243f33)</v>
      </c>
    </row>
    <row r="1464" customFormat="false" ht="12.8" hidden="false" customHeight="false" outlineLevel="0" collapsed="false">
      <c r="B1464" s="0" t="s">
        <v>7</v>
      </c>
    </row>
    <row r="1465" customFormat="false" ht="12.8" hidden="false" customHeight="false" outlineLevel="0" collapsed="false">
      <c r="B1465" s="0" t="s">
        <v>812</v>
      </c>
    </row>
    <row r="1467" customFormat="false" ht="12.8" hidden="false" customHeight="false" outlineLevel="0" collapsed="false">
      <c r="A1467" s="0" t="s">
        <v>813</v>
      </c>
      <c r="B1467" s="0" t="str">
        <f aca="false">HYPERLINK("https://lindat.mff.cuni.cz/services/teitok/pdtc10/index.php?action=vallex&amp;frame=v-w243f45", "být (v-w243f45)")</f>
        <v>být (v-w243f45)</v>
      </c>
    </row>
    <row r="1468" customFormat="false" ht="12.8" hidden="false" customHeight="false" outlineLevel="0" collapsed="false">
      <c r="B1468" s="0" t="s">
        <v>7</v>
      </c>
      <c r="C1468" s="0" t="s">
        <v>814</v>
      </c>
    </row>
    <row r="1469" customFormat="false" ht="12.8" hidden="false" customHeight="false" outlineLevel="0" collapsed="false">
      <c r="B1469" s="0" t="s">
        <v>815</v>
      </c>
      <c r="C1469" s="0" t="s">
        <v>816</v>
      </c>
    </row>
    <row r="1471" customFormat="false" ht="12.8" hidden="false" customHeight="false" outlineLevel="0" collapsed="false">
      <c r="A1471" s="0" t="s">
        <v>817</v>
      </c>
      <c r="B1471" s="0" t="str">
        <f aca="false">HYPERLINK("https://lindat.mff.cuni.cz/services/teitok/pdtc10/index.php?action=vallex&amp;frame=v-w243f30", "být (v-w243f30)")</f>
        <v>být (v-w243f30)</v>
      </c>
    </row>
    <row r="1472" customFormat="false" ht="12.8" hidden="false" customHeight="false" outlineLevel="0" collapsed="false">
      <c r="B1472" s="0" t="s">
        <v>7</v>
      </c>
    </row>
    <row r="1473" customFormat="false" ht="12.8" hidden="false" customHeight="false" outlineLevel="0" collapsed="false">
      <c r="B1473" s="0" t="s">
        <v>818</v>
      </c>
    </row>
    <row r="1475" customFormat="false" ht="12.8" hidden="false" customHeight="false" outlineLevel="0" collapsed="false">
      <c r="A1475" s="0" t="s">
        <v>819</v>
      </c>
      <c r="B1475" s="0" t="str">
        <f aca="false">HYPERLINK("https://lindat.mff.cuni.cz/services/teitok/pdtc10/index.php?action=vallex&amp;frame=v-w243f27", "být (v-w243f27)")</f>
        <v>být (v-w243f27)</v>
      </c>
    </row>
    <row r="1476" customFormat="false" ht="12.8" hidden="false" customHeight="false" outlineLevel="0" collapsed="false">
      <c r="B1476" s="0" t="s">
        <v>7</v>
      </c>
    </row>
    <row r="1477" customFormat="false" ht="12.8" hidden="false" customHeight="false" outlineLevel="0" collapsed="false">
      <c r="B1477" s="0" t="s">
        <v>820</v>
      </c>
    </row>
    <row r="1479" customFormat="false" ht="12.8" hidden="false" customHeight="false" outlineLevel="0" collapsed="false">
      <c r="A1479" s="0" t="s">
        <v>821</v>
      </c>
      <c r="B1479" s="0" t="str">
        <f aca="false">HYPERLINK("https://lindat.mff.cuni.cz/services/teitok/pdtc10/index.php?action=vallex&amp;frame=v-w243f19", "být (v-w243f19)")</f>
        <v>být (v-w243f19)</v>
      </c>
    </row>
    <row r="1480" customFormat="false" ht="12.8" hidden="false" customHeight="false" outlineLevel="0" collapsed="false">
      <c r="B1480" s="0" t="s">
        <v>822</v>
      </c>
    </row>
    <row r="1481" customFormat="false" ht="12.8" hidden="false" customHeight="false" outlineLevel="0" collapsed="false">
      <c r="B1481" s="0" t="s">
        <v>823</v>
      </c>
      <c r="C1481" s="0" t="s">
        <v>824</v>
      </c>
    </row>
    <row r="1483" customFormat="false" ht="12.8" hidden="false" customHeight="false" outlineLevel="0" collapsed="false">
      <c r="A1483" s="0" t="s">
        <v>825</v>
      </c>
      <c r="B1483" s="0" t="str">
        <f aca="false">HYPERLINK("https://lindat.mff.cuni.cz/services/teitok/pdtc10/index.php?action=vallex&amp;frame=v-w243f23", "být (v-w243f23)")</f>
        <v>být (v-w243f23)</v>
      </c>
    </row>
    <row r="1484" customFormat="false" ht="12.8" hidden="false" customHeight="false" outlineLevel="0" collapsed="false">
      <c r="B1484" s="0" t="s">
        <v>826</v>
      </c>
    </row>
    <row r="1485" customFormat="false" ht="12.8" hidden="false" customHeight="false" outlineLevel="0" collapsed="false">
      <c r="B1485" s="0" t="s">
        <v>827</v>
      </c>
      <c r="C1485" s="0" t="s">
        <v>707</v>
      </c>
    </row>
    <row r="1487" customFormat="false" ht="12.8" hidden="false" customHeight="false" outlineLevel="0" collapsed="false">
      <c r="A1487" s="0" t="s">
        <v>828</v>
      </c>
      <c r="B1487" s="0" t="str">
        <f aca="false">HYPERLINK("https://lindat.mff.cuni.cz/services/teitok/pdtc10/index.php?action=vallex&amp;frame=v-w243f77_ZU", "být (v-w243f77_ZU)")</f>
        <v>být (v-w243f77_ZU)</v>
      </c>
    </row>
    <row r="1488" customFormat="false" ht="12.8" hidden="false" customHeight="false" outlineLevel="0" collapsed="false">
      <c r="B1488" s="0" t="s">
        <v>829</v>
      </c>
    </row>
    <row r="1489" customFormat="false" ht="12.8" hidden="false" customHeight="false" outlineLevel="0" collapsed="false">
      <c r="B1489" s="0" t="s">
        <v>830</v>
      </c>
      <c r="C1489" s="0" t="s">
        <v>824</v>
      </c>
    </row>
    <row r="1491" customFormat="false" ht="12.8" hidden="false" customHeight="false" outlineLevel="0" collapsed="false">
      <c r="A1491" s="0" t="s">
        <v>831</v>
      </c>
      <c r="B1491" s="0" t="str">
        <f aca="false">HYPERLINK("https://lindat.mff.cuni.cz/services/teitok/pdtc10/index.php?action=vallex&amp;frame=v-w243f59_ZU", "být (v-w243f59_ZU)")</f>
        <v>být (v-w243f59_ZU)</v>
      </c>
    </row>
    <row r="1492" customFormat="false" ht="12.8" hidden="false" customHeight="false" outlineLevel="0" collapsed="false">
      <c r="B1492" s="0" t="s">
        <v>632</v>
      </c>
      <c r="C1492" s="0" t="s">
        <v>832</v>
      </c>
    </row>
    <row r="1493" customFormat="false" ht="12.8" hidden="false" customHeight="false" outlineLevel="0" collapsed="false">
      <c r="B1493" s="0" t="s">
        <v>833</v>
      </c>
    </row>
    <row r="1495" customFormat="false" ht="12.8" hidden="false" customHeight="false" outlineLevel="0" collapsed="false">
      <c r="A1495" s="0" t="s">
        <v>831</v>
      </c>
      <c r="B1495" s="0" t="str">
        <f aca="false">HYPERLINK("https://lindat.mff.cuni.cz/services/teitok/pdtc10/index.php?action=vallex&amp;frame=v-w243f31", "být (v-w243f31) - substituted with v-w243f59_ZU")</f>
        <v>být (v-w243f31) - substituted with v-w243f59_ZU</v>
      </c>
    </row>
    <row r="1496" customFormat="false" ht="12.8" hidden="false" customHeight="false" outlineLevel="0" collapsed="false">
      <c r="B1496" s="0" t="s">
        <v>632</v>
      </c>
    </row>
    <row r="1497" customFormat="false" ht="12.8" hidden="false" customHeight="false" outlineLevel="0" collapsed="false">
      <c r="B1497" s="0" t="s">
        <v>833</v>
      </c>
    </row>
    <row r="1499" customFormat="false" ht="12.8" hidden="false" customHeight="false" outlineLevel="0" collapsed="false">
      <c r="A1499" s="0" t="s">
        <v>834</v>
      </c>
      <c r="B1499" s="0" t="str">
        <f aca="false">HYPERLINK("https://lindat.mff.cuni.cz/services/teitok/pdtc10/index.php?action=vallex&amp;frame=v-w243f88_ZU", "být (v-w243f88_ZU)")</f>
        <v>být (v-w243f88_ZU)</v>
      </c>
    </row>
    <row r="1500" customFormat="false" ht="12.8" hidden="false" customHeight="false" outlineLevel="0" collapsed="false">
      <c r="B1500" s="0" t="s">
        <v>7</v>
      </c>
      <c r="C1500" s="0" t="s">
        <v>191</v>
      </c>
    </row>
    <row r="1501" customFormat="false" ht="12.8" hidden="false" customHeight="false" outlineLevel="0" collapsed="false">
      <c r="B1501" s="0" t="s">
        <v>835</v>
      </c>
    </row>
    <row r="1503" customFormat="false" ht="12.8" hidden="false" customHeight="false" outlineLevel="0" collapsed="false">
      <c r="A1503" s="0" t="s">
        <v>836</v>
      </c>
      <c r="B1503" s="0" t="str">
        <f aca="false">HYPERLINK("https://lindat.mff.cuni.cz/services/teitok/pdtc10/index.php?action=vallex&amp;frame=v-w243f172_ZU", "být (v-w243f172_ZU)")</f>
        <v>být (v-w243f172_ZU)</v>
      </c>
    </row>
    <row r="1504" customFormat="false" ht="12.8" hidden="false" customHeight="false" outlineLevel="0" collapsed="false">
      <c r="B1504" s="0" t="s">
        <v>7</v>
      </c>
    </row>
    <row r="1505" customFormat="false" ht="12.8" hidden="false" customHeight="false" outlineLevel="0" collapsed="false">
      <c r="B1505" s="0" t="s">
        <v>837</v>
      </c>
    </row>
    <row r="1507" customFormat="false" ht="12.8" hidden="false" customHeight="false" outlineLevel="0" collapsed="false">
      <c r="A1507" s="0" t="s">
        <v>836</v>
      </c>
      <c r="B1507" s="0" t="str">
        <f aca="false">HYPERLINK("https://lindat.mff.cuni.cz/services/teitok/pdtc10/index.php?action=vallex&amp;frame=v-w243f171_ZU", "být (v-w243f171_ZU) - substituted with v-w243f172_ZU")</f>
        <v>být (v-w243f171_ZU) - substituted with v-w243f172_ZU</v>
      </c>
    </row>
    <row r="1508" customFormat="false" ht="12.8" hidden="false" customHeight="false" outlineLevel="0" collapsed="false">
      <c r="B1508" s="0" t="s">
        <v>7</v>
      </c>
    </row>
    <row r="1509" customFormat="false" ht="12.8" hidden="false" customHeight="false" outlineLevel="0" collapsed="false">
      <c r="B1509" s="0" t="s">
        <v>837</v>
      </c>
    </row>
    <row r="1511" customFormat="false" ht="12.8" hidden="false" customHeight="false" outlineLevel="0" collapsed="false">
      <c r="A1511" s="0" t="s">
        <v>836</v>
      </c>
      <c r="B1511" s="0" t="str">
        <f aca="false">HYPERLINK("https://lindat.mff.cuni.cz/services/teitok/pdtc10/index.php?action=vallex&amp;frame=v-w243f90_ZU", "být (v-w243f90_ZU) - substituted with v-w243f172_ZU")</f>
        <v>být (v-w243f90_ZU) - substituted with v-w243f172_ZU</v>
      </c>
    </row>
    <row r="1512" customFormat="false" ht="12.8" hidden="false" customHeight="false" outlineLevel="0" collapsed="false">
      <c r="B1512" s="0" t="s">
        <v>7</v>
      </c>
    </row>
    <row r="1513" customFormat="false" ht="12.8" hidden="false" customHeight="false" outlineLevel="0" collapsed="false">
      <c r="B1513" s="0" t="s">
        <v>837</v>
      </c>
    </row>
    <row r="1515" customFormat="false" ht="12.8" hidden="false" customHeight="false" outlineLevel="0" collapsed="false">
      <c r="A1515" s="0" t="s">
        <v>838</v>
      </c>
      <c r="B1515" s="0" t="str">
        <f aca="false">HYPERLINK("https://lindat.mff.cuni.cz/services/teitok/pdtc10/index.php?action=vallex&amp;frame=v-w243f68_ZU", "být (v-w243f68_ZU)")</f>
        <v>být (v-w243f68_ZU)</v>
      </c>
    </row>
    <row r="1516" customFormat="false" ht="12.8" hidden="false" customHeight="false" outlineLevel="0" collapsed="false">
      <c r="B1516" s="0" t="s">
        <v>7</v>
      </c>
      <c r="C1516" s="0" t="s">
        <v>839</v>
      </c>
    </row>
    <row r="1517" customFormat="false" ht="12.8" hidden="false" customHeight="false" outlineLevel="0" collapsed="false">
      <c r="B1517" s="0" t="s">
        <v>840</v>
      </c>
      <c r="C1517" s="0" t="s">
        <v>707</v>
      </c>
    </row>
    <row r="1519" customFormat="false" ht="12.8" hidden="false" customHeight="false" outlineLevel="0" collapsed="false">
      <c r="A1519" s="0" t="s">
        <v>841</v>
      </c>
      <c r="B1519" s="0" t="str">
        <f aca="false">HYPERLINK("https://lindat.mff.cuni.cz/services/teitok/pdtc10/index.php?action=vallex&amp;frame=v-w243f64_ZU", "být (v-w243f64_ZU)")</f>
        <v>být (v-w243f64_ZU)</v>
      </c>
    </row>
    <row r="1520" customFormat="false" ht="12.8" hidden="false" customHeight="false" outlineLevel="0" collapsed="false">
      <c r="B1520" s="0" t="s">
        <v>7</v>
      </c>
      <c r="C1520" s="0" t="s">
        <v>842</v>
      </c>
    </row>
    <row r="1521" customFormat="false" ht="12.8" hidden="false" customHeight="false" outlineLevel="0" collapsed="false">
      <c r="B1521" s="0" t="s">
        <v>843</v>
      </c>
      <c r="C1521" s="0" t="s">
        <v>707</v>
      </c>
    </row>
    <row r="1523" customFormat="false" ht="12.8" hidden="false" customHeight="false" outlineLevel="0" collapsed="false">
      <c r="A1523" s="0" t="s">
        <v>844</v>
      </c>
      <c r="B1523" s="0" t="str">
        <f aca="false">HYPERLINK("https://lindat.mff.cuni.cz/services/teitok/pdtc10/index.php?action=vallex&amp;frame=v-w243f74_ZU", "být (v-w243f74_ZU)")</f>
        <v>být (v-w243f74_ZU)</v>
      </c>
    </row>
    <row r="1524" customFormat="false" ht="12.8" hidden="false" customHeight="false" outlineLevel="0" collapsed="false">
      <c r="B1524" s="0" t="s">
        <v>7</v>
      </c>
      <c r="C1524" s="0" t="s">
        <v>845</v>
      </c>
    </row>
    <row r="1525" customFormat="false" ht="12.8" hidden="false" customHeight="false" outlineLevel="0" collapsed="false">
      <c r="B1525" s="0" t="s">
        <v>846</v>
      </c>
      <c r="C1525" s="0" t="s">
        <v>847</v>
      </c>
    </row>
    <row r="1527" customFormat="false" ht="12.8" hidden="false" customHeight="false" outlineLevel="0" collapsed="false">
      <c r="A1527" s="0" t="s">
        <v>848</v>
      </c>
      <c r="B1527" s="0" t="str">
        <f aca="false">HYPERLINK("https://lindat.mff.cuni.cz/services/teitok/pdtc10/index.php?action=vallex&amp;frame=v-w243f89_ZU", "být (v-w243f89_ZU)")</f>
        <v>být (v-w243f89_ZU)</v>
      </c>
    </row>
    <row r="1528" customFormat="false" ht="12.8" hidden="false" customHeight="false" outlineLevel="0" collapsed="false">
      <c r="B1528" s="0" t="s">
        <v>7</v>
      </c>
    </row>
    <row r="1529" customFormat="false" ht="12.8" hidden="false" customHeight="false" outlineLevel="0" collapsed="false">
      <c r="B1529" s="0" t="s">
        <v>849</v>
      </c>
    </row>
    <row r="1531" customFormat="false" ht="12.8" hidden="false" customHeight="false" outlineLevel="0" collapsed="false">
      <c r="A1531" s="0" t="s">
        <v>848</v>
      </c>
      <c r="B1531" s="0" t="str">
        <f aca="false">HYPERLINK("https://lindat.mff.cuni.cz/services/teitok/pdtc10/index.php?action=vallex&amp;frame=v-w243f73_ZU", "být (v-w243f73_ZU) - substituted with v-w243f89_ZU")</f>
        <v>být (v-w243f73_ZU) - substituted with v-w243f89_ZU</v>
      </c>
    </row>
    <row r="1532" customFormat="false" ht="12.8" hidden="false" customHeight="false" outlineLevel="0" collapsed="false">
      <c r="B1532" s="0" t="s">
        <v>7</v>
      </c>
    </row>
    <row r="1533" customFormat="false" ht="12.8" hidden="false" customHeight="false" outlineLevel="0" collapsed="false">
      <c r="B1533" s="0" t="s">
        <v>849</v>
      </c>
    </row>
    <row r="1535" customFormat="false" ht="12.8" hidden="false" customHeight="false" outlineLevel="0" collapsed="false">
      <c r="A1535" s="0" t="s">
        <v>850</v>
      </c>
      <c r="B1535" s="0" t="str">
        <f aca="false">HYPERLINK("https://lindat.mff.cuni.cz/services/teitok/pdtc10/index.php?action=vallex&amp;frame=v-w243f55_ZU", "být (v-w243f55_ZU)")</f>
        <v>být (v-w243f55_ZU)</v>
      </c>
    </row>
    <row r="1536" customFormat="false" ht="12.8" hidden="false" customHeight="false" outlineLevel="0" collapsed="false">
      <c r="B1536" s="0" t="s">
        <v>7</v>
      </c>
      <c r="C1536" s="0" t="s">
        <v>277</v>
      </c>
      <c r="D1536" s="0" t="s">
        <v>749</v>
      </c>
      <c r="E1536" s="0" t="s">
        <v>749</v>
      </c>
      <c r="F1536" s="0" t="s">
        <v>749</v>
      </c>
    </row>
    <row r="1537" customFormat="false" ht="12.8" hidden="false" customHeight="false" outlineLevel="0" collapsed="false">
      <c r="B1537" s="0" t="s">
        <v>851</v>
      </c>
      <c r="C1537" s="0" t="s">
        <v>731</v>
      </c>
      <c r="D1537" s="0" t="s">
        <v>852</v>
      </c>
      <c r="E1537" s="0" t="s">
        <v>852</v>
      </c>
      <c r="F1537" s="0" t="s">
        <v>852</v>
      </c>
    </row>
    <row r="1539" customFormat="false" ht="12.8" hidden="false" customHeight="false" outlineLevel="0" collapsed="false">
      <c r="A1539" s="0" t="s">
        <v>853</v>
      </c>
      <c r="B1539" s="0" t="str">
        <f aca="false">HYPERLINK("https://lindat.mff.cuni.cz/services/teitok/pdtc10/index.php?action=vallex&amp;frame=v-w243f91_ZU", "být (v-w243f91_ZU)")</f>
        <v>být (v-w243f91_ZU)</v>
      </c>
    </row>
    <row r="1540" customFormat="false" ht="12.8" hidden="false" customHeight="false" outlineLevel="0" collapsed="false">
      <c r="B1540" s="0" t="s">
        <v>7</v>
      </c>
      <c r="C1540" s="0" t="s">
        <v>277</v>
      </c>
    </row>
    <row r="1541" customFormat="false" ht="12.8" hidden="false" customHeight="false" outlineLevel="0" collapsed="false">
      <c r="B1541" s="0" t="s">
        <v>854</v>
      </c>
      <c r="C1541" s="0" t="s">
        <v>731</v>
      </c>
    </row>
    <row r="1543" customFormat="false" ht="12.8" hidden="false" customHeight="false" outlineLevel="0" collapsed="false">
      <c r="A1543" s="0" t="s">
        <v>855</v>
      </c>
      <c r="B1543" s="0" t="str">
        <f aca="false">HYPERLINK("https://lindat.mff.cuni.cz/services/teitok/pdtc10/index.php?action=vallex&amp;frame=v-w243f85_ZU", "být (v-w243f85_ZU)")</f>
        <v>být (v-w243f85_ZU)</v>
      </c>
    </row>
    <row r="1544" customFormat="false" ht="12.8" hidden="false" customHeight="false" outlineLevel="0" collapsed="false">
      <c r="B1544" s="0" t="s">
        <v>7</v>
      </c>
      <c r="C1544" s="0" t="s">
        <v>498</v>
      </c>
    </row>
    <row r="1545" customFormat="false" ht="12.8" hidden="false" customHeight="false" outlineLevel="0" collapsed="false">
      <c r="B1545" s="0" t="s">
        <v>856</v>
      </c>
      <c r="C1545" s="0" t="s">
        <v>707</v>
      </c>
    </row>
    <row r="1547" customFormat="false" ht="12.8" hidden="false" customHeight="false" outlineLevel="0" collapsed="false">
      <c r="A1547" s="0" t="s">
        <v>857</v>
      </c>
      <c r="B1547" s="0" t="str">
        <f aca="false">HYPERLINK("https://lindat.mff.cuni.cz/services/teitok/pdtc10/index.php?action=vallex&amp;frame=v-w243f60_ZU", "být (v-w243f60_ZU)")</f>
        <v>být (v-w243f60_ZU)</v>
      </c>
    </row>
    <row r="1548" customFormat="false" ht="12.8" hidden="false" customHeight="false" outlineLevel="0" collapsed="false">
      <c r="B1548" s="0" t="s">
        <v>7</v>
      </c>
      <c r="C1548" s="0" t="s">
        <v>498</v>
      </c>
    </row>
    <row r="1549" customFormat="false" ht="12.8" hidden="false" customHeight="false" outlineLevel="0" collapsed="false">
      <c r="B1549" s="0" t="s">
        <v>858</v>
      </c>
      <c r="C1549" s="0" t="s">
        <v>707</v>
      </c>
    </row>
    <row r="1551" customFormat="false" ht="12.8" hidden="false" customHeight="false" outlineLevel="0" collapsed="false">
      <c r="A1551" s="0" t="s">
        <v>859</v>
      </c>
      <c r="B1551" s="0" t="str">
        <f aca="false">HYPERLINK("https://lindat.mff.cuni.cz/services/teitok/pdtc10/index.php?action=vallex&amp;frame=v-w243f71_ZU", "být (v-w243f71_ZU)")</f>
        <v>být (v-w243f71_ZU)</v>
      </c>
    </row>
    <row r="1552" customFormat="false" ht="12.8" hidden="false" customHeight="false" outlineLevel="0" collapsed="false">
      <c r="B1552" s="0" t="s">
        <v>7</v>
      </c>
    </row>
    <row r="1553" customFormat="false" ht="12.8" hidden="false" customHeight="false" outlineLevel="0" collapsed="false">
      <c r="B1553" s="0" t="s">
        <v>860</v>
      </c>
    </row>
    <row r="1555" customFormat="false" ht="12.8" hidden="false" customHeight="false" outlineLevel="0" collapsed="false">
      <c r="A1555" s="0" t="s">
        <v>861</v>
      </c>
      <c r="B1555" s="0" t="str">
        <f aca="false">HYPERLINK("https://lindat.mff.cuni.cz/services/teitok/pdtc10/index.php?action=vallex&amp;frame=v-w243hsa_60", "být (v-w243hsa_60)")</f>
        <v>být (v-w243hsa_60)</v>
      </c>
    </row>
    <row r="1556" customFormat="false" ht="12.8" hidden="false" customHeight="false" outlineLevel="0" collapsed="false">
      <c r="B1556" s="0" t="s">
        <v>862</v>
      </c>
    </row>
    <row r="1557" customFormat="false" ht="12.8" hidden="false" customHeight="false" outlineLevel="0" collapsed="false">
      <c r="B1557" s="0" t="s">
        <v>863</v>
      </c>
    </row>
    <row r="1559" customFormat="false" ht="12.8" hidden="false" customHeight="false" outlineLevel="0" collapsed="false">
      <c r="A1559" s="0" t="s">
        <v>861</v>
      </c>
      <c r="B1559" s="0" t="str">
        <f aca="false">HYPERLINK("https://lindat.mff.cuni.cz/services/teitok/pdtc10/index.php?action=vallex&amp;frame=v-w243f70_ZU", "být (v-w243f70_ZU) - substituted with v-w243hsa_60")</f>
        <v>být (v-w243f70_ZU) - substituted with v-w243hsa_60</v>
      </c>
    </row>
    <row r="1560" customFormat="false" ht="12.8" hidden="false" customHeight="false" outlineLevel="0" collapsed="false">
      <c r="B1560" s="0" t="s">
        <v>862</v>
      </c>
      <c r="C1560" s="0" t="s">
        <v>864</v>
      </c>
      <c r="D1560" s="0" t="s">
        <v>749</v>
      </c>
      <c r="E1560" s="0" t="s">
        <v>749</v>
      </c>
      <c r="F1560" s="0" t="s">
        <v>749</v>
      </c>
    </row>
    <row r="1561" customFormat="false" ht="12.8" hidden="false" customHeight="false" outlineLevel="0" collapsed="false">
      <c r="B1561" s="0" t="s">
        <v>863</v>
      </c>
      <c r="C1561" s="0" t="s">
        <v>865</v>
      </c>
      <c r="D1561" s="0" t="s">
        <v>852</v>
      </c>
      <c r="E1561" s="0" t="s">
        <v>852</v>
      </c>
      <c r="F1561" s="0" t="s">
        <v>852</v>
      </c>
    </row>
    <row r="1563" customFormat="false" ht="12.8" hidden="false" customHeight="false" outlineLevel="0" collapsed="false">
      <c r="A1563" s="0" t="s">
        <v>866</v>
      </c>
      <c r="B1563" s="0" t="str">
        <f aca="false">HYPERLINK("https://lindat.mff.cuni.cz/services/teitok/pdtc10/index.php?action=vallex&amp;frame=v-w243f69_ZU", "být (v-w243f69_ZU)")</f>
        <v>být (v-w243f69_ZU)</v>
      </c>
    </row>
    <row r="1564" customFormat="false" ht="12.8" hidden="false" customHeight="false" outlineLevel="0" collapsed="false">
      <c r="B1564" s="0" t="s">
        <v>7</v>
      </c>
      <c r="C1564" s="0" t="s">
        <v>867</v>
      </c>
      <c r="D1564" s="0" t="s">
        <v>868</v>
      </c>
      <c r="E1564" s="0" t="s">
        <v>868</v>
      </c>
      <c r="F1564" s="0" t="s">
        <v>868</v>
      </c>
    </row>
    <row r="1565" customFormat="false" ht="12.8" hidden="false" customHeight="false" outlineLevel="0" collapsed="false">
      <c r="B1565" s="0" t="s">
        <v>869</v>
      </c>
      <c r="C1565" s="0" t="s">
        <v>870</v>
      </c>
    </row>
    <row r="1567" customFormat="false" ht="12.8" hidden="false" customHeight="false" outlineLevel="0" collapsed="false">
      <c r="A1567" s="0" t="s">
        <v>871</v>
      </c>
      <c r="B1567" s="0" t="str">
        <f aca="false">HYPERLINK("https://lindat.mff.cuni.cz/services/teitok/pdtc10/index.php?action=vallex&amp;frame=v-w243f39", "být (v-w243f39)")</f>
        <v>být (v-w243f39)</v>
      </c>
    </row>
    <row r="1568" customFormat="false" ht="12.8" hidden="false" customHeight="false" outlineLevel="0" collapsed="false">
      <c r="B1568" s="0" t="s">
        <v>872</v>
      </c>
    </row>
    <row r="1569" customFormat="false" ht="12.8" hidden="false" customHeight="false" outlineLevel="0" collapsed="false">
      <c r="B1569" s="0" t="s">
        <v>666</v>
      </c>
    </row>
    <row r="1571" customFormat="false" ht="12.8" hidden="false" customHeight="false" outlineLevel="0" collapsed="false">
      <c r="A1571" s="0" t="s">
        <v>873</v>
      </c>
      <c r="B1571" s="0" t="str">
        <f aca="false">HYPERLINK("https://lindat.mff.cuni.cz/services/teitok/pdtc10/index.php?action=vallex&amp;frame=v-w243hsa_81", "být (v-w243hsa_81)")</f>
        <v>být (v-w243hsa_81)</v>
      </c>
    </row>
    <row r="1572" customFormat="false" ht="12.8" hidden="false" customHeight="false" outlineLevel="0" collapsed="false">
      <c r="B1572" s="0" t="s">
        <v>7</v>
      </c>
    </row>
    <row r="1573" customFormat="false" ht="12.8" hidden="false" customHeight="false" outlineLevel="0" collapsed="false">
      <c r="B1573" s="0" t="s">
        <v>548</v>
      </c>
    </row>
    <row r="1575" customFormat="false" ht="12.8" hidden="false" customHeight="false" outlineLevel="0" collapsed="false">
      <c r="A1575" s="0" t="s">
        <v>874</v>
      </c>
      <c r="B1575" s="0" t="str">
        <f aca="false">HYPERLINK("https://lindat.mff.cuni.cz/services/teitok/pdtc10/index.php?action=vallex&amp;frame=v-w243f123_ZU", "být (v-w243f123_ZU)")</f>
        <v>být (v-w243f123_ZU)</v>
      </c>
    </row>
    <row r="1576" customFormat="false" ht="12.8" hidden="false" customHeight="false" outlineLevel="0" collapsed="false">
      <c r="B1576" s="0" t="s">
        <v>7</v>
      </c>
    </row>
    <row r="1577" customFormat="false" ht="12.8" hidden="false" customHeight="false" outlineLevel="0" collapsed="false">
      <c r="B1577" s="0" t="s">
        <v>875</v>
      </c>
    </row>
    <row r="1578" customFormat="false" ht="12.8" hidden="false" customHeight="false" outlineLevel="0" collapsed="false">
      <c r="B1578" s="0" t="s">
        <v>207</v>
      </c>
    </row>
    <row r="1580" customFormat="false" ht="12.8" hidden="false" customHeight="false" outlineLevel="0" collapsed="false">
      <c r="A1580" s="0" t="s">
        <v>874</v>
      </c>
      <c r="B1580" s="0" t="str">
        <f aca="false">HYPERLINK("https://lindat.mff.cuni.cz/services/teitok/pdtc10/index.php?action=vallex&amp;frame=v-w243hsa_82", "být (v-w243hsa_82) - substituted with v-w243f123_ZU")</f>
        <v>být (v-w243hsa_82) - substituted with v-w243f123_ZU</v>
      </c>
    </row>
    <row r="1581" customFormat="false" ht="12.8" hidden="false" customHeight="false" outlineLevel="0" collapsed="false">
      <c r="B1581" s="0" t="s">
        <v>7</v>
      </c>
    </row>
    <row r="1582" customFormat="false" ht="12.8" hidden="false" customHeight="false" outlineLevel="0" collapsed="false">
      <c r="B1582" s="0" t="s">
        <v>875</v>
      </c>
    </row>
    <row r="1583" customFormat="false" ht="12.8" hidden="false" customHeight="false" outlineLevel="0" collapsed="false">
      <c r="B1583" s="0" t="s">
        <v>207</v>
      </c>
    </row>
    <row r="1585" customFormat="false" ht="12.8" hidden="false" customHeight="false" outlineLevel="0" collapsed="false">
      <c r="A1585" s="0" t="s">
        <v>876</v>
      </c>
      <c r="B1585" s="0" t="str">
        <f aca="false">HYPERLINK("https://lindat.mff.cuni.cz/services/teitok/pdtc10/index.php?action=vallex&amp;frame=v-w243hsa_83", "být (v-w243hsa_83)")</f>
        <v>být (v-w243hsa_83)</v>
      </c>
    </row>
    <row r="1586" customFormat="false" ht="12.8" hidden="false" customHeight="false" outlineLevel="0" collapsed="false">
      <c r="B1586" s="0" t="s">
        <v>829</v>
      </c>
    </row>
    <row r="1587" customFormat="false" ht="12.8" hidden="false" customHeight="false" outlineLevel="0" collapsed="false">
      <c r="B1587" s="0" t="s">
        <v>220</v>
      </c>
    </row>
    <row r="1589" customFormat="false" ht="12.8" hidden="false" customHeight="false" outlineLevel="0" collapsed="false">
      <c r="A1589" s="0" t="s">
        <v>877</v>
      </c>
      <c r="B1589" s="0" t="str">
        <f aca="false">HYPERLINK("https://lindat.mff.cuni.cz/services/teitok/pdtc10/index.php?action=vallex&amp;frame=v-w243f101_ZU", "být (v-w243f101_ZU)")</f>
        <v>být (v-w243f101_ZU)</v>
      </c>
    </row>
    <row r="1590" customFormat="false" ht="12.8" hidden="false" customHeight="false" outlineLevel="0" collapsed="false">
      <c r="B1590" s="0" t="s">
        <v>7</v>
      </c>
    </row>
    <row r="1591" customFormat="false" ht="12.8" hidden="false" customHeight="false" outlineLevel="0" collapsed="false">
      <c r="B1591" s="0" t="s">
        <v>878</v>
      </c>
    </row>
    <row r="1593" customFormat="false" ht="12.8" hidden="false" customHeight="false" outlineLevel="0" collapsed="false">
      <c r="A1593" s="0" t="s">
        <v>877</v>
      </c>
      <c r="B1593" s="0" t="str">
        <f aca="false">HYPERLINK("https://lindat.mff.cuni.cz/services/teitok/pdtc10/index.php?action=vallex&amp;frame=v-w243hsa_86", "být (v-w243hsa_86) - substituted with v-w243f101_ZU")</f>
        <v>být (v-w243hsa_86) - substituted with v-w243f101_ZU</v>
      </c>
    </row>
    <row r="1594" customFormat="false" ht="12.8" hidden="false" customHeight="false" outlineLevel="0" collapsed="false">
      <c r="B1594" s="0" t="s">
        <v>7</v>
      </c>
    </row>
    <row r="1595" customFormat="false" ht="12.8" hidden="false" customHeight="false" outlineLevel="0" collapsed="false">
      <c r="B1595" s="0" t="s">
        <v>878</v>
      </c>
    </row>
    <row r="1597" customFormat="false" ht="12.8" hidden="false" customHeight="false" outlineLevel="0" collapsed="false">
      <c r="A1597" s="0" t="s">
        <v>879</v>
      </c>
      <c r="B1597" s="0" t="str">
        <f aca="false">HYPERLINK("https://lindat.mff.cuni.cz/services/teitok/pdtc10/index.php?action=vallex&amp;frame=v-w243f102_ZU", "být (v-w243f102_ZU)")</f>
        <v>být (v-w243f102_ZU)</v>
      </c>
    </row>
    <row r="1598" customFormat="false" ht="12.8" hidden="false" customHeight="false" outlineLevel="0" collapsed="false">
      <c r="B1598" s="0" t="s">
        <v>7</v>
      </c>
      <c r="C1598" s="0" t="s">
        <v>16</v>
      </c>
      <c r="D1598" s="0" t="s">
        <v>880</v>
      </c>
      <c r="E1598" s="0" t="s">
        <v>880</v>
      </c>
      <c r="F1598" s="0" t="s">
        <v>880</v>
      </c>
    </row>
    <row r="1599" customFormat="false" ht="12.8" hidden="false" customHeight="false" outlineLevel="0" collapsed="false">
      <c r="B1599" s="0" t="s">
        <v>881</v>
      </c>
    </row>
    <row r="1601" customFormat="false" ht="12.8" hidden="false" customHeight="false" outlineLevel="0" collapsed="false">
      <c r="A1601" s="0" t="s">
        <v>879</v>
      </c>
      <c r="B1601" s="0" t="str">
        <f aca="false">HYPERLINK("https://lindat.mff.cuni.cz/services/teitok/pdtc10/index.php?action=vallex&amp;frame=v-w243hsa_89", "být (v-w243hsa_89) - substituted with v-w243f102_ZU")</f>
        <v>být (v-w243hsa_89) - substituted with v-w243f102_ZU</v>
      </c>
    </row>
    <row r="1602" customFormat="false" ht="12.8" hidden="false" customHeight="false" outlineLevel="0" collapsed="false">
      <c r="B1602" s="0" t="s">
        <v>7</v>
      </c>
    </row>
    <row r="1603" customFormat="false" ht="12.8" hidden="false" customHeight="false" outlineLevel="0" collapsed="false">
      <c r="B1603" s="0" t="s">
        <v>881</v>
      </c>
    </row>
    <row r="1605" customFormat="false" ht="12.8" hidden="false" customHeight="false" outlineLevel="0" collapsed="false">
      <c r="A1605" s="0" t="s">
        <v>882</v>
      </c>
      <c r="B1605" s="0" t="str">
        <f aca="false">HYPERLINK("https://lindat.mff.cuni.cz/services/teitok/pdtc10/index.php?action=vallex&amp;frame=v-w243f103_ZU", "být (v-w243f103_ZU)")</f>
        <v>být (v-w243f103_ZU)</v>
      </c>
    </row>
    <row r="1606" customFormat="false" ht="12.8" hidden="false" customHeight="false" outlineLevel="0" collapsed="false">
      <c r="B1606" s="0" t="s">
        <v>7</v>
      </c>
    </row>
    <row r="1607" customFormat="false" ht="12.8" hidden="false" customHeight="false" outlineLevel="0" collapsed="false">
      <c r="B1607" s="0" t="s">
        <v>883</v>
      </c>
    </row>
    <row r="1609" customFormat="false" ht="12.8" hidden="false" customHeight="false" outlineLevel="0" collapsed="false">
      <c r="A1609" s="0" t="s">
        <v>882</v>
      </c>
      <c r="B1609" s="0" t="str">
        <f aca="false">HYPERLINK("https://lindat.mff.cuni.cz/services/teitok/pdtc10/index.php?action=vallex&amp;frame=v-w243hsa_90", "být (v-w243hsa_90) - substituted with v-w243f103_ZU")</f>
        <v>být (v-w243hsa_90) - substituted with v-w243f103_ZU</v>
      </c>
    </row>
    <row r="1610" customFormat="false" ht="12.8" hidden="false" customHeight="false" outlineLevel="0" collapsed="false">
      <c r="B1610" s="0" t="s">
        <v>7</v>
      </c>
    </row>
    <row r="1611" customFormat="false" ht="12.8" hidden="false" customHeight="false" outlineLevel="0" collapsed="false">
      <c r="B1611" s="0" t="s">
        <v>883</v>
      </c>
    </row>
    <row r="1613" customFormat="false" ht="12.8" hidden="false" customHeight="false" outlineLevel="0" collapsed="false">
      <c r="A1613" s="0" t="s">
        <v>884</v>
      </c>
      <c r="B1613" s="0" t="str">
        <f aca="false">HYPERLINK("https://lindat.mff.cuni.cz/services/teitok/pdtc10/index.php?action=vallex&amp;frame=v-w243f99_ZU", "být (v-w243f99_ZU)")</f>
        <v>být (v-w243f99_ZU)</v>
      </c>
    </row>
    <row r="1614" customFormat="false" ht="12.8" hidden="false" customHeight="false" outlineLevel="0" collapsed="false">
      <c r="B1614" s="0" t="s">
        <v>7</v>
      </c>
    </row>
    <row r="1615" customFormat="false" ht="12.8" hidden="false" customHeight="false" outlineLevel="0" collapsed="false">
      <c r="B1615" s="0" t="s">
        <v>885</v>
      </c>
    </row>
    <row r="1616" customFormat="false" ht="12.8" hidden="false" customHeight="false" outlineLevel="0" collapsed="false">
      <c r="B1616" s="0" t="s">
        <v>119</v>
      </c>
    </row>
    <row r="1618" customFormat="false" ht="12.8" hidden="false" customHeight="false" outlineLevel="0" collapsed="false">
      <c r="A1618" s="0" t="s">
        <v>884</v>
      </c>
      <c r="B1618" s="0" t="str">
        <f aca="false">HYPERLINK("https://lindat.mff.cuni.cz/services/teitok/pdtc10/index.php?action=vallex&amp;frame=v-w243hsa_91", "být (v-w243hsa_91) - substituted with v-w243f99_ZU")</f>
        <v>být (v-w243hsa_91) - substituted with v-w243f99_ZU</v>
      </c>
    </row>
    <row r="1619" customFormat="false" ht="12.8" hidden="false" customHeight="false" outlineLevel="0" collapsed="false">
      <c r="B1619" s="0" t="s">
        <v>7</v>
      </c>
    </row>
    <row r="1620" customFormat="false" ht="12.8" hidden="false" customHeight="false" outlineLevel="0" collapsed="false">
      <c r="B1620" s="0" t="s">
        <v>885</v>
      </c>
    </row>
    <row r="1621" customFormat="false" ht="12.8" hidden="false" customHeight="false" outlineLevel="0" collapsed="false">
      <c r="B1621" s="0" t="s">
        <v>119</v>
      </c>
    </row>
    <row r="1623" customFormat="false" ht="12.8" hidden="false" customHeight="false" outlineLevel="0" collapsed="false">
      <c r="A1623" s="0" t="s">
        <v>886</v>
      </c>
      <c r="B1623" s="0" t="str">
        <f aca="false">HYPERLINK("https://lindat.mff.cuni.cz/services/teitok/pdtc10/index.php?action=vallex&amp;frame=v-w243f104_ZU", "být (v-w243f104_ZU)")</f>
        <v>být (v-w243f104_ZU)</v>
      </c>
    </row>
    <row r="1624" customFormat="false" ht="12.8" hidden="false" customHeight="false" outlineLevel="0" collapsed="false">
      <c r="B1624" s="0" t="s">
        <v>7</v>
      </c>
    </row>
    <row r="1625" customFormat="false" ht="12.8" hidden="false" customHeight="false" outlineLevel="0" collapsed="false">
      <c r="B1625" s="0" t="s">
        <v>887</v>
      </c>
    </row>
    <row r="1627" customFormat="false" ht="12.8" hidden="false" customHeight="false" outlineLevel="0" collapsed="false">
      <c r="A1627" s="0" t="s">
        <v>886</v>
      </c>
      <c r="B1627" s="0" t="str">
        <f aca="false">HYPERLINK("https://lindat.mff.cuni.cz/services/teitok/pdtc10/index.php?action=vallex&amp;frame=v-w243hsa_92", "být (v-w243hsa_92) - substituted with v-w243f104_ZU")</f>
        <v>být (v-w243hsa_92) - substituted with v-w243f104_ZU</v>
      </c>
    </row>
    <row r="1628" customFormat="false" ht="12.8" hidden="false" customHeight="false" outlineLevel="0" collapsed="false">
      <c r="B1628" s="0" t="s">
        <v>7</v>
      </c>
    </row>
    <row r="1629" customFormat="false" ht="12.8" hidden="false" customHeight="false" outlineLevel="0" collapsed="false">
      <c r="B1629" s="0" t="s">
        <v>887</v>
      </c>
    </row>
    <row r="1631" customFormat="false" ht="12.8" hidden="false" customHeight="false" outlineLevel="0" collapsed="false">
      <c r="A1631" s="0" t="s">
        <v>888</v>
      </c>
      <c r="B1631" s="0" t="str">
        <f aca="false">HYPERLINK("https://lindat.mff.cuni.cz/services/teitok/pdtc10/index.php?action=vallex&amp;frame=v-w243f105_ZU", "být (v-w243f105_ZU)")</f>
        <v>být (v-w243f105_ZU)</v>
      </c>
    </row>
    <row r="1632" customFormat="false" ht="12.8" hidden="false" customHeight="false" outlineLevel="0" collapsed="false">
      <c r="B1632" s="0" t="s">
        <v>7</v>
      </c>
      <c r="C1632" s="0" t="s">
        <v>672</v>
      </c>
      <c r="D1632" s="0" t="s">
        <v>776</v>
      </c>
      <c r="E1632" s="0" t="s">
        <v>776</v>
      </c>
      <c r="F1632" s="0" t="s">
        <v>776</v>
      </c>
    </row>
    <row r="1633" customFormat="false" ht="12.8" hidden="false" customHeight="false" outlineLevel="0" collapsed="false">
      <c r="B1633" s="0" t="s">
        <v>889</v>
      </c>
      <c r="C1633" s="0" t="s">
        <v>890</v>
      </c>
    </row>
    <row r="1635" customFormat="false" ht="12.8" hidden="false" customHeight="false" outlineLevel="0" collapsed="false">
      <c r="A1635" s="0" t="s">
        <v>888</v>
      </c>
      <c r="B1635" s="0" t="str">
        <f aca="false">HYPERLINK("https://lindat.mff.cuni.cz/services/teitok/pdtc10/index.php?action=vallex&amp;frame=v-w243hsa_93", "být (v-w243hsa_93) - substituted with v-w243f105_ZU")</f>
        <v>být (v-w243hsa_93) - substituted with v-w243f105_ZU</v>
      </c>
    </row>
    <row r="1636" customFormat="false" ht="12.8" hidden="false" customHeight="false" outlineLevel="0" collapsed="false">
      <c r="B1636" s="0" t="s">
        <v>7</v>
      </c>
    </row>
    <row r="1637" customFormat="false" ht="12.8" hidden="false" customHeight="false" outlineLevel="0" collapsed="false">
      <c r="B1637" s="0" t="s">
        <v>889</v>
      </c>
    </row>
    <row r="1639" customFormat="false" ht="12.8" hidden="false" customHeight="false" outlineLevel="0" collapsed="false">
      <c r="A1639" s="0" t="s">
        <v>891</v>
      </c>
      <c r="B1639" s="0" t="str">
        <f aca="false">HYPERLINK("https://lindat.mff.cuni.cz/services/teitok/pdtc10/index.php?action=vallex&amp;frame=v-w243f106_ZU", "být (v-w243f106_ZU)")</f>
        <v>být (v-w243f106_ZU)</v>
      </c>
    </row>
    <row r="1640" customFormat="false" ht="12.8" hidden="false" customHeight="false" outlineLevel="0" collapsed="false">
      <c r="B1640" s="0" t="s">
        <v>7</v>
      </c>
      <c r="C1640" s="0" t="s">
        <v>498</v>
      </c>
    </row>
    <row r="1641" customFormat="false" ht="12.8" hidden="false" customHeight="false" outlineLevel="0" collapsed="false">
      <c r="B1641" s="0" t="s">
        <v>892</v>
      </c>
      <c r="C1641" s="0" t="s">
        <v>707</v>
      </c>
    </row>
    <row r="1643" customFormat="false" ht="12.8" hidden="false" customHeight="false" outlineLevel="0" collapsed="false">
      <c r="A1643" s="0" t="s">
        <v>891</v>
      </c>
      <c r="B1643" s="0" t="str">
        <f aca="false">HYPERLINK("https://lindat.mff.cuni.cz/services/teitok/pdtc10/index.php?action=vallex&amp;frame=v-w243hsa_94", "být (v-w243hsa_94) - substituted with v-w243f106_ZU")</f>
        <v>být (v-w243hsa_94) - substituted with v-w243f106_ZU</v>
      </c>
    </row>
    <row r="1644" customFormat="false" ht="12.8" hidden="false" customHeight="false" outlineLevel="0" collapsed="false">
      <c r="B1644" s="0" t="s">
        <v>7</v>
      </c>
    </row>
    <row r="1645" customFormat="false" ht="12.8" hidden="false" customHeight="false" outlineLevel="0" collapsed="false">
      <c r="B1645" s="0" t="s">
        <v>892</v>
      </c>
    </row>
    <row r="1647" customFormat="false" ht="12.8" hidden="false" customHeight="false" outlineLevel="0" collapsed="false">
      <c r="A1647" s="0" t="s">
        <v>893</v>
      </c>
      <c r="B1647" s="0" t="str">
        <f aca="false">HYPERLINK("https://lindat.mff.cuni.cz/services/teitok/pdtc10/index.php?action=vallex&amp;frame=v-w243f107_ZU", "být (v-w243f107_ZU)")</f>
        <v>být (v-w243f107_ZU)</v>
      </c>
    </row>
    <row r="1648" customFormat="false" ht="12.8" hidden="false" customHeight="false" outlineLevel="0" collapsed="false">
      <c r="B1648" s="0" t="s">
        <v>7</v>
      </c>
      <c r="C1648" s="0" t="s">
        <v>277</v>
      </c>
      <c r="D1648" s="0" t="s">
        <v>894</v>
      </c>
      <c r="E1648" s="0" t="s">
        <v>894</v>
      </c>
      <c r="F1648" s="0" t="s">
        <v>894</v>
      </c>
    </row>
    <row r="1649" customFormat="false" ht="12.8" hidden="false" customHeight="false" outlineLevel="0" collapsed="false">
      <c r="B1649" s="0" t="s">
        <v>895</v>
      </c>
      <c r="C1649" s="0" t="s">
        <v>731</v>
      </c>
      <c r="D1649" s="0" t="s">
        <v>896</v>
      </c>
      <c r="E1649" s="0" t="s">
        <v>896</v>
      </c>
      <c r="F1649" s="0" t="s">
        <v>896</v>
      </c>
    </row>
    <row r="1651" customFormat="false" ht="12.8" hidden="false" customHeight="false" outlineLevel="0" collapsed="false">
      <c r="A1651" s="0" t="s">
        <v>893</v>
      </c>
      <c r="B1651" s="0" t="str">
        <f aca="false">HYPERLINK("https://lindat.mff.cuni.cz/services/teitok/pdtc10/index.php?action=vallex&amp;frame=v-w243hsa_95", "být (v-w243hsa_95) - substituted with v-w243f107_ZU")</f>
        <v>být (v-w243hsa_95) - substituted with v-w243f107_ZU</v>
      </c>
    </row>
    <row r="1652" customFormat="false" ht="12.8" hidden="false" customHeight="false" outlineLevel="0" collapsed="false">
      <c r="B1652" s="0" t="s">
        <v>7</v>
      </c>
    </row>
    <row r="1653" customFormat="false" ht="12.8" hidden="false" customHeight="false" outlineLevel="0" collapsed="false">
      <c r="B1653" s="0" t="s">
        <v>895</v>
      </c>
    </row>
    <row r="1655" customFormat="false" ht="12.8" hidden="false" customHeight="false" outlineLevel="0" collapsed="false">
      <c r="A1655" s="0" t="s">
        <v>897</v>
      </c>
      <c r="B1655" s="0" t="str">
        <f aca="false">HYPERLINK("https://lindat.mff.cuni.cz/services/teitok/pdtc10/index.php?action=vallex&amp;frame=v-w243f120_ZU", "být (v-w243f120_ZU)")</f>
        <v>být (v-w243f120_ZU)</v>
      </c>
    </row>
    <row r="1656" customFormat="false" ht="12.8" hidden="false" customHeight="false" outlineLevel="0" collapsed="false">
      <c r="B1656" s="0" t="s">
        <v>7</v>
      </c>
      <c r="C1656" s="0" t="s">
        <v>504</v>
      </c>
    </row>
    <row r="1657" customFormat="false" ht="12.8" hidden="false" customHeight="false" outlineLevel="0" collapsed="false">
      <c r="B1657" s="0" t="s">
        <v>898</v>
      </c>
    </row>
    <row r="1658" customFormat="false" ht="12.8" hidden="false" customHeight="false" outlineLevel="0" collapsed="false">
      <c r="B1658" s="0" t="s">
        <v>119</v>
      </c>
      <c r="C1658" s="0" t="s">
        <v>899</v>
      </c>
    </row>
    <row r="1660" customFormat="false" ht="12.8" hidden="false" customHeight="false" outlineLevel="0" collapsed="false">
      <c r="A1660" s="0" t="s">
        <v>897</v>
      </c>
      <c r="B1660" s="0" t="str">
        <f aca="false">HYPERLINK("https://lindat.mff.cuni.cz/services/teitok/pdtc10/index.php?action=vallex&amp;frame=v-w243hsa_96", "být (v-w243hsa_96) - substituted with v-w243f120_ZU")</f>
        <v>být (v-w243hsa_96) - substituted with v-w243f120_ZU</v>
      </c>
    </row>
    <row r="1661" customFormat="false" ht="12.8" hidden="false" customHeight="false" outlineLevel="0" collapsed="false">
      <c r="B1661" s="0" t="s">
        <v>7</v>
      </c>
    </row>
    <row r="1662" customFormat="false" ht="12.8" hidden="false" customHeight="false" outlineLevel="0" collapsed="false">
      <c r="B1662" s="0" t="s">
        <v>898</v>
      </c>
    </row>
    <row r="1663" customFormat="false" ht="12.8" hidden="false" customHeight="false" outlineLevel="0" collapsed="false">
      <c r="B1663" s="0" t="s">
        <v>119</v>
      </c>
    </row>
    <row r="1665" customFormat="false" ht="12.8" hidden="false" customHeight="false" outlineLevel="0" collapsed="false">
      <c r="A1665" s="0" t="s">
        <v>900</v>
      </c>
      <c r="B1665" s="0" t="str">
        <f aca="false">HYPERLINK("https://lindat.mff.cuni.cz/services/teitok/pdtc10/index.php?action=vallex&amp;frame=v-w243f109_ZU", "být (v-w243f109_ZU)")</f>
        <v>být (v-w243f109_ZU)</v>
      </c>
    </row>
    <row r="1666" customFormat="false" ht="12.8" hidden="false" customHeight="false" outlineLevel="0" collapsed="false">
      <c r="B1666" s="0" t="s">
        <v>7</v>
      </c>
    </row>
    <row r="1667" customFormat="false" ht="12.8" hidden="false" customHeight="false" outlineLevel="0" collapsed="false">
      <c r="B1667" s="0" t="s">
        <v>901</v>
      </c>
    </row>
    <row r="1669" customFormat="false" ht="12.8" hidden="false" customHeight="false" outlineLevel="0" collapsed="false">
      <c r="A1669" s="0" t="s">
        <v>900</v>
      </c>
      <c r="B1669" s="0" t="str">
        <f aca="false">HYPERLINK("https://lindat.mff.cuni.cz/services/teitok/pdtc10/index.php?action=vallex&amp;frame=v-w243hsa_97", "být (v-w243hsa_97) - substituted with v-w243f109_ZU")</f>
        <v>být (v-w243hsa_97) - substituted with v-w243f109_ZU</v>
      </c>
    </row>
    <row r="1670" customFormat="false" ht="12.8" hidden="false" customHeight="false" outlineLevel="0" collapsed="false">
      <c r="B1670" s="0" t="s">
        <v>7</v>
      </c>
    </row>
    <row r="1671" customFormat="false" ht="12.8" hidden="false" customHeight="false" outlineLevel="0" collapsed="false">
      <c r="B1671" s="0" t="s">
        <v>901</v>
      </c>
    </row>
    <row r="1673" customFormat="false" ht="12.8" hidden="false" customHeight="false" outlineLevel="0" collapsed="false">
      <c r="A1673" s="0" t="s">
        <v>902</v>
      </c>
      <c r="B1673" s="0" t="str">
        <f aca="false">HYPERLINK("https://lindat.mff.cuni.cz/services/teitok/pdtc10/index.php?action=vallex&amp;frame=v-w243f111_ZU", "být (v-w243f111_ZU)")</f>
        <v>být (v-w243f111_ZU)</v>
      </c>
    </row>
    <row r="1674" customFormat="false" ht="12.8" hidden="false" customHeight="false" outlineLevel="0" collapsed="false">
      <c r="B1674" s="0" t="s">
        <v>7</v>
      </c>
    </row>
    <row r="1675" customFormat="false" ht="12.8" hidden="false" customHeight="false" outlineLevel="0" collapsed="false">
      <c r="B1675" s="0" t="s">
        <v>903</v>
      </c>
    </row>
    <row r="1677" customFormat="false" ht="12.8" hidden="false" customHeight="false" outlineLevel="0" collapsed="false">
      <c r="A1677" s="0" t="s">
        <v>902</v>
      </c>
      <c r="B1677" s="0" t="str">
        <f aca="false">HYPERLINK("https://lindat.mff.cuni.cz/services/teitok/pdtc10/index.php?action=vallex&amp;frame=v-w243hsa_98", "být (v-w243hsa_98) - substituted with v-w243f111_ZU")</f>
        <v>být (v-w243hsa_98) - substituted with v-w243f111_ZU</v>
      </c>
    </row>
    <row r="1678" customFormat="false" ht="12.8" hidden="false" customHeight="false" outlineLevel="0" collapsed="false">
      <c r="B1678" s="0" t="s">
        <v>7</v>
      </c>
    </row>
    <row r="1679" customFormat="false" ht="12.8" hidden="false" customHeight="false" outlineLevel="0" collapsed="false">
      <c r="B1679" s="0" t="s">
        <v>903</v>
      </c>
    </row>
    <row r="1681" customFormat="false" ht="12.8" hidden="false" customHeight="false" outlineLevel="0" collapsed="false">
      <c r="A1681" s="0" t="s">
        <v>904</v>
      </c>
      <c r="B1681" s="0" t="str">
        <f aca="false">HYPERLINK("https://lindat.mff.cuni.cz/services/teitok/pdtc10/index.php?action=vallex&amp;frame=v-w243f98_ZU", "být (v-w243f98_ZU)")</f>
        <v>být (v-w243f98_ZU)</v>
      </c>
    </row>
    <row r="1682" customFormat="false" ht="12.8" hidden="false" customHeight="false" outlineLevel="0" collapsed="false">
      <c r="B1682" s="0" t="s">
        <v>905</v>
      </c>
      <c r="C1682" s="0" t="s">
        <v>498</v>
      </c>
    </row>
    <row r="1683" customFormat="false" ht="12.8" hidden="false" customHeight="false" outlineLevel="0" collapsed="false">
      <c r="B1683" s="0" t="s">
        <v>906</v>
      </c>
      <c r="C1683" s="0" t="s">
        <v>707</v>
      </c>
    </row>
    <row r="1685" customFormat="false" ht="12.8" hidden="false" customHeight="false" outlineLevel="0" collapsed="false">
      <c r="A1685" s="0" t="s">
        <v>904</v>
      </c>
      <c r="B1685" s="0" t="str">
        <f aca="false">HYPERLINK("https://lindat.mff.cuni.cz/services/teitok/pdtc10/index.php?action=vallex&amp;frame=v-w243hsa_99", "být (v-w243hsa_99) - substituted with v-w243f98_ZU")</f>
        <v>být (v-w243hsa_99) - substituted with v-w243f98_ZU</v>
      </c>
    </row>
    <row r="1686" customFormat="false" ht="12.8" hidden="false" customHeight="false" outlineLevel="0" collapsed="false">
      <c r="B1686" s="0" t="s">
        <v>905</v>
      </c>
    </row>
    <row r="1687" customFormat="false" ht="12.8" hidden="false" customHeight="false" outlineLevel="0" collapsed="false">
      <c r="B1687" s="0" t="s">
        <v>906</v>
      </c>
    </row>
    <row r="1689" customFormat="false" ht="12.8" hidden="false" customHeight="false" outlineLevel="0" collapsed="false">
      <c r="A1689" s="0" t="s">
        <v>907</v>
      </c>
      <c r="B1689" s="0" t="str">
        <f aca="false">HYPERLINK("https://lindat.mff.cuni.cz/services/teitok/pdtc10/index.php?action=vallex&amp;frame=v-w243hsa_100", "být (v-w243hsa_100)")</f>
        <v>být (v-w243hsa_100)</v>
      </c>
    </row>
    <row r="1690" customFormat="false" ht="12.8" hidden="false" customHeight="false" outlineLevel="0" collapsed="false">
      <c r="B1690" s="0" t="s">
        <v>7</v>
      </c>
      <c r="C1690" s="0" t="s">
        <v>727</v>
      </c>
    </row>
    <row r="1691" customFormat="false" ht="12.8" hidden="false" customHeight="false" outlineLevel="0" collapsed="false">
      <c r="B1691" s="0" t="s">
        <v>908</v>
      </c>
      <c r="C1691" s="0" t="s">
        <v>729</v>
      </c>
    </row>
    <row r="1692" customFormat="false" ht="12.8" hidden="false" customHeight="false" outlineLevel="0" collapsed="false">
      <c r="B1692" s="0" t="s">
        <v>227</v>
      </c>
    </row>
    <row r="1694" customFormat="false" ht="12.8" hidden="false" customHeight="false" outlineLevel="0" collapsed="false">
      <c r="A1694" s="0" t="s">
        <v>909</v>
      </c>
      <c r="B1694" s="0" t="str">
        <f aca="false">HYPERLINK("https://lindat.mff.cuni.cz/services/teitok/pdtc10/index.php?action=vallex&amp;frame=v-w243f115_ZU", "být (v-w243f115_ZU)")</f>
        <v>být (v-w243f115_ZU)</v>
      </c>
    </row>
    <row r="1695" customFormat="false" ht="12.8" hidden="false" customHeight="false" outlineLevel="0" collapsed="false">
      <c r="B1695" s="0" t="s">
        <v>7</v>
      </c>
      <c r="C1695" s="0" t="s">
        <v>277</v>
      </c>
      <c r="D1695" s="0" t="s">
        <v>910</v>
      </c>
      <c r="E1695" s="0" t="s">
        <v>910</v>
      </c>
      <c r="F1695" s="0" t="s">
        <v>910</v>
      </c>
    </row>
    <row r="1696" customFormat="false" ht="12.8" hidden="false" customHeight="false" outlineLevel="0" collapsed="false">
      <c r="B1696" s="0" t="s">
        <v>911</v>
      </c>
      <c r="C1696" s="0" t="s">
        <v>731</v>
      </c>
    </row>
    <row r="1698" customFormat="false" ht="12.8" hidden="false" customHeight="false" outlineLevel="0" collapsed="false">
      <c r="A1698" s="0" t="s">
        <v>909</v>
      </c>
      <c r="B1698" s="0" t="str">
        <f aca="false">HYPERLINK("https://lindat.mff.cuni.cz/services/teitok/pdtc10/index.php?action=vallex&amp;frame=v-w243hsa_101", "být (v-w243hsa_101) - substituted with v-w243f115_ZU")</f>
        <v>být (v-w243hsa_101) - substituted with v-w243f115_ZU</v>
      </c>
    </row>
    <row r="1699" customFormat="false" ht="12.8" hidden="false" customHeight="false" outlineLevel="0" collapsed="false">
      <c r="B1699" s="0" t="s">
        <v>7</v>
      </c>
    </row>
    <row r="1700" customFormat="false" ht="12.8" hidden="false" customHeight="false" outlineLevel="0" collapsed="false">
      <c r="B1700" s="0" t="s">
        <v>911</v>
      </c>
    </row>
    <row r="1702" customFormat="false" ht="12.8" hidden="false" customHeight="false" outlineLevel="0" collapsed="false">
      <c r="A1702" s="0" t="s">
        <v>912</v>
      </c>
      <c r="B1702" s="0" t="str">
        <f aca="false">HYPERLINK("https://lindat.mff.cuni.cz/services/teitok/pdtc10/index.php?action=vallex&amp;frame=v-w243f116_ZU", "být (v-w243f116_ZU)")</f>
        <v>být (v-w243f116_ZU)</v>
      </c>
    </row>
    <row r="1703" customFormat="false" ht="12.8" hidden="false" customHeight="false" outlineLevel="0" collapsed="false">
      <c r="B1703" s="0" t="s">
        <v>7</v>
      </c>
      <c r="C1703" s="0" t="s">
        <v>277</v>
      </c>
    </row>
    <row r="1704" customFormat="false" ht="12.8" hidden="false" customHeight="false" outlineLevel="0" collapsed="false">
      <c r="B1704" s="0" t="s">
        <v>913</v>
      </c>
      <c r="C1704" s="0" t="s">
        <v>731</v>
      </c>
    </row>
    <row r="1706" customFormat="false" ht="12.8" hidden="false" customHeight="false" outlineLevel="0" collapsed="false">
      <c r="A1706" s="0" t="s">
        <v>912</v>
      </c>
      <c r="B1706" s="0" t="str">
        <f aca="false">HYPERLINK("https://lindat.mff.cuni.cz/services/teitok/pdtc10/index.php?action=vallex&amp;frame=v-w243hsa_102", "být (v-w243hsa_102) - substituted with v-w243f116_ZU")</f>
        <v>být (v-w243hsa_102) - substituted with v-w243f116_ZU</v>
      </c>
    </row>
    <row r="1707" customFormat="false" ht="12.8" hidden="false" customHeight="false" outlineLevel="0" collapsed="false">
      <c r="B1707" s="0" t="s">
        <v>7</v>
      </c>
    </row>
    <row r="1708" customFormat="false" ht="12.8" hidden="false" customHeight="false" outlineLevel="0" collapsed="false">
      <c r="B1708" s="0" t="s">
        <v>913</v>
      </c>
    </row>
    <row r="1710" customFormat="false" ht="12.8" hidden="false" customHeight="false" outlineLevel="0" collapsed="false">
      <c r="A1710" s="0" t="s">
        <v>914</v>
      </c>
      <c r="B1710" s="0" t="str">
        <f aca="false">HYPERLINK("https://lindat.mff.cuni.cz/services/teitok/pdtc10/index.php?action=vallex&amp;frame=v-w243f117_ZU", "být (v-w243f117_ZU)")</f>
        <v>být (v-w243f117_ZU)</v>
      </c>
    </row>
    <row r="1711" customFormat="false" ht="12.8" hidden="false" customHeight="false" outlineLevel="0" collapsed="false">
      <c r="B1711" s="0" t="s">
        <v>7</v>
      </c>
    </row>
    <row r="1712" customFormat="false" ht="12.8" hidden="false" customHeight="false" outlineLevel="0" collapsed="false">
      <c r="B1712" s="0" t="s">
        <v>915</v>
      </c>
    </row>
    <row r="1714" customFormat="false" ht="12.8" hidden="false" customHeight="false" outlineLevel="0" collapsed="false">
      <c r="A1714" s="0" t="s">
        <v>914</v>
      </c>
      <c r="B1714" s="0" t="str">
        <f aca="false">HYPERLINK("https://lindat.mff.cuni.cz/services/teitok/pdtc10/index.php?action=vallex&amp;frame=v-w243hsa_103", "být (v-w243hsa_103) - substituted with v-w243f117_ZU")</f>
        <v>být (v-w243hsa_103) - substituted with v-w243f117_ZU</v>
      </c>
    </row>
    <row r="1715" customFormat="false" ht="12.8" hidden="false" customHeight="false" outlineLevel="0" collapsed="false">
      <c r="B1715" s="0" t="s">
        <v>7</v>
      </c>
    </row>
    <row r="1716" customFormat="false" ht="12.8" hidden="false" customHeight="false" outlineLevel="0" collapsed="false">
      <c r="B1716" s="0" t="s">
        <v>915</v>
      </c>
    </row>
    <row r="1718" customFormat="false" ht="12.8" hidden="false" customHeight="false" outlineLevel="0" collapsed="false">
      <c r="A1718" s="0" t="s">
        <v>916</v>
      </c>
      <c r="B1718" s="0" t="str">
        <f aca="false">HYPERLINK("https://lindat.mff.cuni.cz/services/teitok/pdtc10/index.php?action=vallex&amp;frame=v-w243f114_ZU", "být (v-w243f114_ZU)")</f>
        <v>být (v-w243f114_ZU)</v>
      </c>
    </row>
    <row r="1719" customFormat="false" ht="12.8" hidden="false" customHeight="false" outlineLevel="0" collapsed="false">
      <c r="B1719" s="0" t="s">
        <v>7</v>
      </c>
    </row>
    <row r="1720" customFormat="false" ht="12.8" hidden="false" customHeight="false" outlineLevel="0" collapsed="false">
      <c r="B1720" s="0" t="s">
        <v>917</v>
      </c>
    </row>
    <row r="1721" customFormat="false" ht="12.8" hidden="false" customHeight="false" outlineLevel="0" collapsed="false">
      <c r="B1721" s="0" t="s">
        <v>739</v>
      </c>
    </row>
    <row r="1723" customFormat="false" ht="12.8" hidden="false" customHeight="false" outlineLevel="0" collapsed="false">
      <c r="A1723" s="0" t="s">
        <v>916</v>
      </c>
      <c r="B1723" s="0" t="str">
        <f aca="false">HYPERLINK("https://lindat.mff.cuni.cz/services/teitok/pdtc10/index.php?action=vallex&amp;frame=v-w243hsa_104", "být (v-w243hsa_104) - substituted with v-w243f114_ZU")</f>
        <v>být (v-w243hsa_104) - substituted with v-w243f114_ZU</v>
      </c>
    </row>
    <row r="1724" customFormat="false" ht="12.8" hidden="false" customHeight="false" outlineLevel="0" collapsed="false">
      <c r="B1724" s="0" t="s">
        <v>7</v>
      </c>
    </row>
    <row r="1725" customFormat="false" ht="12.8" hidden="false" customHeight="false" outlineLevel="0" collapsed="false">
      <c r="B1725" s="0" t="s">
        <v>917</v>
      </c>
    </row>
    <row r="1726" customFormat="false" ht="12.8" hidden="false" customHeight="false" outlineLevel="0" collapsed="false">
      <c r="B1726" s="0" t="s">
        <v>739</v>
      </c>
    </row>
    <row r="1728" customFormat="false" ht="12.8" hidden="false" customHeight="false" outlineLevel="0" collapsed="false">
      <c r="A1728" s="0" t="s">
        <v>918</v>
      </c>
      <c r="B1728" s="0" t="str">
        <f aca="false">HYPERLINK("https://lindat.mff.cuni.cz/services/teitok/pdtc10/index.php?action=vallex&amp;frame=v-w243f112_ZU", "být (v-w243f112_ZU)")</f>
        <v>být (v-w243f112_ZU)</v>
      </c>
    </row>
    <row r="1729" customFormat="false" ht="12.8" hidden="false" customHeight="false" outlineLevel="0" collapsed="false">
      <c r="B1729" s="0" t="s">
        <v>7</v>
      </c>
    </row>
    <row r="1730" customFormat="false" ht="12.8" hidden="false" customHeight="false" outlineLevel="0" collapsed="false">
      <c r="B1730" s="0" t="s">
        <v>919</v>
      </c>
    </row>
    <row r="1732" customFormat="false" ht="12.8" hidden="false" customHeight="false" outlineLevel="0" collapsed="false">
      <c r="A1732" s="0" t="s">
        <v>918</v>
      </c>
      <c r="B1732" s="0" t="str">
        <f aca="false">HYPERLINK("https://lindat.mff.cuni.cz/services/teitok/pdtc10/index.php?action=vallex&amp;frame=v-w243hsa_106", "být (v-w243hsa_106) - substituted with v-w243f112_ZU")</f>
        <v>být (v-w243hsa_106) - substituted with v-w243f112_ZU</v>
      </c>
    </row>
    <row r="1733" customFormat="false" ht="12.8" hidden="false" customHeight="false" outlineLevel="0" collapsed="false">
      <c r="B1733" s="0" t="s">
        <v>7</v>
      </c>
    </row>
    <row r="1734" customFormat="false" ht="12.8" hidden="false" customHeight="false" outlineLevel="0" collapsed="false">
      <c r="B1734" s="0" t="s">
        <v>919</v>
      </c>
    </row>
    <row r="1736" customFormat="false" ht="12.8" hidden="false" customHeight="false" outlineLevel="0" collapsed="false">
      <c r="A1736" s="0" t="s">
        <v>920</v>
      </c>
      <c r="B1736" s="0" t="str">
        <f aca="false">HYPERLINK("https://lindat.mff.cuni.cz/services/teitok/pdtc10/index.php?action=vallex&amp;frame=v-w243f113_ZU", "být (v-w243f113_ZU)")</f>
        <v>být (v-w243f113_ZU)</v>
      </c>
    </row>
    <row r="1737" customFormat="false" ht="12.8" hidden="false" customHeight="false" outlineLevel="0" collapsed="false">
      <c r="B1737" s="0" t="s">
        <v>7</v>
      </c>
    </row>
    <row r="1738" customFormat="false" ht="12.8" hidden="false" customHeight="false" outlineLevel="0" collapsed="false">
      <c r="B1738" s="0" t="s">
        <v>921</v>
      </c>
    </row>
    <row r="1739" customFormat="false" ht="12.8" hidden="false" customHeight="false" outlineLevel="0" collapsed="false">
      <c r="B1739" s="0" t="s">
        <v>223</v>
      </c>
    </row>
    <row r="1741" customFormat="false" ht="12.8" hidden="false" customHeight="false" outlineLevel="0" collapsed="false">
      <c r="A1741" s="0" t="s">
        <v>920</v>
      </c>
      <c r="B1741" s="0" t="str">
        <f aca="false">HYPERLINK("https://lindat.mff.cuni.cz/services/teitok/pdtc10/index.php?action=vallex&amp;frame=v-w243hsa_107", "být (v-w243hsa_107) - substituted with v-w243f113_ZU")</f>
        <v>být (v-w243hsa_107) - substituted with v-w243f113_ZU</v>
      </c>
    </row>
    <row r="1742" customFormat="false" ht="12.8" hidden="false" customHeight="false" outlineLevel="0" collapsed="false">
      <c r="B1742" s="0" t="s">
        <v>7</v>
      </c>
    </row>
    <row r="1743" customFormat="false" ht="12.8" hidden="false" customHeight="false" outlineLevel="0" collapsed="false">
      <c r="B1743" s="0" t="s">
        <v>921</v>
      </c>
    </row>
    <row r="1744" customFormat="false" ht="12.8" hidden="false" customHeight="false" outlineLevel="0" collapsed="false">
      <c r="B1744" s="0" t="s">
        <v>223</v>
      </c>
    </row>
    <row r="1746" customFormat="false" ht="12.8" hidden="false" customHeight="false" outlineLevel="0" collapsed="false">
      <c r="A1746" s="0" t="s">
        <v>922</v>
      </c>
      <c r="B1746" s="0" t="str">
        <f aca="false">HYPERLINK("https://lindat.mff.cuni.cz/services/teitok/pdtc10/index.php?action=vallex&amp;frame=v-w243f97_ZU", "být (v-w243f97_ZU)")</f>
        <v>být (v-w243f97_ZU)</v>
      </c>
    </row>
    <row r="1747" customFormat="false" ht="12.8" hidden="false" customHeight="false" outlineLevel="0" collapsed="false">
      <c r="B1747" s="0" t="s">
        <v>7</v>
      </c>
    </row>
    <row r="1748" customFormat="false" ht="12.8" hidden="false" customHeight="false" outlineLevel="0" collapsed="false">
      <c r="B1748" s="0" t="s">
        <v>923</v>
      </c>
    </row>
    <row r="1750" customFormat="false" ht="12.8" hidden="false" customHeight="false" outlineLevel="0" collapsed="false">
      <c r="A1750" s="0" t="s">
        <v>924</v>
      </c>
      <c r="B1750" s="0" t="str">
        <f aca="false">HYPERLINK("https://lindat.mff.cuni.cz/services/teitok/pdtc10/index.php?action=vallex&amp;frame=v-w243f108_ZU", "být (v-w243f108_ZU)")</f>
        <v>být (v-w243f108_ZU)</v>
      </c>
    </row>
    <row r="1751" customFormat="false" ht="12.8" hidden="false" customHeight="false" outlineLevel="0" collapsed="false">
      <c r="B1751" s="0" t="s">
        <v>7</v>
      </c>
    </row>
    <row r="1752" customFormat="false" ht="12.8" hidden="false" customHeight="false" outlineLevel="0" collapsed="false">
      <c r="B1752" s="0" t="s">
        <v>925</v>
      </c>
    </row>
    <row r="1754" customFormat="false" ht="12.8" hidden="false" customHeight="false" outlineLevel="0" collapsed="false">
      <c r="A1754" s="0" t="s">
        <v>926</v>
      </c>
      <c r="B1754" s="0" t="str">
        <f aca="false">HYPERLINK("https://lindat.mff.cuni.cz/services/teitok/pdtc10/index.php?action=vallex&amp;frame=v-w243f110_ZU", "být (v-w243f110_ZU)")</f>
        <v>být (v-w243f110_ZU)</v>
      </c>
    </row>
    <row r="1755" customFormat="false" ht="12.8" hidden="false" customHeight="false" outlineLevel="0" collapsed="false">
      <c r="B1755" s="0" t="s">
        <v>7</v>
      </c>
      <c r="C1755" s="0" t="s">
        <v>498</v>
      </c>
    </row>
    <row r="1756" customFormat="false" ht="12.8" hidden="false" customHeight="false" outlineLevel="0" collapsed="false">
      <c r="B1756" s="0" t="s">
        <v>927</v>
      </c>
      <c r="C1756" s="0" t="s">
        <v>707</v>
      </c>
    </row>
    <row r="1758" customFormat="false" ht="12.8" hidden="false" customHeight="false" outlineLevel="0" collapsed="false">
      <c r="A1758" s="0" t="s">
        <v>928</v>
      </c>
      <c r="B1758" s="0" t="str">
        <f aca="false">HYPERLINK("https://lindat.mff.cuni.cz/services/teitok/pdtc10/index.php?action=vallex&amp;frame=v-w243hsa_58", "být (v-w243hsa_58)")</f>
        <v>být (v-w243hsa_58)</v>
      </c>
    </row>
    <row r="1759" customFormat="false" ht="12.8" hidden="false" customHeight="false" outlineLevel="0" collapsed="false">
      <c r="B1759" s="0" t="s">
        <v>929</v>
      </c>
    </row>
    <row r="1761" customFormat="false" ht="12.8" hidden="false" customHeight="false" outlineLevel="0" collapsed="false">
      <c r="A1761" s="0" t="s">
        <v>930</v>
      </c>
      <c r="B1761" s="0" t="str">
        <f aca="false">HYPERLINK("https://lindat.mff.cuni.cz/services/teitok/pdtc10/index.php?action=vallex&amp;frame=v-w243hsa_59", "být (v-w243hsa_59)")</f>
        <v>být (v-w243hsa_59)</v>
      </c>
    </row>
    <row r="1762" customFormat="false" ht="12.8" hidden="false" customHeight="false" outlineLevel="0" collapsed="false">
      <c r="B1762" s="0" t="s">
        <v>931</v>
      </c>
    </row>
    <row r="1764" customFormat="false" ht="12.8" hidden="false" customHeight="false" outlineLevel="0" collapsed="false">
      <c r="A1764" s="0" t="s">
        <v>932</v>
      </c>
      <c r="B1764" s="0" t="str">
        <f aca="false">HYPERLINK("https://lindat.mff.cuni.cz/services/teitok/pdtc10/index.php?action=vallex&amp;frame=v-w243hsa_61", "být (v-w243hsa_61)")</f>
        <v>být (v-w243hsa_61)</v>
      </c>
    </row>
    <row r="1765" customFormat="false" ht="12.8" hidden="false" customHeight="false" outlineLevel="0" collapsed="false">
      <c r="B1765" s="0" t="s">
        <v>7</v>
      </c>
    </row>
    <row r="1767" customFormat="false" ht="12.8" hidden="false" customHeight="false" outlineLevel="0" collapsed="false">
      <c r="A1767" s="0" t="s">
        <v>933</v>
      </c>
      <c r="B1767" s="0" t="str">
        <f aca="false">HYPERLINK("https://lindat.mff.cuni.cz/services/teitok/pdtc10/index.php?action=vallex&amp;frame=v-w243hsa_62", "být (v-w243hsa_62)")</f>
        <v>být (v-w243hsa_62)</v>
      </c>
    </row>
    <row r="1768" customFormat="false" ht="12.8" hidden="false" customHeight="false" outlineLevel="0" collapsed="false">
      <c r="B1768" s="0" t="s">
        <v>7</v>
      </c>
    </row>
    <row r="1770" customFormat="false" ht="12.8" hidden="false" customHeight="false" outlineLevel="0" collapsed="false">
      <c r="A1770" s="0" t="s">
        <v>934</v>
      </c>
      <c r="B1770" s="0" t="str">
        <f aca="false">HYPERLINK("https://lindat.mff.cuni.cz/services/teitok/pdtc10/index.php?action=vallex&amp;frame=v-w243hsa_63", "být (v-w243hsa_63)")</f>
        <v>být (v-w243hsa_63)</v>
      </c>
    </row>
    <row r="1771" customFormat="false" ht="12.8" hidden="false" customHeight="false" outlineLevel="0" collapsed="false">
      <c r="B1771" s="0" t="s">
        <v>7</v>
      </c>
    </row>
    <row r="1772" customFormat="false" ht="12.8" hidden="false" customHeight="false" outlineLevel="0" collapsed="false">
      <c r="B1772" s="0" t="s">
        <v>935</v>
      </c>
    </row>
    <row r="1774" customFormat="false" ht="12.8" hidden="false" customHeight="false" outlineLevel="0" collapsed="false">
      <c r="A1774" s="0" t="s">
        <v>936</v>
      </c>
      <c r="B1774" s="0" t="str">
        <f aca="false">HYPERLINK("https://lindat.mff.cuni.cz/services/teitok/pdtc10/index.php?action=vallex&amp;frame=v-w243hsa_64", "být (v-w243hsa_64)")</f>
        <v>být (v-w243hsa_64)</v>
      </c>
    </row>
    <row r="1775" customFormat="false" ht="12.8" hidden="false" customHeight="false" outlineLevel="0" collapsed="false">
      <c r="B1775" s="0" t="s">
        <v>7</v>
      </c>
    </row>
    <row r="1776" customFormat="false" ht="12.8" hidden="false" customHeight="false" outlineLevel="0" collapsed="false">
      <c r="B1776" s="0" t="s">
        <v>41</v>
      </c>
    </row>
    <row r="1778" customFormat="false" ht="12.8" hidden="false" customHeight="false" outlineLevel="0" collapsed="false">
      <c r="A1778" s="0" t="s">
        <v>937</v>
      </c>
      <c r="B1778" s="0" t="str">
        <f aca="false">HYPERLINK("https://lindat.mff.cuni.cz/services/teitok/pdtc10/index.php?action=vallex&amp;frame=v-w243f79_ZU", "být (v-w243f79_ZU)")</f>
        <v>být (v-w243f79_ZU)</v>
      </c>
    </row>
    <row r="1779" customFormat="false" ht="12.8" hidden="false" customHeight="false" outlineLevel="0" collapsed="false">
      <c r="B1779" s="0" t="s">
        <v>7</v>
      </c>
    </row>
    <row r="1780" customFormat="false" ht="12.8" hidden="false" customHeight="false" outlineLevel="0" collapsed="false">
      <c r="B1780" s="0" t="s">
        <v>863</v>
      </c>
    </row>
    <row r="1782" customFormat="false" ht="12.8" hidden="false" customHeight="false" outlineLevel="0" collapsed="false">
      <c r="A1782" s="0" t="s">
        <v>938</v>
      </c>
      <c r="B1782" s="0" t="str">
        <f aca="false">HYPERLINK("https://lindat.mff.cuni.cz/services/teitok/pdtc10/index.php?action=vallex&amp;frame=v-w243f83_ZU", "být (v-w243f83_ZU)")</f>
        <v>být (v-w243f83_ZU)</v>
      </c>
    </row>
    <row r="1783" customFormat="false" ht="12.8" hidden="false" customHeight="false" outlineLevel="0" collapsed="false">
      <c r="B1783" s="0" t="s">
        <v>7</v>
      </c>
    </row>
    <row r="1784" customFormat="false" ht="12.8" hidden="false" customHeight="false" outlineLevel="0" collapsed="false">
      <c r="B1784" s="0" t="s">
        <v>939</v>
      </c>
    </row>
    <row r="1785" customFormat="false" ht="12.8" hidden="false" customHeight="false" outlineLevel="0" collapsed="false">
      <c r="B1785" s="0" t="s">
        <v>940</v>
      </c>
    </row>
    <row r="1787" customFormat="false" ht="12.8" hidden="false" customHeight="false" outlineLevel="0" collapsed="false">
      <c r="A1787" s="0" t="s">
        <v>938</v>
      </c>
      <c r="B1787" s="0" t="str">
        <f aca="false">HYPERLINK("https://lindat.mff.cuni.cz/services/teitok/pdtc10/index.php?action=vallex&amp;frame=v-w243f76_ZU", "být (v-w243f76_ZU) - substituted with v-w243f83_ZU")</f>
        <v>být (v-w243f76_ZU) - substituted with v-w243f83_ZU</v>
      </c>
    </row>
    <row r="1788" customFormat="false" ht="12.8" hidden="false" customHeight="false" outlineLevel="0" collapsed="false">
      <c r="B1788" s="0" t="s">
        <v>7</v>
      </c>
    </row>
    <row r="1789" customFormat="false" ht="12.8" hidden="false" customHeight="false" outlineLevel="0" collapsed="false">
      <c r="B1789" s="0" t="s">
        <v>939</v>
      </c>
    </row>
    <row r="1790" customFormat="false" ht="12.8" hidden="false" customHeight="false" outlineLevel="0" collapsed="false">
      <c r="B1790" s="0" t="s">
        <v>940</v>
      </c>
    </row>
    <row r="1792" customFormat="false" ht="12.8" hidden="false" customHeight="false" outlineLevel="0" collapsed="false">
      <c r="A1792" s="0" t="s">
        <v>941</v>
      </c>
      <c r="B1792" s="0" t="str">
        <f aca="false">HYPERLINK("https://lindat.mff.cuni.cz/services/teitok/pdtc10/index.php?action=vallex&amp;frame=v-w243hsa_85", "být (v-w243hsa_85)")</f>
        <v>být (v-w243hsa_85)</v>
      </c>
    </row>
    <row r="1793" customFormat="false" ht="12.8" hidden="false" customHeight="false" outlineLevel="0" collapsed="false">
      <c r="B1793" s="0" t="s">
        <v>7</v>
      </c>
    </row>
    <row r="1794" customFormat="false" ht="12.8" hidden="false" customHeight="false" outlineLevel="0" collapsed="false">
      <c r="B1794" s="0" t="s">
        <v>942</v>
      </c>
    </row>
    <row r="1795" customFormat="false" ht="12.8" hidden="false" customHeight="false" outlineLevel="0" collapsed="false">
      <c r="B1795" s="0" t="s">
        <v>943</v>
      </c>
    </row>
    <row r="1797" customFormat="false" ht="12.8" hidden="false" customHeight="false" outlineLevel="0" collapsed="false">
      <c r="A1797" s="0" t="s">
        <v>944</v>
      </c>
      <c r="B1797" s="0" t="str">
        <f aca="false">HYPERLINK("https://lindat.mff.cuni.cz/services/teitok/pdtc10/index.php?action=vallex&amp;frame=v-w243hsa_88", "být (v-w243hsa_88)")</f>
        <v>být (v-w243hsa_88)</v>
      </c>
    </row>
    <row r="1798" customFormat="false" ht="12.8" hidden="false" customHeight="false" outlineLevel="0" collapsed="false">
      <c r="B1798" s="0" t="s">
        <v>7</v>
      </c>
    </row>
    <row r="1799" customFormat="false" ht="12.8" hidden="false" customHeight="false" outlineLevel="0" collapsed="false">
      <c r="B1799" s="0" t="s">
        <v>945</v>
      </c>
    </row>
    <row r="1801" customFormat="false" ht="12.8" hidden="false" customHeight="false" outlineLevel="0" collapsed="false">
      <c r="A1801" s="0" t="s">
        <v>946</v>
      </c>
      <c r="B1801" s="0" t="str">
        <f aca="false">HYPERLINK("https://lindat.mff.cuni.cz/services/teitok/pdtc10/index.php?action=vallex&amp;frame=v-w243f128_ZU", "být (v-w243f128_ZU)")</f>
        <v>být (v-w243f128_ZU)</v>
      </c>
    </row>
    <row r="1802" customFormat="false" ht="12.8" hidden="false" customHeight="false" outlineLevel="0" collapsed="false">
      <c r="B1802" s="0" t="s">
        <v>7</v>
      </c>
    </row>
    <row r="1803" customFormat="false" ht="12.8" hidden="false" customHeight="false" outlineLevel="0" collapsed="false">
      <c r="B1803" s="0" t="s">
        <v>947</v>
      </c>
    </row>
    <row r="1805" customFormat="false" ht="12.8" hidden="false" customHeight="false" outlineLevel="0" collapsed="false">
      <c r="A1805" s="0" t="s">
        <v>946</v>
      </c>
      <c r="B1805" s="0" t="str">
        <f aca="false">HYPERLINK("https://lindat.mff.cuni.cz/services/teitok/pdtc10/index.php?action=vallex&amp;frame=v-w243hsa_87", "být (v-w243hsa_87) - substituted with v-w243f128_ZU")</f>
        <v>být (v-w243hsa_87) - substituted with v-w243f128_ZU</v>
      </c>
    </row>
    <row r="1806" customFormat="false" ht="12.8" hidden="false" customHeight="false" outlineLevel="0" collapsed="false">
      <c r="B1806" s="0" t="s">
        <v>7</v>
      </c>
    </row>
    <row r="1807" customFormat="false" ht="12.8" hidden="false" customHeight="false" outlineLevel="0" collapsed="false">
      <c r="B1807" s="0" t="s">
        <v>947</v>
      </c>
    </row>
    <row r="1809" customFormat="false" ht="12.8" hidden="false" customHeight="false" outlineLevel="0" collapsed="false">
      <c r="A1809" s="0" t="s">
        <v>948</v>
      </c>
      <c r="B1809" s="0" t="str">
        <f aca="false">HYPERLINK("https://lindat.mff.cuni.cz/services/teitok/pdtc10/index.php?action=vallex&amp;frame=v-w243f129_ZU", "být (v-w243f129_ZU)")</f>
        <v>být (v-w243f129_ZU)</v>
      </c>
    </row>
    <row r="1810" customFormat="false" ht="12.8" hidden="false" customHeight="false" outlineLevel="0" collapsed="false">
      <c r="B1810" s="0" t="s">
        <v>641</v>
      </c>
    </row>
    <row r="1811" customFormat="false" ht="12.8" hidden="false" customHeight="false" outlineLevel="0" collapsed="false">
      <c r="B1811" s="0" t="s">
        <v>949</v>
      </c>
    </row>
    <row r="1812" customFormat="false" ht="12.8" hidden="false" customHeight="false" outlineLevel="0" collapsed="false">
      <c r="B1812" s="0" t="s">
        <v>363</v>
      </c>
    </row>
    <row r="1814" customFormat="false" ht="12.8" hidden="false" customHeight="false" outlineLevel="0" collapsed="false">
      <c r="A1814" s="0" t="s">
        <v>948</v>
      </c>
      <c r="B1814" s="0" t="str">
        <f aca="false">HYPERLINK("https://lindat.mff.cuni.cz/services/teitok/pdtc10/index.php?action=vallex&amp;frame=v-w243hsa_105", "být (v-w243hsa_105) - substituted with v-w243f129_ZU")</f>
        <v>být (v-w243hsa_105) - substituted with v-w243f129_ZU</v>
      </c>
    </row>
    <row r="1815" customFormat="false" ht="12.8" hidden="false" customHeight="false" outlineLevel="0" collapsed="false">
      <c r="B1815" s="0" t="s">
        <v>641</v>
      </c>
    </row>
    <row r="1816" customFormat="false" ht="12.8" hidden="false" customHeight="false" outlineLevel="0" collapsed="false">
      <c r="B1816" s="0" t="s">
        <v>949</v>
      </c>
    </row>
    <row r="1817" customFormat="false" ht="12.8" hidden="false" customHeight="false" outlineLevel="0" collapsed="false">
      <c r="B1817" s="0" t="s">
        <v>363</v>
      </c>
    </row>
    <row r="1819" customFormat="false" ht="12.8" hidden="false" customHeight="false" outlineLevel="0" collapsed="false">
      <c r="A1819" s="0" t="s">
        <v>950</v>
      </c>
      <c r="B1819" s="0" t="str">
        <f aca="false">HYPERLINK("https://lindat.mff.cuni.cz/services/teitok/pdtc10/index.php?action=vallex&amp;frame=v-w243f130_ZU", "být (v-w243f130_ZU)")</f>
        <v>být (v-w243f130_ZU)</v>
      </c>
    </row>
    <row r="1820" customFormat="false" ht="12.8" hidden="false" customHeight="false" outlineLevel="0" collapsed="false">
      <c r="B1820" s="0" t="s">
        <v>671</v>
      </c>
    </row>
    <row r="1821" customFormat="false" ht="12.8" hidden="false" customHeight="false" outlineLevel="0" collapsed="false">
      <c r="B1821" s="0" t="s">
        <v>951</v>
      </c>
    </row>
    <row r="1823" customFormat="false" ht="12.8" hidden="false" customHeight="false" outlineLevel="0" collapsed="false">
      <c r="A1823" s="0" t="s">
        <v>950</v>
      </c>
      <c r="B1823" s="0" t="str">
        <f aca="false">HYPERLINK("https://lindat.mff.cuni.cz/services/teitok/pdtc10/index.php?action=vallex&amp;frame=v-w243hsa_65", "být (v-w243hsa_65) - substituted with v-w243f130_ZU")</f>
        <v>být (v-w243hsa_65) - substituted with v-w243f130_ZU</v>
      </c>
    </row>
    <row r="1824" customFormat="false" ht="12.8" hidden="false" customHeight="false" outlineLevel="0" collapsed="false">
      <c r="B1824" s="0" t="s">
        <v>671</v>
      </c>
    </row>
    <row r="1825" customFormat="false" ht="12.8" hidden="false" customHeight="false" outlineLevel="0" collapsed="false">
      <c r="B1825" s="0" t="s">
        <v>951</v>
      </c>
    </row>
    <row r="1827" customFormat="false" ht="12.8" hidden="false" customHeight="false" outlineLevel="0" collapsed="false">
      <c r="A1827" s="0" t="s">
        <v>952</v>
      </c>
      <c r="B1827" s="0" t="str">
        <f aca="false">HYPERLINK("https://lindat.mff.cuni.cz/services/teitok/pdtc10/index.php?action=vallex&amp;frame=v-w243f131_ZU", "být (v-w243f131_ZU)")</f>
        <v>být (v-w243f131_ZU)</v>
      </c>
    </row>
    <row r="1828" customFormat="false" ht="12.8" hidden="false" customHeight="false" outlineLevel="0" collapsed="false">
      <c r="B1828" s="0" t="s">
        <v>7</v>
      </c>
    </row>
    <row r="1829" customFormat="false" ht="12.8" hidden="false" customHeight="false" outlineLevel="0" collapsed="false">
      <c r="B1829" s="0" t="s">
        <v>953</v>
      </c>
    </row>
    <row r="1831" customFormat="false" ht="12.8" hidden="false" customHeight="false" outlineLevel="0" collapsed="false">
      <c r="A1831" s="0" t="s">
        <v>952</v>
      </c>
      <c r="B1831" s="0" t="str">
        <f aca="false">HYPERLINK("https://lindat.mff.cuni.cz/services/teitok/pdtc10/index.php?action=vallex&amp;frame=v-w243hsa_66", "být (v-w243hsa_66) - substituted with v-w243f131_ZU")</f>
        <v>být (v-w243hsa_66) - substituted with v-w243f131_ZU</v>
      </c>
    </row>
    <row r="1832" customFormat="false" ht="12.8" hidden="false" customHeight="false" outlineLevel="0" collapsed="false">
      <c r="B1832" s="0" t="s">
        <v>7</v>
      </c>
    </row>
    <row r="1833" customFormat="false" ht="12.8" hidden="false" customHeight="false" outlineLevel="0" collapsed="false">
      <c r="B1833" s="0" t="s">
        <v>953</v>
      </c>
    </row>
    <row r="1835" customFormat="false" ht="12.8" hidden="false" customHeight="false" outlineLevel="0" collapsed="false">
      <c r="A1835" s="0" t="s">
        <v>954</v>
      </c>
      <c r="B1835" s="0" t="str">
        <f aca="false">HYPERLINK("https://lindat.mff.cuni.cz/services/teitok/pdtc10/index.php?action=vallex&amp;frame=v-w243f132_ZU", "být (v-w243f132_ZU)")</f>
        <v>být (v-w243f132_ZU)</v>
      </c>
    </row>
    <row r="1836" customFormat="false" ht="12.8" hidden="false" customHeight="false" outlineLevel="0" collapsed="false">
      <c r="B1836" s="0" t="s">
        <v>7</v>
      </c>
    </row>
    <row r="1837" customFormat="false" ht="12.8" hidden="false" customHeight="false" outlineLevel="0" collapsed="false">
      <c r="B1837" s="0" t="s">
        <v>955</v>
      </c>
    </row>
    <row r="1839" customFormat="false" ht="12.8" hidden="false" customHeight="false" outlineLevel="0" collapsed="false">
      <c r="A1839" s="0" t="s">
        <v>954</v>
      </c>
      <c r="B1839" s="0" t="str">
        <f aca="false">HYPERLINK("https://lindat.mff.cuni.cz/services/teitok/pdtc10/index.php?action=vallex&amp;frame=v-w243hsa_68", "být (v-w243hsa_68) - substituted with v-w243f132_ZU")</f>
        <v>být (v-w243hsa_68) - substituted with v-w243f132_ZU</v>
      </c>
    </row>
    <row r="1840" customFormat="false" ht="12.8" hidden="false" customHeight="false" outlineLevel="0" collapsed="false">
      <c r="B1840" s="0" t="s">
        <v>7</v>
      </c>
    </row>
    <row r="1841" customFormat="false" ht="12.8" hidden="false" customHeight="false" outlineLevel="0" collapsed="false">
      <c r="B1841" s="0" t="s">
        <v>955</v>
      </c>
    </row>
    <row r="1843" customFormat="false" ht="12.8" hidden="false" customHeight="false" outlineLevel="0" collapsed="false">
      <c r="A1843" s="0" t="s">
        <v>956</v>
      </c>
      <c r="B1843" s="0" t="str">
        <f aca="false">HYPERLINK("https://lindat.mff.cuni.cz/services/teitok/pdtc10/index.php?action=vallex&amp;frame=v-w243f133_ZU", "být (v-w243f133_ZU)")</f>
        <v>být (v-w243f133_ZU)</v>
      </c>
    </row>
    <row r="1844" customFormat="false" ht="12.8" hidden="false" customHeight="false" outlineLevel="0" collapsed="false">
      <c r="B1844" s="0" t="s">
        <v>7</v>
      </c>
    </row>
    <row r="1845" customFormat="false" ht="12.8" hidden="false" customHeight="false" outlineLevel="0" collapsed="false">
      <c r="B1845" s="0" t="s">
        <v>957</v>
      </c>
    </row>
    <row r="1847" customFormat="false" ht="12.8" hidden="false" customHeight="false" outlineLevel="0" collapsed="false">
      <c r="A1847" s="0" t="s">
        <v>956</v>
      </c>
      <c r="B1847" s="0" t="str">
        <f aca="false">HYPERLINK("https://lindat.mff.cuni.cz/services/teitok/pdtc10/index.php?action=vallex&amp;frame=v-w243hsa_69", "být (v-w243hsa_69) - substituted with v-w243f133_ZU")</f>
        <v>být (v-w243hsa_69) - substituted with v-w243f133_ZU</v>
      </c>
    </row>
    <row r="1848" customFormat="false" ht="12.8" hidden="false" customHeight="false" outlineLevel="0" collapsed="false">
      <c r="B1848" s="0" t="s">
        <v>7</v>
      </c>
    </row>
    <row r="1849" customFormat="false" ht="12.8" hidden="false" customHeight="false" outlineLevel="0" collapsed="false">
      <c r="B1849" s="0" t="s">
        <v>957</v>
      </c>
    </row>
    <row r="1851" customFormat="false" ht="12.8" hidden="false" customHeight="false" outlineLevel="0" collapsed="false">
      <c r="A1851" s="0" t="s">
        <v>958</v>
      </c>
      <c r="B1851" s="0" t="str">
        <f aca="false">HYPERLINK("https://lindat.mff.cuni.cz/services/teitok/pdtc10/index.php?action=vallex&amp;frame=v-w243f134_ZU", "být (v-w243f134_ZU)")</f>
        <v>být (v-w243f134_ZU)</v>
      </c>
    </row>
    <row r="1852" customFormat="false" ht="12.8" hidden="false" customHeight="false" outlineLevel="0" collapsed="false">
      <c r="B1852" s="0" t="s">
        <v>7</v>
      </c>
    </row>
    <row r="1853" customFormat="false" ht="12.8" hidden="false" customHeight="false" outlineLevel="0" collapsed="false">
      <c r="B1853" s="0" t="s">
        <v>959</v>
      </c>
    </row>
    <row r="1855" customFormat="false" ht="12.8" hidden="false" customHeight="false" outlineLevel="0" collapsed="false">
      <c r="A1855" s="0" t="s">
        <v>958</v>
      </c>
      <c r="B1855" s="0" t="str">
        <f aca="false">HYPERLINK("https://lindat.mff.cuni.cz/services/teitok/pdtc10/index.php?action=vallex&amp;frame=v-w243hsa_70", "být (v-w243hsa_70) - substituted with v-w243f134_ZU")</f>
        <v>být (v-w243hsa_70) - substituted with v-w243f134_ZU</v>
      </c>
    </row>
    <row r="1856" customFormat="false" ht="12.8" hidden="false" customHeight="false" outlineLevel="0" collapsed="false">
      <c r="B1856" s="0" t="s">
        <v>7</v>
      </c>
    </row>
    <row r="1857" customFormat="false" ht="12.8" hidden="false" customHeight="false" outlineLevel="0" collapsed="false">
      <c r="B1857" s="0" t="s">
        <v>959</v>
      </c>
    </row>
    <row r="1859" customFormat="false" ht="12.8" hidden="false" customHeight="false" outlineLevel="0" collapsed="false">
      <c r="A1859" s="0" t="s">
        <v>960</v>
      </c>
      <c r="B1859" s="0" t="str">
        <f aca="false">HYPERLINK("https://lindat.mff.cuni.cz/services/teitok/pdtc10/index.php?action=vallex&amp;frame=v-w243f135_ZU", "být (v-w243f135_ZU)")</f>
        <v>být (v-w243f135_ZU)</v>
      </c>
    </row>
    <row r="1860" customFormat="false" ht="12.8" hidden="false" customHeight="false" outlineLevel="0" collapsed="false">
      <c r="B1860" s="0" t="s">
        <v>7</v>
      </c>
    </row>
    <row r="1861" customFormat="false" ht="12.8" hidden="false" customHeight="false" outlineLevel="0" collapsed="false">
      <c r="B1861" s="0" t="s">
        <v>961</v>
      </c>
    </row>
    <row r="1862" customFormat="false" ht="12.8" hidden="false" customHeight="false" outlineLevel="0" collapsed="false">
      <c r="B1862" s="0" t="s">
        <v>227</v>
      </c>
    </row>
    <row r="1864" customFormat="false" ht="12.8" hidden="false" customHeight="false" outlineLevel="0" collapsed="false">
      <c r="A1864" s="0" t="s">
        <v>960</v>
      </c>
      <c r="B1864" s="0" t="str">
        <f aca="false">HYPERLINK("https://lindat.mff.cuni.cz/services/teitok/pdtc10/index.php?action=vallex&amp;frame=v-w243hsa_74", "být (v-w243hsa_74) - substituted with v-w243f135_ZU")</f>
        <v>být (v-w243hsa_74) - substituted with v-w243f135_ZU</v>
      </c>
    </row>
    <row r="1865" customFormat="false" ht="12.8" hidden="false" customHeight="false" outlineLevel="0" collapsed="false">
      <c r="B1865" s="0" t="s">
        <v>7</v>
      </c>
    </row>
    <row r="1866" customFormat="false" ht="12.8" hidden="false" customHeight="false" outlineLevel="0" collapsed="false">
      <c r="B1866" s="0" t="s">
        <v>961</v>
      </c>
    </row>
    <row r="1867" customFormat="false" ht="12.8" hidden="false" customHeight="false" outlineLevel="0" collapsed="false">
      <c r="B1867" s="0" t="s">
        <v>227</v>
      </c>
    </row>
    <row r="1869" customFormat="false" ht="12.8" hidden="false" customHeight="false" outlineLevel="0" collapsed="false">
      <c r="A1869" s="0" t="s">
        <v>962</v>
      </c>
      <c r="B1869" s="0" t="str">
        <f aca="false">HYPERLINK("https://lindat.mff.cuni.cz/services/teitok/pdtc10/index.php?action=vallex&amp;frame=v-w243f139_ZU", "být (v-w243f139_ZU)")</f>
        <v>být (v-w243f139_ZU)</v>
      </c>
    </row>
    <row r="1870" customFormat="false" ht="12.8" hidden="false" customHeight="false" outlineLevel="0" collapsed="false">
      <c r="B1870" s="0" t="s">
        <v>7</v>
      </c>
    </row>
    <row r="1871" customFormat="false" ht="12.8" hidden="false" customHeight="false" outlineLevel="0" collapsed="false">
      <c r="B1871" s="0" t="s">
        <v>963</v>
      </c>
    </row>
    <row r="1873" customFormat="false" ht="12.8" hidden="false" customHeight="false" outlineLevel="0" collapsed="false">
      <c r="A1873" s="0" t="s">
        <v>962</v>
      </c>
      <c r="B1873" s="0" t="str">
        <f aca="false">HYPERLINK("https://lindat.mff.cuni.cz/services/teitok/pdtc10/index.php?action=vallex&amp;frame=v-w243hsa_73", "být (v-w243hsa_73) - substituted with v-w243f139_ZU")</f>
        <v>být (v-w243hsa_73) - substituted with v-w243f139_ZU</v>
      </c>
    </row>
    <row r="1874" customFormat="false" ht="12.8" hidden="false" customHeight="false" outlineLevel="0" collapsed="false">
      <c r="B1874" s="0" t="s">
        <v>7</v>
      </c>
    </row>
    <row r="1875" customFormat="false" ht="12.8" hidden="false" customHeight="false" outlineLevel="0" collapsed="false">
      <c r="B1875" s="0" t="s">
        <v>963</v>
      </c>
    </row>
    <row r="1877" customFormat="false" ht="12.8" hidden="false" customHeight="false" outlineLevel="0" collapsed="false">
      <c r="A1877" s="0" t="s">
        <v>964</v>
      </c>
      <c r="B1877" s="0" t="str">
        <f aca="false">HYPERLINK("https://lindat.mff.cuni.cz/services/teitok/pdtc10/index.php?action=vallex&amp;frame=v-w243f140_ZU", "být (v-w243f140_ZU)")</f>
        <v>být (v-w243f140_ZU)</v>
      </c>
    </row>
    <row r="1878" customFormat="false" ht="12.8" hidden="false" customHeight="false" outlineLevel="0" collapsed="false">
      <c r="B1878" s="0" t="s">
        <v>7</v>
      </c>
    </row>
    <row r="1879" customFormat="false" ht="12.8" hidden="false" customHeight="false" outlineLevel="0" collapsed="false">
      <c r="B1879" s="0" t="s">
        <v>965</v>
      </c>
    </row>
    <row r="1881" customFormat="false" ht="12.8" hidden="false" customHeight="false" outlineLevel="0" collapsed="false">
      <c r="A1881" s="0" t="s">
        <v>964</v>
      </c>
      <c r="B1881" s="0" t="str">
        <f aca="false">HYPERLINK("https://lindat.mff.cuni.cz/services/teitok/pdtc10/index.php?action=vallex&amp;frame=v-w243hsa_71", "být (v-w243hsa_71) - substituted with v-w243f140_ZU")</f>
        <v>být (v-w243hsa_71) - substituted with v-w243f140_ZU</v>
      </c>
    </row>
    <row r="1882" customFormat="false" ht="12.8" hidden="false" customHeight="false" outlineLevel="0" collapsed="false">
      <c r="B1882" s="0" t="s">
        <v>7</v>
      </c>
    </row>
    <row r="1883" customFormat="false" ht="12.8" hidden="false" customHeight="false" outlineLevel="0" collapsed="false">
      <c r="B1883" s="0" t="s">
        <v>965</v>
      </c>
    </row>
    <row r="1885" customFormat="false" ht="12.8" hidden="false" customHeight="false" outlineLevel="0" collapsed="false">
      <c r="A1885" s="0" t="s">
        <v>966</v>
      </c>
      <c r="B1885" s="0" t="str">
        <f aca="false">HYPERLINK("https://lindat.mff.cuni.cz/services/teitok/pdtc10/index.php?action=vallex&amp;frame=v-w243f141_ZU", "být (v-w243f141_ZU)")</f>
        <v>být (v-w243f141_ZU)</v>
      </c>
    </row>
    <row r="1886" customFormat="false" ht="12.8" hidden="false" customHeight="false" outlineLevel="0" collapsed="false">
      <c r="B1886" s="0" t="s">
        <v>929</v>
      </c>
    </row>
    <row r="1887" customFormat="false" ht="12.8" hidden="false" customHeight="false" outlineLevel="0" collapsed="false">
      <c r="B1887" s="0" t="s">
        <v>967</v>
      </c>
    </row>
    <row r="1889" customFormat="false" ht="12.8" hidden="false" customHeight="false" outlineLevel="0" collapsed="false">
      <c r="A1889" s="0" t="s">
        <v>966</v>
      </c>
      <c r="B1889" s="0" t="str">
        <f aca="false">HYPERLINK("https://lindat.mff.cuni.cz/services/teitok/pdtc10/index.php?action=vallex&amp;frame=v-w243hsa_75", "být (v-w243hsa_75) - substituted with v-w243f141_ZU")</f>
        <v>být (v-w243hsa_75) - substituted with v-w243f141_ZU</v>
      </c>
    </row>
    <row r="1890" customFormat="false" ht="12.8" hidden="false" customHeight="false" outlineLevel="0" collapsed="false">
      <c r="B1890" s="0" t="s">
        <v>929</v>
      </c>
    </row>
    <row r="1891" customFormat="false" ht="12.8" hidden="false" customHeight="false" outlineLevel="0" collapsed="false">
      <c r="B1891" s="0" t="s">
        <v>967</v>
      </c>
    </row>
    <row r="1893" customFormat="false" ht="12.8" hidden="false" customHeight="false" outlineLevel="0" collapsed="false">
      <c r="A1893" s="0" t="s">
        <v>968</v>
      </c>
      <c r="B1893" s="0" t="str">
        <f aca="false">HYPERLINK("https://lindat.mff.cuni.cz/services/teitok/pdtc10/index.php?action=vallex&amp;frame=v-w243f142_ZU", "být (v-w243f142_ZU)")</f>
        <v>být (v-w243f142_ZU)</v>
      </c>
    </row>
    <row r="1894" customFormat="false" ht="12.8" hidden="false" customHeight="false" outlineLevel="0" collapsed="false">
      <c r="B1894" s="0" t="s">
        <v>7</v>
      </c>
    </row>
    <row r="1895" customFormat="false" ht="12.8" hidden="false" customHeight="false" outlineLevel="0" collapsed="false">
      <c r="B1895" s="0" t="s">
        <v>969</v>
      </c>
    </row>
    <row r="1897" customFormat="false" ht="12.8" hidden="false" customHeight="false" outlineLevel="0" collapsed="false">
      <c r="A1897" s="0" t="s">
        <v>968</v>
      </c>
      <c r="B1897" s="0" t="str">
        <f aca="false">HYPERLINK("https://lindat.mff.cuni.cz/services/teitok/pdtc10/index.php?action=vallex&amp;frame=v-w243hsa_76", "být (v-w243hsa_76) - substituted with v-w243f142_ZU")</f>
        <v>být (v-w243hsa_76) - substituted with v-w243f142_ZU</v>
      </c>
    </row>
    <row r="1898" customFormat="false" ht="12.8" hidden="false" customHeight="false" outlineLevel="0" collapsed="false">
      <c r="B1898" s="0" t="s">
        <v>7</v>
      </c>
    </row>
    <row r="1899" customFormat="false" ht="12.8" hidden="false" customHeight="false" outlineLevel="0" collapsed="false">
      <c r="B1899" s="0" t="s">
        <v>969</v>
      </c>
    </row>
    <row r="1901" customFormat="false" ht="12.8" hidden="false" customHeight="false" outlineLevel="0" collapsed="false">
      <c r="A1901" s="0" t="s">
        <v>970</v>
      </c>
      <c r="B1901" s="0" t="str">
        <f aca="false">HYPERLINK("https://lindat.mff.cuni.cz/services/teitok/pdtc10/index.php?action=vallex&amp;frame=v-w243f143_ZU", "být (v-w243f143_ZU)")</f>
        <v>být (v-w243f143_ZU)</v>
      </c>
    </row>
    <row r="1902" customFormat="false" ht="12.8" hidden="false" customHeight="false" outlineLevel="0" collapsed="false">
      <c r="B1902" s="0" t="s">
        <v>7</v>
      </c>
    </row>
    <row r="1903" customFormat="false" ht="12.8" hidden="false" customHeight="false" outlineLevel="0" collapsed="false">
      <c r="B1903" s="0" t="s">
        <v>971</v>
      </c>
    </row>
    <row r="1905" customFormat="false" ht="12.8" hidden="false" customHeight="false" outlineLevel="0" collapsed="false">
      <c r="A1905" s="0" t="s">
        <v>970</v>
      </c>
      <c r="B1905" s="0" t="str">
        <f aca="false">HYPERLINK("https://lindat.mff.cuni.cz/services/teitok/pdtc10/index.php?action=vallex&amp;frame=v-w243hsa_77", "být (v-w243hsa_77) - substituted with v-w243f143_ZU")</f>
        <v>být (v-w243hsa_77) - substituted with v-w243f143_ZU</v>
      </c>
    </row>
    <row r="1906" customFormat="false" ht="12.8" hidden="false" customHeight="false" outlineLevel="0" collapsed="false">
      <c r="B1906" s="0" t="s">
        <v>7</v>
      </c>
    </row>
    <row r="1907" customFormat="false" ht="12.8" hidden="false" customHeight="false" outlineLevel="0" collapsed="false">
      <c r="B1907" s="0" t="s">
        <v>971</v>
      </c>
    </row>
    <row r="1909" customFormat="false" ht="12.8" hidden="false" customHeight="false" outlineLevel="0" collapsed="false">
      <c r="A1909" s="0" t="s">
        <v>972</v>
      </c>
      <c r="B1909" s="0" t="str">
        <f aca="false">HYPERLINK("https://lindat.mff.cuni.cz/services/teitok/pdtc10/index.php?action=vallex&amp;frame=v-w243f144_ZU", "být (v-w243f144_ZU)")</f>
        <v>být (v-w243f144_ZU)</v>
      </c>
    </row>
    <row r="1910" customFormat="false" ht="12.8" hidden="false" customHeight="false" outlineLevel="0" collapsed="false">
      <c r="B1910" s="0" t="s">
        <v>7</v>
      </c>
    </row>
    <row r="1911" customFormat="false" ht="12.8" hidden="false" customHeight="false" outlineLevel="0" collapsed="false">
      <c r="B1911" s="0" t="s">
        <v>973</v>
      </c>
    </row>
    <row r="1912" customFormat="false" ht="12.8" hidden="false" customHeight="false" outlineLevel="0" collapsed="false">
      <c r="B1912" s="0" t="s">
        <v>548</v>
      </c>
    </row>
    <row r="1914" customFormat="false" ht="12.8" hidden="false" customHeight="false" outlineLevel="0" collapsed="false">
      <c r="A1914" s="0" t="s">
        <v>972</v>
      </c>
      <c r="B1914" s="0" t="str">
        <f aca="false">HYPERLINK("https://lindat.mff.cuni.cz/services/teitok/pdtc10/index.php?action=vallex&amp;frame=v-w243hsa_78", "být (v-w243hsa_78) - substituted with v-w243f144_ZU")</f>
        <v>být (v-w243hsa_78) - substituted with v-w243f144_ZU</v>
      </c>
    </row>
    <row r="1915" customFormat="false" ht="12.8" hidden="false" customHeight="false" outlineLevel="0" collapsed="false">
      <c r="B1915" s="0" t="s">
        <v>7</v>
      </c>
    </row>
    <row r="1916" customFormat="false" ht="12.8" hidden="false" customHeight="false" outlineLevel="0" collapsed="false">
      <c r="B1916" s="0" t="s">
        <v>973</v>
      </c>
    </row>
    <row r="1917" customFormat="false" ht="12.8" hidden="false" customHeight="false" outlineLevel="0" collapsed="false">
      <c r="B1917" s="0" t="s">
        <v>548</v>
      </c>
    </row>
    <row r="1919" customFormat="false" ht="12.8" hidden="false" customHeight="false" outlineLevel="0" collapsed="false">
      <c r="A1919" s="0" t="s">
        <v>974</v>
      </c>
      <c r="B1919" s="0" t="str">
        <f aca="false">HYPERLINK("https://lindat.mff.cuni.cz/services/teitok/pdtc10/index.php?action=vallex&amp;frame=v-w243f145_ZU", "být (v-w243f145_ZU)")</f>
        <v>být (v-w243f145_ZU)</v>
      </c>
    </row>
    <row r="1920" customFormat="false" ht="12.8" hidden="false" customHeight="false" outlineLevel="0" collapsed="false">
      <c r="B1920" s="0" t="s">
        <v>7</v>
      </c>
    </row>
    <row r="1921" customFormat="false" ht="12.8" hidden="false" customHeight="false" outlineLevel="0" collapsed="false">
      <c r="B1921" s="0" t="s">
        <v>975</v>
      </c>
    </row>
    <row r="1923" customFormat="false" ht="12.8" hidden="false" customHeight="false" outlineLevel="0" collapsed="false">
      <c r="A1923" s="0" t="s">
        <v>974</v>
      </c>
      <c r="B1923" s="0" t="str">
        <f aca="false">HYPERLINK("https://lindat.mff.cuni.cz/services/teitok/pdtc10/index.php?action=vallex&amp;frame=v-w243hsa_79", "být (v-w243hsa_79) - substituted with v-w243f145_ZU")</f>
        <v>být (v-w243hsa_79) - substituted with v-w243f145_ZU</v>
      </c>
    </row>
    <row r="1924" customFormat="false" ht="12.8" hidden="false" customHeight="false" outlineLevel="0" collapsed="false">
      <c r="B1924" s="0" t="s">
        <v>7</v>
      </c>
    </row>
    <row r="1925" customFormat="false" ht="12.8" hidden="false" customHeight="false" outlineLevel="0" collapsed="false">
      <c r="B1925" s="0" t="s">
        <v>975</v>
      </c>
    </row>
    <row r="1927" customFormat="false" ht="12.8" hidden="false" customHeight="false" outlineLevel="0" collapsed="false">
      <c r="A1927" s="0" t="s">
        <v>976</v>
      </c>
      <c r="B1927" s="0" t="str">
        <f aca="false">HYPERLINK("https://lindat.mff.cuni.cz/services/teitok/pdtc10/index.php?action=vallex&amp;frame=v-w243f146_ZU", "být (v-w243f146_ZU)")</f>
        <v>být (v-w243f146_ZU)</v>
      </c>
    </row>
    <row r="1928" customFormat="false" ht="12.8" hidden="false" customHeight="false" outlineLevel="0" collapsed="false">
      <c r="B1928" s="0" t="s">
        <v>7</v>
      </c>
    </row>
    <row r="1929" customFormat="false" ht="12.8" hidden="false" customHeight="false" outlineLevel="0" collapsed="false">
      <c r="B1929" s="0" t="s">
        <v>977</v>
      </c>
    </row>
    <row r="1930" customFormat="false" ht="12.8" hidden="false" customHeight="false" outlineLevel="0" collapsed="false">
      <c r="B1930" s="0" t="s">
        <v>548</v>
      </c>
    </row>
    <row r="1932" customFormat="false" ht="12.8" hidden="false" customHeight="false" outlineLevel="0" collapsed="false">
      <c r="A1932" s="0" t="s">
        <v>976</v>
      </c>
      <c r="B1932" s="0" t="str">
        <f aca="false">HYPERLINK("https://lindat.mff.cuni.cz/services/teitok/pdtc10/index.php?action=vallex&amp;frame=v-w243hsb_80", "být (v-w243hsb_80) - substituted with v-w243f146_ZU")</f>
        <v>být (v-w243hsb_80) - substituted with v-w243f146_ZU</v>
      </c>
    </row>
    <row r="1933" customFormat="false" ht="12.8" hidden="false" customHeight="false" outlineLevel="0" collapsed="false">
      <c r="B1933" s="0" t="s">
        <v>7</v>
      </c>
    </row>
    <row r="1934" customFormat="false" ht="12.8" hidden="false" customHeight="false" outlineLevel="0" collapsed="false">
      <c r="B1934" s="0" t="s">
        <v>977</v>
      </c>
    </row>
    <row r="1935" customFormat="false" ht="12.8" hidden="false" customHeight="false" outlineLevel="0" collapsed="false">
      <c r="B1935" s="0" t="s">
        <v>548</v>
      </c>
    </row>
    <row r="1937" customFormat="false" ht="12.8" hidden="false" customHeight="false" outlineLevel="0" collapsed="false">
      <c r="A1937" s="0" t="s">
        <v>978</v>
      </c>
      <c r="B1937" s="0" t="str">
        <f aca="false">HYPERLINK("https://lindat.mff.cuni.cz/services/teitok/pdtc10/index.php?action=vallex&amp;frame=v-w243f147_ZU", "být (v-w243f147_ZU)")</f>
        <v>být (v-w243f147_ZU)</v>
      </c>
    </row>
    <row r="1938" customFormat="false" ht="12.8" hidden="false" customHeight="false" outlineLevel="0" collapsed="false">
      <c r="B1938" s="0" t="s">
        <v>979</v>
      </c>
    </row>
    <row r="1939" customFormat="false" ht="12.8" hidden="false" customHeight="false" outlineLevel="0" collapsed="false">
      <c r="B1939" s="0" t="s">
        <v>980</v>
      </c>
    </row>
    <row r="1941" customFormat="false" ht="12.8" hidden="false" customHeight="false" outlineLevel="0" collapsed="false">
      <c r="A1941" s="0" t="s">
        <v>978</v>
      </c>
      <c r="B1941" s="0" t="str">
        <f aca="false">HYPERLINK("https://lindat.mff.cuni.cz/services/teitok/pdtc10/index.php?action=vallex&amp;frame=v-w243hsb_81", "být (v-w243hsb_81) - substituted with v-w243f147_ZU")</f>
        <v>být (v-w243hsb_81) - substituted with v-w243f147_ZU</v>
      </c>
    </row>
    <row r="1942" customFormat="false" ht="12.8" hidden="false" customHeight="false" outlineLevel="0" collapsed="false">
      <c r="B1942" s="0" t="s">
        <v>979</v>
      </c>
    </row>
    <row r="1943" customFormat="false" ht="12.8" hidden="false" customHeight="false" outlineLevel="0" collapsed="false">
      <c r="B1943" s="0" t="s">
        <v>980</v>
      </c>
    </row>
    <row r="1945" customFormat="false" ht="12.8" hidden="false" customHeight="false" outlineLevel="0" collapsed="false">
      <c r="A1945" s="0" t="s">
        <v>981</v>
      </c>
      <c r="B1945" s="0" t="str">
        <f aca="false">HYPERLINK("https://lindat.mff.cuni.cz/services/teitok/pdtc10/index.php?action=vallex&amp;frame=v-w243f148_ZU", "být (v-w243f148_ZU)")</f>
        <v>být (v-w243f148_ZU)</v>
      </c>
    </row>
    <row r="1946" customFormat="false" ht="12.8" hidden="false" customHeight="false" outlineLevel="0" collapsed="false">
      <c r="B1946" s="0" t="s">
        <v>982</v>
      </c>
    </row>
    <row r="1948" customFormat="false" ht="12.8" hidden="false" customHeight="false" outlineLevel="0" collapsed="false">
      <c r="A1948" s="0" t="s">
        <v>981</v>
      </c>
      <c r="B1948" s="0" t="str">
        <f aca="false">HYPERLINK("https://lindat.mff.cuni.cz/services/teitok/pdtc10/index.php?action=vallex&amp;frame=v-w243hsb_82", "být (v-w243hsb_82) - substituted with v-w243f148_ZU")</f>
        <v>být (v-w243hsb_82) - substituted with v-w243f148_ZU</v>
      </c>
    </row>
    <row r="1949" customFormat="false" ht="12.8" hidden="false" customHeight="false" outlineLevel="0" collapsed="false">
      <c r="B1949" s="0" t="s">
        <v>982</v>
      </c>
    </row>
    <row r="1951" customFormat="false" ht="12.8" hidden="false" customHeight="false" outlineLevel="0" collapsed="false">
      <c r="A1951" s="0" t="s">
        <v>983</v>
      </c>
      <c r="B1951" s="0" t="str">
        <f aca="false">HYPERLINK("https://lindat.mff.cuni.cz/services/teitok/pdtc10/index.php?action=vallex&amp;frame=v-w243f149_ZU", "být (v-w243f149_ZU)")</f>
        <v>být (v-w243f149_ZU)</v>
      </c>
    </row>
    <row r="1952" customFormat="false" ht="12.8" hidden="false" customHeight="false" outlineLevel="0" collapsed="false">
      <c r="B1952" s="0" t="s">
        <v>7</v>
      </c>
    </row>
    <row r="1953" customFormat="false" ht="12.8" hidden="false" customHeight="false" outlineLevel="0" collapsed="false">
      <c r="B1953" s="0" t="s">
        <v>984</v>
      </c>
    </row>
    <row r="1954" customFormat="false" ht="12.8" hidden="false" customHeight="false" outlineLevel="0" collapsed="false">
      <c r="B1954" s="0" t="s">
        <v>985</v>
      </c>
    </row>
    <row r="1956" customFormat="false" ht="12.8" hidden="false" customHeight="false" outlineLevel="0" collapsed="false">
      <c r="A1956" s="0" t="s">
        <v>983</v>
      </c>
      <c r="B1956" s="0" t="str">
        <f aca="false">HYPERLINK("https://lindat.mff.cuni.cz/services/teitok/pdtc10/index.php?action=vallex&amp;frame=v-w243hsb_83", "být (v-w243hsb_83) - substituted with v-w243f149_ZU")</f>
        <v>být (v-w243hsb_83) - substituted with v-w243f149_ZU</v>
      </c>
    </row>
    <row r="1957" customFormat="false" ht="12.8" hidden="false" customHeight="false" outlineLevel="0" collapsed="false">
      <c r="B1957" s="0" t="s">
        <v>7</v>
      </c>
    </row>
    <row r="1958" customFormat="false" ht="12.8" hidden="false" customHeight="false" outlineLevel="0" collapsed="false">
      <c r="B1958" s="0" t="s">
        <v>984</v>
      </c>
    </row>
    <row r="1959" customFormat="false" ht="12.8" hidden="false" customHeight="false" outlineLevel="0" collapsed="false">
      <c r="B1959" s="0" t="s">
        <v>985</v>
      </c>
    </row>
    <row r="1961" customFormat="false" ht="12.8" hidden="false" customHeight="false" outlineLevel="0" collapsed="false">
      <c r="A1961" s="0" t="s">
        <v>986</v>
      </c>
      <c r="B1961" s="0" t="str">
        <f aca="false">HYPERLINK("https://lindat.mff.cuni.cz/services/teitok/pdtc10/index.php?action=vallex&amp;frame=v-w243f151_ZU", "být (v-w243f151_ZU)")</f>
        <v>být (v-w243f151_ZU)</v>
      </c>
    </row>
    <row r="1962" customFormat="false" ht="12.8" hidden="false" customHeight="false" outlineLevel="0" collapsed="false">
      <c r="B1962" s="0" t="s">
        <v>7</v>
      </c>
    </row>
    <row r="1963" customFormat="false" ht="12.8" hidden="false" customHeight="false" outlineLevel="0" collapsed="false">
      <c r="B1963" s="0" t="s">
        <v>987</v>
      </c>
    </row>
    <row r="1965" customFormat="false" ht="12.8" hidden="false" customHeight="false" outlineLevel="0" collapsed="false">
      <c r="A1965" s="0" t="s">
        <v>986</v>
      </c>
      <c r="B1965" s="0" t="str">
        <f aca="false">HYPERLINK("https://lindat.mff.cuni.cz/services/teitok/pdtc10/index.php?action=vallex&amp;frame=v-w243f150_ZU", "být (v-w243f150_ZU) - substituted with v-w243f151_ZU")</f>
        <v>být (v-w243f150_ZU) - substituted with v-w243f151_ZU</v>
      </c>
    </row>
    <row r="1966" customFormat="false" ht="12.8" hidden="false" customHeight="false" outlineLevel="0" collapsed="false">
      <c r="B1966" s="0" t="s">
        <v>7</v>
      </c>
    </row>
    <row r="1967" customFormat="false" ht="12.8" hidden="false" customHeight="false" outlineLevel="0" collapsed="false">
      <c r="B1967" s="0" t="s">
        <v>987</v>
      </c>
    </row>
    <row r="1969" customFormat="false" ht="12.8" hidden="false" customHeight="false" outlineLevel="0" collapsed="false">
      <c r="A1969" s="0" t="s">
        <v>986</v>
      </c>
      <c r="B1969" s="0" t="str">
        <f aca="false">HYPERLINK("https://lindat.mff.cuni.cz/services/teitok/pdtc10/index.php?action=vallex&amp;frame=v-w243hsa_67", "být (v-w243hsa_67) - substituted with v-w243f151_ZU")</f>
        <v>být (v-w243hsa_67) - substituted with v-w243f151_ZU</v>
      </c>
    </row>
    <row r="1970" customFormat="false" ht="12.8" hidden="false" customHeight="false" outlineLevel="0" collapsed="false">
      <c r="B1970" s="0" t="s">
        <v>7</v>
      </c>
    </row>
    <row r="1971" customFormat="false" ht="12.8" hidden="false" customHeight="false" outlineLevel="0" collapsed="false">
      <c r="B1971" s="0" t="s">
        <v>987</v>
      </c>
    </row>
    <row r="1973" customFormat="false" ht="12.8" hidden="false" customHeight="false" outlineLevel="0" collapsed="false">
      <c r="A1973" s="0" t="s">
        <v>988</v>
      </c>
      <c r="B1973" s="0" t="str">
        <f aca="false">HYPERLINK("https://lindat.mff.cuni.cz/services/teitok/pdtc10/index.php?action=vallex&amp;frame=v-w243f153_ZU", "být (v-w243f153_ZU)")</f>
        <v>být (v-w243f153_ZU)</v>
      </c>
    </row>
    <row r="1974" customFormat="false" ht="12.8" hidden="false" customHeight="false" outlineLevel="0" collapsed="false">
      <c r="B1974" s="0" t="s">
        <v>265</v>
      </c>
    </row>
    <row r="1975" customFormat="false" ht="12.8" hidden="false" customHeight="false" outlineLevel="0" collapsed="false">
      <c r="B1975" s="0" t="s">
        <v>989</v>
      </c>
    </row>
    <row r="1977" customFormat="false" ht="12.8" hidden="false" customHeight="false" outlineLevel="0" collapsed="false">
      <c r="A1977" s="0" t="s">
        <v>990</v>
      </c>
      <c r="B1977" s="0" t="str">
        <f aca="false">HYPERLINK("https://lindat.mff.cuni.cz/services/teitok/pdtc10/index.php?action=vallex&amp;frame=v-w243f154_ZU", "být (v-w243f154_ZU)")</f>
        <v>být (v-w243f154_ZU)</v>
      </c>
    </row>
    <row r="1978" customFormat="false" ht="12.8" hidden="false" customHeight="false" outlineLevel="0" collapsed="false">
      <c r="B1978" s="0" t="s">
        <v>7</v>
      </c>
    </row>
    <row r="1979" customFormat="false" ht="12.8" hidden="false" customHeight="false" outlineLevel="0" collapsed="false">
      <c r="B1979" s="0" t="s">
        <v>991</v>
      </c>
    </row>
    <row r="1981" customFormat="false" ht="12.8" hidden="false" customHeight="false" outlineLevel="0" collapsed="false">
      <c r="A1981" s="0" t="s">
        <v>992</v>
      </c>
      <c r="B1981" s="0" t="str">
        <f aca="false">HYPERLINK("https://lindat.mff.cuni.cz/services/teitok/pdtc10/index.php?action=vallex&amp;frame=v-w243f155_ZU", "být (v-w243f155_ZU)")</f>
        <v>být (v-w243f155_ZU)</v>
      </c>
    </row>
    <row r="1982" customFormat="false" ht="12.8" hidden="false" customHeight="false" outlineLevel="0" collapsed="false">
      <c r="B1982" s="0" t="s">
        <v>7</v>
      </c>
    </row>
    <row r="1983" customFormat="false" ht="12.8" hidden="false" customHeight="false" outlineLevel="0" collapsed="false">
      <c r="B1983" s="0" t="s">
        <v>993</v>
      </c>
    </row>
    <row r="1985" customFormat="false" ht="12.8" hidden="false" customHeight="false" outlineLevel="0" collapsed="false">
      <c r="A1985" s="0" t="s">
        <v>994</v>
      </c>
      <c r="B1985" s="0" t="str">
        <f aca="false">HYPERLINK("https://lindat.mff.cuni.cz/services/teitok/pdtc10/index.php?action=vallex&amp;frame=v-w243f156_ZU", "být (v-w243f156_ZU)")</f>
        <v>být (v-w243f156_ZU)</v>
      </c>
    </row>
    <row r="1986" customFormat="false" ht="12.8" hidden="false" customHeight="false" outlineLevel="0" collapsed="false">
      <c r="B1986" s="0" t="s">
        <v>265</v>
      </c>
    </row>
    <row r="1987" customFormat="false" ht="12.8" hidden="false" customHeight="false" outlineLevel="0" collapsed="false">
      <c r="B1987" s="0" t="s">
        <v>995</v>
      </c>
    </row>
    <row r="1989" customFormat="false" ht="12.8" hidden="false" customHeight="false" outlineLevel="0" collapsed="false">
      <c r="A1989" s="0" t="s">
        <v>994</v>
      </c>
      <c r="B1989" s="0" t="str">
        <f aca="false">HYPERLINK("https://lindat.mff.cuni.cz/services/teitok/pdtc10/index.php?action=vallex&amp;frame=v-w243f152_ZU", "být (v-w243f152_ZU) - substituted with v-w243f156_ZU")</f>
        <v>být (v-w243f152_ZU) - substituted with v-w243f156_ZU</v>
      </c>
    </row>
    <row r="1990" customFormat="false" ht="12.8" hidden="false" customHeight="false" outlineLevel="0" collapsed="false">
      <c r="B1990" s="0" t="s">
        <v>265</v>
      </c>
    </row>
    <row r="1991" customFormat="false" ht="12.8" hidden="false" customHeight="false" outlineLevel="0" collapsed="false">
      <c r="B1991" s="0" t="s">
        <v>995</v>
      </c>
    </row>
    <row r="1993" customFormat="false" ht="12.8" hidden="false" customHeight="false" outlineLevel="0" collapsed="false">
      <c r="A1993" s="0" t="s">
        <v>996</v>
      </c>
      <c r="B1993" s="0" t="str">
        <f aca="false">HYPERLINK("https://lindat.mff.cuni.cz/services/teitok/pdtc10/index.php?action=vallex&amp;frame=v-w243f159_ZU", "být (v-w243f159_ZU)")</f>
        <v>být (v-w243f159_ZU)</v>
      </c>
    </row>
    <row r="1994" customFormat="false" ht="12.8" hidden="false" customHeight="false" outlineLevel="0" collapsed="false">
      <c r="B1994" s="0" t="s">
        <v>7</v>
      </c>
    </row>
    <row r="1995" customFormat="false" ht="12.8" hidden="false" customHeight="false" outlineLevel="0" collapsed="false">
      <c r="B1995" s="0" t="s">
        <v>997</v>
      </c>
    </row>
    <row r="1997" customFormat="false" ht="12.8" hidden="false" customHeight="false" outlineLevel="0" collapsed="false">
      <c r="A1997" s="0" t="s">
        <v>998</v>
      </c>
      <c r="B1997" s="0" t="str">
        <f aca="false">HYPERLINK("https://lindat.mff.cuni.cz/services/teitok/pdtc10/index.php?action=vallex&amp;frame=v-w243f160_ZU", "být (v-w243f160_ZU)")</f>
        <v>být (v-w243f160_ZU)</v>
      </c>
    </row>
    <row r="1998" customFormat="false" ht="12.8" hidden="false" customHeight="false" outlineLevel="0" collapsed="false">
      <c r="B1998" s="0" t="s">
        <v>7</v>
      </c>
    </row>
    <row r="1999" customFormat="false" ht="12.8" hidden="false" customHeight="false" outlineLevel="0" collapsed="false">
      <c r="B1999" s="0" t="s">
        <v>999</v>
      </c>
    </row>
    <row r="2001" customFormat="false" ht="12.8" hidden="false" customHeight="false" outlineLevel="0" collapsed="false">
      <c r="A2001" s="0" t="s">
        <v>1000</v>
      </c>
      <c r="B2001" s="0" t="str">
        <f aca="false">HYPERLINK("https://lindat.mff.cuni.cz/services/teitok/pdtc10/index.php?action=vallex&amp;frame=v-w243f161_ZU", "být (v-w243f161_ZU)")</f>
        <v>být (v-w243f161_ZU)</v>
      </c>
    </row>
    <row r="2002" customFormat="false" ht="12.8" hidden="false" customHeight="false" outlineLevel="0" collapsed="false">
      <c r="B2002" s="0" t="s">
        <v>671</v>
      </c>
    </row>
    <row r="2003" customFormat="false" ht="12.8" hidden="false" customHeight="false" outlineLevel="0" collapsed="false">
      <c r="B2003" s="0" t="s">
        <v>1001</v>
      </c>
    </row>
    <row r="2005" customFormat="false" ht="12.8" hidden="false" customHeight="false" outlineLevel="0" collapsed="false">
      <c r="A2005" s="0" t="s">
        <v>1002</v>
      </c>
      <c r="B2005" s="0" t="str">
        <f aca="false">HYPERLINK("https://lindat.mff.cuni.cz/services/teitok/pdtc10/index.php?action=vallex&amp;frame=v-w243f162_ZU", "být (v-w243f162_ZU)")</f>
        <v>být (v-w243f162_ZU)</v>
      </c>
    </row>
    <row r="2006" customFormat="false" ht="12.8" hidden="false" customHeight="false" outlineLevel="0" collapsed="false">
      <c r="B2006" s="0" t="s">
        <v>7</v>
      </c>
    </row>
    <row r="2007" customFormat="false" ht="12.8" hidden="false" customHeight="false" outlineLevel="0" collapsed="false">
      <c r="B2007" s="0" t="s">
        <v>28</v>
      </c>
    </row>
    <row r="2009" customFormat="false" ht="12.8" hidden="false" customHeight="false" outlineLevel="0" collapsed="false">
      <c r="A2009" s="0" t="s">
        <v>1003</v>
      </c>
      <c r="B2009" s="0" t="str">
        <f aca="false">HYPERLINK("https://lindat.mff.cuni.cz/services/teitok/pdtc10/index.php?action=vallex&amp;frame=v-w243f163_ZU", "být (v-w243f163_ZU)")</f>
        <v>být (v-w243f163_ZU)</v>
      </c>
    </row>
    <row r="2010" customFormat="false" ht="12.8" hidden="false" customHeight="false" outlineLevel="0" collapsed="false">
      <c r="B2010" s="0" t="s">
        <v>1004</v>
      </c>
    </row>
    <row r="2011" customFormat="false" ht="12.8" hidden="false" customHeight="false" outlineLevel="0" collapsed="false">
      <c r="B2011" s="0" t="s">
        <v>1005</v>
      </c>
    </row>
    <row r="2012" customFormat="false" ht="12.8" hidden="false" customHeight="false" outlineLevel="0" collapsed="false">
      <c r="B2012" s="0" t="s">
        <v>666</v>
      </c>
    </row>
    <row r="2014" customFormat="false" ht="12.8" hidden="false" customHeight="false" outlineLevel="0" collapsed="false">
      <c r="A2014" s="0" t="s">
        <v>1006</v>
      </c>
      <c r="B2014" s="0" t="str">
        <f aca="false">HYPERLINK("https://lindat.mff.cuni.cz/services/teitok/pdtc10/index.php?action=vallex&amp;frame=v-w243f165_ZU", "být (v-w243f165_ZU)")</f>
        <v>být (v-w243f165_ZU)</v>
      </c>
    </row>
    <row r="2015" customFormat="false" ht="12.8" hidden="false" customHeight="false" outlineLevel="0" collapsed="false">
      <c r="B2015" s="0" t="s">
        <v>7</v>
      </c>
    </row>
    <row r="2016" customFormat="false" ht="12.8" hidden="false" customHeight="false" outlineLevel="0" collapsed="false">
      <c r="B2016" s="0" t="s">
        <v>1007</v>
      </c>
    </row>
    <row r="2018" customFormat="false" ht="12.8" hidden="false" customHeight="false" outlineLevel="0" collapsed="false">
      <c r="A2018" s="0" t="s">
        <v>1006</v>
      </c>
      <c r="B2018" s="0" t="str">
        <f aca="false">HYPERLINK("https://lindat.mff.cuni.cz/services/teitok/pdtc10/index.php?action=vallex&amp;frame=v-w243f157_ZU", "být (v-w243f157_ZU) - substituted with v-w243f165_ZU")</f>
        <v>být (v-w243f157_ZU) - substituted with v-w243f165_ZU</v>
      </c>
    </row>
    <row r="2019" customFormat="false" ht="12.8" hidden="false" customHeight="false" outlineLevel="0" collapsed="false">
      <c r="B2019" s="0" t="s">
        <v>7</v>
      </c>
    </row>
    <row r="2020" customFormat="false" ht="12.8" hidden="false" customHeight="false" outlineLevel="0" collapsed="false">
      <c r="B2020" s="0" t="s">
        <v>1007</v>
      </c>
    </row>
    <row r="2022" customFormat="false" ht="12.8" hidden="false" customHeight="false" outlineLevel="0" collapsed="false">
      <c r="A2022" s="0" t="s">
        <v>1006</v>
      </c>
      <c r="B2022" s="0" t="str">
        <f aca="false">HYPERLINK("https://lindat.mff.cuni.cz/services/teitok/pdtc10/index.php?action=vallex&amp;frame=v-w243f158_ZU", "být (v-w243f158_ZU) - substituted with v-w243f165_ZU")</f>
        <v>být (v-w243f158_ZU) - substituted with v-w243f165_ZU</v>
      </c>
    </row>
    <row r="2023" customFormat="false" ht="12.8" hidden="false" customHeight="false" outlineLevel="0" collapsed="false">
      <c r="B2023" s="0" t="s">
        <v>7</v>
      </c>
    </row>
    <row r="2024" customFormat="false" ht="12.8" hidden="false" customHeight="false" outlineLevel="0" collapsed="false">
      <c r="B2024" s="0" t="s">
        <v>1007</v>
      </c>
    </row>
    <row r="2026" customFormat="false" ht="12.8" hidden="false" customHeight="false" outlineLevel="0" collapsed="false">
      <c r="A2026" s="0" t="s">
        <v>1006</v>
      </c>
      <c r="B2026" s="0" t="str">
        <f aca="false">HYPERLINK("https://lindat.mff.cuni.cz/services/teitok/pdtc10/index.php?action=vallex&amp;frame=v-w243f164_ZU", "být (v-w243f164_ZU) - substituted with v-w243f165_ZU")</f>
        <v>být (v-w243f164_ZU) - substituted with v-w243f165_ZU</v>
      </c>
    </row>
    <row r="2027" customFormat="false" ht="12.8" hidden="false" customHeight="false" outlineLevel="0" collapsed="false">
      <c r="B2027" s="0" t="s">
        <v>7</v>
      </c>
    </row>
    <row r="2028" customFormat="false" ht="12.8" hidden="false" customHeight="false" outlineLevel="0" collapsed="false">
      <c r="B2028" s="0" t="s">
        <v>1007</v>
      </c>
    </row>
    <row r="2030" customFormat="false" ht="12.8" hidden="false" customHeight="false" outlineLevel="0" collapsed="false">
      <c r="A2030" s="0" t="s">
        <v>1008</v>
      </c>
      <c r="B2030" s="0" t="str">
        <f aca="false">HYPERLINK("https://lindat.mff.cuni.cz/services/teitok/pdtc10/index.php?action=vallex&amp;frame=v-w243f166_ZU", "být (v-w243f166_ZU)")</f>
        <v>být (v-w243f166_ZU)</v>
      </c>
    </row>
    <row r="2031" customFormat="false" ht="12.8" hidden="false" customHeight="false" outlineLevel="0" collapsed="false">
      <c r="B2031" s="0" t="s">
        <v>7</v>
      </c>
    </row>
    <row r="2032" customFormat="false" ht="12.8" hidden="false" customHeight="false" outlineLevel="0" collapsed="false">
      <c r="B2032" s="0" t="s">
        <v>387</v>
      </c>
    </row>
    <row r="2034" customFormat="false" ht="12.8" hidden="false" customHeight="false" outlineLevel="0" collapsed="false">
      <c r="A2034" s="0" t="s">
        <v>1009</v>
      </c>
      <c r="B2034" s="0" t="str">
        <f aca="false">HYPERLINK("https://lindat.mff.cuni.cz/services/teitok/pdtc10/index.php?action=vallex&amp;frame=v-w243f167_ZU", "být (v-w243f167_ZU)")</f>
        <v>být (v-w243f167_ZU)</v>
      </c>
    </row>
    <row r="2035" customFormat="false" ht="12.8" hidden="false" customHeight="false" outlineLevel="0" collapsed="false">
      <c r="B2035" s="0" t="s">
        <v>7</v>
      </c>
    </row>
    <row r="2036" customFormat="false" ht="12.8" hidden="false" customHeight="false" outlineLevel="0" collapsed="false">
      <c r="B2036" s="0" t="s">
        <v>1010</v>
      </c>
    </row>
    <row r="2038" customFormat="false" ht="12.8" hidden="false" customHeight="false" outlineLevel="0" collapsed="false">
      <c r="A2038" s="0" t="s">
        <v>1011</v>
      </c>
      <c r="B2038" s="0" t="str">
        <f aca="false">HYPERLINK("https://lindat.mff.cuni.cz/services/teitok/pdtc10/index.php?action=vallex&amp;frame=v-w243f168_ZU", "být (v-w243f168_ZU)")</f>
        <v>být (v-w243f168_ZU)</v>
      </c>
    </row>
    <row r="2039" customFormat="false" ht="12.8" hidden="false" customHeight="false" outlineLevel="0" collapsed="false">
      <c r="B2039" s="0" t="s">
        <v>7</v>
      </c>
    </row>
    <row r="2040" customFormat="false" ht="12.8" hidden="false" customHeight="false" outlineLevel="0" collapsed="false">
      <c r="B2040" s="0" t="s">
        <v>1012</v>
      </c>
    </row>
    <row r="2042" customFormat="false" ht="12.8" hidden="false" customHeight="false" outlineLevel="0" collapsed="false">
      <c r="A2042" s="0" t="s">
        <v>1013</v>
      </c>
      <c r="B2042" s="0" t="str">
        <f aca="false">HYPERLINK("https://lindat.mff.cuni.cz/services/teitok/pdtc10/index.php?action=vallex&amp;frame=v-w243f169_ZU", "být (v-w243f169_ZU)")</f>
        <v>být (v-w243f169_ZU)</v>
      </c>
    </row>
    <row r="2043" customFormat="false" ht="12.8" hidden="false" customHeight="false" outlineLevel="0" collapsed="false">
      <c r="B2043" s="0" t="s">
        <v>7</v>
      </c>
    </row>
    <row r="2044" customFormat="false" ht="12.8" hidden="false" customHeight="false" outlineLevel="0" collapsed="false">
      <c r="B2044" s="0" t="s">
        <v>1014</v>
      </c>
    </row>
    <row r="2046" customFormat="false" ht="12.8" hidden="false" customHeight="false" outlineLevel="0" collapsed="false">
      <c r="A2046" s="0" t="s">
        <v>1013</v>
      </c>
      <c r="B2046" s="0" t="str">
        <f aca="false">HYPERLINK("https://lindat.mff.cuni.cz/services/teitok/pdtc10/index.php?action=vallex&amp;frame=v-w243f138_ZU", "být (v-w243f138_ZU) - substituted with v-w243f169_ZU")</f>
        <v>být (v-w243f138_ZU) - substituted with v-w243f169_ZU</v>
      </c>
    </row>
    <row r="2047" customFormat="false" ht="12.8" hidden="false" customHeight="false" outlineLevel="0" collapsed="false">
      <c r="B2047" s="0" t="s">
        <v>7</v>
      </c>
    </row>
    <row r="2048" customFormat="false" ht="12.8" hidden="false" customHeight="false" outlineLevel="0" collapsed="false">
      <c r="B2048" s="0" t="s">
        <v>1014</v>
      </c>
    </row>
    <row r="2050" customFormat="false" ht="12.8" hidden="false" customHeight="false" outlineLevel="0" collapsed="false">
      <c r="A2050" s="0" t="s">
        <v>1013</v>
      </c>
      <c r="B2050" s="0" t="str">
        <f aca="false">HYPERLINK("https://lindat.mff.cuni.cz/services/teitok/pdtc10/index.php?action=vallex&amp;frame=v-w243hsa_72", "být (v-w243hsa_72) - substituted with v-w243f169_ZU")</f>
        <v>být (v-w243hsa_72) - substituted with v-w243f169_ZU</v>
      </c>
    </row>
    <row r="2051" customFormat="false" ht="12.8" hidden="false" customHeight="false" outlineLevel="0" collapsed="false">
      <c r="B2051" s="0" t="s">
        <v>7</v>
      </c>
    </row>
    <row r="2052" customFormat="false" ht="12.8" hidden="false" customHeight="false" outlineLevel="0" collapsed="false">
      <c r="B2052" s="0" t="s">
        <v>1014</v>
      </c>
    </row>
    <row r="2054" customFormat="false" ht="12.8" hidden="false" customHeight="false" outlineLevel="0" collapsed="false">
      <c r="A2054" s="0" t="s">
        <v>1015</v>
      </c>
      <c r="B2054" s="0" t="str">
        <f aca="false">HYPERLINK("https://lindat.mff.cuni.cz/services/teitok/pdtc10/index.php?action=vallex&amp;frame=v-w243f170_ZU", "být (v-w243f170_ZU)")</f>
        <v>být (v-w243f170_ZU)</v>
      </c>
    </row>
    <row r="2055" customFormat="false" ht="12.8" hidden="false" customHeight="false" outlineLevel="0" collapsed="false">
      <c r="B2055" s="0" t="s">
        <v>7</v>
      </c>
    </row>
    <row r="2056" customFormat="false" ht="12.8" hidden="false" customHeight="false" outlineLevel="0" collapsed="false">
      <c r="B2056" s="0" t="s">
        <v>1016</v>
      </c>
    </row>
    <row r="2058" customFormat="false" ht="12.8" hidden="false" customHeight="false" outlineLevel="0" collapsed="false">
      <c r="A2058" s="0" t="s">
        <v>1017</v>
      </c>
      <c r="B2058" s="0" t="str">
        <f aca="false">HYPERLINK("https://lindat.mff.cuni.cz/services/teitok/pdtc10/index.php?action=vallex&amp;frame=v-w243f174_ZU", "být (v-w243f174_ZU)")</f>
        <v>být (v-w243f174_ZU)</v>
      </c>
    </row>
    <row r="2059" customFormat="false" ht="12.8" hidden="false" customHeight="false" outlineLevel="0" collapsed="false">
      <c r="B2059" s="0" t="s">
        <v>7</v>
      </c>
    </row>
    <row r="2060" customFormat="false" ht="12.8" hidden="false" customHeight="false" outlineLevel="0" collapsed="false">
      <c r="B2060" s="0" t="s">
        <v>1018</v>
      </c>
    </row>
    <row r="2062" customFormat="false" ht="12.8" hidden="false" customHeight="false" outlineLevel="0" collapsed="false">
      <c r="A2062" s="0" t="s">
        <v>1019</v>
      </c>
      <c r="B2062" s="0" t="str">
        <f aca="false">HYPERLINK("https://lindat.mff.cuni.cz/services/teitok/pdtc10/index.php?action=vallex&amp;frame=v-w243f175_ZU", "být (v-w243f175_ZU)")</f>
        <v>být (v-w243f175_ZU)</v>
      </c>
    </row>
    <row r="2063" customFormat="false" ht="12.8" hidden="false" customHeight="false" outlineLevel="0" collapsed="false">
      <c r="B2063" s="0" t="s">
        <v>7</v>
      </c>
    </row>
    <row r="2064" customFormat="false" ht="12.8" hidden="false" customHeight="false" outlineLevel="0" collapsed="false">
      <c r="B2064" s="0" t="s">
        <v>1020</v>
      </c>
    </row>
    <row r="2066" customFormat="false" ht="12.8" hidden="false" customHeight="false" outlineLevel="0" collapsed="false">
      <c r="A2066" s="0" t="s">
        <v>1021</v>
      </c>
      <c r="B2066" s="0" t="str">
        <f aca="false">HYPERLINK("https://lindat.mff.cuni.cz/services/teitok/pdtc10/index.php?action=vallex&amp;frame=v-w243f180_ZU", "být (v-w243f180_ZU)")</f>
        <v>být (v-w243f180_ZU)</v>
      </c>
    </row>
    <row r="2067" customFormat="false" ht="12.8" hidden="false" customHeight="false" outlineLevel="0" collapsed="false">
      <c r="B2067" s="0" t="s">
        <v>7</v>
      </c>
    </row>
    <row r="2068" customFormat="false" ht="12.8" hidden="false" customHeight="false" outlineLevel="0" collapsed="false">
      <c r="B2068" s="0" t="s">
        <v>1022</v>
      </c>
    </row>
    <row r="2070" customFormat="false" ht="12.8" hidden="false" customHeight="false" outlineLevel="0" collapsed="false">
      <c r="A2070" s="0" t="s">
        <v>1023</v>
      </c>
      <c r="B2070" s="0" t="str">
        <f aca="false">HYPERLINK("https://lindat.mff.cuni.cz/services/teitok/pdtc10/index.php?action=vallex&amp;frame=v-w243f182_ZU", "být (v-w243f182_ZU)")</f>
        <v>být (v-w243f182_ZU)</v>
      </c>
    </row>
    <row r="2071" customFormat="false" ht="12.8" hidden="false" customHeight="false" outlineLevel="0" collapsed="false">
      <c r="B2071" s="0" t="s">
        <v>7</v>
      </c>
    </row>
    <row r="2072" customFormat="false" ht="12.8" hidden="false" customHeight="false" outlineLevel="0" collapsed="false">
      <c r="B2072" s="0" t="s">
        <v>1024</v>
      </c>
    </row>
    <row r="2074" customFormat="false" ht="12.8" hidden="false" customHeight="false" outlineLevel="0" collapsed="false">
      <c r="A2074" s="0" t="s">
        <v>1025</v>
      </c>
      <c r="B2074" s="0" t="str">
        <f aca="false">HYPERLINK("https://lindat.mff.cuni.cz/services/teitok/pdtc10/index.php?action=vallex&amp;frame=v-w243f184_ZU", "být (v-w243f184_ZU)")</f>
        <v>být (v-w243f184_ZU)</v>
      </c>
    </row>
    <row r="2075" customFormat="false" ht="12.8" hidden="false" customHeight="false" outlineLevel="0" collapsed="false">
      <c r="B2075" s="0" t="s">
        <v>7</v>
      </c>
    </row>
    <row r="2076" customFormat="false" ht="12.8" hidden="false" customHeight="false" outlineLevel="0" collapsed="false">
      <c r="B2076" s="0" t="s">
        <v>1026</v>
      </c>
    </row>
    <row r="2077" customFormat="false" ht="12.8" hidden="false" customHeight="false" outlineLevel="0" collapsed="false">
      <c r="B2077" s="0" t="s">
        <v>1027</v>
      </c>
    </row>
    <row r="2079" customFormat="false" ht="12.8" hidden="false" customHeight="false" outlineLevel="0" collapsed="false">
      <c r="A2079" s="0" t="s">
        <v>1025</v>
      </c>
      <c r="B2079" s="0" t="str">
        <f aca="false">HYPERLINK("https://lindat.mff.cuni.cz/services/teitok/pdtc10/index.php?action=vallex&amp;frame=v-w243f183_ZU", "být (v-w243f183_ZU) - substituted with v-w243f184_ZU")</f>
        <v>být (v-w243f183_ZU) - substituted with v-w243f184_ZU</v>
      </c>
    </row>
    <row r="2080" customFormat="false" ht="12.8" hidden="false" customHeight="false" outlineLevel="0" collapsed="false">
      <c r="B2080" s="0" t="s">
        <v>7</v>
      </c>
    </row>
    <row r="2081" customFormat="false" ht="12.8" hidden="false" customHeight="false" outlineLevel="0" collapsed="false">
      <c r="B2081" s="0" t="s">
        <v>1026</v>
      </c>
    </row>
    <row r="2082" customFormat="false" ht="12.8" hidden="false" customHeight="false" outlineLevel="0" collapsed="false">
      <c r="B2082" s="0" t="s">
        <v>1027</v>
      </c>
    </row>
    <row r="2084" customFormat="false" ht="12.8" hidden="false" customHeight="false" outlineLevel="0" collapsed="false">
      <c r="A2084" s="0" t="s">
        <v>1028</v>
      </c>
      <c r="B2084" s="0" t="str">
        <f aca="false">HYPERLINK("https://lindat.mff.cuni.cz/services/teitok/pdtc10/index.php?action=vallex&amp;frame=v-w243f188_MM", "být (v-w243f188_MM)")</f>
        <v>být (v-w243f188_MM)</v>
      </c>
    </row>
    <row r="2085" customFormat="false" ht="12.8" hidden="false" customHeight="false" outlineLevel="0" collapsed="false">
      <c r="B2085" s="0" t="s">
        <v>7</v>
      </c>
    </row>
    <row r="2086" customFormat="false" ht="12.8" hidden="false" customHeight="false" outlineLevel="0" collapsed="false">
      <c r="B2086" s="0" t="s">
        <v>1029</v>
      </c>
    </row>
    <row r="2088" customFormat="false" ht="12.8" hidden="false" customHeight="false" outlineLevel="0" collapsed="false">
      <c r="A2088" s="0" t="s">
        <v>1030</v>
      </c>
      <c r="B2088" s="0" t="str">
        <f aca="false">HYPERLINK("https://lindat.mff.cuni.cz/services/teitok/pdtc10/index.php?action=vallex&amp;frame=v-w243f189_MM", "být (v-w243f189_MM)")</f>
        <v>být (v-w243f189_MM)</v>
      </c>
    </row>
    <row r="2089" customFormat="false" ht="12.8" hidden="false" customHeight="false" outlineLevel="0" collapsed="false">
      <c r="B2089" s="0" t="s">
        <v>7</v>
      </c>
    </row>
    <row r="2090" customFormat="false" ht="12.8" hidden="false" customHeight="false" outlineLevel="0" collapsed="false">
      <c r="B2090" s="0" t="s">
        <v>1031</v>
      </c>
    </row>
    <row r="2092" customFormat="false" ht="12.8" hidden="false" customHeight="false" outlineLevel="0" collapsed="false">
      <c r="A2092" s="0" t="s">
        <v>1032</v>
      </c>
      <c r="B2092" s="0" t="str">
        <f aca="false">HYPERLINK("https://lindat.mff.cuni.cz/services/teitok/pdtc10/index.php?action=vallex&amp;frame=v-w243f190_MM", "být (v-w243f190_MM)")</f>
        <v>být (v-w243f190_MM)</v>
      </c>
    </row>
    <row r="2093" customFormat="false" ht="12.8" hidden="false" customHeight="false" outlineLevel="0" collapsed="false">
      <c r="B2093" s="0" t="s">
        <v>7</v>
      </c>
    </row>
    <row r="2094" customFormat="false" ht="12.8" hidden="false" customHeight="false" outlineLevel="0" collapsed="false">
      <c r="B2094" s="0" t="s">
        <v>1033</v>
      </c>
    </row>
    <row r="2095" customFormat="false" ht="12.8" hidden="false" customHeight="false" outlineLevel="0" collapsed="false">
      <c r="B2095" s="0" t="s">
        <v>1034</v>
      </c>
    </row>
    <row r="2097" customFormat="false" ht="12.8" hidden="false" customHeight="false" outlineLevel="0" collapsed="false">
      <c r="A2097" s="0" t="s">
        <v>1035</v>
      </c>
      <c r="B2097" s="0" t="str">
        <f aca="false">HYPERLINK("https://lindat.mff.cuni.cz/services/teitok/pdtc10/index.php?action=vallex&amp;frame=v-w243f191_MM", "být (v-w243f191_MM)")</f>
        <v>být (v-w243f191_MM)</v>
      </c>
    </row>
    <row r="2098" customFormat="false" ht="12.8" hidden="false" customHeight="false" outlineLevel="0" collapsed="false">
      <c r="B2098" s="0" t="s">
        <v>7</v>
      </c>
    </row>
    <row r="2099" customFormat="false" ht="12.8" hidden="false" customHeight="false" outlineLevel="0" collapsed="false">
      <c r="B2099" s="0" t="s">
        <v>1036</v>
      </c>
    </row>
    <row r="2100" customFormat="false" ht="12.8" hidden="false" customHeight="false" outlineLevel="0" collapsed="false">
      <c r="B2100" s="0" t="s">
        <v>333</v>
      </c>
    </row>
    <row r="2102" customFormat="false" ht="12.8" hidden="false" customHeight="false" outlineLevel="0" collapsed="false">
      <c r="A2102" s="0" t="s">
        <v>1037</v>
      </c>
      <c r="B2102" s="0" t="str">
        <f aca="false">HYPERLINK("https://lindat.mff.cuni.cz/services/teitok/pdtc10/index.php?action=vallex&amp;frame=v-w243f192_MM", "být (v-w243f192_MM)")</f>
        <v>být (v-w243f192_MM)</v>
      </c>
    </row>
    <row r="2103" customFormat="false" ht="12.8" hidden="false" customHeight="false" outlineLevel="0" collapsed="false">
      <c r="B2103" s="0" t="s">
        <v>7</v>
      </c>
    </row>
    <row r="2104" customFormat="false" ht="12.8" hidden="false" customHeight="false" outlineLevel="0" collapsed="false">
      <c r="B2104" s="0" t="s">
        <v>1038</v>
      </c>
    </row>
    <row r="2106" customFormat="false" ht="12.8" hidden="false" customHeight="false" outlineLevel="0" collapsed="false">
      <c r="A2106" s="0" t="s">
        <v>1039</v>
      </c>
      <c r="B2106" s="0" t="str">
        <f aca="false">HYPERLINK("https://lindat.mff.cuni.cz/services/teitok/pdtc10/index.php?action=vallex&amp;frame=v-w243f193_MM", "být (v-w243f193_MM)")</f>
        <v>být (v-w243f193_MM)</v>
      </c>
    </row>
    <row r="2107" customFormat="false" ht="12.8" hidden="false" customHeight="false" outlineLevel="0" collapsed="false">
      <c r="B2107" s="0" t="s">
        <v>698</v>
      </c>
    </row>
    <row r="2108" customFormat="false" ht="12.8" hidden="false" customHeight="false" outlineLevel="0" collapsed="false">
      <c r="B2108" s="0" t="s">
        <v>1040</v>
      </c>
    </row>
    <row r="2110" customFormat="false" ht="12.8" hidden="false" customHeight="false" outlineLevel="0" collapsed="false">
      <c r="A2110" s="0" t="s">
        <v>1041</v>
      </c>
      <c r="B2110" s="0" t="str">
        <f aca="false">HYPERLINK("https://lindat.mff.cuni.cz/services/teitok/pdtc10/index.php?action=vallex&amp;frame=v-w243f194_MM", "být (v-w243f194_MM)")</f>
        <v>být (v-w243f194_MM)</v>
      </c>
    </row>
    <row r="2111" customFormat="false" ht="12.8" hidden="false" customHeight="false" outlineLevel="0" collapsed="false">
      <c r="B2111" s="0" t="s">
        <v>7</v>
      </c>
    </row>
    <row r="2112" customFormat="false" ht="12.8" hidden="false" customHeight="false" outlineLevel="0" collapsed="false">
      <c r="B2112" s="0" t="s">
        <v>1042</v>
      </c>
    </row>
    <row r="2114" customFormat="false" ht="12.8" hidden="false" customHeight="false" outlineLevel="0" collapsed="false">
      <c r="A2114" s="0" t="s">
        <v>1043</v>
      </c>
      <c r="B2114" s="0" t="str">
        <f aca="false">HYPERLINK("https://lindat.mff.cuni.cz/services/teitok/pdtc10/index.php?action=vallex&amp;frame=v-whsa_1156hsa_1157", "být si (v-whsa_1156hsa_1157)")</f>
        <v>být si (v-whsa_1156hsa_1157)</v>
      </c>
    </row>
    <row r="2115" customFormat="false" ht="12.8" hidden="false" customHeight="false" outlineLevel="0" collapsed="false">
      <c r="B2115" s="0" t="s">
        <v>7</v>
      </c>
    </row>
    <row r="2116" customFormat="false" ht="12.8" hidden="false" customHeight="false" outlineLevel="0" collapsed="false">
      <c r="B2116" s="0" t="s">
        <v>548</v>
      </c>
    </row>
    <row r="2117" customFormat="false" ht="12.8" hidden="false" customHeight="false" outlineLevel="0" collapsed="false">
      <c r="B2117" s="0" t="s">
        <v>662</v>
      </c>
    </row>
    <row r="2119" customFormat="false" ht="12.8" hidden="false" customHeight="false" outlineLevel="0" collapsed="false">
      <c r="A2119" s="0" t="s">
        <v>1044</v>
      </c>
      <c r="B2119" s="0" t="str">
        <f aca="false">HYPERLINK("https://lindat.mff.cuni.cz/services/teitok/pdtc10/index.php?action=vallex&amp;frame=v-w245f20", "bývat (v-w245f20)")</f>
        <v>bývat (v-w245f20)</v>
      </c>
    </row>
    <row r="2120" customFormat="false" ht="12.8" hidden="false" customHeight="false" outlineLevel="0" collapsed="false">
      <c r="B2120" s="0" t="s">
        <v>7</v>
      </c>
    </row>
    <row r="2121" customFormat="false" ht="12.8" hidden="false" customHeight="false" outlineLevel="0" collapsed="false">
      <c r="B2121" s="0" t="s">
        <v>328</v>
      </c>
    </row>
    <row r="2122" customFormat="false" ht="12.8" hidden="false" customHeight="false" outlineLevel="0" collapsed="false">
      <c r="B2122" s="0" t="s">
        <v>637</v>
      </c>
    </row>
    <row r="2124" customFormat="false" ht="12.8" hidden="false" customHeight="false" outlineLevel="0" collapsed="false">
      <c r="A2124" s="0" t="s">
        <v>1045</v>
      </c>
      <c r="B2124" s="0" t="str">
        <f aca="false">HYPERLINK("https://lindat.mff.cuni.cz/services/teitok/pdtc10/index.php?action=vallex&amp;frame=v-w245f3", "bývat (v-w245f3)")</f>
        <v>bývat (v-w245f3)</v>
      </c>
    </row>
    <row r="2125" customFormat="false" ht="12.8" hidden="false" customHeight="false" outlineLevel="0" collapsed="false">
      <c r="B2125" s="0" t="s">
        <v>1046</v>
      </c>
      <c r="C2125" s="0" t="s">
        <v>1047</v>
      </c>
      <c r="D2125" s="0" t="s">
        <v>1048</v>
      </c>
      <c r="E2125" s="0" t="s">
        <v>1048</v>
      </c>
      <c r="F2125" s="0" t="s">
        <v>1048</v>
      </c>
    </row>
    <row r="2126" customFormat="false" ht="12.8" hidden="false" customHeight="false" outlineLevel="0" collapsed="false">
      <c r="B2126" s="0" t="s">
        <v>1049</v>
      </c>
      <c r="C2126" s="0" t="s">
        <v>1050</v>
      </c>
      <c r="D2126" s="0" t="s">
        <v>1051</v>
      </c>
      <c r="E2126" s="0" t="s">
        <v>1051</v>
      </c>
      <c r="F2126" s="0" t="s">
        <v>1051</v>
      </c>
    </row>
    <row r="2128" customFormat="false" ht="12.8" hidden="false" customHeight="false" outlineLevel="0" collapsed="false">
      <c r="A2128" s="0" t="s">
        <v>1052</v>
      </c>
      <c r="B2128" s="0" t="str">
        <f aca="false">HYPERLINK("https://lindat.mff.cuni.cz/services/teitok/pdtc10/index.php?action=vallex&amp;frame=v-w245f15", "bývat (v-w245f15)")</f>
        <v>bývat (v-w245f15)</v>
      </c>
    </row>
    <row r="2129" customFormat="false" ht="12.8" hidden="false" customHeight="false" outlineLevel="0" collapsed="false">
      <c r="B2129" s="0" t="s">
        <v>7</v>
      </c>
    </row>
    <row r="2130" customFormat="false" ht="12.8" hidden="false" customHeight="false" outlineLevel="0" collapsed="false">
      <c r="B2130" s="0" t="s">
        <v>142</v>
      </c>
    </row>
    <row r="2132" customFormat="false" ht="12.8" hidden="false" customHeight="false" outlineLevel="0" collapsed="false">
      <c r="A2132" s="0" t="s">
        <v>1053</v>
      </c>
      <c r="B2132" s="0" t="str">
        <f aca="false">HYPERLINK("https://lindat.mff.cuni.cz/services/teitok/pdtc10/index.php?action=vallex&amp;frame=v-w245f24", "bývat (v-w245f24)")</f>
        <v>bývat (v-w245f24)</v>
      </c>
    </row>
    <row r="2133" customFormat="false" ht="12.8" hidden="false" customHeight="false" outlineLevel="0" collapsed="false">
      <c r="B2133" s="0" t="s">
        <v>7</v>
      </c>
    </row>
    <row r="2134" customFormat="false" ht="12.8" hidden="false" customHeight="false" outlineLevel="0" collapsed="false">
      <c r="B2134" s="0" t="s">
        <v>220</v>
      </c>
    </row>
    <row r="2136" customFormat="false" ht="12.8" hidden="false" customHeight="false" outlineLevel="0" collapsed="false">
      <c r="A2136" s="0" t="s">
        <v>1054</v>
      </c>
      <c r="B2136" s="0" t="str">
        <f aca="false">HYPERLINK("https://lindat.mff.cuni.cz/services/teitok/pdtc10/index.php?action=vallex&amp;frame=v-w245f6", "bývat (v-w245f6)")</f>
        <v>bývat (v-w245f6)</v>
      </c>
    </row>
    <row r="2137" customFormat="false" ht="12.8" hidden="false" customHeight="false" outlineLevel="0" collapsed="false">
      <c r="B2137" s="0" t="s">
        <v>603</v>
      </c>
    </row>
    <row r="2138" customFormat="false" ht="12.8" hidden="false" customHeight="false" outlineLevel="0" collapsed="false">
      <c r="B2138" s="0" t="s">
        <v>328</v>
      </c>
    </row>
    <row r="2140" customFormat="false" ht="12.8" hidden="false" customHeight="false" outlineLevel="0" collapsed="false">
      <c r="A2140" s="0" t="s">
        <v>1055</v>
      </c>
      <c r="B2140" s="0" t="str">
        <f aca="false">HYPERLINK("https://lindat.mff.cuni.cz/services/teitok/pdtc10/index.php?action=vallex&amp;frame=v-w245f8", "bývat (v-w245f8)")</f>
        <v>bývat (v-w245f8)</v>
      </c>
    </row>
    <row r="2141" customFormat="false" ht="12.8" hidden="false" customHeight="false" outlineLevel="0" collapsed="false">
      <c r="B2141" s="0" t="s">
        <v>7</v>
      </c>
    </row>
    <row r="2142" customFormat="false" ht="12.8" hidden="false" customHeight="false" outlineLevel="0" collapsed="false">
      <c r="B2142" s="0" t="s">
        <v>1056</v>
      </c>
    </row>
    <row r="2144" customFormat="false" ht="12.8" hidden="false" customHeight="false" outlineLevel="0" collapsed="false">
      <c r="A2144" s="0" t="s">
        <v>1057</v>
      </c>
      <c r="B2144" s="0" t="str">
        <f aca="false">HYPERLINK("https://lindat.mff.cuni.cz/services/teitok/pdtc10/index.php?action=vallex&amp;frame=v-w245f9", "bývat (v-w245f9)")</f>
        <v>bývat (v-w245f9)</v>
      </c>
    </row>
    <row r="2145" customFormat="false" ht="12.8" hidden="false" customHeight="false" outlineLevel="0" collapsed="false">
      <c r="B2145" s="0" t="s">
        <v>7</v>
      </c>
    </row>
    <row r="2146" customFormat="false" ht="12.8" hidden="false" customHeight="false" outlineLevel="0" collapsed="false">
      <c r="B2146" s="0" t="s">
        <v>637</v>
      </c>
    </row>
    <row r="2148" customFormat="false" ht="12.8" hidden="false" customHeight="false" outlineLevel="0" collapsed="false">
      <c r="A2148" s="0" t="s">
        <v>1058</v>
      </c>
      <c r="B2148" s="0" t="str">
        <f aca="false">HYPERLINK("https://lindat.mff.cuni.cz/services/teitok/pdtc10/index.php?action=vallex&amp;frame=v-w245f4", "bývat (v-w245f4)")</f>
        <v>bývat (v-w245f4)</v>
      </c>
    </row>
    <row r="2149" customFormat="false" ht="12.8" hidden="false" customHeight="false" outlineLevel="0" collapsed="false">
      <c r="B2149" s="0" t="s">
        <v>7</v>
      </c>
    </row>
    <row r="2150" customFormat="false" ht="12.8" hidden="false" customHeight="false" outlineLevel="0" collapsed="false">
      <c r="B2150" s="0" t="s">
        <v>1059</v>
      </c>
    </row>
    <row r="2152" customFormat="false" ht="12.8" hidden="false" customHeight="false" outlineLevel="0" collapsed="false">
      <c r="A2152" s="0" t="s">
        <v>1060</v>
      </c>
      <c r="B2152" s="0" t="str">
        <f aca="false">HYPERLINK("https://lindat.mff.cuni.cz/services/teitok/pdtc10/index.php?action=vallex&amp;frame=v-w245f12", "bývat (v-w245f12)")</f>
        <v>bývat (v-w245f12)</v>
      </c>
    </row>
    <row r="2153" customFormat="false" ht="12.8" hidden="false" customHeight="false" outlineLevel="0" collapsed="false">
      <c r="B2153" s="0" t="s">
        <v>7</v>
      </c>
    </row>
    <row r="2154" customFormat="false" ht="12.8" hidden="false" customHeight="false" outlineLevel="0" collapsed="false">
      <c r="B2154" s="0" t="s">
        <v>11</v>
      </c>
    </row>
    <row r="2156" customFormat="false" ht="12.8" hidden="false" customHeight="false" outlineLevel="0" collapsed="false">
      <c r="A2156" s="0" t="s">
        <v>1061</v>
      </c>
      <c r="B2156" s="0" t="str">
        <f aca="false">HYPERLINK("https://lindat.mff.cuni.cz/services/teitok/pdtc10/index.php?action=vallex&amp;frame=v-w245f13", "bývat (v-w245f13)")</f>
        <v>bývat (v-w245f13)</v>
      </c>
    </row>
    <row r="2157" customFormat="false" ht="12.8" hidden="false" customHeight="false" outlineLevel="0" collapsed="false">
      <c r="B2157" s="0" t="s">
        <v>7</v>
      </c>
    </row>
    <row r="2158" customFormat="false" ht="12.8" hidden="false" customHeight="false" outlineLevel="0" collapsed="false">
      <c r="B2158" s="0" t="s">
        <v>676</v>
      </c>
    </row>
    <row r="2160" customFormat="false" ht="12.8" hidden="false" customHeight="false" outlineLevel="0" collapsed="false">
      <c r="A2160" s="0" t="s">
        <v>1062</v>
      </c>
      <c r="B2160" s="0" t="str">
        <f aca="false">HYPERLINK("https://lindat.mff.cuni.cz/services/teitok/pdtc10/index.php?action=vallex&amp;frame=v-w245f7", "bývat (v-w245f7)")</f>
        <v>bývat (v-w245f7)</v>
      </c>
    </row>
    <row r="2161" customFormat="false" ht="12.8" hidden="false" customHeight="false" outlineLevel="0" collapsed="false">
      <c r="B2161" s="0" t="s">
        <v>603</v>
      </c>
    </row>
    <row r="2162" customFormat="false" ht="12.8" hidden="false" customHeight="false" outlineLevel="0" collapsed="false">
      <c r="B2162" s="0" t="s">
        <v>662</v>
      </c>
    </row>
    <row r="2164" customFormat="false" ht="12.8" hidden="false" customHeight="false" outlineLevel="0" collapsed="false">
      <c r="A2164" s="0" t="s">
        <v>1063</v>
      </c>
      <c r="B2164" s="0" t="str">
        <f aca="false">HYPERLINK("https://lindat.mff.cuni.cz/services/teitok/pdtc10/index.php?action=vallex&amp;frame=v-w245f11", "bývat (v-w245f11)")</f>
        <v>bývat (v-w245f11)</v>
      </c>
    </row>
    <row r="2165" customFormat="false" ht="12.8" hidden="false" customHeight="false" outlineLevel="0" collapsed="false">
      <c r="B2165" s="0" t="s">
        <v>7</v>
      </c>
    </row>
    <row r="2166" customFormat="false" ht="12.8" hidden="false" customHeight="false" outlineLevel="0" collapsed="false">
      <c r="B2166" s="0" t="s">
        <v>1064</v>
      </c>
    </row>
    <row r="2168" customFormat="false" ht="12.8" hidden="false" customHeight="false" outlineLevel="0" collapsed="false">
      <c r="A2168" s="0" t="s">
        <v>1065</v>
      </c>
      <c r="B2168" s="0" t="str">
        <f aca="false">HYPERLINK("https://lindat.mff.cuni.cz/services/teitok/pdtc10/index.php?action=vallex&amp;frame=v-w245f22", "bývat (v-w245f22)")</f>
        <v>bývat (v-w245f22)</v>
      </c>
    </row>
    <row r="2169" customFormat="false" ht="12.8" hidden="false" customHeight="false" outlineLevel="0" collapsed="false">
      <c r="B2169" s="0" t="s">
        <v>1066</v>
      </c>
      <c r="C2169" s="0" t="s">
        <v>1067</v>
      </c>
    </row>
    <row r="2171" customFormat="false" ht="12.8" hidden="false" customHeight="false" outlineLevel="0" collapsed="false">
      <c r="A2171" s="0" t="s">
        <v>1068</v>
      </c>
      <c r="B2171" s="0" t="str">
        <f aca="false">HYPERLINK("https://lindat.mff.cuni.cz/services/teitok/pdtc10/index.php?action=vallex&amp;frame=v-w245f1", "bývat (v-w245f1)")</f>
        <v>bývat (v-w245f1)</v>
      </c>
    </row>
    <row r="2172" customFormat="false" ht="12.8" hidden="false" customHeight="false" outlineLevel="0" collapsed="false">
      <c r="B2172" s="0" t="s">
        <v>1069</v>
      </c>
    </row>
    <row r="2174" customFormat="false" ht="12.8" hidden="false" customHeight="false" outlineLevel="0" collapsed="false">
      <c r="A2174" s="0" t="s">
        <v>1070</v>
      </c>
      <c r="B2174" s="0" t="str">
        <f aca="false">HYPERLINK("https://lindat.mff.cuni.cz/services/teitok/pdtc10/index.php?action=vallex&amp;frame=v-w245f2", "bývat (v-w245f2)")</f>
        <v>bývat (v-w245f2)</v>
      </c>
    </row>
    <row r="2175" customFormat="false" ht="12.8" hidden="false" customHeight="false" outlineLevel="0" collapsed="false">
      <c r="B2175" s="0" t="s">
        <v>265</v>
      </c>
    </row>
    <row r="2177" customFormat="false" ht="12.8" hidden="false" customHeight="false" outlineLevel="0" collapsed="false">
      <c r="A2177" s="0" t="s">
        <v>1071</v>
      </c>
      <c r="B2177" s="0" t="str">
        <f aca="false">HYPERLINK("https://lindat.mff.cuni.cz/services/teitok/pdtc10/index.php?action=vallex&amp;frame=v-w245f10", "bývat (v-w245f10)")</f>
        <v>bývat (v-w245f10)</v>
      </c>
    </row>
    <row r="2178" customFormat="false" ht="12.8" hidden="false" customHeight="false" outlineLevel="0" collapsed="false">
      <c r="B2178" s="0" t="s">
        <v>671</v>
      </c>
    </row>
    <row r="2180" customFormat="false" ht="12.8" hidden="false" customHeight="false" outlineLevel="0" collapsed="false">
      <c r="A2180" s="0" t="s">
        <v>1072</v>
      </c>
      <c r="B2180" s="0" t="str">
        <f aca="false">HYPERLINK("https://lindat.mff.cuni.cz/services/teitok/pdtc10/index.php?action=vallex&amp;frame=v-w245f19", "bývat (v-w245f19)")</f>
        <v>bývat (v-w245f19)</v>
      </c>
    </row>
    <row r="2181" customFormat="false" ht="12.8" hidden="false" customHeight="false" outlineLevel="0" collapsed="false">
      <c r="B2181" s="0" t="s">
        <v>674</v>
      </c>
    </row>
    <row r="2183" customFormat="false" ht="12.8" hidden="false" customHeight="false" outlineLevel="0" collapsed="false">
      <c r="A2183" s="0" t="s">
        <v>1073</v>
      </c>
      <c r="B2183" s="0" t="str">
        <f aca="false">HYPERLINK("https://lindat.mff.cuni.cz/services/teitok/pdtc10/index.php?action=vallex&amp;frame=v-w245f5", "bývat (v-w245f5)")</f>
        <v>bývat (v-w245f5)</v>
      </c>
    </row>
    <row r="2184" customFormat="false" ht="12.8" hidden="false" customHeight="false" outlineLevel="0" collapsed="false">
      <c r="B2184" s="0" t="s">
        <v>662</v>
      </c>
    </row>
    <row r="2186" customFormat="false" ht="12.8" hidden="false" customHeight="false" outlineLevel="0" collapsed="false">
      <c r="A2186" s="0" t="s">
        <v>1074</v>
      </c>
      <c r="B2186" s="0" t="str">
        <f aca="false">HYPERLINK("https://lindat.mff.cuni.cz/services/teitok/pdtc10/index.php?action=vallex&amp;frame=v-w245f14", "bývat (v-w245f14)")</f>
        <v>bývat (v-w245f14)</v>
      </c>
    </row>
    <row r="2187" customFormat="false" ht="12.8" hidden="false" customHeight="false" outlineLevel="0" collapsed="false">
      <c r="B2187" s="0" t="s">
        <v>679</v>
      </c>
    </row>
    <row r="2189" customFormat="false" ht="12.8" hidden="false" customHeight="false" outlineLevel="0" collapsed="false">
      <c r="A2189" s="0" t="s">
        <v>1075</v>
      </c>
      <c r="B2189" s="0" t="str">
        <f aca="false">HYPERLINK("https://lindat.mff.cuni.cz/services/teitok/pdtc10/index.php?action=vallex&amp;frame=v-w245f21", "bývat (v-w245f21)")</f>
        <v>bývat (v-w245f21)</v>
      </c>
    </row>
    <row r="2190" customFormat="false" ht="12.8" hidden="false" customHeight="false" outlineLevel="0" collapsed="false">
      <c r="B2190" s="0" t="s">
        <v>681</v>
      </c>
    </row>
    <row r="2192" customFormat="false" ht="12.8" hidden="false" customHeight="false" outlineLevel="0" collapsed="false">
      <c r="A2192" s="0" t="s">
        <v>1076</v>
      </c>
      <c r="B2192" s="0" t="str">
        <f aca="false">HYPERLINK("https://lindat.mff.cuni.cz/services/teitok/pdtc10/index.php?action=vallex&amp;frame=v-w245f16", "bývat (v-w245f16)")</f>
        <v>bývat (v-w245f16)</v>
      </c>
    </row>
    <row r="2193" customFormat="false" ht="12.8" hidden="false" customHeight="false" outlineLevel="0" collapsed="false">
      <c r="B2193" s="0" t="s">
        <v>1077</v>
      </c>
    </row>
    <row r="2194" customFormat="false" ht="12.8" hidden="false" customHeight="false" outlineLevel="0" collapsed="false">
      <c r="B2194" s="0" t="s">
        <v>1078</v>
      </c>
    </row>
    <row r="2195" customFormat="false" ht="12.8" hidden="false" customHeight="false" outlineLevel="0" collapsed="false">
      <c r="B2195" s="0" t="s">
        <v>48</v>
      </c>
    </row>
    <row r="2197" customFormat="false" ht="12.8" hidden="false" customHeight="false" outlineLevel="0" collapsed="false">
      <c r="A2197" s="0" t="s">
        <v>1079</v>
      </c>
      <c r="B2197" s="0" t="str">
        <f aca="false">HYPERLINK("https://lindat.mff.cuni.cz/services/teitok/pdtc10/index.php?action=vallex&amp;frame=v-w245f17", "bývat (v-w245f17)")</f>
        <v>bývat (v-w245f17)</v>
      </c>
    </row>
    <row r="2198" customFormat="false" ht="12.8" hidden="false" customHeight="false" outlineLevel="0" collapsed="false">
      <c r="B2198" s="0" t="s">
        <v>1080</v>
      </c>
    </row>
    <row r="2199" customFormat="false" ht="12.8" hidden="false" customHeight="false" outlineLevel="0" collapsed="false">
      <c r="B2199" s="0" t="s">
        <v>1081</v>
      </c>
    </row>
    <row r="2201" customFormat="false" ht="12.8" hidden="false" customHeight="false" outlineLevel="0" collapsed="false">
      <c r="A2201" s="0" t="s">
        <v>1082</v>
      </c>
      <c r="B2201" s="0" t="str">
        <f aca="false">HYPERLINK("https://lindat.mff.cuni.cz/services/teitok/pdtc10/index.php?action=vallex&amp;frame=v-w245f18", "bývat (v-w245f18)")</f>
        <v>bývat (v-w245f18)</v>
      </c>
    </row>
    <row r="2202" customFormat="false" ht="12.8" hidden="false" customHeight="false" outlineLevel="0" collapsed="false">
      <c r="B2202" s="0" t="s">
        <v>1083</v>
      </c>
    </row>
    <row r="2203" customFormat="false" ht="12.8" hidden="false" customHeight="false" outlineLevel="0" collapsed="false">
      <c r="B2203" s="0" t="s">
        <v>1084</v>
      </c>
    </row>
    <row r="2205" customFormat="false" ht="12.8" hidden="false" customHeight="false" outlineLevel="0" collapsed="false">
      <c r="A2205" s="0" t="s">
        <v>1085</v>
      </c>
      <c r="B2205" s="0" t="str">
        <f aca="false">HYPERLINK("https://lindat.mff.cuni.cz/services/teitok/pdtc10/index.php?action=vallex&amp;frame=v-w245f23", "bývat (v-w245f23)")</f>
        <v>bývat (v-w245f23)</v>
      </c>
    </row>
    <row r="2206" customFormat="false" ht="12.8" hidden="false" customHeight="false" outlineLevel="0" collapsed="false">
      <c r="B2206" s="0" t="s">
        <v>603</v>
      </c>
    </row>
    <row r="2207" customFormat="false" ht="12.8" hidden="false" customHeight="false" outlineLevel="0" collapsed="false">
      <c r="B2207" s="0" t="s">
        <v>1086</v>
      </c>
    </row>
    <row r="2208" customFormat="false" ht="12.8" hidden="false" customHeight="false" outlineLevel="0" collapsed="false">
      <c r="B2208" s="0" t="s">
        <v>1087</v>
      </c>
    </row>
    <row r="2210" customFormat="false" ht="12.8" hidden="false" customHeight="false" outlineLevel="0" collapsed="false">
      <c r="A2210" s="0" t="s">
        <v>1088</v>
      </c>
      <c r="B2210" s="0" t="str">
        <f aca="false">HYPERLINK("https://lindat.mff.cuni.cz/services/teitok/pdtc10/index.php?action=vallex&amp;frame=v-w246f1", "bývávat (v-w246f1)")</f>
        <v>bývávat (v-w246f1)</v>
      </c>
    </row>
    <row r="2211" customFormat="false" ht="12.8" hidden="false" customHeight="false" outlineLevel="0" collapsed="false">
      <c r="B2211" s="0" t="s">
        <v>1046</v>
      </c>
    </row>
    <row r="2212" customFormat="false" ht="12.8" hidden="false" customHeight="false" outlineLevel="0" collapsed="false">
      <c r="B2212" s="0" t="s">
        <v>1049</v>
      </c>
    </row>
    <row r="2214" customFormat="false" ht="12.8" hidden="false" customHeight="false" outlineLevel="0" collapsed="false">
      <c r="A2214" s="0" t="s">
        <v>1089</v>
      </c>
      <c r="B2214" s="0" t="str">
        <f aca="false">HYPERLINK("https://lindat.mff.cuni.cz/services/teitok/pdtc10/index.php?action=vallex&amp;frame=v-w246f2_ZU", "bývávat (v-w246f2_ZU)")</f>
        <v>bývávat (v-w246f2_ZU)</v>
      </c>
    </row>
    <row r="2215" customFormat="false" ht="12.8" hidden="false" customHeight="false" outlineLevel="0" collapsed="false">
      <c r="B2215" s="0" t="s">
        <v>1069</v>
      </c>
    </row>
    <row r="2217" customFormat="false" ht="12.8" hidden="false" customHeight="false" outlineLevel="0" collapsed="false">
      <c r="A2217" s="0" t="s">
        <v>1089</v>
      </c>
      <c r="B2217" s="0" t="str">
        <f aca="false">HYPERLINK("https://lindat.mff.cuni.cz/services/teitok/pdtc10/index.php?action=vallex&amp;frame=v-w246hsa_1226", "bývávat (v-w246hsa_1226) - substituted with v-w246f2_ZU")</f>
        <v>bývávat (v-w246hsa_1226) - substituted with v-w246f2_ZU</v>
      </c>
    </row>
    <row r="2218" customFormat="false" ht="12.8" hidden="false" customHeight="false" outlineLevel="0" collapsed="false">
      <c r="B2218" s="0" t="s">
        <v>1069</v>
      </c>
    </row>
    <row r="2220" customFormat="false" ht="12.8" hidden="false" customHeight="false" outlineLevel="0" collapsed="false">
      <c r="A2220" s="0" t="s">
        <v>1090</v>
      </c>
      <c r="B2220" s="0" t="str">
        <f aca="false">HYPERLINK("https://lindat.mff.cuni.cz/services/teitok/pdtc10/index.php?action=vallex&amp;frame=v-w133hsa_358", "bědovat (v-w133hsa_358)")</f>
        <v>bědovat (v-w133hsa_358)</v>
      </c>
    </row>
    <row r="2221" customFormat="false" ht="12.8" hidden="false" customHeight="false" outlineLevel="0" collapsed="false">
      <c r="B2221" s="0" t="s">
        <v>7</v>
      </c>
      <c r="C2221" s="0" t="s">
        <v>46</v>
      </c>
      <c r="D2221" s="0" t="s">
        <v>1091</v>
      </c>
      <c r="E2221" s="0" t="s">
        <v>1091</v>
      </c>
      <c r="F2221" s="0" t="s">
        <v>1091</v>
      </c>
    </row>
    <row r="2222" customFormat="false" ht="12.8" hidden="false" customHeight="false" outlineLevel="0" collapsed="false">
      <c r="B2222" s="0" t="s">
        <v>1092</v>
      </c>
      <c r="C2222" s="0" t="s">
        <v>155</v>
      </c>
      <c r="D2222" s="0" t="s">
        <v>1093</v>
      </c>
      <c r="E2222" s="0" t="s">
        <v>1093</v>
      </c>
      <c r="F2222" s="0" t="s">
        <v>1093</v>
      </c>
    </row>
    <row r="2224" customFormat="false" ht="12.8" hidden="false" customHeight="false" outlineLevel="0" collapsed="false">
      <c r="A2224" s="0" t="s">
        <v>1090</v>
      </c>
      <c r="B2224" s="0" t="str">
        <f aca="false">HYPERLINK("https://lindat.mff.cuni.cz/services/teitok/pdtc10/index.php?action=vallex&amp;frame=v-w133f1", "bědovat (v-w133f1) - substituted with v-w133hsa_358")</f>
        <v>bědovat (v-w133f1) - substituted with v-w133hsa_358</v>
      </c>
    </row>
    <row r="2225" customFormat="false" ht="12.8" hidden="false" customHeight="false" outlineLevel="0" collapsed="false">
      <c r="B2225" s="0" t="s">
        <v>7</v>
      </c>
    </row>
    <row r="2226" customFormat="false" ht="12.8" hidden="false" customHeight="false" outlineLevel="0" collapsed="false">
      <c r="B2226" s="0" t="s">
        <v>1092</v>
      </c>
    </row>
    <row r="2228" customFormat="false" ht="12.8" hidden="false" customHeight="false" outlineLevel="0" collapsed="false">
      <c r="A2228" s="0" t="s">
        <v>1094</v>
      </c>
      <c r="B2228" s="0" t="str">
        <f aca="false">HYPERLINK("https://lindat.mff.cuni.cz/services/teitok/pdtc10/index.php?action=vallex&amp;frame=v-w136f4", "běhat (v-w136f4)")</f>
        <v>běhat (v-w136f4)</v>
      </c>
    </row>
    <row r="2229" customFormat="false" ht="12.8" hidden="false" customHeight="false" outlineLevel="0" collapsed="false">
      <c r="B2229" s="0" t="s">
        <v>7</v>
      </c>
    </row>
    <row r="2230" customFormat="false" ht="12.8" hidden="false" customHeight="false" outlineLevel="0" collapsed="false">
      <c r="B2230" s="0" t="s">
        <v>14</v>
      </c>
    </row>
    <row r="2232" customFormat="false" ht="12.8" hidden="false" customHeight="false" outlineLevel="0" collapsed="false">
      <c r="A2232" s="0" t="s">
        <v>1095</v>
      </c>
      <c r="B2232" s="0" t="str">
        <f aca="false">HYPERLINK("https://lindat.mff.cuni.cz/services/teitok/pdtc10/index.php?action=vallex&amp;frame=v-w136f5_ZU", "běhat (v-w136f5_ZU)")</f>
        <v>běhat (v-w136f5_ZU)</v>
      </c>
    </row>
    <row r="2233" customFormat="false" ht="12.8" hidden="false" customHeight="false" outlineLevel="0" collapsed="false">
      <c r="B2233" s="0" t="s">
        <v>7</v>
      </c>
    </row>
    <row r="2235" customFormat="false" ht="12.8" hidden="false" customHeight="false" outlineLevel="0" collapsed="false">
      <c r="A2235" s="0" t="s">
        <v>1095</v>
      </c>
      <c r="B2235" s="0" t="str">
        <f aca="false">HYPERLINK("https://lindat.mff.cuni.cz/services/teitok/pdtc10/index.php?action=vallex&amp;frame=v-w136f2", "běhat (v-w136f2) - substituted with v-w136f5_ZU")</f>
        <v>běhat (v-w136f2) - substituted with v-w136f5_ZU</v>
      </c>
    </row>
    <row r="2236" customFormat="false" ht="12.8" hidden="false" customHeight="false" outlineLevel="0" collapsed="false">
      <c r="B2236" s="0" t="s">
        <v>7</v>
      </c>
      <c r="C2236" s="0" t="s">
        <v>46</v>
      </c>
      <c r="D2236" s="0" t="s">
        <v>184</v>
      </c>
      <c r="E2236" s="0" t="s">
        <v>184</v>
      </c>
      <c r="F2236" s="0" t="s">
        <v>184</v>
      </c>
    </row>
    <row r="2238" customFormat="false" ht="12.8" hidden="false" customHeight="false" outlineLevel="0" collapsed="false">
      <c r="A2238" s="0" t="s">
        <v>1096</v>
      </c>
      <c r="B2238" s="0" t="str">
        <f aca="false">HYPERLINK("https://lindat.mff.cuni.cz/services/teitok/pdtc10/index.php?action=vallex&amp;frame=v-w136f3", "běhat (v-w136f3)")</f>
        <v>běhat (v-w136f3)</v>
      </c>
    </row>
    <row r="2239" customFormat="false" ht="12.8" hidden="false" customHeight="false" outlineLevel="0" collapsed="false">
      <c r="B2239" s="0" t="s">
        <v>7</v>
      </c>
      <c r="D2239" s="0" t="s">
        <v>868</v>
      </c>
      <c r="E2239" s="0" t="s">
        <v>868</v>
      </c>
      <c r="F2239" s="0" t="s">
        <v>868</v>
      </c>
    </row>
    <row r="2241" customFormat="false" ht="12.8" hidden="false" customHeight="false" outlineLevel="0" collapsed="false">
      <c r="A2241" s="0" t="s">
        <v>1097</v>
      </c>
      <c r="B2241" s="0" t="str">
        <f aca="false">HYPERLINK("https://lindat.mff.cuni.cz/services/teitok/pdtc10/index.php?action=vallex&amp;frame=v-w136f1", "běhat (v-w136f1)")</f>
        <v>běhat (v-w136f1)</v>
      </c>
    </row>
    <row r="2242" customFormat="false" ht="12.8" hidden="false" customHeight="false" outlineLevel="0" collapsed="false">
      <c r="B2242" s="0" t="s">
        <v>603</v>
      </c>
    </row>
    <row r="2243" customFormat="false" ht="12.8" hidden="false" customHeight="false" outlineLevel="0" collapsed="false">
      <c r="B2243" s="0" t="s">
        <v>1098</v>
      </c>
    </row>
    <row r="2245" customFormat="false" ht="12.8" hidden="false" customHeight="false" outlineLevel="0" collapsed="false">
      <c r="A2245" s="0" t="s">
        <v>1099</v>
      </c>
      <c r="B2245" s="0" t="str">
        <f aca="false">HYPERLINK("https://lindat.mff.cuni.cz/services/teitok/pdtc10/index.php?action=vallex&amp;frame=v-w136hsa_274", "běhat (v-w136hsa_274)")</f>
        <v>běhat (v-w136hsa_274)</v>
      </c>
    </row>
    <row r="2246" customFormat="false" ht="12.8" hidden="false" customHeight="false" outlineLevel="0" collapsed="false">
      <c r="B2246" s="0" t="s">
        <v>7</v>
      </c>
    </row>
    <row r="2247" customFormat="false" ht="12.8" hidden="false" customHeight="false" outlineLevel="0" collapsed="false">
      <c r="B2247" s="0" t="s">
        <v>124</v>
      </c>
    </row>
    <row r="2249" customFormat="false" ht="12.8" hidden="false" customHeight="false" outlineLevel="0" collapsed="false">
      <c r="A2249" s="0" t="s">
        <v>1100</v>
      </c>
      <c r="B2249" s="0" t="str">
        <f aca="false">HYPERLINK("https://lindat.mff.cuni.cz/services/teitok/pdtc10/index.php?action=vallex&amp;frame=v-whsa_1946hsa_1947", "bělat se (v-whsa_1946hsa_1947)")</f>
        <v>bělat se (v-whsa_1946hsa_1947)</v>
      </c>
    </row>
    <row r="2250" customFormat="false" ht="12.8" hidden="false" customHeight="false" outlineLevel="0" collapsed="false">
      <c r="B2250" s="0" t="s">
        <v>7</v>
      </c>
    </row>
    <row r="2252" customFormat="false" ht="12.8" hidden="false" customHeight="false" outlineLevel="0" collapsed="false">
      <c r="A2252" s="0" t="s">
        <v>1101</v>
      </c>
      <c r="B2252" s="0" t="str">
        <f aca="false">HYPERLINK("https://lindat.mff.cuni.cz/services/teitok/pdtc10/index.php?action=vallex&amp;frame=v-w146f2", "běžet (v-w146f2)")</f>
        <v>běžet (v-w146f2)</v>
      </c>
    </row>
    <row r="2253" customFormat="false" ht="12.8" hidden="false" customHeight="false" outlineLevel="0" collapsed="false">
      <c r="B2253" s="0" t="s">
        <v>7</v>
      </c>
    </row>
    <row r="2254" customFormat="false" ht="12.8" hidden="false" customHeight="false" outlineLevel="0" collapsed="false">
      <c r="B2254" s="0" t="s">
        <v>14</v>
      </c>
    </row>
    <row r="2256" customFormat="false" ht="12.8" hidden="false" customHeight="false" outlineLevel="0" collapsed="false">
      <c r="A2256" s="0" t="s">
        <v>1102</v>
      </c>
      <c r="B2256" s="0" t="str">
        <f aca="false">HYPERLINK("https://lindat.mff.cuni.cz/services/teitok/pdtc10/index.php?action=vallex&amp;frame=v-w146f7", "běžet (v-w146f7)")</f>
        <v>běžet (v-w146f7)</v>
      </c>
    </row>
    <row r="2257" customFormat="false" ht="12.8" hidden="false" customHeight="false" outlineLevel="0" collapsed="false">
      <c r="B2257" s="0" t="s">
        <v>603</v>
      </c>
    </row>
    <row r="2258" customFormat="false" ht="12.8" hidden="false" customHeight="false" outlineLevel="0" collapsed="false">
      <c r="B2258" s="0" t="s">
        <v>615</v>
      </c>
    </row>
    <row r="2260" customFormat="false" ht="12.8" hidden="false" customHeight="false" outlineLevel="0" collapsed="false">
      <c r="A2260" s="0" t="s">
        <v>1103</v>
      </c>
      <c r="B2260" s="0" t="str">
        <f aca="false">HYPERLINK("https://lindat.mff.cuni.cz/services/teitok/pdtc10/index.php?action=vallex&amp;frame=v-w146f9_ZU", "běžet (v-w146f9_ZU)")</f>
        <v>běžet (v-w146f9_ZU)</v>
      </c>
    </row>
    <row r="2261" customFormat="false" ht="12.8" hidden="false" customHeight="false" outlineLevel="0" collapsed="false">
      <c r="B2261" s="0" t="s">
        <v>7</v>
      </c>
    </row>
    <row r="2262" customFormat="false" ht="12.8" hidden="false" customHeight="false" outlineLevel="0" collapsed="false">
      <c r="B2262" s="0" t="s">
        <v>124</v>
      </c>
    </row>
    <row r="2264" customFormat="false" ht="12.8" hidden="false" customHeight="false" outlineLevel="0" collapsed="false">
      <c r="A2264" s="0" t="s">
        <v>1103</v>
      </c>
      <c r="B2264" s="0" t="str">
        <f aca="false">HYPERLINK("https://lindat.mff.cuni.cz/services/teitok/pdtc10/index.php?action=vallex&amp;frame=v-w146f4", "běžet (v-w146f4) - substituted with v-w146f9_ZU")</f>
        <v>běžet (v-w146f4) - substituted with v-w146f9_ZU</v>
      </c>
    </row>
    <row r="2265" customFormat="false" ht="12.8" hidden="false" customHeight="false" outlineLevel="0" collapsed="false">
      <c r="B2265" s="0" t="s">
        <v>7</v>
      </c>
      <c r="C2265" s="0" t="s">
        <v>1104</v>
      </c>
      <c r="D2265" s="0" t="s">
        <v>73</v>
      </c>
      <c r="E2265" s="0" t="s">
        <v>73</v>
      </c>
      <c r="F2265" s="0" t="s">
        <v>73</v>
      </c>
    </row>
    <row r="2266" customFormat="false" ht="12.8" hidden="false" customHeight="false" outlineLevel="0" collapsed="false">
      <c r="B2266" s="0" t="s">
        <v>124</v>
      </c>
      <c r="C2266" s="0" t="s">
        <v>1105</v>
      </c>
    </row>
    <row r="2268" customFormat="false" ht="12.8" hidden="false" customHeight="false" outlineLevel="0" collapsed="false">
      <c r="A2268" s="0" t="s">
        <v>1106</v>
      </c>
      <c r="B2268" s="0" t="str">
        <f aca="false">HYPERLINK("https://lindat.mff.cuni.cz/services/teitok/pdtc10/index.php?action=vallex&amp;frame=v-w146f1", "běžet (v-w146f1)")</f>
        <v>běžet (v-w146f1)</v>
      </c>
    </row>
    <row r="2269" customFormat="false" ht="12.8" hidden="false" customHeight="false" outlineLevel="0" collapsed="false">
      <c r="B2269" s="0" t="s">
        <v>7</v>
      </c>
      <c r="C2269" s="0" t="s">
        <v>1107</v>
      </c>
      <c r="D2269" s="0" t="s">
        <v>1108</v>
      </c>
      <c r="E2269" s="0" t="s">
        <v>1108</v>
      </c>
      <c r="F2269" s="0" t="s">
        <v>1109</v>
      </c>
    </row>
    <row r="2271" customFormat="false" ht="12.8" hidden="false" customHeight="false" outlineLevel="0" collapsed="false">
      <c r="A2271" s="0" t="s">
        <v>1110</v>
      </c>
      <c r="B2271" s="0" t="str">
        <f aca="false">HYPERLINK("https://lindat.mff.cuni.cz/services/teitok/pdtc10/index.php?action=vallex&amp;frame=v-w146f3", "běžet (v-w146f3)")</f>
        <v>běžet (v-w146f3)</v>
      </c>
    </row>
    <row r="2272" customFormat="false" ht="12.8" hidden="false" customHeight="false" outlineLevel="0" collapsed="false">
      <c r="B2272" s="0" t="s">
        <v>7</v>
      </c>
      <c r="C2272" s="0" t="s">
        <v>184</v>
      </c>
      <c r="D2272" s="0" t="s">
        <v>1111</v>
      </c>
      <c r="E2272" s="0" t="s">
        <v>1111</v>
      </c>
      <c r="F2272" s="0" t="s">
        <v>1111</v>
      </c>
    </row>
    <row r="2274" customFormat="false" ht="12.8" hidden="false" customHeight="false" outlineLevel="0" collapsed="false">
      <c r="A2274" s="0" t="s">
        <v>1112</v>
      </c>
      <c r="B2274" s="0" t="str">
        <f aca="false">HYPERLINK("https://lindat.mff.cuni.cz/services/teitok/pdtc10/index.php?action=vallex&amp;frame=v-w146f6", "běžet (v-w146f6)")</f>
        <v>běžet (v-w146f6)</v>
      </c>
    </row>
    <row r="2275" customFormat="false" ht="12.8" hidden="false" customHeight="false" outlineLevel="0" collapsed="false">
      <c r="B2275" s="0" t="s">
        <v>7</v>
      </c>
      <c r="C2275" s="0" t="s">
        <v>1113</v>
      </c>
      <c r="D2275" s="0" t="s">
        <v>868</v>
      </c>
      <c r="E2275" s="0" t="s">
        <v>868</v>
      </c>
      <c r="F2275" s="0" t="s">
        <v>868</v>
      </c>
    </row>
    <row r="2277" customFormat="false" ht="12.8" hidden="false" customHeight="false" outlineLevel="0" collapsed="false">
      <c r="A2277" s="0" t="s">
        <v>1114</v>
      </c>
      <c r="B2277" s="0" t="str">
        <f aca="false">HYPERLINK("https://lindat.mff.cuni.cz/services/teitok/pdtc10/index.php?action=vallex&amp;frame=v-w146f8_ZU", "běžet (v-w146f8_ZU)")</f>
        <v>běžet (v-w146f8_ZU)</v>
      </c>
    </row>
    <row r="2278" customFormat="false" ht="12.8" hidden="false" customHeight="false" outlineLevel="0" collapsed="false">
      <c r="B2278" s="0" t="s">
        <v>7</v>
      </c>
      <c r="C2278" s="0" t="s">
        <v>1115</v>
      </c>
      <c r="D2278" s="0" t="s">
        <v>1108</v>
      </c>
      <c r="E2278" s="0" t="s">
        <v>1108</v>
      </c>
      <c r="F2278" s="0" t="s">
        <v>1108</v>
      </c>
    </row>
    <row r="2280" customFormat="false" ht="12.8" hidden="false" customHeight="false" outlineLevel="0" collapsed="false">
      <c r="A2280" s="0" t="s">
        <v>1116</v>
      </c>
      <c r="B2280" s="0" t="str">
        <f aca="false">HYPERLINK("https://lindat.mff.cuni.cz/services/teitok/pdtc10/index.php?action=vallex&amp;frame=v-w146f5", "běžet (v-w146f5)")</f>
        <v>běžet (v-w146f5)</v>
      </c>
    </row>
    <row r="2281" customFormat="false" ht="12.8" hidden="false" customHeight="false" outlineLevel="0" collapsed="false">
      <c r="B2281" s="0" t="s">
        <v>7</v>
      </c>
    </row>
    <row r="2282" customFormat="false" ht="12.8" hidden="false" customHeight="false" outlineLevel="0" collapsed="false">
      <c r="B2282" s="0" t="s">
        <v>1117</v>
      </c>
    </row>
    <row r="2284" customFormat="false" ht="12.8" hidden="false" customHeight="false" outlineLevel="0" collapsed="false">
      <c r="A2284" s="0" t="s">
        <v>1118</v>
      </c>
      <c r="B2284" s="0" t="str">
        <f aca="false">HYPERLINK("https://lindat.mff.cuni.cz/services/teitok/pdtc10/index.php?action=vallex&amp;frame=v-w146hsa_413", "běžet (v-w146hsa_413)")</f>
        <v>běžet (v-w146hsa_413)</v>
      </c>
    </row>
    <row r="2285" customFormat="false" ht="12.8" hidden="false" customHeight="false" outlineLevel="0" collapsed="false">
      <c r="B2285" s="0" t="s">
        <v>7</v>
      </c>
    </row>
    <row r="2287" customFormat="false" ht="12.8" hidden="false" customHeight="false" outlineLevel="0" collapsed="false">
      <c r="A2287" s="0" t="s">
        <v>1119</v>
      </c>
      <c r="B2287" s="0" t="str">
        <f aca="false">HYPERLINK("https://lindat.mff.cuni.cz/services/teitok/pdtc10/index.php?action=vallex&amp;frame=v-w11959_ZUf1_ZU", "běžkařit (v-w11959_ZUf1_ZU)")</f>
        <v>běžkařit (v-w11959_ZUf1_ZU)</v>
      </c>
    </row>
    <row r="2288" customFormat="false" ht="12.8" hidden="false" customHeight="false" outlineLevel="0" collapsed="false">
      <c r="B2288" s="0" t="s">
        <v>7</v>
      </c>
    </row>
    <row r="2290" customFormat="false" ht="12.8" hidden="false" customHeight="false" outlineLevel="0" collapsed="false">
      <c r="A2290" s="0" t="s">
        <v>1120</v>
      </c>
      <c r="B2290" s="0" t="str">
        <f aca="false">HYPERLINK("https://lindat.mff.cuni.cz/services/teitok/pdtc10/index.php?action=vallex&amp;frame=v-whsa_372hsa_373", "běžkovat (v-whsa_372hsa_373)")</f>
        <v>běžkovat (v-whsa_372hsa_373)</v>
      </c>
    </row>
    <row r="2291" customFormat="false" ht="12.8" hidden="false" customHeight="false" outlineLevel="0" collapsed="false">
      <c r="B2291" s="0" t="s">
        <v>7</v>
      </c>
    </row>
    <row r="2293" customFormat="false" ht="12.8" hidden="false" customHeight="false" outlineLevel="0" collapsed="false">
      <c r="A2293" s="0" t="s">
        <v>1121</v>
      </c>
      <c r="B2293" s="0" t="str">
        <f aca="false">HYPERLINK("https://lindat.mff.cuni.cz/services/teitok/pdtc10/index.php?action=vallex&amp;frame=v-w11973_ZUf1_ZU", "cachtat se (v-w11973_ZUf1_ZU)")</f>
        <v>cachtat se (v-w11973_ZUf1_ZU)</v>
      </c>
    </row>
    <row r="2294" customFormat="false" ht="12.8" hidden="false" customHeight="false" outlineLevel="0" collapsed="false">
      <c r="B2294" s="0" t="s">
        <v>7</v>
      </c>
    </row>
    <row r="2296" customFormat="false" ht="12.8" hidden="false" customHeight="false" outlineLevel="0" collapsed="false">
      <c r="A2296" s="0" t="s">
        <v>1122</v>
      </c>
      <c r="B2296" s="0" t="str">
        <f aca="false">HYPERLINK("https://lindat.mff.cuni.cz/services/teitok/pdtc10/index.php?action=vallex&amp;frame=v-w247f1", "cedit (v-w247f1)")</f>
        <v>cedit (v-w247f1)</v>
      </c>
    </row>
    <row r="2297" customFormat="false" ht="12.8" hidden="false" customHeight="false" outlineLevel="0" collapsed="false">
      <c r="B2297" s="0" t="s">
        <v>7</v>
      </c>
    </row>
    <row r="2298" customFormat="false" ht="12.8" hidden="false" customHeight="false" outlineLevel="0" collapsed="false">
      <c r="B2298" s="0" t="s">
        <v>1123</v>
      </c>
    </row>
    <row r="2299" customFormat="false" ht="12.8" hidden="false" customHeight="false" outlineLevel="0" collapsed="false">
      <c r="B2299" s="0" t="s">
        <v>1124</v>
      </c>
    </row>
    <row r="2301" customFormat="false" ht="12.8" hidden="false" customHeight="false" outlineLevel="0" collapsed="false">
      <c r="A2301" s="0" t="s">
        <v>1125</v>
      </c>
      <c r="B2301" s="0" t="str">
        <f aca="false">HYPERLINK("https://lindat.mff.cuni.cz/services/teitok/pdtc10/index.php?action=vallex&amp;frame=v-w247f2_ZU", "cedit (v-w247f2_ZU)")</f>
        <v>cedit (v-w247f2_ZU)</v>
      </c>
    </row>
    <row r="2302" customFormat="false" ht="12.8" hidden="false" customHeight="false" outlineLevel="0" collapsed="false">
      <c r="B2302" s="0" t="s">
        <v>7</v>
      </c>
    </row>
    <row r="2303" customFormat="false" ht="12.8" hidden="false" customHeight="false" outlineLevel="0" collapsed="false">
      <c r="B2303" s="0" t="s">
        <v>14</v>
      </c>
    </row>
    <row r="2305" customFormat="false" ht="12.8" hidden="false" customHeight="false" outlineLevel="0" collapsed="false">
      <c r="A2305" s="0" t="s">
        <v>1126</v>
      </c>
      <c r="B2305" s="0" t="str">
        <f aca="false">HYPERLINK("https://lindat.mff.cuni.cz/services/teitok/pdtc10/index.php?action=vallex&amp;frame=v-w248f2", "cejchovat (v-w248f2)")</f>
        <v>cejchovat (v-w248f2)</v>
      </c>
    </row>
    <row r="2306" customFormat="false" ht="12.8" hidden="false" customHeight="false" outlineLevel="0" collapsed="false">
      <c r="B2306" s="0" t="s">
        <v>7</v>
      </c>
    </row>
    <row r="2307" customFormat="false" ht="12.8" hidden="false" customHeight="false" outlineLevel="0" collapsed="false">
      <c r="B2307" s="0" t="s">
        <v>14</v>
      </c>
    </row>
    <row r="2308" customFormat="false" ht="12.8" hidden="false" customHeight="false" outlineLevel="0" collapsed="false">
      <c r="B2308" s="0" t="s">
        <v>1127</v>
      </c>
    </row>
    <row r="2310" customFormat="false" ht="12.8" hidden="false" customHeight="false" outlineLevel="0" collapsed="false">
      <c r="A2310" s="0" t="s">
        <v>1128</v>
      </c>
      <c r="B2310" s="0" t="str">
        <f aca="false">HYPERLINK("https://lindat.mff.cuni.cz/services/teitok/pdtc10/index.php?action=vallex&amp;frame=v-w248f1", "cejchovat (v-w248f1)")</f>
        <v>cejchovat (v-w248f1)</v>
      </c>
    </row>
    <row r="2311" customFormat="false" ht="12.8" hidden="false" customHeight="false" outlineLevel="0" collapsed="false">
      <c r="B2311" s="0" t="s">
        <v>7</v>
      </c>
    </row>
    <row r="2312" customFormat="false" ht="12.8" hidden="false" customHeight="false" outlineLevel="0" collapsed="false">
      <c r="B2312" s="0" t="s">
        <v>14</v>
      </c>
    </row>
    <row r="2314" customFormat="false" ht="12.8" hidden="false" customHeight="false" outlineLevel="0" collapsed="false">
      <c r="A2314" s="0" t="s">
        <v>1129</v>
      </c>
      <c r="B2314" s="0" t="str">
        <f aca="false">HYPERLINK("https://lindat.mff.cuni.cz/services/teitok/pdtc10/index.php?action=vallex&amp;frame=v-w249f1", "ceknout (v-w249f1)")</f>
        <v>ceknout (v-w249f1)</v>
      </c>
    </row>
    <row r="2315" customFormat="false" ht="12.8" hidden="false" customHeight="false" outlineLevel="0" collapsed="false">
      <c r="B2315" s="0" t="s">
        <v>7</v>
      </c>
    </row>
    <row r="2316" customFormat="false" ht="12.8" hidden="false" customHeight="false" outlineLevel="0" collapsed="false">
      <c r="B2316" s="0" t="s">
        <v>1130</v>
      </c>
    </row>
    <row r="2317" customFormat="false" ht="12.8" hidden="false" customHeight="false" outlineLevel="0" collapsed="false">
      <c r="B2317" s="0" t="s">
        <v>106</v>
      </c>
    </row>
    <row r="2319" customFormat="false" ht="12.8" hidden="false" customHeight="false" outlineLevel="0" collapsed="false">
      <c r="A2319" s="0" t="s">
        <v>1131</v>
      </c>
      <c r="B2319" s="0" t="str">
        <f aca="false">HYPERLINK("https://lindat.mff.cuni.cz/services/teitok/pdtc10/index.php?action=vallex&amp;frame=v-w10992f2", "celebrovat (v-w10992f2)")</f>
        <v>celebrovat (v-w10992f2)</v>
      </c>
    </row>
    <row r="2320" customFormat="false" ht="12.8" hidden="false" customHeight="false" outlineLevel="0" collapsed="false">
      <c r="B2320" s="0" t="s">
        <v>7</v>
      </c>
    </row>
    <row r="2321" customFormat="false" ht="12.8" hidden="false" customHeight="false" outlineLevel="0" collapsed="false">
      <c r="B2321" s="0" t="s">
        <v>14</v>
      </c>
    </row>
    <row r="2323" customFormat="false" ht="12.8" hidden="false" customHeight="false" outlineLevel="0" collapsed="false">
      <c r="A2323" s="0" t="s">
        <v>1132</v>
      </c>
      <c r="B2323" s="0" t="str">
        <f aca="false">HYPERLINK("https://lindat.mff.cuni.cz/services/teitok/pdtc10/index.php?action=vallex&amp;frame=v-w250f1", "cementovat (v-w250f1)")</f>
        <v>cementovat (v-w250f1)</v>
      </c>
    </row>
    <row r="2324" customFormat="false" ht="12.8" hidden="false" customHeight="false" outlineLevel="0" collapsed="false">
      <c r="B2324" s="0" t="s">
        <v>7</v>
      </c>
    </row>
    <row r="2325" customFormat="false" ht="12.8" hidden="false" customHeight="false" outlineLevel="0" collapsed="false">
      <c r="B2325" s="0" t="s">
        <v>14</v>
      </c>
    </row>
    <row r="2327" customFormat="false" ht="12.8" hidden="false" customHeight="false" outlineLevel="0" collapsed="false">
      <c r="A2327" s="0" t="s">
        <v>1133</v>
      </c>
      <c r="B2327" s="0" t="str">
        <f aca="false">HYPERLINK("https://lindat.mff.cuni.cz/services/teitok/pdtc10/index.php?action=vallex&amp;frame=v-w252f2", "cenit (v-w252f2)")</f>
        <v>cenit (v-w252f2)</v>
      </c>
    </row>
    <row r="2328" customFormat="false" ht="12.8" hidden="false" customHeight="false" outlineLevel="0" collapsed="false">
      <c r="B2328" s="0" t="s">
        <v>7</v>
      </c>
      <c r="C2328" s="0" t="s">
        <v>1134</v>
      </c>
      <c r="D2328" s="0" t="s">
        <v>1135</v>
      </c>
      <c r="E2328" s="0" t="s">
        <v>1135</v>
      </c>
      <c r="F2328" s="0" t="s">
        <v>1135</v>
      </c>
    </row>
    <row r="2329" customFormat="false" ht="12.8" hidden="false" customHeight="false" outlineLevel="0" collapsed="false">
      <c r="B2329" s="0" t="s">
        <v>54</v>
      </c>
      <c r="C2329" s="0" t="s">
        <v>1136</v>
      </c>
      <c r="D2329" s="0" t="s">
        <v>1137</v>
      </c>
      <c r="E2329" s="0" t="s">
        <v>1137</v>
      </c>
      <c r="F2329" s="0" t="s">
        <v>1137</v>
      </c>
    </row>
    <row r="2330" customFormat="false" ht="12.8" hidden="false" customHeight="false" outlineLevel="0" collapsed="false">
      <c r="B2330" s="0" t="s">
        <v>84</v>
      </c>
      <c r="C2330" s="0" t="s">
        <v>1138</v>
      </c>
      <c r="D2330" s="0" t="s">
        <v>1139</v>
      </c>
      <c r="E2330" s="0" t="s">
        <v>1139</v>
      </c>
      <c r="F2330" s="0" t="s">
        <v>1139</v>
      </c>
    </row>
    <row r="2332" customFormat="false" ht="12.8" hidden="false" customHeight="false" outlineLevel="0" collapsed="false">
      <c r="A2332" s="0" t="s">
        <v>1140</v>
      </c>
      <c r="B2332" s="0" t="str">
        <f aca="false">HYPERLINK("https://lindat.mff.cuni.cz/services/teitok/pdtc10/index.php?action=vallex&amp;frame=v-w252f1", "cenit (v-w252f1)")</f>
        <v>cenit (v-w252f1)</v>
      </c>
    </row>
    <row r="2333" customFormat="false" ht="12.8" hidden="false" customHeight="false" outlineLevel="0" collapsed="false">
      <c r="B2333" s="0" t="s">
        <v>7</v>
      </c>
      <c r="C2333" s="0" t="s">
        <v>46</v>
      </c>
    </row>
    <row r="2334" customFormat="false" ht="12.8" hidden="false" customHeight="false" outlineLevel="0" collapsed="false">
      <c r="B2334" s="0" t="s">
        <v>14</v>
      </c>
    </row>
    <row r="2336" customFormat="false" ht="12.8" hidden="false" customHeight="false" outlineLevel="0" collapsed="false">
      <c r="A2336" s="0" t="s">
        <v>1141</v>
      </c>
      <c r="B2336" s="0" t="str">
        <f aca="false">HYPERLINK("https://lindat.mff.cuni.cz/services/teitok/pdtc10/index.php?action=vallex&amp;frame=v-w253f1", "cenit si (v-w253f1)")</f>
        <v>cenit si (v-w253f1)</v>
      </c>
    </row>
    <row r="2337" customFormat="false" ht="12.8" hidden="false" customHeight="false" outlineLevel="0" collapsed="false">
      <c r="B2337" s="0" t="s">
        <v>7</v>
      </c>
      <c r="C2337" s="0" t="s">
        <v>1142</v>
      </c>
    </row>
    <row r="2338" customFormat="false" ht="12.8" hidden="false" customHeight="false" outlineLevel="0" collapsed="false">
      <c r="B2338" s="0" t="s">
        <v>1143</v>
      </c>
      <c r="C2338" s="0" t="s">
        <v>159</v>
      </c>
    </row>
    <row r="2340" customFormat="false" ht="12.8" hidden="false" customHeight="false" outlineLevel="0" collapsed="false">
      <c r="A2340" s="0" t="s">
        <v>1144</v>
      </c>
      <c r="B2340" s="0" t="str">
        <f aca="false">HYPERLINK("https://lindat.mff.cuni.cz/services/teitok/pdtc10/index.php?action=vallex&amp;frame=v-w253hsa_1304", "cenit si (v-w253hsa_1304)")</f>
        <v>cenit si (v-w253hsa_1304)</v>
      </c>
    </row>
    <row r="2341" customFormat="false" ht="12.8" hidden="false" customHeight="false" outlineLevel="0" collapsed="false">
      <c r="B2341" s="0" t="s">
        <v>7</v>
      </c>
      <c r="C2341" s="0" t="s">
        <v>22</v>
      </c>
      <c r="D2341" s="0" t="s">
        <v>1135</v>
      </c>
      <c r="E2341" s="0" t="s">
        <v>1135</v>
      </c>
      <c r="F2341" s="0" t="s">
        <v>1135</v>
      </c>
    </row>
    <row r="2342" customFormat="false" ht="12.8" hidden="false" customHeight="false" outlineLevel="0" collapsed="false">
      <c r="B2342" s="0" t="s">
        <v>1145</v>
      </c>
      <c r="C2342" s="0" t="s">
        <v>1146</v>
      </c>
      <c r="D2342" s="0" t="s">
        <v>1137</v>
      </c>
      <c r="E2342" s="0" t="s">
        <v>1137</v>
      </c>
      <c r="F2342" s="0" t="s">
        <v>1137</v>
      </c>
    </row>
    <row r="2343" customFormat="false" ht="12.8" hidden="false" customHeight="false" outlineLevel="0" collapsed="false">
      <c r="B2343" s="0" t="s">
        <v>84</v>
      </c>
      <c r="C2343" s="0" t="s">
        <v>1147</v>
      </c>
      <c r="D2343" s="0" t="s">
        <v>1139</v>
      </c>
      <c r="E2343" s="0" t="s">
        <v>1139</v>
      </c>
      <c r="F2343" s="0" t="s">
        <v>1139</v>
      </c>
    </row>
    <row r="2345" customFormat="false" ht="12.8" hidden="false" customHeight="false" outlineLevel="0" collapsed="false">
      <c r="A2345" s="0" t="s">
        <v>1148</v>
      </c>
      <c r="B2345" s="0" t="str">
        <f aca="false">HYPERLINK("https://lindat.mff.cuni.cz/services/teitok/pdtc10/index.php?action=vallex&amp;frame=v-w257f1", "centralizovat (v-w257f1)")</f>
        <v>centralizovat (v-w257f1)</v>
      </c>
    </row>
    <row r="2346" customFormat="false" ht="12.8" hidden="false" customHeight="false" outlineLevel="0" collapsed="false">
      <c r="B2346" s="0" t="s">
        <v>7</v>
      </c>
    </row>
    <row r="2347" customFormat="false" ht="12.8" hidden="false" customHeight="false" outlineLevel="0" collapsed="false">
      <c r="B2347" s="0" t="s">
        <v>14</v>
      </c>
      <c r="C2347" s="0" t="s">
        <v>47</v>
      </c>
      <c r="D2347" s="0" t="s">
        <v>47</v>
      </c>
      <c r="E2347" s="0" t="s">
        <v>47</v>
      </c>
      <c r="F2347" s="0" t="s">
        <v>47</v>
      </c>
    </row>
    <row r="2349" customFormat="false" ht="12.8" hidden="false" customHeight="false" outlineLevel="0" collapsed="false">
      <c r="A2349" s="0" t="s">
        <v>1149</v>
      </c>
      <c r="B2349" s="0" t="str">
        <f aca="false">HYPERLINK("https://lindat.mff.cuni.cz/services/teitok/pdtc10/index.php?action=vallex&amp;frame=v-w258f1", "centrovat (v-w258f1)")</f>
        <v>centrovat (v-w258f1)</v>
      </c>
    </row>
    <row r="2350" customFormat="false" ht="12.8" hidden="false" customHeight="false" outlineLevel="0" collapsed="false">
      <c r="B2350" s="0" t="s">
        <v>7</v>
      </c>
    </row>
    <row r="2352" customFormat="false" ht="12.8" hidden="false" customHeight="false" outlineLevel="0" collapsed="false">
      <c r="A2352" s="0" t="s">
        <v>1150</v>
      </c>
      <c r="B2352" s="0" t="str">
        <f aca="false">HYPERLINK("https://lindat.mff.cuni.cz/services/teitok/pdtc10/index.php?action=vallex&amp;frame=v-w11192f2", "cenzurovat (v-w11192f2)")</f>
        <v>cenzurovat (v-w11192f2)</v>
      </c>
    </row>
    <row r="2353" customFormat="false" ht="12.8" hidden="false" customHeight="false" outlineLevel="0" collapsed="false">
      <c r="B2353" s="0" t="s">
        <v>7</v>
      </c>
      <c r="C2353" s="0" t="s">
        <v>46</v>
      </c>
      <c r="D2353" s="0" t="s">
        <v>46</v>
      </c>
      <c r="E2353" s="0" t="s">
        <v>46</v>
      </c>
      <c r="F2353" s="0" t="s">
        <v>46</v>
      </c>
    </row>
    <row r="2354" customFormat="false" ht="12.8" hidden="false" customHeight="false" outlineLevel="0" collapsed="false">
      <c r="B2354" s="0" t="s">
        <v>14</v>
      </c>
      <c r="C2354" s="0" t="s">
        <v>155</v>
      </c>
      <c r="D2354" s="0" t="s">
        <v>155</v>
      </c>
      <c r="E2354" s="0" t="s">
        <v>155</v>
      </c>
      <c r="F2354" s="0" t="s">
        <v>155</v>
      </c>
    </row>
    <row r="2356" customFormat="false" ht="12.8" hidden="false" customHeight="false" outlineLevel="0" collapsed="false">
      <c r="A2356" s="0" t="s">
        <v>1151</v>
      </c>
      <c r="B2356" s="0" t="str">
        <f aca="false">HYPERLINK("https://lindat.mff.cuni.cz/services/teitok/pdtc10/index.php?action=vallex&amp;frame=v-w263f1", "cestovat (v-w263f1)")</f>
        <v>cestovat (v-w263f1)</v>
      </c>
    </row>
    <row r="2357" customFormat="false" ht="12.8" hidden="false" customHeight="false" outlineLevel="0" collapsed="false">
      <c r="B2357" s="0" t="s">
        <v>7</v>
      </c>
      <c r="C2357" s="0" t="s">
        <v>22</v>
      </c>
      <c r="D2357" s="0" t="s">
        <v>1152</v>
      </c>
      <c r="E2357" s="0" t="s">
        <v>1152</v>
      </c>
      <c r="F2357" s="0" t="s">
        <v>1152</v>
      </c>
    </row>
    <row r="2359" customFormat="false" ht="12.8" hidden="false" customHeight="false" outlineLevel="0" collapsed="false">
      <c r="A2359" s="0" t="s">
        <v>1153</v>
      </c>
      <c r="B2359" s="0" t="str">
        <f aca="false">HYPERLINK("https://lindat.mff.cuni.cz/services/teitok/pdtc10/index.php?action=vallex&amp;frame=v-w1167f1", "charakterizovat (v-w1167f1)")</f>
        <v>charakterizovat (v-w1167f1)</v>
      </c>
    </row>
    <row r="2360" customFormat="false" ht="12.8" hidden="false" customHeight="false" outlineLevel="0" collapsed="false">
      <c r="B2360" s="0" t="s">
        <v>7</v>
      </c>
      <c r="C2360" s="0" t="s">
        <v>1154</v>
      </c>
      <c r="D2360" s="0" t="s">
        <v>140</v>
      </c>
      <c r="E2360" s="0" t="s">
        <v>140</v>
      </c>
      <c r="F2360" s="0" t="s">
        <v>140</v>
      </c>
    </row>
    <row r="2361" customFormat="false" ht="12.8" hidden="false" customHeight="false" outlineLevel="0" collapsed="false">
      <c r="B2361" s="0" t="s">
        <v>14</v>
      </c>
      <c r="C2361" s="0" t="s">
        <v>342</v>
      </c>
      <c r="D2361" s="0" t="s">
        <v>1155</v>
      </c>
      <c r="E2361" s="0" t="s">
        <v>1155</v>
      </c>
      <c r="F2361" s="0" t="s">
        <v>1155</v>
      </c>
    </row>
    <row r="2363" customFormat="false" ht="12.8" hidden="false" customHeight="false" outlineLevel="0" collapsed="false">
      <c r="A2363" s="0" t="s">
        <v>1156</v>
      </c>
      <c r="B2363" s="0" t="str">
        <f aca="false">HYPERLINK("https://lindat.mff.cuni.cz/services/teitok/pdtc10/index.php?action=vallex&amp;frame=v-whsa_1601f1_ZU", "chatovat (v-whsa_1601f1_ZU)")</f>
        <v>chatovat (v-whsa_1601f1_ZU)</v>
      </c>
    </row>
    <row r="2364" customFormat="false" ht="12.8" hidden="false" customHeight="false" outlineLevel="0" collapsed="false">
      <c r="B2364" s="0" t="s">
        <v>7</v>
      </c>
    </row>
    <row r="2365" customFormat="false" ht="12.8" hidden="false" customHeight="false" outlineLevel="0" collapsed="false">
      <c r="B2365" s="0" t="s">
        <v>207</v>
      </c>
    </row>
    <row r="2366" customFormat="false" ht="12.8" hidden="false" customHeight="false" outlineLevel="0" collapsed="false">
      <c r="B2366" s="0" t="s">
        <v>363</v>
      </c>
    </row>
    <row r="2368" customFormat="false" ht="12.8" hidden="false" customHeight="false" outlineLevel="0" collapsed="false">
      <c r="A2368" s="0" t="s">
        <v>1156</v>
      </c>
      <c r="B2368" s="0" t="str">
        <f aca="false">HYPERLINK("https://lindat.mff.cuni.cz/services/teitok/pdtc10/index.php?action=vallex&amp;frame=v-whsa_1601hsa_1602", "chatovat (v-whsa_1601hsa_1602) - substituted with v-whsa_1601f1_ZU")</f>
        <v>chatovat (v-whsa_1601hsa_1602) - substituted with v-whsa_1601f1_ZU</v>
      </c>
    </row>
    <row r="2369" customFormat="false" ht="12.8" hidden="false" customHeight="false" outlineLevel="0" collapsed="false">
      <c r="B2369" s="0" t="s">
        <v>7</v>
      </c>
    </row>
    <row r="2370" customFormat="false" ht="12.8" hidden="false" customHeight="false" outlineLevel="0" collapsed="false">
      <c r="B2370" s="0" t="s">
        <v>207</v>
      </c>
    </row>
    <row r="2371" customFormat="false" ht="12.8" hidden="false" customHeight="false" outlineLevel="0" collapsed="false">
      <c r="B2371" s="0" t="s">
        <v>363</v>
      </c>
    </row>
    <row r="2373" customFormat="false" ht="12.8" hidden="false" customHeight="false" outlineLevel="0" collapsed="false">
      <c r="A2373" s="0" t="s">
        <v>1157</v>
      </c>
      <c r="B2373" s="0" t="str">
        <f aca="false">HYPERLINK("https://lindat.mff.cuni.cz/services/teitok/pdtc10/index.php?action=vallex&amp;frame=v-whsb_913hsa_914", "chcát (v-whsb_913hsa_914)")</f>
        <v>chcát (v-whsb_913hsa_914)</v>
      </c>
    </row>
    <row r="2374" customFormat="false" ht="12.8" hidden="false" customHeight="false" outlineLevel="0" collapsed="false">
      <c r="B2374" s="0" t="s">
        <v>7</v>
      </c>
    </row>
    <row r="2376" customFormat="false" ht="12.8" hidden="false" customHeight="false" outlineLevel="0" collapsed="false">
      <c r="A2376" s="0" t="s">
        <v>1158</v>
      </c>
      <c r="B2376" s="0" t="str">
        <f aca="false">HYPERLINK("https://lindat.mff.cuni.cz/services/teitok/pdtc10/index.php?action=vallex&amp;frame=v-w1172f1", "chladit (v-w1172f1)")</f>
        <v>chladit (v-w1172f1)</v>
      </c>
    </row>
    <row r="2377" customFormat="false" ht="12.8" hidden="false" customHeight="false" outlineLevel="0" collapsed="false">
      <c r="B2377" s="0" t="s">
        <v>7</v>
      </c>
    </row>
    <row r="2378" customFormat="false" ht="12.8" hidden="false" customHeight="false" outlineLevel="0" collapsed="false">
      <c r="B2378" s="0" t="s">
        <v>14</v>
      </c>
      <c r="F2378" s="0" t="s">
        <v>155</v>
      </c>
    </row>
    <row r="2380" customFormat="false" ht="12.8" hidden="false" customHeight="false" outlineLevel="0" collapsed="false">
      <c r="A2380" s="0" t="s">
        <v>1159</v>
      </c>
      <c r="B2380" s="0" t="str">
        <f aca="false">HYPERLINK("https://lindat.mff.cuni.cz/services/teitok/pdtc10/index.php?action=vallex&amp;frame=v-w1173f1", "chladnout (v-w1173f1)")</f>
        <v>chladnout (v-w1173f1)</v>
      </c>
    </row>
    <row r="2381" customFormat="false" ht="12.8" hidden="false" customHeight="false" outlineLevel="0" collapsed="false">
      <c r="B2381" s="0" t="s">
        <v>7</v>
      </c>
    </row>
    <row r="2383" customFormat="false" ht="12.8" hidden="false" customHeight="false" outlineLevel="0" collapsed="false">
      <c r="A2383" s="0" t="s">
        <v>1160</v>
      </c>
      <c r="B2383" s="0" t="str">
        <f aca="false">HYPERLINK("https://lindat.mff.cuni.cz/services/teitok/pdtc10/index.php?action=vallex&amp;frame=v-w1173f2", "chladnout (v-w1173f2)")</f>
        <v>chladnout (v-w1173f2)</v>
      </c>
    </row>
    <row r="2384" customFormat="false" ht="12.8" hidden="false" customHeight="false" outlineLevel="0" collapsed="false">
      <c r="B2384" s="0" t="s">
        <v>7</v>
      </c>
    </row>
    <row r="2386" customFormat="false" ht="12.8" hidden="false" customHeight="false" outlineLevel="0" collapsed="false">
      <c r="A2386" s="0" t="s">
        <v>1161</v>
      </c>
      <c r="B2386" s="0" t="str">
        <f aca="false">HYPERLINK("https://lindat.mff.cuni.cz/services/teitok/pdtc10/index.php?action=vallex&amp;frame=v-w12095_ZUf1_ZU", "chlastat (v-w12095_ZUf1_ZU)")</f>
        <v>chlastat (v-w12095_ZUf1_ZU)</v>
      </c>
    </row>
    <row r="2387" customFormat="false" ht="12.8" hidden="false" customHeight="false" outlineLevel="0" collapsed="false">
      <c r="B2387" s="0" t="s">
        <v>7</v>
      </c>
    </row>
    <row r="2388" customFormat="false" ht="12.8" hidden="false" customHeight="false" outlineLevel="0" collapsed="false">
      <c r="B2388" s="0" t="s">
        <v>14</v>
      </c>
    </row>
    <row r="2390" customFormat="false" ht="12.8" hidden="false" customHeight="false" outlineLevel="0" collapsed="false">
      <c r="A2390" s="0" t="s">
        <v>1162</v>
      </c>
      <c r="B2390" s="0" t="str">
        <f aca="false">HYPERLINK("https://lindat.mff.cuni.cz/services/teitok/pdtc10/index.php?action=vallex&amp;frame=v-w1177f1", "chlubit se (v-w1177f1)")</f>
        <v>chlubit se (v-w1177f1)</v>
      </c>
    </row>
    <row r="2391" customFormat="false" ht="12.8" hidden="false" customHeight="false" outlineLevel="0" collapsed="false">
      <c r="B2391" s="0" t="s">
        <v>7</v>
      </c>
      <c r="C2391" s="0" t="s">
        <v>1163</v>
      </c>
      <c r="D2391" s="0" t="s">
        <v>194</v>
      </c>
      <c r="E2391" s="0" t="s">
        <v>194</v>
      </c>
      <c r="F2391" s="0" t="s">
        <v>194</v>
      </c>
    </row>
    <row r="2392" customFormat="false" ht="12.8" hidden="false" customHeight="false" outlineLevel="0" collapsed="false">
      <c r="B2392" s="0" t="s">
        <v>292</v>
      </c>
      <c r="C2392" s="0" t="s">
        <v>1164</v>
      </c>
      <c r="D2392" s="0" t="s">
        <v>24</v>
      </c>
      <c r="E2392" s="0" t="s">
        <v>24</v>
      </c>
      <c r="F2392" s="0" t="s">
        <v>24</v>
      </c>
    </row>
    <row r="2393" customFormat="false" ht="12.8" hidden="false" customHeight="false" outlineLevel="0" collapsed="false">
      <c r="B2393" s="0" t="s">
        <v>293</v>
      </c>
      <c r="C2393" s="0" t="s">
        <v>1165</v>
      </c>
      <c r="D2393" s="0" t="s">
        <v>1165</v>
      </c>
      <c r="E2393" s="0" t="s">
        <v>1165</v>
      </c>
      <c r="F2393" s="0" t="s">
        <v>1165</v>
      </c>
    </row>
    <row r="2395" customFormat="false" ht="12.8" hidden="false" customHeight="false" outlineLevel="0" collapsed="false">
      <c r="A2395" s="0" t="s">
        <v>1166</v>
      </c>
      <c r="B2395" s="0" t="str">
        <f aca="false">HYPERLINK("https://lindat.mff.cuni.cz/services/teitok/pdtc10/index.php?action=vallex&amp;frame=v-w1174f1", "chlácholit (v-w1174f1)")</f>
        <v>chlácholit (v-w1174f1)</v>
      </c>
    </row>
    <row r="2396" customFormat="false" ht="12.8" hidden="false" customHeight="false" outlineLevel="0" collapsed="false">
      <c r="B2396" s="0" t="s">
        <v>7</v>
      </c>
      <c r="D2396" s="0" t="s">
        <v>1167</v>
      </c>
      <c r="E2396" s="0" t="s">
        <v>1167</v>
      </c>
      <c r="F2396" s="0" t="s">
        <v>1167</v>
      </c>
    </row>
    <row r="2397" customFormat="false" ht="12.8" hidden="false" customHeight="false" outlineLevel="0" collapsed="false">
      <c r="B2397" s="0" t="s">
        <v>14</v>
      </c>
      <c r="D2397" s="0" t="s">
        <v>1168</v>
      </c>
      <c r="E2397" s="0" t="s">
        <v>1168</v>
      </c>
      <c r="F2397" s="0" t="s">
        <v>1168</v>
      </c>
    </row>
    <row r="2399" customFormat="false" ht="12.8" hidden="false" customHeight="false" outlineLevel="0" collapsed="false">
      <c r="A2399" s="0" t="s">
        <v>1169</v>
      </c>
      <c r="B2399" s="0" t="str">
        <f aca="false">HYPERLINK("https://lindat.mff.cuni.cz/services/teitok/pdtc10/index.php?action=vallex&amp;frame=v-w1179f6", "chodit (v-w1179f6)")</f>
        <v>chodit (v-w1179f6)</v>
      </c>
    </row>
    <row r="2400" customFormat="false" ht="12.8" hidden="false" customHeight="false" outlineLevel="0" collapsed="false">
      <c r="B2400" s="0" t="s">
        <v>7</v>
      </c>
      <c r="C2400" s="0" t="s">
        <v>118</v>
      </c>
      <c r="D2400" s="0" t="s">
        <v>126</v>
      </c>
      <c r="E2400" s="0" t="s">
        <v>194</v>
      </c>
      <c r="F2400" s="0" t="s">
        <v>194</v>
      </c>
    </row>
    <row r="2401" customFormat="false" ht="12.8" hidden="false" customHeight="false" outlineLevel="0" collapsed="false">
      <c r="B2401" s="0" t="s">
        <v>14</v>
      </c>
      <c r="C2401" s="0" t="s">
        <v>567</v>
      </c>
      <c r="D2401" s="0" t="s">
        <v>115</v>
      </c>
      <c r="E2401" s="0" t="s">
        <v>1170</v>
      </c>
      <c r="F2401" s="0" t="s">
        <v>1170</v>
      </c>
    </row>
    <row r="2403" customFormat="false" ht="12.8" hidden="false" customHeight="false" outlineLevel="0" collapsed="false">
      <c r="A2403" s="0" t="s">
        <v>1171</v>
      </c>
      <c r="B2403" s="0" t="str">
        <f aca="false">HYPERLINK("https://lindat.mff.cuni.cz/services/teitok/pdtc10/index.php?action=vallex&amp;frame=v-w1179f13_ZU", "chodit (v-w1179f13_ZU)")</f>
        <v>chodit (v-w1179f13_ZU)</v>
      </c>
    </row>
    <row r="2404" customFormat="false" ht="12.8" hidden="false" customHeight="false" outlineLevel="0" collapsed="false">
      <c r="B2404" s="0" t="s">
        <v>7</v>
      </c>
    </row>
    <row r="2405" customFormat="false" ht="12.8" hidden="false" customHeight="false" outlineLevel="0" collapsed="false">
      <c r="B2405" s="0" t="s">
        <v>1172</v>
      </c>
    </row>
    <row r="2407" customFormat="false" ht="12.8" hidden="false" customHeight="false" outlineLevel="0" collapsed="false">
      <c r="A2407" s="0" t="s">
        <v>1171</v>
      </c>
      <c r="B2407" s="0" t="str">
        <f aca="false">HYPERLINK("https://lindat.mff.cuni.cz/services/teitok/pdtc10/index.php?action=vallex&amp;frame=v-w1179f8", "chodit (v-w1179f8) - substituted with v-w1179f13_ZU")</f>
        <v>chodit (v-w1179f8) - substituted with v-w1179f13_ZU</v>
      </c>
    </row>
    <row r="2408" customFormat="false" ht="12.8" hidden="false" customHeight="false" outlineLevel="0" collapsed="false">
      <c r="B2408" s="0" t="s">
        <v>7</v>
      </c>
    </row>
    <row r="2409" customFormat="false" ht="12.8" hidden="false" customHeight="false" outlineLevel="0" collapsed="false">
      <c r="B2409" s="0" t="s">
        <v>1172</v>
      </c>
    </row>
    <row r="2411" customFormat="false" ht="12.8" hidden="false" customHeight="false" outlineLevel="0" collapsed="false">
      <c r="A2411" s="0" t="s">
        <v>1173</v>
      </c>
      <c r="B2411" s="0" t="str">
        <f aca="false">HYPERLINK("https://lindat.mff.cuni.cz/services/teitok/pdtc10/index.php?action=vallex&amp;frame=v-w1179f4", "chodit (v-w1179f4)")</f>
        <v>chodit (v-w1179f4)</v>
      </c>
    </row>
    <row r="2412" customFormat="false" ht="12.8" hidden="false" customHeight="false" outlineLevel="0" collapsed="false">
      <c r="B2412" s="0" t="s">
        <v>7</v>
      </c>
    </row>
    <row r="2413" customFormat="false" ht="12.8" hidden="false" customHeight="false" outlineLevel="0" collapsed="false">
      <c r="B2413" s="0" t="s">
        <v>548</v>
      </c>
    </row>
    <row r="2415" customFormat="false" ht="12.8" hidden="false" customHeight="false" outlineLevel="0" collapsed="false">
      <c r="A2415" s="0" t="s">
        <v>1174</v>
      </c>
      <c r="B2415" s="0" t="str">
        <f aca="false">HYPERLINK("https://lindat.mff.cuni.cz/services/teitok/pdtc10/index.php?action=vallex&amp;frame=v-w1179f7", "chodit (v-w1179f7)")</f>
        <v>chodit (v-w1179f7)</v>
      </c>
    </row>
    <row r="2416" customFormat="false" ht="12.8" hidden="false" customHeight="false" outlineLevel="0" collapsed="false">
      <c r="B2416" s="0" t="s">
        <v>7</v>
      </c>
    </row>
    <row r="2417" customFormat="false" ht="12.8" hidden="false" customHeight="false" outlineLevel="0" collapsed="false">
      <c r="B2417" s="0" t="s">
        <v>1175</v>
      </c>
    </row>
    <row r="2419" customFormat="false" ht="12.8" hidden="false" customHeight="false" outlineLevel="0" collapsed="false">
      <c r="A2419" s="0" t="s">
        <v>1176</v>
      </c>
      <c r="B2419" s="0" t="str">
        <f aca="false">HYPERLINK("https://lindat.mff.cuni.cz/services/teitok/pdtc10/index.php?action=vallex&amp;frame=v-w1179f21_ZU", "chodit (v-w1179f21_ZU)")</f>
        <v>chodit (v-w1179f21_ZU)</v>
      </c>
    </row>
    <row r="2420" customFormat="false" ht="12.8" hidden="false" customHeight="false" outlineLevel="0" collapsed="false">
      <c r="B2420" s="0" t="s">
        <v>7</v>
      </c>
    </row>
    <row r="2421" customFormat="false" ht="12.8" hidden="false" customHeight="false" outlineLevel="0" collapsed="false">
      <c r="B2421" s="0" t="s">
        <v>259</v>
      </c>
    </row>
    <row r="2423" customFormat="false" ht="12.8" hidden="false" customHeight="false" outlineLevel="0" collapsed="false">
      <c r="A2423" s="0" t="s">
        <v>1176</v>
      </c>
      <c r="B2423" s="0" t="str">
        <f aca="false">HYPERLINK("https://lindat.mff.cuni.cz/services/teitok/pdtc10/index.php?action=vallex&amp;frame=v-w1179f19_ZU", "chodit (v-w1179f19_ZU) - substituted with v-w1179f21_ZU")</f>
        <v>chodit (v-w1179f19_ZU) - substituted with v-w1179f21_ZU</v>
      </c>
    </row>
    <row r="2424" customFormat="false" ht="12.8" hidden="false" customHeight="false" outlineLevel="0" collapsed="false">
      <c r="B2424" s="0" t="s">
        <v>7</v>
      </c>
    </row>
    <row r="2425" customFormat="false" ht="12.8" hidden="false" customHeight="false" outlineLevel="0" collapsed="false">
      <c r="B2425" s="0" t="s">
        <v>259</v>
      </c>
    </row>
    <row r="2427" customFormat="false" ht="12.8" hidden="false" customHeight="false" outlineLevel="0" collapsed="false">
      <c r="A2427" s="0" t="s">
        <v>1176</v>
      </c>
      <c r="B2427" s="0" t="str">
        <f aca="false">HYPERLINK("https://lindat.mff.cuni.cz/services/teitok/pdtc10/index.php?action=vallex&amp;frame=v-w1179f5", "chodit (v-w1179f5) - substituted with v-w1179f21_ZU")</f>
        <v>chodit (v-w1179f5) - substituted with v-w1179f21_ZU</v>
      </c>
    </row>
    <row r="2428" customFormat="false" ht="12.8" hidden="false" customHeight="false" outlineLevel="0" collapsed="false">
      <c r="B2428" s="0" t="s">
        <v>7</v>
      </c>
      <c r="C2428" s="0" t="s">
        <v>176</v>
      </c>
    </row>
    <row r="2429" customFormat="false" ht="12.8" hidden="false" customHeight="false" outlineLevel="0" collapsed="false">
      <c r="B2429" s="0" t="s">
        <v>259</v>
      </c>
      <c r="C2429" s="0" t="s">
        <v>1177</v>
      </c>
    </row>
    <row r="2431" customFormat="false" ht="12.8" hidden="false" customHeight="false" outlineLevel="0" collapsed="false">
      <c r="A2431" s="0" t="s">
        <v>1178</v>
      </c>
      <c r="B2431" s="0" t="str">
        <f aca="false">HYPERLINK("https://lindat.mff.cuni.cz/services/teitok/pdtc10/index.php?action=vallex&amp;frame=v-w1179f27_ZU", "chodit (v-w1179f27_ZU)")</f>
        <v>chodit (v-w1179f27_ZU)</v>
      </c>
    </row>
    <row r="2432" customFormat="false" ht="12.8" hidden="false" customHeight="false" outlineLevel="0" collapsed="false">
      <c r="B2432" s="0" t="s">
        <v>7</v>
      </c>
    </row>
    <row r="2433" customFormat="false" ht="12.8" hidden="false" customHeight="false" outlineLevel="0" collapsed="false">
      <c r="B2433" s="0" t="s">
        <v>124</v>
      </c>
    </row>
    <row r="2435" customFormat="false" ht="12.8" hidden="false" customHeight="false" outlineLevel="0" collapsed="false">
      <c r="A2435" s="0" t="s">
        <v>1178</v>
      </c>
      <c r="B2435" s="0" t="str">
        <f aca="false">HYPERLINK("https://lindat.mff.cuni.cz/services/teitok/pdtc10/index.php?action=vallex&amp;frame=v-w1179f1", "chodit (v-w1179f1) - substituted with v-w1179f27_ZU")</f>
        <v>chodit (v-w1179f1) - substituted with v-w1179f27_ZU</v>
      </c>
    </row>
    <row r="2436" customFormat="false" ht="12.8" hidden="false" customHeight="false" outlineLevel="0" collapsed="false">
      <c r="B2436" s="0" t="s">
        <v>7</v>
      </c>
      <c r="C2436" s="0" t="s">
        <v>1179</v>
      </c>
      <c r="D2436" s="0" t="s">
        <v>1180</v>
      </c>
      <c r="E2436" s="0" t="s">
        <v>1180</v>
      </c>
      <c r="F2436" s="0" t="s">
        <v>1180</v>
      </c>
    </row>
    <row r="2437" customFormat="false" ht="12.8" hidden="false" customHeight="false" outlineLevel="0" collapsed="false">
      <c r="B2437" s="0" t="s">
        <v>124</v>
      </c>
      <c r="C2437" s="0" t="s">
        <v>1181</v>
      </c>
      <c r="D2437" s="0" t="s">
        <v>1182</v>
      </c>
      <c r="E2437" s="0" t="s">
        <v>1182</v>
      </c>
      <c r="F2437" s="0" t="s">
        <v>1182</v>
      </c>
    </row>
    <row r="2439" customFormat="false" ht="12.8" hidden="false" customHeight="false" outlineLevel="0" collapsed="false">
      <c r="A2439" s="0" t="s">
        <v>1178</v>
      </c>
      <c r="B2439" s="0" t="str">
        <f aca="false">HYPERLINK("https://lindat.mff.cuni.cz/services/teitok/pdtc10/index.php?action=vallex&amp;frame=v-w1179f12_ZU", "chodit (v-w1179f12_ZU) - substituted with v-w1179f27_ZU")</f>
        <v>chodit (v-w1179f12_ZU) - substituted with v-w1179f27_ZU</v>
      </c>
    </row>
    <row r="2440" customFormat="false" ht="12.8" hidden="false" customHeight="false" outlineLevel="0" collapsed="false">
      <c r="B2440" s="0" t="s">
        <v>7</v>
      </c>
    </row>
    <row r="2441" customFormat="false" ht="12.8" hidden="false" customHeight="false" outlineLevel="0" collapsed="false">
      <c r="B2441" s="0" t="s">
        <v>124</v>
      </c>
    </row>
    <row r="2443" customFormat="false" ht="12.8" hidden="false" customHeight="false" outlineLevel="0" collapsed="false">
      <c r="A2443" s="0" t="s">
        <v>1178</v>
      </c>
      <c r="B2443" s="0" t="str">
        <f aca="false">HYPERLINK("https://lindat.mff.cuni.cz/services/teitok/pdtc10/index.php?action=vallex&amp;frame=v-w1179f23_ZU", "chodit (v-w1179f23_ZU) - substituted with v-w1179f27_ZU")</f>
        <v>chodit (v-w1179f23_ZU) - substituted with v-w1179f27_ZU</v>
      </c>
    </row>
    <row r="2444" customFormat="false" ht="12.8" hidden="false" customHeight="false" outlineLevel="0" collapsed="false">
      <c r="B2444" s="0" t="s">
        <v>7</v>
      </c>
    </row>
    <row r="2445" customFormat="false" ht="12.8" hidden="false" customHeight="false" outlineLevel="0" collapsed="false">
      <c r="B2445" s="0" t="s">
        <v>124</v>
      </c>
    </row>
    <row r="2447" customFormat="false" ht="12.8" hidden="false" customHeight="false" outlineLevel="0" collapsed="false">
      <c r="A2447" s="0" t="s">
        <v>1183</v>
      </c>
      <c r="B2447" s="0" t="str">
        <f aca="false">HYPERLINK("https://lindat.mff.cuni.cz/services/teitok/pdtc10/index.php?action=vallex&amp;frame=v-w1179f16_ZU", "chodit (v-w1179f16_ZU)")</f>
        <v>chodit (v-w1179f16_ZU)</v>
      </c>
    </row>
    <row r="2448" customFormat="false" ht="12.8" hidden="false" customHeight="false" outlineLevel="0" collapsed="false">
      <c r="B2448" s="0" t="s">
        <v>7</v>
      </c>
    </row>
    <row r="2450" customFormat="false" ht="12.8" hidden="false" customHeight="false" outlineLevel="0" collapsed="false">
      <c r="A2450" s="0" t="s">
        <v>1183</v>
      </c>
      <c r="B2450" s="0" t="str">
        <f aca="false">HYPERLINK("https://lindat.mff.cuni.cz/services/teitok/pdtc10/index.php?action=vallex&amp;frame=v-w1179f15_ZU", "chodit (v-w1179f15_ZU) - substituted with v-w1179f16_ZU")</f>
        <v>chodit (v-w1179f15_ZU) - substituted with v-w1179f16_ZU</v>
      </c>
    </row>
    <row r="2451" customFormat="false" ht="12.8" hidden="false" customHeight="false" outlineLevel="0" collapsed="false">
      <c r="B2451" s="0" t="s">
        <v>7</v>
      </c>
    </row>
    <row r="2453" customFormat="false" ht="12.8" hidden="false" customHeight="false" outlineLevel="0" collapsed="false">
      <c r="A2453" s="0" t="s">
        <v>1183</v>
      </c>
      <c r="B2453" s="0" t="str">
        <f aca="false">HYPERLINK("https://lindat.mff.cuni.cz/services/teitok/pdtc10/index.php?action=vallex&amp;frame=v-w1179f2", "chodit (v-w1179f2) - substituted with v-w1179f16_ZU")</f>
        <v>chodit (v-w1179f2) - substituted with v-w1179f16_ZU</v>
      </c>
    </row>
    <row r="2454" customFormat="false" ht="12.8" hidden="false" customHeight="false" outlineLevel="0" collapsed="false">
      <c r="B2454" s="0" t="s">
        <v>7</v>
      </c>
      <c r="C2454" s="0" t="s">
        <v>1184</v>
      </c>
      <c r="E2454" s="0" t="s">
        <v>194</v>
      </c>
      <c r="F2454" s="0" t="s">
        <v>194</v>
      </c>
    </row>
    <row r="2456" customFormat="false" ht="12.8" hidden="false" customHeight="false" outlineLevel="0" collapsed="false">
      <c r="A2456" s="0" t="s">
        <v>1185</v>
      </c>
      <c r="B2456" s="0" t="str">
        <f aca="false">HYPERLINK("https://lindat.mff.cuni.cz/services/teitok/pdtc10/index.php?action=vallex&amp;frame=v-w1179f18_ZU", "chodit (v-w1179f18_ZU)")</f>
        <v>chodit (v-w1179f18_ZU)</v>
      </c>
    </row>
    <row r="2457" customFormat="false" ht="12.8" hidden="false" customHeight="false" outlineLevel="0" collapsed="false">
      <c r="B2457" s="0" t="s">
        <v>7</v>
      </c>
    </row>
    <row r="2459" customFormat="false" ht="12.8" hidden="false" customHeight="false" outlineLevel="0" collapsed="false">
      <c r="A2459" s="0" t="s">
        <v>1185</v>
      </c>
      <c r="B2459" s="0" t="str">
        <f aca="false">HYPERLINK("https://lindat.mff.cuni.cz/services/teitok/pdtc10/index.php?action=vallex&amp;frame=v-w1179f3", "chodit (v-w1179f3) - substituted with v-w1179f18_ZU")</f>
        <v>chodit (v-w1179f3) - substituted with v-w1179f18_ZU</v>
      </c>
    </row>
    <row r="2460" customFormat="false" ht="12.8" hidden="false" customHeight="false" outlineLevel="0" collapsed="false">
      <c r="B2460" s="0" t="s">
        <v>7</v>
      </c>
    </row>
    <row r="2462" customFormat="false" ht="12.8" hidden="false" customHeight="false" outlineLevel="0" collapsed="false">
      <c r="A2462" s="0" t="s">
        <v>1186</v>
      </c>
      <c r="B2462" s="0" t="str">
        <f aca="false">HYPERLINK("https://lindat.mff.cuni.cz/services/teitok/pdtc10/index.php?action=vallex&amp;frame=v-w1179f9_ZU", "chodit (v-w1179f9_ZU)")</f>
        <v>chodit (v-w1179f9_ZU)</v>
      </c>
    </row>
    <row r="2463" customFormat="false" ht="12.8" hidden="false" customHeight="false" outlineLevel="0" collapsed="false">
      <c r="B2463" s="0" t="s">
        <v>7</v>
      </c>
      <c r="C2463" s="0" t="s">
        <v>191</v>
      </c>
    </row>
    <row r="2464" customFormat="false" ht="12.8" hidden="false" customHeight="false" outlineLevel="0" collapsed="false">
      <c r="B2464" s="0" t="s">
        <v>1187</v>
      </c>
      <c r="C2464" s="0" t="s">
        <v>532</v>
      </c>
    </row>
    <row r="2466" customFormat="false" ht="12.8" hidden="false" customHeight="false" outlineLevel="0" collapsed="false">
      <c r="A2466" s="0" t="s">
        <v>1186</v>
      </c>
      <c r="B2466" s="0" t="str">
        <f aca="false">HYPERLINK("https://lindat.mff.cuni.cz/services/teitok/pdtc10/index.php?action=vallex&amp;frame=v-w1179hsa_1320", "chodit (v-w1179hsa_1320) - substituted with v-w1179f9_ZU")</f>
        <v>chodit (v-w1179hsa_1320) - substituted with v-w1179f9_ZU</v>
      </c>
    </row>
    <row r="2467" customFormat="false" ht="12.8" hidden="false" customHeight="false" outlineLevel="0" collapsed="false">
      <c r="B2467" s="0" t="s">
        <v>7</v>
      </c>
    </row>
    <row r="2468" customFormat="false" ht="12.8" hidden="false" customHeight="false" outlineLevel="0" collapsed="false">
      <c r="B2468" s="0" t="s">
        <v>1187</v>
      </c>
    </row>
    <row r="2470" customFormat="false" ht="12.8" hidden="false" customHeight="false" outlineLevel="0" collapsed="false">
      <c r="A2470" s="0" t="s">
        <v>1188</v>
      </c>
      <c r="B2470" s="0" t="str">
        <f aca="false">HYPERLINK("https://lindat.mff.cuni.cz/services/teitok/pdtc10/index.php?action=vallex&amp;frame=v-w1179f10_ZU", "chodit (v-w1179f10_ZU)")</f>
        <v>chodit (v-w1179f10_ZU)</v>
      </c>
    </row>
    <row r="2471" customFormat="false" ht="12.8" hidden="false" customHeight="false" outlineLevel="0" collapsed="false">
      <c r="B2471" s="0" t="s">
        <v>7</v>
      </c>
    </row>
    <row r="2472" customFormat="false" ht="12.8" hidden="false" customHeight="false" outlineLevel="0" collapsed="false">
      <c r="B2472" s="0" t="s">
        <v>1189</v>
      </c>
    </row>
    <row r="2473" customFormat="false" ht="12.8" hidden="false" customHeight="false" outlineLevel="0" collapsed="false">
      <c r="B2473" s="0" t="s">
        <v>259</v>
      </c>
    </row>
    <row r="2475" customFormat="false" ht="12.8" hidden="false" customHeight="false" outlineLevel="0" collapsed="false">
      <c r="A2475" s="0" t="s">
        <v>1188</v>
      </c>
      <c r="B2475" s="0" t="str">
        <f aca="false">HYPERLINK("https://lindat.mff.cuni.cz/services/teitok/pdtc10/index.php?action=vallex&amp;frame=v-w1179hsa_1321", "chodit (v-w1179hsa_1321) - substituted with v-w1179f10_ZU")</f>
        <v>chodit (v-w1179hsa_1321) - substituted with v-w1179f10_ZU</v>
      </c>
    </row>
    <row r="2476" customFormat="false" ht="12.8" hidden="false" customHeight="false" outlineLevel="0" collapsed="false">
      <c r="B2476" s="0" t="s">
        <v>7</v>
      </c>
    </row>
    <row r="2477" customFormat="false" ht="12.8" hidden="false" customHeight="false" outlineLevel="0" collapsed="false">
      <c r="B2477" s="0" t="s">
        <v>1189</v>
      </c>
    </row>
    <row r="2478" customFormat="false" ht="12.8" hidden="false" customHeight="false" outlineLevel="0" collapsed="false">
      <c r="B2478" s="0" t="s">
        <v>259</v>
      </c>
    </row>
    <row r="2480" customFormat="false" ht="12.8" hidden="false" customHeight="false" outlineLevel="0" collapsed="false">
      <c r="A2480" s="0" t="s">
        <v>1190</v>
      </c>
      <c r="B2480" s="0" t="str">
        <f aca="false">HYPERLINK("https://lindat.mff.cuni.cz/services/teitok/pdtc10/index.php?action=vallex&amp;frame=v-w1179f11_ZU", "chodit (v-w1179f11_ZU)")</f>
        <v>chodit (v-w1179f11_ZU)</v>
      </c>
    </row>
    <row r="2481" customFormat="false" ht="12.8" hidden="false" customHeight="false" outlineLevel="0" collapsed="false">
      <c r="B2481" s="0" t="s">
        <v>603</v>
      </c>
    </row>
    <row r="2482" customFormat="false" ht="12.8" hidden="false" customHeight="false" outlineLevel="0" collapsed="false">
      <c r="B2482" s="0" t="s">
        <v>328</v>
      </c>
    </row>
    <row r="2484" customFormat="false" ht="12.8" hidden="false" customHeight="false" outlineLevel="0" collapsed="false">
      <c r="A2484" s="0" t="s">
        <v>1191</v>
      </c>
      <c r="B2484" s="0" t="str">
        <f aca="false">HYPERLINK("https://lindat.mff.cuni.cz/services/teitok/pdtc10/index.php?action=vallex&amp;frame=v-w1179f17_ZU", "chodit (v-w1179f17_ZU)")</f>
        <v>chodit (v-w1179f17_ZU)</v>
      </c>
    </row>
    <row r="2485" customFormat="false" ht="12.8" hidden="false" customHeight="false" outlineLevel="0" collapsed="false">
      <c r="B2485" s="0" t="s">
        <v>7</v>
      </c>
    </row>
    <row r="2486" customFormat="false" ht="12.8" hidden="false" customHeight="false" outlineLevel="0" collapsed="false">
      <c r="B2486" s="0" t="s">
        <v>142</v>
      </c>
    </row>
    <row r="2488" customFormat="false" ht="12.8" hidden="false" customHeight="false" outlineLevel="0" collapsed="false">
      <c r="A2488" s="0" t="s">
        <v>1191</v>
      </c>
      <c r="B2488" s="0" t="str">
        <f aca="false">HYPERLINK("https://lindat.mff.cuni.cz/services/teitok/pdtc10/index.php?action=vallex&amp;frame=v-w1179hsa_1117", "chodit (v-w1179hsa_1117) - substituted with v-w1179f17_ZU")</f>
        <v>chodit (v-w1179hsa_1117) - substituted with v-w1179f17_ZU</v>
      </c>
    </row>
    <row r="2489" customFormat="false" ht="12.8" hidden="false" customHeight="false" outlineLevel="0" collapsed="false">
      <c r="B2489" s="0" t="s">
        <v>7</v>
      </c>
    </row>
    <row r="2490" customFormat="false" ht="12.8" hidden="false" customHeight="false" outlineLevel="0" collapsed="false">
      <c r="B2490" s="0" t="s">
        <v>142</v>
      </c>
    </row>
    <row r="2492" customFormat="false" ht="12.8" hidden="false" customHeight="false" outlineLevel="0" collapsed="false">
      <c r="A2492" s="0" t="s">
        <v>1192</v>
      </c>
      <c r="B2492" s="0" t="str">
        <f aca="false">HYPERLINK("https://lindat.mff.cuni.cz/services/teitok/pdtc10/index.php?action=vallex&amp;frame=v-w1179f20_ZU", "chodit (v-w1179f20_ZU)")</f>
        <v>chodit (v-w1179f20_ZU)</v>
      </c>
    </row>
    <row r="2493" customFormat="false" ht="12.8" hidden="false" customHeight="false" outlineLevel="0" collapsed="false">
      <c r="B2493" s="0" t="s">
        <v>603</v>
      </c>
    </row>
    <row r="2494" customFormat="false" ht="12.8" hidden="false" customHeight="false" outlineLevel="0" collapsed="false">
      <c r="B2494" s="0" t="s">
        <v>1193</v>
      </c>
    </row>
    <row r="2496" customFormat="false" ht="12.8" hidden="false" customHeight="false" outlineLevel="0" collapsed="false">
      <c r="A2496" s="0" t="s">
        <v>1194</v>
      </c>
      <c r="B2496" s="0" t="str">
        <f aca="false">HYPERLINK("https://lindat.mff.cuni.cz/services/teitok/pdtc10/index.php?action=vallex&amp;frame=v-w1179f25_ZU", "chodit (v-w1179f25_ZU)")</f>
        <v>chodit (v-w1179f25_ZU)</v>
      </c>
    </row>
    <row r="2497" customFormat="false" ht="12.8" hidden="false" customHeight="false" outlineLevel="0" collapsed="false">
      <c r="B2497" s="0" t="s">
        <v>7</v>
      </c>
    </row>
    <row r="2498" customFormat="false" ht="12.8" hidden="false" customHeight="false" outlineLevel="0" collapsed="false">
      <c r="B2498" s="0" t="s">
        <v>279</v>
      </c>
    </row>
    <row r="2500" customFormat="false" ht="12.8" hidden="false" customHeight="false" outlineLevel="0" collapsed="false">
      <c r="A2500" s="0" t="s">
        <v>1194</v>
      </c>
      <c r="B2500" s="0" t="str">
        <f aca="false">HYPERLINK("https://lindat.mff.cuni.cz/services/teitok/pdtc10/index.php?action=vallex&amp;frame=v-w1179f14_ZU", "chodit (v-w1179f14_ZU) - substituted with v-w1179f25_ZU")</f>
        <v>chodit (v-w1179f14_ZU) - substituted with v-w1179f25_ZU</v>
      </c>
    </row>
    <row r="2501" customFormat="false" ht="12.8" hidden="false" customHeight="false" outlineLevel="0" collapsed="false">
      <c r="B2501" s="0" t="s">
        <v>7</v>
      </c>
    </row>
    <row r="2502" customFormat="false" ht="12.8" hidden="false" customHeight="false" outlineLevel="0" collapsed="false">
      <c r="B2502" s="0" t="s">
        <v>279</v>
      </c>
    </row>
    <row r="2504" customFormat="false" ht="12.8" hidden="false" customHeight="false" outlineLevel="0" collapsed="false">
      <c r="A2504" s="0" t="s">
        <v>1194</v>
      </c>
      <c r="B2504" s="0" t="str">
        <f aca="false">HYPERLINK("https://lindat.mff.cuni.cz/services/teitok/pdtc10/index.php?action=vallex&amp;frame=v-w1179f24_ZU", "chodit (v-w1179f24_ZU) - substituted with v-w1179f25_ZU")</f>
        <v>chodit (v-w1179f24_ZU) - substituted with v-w1179f25_ZU</v>
      </c>
    </row>
    <row r="2505" customFormat="false" ht="12.8" hidden="false" customHeight="false" outlineLevel="0" collapsed="false">
      <c r="B2505" s="0" t="s">
        <v>7</v>
      </c>
    </row>
    <row r="2506" customFormat="false" ht="12.8" hidden="false" customHeight="false" outlineLevel="0" collapsed="false">
      <c r="B2506" s="0" t="s">
        <v>279</v>
      </c>
    </row>
    <row r="2508" customFormat="false" ht="12.8" hidden="false" customHeight="false" outlineLevel="0" collapsed="false">
      <c r="A2508" s="0" t="s">
        <v>1195</v>
      </c>
      <c r="B2508" s="0" t="str">
        <f aca="false">HYPERLINK("https://lindat.mff.cuni.cz/services/teitok/pdtc10/index.php?action=vallex&amp;frame=v-w1179f26_ZU", "chodit (v-w1179f26_ZU)")</f>
        <v>chodit (v-w1179f26_ZU)</v>
      </c>
    </row>
    <row r="2509" customFormat="false" ht="12.8" hidden="false" customHeight="false" outlineLevel="0" collapsed="false">
      <c r="B2509" s="0" t="s">
        <v>7</v>
      </c>
    </row>
    <row r="2510" customFormat="false" ht="12.8" hidden="false" customHeight="false" outlineLevel="0" collapsed="false">
      <c r="B2510" s="0" t="s">
        <v>1196</v>
      </c>
    </row>
    <row r="2511" customFormat="false" ht="12.8" hidden="false" customHeight="false" outlineLevel="0" collapsed="false">
      <c r="B2511" s="0" t="s">
        <v>666</v>
      </c>
    </row>
    <row r="2513" customFormat="false" ht="12.8" hidden="false" customHeight="false" outlineLevel="0" collapsed="false">
      <c r="A2513" s="0" t="s">
        <v>1197</v>
      </c>
      <c r="B2513" s="0" t="str">
        <f aca="false">HYPERLINK("https://lindat.mff.cuni.cz/services/teitok/pdtc10/index.php?action=vallex&amp;frame=v-w1179f29_ZU", "chodit (v-w1179f29_ZU)")</f>
        <v>chodit (v-w1179f29_ZU)</v>
      </c>
    </row>
    <row r="2514" customFormat="false" ht="12.8" hidden="false" customHeight="false" outlineLevel="0" collapsed="false">
      <c r="B2514" s="0" t="s">
        <v>7</v>
      </c>
    </row>
    <row r="2515" customFormat="false" ht="12.8" hidden="false" customHeight="false" outlineLevel="0" collapsed="false">
      <c r="B2515" s="0" t="s">
        <v>1059</v>
      </c>
    </row>
    <row r="2517" customFormat="false" ht="12.8" hidden="false" customHeight="false" outlineLevel="0" collapsed="false">
      <c r="A2517" s="0" t="s">
        <v>1197</v>
      </c>
      <c r="B2517" s="0" t="str">
        <f aca="false">HYPERLINK("https://lindat.mff.cuni.cz/services/teitok/pdtc10/index.php?action=vallex&amp;frame=v-w1179f22_ZU", "chodit (v-w1179f22_ZU) - substituted with v-w1179f29_ZU")</f>
        <v>chodit (v-w1179f22_ZU) - substituted with v-w1179f29_ZU</v>
      </c>
    </row>
    <row r="2518" customFormat="false" ht="12.8" hidden="false" customHeight="false" outlineLevel="0" collapsed="false">
      <c r="B2518" s="0" t="s">
        <v>7</v>
      </c>
    </row>
    <row r="2519" customFormat="false" ht="12.8" hidden="false" customHeight="false" outlineLevel="0" collapsed="false">
      <c r="B2519" s="0" t="s">
        <v>1059</v>
      </c>
    </row>
    <row r="2521" customFormat="false" ht="12.8" hidden="false" customHeight="false" outlineLevel="0" collapsed="false">
      <c r="A2521" s="0" t="s">
        <v>1197</v>
      </c>
      <c r="B2521" s="0" t="str">
        <f aca="false">HYPERLINK("https://lindat.mff.cuni.cz/services/teitok/pdtc10/index.php?action=vallex&amp;frame=v-w1179f28_ZU", "chodit (v-w1179f28_ZU) - substituted with v-w1179f29_ZU")</f>
        <v>chodit (v-w1179f28_ZU) - substituted with v-w1179f29_ZU</v>
      </c>
    </row>
    <row r="2522" customFormat="false" ht="12.8" hidden="false" customHeight="false" outlineLevel="0" collapsed="false">
      <c r="B2522" s="0" t="s">
        <v>7</v>
      </c>
    </row>
    <row r="2523" customFormat="false" ht="12.8" hidden="false" customHeight="false" outlineLevel="0" collapsed="false">
      <c r="B2523" s="0" t="s">
        <v>1059</v>
      </c>
    </row>
    <row r="2525" customFormat="false" ht="12.8" hidden="false" customHeight="false" outlineLevel="0" collapsed="false">
      <c r="A2525" s="0" t="s">
        <v>1198</v>
      </c>
      <c r="B2525" s="0" t="str">
        <f aca="false">HYPERLINK("https://lindat.mff.cuni.cz/services/teitok/pdtc10/index.php?action=vallex&amp;frame=v-whsa_430hsa_431", "chodívat (v-whsa_430hsa_431)")</f>
        <v>chodívat (v-whsa_430hsa_431)</v>
      </c>
    </row>
    <row r="2526" customFormat="false" ht="12.8" hidden="false" customHeight="false" outlineLevel="0" collapsed="false">
      <c r="B2526" s="0" t="s">
        <v>7</v>
      </c>
    </row>
    <row r="2528" customFormat="false" ht="12.8" hidden="false" customHeight="false" outlineLevel="0" collapsed="false">
      <c r="A2528" s="0" t="s">
        <v>1199</v>
      </c>
      <c r="B2528" s="0" t="str">
        <f aca="false">HYPERLINK("https://lindat.mff.cuni.cz/services/teitok/pdtc10/index.php?action=vallex&amp;frame=v-whsa_430hsa_432", "chodívat (v-whsa_430hsa_432)")</f>
        <v>chodívat (v-whsa_430hsa_432)</v>
      </c>
    </row>
    <row r="2529" customFormat="false" ht="12.8" hidden="false" customHeight="false" outlineLevel="0" collapsed="false">
      <c r="B2529" s="0" t="s">
        <v>7</v>
      </c>
    </row>
    <row r="2530" customFormat="false" ht="12.8" hidden="false" customHeight="false" outlineLevel="0" collapsed="false">
      <c r="B2530" s="0" t="s">
        <v>124</v>
      </c>
    </row>
    <row r="2532" customFormat="false" ht="12.8" hidden="false" customHeight="false" outlineLevel="0" collapsed="false">
      <c r="A2532" s="0" t="s">
        <v>1200</v>
      </c>
      <c r="B2532" s="0" t="str">
        <f aca="false">HYPERLINK("https://lindat.mff.cuni.cz/services/teitok/pdtc10/index.php?action=vallex&amp;frame=v-whsa_319hsa_320", "chodívávat (v-whsa_319hsa_320)")</f>
        <v>chodívávat (v-whsa_319hsa_320)</v>
      </c>
    </row>
    <row r="2533" customFormat="false" ht="12.8" hidden="false" customHeight="false" outlineLevel="0" collapsed="false">
      <c r="B2533" s="0" t="s">
        <v>7</v>
      </c>
    </row>
    <row r="2534" customFormat="false" ht="12.8" hidden="false" customHeight="false" outlineLevel="0" collapsed="false">
      <c r="B2534" s="0" t="s">
        <v>124</v>
      </c>
    </row>
    <row r="2536" customFormat="false" ht="12.8" hidden="false" customHeight="false" outlineLevel="0" collapsed="false">
      <c r="A2536" s="0" t="s">
        <v>1201</v>
      </c>
      <c r="B2536" s="0" t="str">
        <f aca="false">HYPERLINK("https://lindat.mff.cuni.cz/services/teitok/pdtc10/index.php?action=vallex&amp;frame=v-w1180f1", "chopit se (v-w1180f1)")</f>
        <v>chopit se (v-w1180f1)</v>
      </c>
    </row>
    <row r="2537" customFormat="false" ht="12.8" hidden="false" customHeight="false" outlineLevel="0" collapsed="false">
      <c r="B2537" s="0" t="s">
        <v>7</v>
      </c>
      <c r="C2537" s="0" t="s">
        <v>1202</v>
      </c>
      <c r="D2537" s="0" t="s">
        <v>391</v>
      </c>
      <c r="E2537" s="0" t="s">
        <v>391</v>
      </c>
      <c r="F2537" s="0" t="s">
        <v>1203</v>
      </c>
    </row>
    <row r="2538" customFormat="false" ht="12.8" hidden="false" customHeight="false" outlineLevel="0" collapsed="false">
      <c r="B2538" s="0" t="s">
        <v>1087</v>
      </c>
      <c r="C2538" s="0" t="s">
        <v>1204</v>
      </c>
      <c r="D2538" s="0" t="s">
        <v>1205</v>
      </c>
      <c r="E2538" s="0" t="s">
        <v>1205</v>
      </c>
      <c r="F2538" s="0" t="s">
        <v>1206</v>
      </c>
    </row>
    <row r="2540" customFormat="false" ht="12.8" hidden="false" customHeight="false" outlineLevel="0" collapsed="false">
      <c r="A2540" s="0" t="s">
        <v>1207</v>
      </c>
      <c r="B2540" s="0" t="str">
        <f aca="false">HYPERLINK("https://lindat.mff.cuni.cz/services/teitok/pdtc10/index.php?action=vallex&amp;frame=v-whsa_1215hsa_1216", "choulit se (v-whsa_1215hsa_1216)")</f>
        <v>choulit se (v-whsa_1215hsa_1216)</v>
      </c>
    </row>
    <row r="2541" customFormat="false" ht="12.8" hidden="false" customHeight="false" outlineLevel="0" collapsed="false">
      <c r="B2541" s="0" t="s">
        <v>7</v>
      </c>
    </row>
    <row r="2542" customFormat="false" ht="12.8" hidden="false" customHeight="false" outlineLevel="0" collapsed="false">
      <c r="B2542" s="0" t="s">
        <v>237</v>
      </c>
    </row>
    <row r="2544" customFormat="false" ht="12.8" hidden="false" customHeight="false" outlineLevel="0" collapsed="false">
      <c r="A2544" s="0" t="s">
        <v>1208</v>
      </c>
      <c r="B2544" s="0" t="str">
        <f aca="false">HYPERLINK("https://lindat.mff.cuni.cz/services/teitok/pdtc10/index.php?action=vallex&amp;frame=v-w1184f1", "chovat (v-w1184f1)")</f>
        <v>chovat (v-w1184f1)</v>
      </c>
    </row>
    <row r="2545" customFormat="false" ht="12.8" hidden="false" customHeight="false" outlineLevel="0" collapsed="false">
      <c r="B2545" s="0" t="s">
        <v>7</v>
      </c>
      <c r="C2545" s="0" t="s">
        <v>149</v>
      </c>
      <c r="D2545" s="0" t="s">
        <v>126</v>
      </c>
      <c r="E2545" s="0" t="s">
        <v>126</v>
      </c>
      <c r="F2545" s="0" t="s">
        <v>126</v>
      </c>
    </row>
    <row r="2546" customFormat="false" ht="12.8" hidden="false" customHeight="false" outlineLevel="0" collapsed="false">
      <c r="B2546" s="0" t="s">
        <v>14</v>
      </c>
      <c r="C2546" s="0" t="s">
        <v>1209</v>
      </c>
      <c r="D2546" s="0" t="s">
        <v>1210</v>
      </c>
      <c r="E2546" s="0" t="s">
        <v>1210</v>
      </c>
      <c r="F2546" s="0" t="s">
        <v>1210</v>
      </c>
    </row>
    <row r="2548" customFormat="false" ht="12.8" hidden="false" customHeight="false" outlineLevel="0" collapsed="false">
      <c r="A2548" s="0" t="s">
        <v>1211</v>
      </c>
      <c r="B2548" s="0" t="str">
        <f aca="false">HYPERLINK("https://lindat.mff.cuni.cz/services/teitok/pdtc10/index.php?action=vallex&amp;frame=v-w1184f4", "chovat (v-w1184f4)")</f>
        <v>chovat (v-w1184f4)</v>
      </c>
    </row>
    <row r="2549" customFormat="false" ht="12.8" hidden="false" customHeight="false" outlineLevel="0" collapsed="false">
      <c r="B2549" s="0" t="s">
        <v>7</v>
      </c>
    </row>
    <row r="2550" customFormat="false" ht="12.8" hidden="false" customHeight="false" outlineLevel="0" collapsed="false">
      <c r="B2550" s="0" t="s">
        <v>14</v>
      </c>
    </row>
    <row r="2552" customFormat="false" ht="12.8" hidden="false" customHeight="false" outlineLevel="0" collapsed="false">
      <c r="A2552" s="0" t="s">
        <v>1212</v>
      </c>
      <c r="B2552" s="0" t="str">
        <f aca="false">HYPERLINK("https://lindat.mff.cuni.cz/services/teitok/pdtc10/index.php?action=vallex&amp;frame=v-w1184f5", "chovat (v-w1184f5)")</f>
        <v>chovat (v-w1184f5)</v>
      </c>
    </row>
    <row r="2553" customFormat="false" ht="12.8" hidden="false" customHeight="false" outlineLevel="0" collapsed="false">
      <c r="B2553" s="0" t="s">
        <v>7</v>
      </c>
    </row>
    <row r="2555" customFormat="false" ht="12.8" hidden="false" customHeight="false" outlineLevel="0" collapsed="false">
      <c r="A2555" s="0" t="s">
        <v>1213</v>
      </c>
      <c r="B2555" s="0" t="str">
        <f aca="false">HYPERLINK("https://lindat.mff.cuni.cz/services/teitok/pdtc10/index.php?action=vallex&amp;frame=v-w1184hsa_1046", "chovat (v-w1184hsa_1046)")</f>
        <v>chovat (v-w1184hsa_1046)</v>
      </c>
    </row>
    <row r="2556" customFormat="false" ht="12.8" hidden="false" customHeight="false" outlineLevel="0" collapsed="false">
      <c r="B2556" s="0" t="s">
        <v>7</v>
      </c>
    </row>
    <row r="2557" customFormat="false" ht="12.8" hidden="false" customHeight="false" outlineLevel="0" collapsed="false">
      <c r="B2557" s="0" t="s">
        <v>1214</v>
      </c>
    </row>
    <row r="2559" customFormat="false" ht="12.8" hidden="false" customHeight="false" outlineLevel="0" collapsed="false">
      <c r="A2559" s="0" t="s">
        <v>1213</v>
      </c>
      <c r="B2559" s="0" t="str">
        <f aca="false">HYPERLINK("https://lindat.mff.cuni.cz/services/teitok/pdtc10/index.php?action=vallex&amp;frame=v-w1184f2", "chovat (v-w1184f2) - substituted with v-w1184hsa_1046")</f>
        <v>chovat (v-w1184f2) - substituted with v-w1184hsa_1046</v>
      </c>
    </row>
    <row r="2560" customFormat="false" ht="12.8" hidden="false" customHeight="false" outlineLevel="0" collapsed="false">
      <c r="B2560" s="0" t="s">
        <v>7</v>
      </c>
    </row>
    <row r="2561" customFormat="false" ht="12.8" hidden="false" customHeight="false" outlineLevel="0" collapsed="false">
      <c r="B2561" s="0" t="s">
        <v>1214</v>
      </c>
    </row>
    <row r="2563" customFormat="false" ht="12.8" hidden="false" customHeight="false" outlineLevel="0" collapsed="false">
      <c r="A2563" s="0" t="s">
        <v>1215</v>
      </c>
      <c r="B2563" s="0" t="str">
        <f aca="false">HYPERLINK("https://lindat.mff.cuni.cz/services/teitok/pdtc10/index.php?action=vallex&amp;frame=v-w1184f3", "chovat (v-w1184f3)")</f>
        <v>chovat (v-w1184f3)</v>
      </c>
    </row>
    <row r="2564" customFormat="false" ht="12.8" hidden="false" customHeight="false" outlineLevel="0" collapsed="false">
      <c r="B2564" s="0" t="s">
        <v>7</v>
      </c>
    </row>
    <row r="2565" customFormat="false" ht="12.8" hidden="false" customHeight="false" outlineLevel="0" collapsed="false">
      <c r="B2565" s="0" t="s">
        <v>1216</v>
      </c>
    </row>
    <row r="2566" customFormat="false" ht="12.8" hidden="false" customHeight="false" outlineLevel="0" collapsed="false">
      <c r="B2566" s="0" t="s">
        <v>14</v>
      </c>
    </row>
    <row r="2568" customFormat="false" ht="12.8" hidden="false" customHeight="false" outlineLevel="0" collapsed="false">
      <c r="A2568" s="0" t="s">
        <v>1217</v>
      </c>
      <c r="B2568" s="0" t="str">
        <f aca="false">HYPERLINK("https://lindat.mff.cuni.cz/services/teitok/pdtc10/index.php?action=vallex&amp;frame=v-w1186f1", "chovat se (v-w1186f1)")</f>
        <v>chovat se (v-w1186f1)</v>
      </c>
    </row>
    <row r="2569" customFormat="false" ht="12.8" hidden="false" customHeight="false" outlineLevel="0" collapsed="false">
      <c r="B2569" s="0" t="s">
        <v>7</v>
      </c>
      <c r="C2569" s="0" t="s">
        <v>1218</v>
      </c>
      <c r="D2569" s="0" t="s">
        <v>1219</v>
      </c>
      <c r="E2569" s="0" t="s">
        <v>1219</v>
      </c>
      <c r="F2569" s="0" t="s">
        <v>1219</v>
      </c>
    </row>
    <row r="2570" customFormat="false" ht="12.8" hidden="false" customHeight="false" outlineLevel="0" collapsed="false">
      <c r="B2570" s="0" t="s">
        <v>552</v>
      </c>
    </row>
    <row r="2571" customFormat="false" ht="12.8" hidden="false" customHeight="false" outlineLevel="0" collapsed="false">
      <c r="B2571" s="0" t="s">
        <v>474</v>
      </c>
      <c r="C2571" s="0" t="s">
        <v>1220</v>
      </c>
      <c r="D2571" s="0" t="s">
        <v>1221</v>
      </c>
      <c r="E2571" s="0" t="s">
        <v>1221</v>
      </c>
      <c r="F2571" s="0" t="s">
        <v>1221</v>
      </c>
    </row>
    <row r="2572" customFormat="false" ht="12.8" hidden="false" customHeight="false" outlineLevel="0" collapsed="false">
      <c r="B2572" s="0" t="s">
        <v>479</v>
      </c>
    </row>
    <row r="2573" customFormat="false" ht="12.8" hidden="false" customHeight="false" outlineLevel="0" collapsed="false">
      <c r="B2573" s="0" t="s">
        <v>481</v>
      </c>
      <c r="C2573" s="0" t="s">
        <v>1222</v>
      </c>
    </row>
    <row r="2574" customFormat="false" ht="12.8" hidden="false" customHeight="false" outlineLevel="0" collapsed="false">
      <c r="B2574" s="0" t="s">
        <v>483</v>
      </c>
    </row>
    <row r="2576" customFormat="false" ht="12.8" hidden="false" customHeight="false" outlineLevel="0" collapsed="false">
      <c r="A2576" s="0" t="s">
        <v>1223</v>
      </c>
      <c r="B2576" s="0" t="str">
        <f aca="false">HYPERLINK("https://lindat.mff.cuni.cz/services/teitok/pdtc10/index.php?action=vallex&amp;frame=v-whsa_333hsa_334", "chovávat (v-whsa_333hsa_334)")</f>
        <v>chovávat (v-whsa_333hsa_334)</v>
      </c>
    </row>
    <row r="2577" customFormat="false" ht="12.8" hidden="false" customHeight="false" outlineLevel="0" collapsed="false">
      <c r="B2577" s="0" t="s">
        <v>7</v>
      </c>
    </row>
    <row r="2578" customFormat="false" ht="12.8" hidden="false" customHeight="false" outlineLevel="0" collapsed="false">
      <c r="B2578" s="0" t="s">
        <v>14</v>
      </c>
    </row>
    <row r="2580" customFormat="false" ht="12.8" hidden="false" customHeight="false" outlineLevel="0" collapsed="false">
      <c r="A2580" s="0" t="s">
        <v>1224</v>
      </c>
      <c r="B2580" s="0" t="str">
        <f aca="false">HYPERLINK("https://lindat.mff.cuni.cz/services/teitok/pdtc10/index.php?action=vallex&amp;frame=v-w1190f1", "christianizovat (v-w1190f1)")</f>
        <v>christianizovat (v-w1190f1)</v>
      </c>
    </row>
    <row r="2581" customFormat="false" ht="12.8" hidden="false" customHeight="false" outlineLevel="0" collapsed="false">
      <c r="B2581" s="0" t="s">
        <v>7</v>
      </c>
    </row>
    <row r="2582" customFormat="false" ht="12.8" hidden="false" customHeight="false" outlineLevel="0" collapsed="false">
      <c r="B2582" s="0" t="s">
        <v>14</v>
      </c>
    </row>
    <row r="2584" customFormat="false" ht="12.8" hidden="false" customHeight="false" outlineLevel="0" collapsed="false">
      <c r="A2584" s="0" t="s">
        <v>1225</v>
      </c>
      <c r="B2584" s="0" t="str">
        <f aca="false">HYPERLINK("https://lindat.mff.cuni.cz/services/teitok/pdtc10/index.php?action=vallex&amp;frame=v-w1191f1", "chrlit (v-w1191f1)")</f>
        <v>chrlit (v-w1191f1)</v>
      </c>
    </row>
    <row r="2585" customFormat="false" ht="12.8" hidden="false" customHeight="false" outlineLevel="0" collapsed="false">
      <c r="B2585" s="0" t="s">
        <v>7</v>
      </c>
      <c r="C2585" s="0" t="s">
        <v>113</v>
      </c>
      <c r="D2585" s="0" t="s">
        <v>184</v>
      </c>
      <c r="E2585" s="0" t="s">
        <v>184</v>
      </c>
      <c r="F2585" s="0" t="s">
        <v>1226</v>
      </c>
    </row>
    <row r="2586" customFormat="false" ht="12.8" hidden="false" customHeight="false" outlineLevel="0" collapsed="false">
      <c r="B2586" s="0" t="s">
        <v>14</v>
      </c>
      <c r="C2586" s="0" t="s">
        <v>74</v>
      </c>
      <c r="D2586" s="0" t="s">
        <v>384</v>
      </c>
      <c r="E2586" s="0" t="s">
        <v>384</v>
      </c>
      <c r="F2586" s="0" t="s">
        <v>493</v>
      </c>
    </row>
    <row r="2588" customFormat="false" ht="12.8" hidden="false" customHeight="false" outlineLevel="0" collapsed="false">
      <c r="A2588" s="0" t="s">
        <v>1227</v>
      </c>
      <c r="B2588" s="0" t="str">
        <f aca="false">HYPERLINK("https://lindat.mff.cuni.cz/services/teitok/pdtc10/index.php?action=vallex&amp;frame=v-w1189f3_ZU", "chránit (v-w1189f3_ZU)")</f>
        <v>chránit (v-w1189f3_ZU)</v>
      </c>
    </row>
    <row r="2589" customFormat="false" ht="12.8" hidden="false" customHeight="false" outlineLevel="0" collapsed="false">
      <c r="B2589" s="0" t="s">
        <v>7</v>
      </c>
    </row>
    <row r="2590" customFormat="false" ht="12.8" hidden="false" customHeight="false" outlineLevel="0" collapsed="false">
      <c r="B2590" s="0" t="s">
        <v>14</v>
      </c>
    </row>
    <row r="2591" customFormat="false" ht="12.8" hidden="false" customHeight="false" outlineLevel="0" collapsed="false">
      <c r="B2591" s="0" t="s">
        <v>1228</v>
      </c>
    </row>
    <row r="2593" customFormat="false" ht="12.8" hidden="false" customHeight="false" outlineLevel="0" collapsed="false">
      <c r="A2593" s="0" t="s">
        <v>1227</v>
      </c>
      <c r="B2593" s="0" t="str">
        <f aca="false">HYPERLINK("https://lindat.mff.cuni.cz/services/teitok/pdtc10/index.php?action=vallex&amp;frame=v-w1189f1", "chránit (v-w1189f1) - substituted with v-w1189f3_ZU")</f>
        <v>chránit (v-w1189f1) - substituted with v-w1189f3_ZU</v>
      </c>
    </row>
    <row r="2594" customFormat="false" ht="12.8" hidden="false" customHeight="false" outlineLevel="0" collapsed="false">
      <c r="B2594" s="0" t="s">
        <v>7</v>
      </c>
      <c r="C2594" s="0" t="s">
        <v>1229</v>
      </c>
    </row>
    <row r="2595" customFormat="false" ht="12.8" hidden="false" customHeight="false" outlineLevel="0" collapsed="false">
      <c r="B2595" s="0" t="s">
        <v>14</v>
      </c>
      <c r="C2595" s="0" t="s">
        <v>1230</v>
      </c>
    </row>
    <row r="2596" customFormat="false" ht="12.8" hidden="false" customHeight="false" outlineLevel="0" collapsed="false">
      <c r="B2596" s="0" t="s">
        <v>1228</v>
      </c>
      <c r="C2596" s="0" t="s">
        <v>1231</v>
      </c>
    </row>
    <row r="2598" customFormat="false" ht="12.8" hidden="false" customHeight="false" outlineLevel="0" collapsed="false">
      <c r="A2598" s="0" t="s">
        <v>1227</v>
      </c>
      <c r="B2598" s="0" t="str">
        <f aca="false">HYPERLINK("https://lindat.mff.cuni.cz/services/teitok/pdtc10/index.php?action=vallex&amp;frame=v-w1189hsa_853", "chránit (v-w1189hsa_853) - substituted with v-w1189f3_ZU")</f>
        <v>chránit (v-w1189hsa_853) - substituted with v-w1189f3_ZU</v>
      </c>
    </row>
    <row r="2599" customFormat="false" ht="12.8" hidden="false" customHeight="false" outlineLevel="0" collapsed="false">
      <c r="B2599" s="0" t="s">
        <v>7</v>
      </c>
      <c r="C2599" s="0" t="s">
        <v>184</v>
      </c>
      <c r="D2599" s="0" t="s">
        <v>1232</v>
      </c>
      <c r="E2599" s="0" t="s">
        <v>1232</v>
      </c>
      <c r="F2599" s="0" t="s">
        <v>1232</v>
      </c>
    </row>
    <row r="2600" customFormat="false" ht="12.8" hidden="false" customHeight="false" outlineLevel="0" collapsed="false">
      <c r="B2600" s="0" t="s">
        <v>14</v>
      </c>
      <c r="C2600" s="0" t="s">
        <v>1170</v>
      </c>
      <c r="D2600" s="0" t="s">
        <v>1233</v>
      </c>
      <c r="E2600" s="0" t="s">
        <v>1233</v>
      </c>
      <c r="F2600" s="0" t="s">
        <v>1233</v>
      </c>
    </row>
    <row r="2601" customFormat="false" ht="12.8" hidden="false" customHeight="false" outlineLevel="0" collapsed="false">
      <c r="B2601" s="0" t="s">
        <v>1228</v>
      </c>
      <c r="C2601" s="0" t="s">
        <v>1234</v>
      </c>
      <c r="D2601" s="0" t="s">
        <v>1235</v>
      </c>
      <c r="E2601" s="0" t="s">
        <v>1235</v>
      </c>
      <c r="F2601" s="0" t="s">
        <v>1235</v>
      </c>
    </row>
    <row r="2603" customFormat="false" ht="12.8" hidden="false" customHeight="false" outlineLevel="0" collapsed="false">
      <c r="A2603" s="0" t="s">
        <v>1236</v>
      </c>
      <c r="B2603" s="0" t="str">
        <f aca="false">HYPERLINK("https://lindat.mff.cuni.cz/services/teitok/pdtc10/index.php?action=vallex&amp;frame=v-w1189f2_ZU", "chránit (v-w1189f2_ZU)")</f>
        <v>chránit (v-w1189f2_ZU)</v>
      </c>
    </row>
    <row r="2604" customFormat="false" ht="12.8" hidden="false" customHeight="false" outlineLevel="0" collapsed="false">
      <c r="B2604" s="0" t="s">
        <v>1237</v>
      </c>
    </row>
    <row r="2605" customFormat="false" ht="12.8" hidden="false" customHeight="false" outlineLevel="0" collapsed="false">
      <c r="B2605" s="0" t="s">
        <v>199</v>
      </c>
    </row>
    <row r="2606" customFormat="false" ht="12.8" hidden="false" customHeight="false" outlineLevel="0" collapsed="false">
      <c r="B2606" s="0" t="s">
        <v>416</v>
      </c>
    </row>
    <row r="2608" customFormat="false" ht="12.8" hidden="false" customHeight="false" outlineLevel="0" collapsed="false">
      <c r="A2608" s="0" t="s">
        <v>1236</v>
      </c>
      <c r="B2608" s="0" t="str">
        <f aca="false">HYPERLINK("https://lindat.mff.cuni.cz/services/teitok/pdtc10/index.php?action=vallex&amp;frame=v-w1189hsa_722", "chránit (v-w1189hsa_722) - substituted with v-w1189f2_ZU")</f>
        <v>chránit (v-w1189hsa_722) - substituted with v-w1189f2_ZU</v>
      </c>
    </row>
    <row r="2609" customFormat="false" ht="12.8" hidden="false" customHeight="false" outlineLevel="0" collapsed="false">
      <c r="B2609" s="0" t="s">
        <v>1237</v>
      </c>
    </row>
    <row r="2610" customFormat="false" ht="12.8" hidden="false" customHeight="false" outlineLevel="0" collapsed="false">
      <c r="B2610" s="0" t="s">
        <v>199</v>
      </c>
    </row>
    <row r="2611" customFormat="false" ht="12.8" hidden="false" customHeight="false" outlineLevel="0" collapsed="false">
      <c r="B2611" s="0" t="s">
        <v>416</v>
      </c>
    </row>
    <row r="2613" customFormat="false" ht="12.8" hidden="false" customHeight="false" outlineLevel="0" collapsed="false">
      <c r="A2613" s="0" t="s">
        <v>1238</v>
      </c>
      <c r="B2613" s="0" t="str">
        <f aca="false">HYPERLINK("https://lindat.mff.cuni.cz/services/teitok/pdtc10/index.php?action=vallex&amp;frame=v-w10703f2", "chrápat (v-w10703f2)")</f>
        <v>chrápat (v-w10703f2)</v>
      </c>
    </row>
    <row r="2614" customFormat="false" ht="12.8" hidden="false" customHeight="false" outlineLevel="0" collapsed="false">
      <c r="B2614" s="0" t="s">
        <v>7</v>
      </c>
      <c r="C2614" s="0" t="s">
        <v>191</v>
      </c>
      <c r="D2614" s="0" t="s">
        <v>46</v>
      </c>
      <c r="E2614" s="0" t="s">
        <v>46</v>
      </c>
      <c r="F2614" s="0" t="s">
        <v>46</v>
      </c>
    </row>
    <row r="2616" customFormat="false" ht="12.8" hidden="false" customHeight="false" outlineLevel="0" collapsed="false">
      <c r="A2616" s="0" t="s">
        <v>1239</v>
      </c>
      <c r="B2616" s="0" t="str">
        <f aca="false">HYPERLINK("https://lindat.mff.cuni.cz/services/teitok/pdtc10/index.php?action=vallex&amp;frame=v-w1193f3_ZU", "chtít (v-w1193f3_ZU)")</f>
        <v>chtít (v-w1193f3_ZU)</v>
      </c>
    </row>
    <row r="2617" customFormat="false" ht="12.8" hidden="false" customHeight="false" outlineLevel="0" collapsed="false">
      <c r="B2617" s="0" t="s">
        <v>7</v>
      </c>
    </row>
    <row r="2618" customFormat="false" ht="12.8" hidden="false" customHeight="false" outlineLevel="0" collapsed="false">
      <c r="B2618" s="0" t="s">
        <v>1240</v>
      </c>
    </row>
    <row r="2619" customFormat="false" ht="12.8" hidden="false" customHeight="false" outlineLevel="0" collapsed="false">
      <c r="B2619" s="0" t="s">
        <v>1241</v>
      </c>
    </row>
    <row r="2621" customFormat="false" ht="12.8" hidden="false" customHeight="false" outlineLevel="0" collapsed="false">
      <c r="A2621" s="0" t="s">
        <v>1239</v>
      </c>
      <c r="B2621" s="0" t="str">
        <f aca="false">HYPERLINK("https://lindat.mff.cuni.cz/services/teitok/pdtc10/index.php?action=vallex&amp;frame=v-w1193f1", "chtít (v-w1193f1) - substituted with v-w1193f3_ZU")</f>
        <v>chtít (v-w1193f1) - substituted with v-w1193f3_ZU</v>
      </c>
    </row>
    <row r="2622" customFormat="false" ht="12.8" hidden="false" customHeight="false" outlineLevel="0" collapsed="false">
      <c r="B2622" s="0" t="s">
        <v>7</v>
      </c>
      <c r="C2622" s="0" t="s">
        <v>1242</v>
      </c>
      <c r="D2622" s="0" t="s">
        <v>1243</v>
      </c>
      <c r="E2622" s="0" t="s">
        <v>1244</v>
      </c>
      <c r="F2622" s="0" t="s">
        <v>1244</v>
      </c>
    </row>
    <row r="2623" customFormat="false" ht="12.8" hidden="false" customHeight="false" outlineLevel="0" collapsed="false">
      <c r="B2623" s="0" t="s">
        <v>1240</v>
      </c>
      <c r="C2623" s="0" t="s">
        <v>1245</v>
      </c>
      <c r="D2623" s="0" t="s">
        <v>1246</v>
      </c>
      <c r="E2623" s="0" t="s">
        <v>1247</v>
      </c>
      <c r="F2623" s="0" t="s">
        <v>1247</v>
      </c>
    </row>
    <row r="2624" customFormat="false" ht="12.8" hidden="false" customHeight="false" outlineLevel="0" collapsed="false">
      <c r="B2624" s="0" t="s">
        <v>1241</v>
      </c>
      <c r="D2624" s="0" t="s">
        <v>1248</v>
      </c>
      <c r="E2624" s="0" t="s">
        <v>1249</v>
      </c>
      <c r="F2624" s="0" t="s">
        <v>1249</v>
      </c>
    </row>
    <row r="2626" customFormat="false" ht="12.8" hidden="false" customHeight="false" outlineLevel="0" collapsed="false">
      <c r="A2626" s="0" t="s">
        <v>1250</v>
      </c>
      <c r="B2626" s="0" t="str">
        <f aca="false">HYPERLINK("https://lindat.mff.cuni.cz/services/teitok/pdtc10/index.php?action=vallex&amp;frame=v-w1193hsa_1073", "chtít (v-w1193hsa_1073)")</f>
        <v>chtít (v-w1193hsa_1073)</v>
      </c>
    </row>
    <row r="2627" customFormat="false" ht="12.8" hidden="false" customHeight="false" outlineLevel="0" collapsed="false">
      <c r="B2627" s="0" t="s">
        <v>603</v>
      </c>
    </row>
    <row r="2628" customFormat="false" ht="12.8" hidden="false" customHeight="false" outlineLevel="0" collapsed="false">
      <c r="B2628" s="0" t="s">
        <v>1251</v>
      </c>
    </row>
    <row r="2629" customFormat="false" ht="12.8" hidden="false" customHeight="false" outlineLevel="0" collapsed="false">
      <c r="B2629" s="0" t="s">
        <v>1252</v>
      </c>
    </row>
    <row r="2631" customFormat="false" ht="12.8" hidden="false" customHeight="false" outlineLevel="0" collapsed="false">
      <c r="A2631" s="0" t="s">
        <v>1250</v>
      </c>
      <c r="B2631" s="0" t="str">
        <f aca="false">HYPERLINK("https://lindat.mff.cuni.cz/services/teitok/pdtc10/index.php?action=vallex&amp;frame=v-w1193f2", "chtít (v-w1193f2) - substituted with v-w1193hsa_1073")</f>
        <v>chtít (v-w1193f2) - substituted with v-w1193hsa_1073</v>
      </c>
    </row>
    <row r="2632" customFormat="false" ht="12.8" hidden="false" customHeight="false" outlineLevel="0" collapsed="false">
      <c r="B2632" s="0" t="s">
        <v>603</v>
      </c>
      <c r="C2632" s="0" t="s">
        <v>1253</v>
      </c>
    </row>
    <row r="2633" customFormat="false" ht="12.8" hidden="false" customHeight="false" outlineLevel="0" collapsed="false">
      <c r="B2633" s="0" t="s">
        <v>1251</v>
      </c>
      <c r="C2633" s="0" t="s">
        <v>1254</v>
      </c>
    </row>
    <row r="2634" customFormat="false" ht="12.8" hidden="false" customHeight="false" outlineLevel="0" collapsed="false">
      <c r="B2634" s="0" t="s">
        <v>1252</v>
      </c>
    </row>
    <row r="2636" customFormat="false" ht="12.8" hidden="false" customHeight="false" outlineLevel="0" collapsed="false">
      <c r="A2636" s="0" t="s">
        <v>1255</v>
      </c>
      <c r="B2636" s="0" t="str">
        <f aca="false">HYPERLINK("https://lindat.mff.cuni.cz/services/teitok/pdtc10/index.php?action=vallex&amp;frame=v-w1194f1", "chudnout (v-w1194f1)")</f>
        <v>chudnout (v-w1194f1)</v>
      </c>
    </row>
    <row r="2637" customFormat="false" ht="12.8" hidden="false" customHeight="false" outlineLevel="0" collapsed="false">
      <c r="B2637" s="0" t="s">
        <v>7</v>
      </c>
    </row>
    <row r="2638" customFormat="false" ht="12.8" hidden="false" customHeight="false" outlineLevel="0" collapsed="false">
      <c r="B2638" s="0" t="s">
        <v>302</v>
      </c>
    </row>
    <row r="2640" customFormat="false" ht="12.8" hidden="false" customHeight="false" outlineLevel="0" collapsed="false">
      <c r="A2640" s="0" t="s">
        <v>1256</v>
      </c>
      <c r="B2640" s="0" t="str">
        <f aca="false">HYPERLINK("https://lindat.mff.cuni.cz/services/teitok/pdtc10/index.php?action=vallex&amp;frame=v-w1197f1", "chutnat (v-w1197f1)")</f>
        <v>chutnat (v-w1197f1)</v>
      </c>
    </row>
    <row r="2641" customFormat="false" ht="12.8" hidden="false" customHeight="false" outlineLevel="0" collapsed="false">
      <c r="B2641" s="0" t="s">
        <v>603</v>
      </c>
    </row>
    <row r="2642" customFormat="false" ht="12.8" hidden="false" customHeight="false" outlineLevel="0" collapsed="false">
      <c r="B2642" s="0" t="s">
        <v>328</v>
      </c>
    </row>
    <row r="2644" customFormat="false" ht="12.8" hidden="false" customHeight="false" outlineLevel="0" collapsed="false">
      <c r="A2644" s="0" t="s">
        <v>1257</v>
      </c>
      <c r="B2644" s="0" t="str">
        <f aca="false">HYPERLINK("https://lindat.mff.cuni.cz/services/teitok/pdtc10/index.php?action=vallex&amp;frame=v-w1197f3_ZU", "chutnat (v-w1197f3_ZU)")</f>
        <v>chutnat (v-w1197f3_ZU)</v>
      </c>
    </row>
    <row r="2645" customFormat="false" ht="12.8" hidden="false" customHeight="false" outlineLevel="0" collapsed="false">
      <c r="B2645" s="0" t="s">
        <v>7</v>
      </c>
      <c r="C2645" s="0" t="s">
        <v>200</v>
      </c>
      <c r="D2645" s="0" t="s">
        <v>200</v>
      </c>
      <c r="E2645" s="0" t="s">
        <v>200</v>
      </c>
      <c r="F2645" s="0" t="s">
        <v>200</v>
      </c>
    </row>
    <row r="2646" customFormat="false" ht="12.8" hidden="false" customHeight="false" outlineLevel="0" collapsed="false">
      <c r="B2646" s="0" t="s">
        <v>1258</v>
      </c>
      <c r="D2646" s="0" t="s">
        <v>400</v>
      </c>
      <c r="E2646" s="0" t="s">
        <v>400</v>
      </c>
      <c r="F2646" s="0" t="s">
        <v>400</v>
      </c>
    </row>
    <row r="2648" customFormat="false" ht="12.8" hidden="false" customHeight="false" outlineLevel="0" collapsed="false">
      <c r="A2648" s="0" t="s">
        <v>1257</v>
      </c>
      <c r="B2648" s="0" t="str">
        <f aca="false">HYPERLINK("https://lindat.mff.cuni.cz/services/teitok/pdtc10/index.php?action=vallex&amp;frame=v-w1197f2_ZU", "chutnat (v-w1197f2_ZU) - substituted with v-w1197f3_ZU")</f>
        <v>chutnat (v-w1197f2_ZU) - substituted with v-w1197f3_ZU</v>
      </c>
    </row>
    <row r="2649" customFormat="false" ht="12.8" hidden="false" customHeight="false" outlineLevel="0" collapsed="false">
      <c r="B2649" s="0" t="s">
        <v>7</v>
      </c>
      <c r="C2649" s="0" t="s">
        <v>200</v>
      </c>
    </row>
    <row r="2650" customFormat="false" ht="12.8" hidden="false" customHeight="false" outlineLevel="0" collapsed="false">
      <c r="B2650" s="0" t="s">
        <v>1258</v>
      </c>
      <c r="C2650" s="0" t="s">
        <v>400</v>
      </c>
    </row>
    <row r="2652" customFormat="false" ht="12.8" hidden="false" customHeight="false" outlineLevel="0" collapsed="false">
      <c r="A2652" s="0" t="s">
        <v>1259</v>
      </c>
      <c r="B2652" s="0" t="str">
        <f aca="false">HYPERLINK("https://lindat.mff.cuni.cz/services/teitok/pdtc10/index.php?action=vallex&amp;frame=v-w1197f4_ZU", "chutnat (v-w1197f4_ZU)")</f>
        <v>chutnat (v-w1197f4_ZU)</v>
      </c>
    </row>
    <row r="2653" customFormat="false" ht="12.8" hidden="false" customHeight="false" outlineLevel="0" collapsed="false">
      <c r="B2653" s="0" t="s">
        <v>7</v>
      </c>
    </row>
    <row r="2654" customFormat="false" ht="12.8" hidden="false" customHeight="false" outlineLevel="0" collapsed="false">
      <c r="B2654" s="0" t="s">
        <v>14</v>
      </c>
    </row>
    <row r="2656" customFormat="false" ht="12.8" hidden="false" customHeight="false" outlineLevel="0" collapsed="false">
      <c r="A2656" s="0" t="s">
        <v>1260</v>
      </c>
      <c r="B2656" s="0" t="str">
        <f aca="false">HYPERLINK("https://lindat.mff.cuni.cz/services/teitok/pdtc10/index.php?action=vallex&amp;frame=v-w1199f2_ZU", "chválit (v-w1199f2_ZU)")</f>
        <v>chválit (v-w1199f2_ZU)</v>
      </c>
    </row>
    <row r="2657" customFormat="false" ht="12.8" hidden="false" customHeight="false" outlineLevel="0" collapsed="false">
      <c r="B2657" s="0" t="s">
        <v>7</v>
      </c>
      <c r="C2657" s="0" t="s">
        <v>31</v>
      </c>
      <c r="D2657" s="0" t="s">
        <v>1261</v>
      </c>
      <c r="E2657" s="0" t="s">
        <v>1261</v>
      </c>
      <c r="F2657" s="0" t="s">
        <v>1261</v>
      </c>
    </row>
    <row r="2658" customFormat="false" ht="12.8" hidden="false" customHeight="false" outlineLevel="0" collapsed="false">
      <c r="B2658" s="0" t="s">
        <v>367</v>
      </c>
      <c r="C2658" s="0" t="s">
        <v>74</v>
      </c>
      <c r="D2658" s="0" t="s">
        <v>1262</v>
      </c>
      <c r="E2658" s="0" t="s">
        <v>1262</v>
      </c>
      <c r="F2658" s="0" t="s">
        <v>1262</v>
      </c>
    </row>
    <row r="2660" customFormat="false" ht="12.8" hidden="false" customHeight="false" outlineLevel="0" collapsed="false">
      <c r="A2660" s="0" t="s">
        <v>1260</v>
      </c>
      <c r="B2660" s="0" t="str">
        <f aca="false">HYPERLINK("https://lindat.mff.cuni.cz/services/teitok/pdtc10/index.php?action=vallex&amp;frame=v-w1199f1", "chválit (v-w1199f1) - substituted with v-w1199f2_ZU")</f>
        <v>chválit (v-w1199f1) - substituted with v-w1199f2_ZU</v>
      </c>
    </row>
    <row r="2661" customFormat="false" ht="12.8" hidden="false" customHeight="false" outlineLevel="0" collapsed="false">
      <c r="B2661" s="0" t="s">
        <v>7</v>
      </c>
      <c r="C2661" s="0" t="s">
        <v>1263</v>
      </c>
    </row>
    <row r="2662" customFormat="false" ht="12.8" hidden="false" customHeight="false" outlineLevel="0" collapsed="false">
      <c r="B2662" s="0" t="s">
        <v>367</v>
      </c>
      <c r="C2662" s="0" t="s">
        <v>1264</v>
      </c>
    </row>
    <row r="2664" customFormat="false" ht="12.8" hidden="false" customHeight="false" outlineLevel="0" collapsed="false">
      <c r="A2664" s="0" t="s">
        <v>1265</v>
      </c>
      <c r="B2664" s="0" t="str">
        <f aca="false">HYPERLINK("https://lindat.mff.cuni.cz/services/teitok/pdtc10/index.php?action=vallex&amp;frame=v-w1200f1", "chvástat se (v-w1200f1)")</f>
        <v>chvástat se (v-w1200f1)</v>
      </c>
    </row>
    <row r="2665" customFormat="false" ht="12.8" hidden="false" customHeight="false" outlineLevel="0" collapsed="false">
      <c r="B2665" s="0" t="s">
        <v>7</v>
      </c>
      <c r="C2665" s="0" t="s">
        <v>335</v>
      </c>
      <c r="D2665" s="0" t="s">
        <v>194</v>
      </c>
      <c r="E2665" s="0" t="s">
        <v>194</v>
      </c>
      <c r="F2665" s="0" t="s">
        <v>194</v>
      </c>
    </row>
    <row r="2666" customFormat="false" ht="12.8" hidden="false" customHeight="false" outlineLevel="0" collapsed="false">
      <c r="B2666" s="0" t="s">
        <v>292</v>
      </c>
      <c r="C2666" s="0" t="s">
        <v>115</v>
      </c>
      <c r="D2666" s="0" t="s">
        <v>24</v>
      </c>
      <c r="E2666" s="0" t="s">
        <v>24</v>
      </c>
      <c r="F2666" s="0" t="s">
        <v>24</v>
      </c>
    </row>
    <row r="2667" customFormat="false" ht="12.8" hidden="false" customHeight="false" outlineLevel="0" collapsed="false">
      <c r="B2667" s="0" t="s">
        <v>106</v>
      </c>
      <c r="D2667" s="0" t="s">
        <v>1165</v>
      </c>
      <c r="E2667" s="0" t="s">
        <v>1165</v>
      </c>
      <c r="F2667" s="0" t="s">
        <v>1165</v>
      </c>
    </row>
    <row r="2669" customFormat="false" ht="12.8" hidden="false" customHeight="false" outlineLevel="0" collapsed="false">
      <c r="A2669" s="0" t="s">
        <v>1266</v>
      </c>
      <c r="B2669" s="0" t="str">
        <f aca="false">HYPERLINK("https://lindat.mff.cuni.cz/services/teitok/pdtc10/index.php?action=vallex&amp;frame=v-w10991f3", "chvátat (v-w10991f3)")</f>
        <v>chvátat (v-w10991f3)</v>
      </c>
    </row>
    <row r="2670" customFormat="false" ht="12.8" hidden="false" customHeight="false" outlineLevel="0" collapsed="false">
      <c r="B2670" s="0" t="s">
        <v>7</v>
      </c>
    </row>
    <row r="2671" customFormat="false" ht="12.8" hidden="false" customHeight="false" outlineLevel="0" collapsed="false">
      <c r="B2671" s="0" t="s">
        <v>548</v>
      </c>
    </row>
    <row r="2673" customFormat="false" ht="12.8" hidden="false" customHeight="false" outlineLevel="0" collapsed="false">
      <c r="A2673" s="0" t="s">
        <v>1267</v>
      </c>
      <c r="B2673" s="0" t="str">
        <f aca="false">HYPERLINK("https://lindat.mff.cuni.cz/services/teitok/pdtc10/index.php?action=vallex&amp;frame=v-w10991f2", "chvátat (v-w10991f2)")</f>
        <v>chvátat (v-w10991f2)</v>
      </c>
    </row>
    <row r="2674" customFormat="false" ht="12.8" hidden="false" customHeight="false" outlineLevel="0" collapsed="false">
      <c r="B2674" s="0" t="s">
        <v>7</v>
      </c>
    </row>
    <row r="2676" customFormat="false" ht="12.8" hidden="false" customHeight="false" outlineLevel="0" collapsed="false">
      <c r="A2676" s="0" t="s">
        <v>1268</v>
      </c>
      <c r="B2676" s="0" t="str">
        <f aca="false">HYPERLINK("https://lindat.mff.cuni.cz/services/teitok/pdtc10/index.php?action=vallex&amp;frame=v-w1202f1", "chvět se (v-w1202f1)")</f>
        <v>chvět se (v-w1202f1)</v>
      </c>
    </row>
    <row r="2677" customFormat="false" ht="12.8" hidden="false" customHeight="false" outlineLevel="0" collapsed="false">
      <c r="B2677" s="0" t="s">
        <v>7</v>
      </c>
    </row>
    <row r="2679" customFormat="false" ht="12.8" hidden="false" customHeight="false" outlineLevel="0" collapsed="false">
      <c r="A2679" s="0" t="s">
        <v>1269</v>
      </c>
      <c r="B2679" s="0" t="str">
        <f aca="false">HYPERLINK("https://lindat.mff.cuni.cz/services/teitok/pdtc10/index.php?action=vallex&amp;frame=v-w10460f2", "chybit (v-w10460f2)")</f>
        <v>chybit (v-w10460f2)</v>
      </c>
    </row>
    <row r="2680" customFormat="false" ht="12.8" hidden="false" customHeight="false" outlineLevel="0" collapsed="false">
      <c r="B2680" s="0" t="s">
        <v>7</v>
      </c>
      <c r="D2680" s="0" t="s">
        <v>113</v>
      </c>
      <c r="E2680" s="0" t="s">
        <v>113</v>
      </c>
      <c r="F2680" s="0" t="s">
        <v>113</v>
      </c>
    </row>
    <row r="2682" customFormat="false" ht="12.8" hidden="false" customHeight="false" outlineLevel="0" collapsed="false">
      <c r="A2682" s="0" t="s">
        <v>1270</v>
      </c>
      <c r="B2682" s="0" t="str">
        <f aca="false">HYPERLINK("https://lindat.mff.cuni.cz/services/teitok/pdtc10/index.php?action=vallex&amp;frame=v-w1205f1", "chybovat (v-w1205f1)")</f>
        <v>chybovat (v-w1205f1)</v>
      </c>
    </row>
    <row r="2683" customFormat="false" ht="12.8" hidden="false" customHeight="false" outlineLevel="0" collapsed="false">
      <c r="B2683" s="0" t="s">
        <v>7</v>
      </c>
      <c r="C2683" s="0" t="s">
        <v>113</v>
      </c>
      <c r="D2683" s="0" t="s">
        <v>113</v>
      </c>
      <c r="E2683" s="0" t="s">
        <v>113</v>
      </c>
      <c r="F2683" s="0" t="s">
        <v>113</v>
      </c>
    </row>
    <row r="2685" customFormat="false" ht="12.8" hidden="false" customHeight="false" outlineLevel="0" collapsed="false">
      <c r="A2685" s="0" t="s">
        <v>1271</v>
      </c>
      <c r="B2685" s="0" t="str">
        <f aca="false">HYPERLINK("https://lindat.mff.cuni.cz/services/teitok/pdtc10/index.php?action=vallex&amp;frame=v-w1204f1", "chybět (v-w1204f1)")</f>
        <v>chybět (v-w1204f1)</v>
      </c>
    </row>
    <row r="2686" customFormat="false" ht="12.8" hidden="false" customHeight="false" outlineLevel="0" collapsed="false">
      <c r="B2686" s="0" t="s">
        <v>641</v>
      </c>
      <c r="C2686" s="0" t="s">
        <v>1272</v>
      </c>
      <c r="D2686" s="0" t="s">
        <v>1273</v>
      </c>
      <c r="E2686" s="0" t="s">
        <v>1273</v>
      </c>
      <c r="F2686" s="0" t="s">
        <v>1273</v>
      </c>
    </row>
    <row r="2687" customFormat="false" ht="12.8" hidden="false" customHeight="false" outlineLevel="0" collapsed="false">
      <c r="B2687" s="0" t="s">
        <v>142</v>
      </c>
      <c r="C2687" s="0" t="s">
        <v>1274</v>
      </c>
      <c r="D2687" s="0" t="s">
        <v>1275</v>
      </c>
      <c r="E2687" s="0" t="s">
        <v>1275</v>
      </c>
      <c r="F2687" s="0" t="s">
        <v>1275</v>
      </c>
    </row>
    <row r="2689" customFormat="false" ht="12.8" hidden="false" customHeight="false" outlineLevel="0" collapsed="false">
      <c r="A2689" s="0" t="s">
        <v>1276</v>
      </c>
      <c r="B2689" s="0" t="str">
        <f aca="false">HYPERLINK("https://lindat.mff.cuni.cz/services/teitok/pdtc10/index.php?action=vallex&amp;frame=v-w1204f4", "chybět (v-w1204f4)")</f>
        <v>chybět (v-w1204f4)</v>
      </c>
    </row>
    <row r="2690" customFormat="false" ht="12.8" hidden="false" customHeight="false" outlineLevel="0" collapsed="false">
      <c r="B2690" s="0" t="s">
        <v>603</v>
      </c>
      <c r="C2690" s="0" t="s">
        <v>1226</v>
      </c>
      <c r="D2690" s="0" t="s">
        <v>1226</v>
      </c>
      <c r="E2690" s="0" t="s">
        <v>1226</v>
      </c>
      <c r="F2690" s="0" t="s">
        <v>1226</v>
      </c>
    </row>
    <row r="2691" customFormat="false" ht="12.8" hidden="false" customHeight="false" outlineLevel="0" collapsed="false">
      <c r="B2691" s="0" t="s">
        <v>328</v>
      </c>
      <c r="C2691" s="0" t="s">
        <v>1277</v>
      </c>
      <c r="D2691" s="0" t="s">
        <v>1278</v>
      </c>
      <c r="E2691" s="0" t="s">
        <v>1278</v>
      </c>
      <c r="F2691" s="0" t="s">
        <v>1278</v>
      </c>
    </row>
    <row r="2693" customFormat="false" ht="12.8" hidden="false" customHeight="false" outlineLevel="0" collapsed="false">
      <c r="A2693" s="0" t="s">
        <v>1279</v>
      </c>
      <c r="B2693" s="0" t="str">
        <f aca="false">HYPERLINK("https://lindat.mff.cuni.cz/services/teitok/pdtc10/index.php?action=vallex&amp;frame=v-w1204f2", "chybět (v-w1204f2)")</f>
        <v>chybět (v-w1204f2)</v>
      </c>
    </row>
    <row r="2694" customFormat="false" ht="12.8" hidden="false" customHeight="false" outlineLevel="0" collapsed="false">
      <c r="B2694" s="0" t="s">
        <v>7</v>
      </c>
      <c r="C2694" s="0" t="s">
        <v>1280</v>
      </c>
    </row>
    <row r="2695" customFormat="false" ht="12.8" hidden="false" customHeight="false" outlineLevel="0" collapsed="false">
      <c r="B2695" s="0" t="s">
        <v>11</v>
      </c>
      <c r="C2695" s="0" t="s">
        <v>1281</v>
      </c>
    </row>
    <row r="2697" customFormat="false" ht="12.8" hidden="false" customHeight="false" outlineLevel="0" collapsed="false">
      <c r="A2697" s="0" t="s">
        <v>1282</v>
      </c>
      <c r="B2697" s="0" t="str">
        <f aca="false">HYPERLINK("https://lindat.mff.cuni.cz/services/teitok/pdtc10/index.php?action=vallex&amp;frame=v-w1204f3", "chybět (v-w1204f3)")</f>
        <v>chybět (v-w1204f3)</v>
      </c>
    </row>
    <row r="2698" customFormat="false" ht="12.8" hidden="false" customHeight="false" outlineLevel="0" collapsed="false">
      <c r="B2698" s="0" t="s">
        <v>632</v>
      </c>
    </row>
    <row r="2700" customFormat="false" ht="12.8" hidden="false" customHeight="false" outlineLevel="0" collapsed="false">
      <c r="A2700" s="0" t="s">
        <v>1283</v>
      </c>
      <c r="B2700" s="0" t="str">
        <f aca="false">HYPERLINK("https://lindat.mff.cuni.cz/services/teitok/pdtc10/index.php?action=vallex&amp;frame=v-w1204f5_ZU", "chybět (v-w1204f5_ZU)")</f>
        <v>chybět (v-w1204f5_ZU)</v>
      </c>
    </row>
    <row r="2701" customFormat="false" ht="12.8" hidden="false" customHeight="false" outlineLevel="0" collapsed="false">
      <c r="B2701" s="0" t="s">
        <v>7</v>
      </c>
    </row>
    <row r="2702" customFormat="false" ht="12.8" hidden="false" customHeight="false" outlineLevel="0" collapsed="false">
      <c r="B2702" s="0" t="s">
        <v>142</v>
      </c>
    </row>
    <row r="2703" customFormat="false" ht="12.8" hidden="false" customHeight="false" outlineLevel="0" collapsed="false">
      <c r="B2703" s="0" t="s">
        <v>1284</v>
      </c>
    </row>
    <row r="2705" customFormat="false" ht="12.8" hidden="false" customHeight="false" outlineLevel="0" collapsed="false">
      <c r="A2705" s="0" t="s">
        <v>1285</v>
      </c>
      <c r="B2705" s="0" t="str">
        <f aca="false">HYPERLINK("https://lindat.mff.cuni.cz/services/teitok/pdtc10/index.php?action=vallex&amp;frame=v-w1208f1", "chystat (v-w1208f1)")</f>
        <v>chystat (v-w1208f1)</v>
      </c>
    </row>
    <row r="2706" customFormat="false" ht="12.8" hidden="false" customHeight="false" outlineLevel="0" collapsed="false">
      <c r="B2706" s="0" t="s">
        <v>7</v>
      </c>
      <c r="C2706" s="0" t="s">
        <v>1286</v>
      </c>
      <c r="F2706" s="0" t="s">
        <v>1287</v>
      </c>
    </row>
    <row r="2707" customFormat="false" ht="12.8" hidden="false" customHeight="false" outlineLevel="0" collapsed="false">
      <c r="B2707" s="0" t="s">
        <v>14</v>
      </c>
      <c r="C2707" s="0" t="s">
        <v>1288</v>
      </c>
      <c r="F2707" s="0" t="s">
        <v>1289</v>
      </c>
    </row>
    <row r="2708" customFormat="false" ht="12.8" hidden="false" customHeight="false" outlineLevel="0" collapsed="false">
      <c r="B2708" s="0" t="s">
        <v>35</v>
      </c>
    </row>
    <row r="2710" customFormat="false" ht="12.8" hidden="false" customHeight="false" outlineLevel="0" collapsed="false">
      <c r="A2710" s="0" t="s">
        <v>1290</v>
      </c>
      <c r="B2710" s="0" t="str">
        <f aca="false">HYPERLINK("https://lindat.mff.cuni.cz/services/teitok/pdtc10/index.php?action=vallex&amp;frame=v-w1208f2", "chystat (v-w1208f2)")</f>
        <v>chystat (v-w1208f2)</v>
      </c>
    </row>
    <row r="2711" customFormat="false" ht="12.8" hidden="false" customHeight="false" outlineLevel="0" collapsed="false">
      <c r="B2711" s="0" t="s">
        <v>7</v>
      </c>
      <c r="C2711" s="0" t="s">
        <v>1291</v>
      </c>
      <c r="D2711" s="0" t="s">
        <v>1292</v>
      </c>
      <c r="E2711" s="0" t="s">
        <v>1292</v>
      </c>
      <c r="F2711" s="0" t="s">
        <v>1292</v>
      </c>
    </row>
    <row r="2712" customFormat="false" ht="12.8" hidden="false" customHeight="false" outlineLevel="0" collapsed="false">
      <c r="B2712" s="0" t="s">
        <v>14</v>
      </c>
      <c r="C2712" s="0" t="s">
        <v>1293</v>
      </c>
      <c r="D2712" s="0" t="s">
        <v>1294</v>
      </c>
      <c r="E2712" s="0" t="s">
        <v>1294</v>
      </c>
      <c r="F2712" s="0" t="s">
        <v>1294</v>
      </c>
    </row>
    <row r="2714" customFormat="false" ht="12.8" hidden="false" customHeight="false" outlineLevel="0" collapsed="false">
      <c r="A2714" s="0" t="s">
        <v>1295</v>
      </c>
      <c r="B2714" s="0" t="str">
        <f aca="false">HYPERLINK("https://lindat.mff.cuni.cz/services/teitok/pdtc10/index.php?action=vallex&amp;frame=v-w1209f2_ZU", "chystat se (v-w1209f2_ZU)")</f>
        <v>chystat se (v-w1209f2_ZU)</v>
      </c>
    </row>
    <row r="2715" customFormat="false" ht="12.8" hidden="false" customHeight="false" outlineLevel="0" collapsed="false">
      <c r="B2715" s="0" t="s">
        <v>7</v>
      </c>
    </row>
    <row r="2716" customFormat="false" ht="12.8" hidden="false" customHeight="false" outlineLevel="0" collapsed="false">
      <c r="B2716" s="0" t="s">
        <v>1296</v>
      </c>
    </row>
    <row r="2718" customFormat="false" ht="12.8" hidden="false" customHeight="false" outlineLevel="0" collapsed="false">
      <c r="A2718" s="0" t="s">
        <v>1295</v>
      </c>
      <c r="B2718" s="0" t="str">
        <f aca="false">HYPERLINK("https://lindat.mff.cuni.cz/services/teitok/pdtc10/index.php?action=vallex&amp;frame=v-w1209f1", "chystat se (v-w1209f1) - substituted with v-w1209f2_ZU")</f>
        <v>chystat se (v-w1209f1) - substituted with v-w1209f2_ZU</v>
      </c>
    </row>
    <row r="2719" customFormat="false" ht="12.8" hidden="false" customHeight="false" outlineLevel="0" collapsed="false">
      <c r="B2719" s="0" t="s">
        <v>7</v>
      </c>
      <c r="C2719" s="0" t="s">
        <v>1297</v>
      </c>
      <c r="D2719" s="0" t="s">
        <v>1142</v>
      </c>
      <c r="E2719" s="0" t="s">
        <v>1142</v>
      </c>
      <c r="F2719" s="0" t="s">
        <v>1142</v>
      </c>
    </row>
    <row r="2720" customFormat="false" ht="12.8" hidden="false" customHeight="false" outlineLevel="0" collapsed="false">
      <c r="B2720" s="0" t="s">
        <v>1296</v>
      </c>
      <c r="C2720" s="0" t="s">
        <v>1298</v>
      </c>
      <c r="D2720" s="0" t="s">
        <v>1299</v>
      </c>
      <c r="E2720" s="0" t="s">
        <v>1299</v>
      </c>
      <c r="F2720" s="0" t="s">
        <v>1299</v>
      </c>
    </row>
    <row r="2722" customFormat="false" ht="12.8" hidden="false" customHeight="false" outlineLevel="0" collapsed="false">
      <c r="A2722" s="0" t="s">
        <v>1300</v>
      </c>
      <c r="B2722" s="0" t="str">
        <f aca="false">HYPERLINK("https://lindat.mff.cuni.cz/services/teitok/pdtc10/index.php?action=vallex&amp;frame=v-w1211f1", "chytat (v-w1211f1)")</f>
        <v>chytat (v-w1211f1)</v>
      </c>
    </row>
    <row r="2723" customFormat="false" ht="12.8" hidden="false" customHeight="false" outlineLevel="0" collapsed="false">
      <c r="B2723" s="0" t="s">
        <v>7</v>
      </c>
      <c r="C2723" s="0" t="s">
        <v>191</v>
      </c>
      <c r="D2723" s="0" t="s">
        <v>184</v>
      </c>
      <c r="E2723" s="0" t="s">
        <v>184</v>
      </c>
      <c r="F2723" s="0" t="s">
        <v>184</v>
      </c>
    </row>
    <row r="2724" customFormat="false" ht="12.8" hidden="false" customHeight="false" outlineLevel="0" collapsed="false">
      <c r="B2724" s="0" t="s">
        <v>14</v>
      </c>
      <c r="C2724" s="0" t="s">
        <v>78</v>
      </c>
      <c r="D2724" s="0" t="s">
        <v>567</v>
      </c>
      <c r="E2724" s="0" t="s">
        <v>567</v>
      </c>
      <c r="F2724" s="0" t="s">
        <v>567</v>
      </c>
    </row>
    <row r="2726" customFormat="false" ht="12.8" hidden="false" customHeight="false" outlineLevel="0" collapsed="false">
      <c r="A2726" s="0" t="s">
        <v>1301</v>
      </c>
      <c r="B2726" s="0" t="str">
        <f aca="false">HYPERLINK("https://lindat.mff.cuni.cz/services/teitok/pdtc10/index.php?action=vallex&amp;frame=v-w1211f6_ZU", "chytat (v-w1211f6_ZU)")</f>
        <v>chytat (v-w1211f6_ZU)</v>
      </c>
    </row>
    <row r="2727" customFormat="false" ht="12.8" hidden="false" customHeight="false" outlineLevel="0" collapsed="false">
      <c r="B2727" s="0" t="s">
        <v>7</v>
      </c>
    </row>
    <row r="2728" customFormat="false" ht="12.8" hidden="false" customHeight="false" outlineLevel="0" collapsed="false">
      <c r="B2728" s="0" t="s">
        <v>14</v>
      </c>
    </row>
    <row r="2730" customFormat="false" ht="12.8" hidden="false" customHeight="false" outlineLevel="0" collapsed="false">
      <c r="A2730" s="0" t="s">
        <v>1301</v>
      </c>
      <c r="B2730" s="0" t="str">
        <f aca="false">HYPERLINK("https://lindat.mff.cuni.cz/services/teitok/pdtc10/index.php?action=vallex&amp;frame=v-w1211f3", "chytat (v-w1211f3) - substituted with v-w1211f6_ZU")</f>
        <v>chytat (v-w1211f3) - substituted with v-w1211f6_ZU</v>
      </c>
    </row>
    <row r="2731" customFormat="false" ht="12.8" hidden="false" customHeight="false" outlineLevel="0" collapsed="false">
      <c r="B2731" s="0" t="s">
        <v>7</v>
      </c>
      <c r="D2731" s="0" t="s">
        <v>46</v>
      </c>
      <c r="E2731" s="0" t="s">
        <v>46</v>
      </c>
      <c r="F2731" s="0" t="s">
        <v>46</v>
      </c>
    </row>
    <row r="2732" customFormat="false" ht="12.8" hidden="false" customHeight="false" outlineLevel="0" collapsed="false">
      <c r="B2732" s="0" t="s">
        <v>14</v>
      </c>
      <c r="D2732" s="0" t="s">
        <v>78</v>
      </c>
      <c r="E2732" s="0" t="s">
        <v>78</v>
      </c>
      <c r="F2732" s="0" t="s">
        <v>78</v>
      </c>
    </row>
    <row r="2734" customFormat="false" ht="12.8" hidden="false" customHeight="false" outlineLevel="0" collapsed="false">
      <c r="A2734" s="0" t="s">
        <v>1302</v>
      </c>
      <c r="B2734" s="0" t="str">
        <f aca="false">HYPERLINK("https://lindat.mff.cuni.cz/services/teitok/pdtc10/index.php?action=vallex&amp;frame=v-w1211f2", "chytat (v-w1211f2)")</f>
        <v>chytat (v-w1211f2)</v>
      </c>
    </row>
    <row r="2735" customFormat="false" ht="12.8" hidden="false" customHeight="false" outlineLevel="0" collapsed="false">
      <c r="B2735" s="0" t="s">
        <v>7</v>
      </c>
    </row>
    <row r="2736" customFormat="false" ht="12.8" hidden="false" customHeight="false" outlineLevel="0" collapsed="false">
      <c r="B2736" s="0" t="s">
        <v>14</v>
      </c>
    </row>
    <row r="2738" customFormat="false" ht="12.8" hidden="false" customHeight="false" outlineLevel="0" collapsed="false">
      <c r="A2738" s="0" t="s">
        <v>1303</v>
      </c>
      <c r="B2738" s="0" t="str">
        <f aca="false">HYPERLINK("https://lindat.mff.cuni.cz/services/teitok/pdtc10/index.php?action=vallex&amp;frame=v-w1211f4_ZU", "chytat (v-w1211f4_ZU)")</f>
        <v>chytat (v-w1211f4_ZU)</v>
      </c>
    </row>
    <row r="2739" customFormat="false" ht="12.8" hidden="false" customHeight="false" outlineLevel="0" collapsed="false">
      <c r="B2739" s="0" t="s">
        <v>7</v>
      </c>
    </row>
    <row r="2741" customFormat="false" ht="12.8" hidden="false" customHeight="false" outlineLevel="0" collapsed="false">
      <c r="A2741" s="0" t="s">
        <v>1303</v>
      </c>
      <c r="B2741" s="0" t="str">
        <f aca="false">HYPERLINK("https://lindat.mff.cuni.cz/services/teitok/pdtc10/index.php?action=vallex&amp;frame=v-w1211hsa_1222", "chytat (v-w1211hsa_1222) - substituted with v-w1211f4_ZU")</f>
        <v>chytat (v-w1211hsa_1222) - substituted with v-w1211f4_ZU</v>
      </c>
    </row>
    <row r="2742" customFormat="false" ht="12.8" hidden="false" customHeight="false" outlineLevel="0" collapsed="false">
      <c r="B2742" s="0" t="s">
        <v>7</v>
      </c>
    </row>
    <row r="2744" customFormat="false" ht="12.8" hidden="false" customHeight="false" outlineLevel="0" collapsed="false">
      <c r="A2744" s="0" t="s">
        <v>1304</v>
      </c>
      <c r="B2744" s="0" t="str">
        <f aca="false">HYPERLINK("https://lindat.mff.cuni.cz/services/teitok/pdtc10/index.php?action=vallex&amp;frame=v-w1211f5_ZU", "chytat (v-w1211f5_ZU)")</f>
        <v>chytat (v-w1211f5_ZU)</v>
      </c>
    </row>
    <row r="2745" customFormat="false" ht="12.8" hidden="false" customHeight="false" outlineLevel="0" collapsed="false">
      <c r="B2745" s="0" t="s">
        <v>7</v>
      </c>
    </row>
    <row r="2746" customFormat="false" ht="12.8" hidden="false" customHeight="false" outlineLevel="0" collapsed="false">
      <c r="B2746" s="0" t="s">
        <v>14</v>
      </c>
    </row>
    <row r="2748" customFormat="false" ht="12.8" hidden="false" customHeight="false" outlineLevel="0" collapsed="false">
      <c r="A2748" s="0" t="s">
        <v>1305</v>
      </c>
      <c r="B2748" s="0" t="str">
        <f aca="false">HYPERLINK("https://lindat.mff.cuni.cz/services/teitok/pdtc10/index.php?action=vallex&amp;frame=v-w1211hsa_1038", "chytat (v-w1211hsa_1038)")</f>
        <v>chytat (v-w1211hsa_1038)</v>
      </c>
    </row>
    <row r="2749" customFormat="false" ht="12.8" hidden="false" customHeight="false" outlineLevel="0" collapsed="false">
      <c r="B2749" s="0" t="s">
        <v>7</v>
      </c>
    </row>
    <row r="2750" customFormat="false" ht="12.8" hidden="false" customHeight="false" outlineLevel="0" collapsed="false">
      <c r="B2750" s="0" t="s">
        <v>14</v>
      </c>
    </row>
    <row r="2752" customFormat="false" ht="12.8" hidden="false" customHeight="false" outlineLevel="0" collapsed="false">
      <c r="A2752" s="0" t="s">
        <v>1306</v>
      </c>
      <c r="B2752" s="0" t="str">
        <f aca="false">HYPERLINK("https://lindat.mff.cuni.cz/services/teitok/pdtc10/index.php?action=vallex&amp;frame=v-w11256f1", "chytat se (v-w11256f1)")</f>
        <v>chytat se (v-w11256f1)</v>
      </c>
    </row>
    <row r="2753" customFormat="false" ht="12.8" hidden="false" customHeight="false" outlineLevel="0" collapsed="false">
      <c r="B2753" s="0" t="s">
        <v>7</v>
      </c>
      <c r="E2753" s="0" t="s">
        <v>1307</v>
      </c>
      <c r="F2753" s="0" t="s">
        <v>1307</v>
      </c>
    </row>
    <row r="2754" customFormat="false" ht="12.8" hidden="false" customHeight="false" outlineLevel="0" collapsed="false">
      <c r="B2754" s="0" t="s">
        <v>1087</v>
      </c>
      <c r="E2754" s="0" t="s">
        <v>1308</v>
      </c>
      <c r="F2754" s="0" t="s">
        <v>1308</v>
      </c>
    </row>
    <row r="2756" customFormat="false" ht="12.8" hidden="false" customHeight="false" outlineLevel="0" collapsed="false">
      <c r="A2756" s="0" t="s">
        <v>1309</v>
      </c>
      <c r="B2756" s="0" t="str">
        <f aca="false">HYPERLINK("https://lindat.mff.cuni.cz/services/teitok/pdtc10/index.php?action=vallex&amp;frame=v-w11256f2_ZU", "chytat se (v-w11256f2_ZU)")</f>
        <v>chytat se (v-w11256f2_ZU)</v>
      </c>
    </row>
    <row r="2757" customFormat="false" ht="12.8" hidden="false" customHeight="false" outlineLevel="0" collapsed="false">
      <c r="B2757" s="0" t="s">
        <v>7</v>
      </c>
    </row>
    <row r="2758" customFormat="false" ht="12.8" hidden="false" customHeight="false" outlineLevel="0" collapsed="false">
      <c r="B2758" s="0" t="s">
        <v>1310</v>
      </c>
    </row>
    <row r="2760" customFormat="false" ht="12.8" hidden="false" customHeight="false" outlineLevel="0" collapsed="false">
      <c r="A2760" s="0" t="s">
        <v>1309</v>
      </c>
      <c r="B2760" s="0" t="str">
        <f aca="false">HYPERLINK("https://lindat.mff.cuni.cz/services/teitok/pdtc10/index.php?action=vallex&amp;frame=v-w11256hsa_1825", "chytat se (v-w11256hsa_1825) - substituted with v-w11256f2_ZU")</f>
        <v>chytat se (v-w11256hsa_1825) - substituted with v-w11256f2_ZU</v>
      </c>
    </row>
    <row r="2761" customFormat="false" ht="12.8" hidden="false" customHeight="false" outlineLevel="0" collapsed="false">
      <c r="B2761" s="0" t="s">
        <v>7</v>
      </c>
    </row>
    <row r="2762" customFormat="false" ht="12.8" hidden="false" customHeight="false" outlineLevel="0" collapsed="false">
      <c r="B2762" s="0" t="s">
        <v>1310</v>
      </c>
    </row>
    <row r="2764" customFormat="false" ht="12.8" hidden="false" customHeight="false" outlineLevel="0" collapsed="false">
      <c r="A2764" s="0" t="s">
        <v>1311</v>
      </c>
      <c r="B2764" s="0" t="str">
        <f aca="false">HYPERLINK("https://lindat.mff.cuni.cz/services/teitok/pdtc10/index.php?action=vallex&amp;frame=v-w11256f4_ZU", "chytat se (v-w11256f4_ZU)")</f>
        <v>chytat se (v-w11256f4_ZU)</v>
      </c>
    </row>
    <row r="2765" customFormat="false" ht="12.8" hidden="false" customHeight="false" outlineLevel="0" collapsed="false">
      <c r="B2765" s="0" t="s">
        <v>7</v>
      </c>
    </row>
    <row r="2766" customFormat="false" ht="12.8" hidden="false" customHeight="false" outlineLevel="0" collapsed="false">
      <c r="B2766" s="0" t="s">
        <v>1087</v>
      </c>
    </row>
    <row r="2768" customFormat="false" ht="12.8" hidden="false" customHeight="false" outlineLevel="0" collapsed="false">
      <c r="A2768" s="0" t="s">
        <v>1311</v>
      </c>
      <c r="B2768" s="0" t="str">
        <f aca="false">HYPERLINK("https://lindat.mff.cuni.cz/services/teitok/pdtc10/index.php?action=vallex&amp;frame=v-w11256f3_ZU", "chytat se (v-w11256f3_ZU) - substituted with v-w11256f4_ZU")</f>
        <v>chytat se (v-w11256f3_ZU) - substituted with v-w11256f4_ZU</v>
      </c>
    </row>
    <row r="2769" customFormat="false" ht="12.8" hidden="false" customHeight="false" outlineLevel="0" collapsed="false">
      <c r="B2769" s="0" t="s">
        <v>7</v>
      </c>
    </row>
    <row r="2770" customFormat="false" ht="12.8" hidden="false" customHeight="false" outlineLevel="0" collapsed="false">
      <c r="B2770" s="0" t="s">
        <v>1087</v>
      </c>
    </row>
    <row r="2772" customFormat="false" ht="12.8" hidden="false" customHeight="false" outlineLevel="0" collapsed="false">
      <c r="A2772" s="0" t="s">
        <v>1312</v>
      </c>
      <c r="B2772" s="0" t="str">
        <f aca="false">HYPERLINK("https://lindat.mff.cuni.cz/services/teitok/pdtc10/index.php?action=vallex&amp;frame=v-w1212f1", "chytit (v-w1212f1)")</f>
        <v>chytit (v-w1212f1)</v>
      </c>
    </row>
    <row r="2773" customFormat="false" ht="12.8" hidden="false" customHeight="false" outlineLevel="0" collapsed="false">
      <c r="B2773" s="0" t="s">
        <v>7</v>
      </c>
      <c r="C2773" s="0" t="s">
        <v>23</v>
      </c>
      <c r="D2773" s="0" t="s">
        <v>184</v>
      </c>
      <c r="E2773" s="0" t="s">
        <v>184</v>
      </c>
      <c r="F2773" s="0" t="s">
        <v>184</v>
      </c>
    </row>
    <row r="2774" customFormat="false" ht="12.8" hidden="false" customHeight="false" outlineLevel="0" collapsed="false">
      <c r="B2774" s="0" t="s">
        <v>14</v>
      </c>
      <c r="C2774" s="0" t="s">
        <v>1313</v>
      </c>
      <c r="D2774" s="0" t="s">
        <v>567</v>
      </c>
      <c r="E2774" s="0" t="s">
        <v>567</v>
      </c>
      <c r="F2774" s="0" t="s">
        <v>567</v>
      </c>
    </row>
    <row r="2776" customFormat="false" ht="12.8" hidden="false" customHeight="false" outlineLevel="0" collapsed="false">
      <c r="A2776" s="0" t="s">
        <v>1314</v>
      </c>
      <c r="B2776" s="0" t="str">
        <f aca="false">HYPERLINK("https://lindat.mff.cuni.cz/services/teitok/pdtc10/index.php?action=vallex&amp;frame=v-w1212f10_ZU", "chytit (v-w1212f10_ZU)")</f>
        <v>chytit (v-w1212f10_ZU)</v>
      </c>
    </row>
    <row r="2777" customFormat="false" ht="12.8" hidden="false" customHeight="false" outlineLevel="0" collapsed="false">
      <c r="B2777" s="0" t="s">
        <v>7</v>
      </c>
    </row>
    <row r="2778" customFormat="false" ht="12.8" hidden="false" customHeight="false" outlineLevel="0" collapsed="false">
      <c r="B2778" s="0" t="s">
        <v>14</v>
      </c>
    </row>
    <row r="2780" customFormat="false" ht="12.8" hidden="false" customHeight="false" outlineLevel="0" collapsed="false">
      <c r="A2780" s="0" t="s">
        <v>1314</v>
      </c>
      <c r="B2780" s="0" t="str">
        <f aca="false">HYPERLINK("https://lindat.mff.cuni.cz/services/teitok/pdtc10/index.php?action=vallex&amp;frame=v-w1212f3", "chytit (v-w1212f3) - substituted with v-w1212f10_ZU")</f>
        <v>chytit (v-w1212f3) - substituted with v-w1212f10_ZU</v>
      </c>
    </row>
    <row r="2781" customFormat="false" ht="12.8" hidden="false" customHeight="false" outlineLevel="0" collapsed="false">
      <c r="B2781" s="0" t="s">
        <v>7</v>
      </c>
      <c r="C2781" s="0" t="s">
        <v>184</v>
      </c>
      <c r="D2781" s="0" t="s">
        <v>46</v>
      </c>
      <c r="E2781" s="0" t="s">
        <v>46</v>
      </c>
      <c r="F2781" s="0" t="s">
        <v>46</v>
      </c>
    </row>
    <row r="2782" customFormat="false" ht="12.8" hidden="false" customHeight="false" outlineLevel="0" collapsed="false">
      <c r="B2782" s="0" t="s">
        <v>14</v>
      </c>
      <c r="C2782" s="0" t="s">
        <v>1315</v>
      </c>
      <c r="D2782" s="0" t="s">
        <v>78</v>
      </c>
      <c r="E2782" s="0" t="s">
        <v>78</v>
      </c>
      <c r="F2782" s="0" t="s">
        <v>78</v>
      </c>
    </row>
    <row r="2784" customFormat="false" ht="12.8" hidden="false" customHeight="false" outlineLevel="0" collapsed="false">
      <c r="A2784" s="0" t="s">
        <v>1316</v>
      </c>
      <c r="B2784" s="0" t="str">
        <f aca="false">HYPERLINK("https://lindat.mff.cuni.cz/services/teitok/pdtc10/index.php?action=vallex&amp;frame=v-w1212f4", "chytit (v-w1212f4)")</f>
        <v>chytit (v-w1212f4)</v>
      </c>
    </row>
    <row r="2785" customFormat="false" ht="12.8" hidden="false" customHeight="false" outlineLevel="0" collapsed="false">
      <c r="B2785" s="0" t="s">
        <v>7</v>
      </c>
    </row>
    <row r="2786" customFormat="false" ht="12.8" hidden="false" customHeight="false" outlineLevel="0" collapsed="false">
      <c r="B2786" s="0" t="s">
        <v>14</v>
      </c>
    </row>
    <row r="2788" customFormat="false" ht="12.8" hidden="false" customHeight="false" outlineLevel="0" collapsed="false">
      <c r="A2788" s="0" t="s">
        <v>1317</v>
      </c>
      <c r="B2788" s="0" t="str">
        <f aca="false">HYPERLINK("https://lindat.mff.cuni.cz/services/teitok/pdtc10/index.php?action=vallex&amp;frame=v-w1212f2", "chytit (v-w1212f2)")</f>
        <v>chytit (v-w1212f2)</v>
      </c>
    </row>
    <row r="2789" customFormat="false" ht="12.8" hidden="false" customHeight="false" outlineLevel="0" collapsed="false">
      <c r="B2789" s="0" t="s">
        <v>7</v>
      </c>
    </row>
    <row r="2790" customFormat="false" ht="12.8" hidden="false" customHeight="false" outlineLevel="0" collapsed="false">
      <c r="B2790" s="0" t="s">
        <v>581</v>
      </c>
    </row>
    <row r="2792" customFormat="false" ht="12.8" hidden="false" customHeight="false" outlineLevel="0" collapsed="false">
      <c r="A2792" s="0" t="s">
        <v>1318</v>
      </c>
      <c r="B2792" s="0" t="str">
        <f aca="false">HYPERLINK("https://lindat.mff.cuni.cz/services/teitok/pdtc10/index.php?action=vallex&amp;frame=v-w1212hsa_417", "chytit (v-w1212hsa_417)")</f>
        <v>chytit (v-w1212hsa_417)</v>
      </c>
    </row>
    <row r="2793" customFormat="false" ht="12.8" hidden="false" customHeight="false" outlineLevel="0" collapsed="false">
      <c r="B2793" s="0" t="s">
        <v>7</v>
      </c>
      <c r="C2793" s="0" t="s">
        <v>335</v>
      </c>
      <c r="D2793" s="0" t="s">
        <v>1319</v>
      </c>
      <c r="E2793" s="0" t="s">
        <v>1319</v>
      </c>
      <c r="F2793" s="0" t="s">
        <v>1319</v>
      </c>
    </row>
    <row r="2794" customFormat="false" ht="12.8" hidden="false" customHeight="false" outlineLevel="0" collapsed="false">
      <c r="B2794" s="0" t="s">
        <v>1320</v>
      </c>
      <c r="C2794" s="0" t="s">
        <v>1321</v>
      </c>
    </row>
    <row r="2796" customFormat="false" ht="12.8" hidden="false" customHeight="false" outlineLevel="0" collapsed="false">
      <c r="A2796" s="0" t="s">
        <v>1318</v>
      </c>
      <c r="B2796" s="0" t="str">
        <f aca="false">HYPERLINK("https://lindat.mff.cuni.cz/services/teitok/pdtc10/index.php?action=vallex&amp;frame=v-w1212f5_ZU", "chytit (v-w1212f5_ZU) - substituted with v-w1212hsa_417")</f>
        <v>chytit (v-w1212f5_ZU) - substituted with v-w1212hsa_417</v>
      </c>
    </row>
    <row r="2797" customFormat="false" ht="12.8" hidden="false" customHeight="false" outlineLevel="0" collapsed="false">
      <c r="B2797" s="0" t="s">
        <v>7</v>
      </c>
    </row>
    <row r="2798" customFormat="false" ht="12.8" hidden="false" customHeight="false" outlineLevel="0" collapsed="false">
      <c r="B2798" s="0" t="s">
        <v>1320</v>
      </c>
    </row>
    <row r="2800" customFormat="false" ht="12.8" hidden="false" customHeight="false" outlineLevel="0" collapsed="false">
      <c r="A2800" s="0" t="s">
        <v>1318</v>
      </c>
      <c r="B2800" s="0" t="str">
        <f aca="false">HYPERLINK("https://lindat.mff.cuni.cz/services/teitok/pdtc10/index.php?action=vallex&amp;frame=v-w1212f6_ZU", "chytit (v-w1212f6_ZU) - substituted with v-w1212hsa_417")</f>
        <v>chytit (v-w1212f6_ZU) - substituted with v-w1212hsa_417</v>
      </c>
    </row>
    <row r="2801" customFormat="false" ht="12.8" hidden="false" customHeight="false" outlineLevel="0" collapsed="false">
      <c r="B2801" s="0" t="s">
        <v>7</v>
      </c>
    </row>
    <row r="2802" customFormat="false" ht="12.8" hidden="false" customHeight="false" outlineLevel="0" collapsed="false">
      <c r="B2802" s="0" t="s">
        <v>1320</v>
      </c>
    </row>
    <row r="2804" customFormat="false" ht="12.8" hidden="false" customHeight="false" outlineLevel="0" collapsed="false">
      <c r="A2804" s="0" t="s">
        <v>1322</v>
      </c>
      <c r="B2804" s="0" t="str">
        <f aca="false">HYPERLINK("https://lindat.mff.cuni.cz/services/teitok/pdtc10/index.php?action=vallex&amp;frame=v-w1212f8_ZU", "chytit (v-w1212f8_ZU)")</f>
        <v>chytit (v-w1212f8_ZU)</v>
      </c>
    </row>
    <row r="2805" customFormat="false" ht="12.8" hidden="false" customHeight="false" outlineLevel="0" collapsed="false">
      <c r="B2805" s="0" t="s">
        <v>7</v>
      </c>
      <c r="C2805" s="0" t="s">
        <v>184</v>
      </c>
    </row>
    <row r="2806" customFormat="false" ht="12.8" hidden="false" customHeight="false" outlineLevel="0" collapsed="false">
      <c r="B2806" s="0" t="s">
        <v>1323</v>
      </c>
    </row>
    <row r="2807" customFormat="false" ht="12.8" hidden="false" customHeight="false" outlineLevel="0" collapsed="false">
      <c r="B2807" s="0" t="s">
        <v>14</v>
      </c>
      <c r="C2807" s="0" t="s">
        <v>115</v>
      </c>
    </row>
    <row r="2809" customFormat="false" ht="12.8" hidden="false" customHeight="false" outlineLevel="0" collapsed="false">
      <c r="A2809" s="0" t="s">
        <v>1322</v>
      </c>
      <c r="B2809" s="0" t="str">
        <f aca="false">HYPERLINK("https://lindat.mff.cuni.cz/services/teitok/pdtc10/index.php?action=vallex&amp;frame=v-w1212hsa_418", "chytit (v-w1212hsa_418) - substituted with v-w1212f8_ZU")</f>
        <v>chytit (v-w1212hsa_418) - substituted with v-w1212f8_ZU</v>
      </c>
    </row>
    <row r="2810" customFormat="false" ht="12.8" hidden="false" customHeight="false" outlineLevel="0" collapsed="false">
      <c r="B2810" s="0" t="s">
        <v>7</v>
      </c>
    </row>
    <row r="2811" customFormat="false" ht="12.8" hidden="false" customHeight="false" outlineLevel="0" collapsed="false">
      <c r="B2811" s="0" t="s">
        <v>1323</v>
      </c>
    </row>
    <row r="2812" customFormat="false" ht="12.8" hidden="false" customHeight="false" outlineLevel="0" collapsed="false">
      <c r="B2812" s="0" t="s">
        <v>14</v>
      </c>
    </row>
    <row r="2814" customFormat="false" ht="12.8" hidden="false" customHeight="false" outlineLevel="0" collapsed="false">
      <c r="A2814" s="0" t="s">
        <v>1324</v>
      </c>
      <c r="B2814" s="0" t="str">
        <f aca="false">HYPERLINK("https://lindat.mff.cuni.cz/services/teitok/pdtc10/index.php?action=vallex&amp;frame=v-w1212f7_ZU", "chytit (v-w1212f7_ZU)")</f>
        <v>chytit (v-w1212f7_ZU)</v>
      </c>
    </row>
    <row r="2815" customFormat="false" ht="12.8" hidden="false" customHeight="false" outlineLevel="0" collapsed="false">
      <c r="B2815" s="0" t="s">
        <v>7</v>
      </c>
      <c r="C2815" s="0" t="s">
        <v>191</v>
      </c>
    </row>
    <row r="2816" customFormat="false" ht="12.8" hidden="false" customHeight="false" outlineLevel="0" collapsed="false">
      <c r="B2816" s="0" t="s">
        <v>1325</v>
      </c>
      <c r="C2816" s="0" t="s">
        <v>1326</v>
      </c>
    </row>
    <row r="2818" customFormat="false" ht="12.8" hidden="false" customHeight="false" outlineLevel="0" collapsed="false">
      <c r="A2818" s="0" t="s">
        <v>1327</v>
      </c>
      <c r="B2818" s="0" t="str">
        <f aca="false">HYPERLINK("https://lindat.mff.cuni.cz/services/teitok/pdtc10/index.php?action=vallex&amp;frame=v-w1212f9_ZU", "chytit (v-w1212f9_ZU)")</f>
        <v>chytit (v-w1212f9_ZU)</v>
      </c>
    </row>
    <row r="2819" customFormat="false" ht="12.8" hidden="false" customHeight="false" outlineLevel="0" collapsed="false">
      <c r="B2819" s="0" t="s">
        <v>7</v>
      </c>
    </row>
    <row r="2820" customFormat="false" ht="12.8" hidden="false" customHeight="false" outlineLevel="0" collapsed="false">
      <c r="B2820" s="0" t="s">
        <v>14</v>
      </c>
    </row>
    <row r="2822" customFormat="false" ht="12.8" hidden="false" customHeight="false" outlineLevel="0" collapsed="false">
      <c r="A2822" s="0" t="s">
        <v>1328</v>
      </c>
      <c r="B2822" s="0" t="str">
        <f aca="false">HYPERLINK("https://lindat.mff.cuni.cz/services/teitok/pdtc10/index.php?action=vallex&amp;frame=v-w1212hsa_1421", "chytit (v-w1212hsa_1421)")</f>
        <v>chytit (v-w1212hsa_1421)</v>
      </c>
    </row>
    <row r="2823" customFormat="false" ht="12.8" hidden="false" customHeight="false" outlineLevel="0" collapsed="false">
      <c r="B2823" s="0" t="s">
        <v>7</v>
      </c>
    </row>
    <row r="2824" customFormat="false" ht="12.8" hidden="false" customHeight="false" outlineLevel="0" collapsed="false">
      <c r="B2824" s="0" t="s">
        <v>14</v>
      </c>
    </row>
    <row r="2826" customFormat="false" ht="12.8" hidden="false" customHeight="false" outlineLevel="0" collapsed="false">
      <c r="A2826" s="0" t="s">
        <v>1329</v>
      </c>
      <c r="B2826" s="0" t="str">
        <f aca="false">HYPERLINK("https://lindat.mff.cuni.cz/services/teitok/pdtc10/index.php?action=vallex&amp;frame=v-w1212hsa_1422", "chytit (v-w1212hsa_1422)")</f>
        <v>chytit (v-w1212hsa_1422)</v>
      </c>
    </row>
    <row r="2827" customFormat="false" ht="12.8" hidden="false" customHeight="false" outlineLevel="0" collapsed="false">
      <c r="B2827" s="0" t="s">
        <v>7</v>
      </c>
    </row>
    <row r="2828" customFormat="false" ht="12.8" hidden="false" customHeight="false" outlineLevel="0" collapsed="false">
      <c r="B2828" s="0" t="s">
        <v>14</v>
      </c>
    </row>
    <row r="2830" customFormat="false" ht="12.8" hidden="false" customHeight="false" outlineLevel="0" collapsed="false">
      <c r="A2830" s="0" t="s">
        <v>1330</v>
      </c>
      <c r="B2830" s="0" t="str">
        <f aca="false">HYPERLINK("https://lindat.mff.cuni.cz/services/teitok/pdtc10/index.php?action=vallex&amp;frame=v-w1212hsa_1423", "chytit (v-w1212hsa_1423)")</f>
        <v>chytit (v-w1212hsa_1423)</v>
      </c>
    </row>
    <row r="2831" customFormat="false" ht="12.8" hidden="false" customHeight="false" outlineLevel="0" collapsed="false">
      <c r="B2831" s="0" t="s">
        <v>7</v>
      </c>
    </row>
    <row r="2832" customFormat="false" ht="12.8" hidden="false" customHeight="false" outlineLevel="0" collapsed="false">
      <c r="B2832" s="0" t="s">
        <v>14</v>
      </c>
    </row>
    <row r="2833" customFormat="false" ht="12.8" hidden="false" customHeight="false" outlineLevel="0" collapsed="false">
      <c r="B2833" s="0" t="s">
        <v>441</v>
      </c>
    </row>
    <row r="2835" customFormat="false" ht="12.8" hidden="false" customHeight="false" outlineLevel="0" collapsed="false">
      <c r="A2835" s="0" t="s">
        <v>1331</v>
      </c>
      <c r="B2835" s="0" t="str">
        <f aca="false">HYPERLINK("https://lindat.mff.cuni.cz/services/teitok/pdtc10/index.php?action=vallex&amp;frame=v-w1213f3", "chytit se (v-w1213f3)")</f>
        <v>chytit se (v-w1213f3)</v>
      </c>
    </row>
    <row r="2836" customFormat="false" ht="12.8" hidden="false" customHeight="false" outlineLevel="0" collapsed="false">
      <c r="B2836" s="0" t="s">
        <v>7</v>
      </c>
      <c r="C2836" s="0" t="s">
        <v>1332</v>
      </c>
      <c r="D2836" s="0" t="s">
        <v>184</v>
      </c>
      <c r="E2836" s="0" t="s">
        <v>184</v>
      </c>
      <c r="F2836" s="0" t="s">
        <v>184</v>
      </c>
    </row>
    <row r="2837" customFormat="false" ht="12.8" hidden="false" customHeight="false" outlineLevel="0" collapsed="false">
      <c r="B2837" s="0" t="s">
        <v>1087</v>
      </c>
      <c r="C2837" s="0" t="s">
        <v>1333</v>
      </c>
      <c r="D2837" s="0" t="s">
        <v>115</v>
      </c>
      <c r="E2837" s="0" t="s">
        <v>115</v>
      </c>
      <c r="F2837" s="0" t="s">
        <v>115</v>
      </c>
    </row>
    <row r="2839" customFormat="false" ht="12.8" hidden="false" customHeight="false" outlineLevel="0" collapsed="false">
      <c r="A2839" s="0" t="s">
        <v>1334</v>
      </c>
      <c r="B2839" s="0" t="str">
        <f aca="false">HYPERLINK("https://lindat.mff.cuni.cz/services/teitok/pdtc10/index.php?action=vallex&amp;frame=v-w1213f4", "chytit se (v-w1213f4)")</f>
        <v>chytit se (v-w1213f4)</v>
      </c>
    </row>
    <row r="2840" customFormat="false" ht="12.8" hidden="false" customHeight="false" outlineLevel="0" collapsed="false">
      <c r="B2840" s="0" t="s">
        <v>7</v>
      </c>
      <c r="C2840" s="0" t="s">
        <v>569</v>
      </c>
    </row>
    <row r="2841" customFormat="false" ht="12.8" hidden="false" customHeight="false" outlineLevel="0" collapsed="false">
      <c r="B2841" s="0" t="s">
        <v>1087</v>
      </c>
      <c r="C2841" s="0" t="s">
        <v>384</v>
      </c>
    </row>
    <row r="2843" customFormat="false" ht="12.8" hidden="false" customHeight="false" outlineLevel="0" collapsed="false">
      <c r="A2843" s="0" t="s">
        <v>1335</v>
      </c>
      <c r="B2843" s="0" t="str">
        <f aca="false">HYPERLINK("https://lindat.mff.cuni.cz/services/teitok/pdtc10/index.php?action=vallex&amp;frame=v-w1213f5_ZU", "chytit se (v-w1213f5_ZU)")</f>
        <v>chytit se (v-w1213f5_ZU)</v>
      </c>
    </row>
    <row r="2844" customFormat="false" ht="12.8" hidden="false" customHeight="false" outlineLevel="0" collapsed="false">
      <c r="B2844" s="0" t="s">
        <v>7</v>
      </c>
      <c r="C2844" s="0" t="s">
        <v>1336</v>
      </c>
      <c r="D2844" s="0" t="s">
        <v>272</v>
      </c>
      <c r="E2844" s="0" t="s">
        <v>272</v>
      </c>
      <c r="F2844" s="0" t="s">
        <v>272</v>
      </c>
    </row>
    <row r="2845" customFormat="false" ht="12.8" hidden="false" customHeight="false" outlineLevel="0" collapsed="false">
      <c r="B2845" s="0" t="s">
        <v>338</v>
      </c>
      <c r="D2845" s="0" t="s">
        <v>1337</v>
      </c>
      <c r="E2845" s="0" t="s">
        <v>1337</v>
      </c>
      <c r="F2845" s="0" t="s">
        <v>1337</v>
      </c>
    </row>
    <row r="2847" customFormat="false" ht="12.8" hidden="false" customHeight="false" outlineLevel="0" collapsed="false">
      <c r="A2847" s="0" t="s">
        <v>1338</v>
      </c>
      <c r="B2847" s="0" t="str">
        <f aca="false">HYPERLINK("https://lindat.mff.cuni.cz/services/teitok/pdtc10/index.php?action=vallex&amp;frame=v-w1213f1", "chytit se (v-w1213f1)")</f>
        <v>chytit se (v-w1213f1)</v>
      </c>
    </row>
    <row r="2848" customFormat="false" ht="12.8" hidden="false" customHeight="false" outlineLevel="0" collapsed="false">
      <c r="B2848" s="0" t="s">
        <v>7</v>
      </c>
    </row>
    <row r="2850" customFormat="false" ht="12.8" hidden="false" customHeight="false" outlineLevel="0" collapsed="false">
      <c r="A2850" s="0" t="s">
        <v>1339</v>
      </c>
      <c r="B2850" s="0" t="str">
        <f aca="false">HYPERLINK("https://lindat.mff.cuni.cz/services/teitok/pdtc10/index.php?action=vallex&amp;frame=v-w1213f8_ZU", "chytit se (v-w1213f8_ZU)")</f>
        <v>chytit se (v-w1213f8_ZU)</v>
      </c>
    </row>
    <row r="2851" customFormat="false" ht="12.8" hidden="false" customHeight="false" outlineLevel="0" collapsed="false">
      <c r="B2851" s="0" t="s">
        <v>7</v>
      </c>
    </row>
    <row r="2853" customFormat="false" ht="12.8" hidden="false" customHeight="false" outlineLevel="0" collapsed="false">
      <c r="A2853" s="0" t="s">
        <v>1339</v>
      </c>
      <c r="B2853" s="0" t="str">
        <f aca="false">HYPERLINK("https://lindat.mff.cuni.cz/services/teitok/pdtc10/index.php?action=vallex&amp;frame=v-w1213f2", "chytit se (v-w1213f2) - substituted with v-w1213f8_ZU")</f>
        <v>chytit se (v-w1213f2) - substituted with v-w1213f8_ZU</v>
      </c>
    </row>
    <row r="2854" customFormat="false" ht="12.8" hidden="false" customHeight="false" outlineLevel="0" collapsed="false">
      <c r="B2854" s="0" t="s">
        <v>7</v>
      </c>
    </row>
    <row r="2856" customFormat="false" ht="12.8" hidden="false" customHeight="false" outlineLevel="0" collapsed="false">
      <c r="A2856" s="0" t="s">
        <v>1340</v>
      </c>
      <c r="B2856" s="0" t="str">
        <f aca="false">HYPERLINK("https://lindat.mff.cuni.cz/services/teitok/pdtc10/index.php?action=vallex&amp;frame=v-w1213f6_ZU", "chytit se (v-w1213f6_ZU)")</f>
        <v>chytit se (v-w1213f6_ZU)</v>
      </c>
    </row>
    <row r="2857" customFormat="false" ht="12.8" hidden="false" customHeight="false" outlineLevel="0" collapsed="false">
      <c r="B2857" s="0" t="s">
        <v>7</v>
      </c>
    </row>
    <row r="2858" customFormat="false" ht="12.8" hidden="false" customHeight="false" outlineLevel="0" collapsed="false">
      <c r="B2858" s="0" t="s">
        <v>615</v>
      </c>
    </row>
    <row r="2860" customFormat="false" ht="12.8" hidden="false" customHeight="false" outlineLevel="0" collapsed="false">
      <c r="A2860" s="0" t="s">
        <v>1340</v>
      </c>
      <c r="B2860" s="0" t="str">
        <f aca="false">HYPERLINK("https://lindat.mff.cuni.cz/services/teitok/pdtc10/index.php?action=vallex&amp;frame=v-w1213hsa_791", "chytit se (v-w1213hsa_791) - substituted with v-w1213f6_ZU")</f>
        <v>chytit se (v-w1213hsa_791) - substituted with v-w1213f6_ZU</v>
      </c>
    </row>
    <row r="2861" customFormat="false" ht="12.8" hidden="false" customHeight="false" outlineLevel="0" collapsed="false">
      <c r="B2861" s="0" t="s">
        <v>7</v>
      </c>
    </row>
    <row r="2862" customFormat="false" ht="12.8" hidden="false" customHeight="false" outlineLevel="0" collapsed="false">
      <c r="B2862" s="0" t="s">
        <v>615</v>
      </c>
    </row>
    <row r="2864" customFormat="false" ht="12.8" hidden="false" customHeight="false" outlineLevel="0" collapsed="false">
      <c r="A2864" s="0" t="s">
        <v>1341</v>
      </c>
      <c r="B2864" s="0" t="str">
        <f aca="false">HYPERLINK("https://lindat.mff.cuni.cz/services/teitok/pdtc10/index.php?action=vallex&amp;frame=v-w1213f7_ZU", "chytit se (v-w1213f7_ZU)")</f>
        <v>chytit se (v-w1213f7_ZU)</v>
      </c>
    </row>
    <row r="2865" customFormat="false" ht="12.8" hidden="false" customHeight="false" outlineLevel="0" collapsed="false">
      <c r="B2865" s="0" t="s">
        <v>7</v>
      </c>
    </row>
    <row r="2866" customFormat="false" ht="12.8" hidden="false" customHeight="false" outlineLevel="0" collapsed="false">
      <c r="B2866" s="0" t="s">
        <v>548</v>
      </c>
    </row>
    <row r="2868" customFormat="false" ht="12.8" hidden="false" customHeight="false" outlineLevel="0" collapsed="false">
      <c r="A2868" s="0" t="s">
        <v>1342</v>
      </c>
      <c r="B2868" s="0" t="str">
        <f aca="false">HYPERLINK("https://lindat.mff.cuni.cz/services/teitok/pdtc10/index.php?action=vallex&amp;frame=v-whsa_1015f1_ZU", "chytnout (v-whsa_1015f1_ZU)")</f>
        <v>chytnout (v-whsa_1015f1_ZU)</v>
      </c>
    </row>
    <row r="2869" customFormat="false" ht="12.8" hidden="false" customHeight="false" outlineLevel="0" collapsed="false">
      <c r="B2869" s="0" t="s">
        <v>7</v>
      </c>
    </row>
    <row r="2871" customFormat="false" ht="12.8" hidden="false" customHeight="false" outlineLevel="0" collapsed="false">
      <c r="A2871" s="0" t="s">
        <v>1342</v>
      </c>
      <c r="B2871" s="0" t="str">
        <f aca="false">HYPERLINK("https://lindat.mff.cuni.cz/services/teitok/pdtc10/index.php?action=vallex&amp;frame=v-whsa_1015hsa_1016", "chytnout (v-whsa_1015hsa_1016) - substituted with v-whsa_1015f1_ZU")</f>
        <v>chytnout (v-whsa_1015hsa_1016) - substituted with v-whsa_1015f1_ZU</v>
      </c>
    </row>
    <row r="2872" customFormat="false" ht="12.8" hidden="false" customHeight="false" outlineLevel="0" collapsed="false">
      <c r="B2872" s="0" t="s">
        <v>7</v>
      </c>
    </row>
    <row r="2874" customFormat="false" ht="12.8" hidden="false" customHeight="false" outlineLevel="0" collapsed="false">
      <c r="A2874" s="0" t="s">
        <v>1343</v>
      </c>
      <c r="B2874" s="0" t="str">
        <f aca="false">HYPERLINK("https://lindat.mff.cuni.cz/services/teitok/pdtc10/index.php?action=vallex&amp;frame=v-whsa_1015f2_ZU", "chytnout (v-whsa_1015f2_ZU)")</f>
        <v>chytnout (v-whsa_1015f2_ZU)</v>
      </c>
    </row>
    <row r="2875" customFormat="false" ht="12.8" hidden="false" customHeight="false" outlineLevel="0" collapsed="false">
      <c r="B2875" s="0" t="s">
        <v>7</v>
      </c>
    </row>
    <row r="2876" customFormat="false" ht="12.8" hidden="false" customHeight="false" outlineLevel="0" collapsed="false">
      <c r="B2876" s="0" t="s">
        <v>14</v>
      </c>
    </row>
    <row r="2878" customFormat="false" ht="12.8" hidden="false" customHeight="false" outlineLevel="0" collapsed="false">
      <c r="A2878" s="0" t="s">
        <v>1344</v>
      </c>
      <c r="B2878" s="0" t="str">
        <f aca="false">HYPERLINK("https://lindat.mff.cuni.cz/services/teitok/pdtc10/index.php?action=vallex&amp;frame=v-whsa_1015f3_ZU", "chytnout (v-whsa_1015f3_ZU)")</f>
        <v>chytnout (v-whsa_1015f3_ZU)</v>
      </c>
    </row>
    <row r="2879" customFormat="false" ht="12.8" hidden="false" customHeight="false" outlineLevel="0" collapsed="false">
      <c r="B2879" s="0" t="s">
        <v>7</v>
      </c>
    </row>
    <row r="2880" customFormat="false" ht="12.8" hidden="false" customHeight="false" outlineLevel="0" collapsed="false">
      <c r="B2880" s="0" t="s">
        <v>14</v>
      </c>
    </row>
    <row r="2882" customFormat="false" ht="12.8" hidden="false" customHeight="false" outlineLevel="0" collapsed="false">
      <c r="A2882" s="0" t="s">
        <v>1345</v>
      </c>
      <c r="B2882" s="0" t="str">
        <f aca="false">HYPERLINK("https://lindat.mff.cuni.cz/services/teitok/pdtc10/index.php?action=vallex&amp;frame=v-whsa_1015f4_ZU", "chytnout (v-whsa_1015f4_ZU)")</f>
        <v>chytnout (v-whsa_1015f4_ZU)</v>
      </c>
    </row>
    <row r="2883" customFormat="false" ht="12.8" hidden="false" customHeight="false" outlineLevel="0" collapsed="false">
      <c r="B2883" s="0" t="s">
        <v>7</v>
      </c>
    </row>
    <row r="2884" customFormat="false" ht="12.8" hidden="false" customHeight="false" outlineLevel="0" collapsed="false">
      <c r="B2884" s="0" t="s">
        <v>14</v>
      </c>
    </row>
    <row r="2885" customFormat="false" ht="12.8" hidden="false" customHeight="false" outlineLevel="0" collapsed="false">
      <c r="B2885" s="0" t="s">
        <v>441</v>
      </c>
    </row>
    <row r="2887" customFormat="false" ht="12.8" hidden="false" customHeight="false" outlineLevel="0" collapsed="false">
      <c r="A2887" s="0" t="s">
        <v>1346</v>
      </c>
      <c r="B2887" s="0" t="str">
        <f aca="false">HYPERLINK("https://lindat.mff.cuni.cz/services/teitok/pdtc10/index.php?action=vallex&amp;frame=v-whsa_1015f5_ZU", "chytnout (v-whsa_1015f5_ZU)")</f>
        <v>chytnout (v-whsa_1015f5_ZU)</v>
      </c>
    </row>
    <row r="2888" customFormat="false" ht="12.8" hidden="false" customHeight="false" outlineLevel="0" collapsed="false">
      <c r="B2888" s="0" t="s">
        <v>7</v>
      </c>
    </row>
    <row r="2889" customFormat="false" ht="12.8" hidden="false" customHeight="false" outlineLevel="0" collapsed="false">
      <c r="B2889" s="0" t="s">
        <v>14</v>
      </c>
    </row>
    <row r="2891" customFormat="false" ht="12.8" hidden="false" customHeight="false" outlineLevel="0" collapsed="false">
      <c r="A2891" s="0" t="s">
        <v>1346</v>
      </c>
      <c r="B2891" s="0" t="str">
        <f aca="false">HYPERLINK("https://lindat.mff.cuni.cz/services/teitok/pdtc10/index.php?action=vallex&amp;frame=v-whsa_1015hsa_1017", "chytnout (v-whsa_1015hsa_1017) - substituted with v-whsa_1015f5_ZU")</f>
        <v>chytnout (v-whsa_1015hsa_1017) - substituted with v-whsa_1015f5_ZU</v>
      </c>
    </row>
    <row r="2892" customFormat="false" ht="12.8" hidden="false" customHeight="false" outlineLevel="0" collapsed="false">
      <c r="B2892" s="0" t="s">
        <v>7</v>
      </c>
    </row>
    <row r="2893" customFormat="false" ht="12.8" hidden="false" customHeight="false" outlineLevel="0" collapsed="false">
      <c r="B2893" s="0" t="s">
        <v>14</v>
      </c>
    </row>
    <row r="2895" customFormat="false" ht="12.8" hidden="false" customHeight="false" outlineLevel="0" collapsed="false">
      <c r="A2895" s="0" t="s">
        <v>1347</v>
      </c>
      <c r="B2895" s="0" t="str">
        <f aca="false">HYPERLINK("https://lindat.mff.cuni.cz/services/teitok/pdtc10/index.php?action=vallex&amp;frame=v-whsa_1015f6_ZU", "chytnout (v-whsa_1015f6_ZU)")</f>
        <v>chytnout (v-whsa_1015f6_ZU)</v>
      </c>
    </row>
    <row r="2896" customFormat="false" ht="12.8" hidden="false" customHeight="false" outlineLevel="0" collapsed="false">
      <c r="B2896" s="0" t="s">
        <v>7</v>
      </c>
    </row>
    <row r="2897" customFormat="false" ht="12.8" hidden="false" customHeight="false" outlineLevel="0" collapsed="false">
      <c r="B2897" s="0" t="s">
        <v>14</v>
      </c>
    </row>
    <row r="2899" customFormat="false" ht="12.8" hidden="false" customHeight="false" outlineLevel="0" collapsed="false">
      <c r="A2899" s="0" t="s">
        <v>1348</v>
      </c>
      <c r="B2899" s="0" t="str">
        <f aca="false">HYPERLINK("https://lindat.mff.cuni.cz/services/teitok/pdtc10/index.php?action=vallex&amp;frame=v-whsa_1015f7_ZU", "chytnout (v-whsa_1015f7_ZU)")</f>
        <v>chytnout (v-whsa_1015f7_ZU)</v>
      </c>
    </row>
    <row r="2900" customFormat="false" ht="12.8" hidden="false" customHeight="false" outlineLevel="0" collapsed="false">
      <c r="B2900" s="0" t="s">
        <v>7</v>
      </c>
    </row>
    <row r="2901" customFormat="false" ht="12.8" hidden="false" customHeight="false" outlineLevel="0" collapsed="false">
      <c r="B2901" s="0" t="s">
        <v>14</v>
      </c>
    </row>
    <row r="2902" customFormat="false" ht="12.8" hidden="false" customHeight="false" outlineLevel="0" collapsed="false">
      <c r="B2902" s="0" t="s">
        <v>1349</v>
      </c>
    </row>
    <row r="2904" customFormat="false" ht="12.8" hidden="false" customHeight="false" outlineLevel="0" collapsed="false">
      <c r="A2904" s="0" t="s">
        <v>1348</v>
      </c>
      <c r="B2904" s="0" t="str">
        <f aca="false">HYPERLINK("https://lindat.mff.cuni.cz/services/teitok/pdtc10/index.php?action=vallex&amp;frame=v-whsa_1015hsa_1020", "chytnout (v-whsa_1015hsa_1020) - substituted with v-whsa_1015f7_ZU")</f>
        <v>chytnout (v-whsa_1015hsa_1020) - substituted with v-whsa_1015f7_ZU</v>
      </c>
    </row>
    <row r="2905" customFormat="false" ht="12.8" hidden="false" customHeight="false" outlineLevel="0" collapsed="false">
      <c r="B2905" s="0" t="s">
        <v>7</v>
      </c>
    </row>
    <row r="2906" customFormat="false" ht="12.8" hidden="false" customHeight="false" outlineLevel="0" collapsed="false">
      <c r="B2906" s="0" t="s">
        <v>14</v>
      </c>
    </row>
    <row r="2907" customFormat="false" ht="12.8" hidden="false" customHeight="false" outlineLevel="0" collapsed="false">
      <c r="B2907" s="0" t="s">
        <v>1349</v>
      </c>
    </row>
    <row r="2909" customFormat="false" ht="12.8" hidden="false" customHeight="false" outlineLevel="0" collapsed="false">
      <c r="A2909" s="0" t="s">
        <v>1350</v>
      </c>
      <c r="B2909" s="0" t="str">
        <f aca="false">HYPERLINK("https://lindat.mff.cuni.cz/services/teitok/pdtc10/index.php?action=vallex&amp;frame=v-whsa_1015hsa_1018", "chytnout (v-whsa_1015hsa_1018)")</f>
        <v>chytnout (v-whsa_1015hsa_1018)</v>
      </c>
    </row>
    <row r="2910" customFormat="false" ht="12.8" hidden="false" customHeight="false" outlineLevel="0" collapsed="false">
      <c r="B2910" s="0" t="s">
        <v>7</v>
      </c>
    </row>
    <row r="2911" customFormat="false" ht="12.8" hidden="false" customHeight="false" outlineLevel="0" collapsed="false">
      <c r="B2911" s="0" t="s">
        <v>14</v>
      </c>
    </row>
    <row r="2913" customFormat="false" ht="12.8" hidden="false" customHeight="false" outlineLevel="0" collapsed="false">
      <c r="A2913" s="0" t="s">
        <v>1351</v>
      </c>
      <c r="B2913" s="0" t="str">
        <f aca="false">HYPERLINK("https://lindat.mff.cuni.cz/services/teitok/pdtc10/index.php?action=vallex&amp;frame=v-whsa_1015hsa_1019", "chytnout (v-whsa_1015hsa_1019)")</f>
        <v>chytnout (v-whsa_1015hsa_1019)</v>
      </c>
    </row>
    <row r="2914" customFormat="false" ht="12.8" hidden="false" customHeight="false" outlineLevel="0" collapsed="false">
      <c r="B2914" s="0" t="s">
        <v>7</v>
      </c>
    </row>
    <row r="2915" customFormat="false" ht="12.8" hidden="false" customHeight="false" outlineLevel="0" collapsed="false">
      <c r="B2915" s="0" t="s">
        <v>14</v>
      </c>
    </row>
    <row r="2917" customFormat="false" ht="12.8" hidden="false" customHeight="false" outlineLevel="0" collapsed="false">
      <c r="A2917" s="0" t="s">
        <v>1352</v>
      </c>
      <c r="B2917" s="0" t="str">
        <f aca="false">HYPERLINK("https://lindat.mff.cuni.cz/services/teitok/pdtc10/index.php?action=vallex&amp;frame=v-w1214f1", "chytnout se (v-w1214f1)")</f>
        <v>chytnout se (v-w1214f1)</v>
      </c>
    </row>
    <row r="2918" customFormat="false" ht="12.8" hidden="false" customHeight="false" outlineLevel="0" collapsed="false">
      <c r="B2918" s="0" t="s">
        <v>7</v>
      </c>
    </row>
    <row r="2920" customFormat="false" ht="12.8" hidden="false" customHeight="false" outlineLevel="0" collapsed="false">
      <c r="A2920" s="0" t="s">
        <v>1353</v>
      </c>
      <c r="B2920" s="0" t="str">
        <f aca="false">HYPERLINK("https://lindat.mff.cuni.cz/services/teitok/pdtc10/index.php?action=vallex&amp;frame=v-w1214f2_ZU", "chytnout se (v-w1214f2_ZU)")</f>
        <v>chytnout se (v-w1214f2_ZU)</v>
      </c>
    </row>
    <row r="2921" customFormat="false" ht="12.8" hidden="false" customHeight="false" outlineLevel="0" collapsed="false">
      <c r="B2921" s="0" t="s">
        <v>7</v>
      </c>
    </row>
    <row r="2922" customFormat="false" ht="12.8" hidden="false" customHeight="false" outlineLevel="0" collapsed="false">
      <c r="B2922" s="0" t="s">
        <v>1087</v>
      </c>
    </row>
    <row r="2924" customFormat="false" ht="12.8" hidden="false" customHeight="false" outlineLevel="0" collapsed="false">
      <c r="A2924" s="0" t="s">
        <v>1354</v>
      </c>
      <c r="B2924" s="0" t="str">
        <f aca="false">HYPERLINK("https://lindat.mff.cuni.cz/services/teitok/pdtc10/index.php?action=vallex&amp;frame=v-w1214f3_ZU", "chytnout se (v-w1214f3_ZU)")</f>
        <v>chytnout se (v-w1214f3_ZU)</v>
      </c>
    </row>
    <row r="2925" customFormat="false" ht="12.8" hidden="false" customHeight="false" outlineLevel="0" collapsed="false">
      <c r="B2925" s="0" t="s">
        <v>7</v>
      </c>
    </row>
    <row r="2926" customFormat="false" ht="12.8" hidden="false" customHeight="false" outlineLevel="0" collapsed="false">
      <c r="B2926" s="0" t="s">
        <v>1087</v>
      </c>
    </row>
    <row r="2928" customFormat="false" ht="12.8" hidden="false" customHeight="false" outlineLevel="0" collapsed="false">
      <c r="A2928" s="0" t="s">
        <v>1355</v>
      </c>
      <c r="B2928" s="0" t="str">
        <f aca="false">HYPERLINK("https://lindat.mff.cuni.cz/services/teitok/pdtc10/index.php?action=vallex&amp;frame=v-w1162f1", "chápat (v-w1162f1)")</f>
        <v>chápat (v-w1162f1)</v>
      </c>
    </row>
    <row r="2929" customFormat="false" ht="12.8" hidden="false" customHeight="false" outlineLevel="0" collapsed="false">
      <c r="B2929" s="0" t="s">
        <v>7</v>
      </c>
      <c r="C2929" s="0" t="s">
        <v>1356</v>
      </c>
      <c r="D2929" s="0" t="s">
        <v>451</v>
      </c>
      <c r="E2929" s="0" t="s">
        <v>451</v>
      </c>
      <c r="F2929" s="0" t="s">
        <v>451</v>
      </c>
    </row>
    <row r="2930" customFormat="false" ht="12.8" hidden="false" customHeight="false" outlineLevel="0" collapsed="false">
      <c r="B2930" s="0" t="s">
        <v>14</v>
      </c>
      <c r="C2930" s="0" t="s">
        <v>1357</v>
      </c>
      <c r="D2930" s="0" t="s">
        <v>453</v>
      </c>
      <c r="E2930" s="0" t="s">
        <v>453</v>
      </c>
      <c r="F2930" s="0" t="s">
        <v>453</v>
      </c>
    </row>
    <row r="2931" customFormat="false" ht="12.8" hidden="false" customHeight="false" outlineLevel="0" collapsed="false">
      <c r="B2931" s="0" t="s">
        <v>1358</v>
      </c>
      <c r="C2931" s="0" t="s">
        <v>1359</v>
      </c>
      <c r="D2931" s="0" t="s">
        <v>455</v>
      </c>
      <c r="E2931" s="0" t="s">
        <v>455</v>
      </c>
      <c r="F2931" s="0" t="s">
        <v>455</v>
      </c>
    </row>
    <row r="2933" customFormat="false" ht="12.8" hidden="false" customHeight="false" outlineLevel="0" collapsed="false">
      <c r="A2933" s="0" t="s">
        <v>1360</v>
      </c>
      <c r="B2933" s="0" t="str">
        <f aca="false">HYPERLINK("https://lindat.mff.cuni.cz/services/teitok/pdtc10/index.php?action=vallex&amp;frame=v-w1162f4", "chápat (v-w1162f4)")</f>
        <v>chápat (v-w1162f4)</v>
      </c>
    </row>
    <row r="2934" customFormat="false" ht="12.8" hidden="false" customHeight="false" outlineLevel="0" collapsed="false">
      <c r="B2934" s="0" t="s">
        <v>7</v>
      </c>
    </row>
    <row r="2935" customFormat="false" ht="12.8" hidden="false" customHeight="false" outlineLevel="0" collapsed="false">
      <c r="B2935" s="0" t="s">
        <v>1361</v>
      </c>
    </row>
    <row r="2936" customFormat="false" ht="12.8" hidden="false" customHeight="false" outlineLevel="0" collapsed="false">
      <c r="B2936" s="0" t="s">
        <v>245</v>
      </c>
    </row>
    <row r="2938" customFormat="false" ht="12.8" hidden="false" customHeight="false" outlineLevel="0" collapsed="false">
      <c r="A2938" s="0" t="s">
        <v>1362</v>
      </c>
      <c r="B2938" s="0" t="str">
        <f aca="false">HYPERLINK("https://lindat.mff.cuni.cz/services/teitok/pdtc10/index.php?action=vallex&amp;frame=v-w1162f2", "chápat (v-w1162f2)")</f>
        <v>chápat (v-w1162f2)</v>
      </c>
    </row>
    <row r="2939" customFormat="false" ht="12.8" hidden="false" customHeight="false" outlineLevel="0" collapsed="false">
      <c r="B2939" s="0" t="s">
        <v>7</v>
      </c>
      <c r="C2939" s="0" t="s">
        <v>1363</v>
      </c>
      <c r="D2939" s="0" t="s">
        <v>1364</v>
      </c>
      <c r="E2939" s="0" t="s">
        <v>1364</v>
      </c>
      <c r="F2939" s="0" t="s">
        <v>1364</v>
      </c>
    </row>
    <row r="2940" customFormat="false" ht="12.8" hidden="false" customHeight="false" outlineLevel="0" collapsed="false">
      <c r="B2940" s="0" t="s">
        <v>1365</v>
      </c>
      <c r="C2940" s="0" t="s">
        <v>1366</v>
      </c>
      <c r="D2940" s="0" t="s">
        <v>1367</v>
      </c>
      <c r="E2940" s="0" t="s">
        <v>1367</v>
      </c>
      <c r="F2940" s="0" t="s">
        <v>1367</v>
      </c>
    </row>
    <row r="2942" customFormat="false" ht="12.8" hidden="false" customHeight="false" outlineLevel="0" collapsed="false">
      <c r="A2942" s="0" t="s">
        <v>1368</v>
      </c>
      <c r="B2942" s="0" t="str">
        <f aca="false">HYPERLINK("https://lindat.mff.cuni.cz/services/teitok/pdtc10/index.php?action=vallex&amp;frame=v-w1162f3", "chápat (v-w1162f3)")</f>
        <v>chápat (v-w1162f3)</v>
      </c>
    </row>
    <row r="2943" customFormat="false" ht="12.8" hidden="false" customHeight="false" outlineLevel="0" collapsed="false">
      <c r="B2943" s="0" t="s">
        <v>7</v>
      </c>
      <c r="C2943" s="0" t="s">
        <v>184</v>
      </c>
    </row>
    <row r="2944" customFormat="false" ht="12.8" hidden="false" customHeight="false" outlineLevel="0" collapsed="false">
      <c r="B2944" s="0" t="s">
        <v>14</v>
      </c>
      <c r="C2944" s="0" t="s">
        <v>567</v>
      </c>
    </row>
    <row r="2945" customFormat="false" ht="12.8" hidden="false" customHeight="false" outlineLevel="0" collapsed="false">
      <c r="B2945" s="0" t="s">
        <v>474</v>
      </c>
    </row>
    <row r="2946" customFormat="false" ht="12.8" hidden="false" customHeight="false" outlineLevel="0" collapsed="false">
      <c r="B2946" s="0" t="s">
        <v>479</v>
      </c>
    </row>
    <row r="2947" customFormat="false" ht="12.8" hidden="false" customHeight="false" outlineLevel="0" collapsed="false">
      <c r="B2947" s="0" t="s">
        <v>481</v>
      </c>
    </row>
    <row r="2948" customFormat="false" ht="12.8" hidden="false" customHeight="false" outlineLevel="0" collapsed="false">
      <c r="B2948" s="0" t="s">
        <v>483</v>
      </c>
    </row>
    <row r="2950" customFormat="false" ht="12.8" hidden="false" customHeight="false" outlineLevel="0" collapsed="false">
      <c r="A2950" s="0" t="s">
        <v>1369</v>
      </c>
      <c r="B2950" s="0" t="str">
        <f aca="false">HYPERLINK("https://lindat.mff.cuni.cz/services/teitok/pdtc10/index.php?action=vallex&amp;frame=v-w1163f1", "chápat se (v-w1163f1)")</f>
        <v>chápat se (v-w1163f1)</v>
      </c>
    </row>
    <row r="2951" customFormat="false" ht="12.8" hidden="false" customHeight="false" outlineLevel="0" collapsed="false">
      <c r="B2951" s="0" t="s">
        <v>7</v>
      </c>
      <c r="D2951" s="0" t="s">
        <v>391</v>
      </c>
      <c r="E2951" s="0" t="s">
        <v>391</v>
      </c>
      <c r="F2951" s="0" t="s">
        <v>1203</v>
      </c>
    </row>
    <row r="2952" customFormat="false" ht="12.8" hidden="false" customHeight="false" outlineLevel="0" collapsed="false">
      <c r="B2952" s="0" t="s">
        <v>1087</v>
      </c>
      <c r="D2952" s="0" t="s">
        <v>1205</v>
      </c>
      <c r="E2952" s="0" t="s">
        <v>1205</v>
      </c>
      <c r="F2952" s="0" t="s">
        <v>1206</v>
      </c>
    </row>
    <row r="2954" customFormat="false" ht="12.8" hidden="false" customHeight="false" outlineLevel="0" collapsed="false">
      <c r="A2954" s="0" t="s">
        <v>1370</v>
      </c>
      <c r="B2954" s="0" t="str">
        <f aca="false">HYPERLINK("https://lindat.mff.cuni.cz/services/teitok/pdtc10/index.php?action=vallex&amp;frame=v-w1171f1", "chátrat (v-w1171f1)")</f>
        <v>chátrat (v-w1171f1)</v>
      </c>
    </row>
    <row r="2955" customFormat="false" ht="12.8" hidden="false" customHeight="false" outlineLevel="0" collapsed="false">
      <c r="B2955" s="0" t="s">
        <v>7</v>
      </c>
      <c r="C2955" s="0" t="s">
        <v>1371</v>
      </c>
    </row>
    <row r="2957" customFormat="false" ht="12.8" hidden="false" customHeight="false" outlineLevel="0" collapsed="false">
      <c r="A2957" s="0" t="s">
        <v>1372</v>
      </c>
      <c r="B2957" s="0" t="str">
        <f aca="false">HYPERLINK("https://lindat.mff.cuni.cz/services/teitok/pdtc10/index.php?action=vallex&amp;frame=v-w1206f1", "chýlit se (v-w1206f1)")</f>
        <v>chýlit se (v-w1206f1)</v>
      </c>
    </row>
    <row r="2958" customFormat="false" ht="12.8" hidden="false" customHeight="false" outlineLevel="0" collapsed="false">
      <c r="B2958" s="0" t="s">
        <v>7</v>
      </c>
      <c r="D2958" s="0" t="s">
        <v>278</v>
      </c>
      <c r="E2958" s="0" t="s">
        <v>278</v>
      </c>
      <c r="F2958" s="0" t="s">
        <v>278</v>
      </c>
    </row>
    <row r="2959" customFormat="false" ht="12.8" hidden="false" customHeight="false" outlineLevel="0" collapsed="false">
      <c r="B2959" s="0" t="s">
        <v>237</v>
      </c>
      <c r="D2959" s="0" t="s">
        <v>1373</v>
      </c>
      <c r="E2959" s="0" t="s">
        <v>1373</v>
      </c>
      <c r="F2959" s="0" t="s">
        <v>1373</v>
      </c>
    </row>
    <row r="2961" customFormat="false" ht="12.8" hidden="false" customHeight="false" outlineLevel="0" collapsed="false">
      <c r="A2961" s="0" t="s">
        <v>1374</v>
      </c>
      <c r="B2961" s="0" t="str">
        <f aca="false">HYPERLINK("https://lindat.mff.cuni.cz/services/teitok/pdtc10/index.php?action=vallex&amp;frame=v-whsa_1771hsa_1772", "chňapat (v-whsa_1771hsa_1772)")</f>
        <v>chňapat (v-whsa_1771hsa_1772)</v>
      </c>
    </row>
    <row r="2962" customFormat="false" ht="12.8" hidden="false" customHeight="false" outlineLevel="0" collapsed="false">
      <c r="B2962" s="0" t="s">
        <v>7</v>
      </c>
    </row>
    <row r="2963" customFormat="false" ht="12.8" hidden="false" customHeight="false" outlineLevel="0" collapsed="false">
      <c r="B2963" s="0" t="s">
        <v>1375</v>
      </c>
    </row>
    <row r="2965" customFormat="false" ht="12.8" hidden="false" customHeight="false" outlineLevel="0" collapsed="false">
      <c r="A2965" s="0" t="s">
        <v>1376</v>
      </c>
      <c r="B2965" s="0" t="str">
        <f aca="false">HYPERLINK("https://lindat.mff.cuni.cz/services/teitok/pdtc10/index.php?action=vallex&amp;frame=v-w11110f2", "chňapnout (v-w11110f2)")</f>
        <v>chňapnout (v-w11110f2)</v>
      </c>
    </row>
    <row r="2966" customFormat="false" ht="12.8" hidden="false" customHeight="false" outlineLevel="0" collapsed="false">
      <c r="B2966" s="0" t="s">
        <v>7</v>
      </c>
    </row>
    <row r="2967" customFormat="false" ht="12.8" hidden="false" customHeight="false" outlineLevel="0" collapsed="false">
      <c r="B2967" s="0" t="s">
        <v>1375</v>
      </c>
    </row>
    <row r="2969" customFormat="false" ht="12.8" hidden="false" customHeight="false" outlineLevel="0" collapsed="false">
      <c r="A2969" s="0" t="s">
        <v>1377</v>
      </c>
      <c r="B2969" s="0" t="str">
        <f aca="false">HYPERLINK("https://lindat.mff.cuni.cz/services/teitok/pdtc10/index.php?action=vallex&amp;frame=v-w10193f2", "chřadnout (v-w10193f2)")</f>
        <v>chřadnout (v-w10193f2)</v>
      </c>
    </row>
    <row r="2970" customFormat="false" ht="12.8" hidden="false" customHeight="false" outlineLevel="0" collapsed="false">
      <c r="B2970" s="0" t="s">
        <v>7</v>
      </c>
      <c r="C2970" s="0" t="s">
        <v>1378</v>
      </c>
    </row>
    <row r="2972" customFormat="false" ht="12.8" hidden="false" customHeight="false" outlineLevel="0" collapsed="false">
      <c r="A2972" s="0" t="s">
        <v>1379</v>
      </c>
      <c r="B2972" s="0" t="str">
        <f aca="false">HYPERLINK("https://lindat.mff.cuni.cz/services/teitok/pdtc10/index.php?action=vallex&amp;frame=v-w267f2", "cinkat (v-w267f2)")</f>
        <v>cinkat (v-w267f2)</v>
      </c>
    </row>
    <row r="2973" customFormat="false" ht="12.8" hidden="false" customHeight="false" outlineLevel="0" collapsed="false">
      <c r="B2973" s="0" t="s">
        <v>7</v>
      </c>
      <c r="C2973" s="0" t="s">
        <v>191</v>
      </c>
      <c r="D2973" s="0" t="s">
        <v>1380</v>
      </c>
      <c r="E2973" s="0" t="s">
        <v>1380</v>
      </c>
      <c r="F2973" s="0" t="s">
        <v>1380</v>
      </c>
    </row>
    <row r="2974" customFormat="false" ht="12.8" hidden="false" customHeight="false" outlineLevel="0" collapsed="false">
      <c r="B2974" s="0" t="s">
        <v>216</v>
      </c>
      <c r="C2974" s="0" t="s">
        <v>155</v>
      </c>
      <c r="D2974" s="0" t="s">
        <v>115</v>
      </c>
      <c r="E2974" s="0" t="s">
        <v>115</v>
      </c>
      <c r="F2974" s="0" t="s">
        <v>115</v>
      </c>
    </row>
    <row r="2976" customFormat="false" ht="12.8" hidden="false" customHeight="false" outlineLevel="0" collapsed="false">
      <c r="A2976" s="0" t="s">
        <v>1381</v>
      </c>
      <c r="B2976" s="0" t="str">
        <f aca="false">HYPERLINK("https://lindat.mff.cuni.cz/services/teitok/pdtc10/index.php?action=vallex&amp;frame=v-w267f1", "cinkat (v-w267f1)")</f>
        <v>cinkat (v-w267f1)</v>
      </c>
    </row>
    <row r="2977" customFormat="false" ht="12.8" hidden="false" customHeight="false" outlineLevel="0" collapsed="false">
      <c r="B2977" s="0" t="s">
        <v>7</v>
      </c>
    </row>
    <row r="2979" customFormat="false" ht="12.8" hidden="false" customHeight="false" outlineLevel="0" collapsed="false">
      <c r="A2979" s="0" t="s">
        <v>1382</v>
      </c>
      <c r="B2979" s="0" t="str">
        <f aca="false">HYPERLINK("https://lindat.mff.cuni.cz/services/teitok/pdtc10/index.php?action=vallex&amp;frame=v-whsa_347hsa_348", "cinknout (v-whsa_347hsa_348)")</f>
        <v>cinknout (v-whsa_347hsa_348)</v>
      </c>
    </row>
    <row r="2980" customFormat="false" ht="12.8" hidden="false" customHeight="false" outlineLevel="0" collapsed="false">
      <c r="B2980" s="0" t="s">
        <v>7</v>
      </c>
    </row>
    <row r="2981" customFormat="false" ht="12.8" hidden="false" customHeight="false" outlineLevel="0" collapsed="false">
      <c r="B2981" s="0" t="s">
        <v>367</v>
      </c>
    </row>
    <row r="2982" customFormat="false" ht="12.8" hidden="false" customHeight="false" outlineLevel="0" collapsed="false">
      <c r="B2982" s="0" t="s">
        <v>48</v>
      </c>
    </row>
    <row r="2984" customFormat="false" ht="12.8" hidden="false" customHeight="false" outlineLevel="0" collapsed="false">
      <c r="A2984" s="0" t="s">
        <v>1383</v>
      </c>
      <c r="B2984" s="0" t="str">
        <f aca="false">HYPERLINK("https://lindat.mff.cuni.cz/services/teitok/pdtc10/index.php?action=vallex&amp;frame=v-w269f1", "cirkulovat (v-w269f1)")</f>
        <v>cirkulovat (v-w269f1)</v>
      </c>
    </row>
    <row r="2985" customFormat="false" ht="12.8" hidden="false" customHeight="false" outlineLevel="0" collapsed="false">
      <c r="B2985" s="0" t="s">
        <v>7</v>
      </c>
    </row>
    <row r="2987" customFormat="false" ht="12.8" hidden="false" customHeight="false" outlineLevel="0" collapsed="false">
      <c r="A2987" s="0" t="s">
        <v>1384</v>
      </c>
      <c r="B2987" s="0" t="str">
        <f aca="false">HYPERLINK("https://lindat.mff.cuni.cz/services/teitok/pdtc10/index.php?action=vallex&amp;frame=v-w279f1", "citovat (v-w279f1)")</f>
        <v>citovat (v-w279f1)</v>
      </c>
    </row>
    <row r="2988" customFormat="false" ht="12.8" hidden="false" customHeight="false" outlineLevel="0" collapsed="false">
      <c r="B2988" s="0" t="s">
        <v>7</v>
      </c>
      <c r="C2988" s="0" t="s">
        <v>1385</v>
      </c>
      <c r="D2988" s="0" t="s">
        <v>1386</v>
      </c>
      <c r="E2988" s="0" t="s">
        <v>1386</v>
      </c>
      <c r="F2988" s="0" t="s">
        <v>1386</v>
      </c>
    </row>
    <row r="2989" customFormat="false" ht="12.8" hidden="false" customHeight="false" outlineLevel="0" collapsed="false">
      <c r="B2989" s="0" t="s">
        <v>367</v>
      </c>
      <c r="C2989" s="0" t="s">
        <v>1387</v>
      </c>
      <c r="D2989" s="0" t="s">
        <v>1388</v>
      </c>
      <c r="E2989" s="0" t="s">
        <v>1388</v>
      </c>
      <c r="F2989" s="0" t="s">
        <v>1388</v>
      </c>
    </row>
    <row r="2991" customFormat="false" ht="12.8" hidden="false" customHeight="false" outlineLevel="0" collapsed="false">
      <c r="A2991" s="0" t="s">
        <v>1389</v>
      </c>
      <c r="B2991" s="0" t="str">
        <f aca="false">HYPERLINK("https://lindat.mff.cuni.cz/services/teitok/pdtc10/index.php?action=vallex&amp;frame=v-w281f1", "civilizovat (v-w281f1)")</f>
        <v>civilizovat (v-w281f1)</v>
      </c>
    </row>
    <row r="2992" customFormat="false" ht="12.8" hidden="false" customHeight="false" outlineLevel="0" collapsed="false">
      <c r="B2992" s="0" t="s">
        <v>7</v>
      </c>
    </row>
    <row r="2993" customFormat="false" ht="12.8" hidden="false" customHeight="false" outlineLevel="0" collapsed="false">
      <c r="B2993" s="0" t="s">
        <v>14</v>
      </c>
    </row>
    <row r="2995" customFormat="false" ht="12.8" hidden="false" customHeight="false" outlineLevel="0" collapsed="false">
      <c r="A2995" s="0" t="s">
        <v>1390</v>
      </c>
      <c r="B2995" s="0" t="str">
        <f aca="false">HYPERLINK("https://lindat.mff.cuni.cz/services/teitok/pdtc10/index.php?action=vallex&amp;frame=v-w10922f2", "civět (v-w10922f2)")</f>
        <v>civět (v-w10922f2)</v>
      </c>
    </row>
    <row r="2996" customFormat="false" ht="12.8" hidden="false" customHeight="false" outlineLevel="0" collapsed="false">
      <c r="B2996" s="0" t="s">
        <v>7</v>
      </c>
    </row>
    <row r="2997" customFormat="false" ht="12.8" hidden="false" customHeight="false" outlineLevel="0" collapsed="false">
      <c r="B2997" s="0" t="s">
        <v>1391</v>
      </c>
    </row>
    <row r="2999" customFormat="false" ht="12.8" hidden="false" customHeight="false" outlineLevel="0" collapsed="false">
      <c r="A2999" s="0" t="s">
        <v>1392</v>
      </c>
      <c r="B2999" s="0" t="str">
        <f aca="false">HYPERLINK("https://lindat.mff.cuni.cz/services/teitok/pdtc10/index.php?action=vallex&amp;frame=v-w282f1", "cizelovat (v-w282f1)")</f>
        <v>cizelovat (v-w282f1)</v>
      </c>
    </row>
    <row r="3000" customFormat="false" ht="12.8" hidden="false" customHeight="false" outlineLevel="0" collapsed="false">
      <c r="B3000" s="0" t="s">
        <v>7</v>
      </c>
      <c r="D3000" s="0" t="s">
        <v>184</v>
      </c>
      <c r="E3000" s="0" t="s">
        <v>184</v>
      </c>
      <c r="F3000" s="0" t="s">
        <v>184</v>
      </c>
    </row>
    <row r="3001" customFormat="false" ht="12.8" hidden="false" customHeight="false" outlineLevel="0" collapsed="false">
      <c r="B3001" s="0" t="s">
        <v>14</v>
      </c>
      <c r="D3001" s="0" t="s">
        <v>155</v>
      </c>
      <c r="E3001" s="0" t="s">
        <v>155</v>
      </c>
      <c r="F3001" s="0" t="s">
        <v>155</v>
      </c>
    </row>
    <row r="3003" customFormat="false" ht="12.8" hidden="false" customHeight="false" outlineLevel="0" collapsed="false">
      <c r="A3003" s="0" t="s">
        <v>1393</v>
      </c>
      <c r="B3003" s="0" t="str">
        <f aca="false">HYPERLINK("https://lindat.mff.cuni.cz/services/teitok/pdtc10/index.php?action=vallex&amp;frame=v-w284f1", "claimovat (v-w284f1)")</f>
        <v>claimovat (v-w284f1)</v>
      </c>
    </row>
    <row r="3004" customFormat="false" ht="12.8" hidden="false" customHeight="false" outlineLevel="0" collapsed="false">
      <c r="B3004" s="0" t="s">
        <v>7</v>
      </c>
    </row>
    <row r="3005" customFormat="false" ht="12.8" hidden="false" customHeight="false" outlineLevel="0" collapsed="false">
      <c r="B3005" s="0" t="s">
        <v>1394</v>
      </c>
    </row>
    <row r="3006" customFormat="false" ht="12.8" hidden="false" customHeight="false" outlineLevel="0" collapsed="false">
      <c r="B3006" s="0" t="s">
        <v>1395</v>
      </c>
    </row>
    <row r="3008" customFormat="false" ht="12.8" hidden="false" customHeight="false" outlineLevel="0" collapsed="false">
      <c r="A3008" s="0" t="s">
        <v>1396</v>
      </c>
      <c r="B3008" s="0" t="str">
        <f aca="false">HYPERLINK("https://lindat.mff.cuni.cz/services/teitok/pdtc10/index.php?action=vallex&amp;frame=v-w285f1", "clít (v-w285f1)")</f>
        <v>clít (v-w285f1)</v>
      </c>
    </row>
    <row r="3009" customFormat="false" ht="12.8" hidden="false" customHeight="false" outlineLevel="0" collapsed="false">
      <c r="B3009" s="0" t="s">
        <v>7</v>
      </c>
    </row>
    <row r="3010" customFormat="false" ht="12.8" hidden="false" customHeight="false" outlineLevel="0" collapsed="false">
      <c r="B3010" s="0" t="s">
        <v>14</v>
      </c>
    </row>
    <row r="3012" customFormat="false" ht="12.8" hidden="false" customHeight="false" outlineLevel="0" collapsed="false">
      <c r="A3012" s="0" t="s">
        <v>1397</v>
      </c>
      <c r="B3012" s="0" t="str">
        <f aca="false">HYPERLINK("https://lindat.mff.cuni.cz/services/teitok/pdtc10/index.php?action=vallex&amp;frame=v-w288f1", "couvat (v-w288f1)")</f>
        <v>couvat (v-w288f1)</v>
      </c>
    </row>
    <row r="3013" customFormat="false" ht="12.8" hidden="false" customHeight="false" outlineLevel="0" collapsed="false">
      <c r="B3013" s="0" t="s">
        <v>7</v>
      </c>
      <c r="C3013" s="0" t="s">
        <v>1398</v>
      </c>
      <c r="D3013" s="0" t="s">
        <v>1399</v>
      </c>
      <c r="E3013" s="0" t="s">
        <v>1399</v>
      </c>
      <c r="F3013" s="0" t="s">
        <v>1399</v>
      </c>
    </row>
    <row r="3014" customFormat="false" ht="12.8" hidden="false" customHeight="false" outlineLevel="0" collapsed="false">
      <c r="B3014" s="0" t="s">
        <v>1400</v>
      </c>
      <c r="D3014" s="0" t="s">
        <v>1401</v>
      </c>
      <c r="E3014" s="0" t="s">
        <v>1401</v>
      </c>
      <c r="F3014" s="0" t="s">
        <v>1401</v>
      </c>
    </row>
    <row r="3016" customFormat="false" ht="12.8" hidden="false" customHeight="false" outlineLevel="0" collapsed="false">
      <c r="A3016" s="0" t="s">
        <v>1402</v>
      </c>
      <c r="B3016" s="0" t="str">
        <f aca="false">HYPERLINK("https://lindat.mff.cuni.cz/services/teitok/pdtc10/index.php?action=vallex&amp;frame=v-w10667hsa_259", "couvnout (v-w10667hsa_259)")</f>
        <v>couvnout (v-w10667hsa_259)</v>
      </c>
    </row>
    <row r="3017" customFormat="false" ht="12.8" hidden="false" customHeight="false" outlineLevel="0" collapsed="false">
      <c r="B3017" s="0" t="s">
        <v>7</v>
      </c>
      <c r="C3017" s="0" t="s">
        <v>1403</v>
      </c>
      <c r="D3017" s="0" t="s">
        <v>1399</v>
      </c>
      <c r="E3017" s="0" t="s">
        <v>1399</v>
      </c>
      <c r="F3017" s="0" t="s">
        <v>1399</v>
      </c>
    </row>
    <row r="3018" customFormat="false" ht="12.8" hidden="false" customHeight="false" outlineLevel="0" collapsed="false">
      <c r="B3018" s="0" t="s">
        <v>1404</v>
      </c>
      <c r="D3018" s="0" t="s">
        <v>1401</v>
      </c>
      <c r="E3018" s="0" t="s">
        <v>1401</v>
      </c>
      <c r="F3018" s="0" t="s">
        <v>1401</v>
      </c>
    </row>
    <row r="3020" customFormat="false" ht="12.8" hidden="false" customHeight="false" outlineLevel="0" collapsed="false">
      <c r="A3020" s="0" t="s">
        <v>1402</v>
      </c>
      <c r="B3020" s="0" t="str">
        <f aca="false">HYPERLINK("https://lindat.mff.cuni.cz/services/teitok/pdtc10/index.php?action=vallex&amp;frame=v-w10667f2", "couvnout (v-w10667f2) - substituted with v-w10667hsa_259")</f>
        <v>couvnout (v-w10667f2) - substituted with v-w10667hsa_259</v>
      </c>
    </row>
    <row r="3021" customFormat="false" ht="12.8" hidden="false" customHeight="false" outlineLevel="0" collapsed="false">
      <c r="B3021" s="0" t="s">
        <v>7</v>
      </c>
      <c r="C3021" s="0" t="s">
        <v>504</v>
      </c>
    </row>
    <row r="3022" customFormat="false" ht="12.8" hidden="false" customHeight="false" outlineLevel="0" collapsed="false">
      <c r="B3022" s="0" t="s">
        <v>1404</v>
      </c>
      <c r="C3022" s="0" t="s">
        <v>1405</v>
      </c>
    </row>
    <row r="3024" customFormat="false" ht="12.8" hidden="false" customHeight="false" outlineLevel="0" collapsed="false">
      <c r="A3024" s="0" t="s">
        <v>1406</v>
      </c>
      <c r="B3024" s="0" t="str">
        <f aca="false">HYPERLINK("https://lindat.mff.cuni.cz/services/teitok/pdtc10/index.php?action=vallex&amp;frame=v-w10667hsa_221", "couvnout (v-w10667hsa_221)")</f>
        <v>couvnout (v-w10667hsa_221)</v>
      </c>
    </row>
    <row r="3025" customFormat="false" ht="12.8" hidden="false" customHeight="false" outlineLevel="0" collapsed="false">
      <c r="B3025" s="0" t="s">
        <v>7</v>
      </c>
    </row>
    <row r="3027" customFormat="false" ht="12.8" hidden="false" customHeight="false" outlineLevel="0" collapsed="false">
      <c r="A3027" s="0" t="s">
        <v>1407</v>
      </c>
      <c r="B3027" s="0" t="str">
        <f aca="false">HYPERLINK("https://lindat.mff.cuni.cz/services/teitok/pdtc10/index.php?action=vallex&amp;frame=v-w289f1", "cpát (v-w289f1)")</f>
        <v>cpát (v-w289f1)</v>
      </c>
    </row>
    <row r="3028" customFormat="false" ht="12.8" hidden="false" customHeight="false" outlineLevel="0" collapsed="false">
      <c r="B3028" s="0" t="s">
        <v>7</v>
      </c>
    </row>
    <row r="3029" customFormat="false" ht="12.8" hidden="false" customHeight="false" outlineLevel="0" collapsed="false">
      <c r="B3029" s="0" t="s">
        <v>14</v>
      </c>
    </row>
    <row r="3030" customFormat="false" ht="12.8" hidden="false" customHeight="false" outlineLevel="0" collapsed="false">
      <c r="B3030" s="0" t="s">
        <v>1408</v>
      </c>
    </row>
    <row r="3032" customFormat="false" ht="12.8" hidden="false" customHeight="false" outlineLevel="0" collapsed="false">
      <c r="A3032" s="0" t="s">
        <v>1409</v>
      </c>
      <c r="B3032" s="0" t="str">
        <f aca="false">HYPERLINK("https://lindat.mff.cuni.cz/services/teitok/pdtc10/index.php?action=vallex&amp;frame=v-w289f3_ZU", "cpát (v-w289f3_ZU)")</f>
        <v>cpát (v-w289f3_ZU)</v>
      </c>
    </row>
    <row r="3033" customFormat="false" ht="12.8" hidden="false" customHeight="false" outlineLevel="0" collapsed="false">
      <c r="B3033" s="0" t="s">
        <v>7</v>
      </c>
      <c r="D3033" s="0" t="s">
        <v>1410</v>
      </c>
      <c r="E3033" s="0" t="s">
        <v>1410</v>
      </c>
      <c r="F3033" s="0" t="s">
        <v>1410</v>
      </c>
    </row>
    <row r="3034" customFormat="false" ht="12.8" hidden="false" customHeight="false" outlineLevel="0" collapsed="false">
      <c r="B3034" s="0" t="s">
        <v>14</v>
      </c>
      <c r="C3034" s="0" t="s">
        <v>155</v>
      </c>
      <c r="D3034" s="0" t="s">
        <v>1411</v>
      </c>
      <c r="E3034" s="0" t="s">
        <v>1411</v>
      </c>
      <c r="F3034" s="0" t="s">
        <v>1411</v>
      </c>
    </row>
    <row r="3035" customFormat="false" ht="12.8" hidden="false" customHeight="false" outlineLevel="0" collapsed="false">
      <c r="B3035" s="0" t="s">
        <v>124</v>
      </c>
      <c r="D3035" s="0" t="s">
        <v>1412</v>
      </c>
      <c r="E3035" s="0" t="s">
        <v>1412</v>
      </c>
      <c r="F3035" s="0" t="s">
        <v>1412</v>
      </c>
    </row>
    <row r="3037" customFormat="false" ht="12.8" hidden="false" customHeight="false" outlineLevel="0" collapsed="false">
      <c r="A3037" s="0" t="s">
        <v>1413</v>
      </c>
      <c r="B3037" s="0" t="str">
        <f aca="false">HYPERLINK("https://lindat.mff.cuni.cz/services/teitok/pdtc10/index.php?action=vallex&amp;frame=v-w289f2_ZU", "cpát (v-w289f2_ZU)")</f>
        <v>cpát (v-w289f2_ZU)</v>
      </c>
    </row>
    <row r="3038" customFormat="false" ht="12.8" hidden="false" customHeight="false" outlineLevel="0" collapsed="false">
      <c r="B3038" s="0" t="s">
        <v>7</v>
      </c>
    </row>
    <row r="3039" customFormat="false" ht="12.8" hidden="false" customHeight="false" outlineLevel="0" collapsed="false">
      <c r="B3039" s="0" t="s">
        <v>14</v>
      </c>
    </row>
    <row r="3040" customFormat="false" ht="12.8" hidden="false" customHeight="false" outlineLevel="0" collapsed="false">
      <c r="B3040" s="0" t="s">
        <v>124</v>
      </c>
    </row>
    <row r="3042" customFormat="false" ht="12.8" hidden="false" customHeight="false" outlineLevel="0" collapsed="false">
      <c r="A3042" s="0" t="s">
        <v>1414</v>
      </c>
      <c r="B3042" s="0" t="str">
        <f aca="false">HYPERLINK("https://lindat.mff.cuni.cz/services/teitok/pdtc10/index.php?action=vallex&amp;frame=v-w289f4_MM", "cpát (v-w289f4_MM)")</f>
        <v>cpát (v-w289f4_MM)</v>
      </c>
    </row>
    <row r="3043" customFormat="false" ht="12.8" hidden="false" customHeight="false" outlineLevel="0" collapsed="false">
      <c r="B3043" s="0" t="s">
        <v>7</v>
      </c>
    </row>
    <row r="3044" customFormat="false" ht="12.8" hidden="false" customHeight="false" outlineLevel="0" collapsed="false">
      <c r="B3044" s="0" t="s">
        <v>14</v>
      </c>
    </row>
    <row r="3045" customFormat="false" ht="12.8" hidden="false" customHeight="false" outlineLevel="0" collapsed="false">
      <c r="B3045" s="0" t="s">
        <v>48</v>
      </c>
    </row>
    <row r="3047" customFormat="false" ht="12.8" hidden="false" customHeight="false" outlineLevel="0" collapsed="false">
      <c r="A3047" s="0" t="s">
        <v>1415</v>
      </c>
      <c r="B3047" s="0" t="str">
        <f aca="false">HYPERLINK("https://lindat.mff.cuni.cz/services/teitok/pdtc10/index.php?action=vallex&amp;frame=v-w290f2", "cpát se (v-w290f2)")</f>
        <v>cpát se (v-w290f2)</v>
      </c>
    </row>
    <row r="3048" customFormat="false" ht="12.8" hidden="false" customHeight="false" outlineLevel="0" collapsed="false">
      <c r="B3048" s="0" t="s">
        <v>7</v>
      </c>
    </row>
    <row r="3049" customFormat="false" ht="12.8" hidden="false" customHeight="false" outlineLevel="0" collapsed="false">
      <c r="B3049" s="0" t="s">
        <v>124</v>
      </c>
    </row>
    <row r="3051" customFormat="false" ht="12.8" hidden="false" customHeight="false" outlineLevel="0" collapsed="false">
      <c r="A3051" s="0" t="s">
        <v>1416</v>
      </c>
      <c r="B3051" s="0" t="str">
        <f aca="false">HYPERLINK("https://lindat.mff.cuni.cz/services/teitok/pdtc10/index.php?action=vallex&amp;frame=v-w290f1", "cpát se (v-w290f1)")</f>
        <v>cpát se (v-w290f1)</v>
      </c>
    </row>
    <row r="3052" customFormat="false" ht="12.8" hidden="false" customHeight="false" outlineLevel="0" collapsed="false">
      <c r="B3052" s="0" t="s">
        <v>7</v>
      </c>
    </row>
    <row r="3054" customFormat="false" ht="12.8" hidden="false" customHeight="false" outlineLevel="0" collapsed="false">
      <c r="A3054" s="0" t="s">
        <v>1417</v>
      </c>
      <c r="B3054" s="0" t="str">
        <f aca="false">HYPERLINK("https://lindat.mff.cuni.cz/services/teitok/pdtc10/index.php?action=vallex&amp;frame=v-w291f1", "crčet (v-w291f1)")</f>
        <v>crčet (v-w291f1)</v>
      </c>
    </row>
    <row r="3055" customFormat="false" ht="12.8" hidden="false" customHeight="false" outlineLevel="0" collapsed="false">
      <c r="B3055" s="0" t="s">
        <v>7</v>
      </c>
    </row>
    <row r="3057" customFormat="false" ht="12.8" hidden="false" customHeight="false" outlineLevel="0" collapsed="false">
      <c r="A3057" s="0" t="s">
        <v>1418</v>
      </c>
      <c r="B3057" s="0" t="str">
        <f aca="false">HYPERLINK("https://lindat.mff.cuni.cz/services/teitok/pdtc10/index.php?action=vallex&amp;frame=v-w292f1", "ctít (v-w292f1)")</f>
        <v>ctít (v-w292f1)</v>
      </c>
    </row>
    <row r="3058" customFormat="false" ht="12.8" hidden="false" customHeight="false" outlineLevel="0" collapsed="false">
      <c r="B3058" s="0" t="s">
        <v>7</v>
      </c>
      <c r="E3058" s="0" t="s">
        <v>1419</v>
      </c>
      <c r="F3058" s="0" t="s">
        <v>1419</v>
      </c>
    </row>
    <row r="3059" customFormat="false" ht="12.8" hidden="false" customHeight="false" outlineLevel="0" collapsed="false">
      <c r="B3059" s="0" t="s">
        <v>172</v>
      </c>
      <c r="E3059" s="0" t="s">
        <v>1420</v>
      </c>
      <c r="F3059" s="0" t="s">
        <v>1420</v>
      </c>
    </row>
    <row r="3061" customFormat="false" ht="12.8" hidden="false" customHeight="false" outlineLevel="0" collapsed="false">
      <c r="A3061" s="0" t="s">
        <v>1421</v>
      </c>
      <c r="B3061" s="0" t="str">
        <f aca="false">HYPERLINK("https://lindat.mff.cuni.cz/services/teitok/pdtc10/index.php?action=vallex&amp;frame=v-w294f3", "cukat (v-w294f3)")</f>
        <v>cukat (v-w294f3)</v>
      </c>
    </row>
    <row r="3062" customFormat="false" ht="12.8" hidden="false" customHeight="false" outlineLevel="0" collapsed="false">
      <c r="B3062" s="0" t="s">
        <v>7</v>
      </c>
    </row>
    <row r="3063" customFormat="false" ht="12.8" hidden="false" customHeight="false" outlineLevel="0" collapsed="false">
      <c r="B3063" s="0" t="s">
        <v>216</v>
      </c>
    </row>
    <row r="3065" customFormat="false" ht="12.8" hidden="false" customHeight="false" outlineLevel="0" collapsed="false">
      <c r="A3065" s="0" t="s">
        <v>1422</v>
      </c>
      <c r="B3065" s="0" t="str">
        <f aca="false">HYPERLINK("https://lindat.mff.cuni.cz/services/teitok/pdtc10/index.php?action=vallex&amp;frame=v-w294f2", "cukat (v-w294f2)")</f>
        <v>cukat (v-w294f2)</v>
      </c>
    </row>
    <row r="3066" customFormat="false" ht="12.8" hidden="false" customHeight="false" outlineLevel="0" collapsed="false">
      <c r="B3066" s="0" t="s">
        <v>603</v>
      </c>
    </row>
    <row r="3067" customFormat="false" ht="12.8" hidden="false" customHeight="false" outlineLevel="0" collapsed="false">
      <c r="B3067" s="0" t="s">
        <v>328</v>
      </c>
    </row>
    <row r="3069" customFormat="false" ht="12.8" hidden="false" customHeight="false" outlineLevel="0" collapsed="false">
      <c r="A3069" s="0" t="s">
        <v>1423</v>
      </c>
      <c r="B3069" s="0" t="str">
        <f aca="false">HYPERLINK("https://lindat.mff.cuni.cz/services/teitok/pdtc10/index.php?action=vallex&amp;frame=v-w294f1", "cukat (v-w294f1)")</f>
        <v>cukat (v-w294f1)</v>
      </c>
    </row>
    <row r="3070" customFormat="false" ht="12.8" hidden="false" customHeight="false" outlineLevel="0" collapsed="false">
      <c r="B3070" s="0" t="s">
        <v>603</v>
      </c>
    </row>
    <row r="3071" customFormat="false" ht="12.8" hidden="false" customHeight="false" outlineLevel="0" collapsed="false">
      <c r="B3071" s="0" t="s">
        <v>11</v>
      </c>
    </row>
    <row r="3073" customFormat="false" ht="12.8" hidden="false" customHeight="false" outlineLevel="0" collapsed="false">
      <c r="A3073" s="0" t="s">
        <v>1424</v>
      </c>
      <c r="B3073" s="0" t="str">
        <f aca="false">HYPERLINK("https://lindat.mff.cuni.cz/services/teitok/pdtc10/index.php?action=vallex&amp;frame=v-w12268_ZUf1_ZU", "cukat se (v-w12268_ZUf1_ZU)")</f>
        <v>cukat se (v-w12268_ZUf1_ZU)</v>
      </c>
    </row>
    <row r="3074" customFormat="false" ht="12.8" hidden="false" customHeight="false" outlineLevel="0" collapsed="false">
      <c r="B3074" s="0" t="s">
        <v>7</v>
      </c>
    </row>
    <row r="3076" customFormat="false" ht="12.8" hidden="false" customHeight="false" outlineLevel="0" collapsed="false">
      <c r="A3076" s="0" t="s">
        <v>1425</v>
      </c>
      <c r="B3076" s="0" t="str">
        <f aca="false">HYPERLINK("https://lindat.mff.cuni.cz/services/teitok/pdtc10/index.php?action=vallex&amp;frame=v-w12285_MMf2_MM", "cuknout (v-w12285_MMf2_MM)")</f>
        <v>cuknout (v-w12285_MMf2_MM)</v>
      </c>
    </row>
    <row r="3077" customFormat="false" ht="12.8" hidden="false" customHeight="false" outlineLevel="0" collapsed="false">
      <c r="B3077" s="0" t="s">
        <v>7</v>
      </c>
    </row>
    <row r="3079" customFormat="false" ht="12.8" hidden="false" customHeight="false" outlineLevel="0" collapsed="false">
      <c r="A3079" s="0" t="s">
        <v>1425</v>
      </c>
      <c r="B3079" s="0" t="str">
        <f aca="false">HYPERLINK("https://lindat.mff.cuni.cz/services/teitok/pdtc10/index.php?action=vallex&amp;frame=v-w12285_MMf1_MM", "cuknout (v-w12285_MMf1_MM) - substituted with v-w12285_MMf2_MM")</f>
        <v>cuknout (v-w12285_MMf1_MM) - substituted with v-w12285_MMf2_MM</v>
      </c>
    </row>
    <row r="3080" customFormat="false" ht="12.8" hidden="false" customHeight="false" outlineLevel="0" collapsed="false">
      <c r="B3080" s="0" t="s">
        <v>7</v>
      </c>
    </row>
    <row r="3082" customFormat="false" ht="12.8" hidden="false" customHeight="false" outlineLevel="0" collapsed="false">
      <c r="A3082" s="0" t="s">
        <v>1426</v>
      </c>
      <c r="B3082" s="0" t="str">
        <f aca="false">HYPERLINK("https://lindat.mff.cuni.cz/services/teitok/pdtc10/index.php?action=vallex&amp;frame=v-whsa_1556hsa_1557", "cupkat (v-whsa_1556hsa_1557)")</f>
        <v>cupkat (v-whsa_1556hsa_1557)</v>
      </c>
    </row>
    <row r="3083" customFormat="false" ht="12.8" hidden="false" customHeight="false" outlineLevel="0" collapsed="false">
      <c r="B3083" s="0" t="s">
        <v>7</v>
      </c>
    </row>
    <row r="3085" customFormat="false" ht="12.8" hidden="false" customHeight="false" outlineLevel="0" collapsed="false">
      <c r="A3085" s="0" t="s">
        <v>1427</v>
      </c>
      <c r="B3085" s="0" t="str">
        <f aca="false">HYPERLINK("https://lindat.mff.cuni.cz/services/teitok/pdtc10/index.php?action=vallex&amp;frame=v-w295f1", "cupovat (v-w295f1)")</f>
        <v>cupovat (v-w295f1)</v>
      </c>
    </row>
    <row r="3086" customFormat="false" ht="12.8" hidden="false" customHeight="false" outlineLevel="0" collapsed="false">
      <c r="B3086" s="0" t="s">
        <v>7</v>
      </c>
    </row>
    <row r="3087" customFormat="false" ht="12.8" hidden="false" customHeight="false" outlineLevel="0" collapsed="false">
      <c r="B3087" s="0" t="s">
        <v>14</v>
      </c>
    </row>
    <row r="3088" customFormat="false" ht="12.8" hidden="false" customHeight="false" outlineLevel="0" collapsed="false">
      <c r="B3088" s="0" t="s">
        <v>84</v>
      </c>
    </row>
    <row r="3090" customFormat="false" ht="12.8" hidden="false" customHeight="false" outlineLevel="0" collapsed="false">
      <c r="A3090" s="0" t="s">
        <v>1428</v>
      </c>
      <c r="B3090" s="0" t="str">
        <f aca="false">HYPERLINK("https://lindat.mff.cuni.cz/services/teitok/pdtc10/index.php?action=vallex&amp;frame=v-w12205_ZUf1_ZU", "cvaknout se (v-w12205_ZUf1_ZU)")</f>
        <v>cvaknout se (v-w12205_ZUf1_ZU)</v>
      </c>
    </row>
    <row r="3091" customFormat="false" ht="12.8" hidden="false" customHeight="false" outlineLevel="0" collapsed="false">
      <c r="B3091" s="0" t="s">
        <v>7</v>
      </c>
    </row>
    <row r="3093" customFormat="false" ht="12.8" hidden="false" customHeight="false" outlineLevel="0" collapsed="false">
      <c r="A3093" s="0" t="s">
        <v>1429</v>
      </c>
      <c r="B3093" s="0" t="str">
        <f aca="false">HYPERLINK("https://lindat.mff.cuni.cz/services/teitok/pdtc10/index.php?action=vallex&amp;frame=v-w298f2", "cvičit (v-w298f2)")</f>
        <v>cvičit (v-w298f2)</v>
      </c>
    </row>
    <row r="3094" customFormat="false" ht="12.8" hidden="false" customHeight="false" outlineLevel="0" collapsed="false">
      <c r="B3094" s="0" t="s">
        <v>7</v>
      </c>
    </row>
    <row r="3095" customFormat="false" ht="12.8" hidden="false" customHeight="false" outlineLevel="0" collapsed="false">
      <c r="B3095" s="0" t="s">
        <v>14</v>
      </c>
    </row>
    <row r="3097" customFormat="false" ht="12.8" hidden="false" customHeight="false" outlineLevel="0" collapsed="false">
      <c r="A3097" s="0" t="s">
        <v>1430</v>
      </c>
      <c r="B3097" s="0" t="str">
        <f aca="false">HYPERLINK("https://lindat.mff.cuni.cz/services/teitok/pdtc10/index.php?action=vallex&amp;frame=v-w298f1", "cvičit (v-w298f1)")</f>
        <v>cvičit (v-w298f1)</v>
      </c>
    </row>
    <row r="3098" customFormat="false" ht="12.8" hidden="false" customHeight="false" outlineLevel="0" collapsed="false">
      <c r="B3098" s="0" t="s">
        <v>7</v>
      </c>
      <c r="C3098" s="0" t="s">
        <v>1431</v>
      </c>
      <c r="D3098" s="0" t="s">
        <v>113</v>
      </c>
      <c r="E3098" s="0" t="s">
        <v>113</v>
      </c>
      <c r="F3098" s="0" t="s">
        <v>113</v>
      </c>
    </row>
    <row r="3099" customFormat="false" ht="12.8" hidden="false" customHeight="false" outlineLevel="0" collapsed="false">
      <c r="B3099" s="0" t="s">
        <v>297</v>
      </c>
      <c r="C3099" s="0" t="s">
        <v>1432</v>
      </c>
      <c r="D3099" s="0" t="s">
        <v>155</v>
      </c>
      <c r="E3099" s="0" t="s">
        <v>155</v>
      </c>
      <c r="F3099" s="0" t="s">
        <v>155</v>
      </c>
    </row>
    <row r="3101" customFormat="false" ht="12.8" hidden="false" customHeight="false" outlineLevel="0" collapsed="false">
      <c r="A3101" s="0" t="s">
        <v>1433</v>
      </c>
      <c r="B3101" s="0" t="str">
        <f aca="false">HYPERLINK("https://lindat.mff.cuni.cz/services/teitok/pdtc10/index.php?action=vallex&amp;frame=v-w298hsa_814", "cvičit (v-w298hsa_814)")</f>
        <v>cvičit (v-w298hsa_814)</v>
      </c>
    </row>
    <row r="3102" customFormat="false" ht="12.8" hidden="false" customHeight="false" outlineLevel="0" collapsed="false">
      <c r="B3102" s="0" t="s">
        <v>7</v>
      </c>
    </row>
    <row r="3103" customFormat="false" ht="12.8" hidden="false" customHeight="false" outlineLevel="0" collapsed="false">
      <c r="B3103" s="0" t="s">
        <v>81</v>
      </c>
    </row>
    <row r="3104" customFormat="false" ht="12.8" hidden="false" customHeight="false" outlineLevel="0" collapsed="false">
      <c r="B3104" s="0" t="s">
        <v>14</v>
      </c>
    </row>
    <row r="3106" customFormat="false" ht="12.8" hidden="false" customHeight="false" outlineLevel="0" collapsed="false">
      <c r="A3106" s="0" t="s">
        <v>1434</v>
      </c>
      <c r="B3106" s="0" t="str">
        <f aca="false">HYPERLINK("https://lindat.mff.cuni.cz/services/teitok/pdtc10/index.php?action=vallex&amp;frame=v-w265f6", "cílit (v-w265f6)")</f>
        <v>cílit (v-w265f6)</v>
      </c>
    </row>
    <row r="3107" customFormat="false" ht="12.8" hidden="false" customHeight="false" outlineLevel="0" collapsed="false">
      <c r="B3107" s="0" t="s">
        <v>7</v>
      </c>
      <c r="C3107" s="0" t="s">
        <v>46</v>
      </c>
      <c r="D3107" s="0" t="s">
        <v>1435</v>
      </c>
      <c r="E3107" s="0" t="s">
        <v>1435</v>
      </c>
      <c r="F3107" s="0" t="s">
        <v>1435</v>
      </c>
    </row>
    <row r="3108" customFormat="false" ht="12.8" hidden="false" customHeight="false" outlineLevel="0" collapsed="false">
      <c r="B3108" s="0" t="s">
        <v>14</v>
      </c>
      <c r="C3108" s="0" t="s">
        <v>1436</v>
      </c>
      <c r="D3108" s="0" t="s">
        <v>1437</v>
      </c>
      <c r="E3108" s="0" t="s">
        <v>1437</v>
      </c>
      <c r="F3108" s="0" t="s">
        <v>1437</v>
      </c>
    </row>
    <row r="3109" customFormat="false" ht="12.8" hidden="false" customHeight="false" outlineLevel="0" collapsed="false">
      <c r="B3109" s="0" t="s">
        <v>1438</v>
      </c>
      <c r="C3109" s="0" t="s">
        <v>1439</v>
      </c>
      <c r="D3109" s="0" t="s">
        <v>1440</v>
      </c>
      <c r="E3109" s="0" t="s">
        <v>1440</v>
      </c>
      <c r="F3109" s="0" t="s">
        <v>1440</v>
      </c>
    </row>
    <row r="3111" customFormat="false" ht="12.8" hidden="false" customHeight="false" outlineLevel="0" collapsed="false">
      <c r="A3111" s="0" t="s">
        <v>1441</v>
      </c>
      <c r="B3111" s="0" t="str">
        <f aca="false">HYPERLINK("https://lindat.mff.cuni.cz/services/teitok/pdtc10/index.php?action=vallex&amp;frame=v-w265f4", "cílit (v-w265f4)")</f>
        <v>cílit (v-w265f4)</v>
      </c>
    </row>
    <row r="3112" customFormat="false" ht="12.8" hidden="false" customHeight="false" outlineLevel="0" collapsed="false">
      <c r="B3112" s="0" t="s">
        <v>7</v>
      </c>
    </row>
    <row r="3113" customFormat="false" ht="12.8" hidden="false" customHeight="false" outlineLevel="0" collapsed="false">
      <c r="B3113" s="0" t="s">
        <v>14</v>
      </c>
    </row>
    <row r="3114" customFormat="false" ht="12.8" hidden="false" customHeight="false" outlineLevel="0" collapsed="false">
      <c r="B3114" s="0" t="s">
        <v>124</v>
      </c>
    </row>
    <row r="3116" customFormat="false" ht="12.8" hidden="false" customHeight="false" outlineLevel="0" collapsed="false">
      <c r="A3116" s="0" t="s">
        <v>1442</v>
      </c>
      <c r="B3116" s="0" t="str">
        <f aca="false">HYPERLINK("https://lindat.mff.cuni.cz/services/teitok/pdtc10/index.php?action=vallex&amp;frame=v-w265f1", "cílit (v-w265f1)")</f>
        <v>cílit (v-w265f1)</v>
      </c>
    </row>
    <row r="3117" customFormat="false" ht="12.8" hidden="false" customHeight="false" outlineLevel="0" collapsed="false">
      <c r="B3117" s="0" t="s">
        <v>7</v>
      </c>
    </row>
    <row r="3118" customFormat="false" ht="12.8" hidden="false" customHeight="false" outlineLevel="0" collapsed="false">
      <c r="B3118" s="0" t="s">
        <v>237</v>
      </c>
    </row>
    <row r="3120" customFormat="false" ht="12.8" hidden="false" customHeight="false" outlineLevel="0" collapsed="false">
      <c r="A3120" s="0" t="s">
        <v>1443</v>
      </c>
      <c r="B3120" s="0" t="str">
        <f aca="false">HYPERLINK("https://lindat.mff.cuni.cz/services/teitok/pdtc10/index.php?action=vallex&amp;frame=v-w274f3", "cítit (v-w274f3)")</f>
        <v>cítit (v-w274f3)</v>
      </c>
    </row>
    <row r="3121" customFormat="false" ht="12.8" hidden="false" customHeight="false" outlineLevel="0" collapsed="false">
      <c r="B3121" s="0" t="s">
        <v>7</v>
      </c>
    </row>
    <row r="3122" customFormat="false" ht="12.8" hidden="false" customHeight="false" outlineLevel="0" collapsed="false">
      <c r="B3122" s="0" t="s">
        <v>1444</v>
      </c>
    </row>
    <row r="3123" customFormat="false" ht="12.8" hidden="false" customHeight="false" outlineLevel="0" collapsed="false">
      <c r="B3123" s="0" t="s">
        <v>1358</v>
      </c>
    </row>
    <row r="3125" customFormat="false" ht="12.8" hidden="false" customHeight="false" outlineLevel="0" collapsed="false">
      <c r="A3125" s="0" t="s">
        <v>1445</v>
      </c>
      <c r="B3125" s="0" t="str">
        <f aca="false">HYPERLINK("https://lindat.mff.cuni.cz/services/teitok/pdtc10/index.php?action=vallex&amp;frame=v-w274f4", "cítit (v-w274f4)")</f>
        <v>cítit (v-w274f4)</v>
      </c>
    </row>
    <row r="3126" customFormat="false" ht="12.8" hidden="false" customHeight="false" outlineLevel="0" collapsed="false">
      <c r="B3126" s="0" t="s">
        <v>7</v>
      </c>
    </row>
    <row r="3127" customFormat="false" ht="12.8" hidden="false" customHeight="false" outlineLevel="0" collapsed="false">
      <c r="B3127" s="0" t="s">
        <v>14</v>
      </c>
    </row>
    <row r="3128" customFormat="false" ht="12.8" hidden="false" customHeight="false" outlineLevel="0" collapsed="false">
      <c r="B3128" s="0" t="s">
        <v>1284</v>
      </c>
    </row>
    <row r="3130" customFormat="false" ht="12.8" hidden="false" customHeight="false" outlineLevel="0" collapsed="false">
      <c r="A3130" s="0" t="s">
        <v>1446</v>
      </c>
      <c r="B3130" s="0" t="str">
        <f aca="false">HYPERLINK("https://lindat.mff.cuni.cz/services/teitok/pdtc10/index.php?action=vallex&amp;frame=v-w274f6", "cítit (v-w274f6)")</f>
        <v>cítit (v-w274f6)</v>
      </c>
    </row>
    <row r="3131" customFormat="false" ht="12.8" hidden="false" customHeight="false" outlineLevel="0" collapsed="false">
      <c r="B3131" s="0" t="s">
        <v>7</v>
      </c>
      <c r="C3131" s="0" t="s">
        <v>1447</v>
      </c>
      <c r="D3131" s="0" t="s">
        <v>1448</v>
      </c>
      <c r="E3131" s="0" t="s">
        <v>1448</v>
      </c>
      <c r="F3131" s="0" t="s">
        <v>1448</v>
      </c>
    </row>
    <row r="3132" customFormat="false" ht="12.8" hidden="false" customHeight="false" outlineLevel="0" collapsed="false">
      <c r="B3132" s="0" t="s">
        <v>172</v>
      </c>
      <c r="C3132" s="0" t="s">
        <v>1449</v>
      </c>
      <c r="D3132" s="0" t="s">
        <v>26</v>
      </c>
      <c r="E3132" s="0" t="s">
        <v>26</v>
      </c>
      <c r="F3132" s="0" t="s">
        <v>26</v>
      </c>
    </row>
    <row r="3134" customFormat="false" ht="12.8" hidden="false" customHeight="false" outlineLevel="0" collapsed="false">
      <c r="A3134" s="0" t="s">
        <v>1450</v>
      </c>
      <c r="B3134" s="0" t="str">
        <f aca="false">HYPERLINK("https://lindat.mff.cuni.cz/services/teitok/pdtc10/index.php?action=vallex&amp;frame=v-w274f1", "cítit (v-w274f1)")</f>
        <v>cítit (v-w274f1)</v>
      </c>
    </row>
    <row r="3135" customFormat="false" ht="12.8" hidden="false" customHeight="false" outlineLevel="0" collapsed="false">
      <c r="B3135" s="0" t="s">
        <v>7</v>
      </c>
      <c r="C3135" s="0" t="s">
        <v>1163</v>
      </c>
      <c r="D3135" s="0" t="s">
        <v>335</v>
      </c>
      <c r="E3135" s="0" t="s">
        <v>335</v>
      </c>
      <c r="F3135" s="0" t="s">
        <v>335</v>
      </c>
    </row>
    <row r="3136" customFormat="false" ht="12.8" hidden="false" customHeight="false" outlineLevel="0" collapsed="false">
      <c r="B3136" s="0" t="s">
        <v>1451</v>
      </c>
      <c r="C3136" s="0" t="s">
        <v>1452</v>
      </c>
      <c r="D3136" s="0" t="s">
        <v>567</v>
      </c>
      <c r="E3136" s="0" t="s">
        <v>567</v>
      </c>
      <c r="F3136" s="0" t="s">
        <v>567</v>
      </c>
    </row>
    <row r="3138" customFormat="false" ht="12.8" hidden="false" customHeight="false" outlineLevel="0" collapsed="false">
      <c r="A3138" s="0" t="s">
        <v>1453</v>
      </c>
      <c r="B3138" s="0" t="str">
        <f aca="false">HYPERLINK("https://lindat.mff.cuni.cz/services/teitok/pdtc10/index.php?action=vallex&amp;frame=v-w274f5", "cítit (v-w274f5)")</f>
        <v>cítit (v-w274f5)</v>
      </c>
    </row>
    <row r="3139" customFormat="false" ht="12.8" hidden="false" customHeight="false" outlineLevel="0" collapsed="false">
      <c r="B3139" s="0" t="s">
        <v>7</v>
      </c>
    </row>
    <row r="3140" customFormat="false" ht="12.8" hidden="false" customHeight="false" outlineLevel="0" collapsed="false">
      <c r="B3140" s="0" t="s">
        <v>548</v>
      </c>
    </row>
    <row r="3142" customFormat="false" ht="12.8" hidden="false" customHeight="false" outlineLevel="0" collapsed="false">
      <c r="A3142" s="0" t="s">
        <v>1454</v>
      </c>
      <c r="B3142" s="0" t="str">
        <f aca="false">HYPERLINK("https://lindat.mff.cuni.cz/services/teitok/pdtc10/index.php?action=vallex&amp;frame=v-w274f9_MM", "cítit (v-w274f9_MM)")</f>
        <v>cítit (v-w274f9_MM)</v>
      </c>
    </row>
    <row r="3143" customFormat="false" ht="12.8" hidden="false" customHeight="false" outlineLevel="0" collapsed="false">
      <c r="B3143" s="0" t="s">
        <v>7</v>
      </c>
    </row>
    <row r="3144" customFormat="false" ht="12.8" hidden="false" customHeight="false" outlineLevel="0" collapsed="false">
      <c r="B3144" s="0" t="s">
        <v>1455</v>
      </c>
    </row>
    <row r="3146" customFormat="false" ht="12.8" hidden="false" customHeight="false" outlineLevel="0" collapsed="false">
      <c r="A3146" s="0" t="s">
        <v>1454</v>
      </c>
      <c r="B3146" s="0" t="str">
        <f aca="false">HYPERLINK("https://lindat.mff.cuni.cz/services/teitok/pdtc10/index.php?action=vallex&amp;frame=v-w274f2", "cítit (v-w274f2) - substituted with v-w274f9_MM")</f>
        <v>cítit (v-w274f2) - substituted with v-w274f9_MM</v>
      </c>
    </row>
    <row r="3147" customFormat="false" ht="12.8" hidden="false" customHeight="false" outlineLevel="0" collapsed="false">
      <c r="B3147" s="0" t="s">
        <v>7</v>
      </c>
      <c r="C3147" s="0" t="s">
        <v>1456</v>
      </c>
    </row>
    <row r="3148" customFormat="false" ht="12.8" hidden="false" customHeight="false" outlineLevel="0" collapsed="false">
      <c r="B3148" s="0" t="s">
        <v>1455</v>
      </c>
      <c r="C3148" s="0" t="s">
        <v>1457</v>
      </c>
    </row>
    <row r="3150" customFormat="false" ht="12.8" hidden="false" customHeight="false" outlineLevel="0" collapsed="false">
      <c r="A3150" s="0" t="s">
        <v>1454</v>
      </c>
      <c r="B3150" s="0" t="str">
        <f aca="false">HYPERLINK("https://lindat.mff.cuni.cz/services/teitok/pdtc10/index.php?action=vallex&amp;frame=v-w274f7_ZU", "cítit (v-w274f7_ZU) - substituted with v-w274f9_MM")</f>
        <v>cítit (v-w274f7_ZU) - substituted with v-w274f9_MM</v>
      </c>
    </row>
    <row r="3151" customFormat="false" ht="12.8" hidden="false" customHeight="false" outlineLevel="0" collapsed="false">
      <c r="B3151" s="0" t="s">
        <v>7</v>
      </c>
      <c r="C3151" s="0" t="s">
        <v>1458</v>
      </c>
    </row>
    <row r="3152" customFormat="false" ht="12.8" hidden="false" customHeight="false" outlineLevel="0" collapsed="false">
      <c r="B3152" s="0" t="s">
        <v>1455</v>
      </c>
      <c r="C3152" s="0" t="s">
        <v>1459</v>
      </c>
    </row>
    <row r="3154" customFormat="false" ht="12.8" hidden="false" customHeight="false" outlineLevel="0" collapsed="false">
      <c r="A3154" s="0" t="s">
        <v>1454</v>
      </c>
      <c r="B3154" s="0" t="str">
        <f aca="false">HYPERLINK("https://lindat.mff.cuni.cz/services/teitok/pdtc10/index.php?action=vallex&amp;frame=v-w274f8_ZU", "cítit (v-w274f8_ZU) - substituted with v-w274f9_MM")</f>
        <v>cítit (v-w274f8_ZU) - substituted with v-w274f9_MM</v>
      </c>
    </row>
    <row r="3155" customFormat="false" ht="12.8" hidden="false" customHeight="false" outlineLevel="0" collapsed="false">
      <c r="B3155" s="0" t="s">
        <v>7</v>
      </c>
      <c r="C3155" s="0" t="s">
        <v>1460</v>
      </c>
      <c r="D3155" s="0" t="s">
        <v>1448</v>
      </c>
      <c r="E3155" s="0" t="s">
        <v>1448</v>
      </c>
      <c r="F3155" s="0" t="s">
        <v>1448</v>
      </c>
    </row>
    <row r="3156" customFormat="false" ht="12.8" hidden="false" customHeight="false" outlineLevel="0" collapsed="false">
      <c r="B3156" s="0" t="s">
        <v>1455</v>
      </c>
      <c r="C3156" s="0" t="s">
        <v>1461</v>
      </c>
      <c r="D3156" s="0" t="s">
        <v>1462</v>
      </c>
      <c r="E3156" s="0" t="s">
        <v>1462</v>
      </c>
      <c r="F3156" s="0" t="s">
        <v>1462</v>
      </c>
    </row>
    <row r="3158" customFormat="false" ht="12.8" hidden="false" customHeight="false" outlineLevel="0" collapsed="false">
      <c r="A3158" s="0" t="s">
        <v>1454</v>
      </c>
      <c r="B3158" s="0" t="str">
        <f aca="false">HYPERLINK("https://lindat.mff.cuni.cz/services/teitok/pdtc10/index.php?action=vallex&amp;frame=v-w274hsa_585", "cítit (v-w274hsa_585) - substituted with v-w274f9_MM")</f>
        <v>cítit (v-w274hsa_585) - substituted with v-w274f9_MM</v>
      </c>
    </row>
    <row r="3159" customFormat="false" ht="12.8" hidden="false" customHeight="false" outlineLevel="0" collapsed="false">
      <c r="B3159" s="0" t="s">
        <v>7</v>
      </c>
    </row>
    <row r="3160" customFormat="false" ht="12.8" hidden="false" customHeight="false" outlineLevel="0" collapsed="false">
      <c r="B3160" s="0" t="s">
        <v>1455</v>
      </c>
    </row>
    <row r="3162" customFormat="false" ht="12.8" hidden="false" customHeight="false" outlineLevel="0" collapsed="false">
      <c r="A3162" s="0" t="s">
        <v>1463</v>
      </c>
      <c r="B3162" s="0" t="str">
        <f aca="false">HYPERLINK("https://lindat.mff.cuni.cz/services/teitok/pdtc10/index.php?action=vallex&amp;frame=v-w275f1", "cítit se (v-w275f1)")</f>
        <v>cítit se (v-w275f1)</v>
      </c>
    </row>
    <row r="3163" customFormat="false" ht="12.8" hidden="false" customHeight="false" outlineLevel="0" collapsed="false">
      <c r="B3163" s="0" t="s">
        <v>7</v>
      </c>
      <c r="C3163" s="0" t="s">
        <v>1464</v>
      </c>
      <c r="D3163" s="0" t="s">
        <v>1465</v>
      </c>
      <c r="E3163" s="0" t="s">
        <v>1465</v>
      </c>
      <c r="F3163" s="0" t="s">
        <v>1465</v>
      </c>
    </row>
    <row r="3164" customFormat="false" ht="12.8" hidden="false" customHeight="false" outlineLevel="0" collapsed="false">
      <c r="B3164" s="0" t="s">
        <v>1466</v>
      </c>
      <c r="C3164" s="0" t="s">
        <v>1467</v>
      </c>
      <c r="D3164" s="0" t="s">
        <v>151</v>
      </c>
      <c r="E3164" s="0" t="s">
        <v>151</v>
      </c>
      <c r="F3164" s="0" t="s">
        <v>151</v>
      </c>
    </row>
    <row r="3166" customFormat="false" ht="12.8" hidden="false" customHeight="false" outlineLevel="0" collapsed="false">
      <c r="A3166" s="0" t="s">
        <v>1468</v>
      </c>
      <c r="B3166" s="0" t="str">
        <f aca="false">HYPERLINK("https://lindat.mff.cuni.cz/services/teitok/pdtc10/index.php?action=vallex&amp;frame=v-w275f3", "cítit se (v-w275f3)")</f>
        <v>cítit se (v-w275f3)</v>
      </c>
    </row>
    <row r="3167" customFormat="false" ht="12.8" hidden="false" customHeight="false" outlineLevel="0" collapsed="false">
      <c r="B3167" s="0" t="s">
        <v>7</v>
      </c>
    </row>
    <row r="3168" customFormat="false" ht="12.8" hidden="false" customHeight="false" outlineLevel="0" collapsed="false">
      <c r="B3168" s="0" t="s">
        <v>41</v>
      </c>
    </row>
    <row r="3170" customFormat="false" ht="12.8" hidden="false" customHeight="false" outlineLevel="0" collapsed="false">
      <c r="A3170" s="0" t="s">
        <v>1469</v>
      </c>
      <c r="B3170" s="0" t="str">
        <f aca="false">HYPERLINK("https://lindat.mff.cuni.cz/services/teitok/pdtc10/index.php?action=vallex&amp;frame=v-w275f4", "cítit se (v-w275f4)")</f>
        <v>cítit se (v-w275f4)</v>
      </c>
    </row>
    <row r="3171" customFormat="false" ht="12.8" hidden="false" customHeight="false" outlineLevel="0" collapsed="false">
      <c r="B3171" s="0" t="s">
        <v>7</v>
      </c>
    </row>
    <row r="3172" customFormat="false" ht="12.8" hidden="false" customHeight="false" outlineLevel="0" collapsed="false">
      <c r="B3172" s="0" t="s">
        <v>41</v>
      </c>
    </row>
    <row r="3174" customFormat="false" ht="12.8" hidden="false" customHeight="false" outlineLevel="0" collapsed="false">
      <c r="A3174" s="0" t="s">
        <v>1470</v>
      </c>
      <c r="B3174" s="0" t="str">
        <f aca="false">HYPERLINK("https://lindat.mff.cuni.cz/services/teitok/pdtc10/index.php?action=vallex&amp;frame=v-w275f8_ZU", "cítit se (v-w275f8_ZU)")</f>
        <v>cítit se (v-w275f8_ZU)</v>
      </c>
    </row>
    <row r="3175" customFormat="false" ht="12.8" hidden="false" customHeight="false" outlineLevel="0" collapsed="false">
      <c r="B3175" s="0" t="s">
        <v>7</v>
      </c>
    </row>
    <row r="3176" customFormat="false" ht="12.8" hidden="false" customHeight="false" outlineLevel="0" collapsed="false">
      <c r="B3176" s="0" t="s">
        <v>1471</v>
      </c>
    </row>
    <row r="3177" customFormat="false" ht="12.8" hidden="false" customHeight="false" outlineLevel="0" collapsed="false">
      <c r="B3177" s="0" t="s">
        <v>474</v>
      </c>
    </row>
    <row r="3178" customFormat="false" ht="12.8" hidden="false" customHeight="false" outlineLevel="0" collapsed="false">
      <c r="B3178" s="0" t="s">
        <v>483</v>
      </c>
    </row>
    <row r="3180" customFormat="false" ht="12.8" hidden="false" customHeight="false" outlineLevel="0" collapsed="false">
      <c r="A3180" s="0" t="s">
        <v>1470</v>
      </c>
      <c r="B3180" s="0" t="str">
        <f aca="false">HYPERLINK("https://lindat.mff.cuni.cz/services/teitok/pdtc10/index.php?action=vallex&amp;frame=v-w275f2", "cítit se (v-w275f2) - substituted with v-w275f8_ZU")</f>
        <v>cítit se (v-w275f2) - substituted with v-w275f8_ZU</v>
      </c>
    </row>
    <row r="3181" customFormat="false" ht="12.8" hidden="false" customHeight="false" outlineLevel="0" collapsed="false">
      <c r="B3181" s="0" t="s">
        <v>7</v>
      </c>
      <c r="C3181" s="0" t="s">
        <v>1472</v>
      </c>
    </row>
    <row r="3182" customFormat="false" ht="12.8" hidden="false" customHeight="false" outlineLevel="0" collapsed="false">
      <c r="B3182" s="0" t="s">
        <v>1471</v>
      </c>
      <c r="C3182" s="0" t="s">
        <v>1473</v>
      </c>
    </row>
    <row r="3183" customFormat="false" ht="12.8" hidden="false" customHeight="false" outlineLevel="0" collapsed="false">
      <c r="B3183" s="0" t="s">
        <v>474</v>
      </c>
      <c r="C3183" s="0" t="s">
        <v>1474</v>
      </c>
    </row>
    <row r="3184" customFormat="false" ht="12.8" hidden="false" customHeight="false" outlineLevel="0" collapsed="false">
      <c r="B3184" s="0" t="s">
        <v>483</v>
      </c>
    </row>
    <row r="3186" customFormat="false" ht="12.8" hidden="false" customHeight="false" outlineLevel="0" collapsed="false">
      <c r="A3186" s="0" t="s">
        <v>1470</v>
      </c>
      <c r="B3186" s="0" t="str">
        <f aca="false">HYPERLINK("https://lindat.mff.cuni.cz/services/teitok/pdtc10/index.php?action=vallex&amp;frame=v-w275f5_ZU", "cítit se (v-w275f5_ZU) - substituted with v-w275f8_ZU")</f>
        <v>cítit se (v-w275f5_ZU) - substituted with v-w275f8_ZU</v>
      </c>
    </row>
    <row r="3187" customFormat="false" ht="12.8" hidden="false" customHeight="false" outlineLevel="0" collapsed="false">
      <c r="B3187" s="0" t="s">
        <v>7</v>
      </c>
    </row>
    <row r="3188" customFormat="false" ht="12.8" hidden="false" customHeight="false" outlineLevel="0" collapsed="false">
      <c r="B3188" s="0" t="s">
        <v>1471</v>
      </c>
    </row>
    <row r="3189" customFormat="false" ht="12.8" hidden="false" customHeight="false" outlineLevel="0" collapsed="false">
      <c r="B3189" s="0" t="s">
        <v>474</v>
      </c>
    </row>
    <row r="3190" customFormat="false" ht="12.8" hidden="false" customHeight="false" outlineLevel="0" collapsed="false">
      <c r="B3190" s="0" t="s">
        <v>483</v>
      </c>
    </row>
    <row r="3192" customFormat="false" ht="12.8" hidden="false" customHeight="false" outlineLevel="0" collapsed="false">
      <c r="A3192" s="0" t="s">
        <v>1470</v>
      </c>
      <c r="B3192" s="0" t="str">
        <f aca="false">HYPERLINK("https://lindat.mff.cuni.cz/services/teitok/pdtc10/index.php?action=vallex&amp;frame=v-w275f6_ZU", "cítit se (v-w275f6_ZU) - substituted with v-w275f8_ZU")</f>
        <v>cítit se (v-w275f6_ZU) - substituted with v-w275f8_ZU</v>
      </c>
    </row>
    <row r="3193" customFormat="false" ht="12.8" hidden="false" customHeight="false" outlineLevel="0" collapsed="false">
      <c r="B3193" s="0" t="s">
        <v>7</v>
      </c>
    </row>
    <row r="3194" customFormat="false" ht="12.8" hidden="false" customHeight="false" outlineLevel="0" collapsed="false">
      <c r="B3194" s="0" t="s">
        <v>1471</v>
      </c>
    </row>
    <row r="3195" customFormat="false" ht="12.8" hidden="false" customHeight="false" outlineLevel="0" collapsed="false">
      <c r="B3195" s="0" t="s">
        <v>474</v>
      </c>
    </row>
    <row r="3196" customFormat="false" ht="12.8" hidden="false" customHeight="false" outlineLevel="0" collapsed="false">
      <c r="B3196" s="0" t="s">
        <v>483</v>
      </c>
    </row>
    <row r="3198" customFormat="false" ht="12.8" hidden="false" customHeight="false" outlineLevel="0" collapsed="false">
      <c r="A3198" s="0" t="s">
        <v>1470</v>
      </c>
      <c r="B3198" s="0" t="str">
        <f aca="false">HYPERLINK("https://lindat.mff.cuni.cz/services/teitok/pdtc10/index.php?action=vallex&amp;frame=v-w275f7_ZU", "cítit se (v-w275f7_ZU) - substituted with v-w275f8_ZU")</f>
        <v>cítit se (v-w275f7_ZU) - substituted with v-w275f8_ZU</v>
      </c>
    </row>
    <row r="3199" customFormat="false" ht="12.8" hidden="false" customHeight="false" outlineLevel="0" collapsed="false">
      <c r="B3199" s="0" t="s">
        <v>7</v>
      </c>
      <c r="C3199" s="0" t="s">
        <v>1475</v>
      </c>
      <c r="D3199" s="0" t="s">
        <v>1465</v>
      </c>
      <c r="E3199" s="0" t="s">
        <v>1465</v>
      </c>
      <c r="F3199" s="0" t="s">
        <v>1465</v>
      </c>
    </row>
    <row r="3200" customFormat="false" ht="12.8" hidden="false" customHeight="false" outlineLevel="0" collapsed="false">
      <c r="B3200" s="0" t="s">
        <v>1471</v>
      </c>
      <c r="C3200" s="0" t="s">
        <v>1476</v>
      </c>
      <c r="D3200" s="0" t="s">
        <v>1477</v>
      </c>
      <c r="E3200" s="0" t="s">
        <v>1477</v>
      </c>
      <c r="F3200" s="0" t="s">
        <v>1477</v>
      </c>
    </row>
    <row r="3201" customFormat="false" ht="12.8" hidden="false" customHeight="false" outlineLevel="0" collapsed="false">
      <c r="B3201" s="0" t="s">
        <v>474</v>
      </c>
      <c r="C3201" s="0" t="s">
        <v>1478</v>
      </c>
      <c r="D3201" s="0" t="s">
        <v>1479</v>
      </c>
      <c r="E3201" s="0" t="s">
        <v>1479</v>
      </c>
      <c r="F3201" s="0" t="s">
        <v>1479</v>
      </c>
    </row>
    <row r="3202" customFormat="false" ht="12.8" hidden="false" customHeight="false" outlineLevel="0" collapsed="false">
      <c r="B3202" s="0" t="s">
        <v>483</v>
      </c>
      <c r="D3202" s="0" t="s">
        <v>1480</v>
      </c>
      <c r="E3202" s="0" t="s">
        <v>1480</v>
      </c>
      <c r="F3202" s="0" t="s">
        <v>1480</v>
      </c>
    </row>
    <row r="3204" customFormat="false" ht="12.8" hidden="false" customHeight="false" outlineLevel="0" collapsed="false">
      <c r="A3204" s="0" t="s">
        <v>1481</v>
      </c>
      <c r="B3204" s="0" t="str">
        <f aca="false">HYPERLINK("https://lindat.mff.cuni.cz/services/teitok/pdtc10/index.php?action=vallex&amp;frame=v-w360f1", "dabovat (v-w360f1)")</f>
        <v>dabovat (v-w360f1)</v>
      </c>
    </row>
    <row r="3205" customFormat="false" ht="12.8" hidden="false" customHeight="false" outlineLevel="0" collapsed="false">
      <c r="B3205" s="0" t="s">
        <v>7</v>
      </c>
      <c r="F3205" s="0" t="s">
        <v>358</v>
      </c>
    </row>
    <row r="3206" customFormat="false" ht="12.8" hidden="false" customHeight="false" outlineLevel="0" collapsed="false">
      <c r="B3206" s="0" t="s">
        <v>14</v>
      </c>
      <c r="F3206" s="0" t="s">
        <v>1278</v>
      </c>
    </row>
    <row r="3208" customFormat="false" ht="12.8" hidden="false" customHeight="false" outlineLevel="0" collapsed="false">
      <c r="A3208" s="0" t="s">
        <v>1482</v>
      </c>
      <c r="B3208" s="0" t="str">
        <f aca="false">HYPERLINK("https://lindat.mff.cuni.cz/services/teitok/pdtc10/index.php?action=vallex&amp;frame=v-w362f1", "danit (v-w362f1)")</f>
        <v>danit (v-w362f1)</v>
      </c>
    </row>
    <row r="3209" customFormat="false" ht="12.8" hidden="false" customHeight="false" outlineLevel="0" collapsed="false">
      <c r="B3209" s="0" t="s">
        <v>7</v>
      </c>
    </row>
    <row r="3210" customFormat="false" ht="12.8" hidden="false" customHeight="false" outlineLevel="0" collapsed="false">
      <c r="B3210" s="0" t="s">
        <v>14</v>
      </c>
    </row>
    <row r="3212" customFormat="false" ht="12.8" hidden="false" customHeight="false" outlineLevel="0" collapsed="false">
      <c r="A3212" s="0" t="s">
        <v>1483</v>
      </c>
      <c r="B3212" s="0" t="str">
        <f aca="false">HYPERLINK("https://lindat.mff.cuni.cz/services/teitok/pdtc10/index.php?action=vallex&amp;frame=v-w367f1", "darovat (v-w367f1)")</f>
        <v>darovat (v-w367f1)</v>
      </c>
    </row>
    <row r="3213" customFormat="false" ht="12.8" hidden="false" customHeight="false" outlineLevel="0" collapsed="false">
      <c r="B3213" s="0" t="s">
        <v>7</v>
      </c>
      <c r="C3213" s="0" t="s">
        <v>157</v>
      </c>
      <c r="D3213" s="0" t="s">
        <v>1484</v>
      </c>
      <c r="E3213" s="0" t="s">
        <v>1484</v>
      </c>
      <c r="F3213" s="0" t="s">
        <v>1484</v>
      </c>
    </row>
    <row r="3214" customFormat="false" ht="12.8" hidden="false" customHeight="false" outlineLevel="0" collapsed="false">
      <c r="B3214" s="0" t="s">
        <v>14</v>
      </c>
      <c r="C3214" s="0" t="s">
        <v>1405</v>
      </c>
      <c r="D3214" s="0" t="s">
        <v>1485</v>
      </c>
      <c r="E3214" s="0" t="s">
        <v>1485</v>
      </c>
      <c r="F3214" s="0" t="s">
        <v>1485</v>
      </c>
    </row>
    <row r="3215" customFormat="false" ht="12.8" hidden="false" customHeight="false" outlineLevel="0" collapsed="false">
      <c r="B3215" s="0" t="s">
        <v>48</v>
      </c>
      <c r="C3215" s="0" t="s">
        <v>1486</v>
      </c>
      <c r="D3215" s="0" t="s">
        <v>1487</v>
      </c>
      <c r="E3215" s="0" t="s">
        <v>1487</v>
      </c>
      <c r="F3215" s="0" t="s">
        <v>1487</v>
      </c>
    </row>
    <row r="3217" customFormat="false" ht="12.8" hidden="false" customHeight="false" outlineLevel="0" collapsed="false">
      <c r="A3217" s="0" t="s">
        <v>1488</v>
      </c>
      <c r="B3217" s="0" t="str">
        <f aca="false">HYPERLINK("https://lindat.mff.cuni.cz/services/teitok/pdtc10/index.php?action=vallex&amp;frame=v-w10072f2", "datovat (v-w10072f2)")</f>
        <v>datovat (v-w10072f2)</v>
      </c>
    </row>
    <row r="3218" customFormat="false" ht="12.8" hidden="false" customHeight="false" outlineLevel="0" collapsed="false">
      <c r="B3218" s="0" t="s">
        <v>7</v>
      </c>
    </row>
    <row r="3219" customFormat="false" ht="12.8" hidden="false" customHeight="false" outlineLevel="0" collapsed="false">
      <c r="B3219" s="0" t="s">
        <v>14</v>
      </c>
      <c r="C3219" s="0" t="s">
        <v>487</v>
      </c>
      <c r="D3219" s="0" t="s">
        <v>78</v>
      </c>
      <c r="E3219" s="0" t="s">
        <v>78</v>
      </c>
      <c r="F3219" s="0" t="s">
        <v>78</v>
      </c>
    </row>
    <row r="3221" customFormat="false" ht="12.8" hidden="false" customHeight="false" outlineLevel="0" collapsed="false">
      <c r="A3221" s="0" t="s">
        <v>1489</v>
      </c>
      <c r="B3221" s="0" t="str">
        <f aca="false">HYPERLINK("https://lindat.mff.cuni.cz/services/teitok/pdtc10/index.php?action=vallex&amp;frame=v-w11235f1", "datovat se (v-w11235f1)")</f>
        <v>datovat se (v-w11235f1)</v>
      </c>
    </row>
    <row r="3222" customFormat="false" ht="12.8" hidden="false" customHeight="false" outlineLevel="0" collapsed="false">
      <c r="B3222" s="0" t="s">
        <v>7</v>
      </c>
    </row>
    <row r="3223" customFormat="false" ht="12.8" hidden="false" customHeight="false" outlineLevel="0" collapsed="false">
      <c r="B3223" s="0" t="s">
        <v>1490</v>
      </c>
    </row>
    <row r="3225" customFormat="false" ht="12.8" hidden="false" customHeight="false" outlineLevel="0" collapsed="false">
      <c r="A3225" s="0" t="s">
        <v>1491</v>
      </c>
      <c r="B3225" s="0" t="str">
        <f aca="false">HYPERLINK("https://lindat.mff.cuni.cz/services/teitok/pdtc10/index.php?action=vallex&amp;frame=v-w11235hsa_989", "datovat se (v-w11235hsa_989)")</f>
        <v>datovat se (v-w11235hsa_989)</v>
      </c>
    </row>
    <row r="3226" customFormat="false" ht="12.8" hidden="false" customHeight="false" outlineLevel="0" collapsed="false">
      <c r="B3226" s="0" t="s">
        <v>7</v>
      </c>
      <c r="C3226" s="0" t="s">
        <v>16</v>
      </c>
      <c r="D3226" s="0" t="s">
        <v>16</v>
      </c>
      <c r="E3226" s="0" t="s">
        <v>16</v>
      </c>
      <c r="F3226" s="0" t="s">
        <v>16</v>
      </c>
    </row>
    <row r="3227" customFormat="false" ht="12.8" hidden="false" customHeight="false" outlineLevel="0" collapsed="false">
      <c r="B3227" s="0" t="s">
        <v>1492</v>
      </c>
      <c r="C3227" s="0" t="s">
        <v>1493</v>
      </c>
      <c r="D3227" s="0" t="s">
        <v>1493</v>
      </c>
      <c r="E3227" s="0" t="s">
        <v>1493</v>
      </c>
      <c r="F3227" s="0" t="s">
        <v>1493</v>
      </c>
    </row>
    <row r="3229" customFormat="false" ht="12.8" hidden="false" customHeight="false" outlineLevel="0" collapsed="false">
      <c r="A3229" s="0" t="s">
        <v>1494</v>
      </c>
      <c r="B3229" s="0" t="str">
        <f aca="false">HYPERLINK("https://lindat.mff.cuni.cz/services/teitok/pdtc10/index.php?action=vallex&amp;frame=v-w368f1", "dařit se (v-w368f1)")</f>
        <v>dařit se (v-w368f1)</v>
      </c>
    </row>
    <row r="3230" customFormat="false" ht="12.8" hidden="false" customHeight="false" outlineLevel="0" collapsed="false">
      <c r="B3230" s="0" t="s">
        <v>603</v>
      </c>
      <c r="C3230" s="0" t="s">
        <v>1226</v>
      </c>
      <c r="D3230" s="0" t="s">
        <v>1495</v>
      </c>
      <c r="E3230" s="0" t="s">
        <v>1495</v>
      </c>
      <c r="F3230" s="0" t="s">
        <v>1495</v>
      </c>
    </row>
    <row r="3231" customFormat="false" ht="12.8" hidden="false" customHeight="false" outlineLevel="0" collapsed="false">
      <c r="B3231" s="0" t="s">
        <v>1496</v>
      </c>
      <c r="C3231" s="0" t="s">
        <v>195</v>
      </c>
      <c r="D3231" s="0" t="s">
        <v>1497</v>
      </c>
      <c r="E3231" s="0" t="s">
        <v>1497</v>
      </c>
      <c r="F3231" s="0" t="s">
        <v>1497</v>
      </c>
    </row>
    <row r="3233" customFormat="false" ht="12.8" hidden="false" customHeight="false" outlineLevel="0" collapsed="false">
      <c r="A3233" s="0" t="s">
        <v>1498</v>
      </c>
      <c r="B3233" s="0" t="str">
        <f aca="false">HYPERLINK("https://lindat.mff.cuni.cz/services/teitok/pdtc10/index.php?action=vallex&amp;frame=v-w368f3", "dařit se (v-w368f3)")</f>
        <v>dařit se (v-w368f3)</v>
      </c>
    </row>
    <row r="3234" customFormat="false" ht="12.8" hidden="false" customHeight="false" outlineLevel="0" collapsed="false">
      <c r="B3234" s="0" t="s">
        <v>7</v>
      </c>
    </row>
    <row r="3236" customFormat="false" ht="12.8" hidden="false" customHeight="false" outlineLevel="0" collapsed="false">
      <c r="A3236" s="0" t="s">
        <v>1499</v>
      </c>
      <c r="B3236" s="0" t="str">
        <f aca="false">HYPERLINK("https://lindat.mff.cuni.cz/services/teitok/pdtc10/index.php?action=vallex&amp;frame=v-w368f2", "dařit se (v-w368f2)")</f>
        <v>dařit se (v-w368f2)</v>
      </c>
    </row>
    <row r="3237" customFormat="false" ht="12.8" hidden="false" customHeight="false" outlineLevel="0" collapsed="false">
      <c r="B3237" s="0" t="s">
        <v>603</v>
      </c>
      <c r="C3237" s="0" t="s">
        <v>1500</v>
      </c>
      <c r="D3237" s="0" t="s">
        <v>749</v>
      </c>
      <c r="E3237" s="0" t="s">
        <v>749</v>
      </c>
      <c r="F3237" s="0" t="s">
        <v>749</v>
      </c>
    </row>
    <row r="3238" customFormat="false" ht="12.8" hidden="false" customHeight="false" outlineLevel="0" collapsed="false">
      <c r="B3238" s="0" t="s">
        <v>474</v>
      </c>
      <c r="C3238" s="0" t="s">
        <v>1501</v>
      </c>
      <c r="D3238" s="0" t="s">
        <v>752</v>
      </c>
      <c r="E3238" s="0" t="s">
        <v>752</v>
      </c>
      <c r="F3238" s="0" t="s">
        <v>752</v>
      </c>
    </row>
    <row r="3239" customFormat="false" ht="12.8" hidden="false" customHeight="false" outlineLevel="0" collapsed="false">
      <c r="B3239" s="0" t="s">
        <v>1502</v>
      </c>
      <c r="D3239" s="0" t="s">
        <v>1503</v>
      </c>
      <c r="E3239" s="0" t="s">
        <v>1503</v>
      </c>
      <c r="F3239" s="0" t="s">
        <v>1503</v>
      </c>
    </row>
    <row r="3241" customFormat="false" ht="12.8" hidden="false" customHeight="false" outlineLevel="0" collapsed="false">
      <c r="A3241" s="0" t="s">
        <v>1504</v>
      </c>
      <c r="B3241" s="0" t="str">
        <f aca="false">HYPERLINK("https://lindat.mff.cuni.cz/services/teitok/pdtc10/index.php?action=vallex&amp;frame=v-w381f1", "dbát (v-w381f1)")</f>
        <v>dbát (v-w381f1)</v>
      </c>
    </row>
    <row r="3242" customFormat="false" ht="12.8" hidden="false" customHeight="false" outlineLevel="0" collapsed="false">
      <c r="B3242" s="0" t="s">
        <v>7</v>
      </c>
      <c r="C3242" s="0" t="s">
        <v>1505</v>
      </c>
      <c r="D3242" s="0" t="s">
        <v>1419</v>
      </c>
      <c r="E3242" s="0" t="s">
        <v>1419</v>
      </c>
      <c r="F3242" s="0" t="s">
        <v>1419</v>
      </c>
    </row>
    <row r="3243" customFormat="false" ht="12.8" hidden="false" customHeight="false" outlineLevel="0" collapsed="false">
      <c r="B3243" s="0" t="s">
        <v>1506</v>
      </c>
      <c r="C3243" s="0" t="s">
        <v>1507</v>
      </c>
      <c r="D3243" s="0" t="s">
        <v>1420</v>
      </c>
      <c r="E3243" s="0" t="s">
        <v>1420</v>
      </c>
      <c r="F3243" s="0" t="s">
        <v>1420</v>
      </c>
    </row>
    <row r="3245" customFormat="false" ht="12.8" hidden="false" customHeight="false" outlineLevel="0" collapsed="false">
      <c r="A3245" s="0" t="s">
        <v>1508</v>
      </c>
      <c r="B3245" s="0" t="str">
        <f aca="false">HYPERLINK("https://lindat.mff.cuni.cz/services/teitok/pdtc10/index.php?action=vallex&amp;frame=v-w385f1", "debatovat (v-w385f1)")</f>
        <v>debatovat (v-w385f1)</v>
      </c>
    </row>
    <row r="3246" customFormat="false" ht="12.8" hidden="false" customHeight="false" outlineLevel="0" collapsed="false">
      <c r="B3246" s="0" t="s">
        <v>7</v>
      </c>
      <c r="C3246" s="0" t="s">
        <v>1509</v>
      </c>
      <c r="D3246" s="0" t="s">
        <v>209</v>
      </c>
      <c r="E3246" s="0" t="s">
        <v>209</v>
      </c>
      <c r="F3246" s="0" t="s">
        <v>209</v>
      </c>
    </row>
    <row r="3247" customFormat="false" ht="12.8" hidden="false" customHeight="false" outlineLevel="0" collapsed="false">
      <c r="B3247" s="0" t="s">
        <v>1510</v>
      </c>
      <c r="C3247" s="0" t="s">
        <v>1511</v>
      </c>
      <c r="D3247" s="0" t="s">
        <v>211</v>
      </c>
      <c r="E3247" s="0" t="s">
        <v>211</v>
      </c>
      <c r="F3247" s="0" t="s">
        <v>211</v>
      </c>
    </row>
    <row r="3248" customFormat="false" ht="12.8" hidden="false" customHeight="false" outlineLevel="0" collapsed="false">
      <c r="B3248" s="0" t="s">
        <v>207</v>
      </c>
      <c r="C3248" s="0" t="s">
        <v>1512</v>
      </c>
      <c r="D3248" s="0" t="s">
        <v>213</v>
      </c>
      <c r="E3248" s="0" t="s">
        <v>213</v>
      </c>
      <c r="F3248" s="0" t="s">
        <v>213</v>
      </c>
    </row>
    <row r="3250" customFormat="false" ht="12.8" hidden="false" customHeight="false" outlineLevel="0" collapsed="false">
      <c r="A3250" s="0" t="s">
        <v>1513</v>
      </c>
      <c r="B3250" s="0" t="str">
        <f aca="false">HYPERLINK("https://lindat.mff.cuni.cz/services/teitok/pdtc10/index.php?action=vallex&amp;frame=v-w387f1", "debutovat (v-w387f1)")</f>
        <v>debutovat (v-w387f1)</v>
      </c>
    </row>
    <row r="3251" customFormat="false" ht="12.8" hidden="false" customHeight="false" outlineLevel="0" collapsed="false">
      <c r="B3251" s="0" t="s">
        <v>7</v>
      </c>
      <c r="C3251" s="0" t="s">
        <v>247</v>
      </c>
      <c r="D3251" s="0" t="s">
        <v>1514</v>
      </c>
      <c r="E3251" s="0" t="s">
        <v>1514</v>
      </c>
      <c r="F3251" s="0" t="s">
        <v>1514</v>
      </c>
    </row>
    <row r="3253" customFormat="false" ht="12.8" hidden="false" customHeight="false" outlineLevel="0" collapsed="false">
      <c r="A3253" s="0" t="s">
        <v>1515</v>
      </c>
      <c r="B3253" s="0" t="str">
        <f aca="false">HYPERLINK("https://lindat.mff.cuni.cz/services/teitok/pdtc10/index.php?action=vallex&amp;frame=v-w389f1", "decentralizovat (v-w389f1)")</f>
        <v>decentralizovat (v-w389f1)</v>
      </c>
    </row>
    <row r="3254" customFormat="false" ht="12.8" hidden="false" customHeight="false" outlineLevel="0" collapsed="false">
      <c r="B3254" s="0" t="s">
        <v>7</v>
      </c>
    </row>
    <row r="3255" customFormat="false" ht="12.8" hidden="false" customHeight="false" outlineLevel="0" collapsed="false">
      <c r="B3255" s="0" t="s">
        <v>14</v>
      </c>
    </row>
    <row r="3257" customFormat="false" ht="12.8" hidden="false" customHeight="false" outlineLevel="0" collapsed="false">
      <c r="A3257" s="0" t="s">
        <v>1516</v>
      </c>
      <c r="B3257" s="0" t="str">
        <f aca="false">HYPERLINK("https://lindat.mff.cuni.cz/services/teitok/pdtc10/index.php?action=vallex&amp;frame=v-w392f1", "defilovat (v-w392f1)")</f>
        <v>defilovat (v-w392f1)</v>
      </c>
    </row>
    <row r="3258" customFormat="false" ht="12.8" hidden="false" customHeight="false" outlineLevel="0" collapsed="false">
      <c r="B3258" s="0" t="s">
        <v>7</v>
      </c>
    </row>
    <row r="3260" customFormat="false" ht="12.8" hidden="false" customHeight="false" outlineLevel="0" collapsed="false">
      <c r="A3260" s="0" t="s">
        <v>1517</v>
      </c>
      <c r="B3260" s="0" t="str">
        <f aca="false">HYPERLINK("https://lindat.mff.cuni.cz/services/teitok/pdtc10/index.php?action=vallex&amp;frame=v-w394f1", "definovat (v-w394f1)")</f>
        <v>definovat (v-w394f1)</v>
      </c>
    </row>
    <row r="3261" customFormat="false" ht="12.8" hidden="false" customHeight="false" outlineLevel="0" collapsed="false">
      <c r="B3261" s="0" t="s">
        <v>7</v>
      </c>
      <c r="C3261" s="0" t="s">
        <v>1518</v>
      </c>
      <c r="D3261" s="0" t="s">
        <v>1519</v>
      </c>
      <c r="E3261" s="0" t="s">
        <v>1519</v>
      </c>
      <c r="F3261" s="0" t="s">
        <v>1519</v>
      </c>
    </row>
    <row r="3262" customFormat="false" ht="12.8" hidden="false" customHeight="false" outlineLevel="0" collapsed="false">
      <c r="B3262" s="0" t="s">
        <v>1520</v>
      </c>
      <c r="C3262" s="0" t="s">
        <v>1521</v>
      </c>
      <c r="D3262" s="0" t="s">
        <v>1522</v>
      </c>
      <c r="E3262" s="0" t="s">
        <v>1522</v>
      </c>
      <c r="F3262" s="0" t="s">
        <v>1522</v>
      </c>
    </row>
    <row r="3264" customFormat="false" ht="12.8" hidden="false" customHeight="false" outlineLevel="0" collapsed="false">
      <c r="A3264" s="0" t="s">
        <v>1523</v>
      </c>
      <c r="B3264" s="0" t="str">
        <f aca="false">HYPERLINK("https://lindat.mff.cuni.cz/services/teitok/pdtc10/index.php?action=vallex&amp;frame=v-w396f1", "deformovat (v-w396f1)")</f>
        <v>deformovat (v-w396f1)</v>
      </c>
    </row>
    <row r="3265" customFormat="false" ht="12.8" hidden="false" customHeight="false" outlineLevel="0" collapsed="false">
      <c r="B3265" s="0" t="s">
        <v>7</v>
      </c>
    </row>
    <row r="3266" customFormat="false" ht="12.8" hidden="false" customHeight="false" outlineLevel="0" collapsed="false">
      <c r="B3266" s="0" t="s">
        <v>14</v>
      </c>
    </row>
    <row r="3268" customFormat="false" ht="12.8" hidden="false" customHeight="false" outlineLevel="0" collapsed="false">
      <c r="A3268" s="0" t="s">
        <v>1524</v>
      </c>
      <c r="B3268" s="0" t="str">
        <f aca="false">HYPERLINK("https://lindat.mff.cuni.cz/services/teitok/pdtc10/index.php?action=vallex&amp;frame=v-w11830_ZUf1_ZU", "degenerovat (v-w11830_ZUf1_ZU)")</f>
        <v>degenerovat (v-w11830_ZUf1_ZU)</v>
      </c>
    </row>
    <row r="3269" customFormat="false" ht="12.8" hidden="false" customHeight="false" outlineLevel="0" collapsed="false">
      <c r="B3269" s="0" t="s">
        <v>7</v>
      </c>
    </row>
    <row r="3271" customFormat="false" ht="12.8" hidden="false" customHeight="false" outlineLevel="0" collapsed="false">
      <c r="A3271" s="0" t="s">
        <v>1525</v>
      </c>
      <c r="B3271" s="0" t="str">
        <f aca="false">HYPERLINK("https://lindat.mff.cuni.cz/services/teitok/pdtc10/index.php?action=vallex&amp;frame=v-w398f1", "degradovat (v-w398f1)")</f>
        <v>degradovat (v-w398f1)</v>
      </c>
    </row>
    <row r="3272" customFormat="false" ht="12.8" hidden="false" customHeight="false" outlineLevel="0" collapsed="false">
      <c r="B3272" s="0" t="s">
        <v>7</v>
      </c>
      <c r="C3272" s="0" t="s">
        <v>191</v>
      </c>
      <c r="D3272" s="0" t="s">
        <v>335</v>
      </c>
      <c r="E3272" s="0" t="s">
        <v>335</v>
      </c>
      <c r="F3272" s="0" t="s">
        <v>335</v>
      </c>
    </row>
    <row r="3273" customFormat="false" ht="12.8" hidden="false" customHeight="false" outlineLevel="0" collapsed="false">
      <c r="B3273" s="0" t="s">
        <v>14</v>
      </c>
      <c r="C3273" s="0" t="s">
        <v>115</v>
      </c>
      <c r="D3273" s="0" t="s">
        <v>384</v>
      </c>
      <c r="E3273" s="0" t="s">
        <v>384</v>
      </c>
      <c r="F3273" s="0" t="s">
        <v>384</v>
      </c>
    </row>
    <row r="3274" customFormat="false" ht="12.8" hidden="false" customHeight="false" outlineLevel="0" collapsed="false">
      <c r="B3274" s="0" t="s">
        <v>35</v>
      </c>
      <c r="C3274" s="0" t="s">
        <v>1526</v>
      </c>
      <c r="D3274" s="0" t="s">
        <v>1526</v>
      </c>
      <c r="E3274" s="0" t="s">
        <v>1526</v>
      </c>
      <c r="F3274" s="0" t="s">
        <v>1526</v>
      </c>
    </row>
    <row r="3275" customFormat="false" ht="12.8" hidden="false" customHeight="false" outlineLevel="0" collapsed="false">
      <c r="B3275" s="0" t="s">
        <v>84</v>
      </c>
      <c r="C3275" s="0" t="s">
        <v>1527</v>
      </c>
      <c r="D3275" s="0" t="s">
        <v>1527</v>
      </c>
      <c r="E3275" s="0" t="s">
        <v>1527</v>
      </c>
      <c r="F3275" s="0" t="s">
        <v>1527</v>
      </c>
    </row>
    <row r="3277" customFormat="false" ht="12.8" hidden="false" customHeight="false" outlineLevel="0" collapsed="false">
      <c r="A3277" s="0" t="s">
        <v>1528</v>
      </c>
      <c r="B3277" s="0" t="str">
        <f aca="false">HYPERLINK("https://lindat.mff.cuni.cz/services/teitok/pdtc10/index.php?action=vallex&amp;frame=v-w403f2", "deklarovat (v-w403f2)")</f>
        <v>deklarovat (v-w403f2)</v>
      </c>
    </row>
    <row r="3278" customFormat="false" ht="12.8" hidden="false" customHeight="false" outlineLevel="0" collapsed="false">
      <c r="B3278" s="0" t="s">
        <v>7</v>
      </c>
    </row>
    <row r="3279" customFormat="false" ht="12.8" hidden="false" customHeight="false" outlineLevel="0" collapsed="false">
      <c r="B3279" s="0" t="s">
        <v>14</v>
      </c>
    </row>
    <row r="3280" customFormat="false" ht="12.8" hidden="false" customHeight="false" outlineLevel="0" collapsed="false">
      <c r="B3280" s="0" t="s">
        <v>1529</v>
      </c>
    </row>
    <row r="3282" customFormat="false" ht="12.8" hidden="false" customHeight="false" outlineLevel="0" collapsed="false">
      <c r="A3282" s="0" t="s">
        <v>1530</v>
      </c>
      <c r="B3282" s="0" t="str">
        <f aca="false">HYPERLINK("https://lindat.mff.cuni.cz/services/teitok/pdtc10/index.php?action=vallex&amp;frame=v-w403f1", "deklarovat (v-w403f1)")</f>
        <v>deklarovat (v-w403f1)</v>
      </c>
    </row>
    <row r="3283" customFormat="false" ht="12.8" hidden="false" customHeight="false" outlineLevel="0" collapsed="false">
      <c r="B3283" s="0" t="s">
        <v>7</v>
      </c>
      <c r="C3283" s="0" t="s">
        <v>1531</v>
      </c>
      <c r="D3283" s="0" t="s">
        <v>164</v>
      </c>
      <c r="E3283" s="0" t="s">
        <v>164</v>
      </c>
      <c r="F3283" s="0" t="s">
        <v>164</v>
      </c>
    </row>
    <row r="3284" customFormat="false" ht="12.8" hidden="false" customHeight="false" outlineLevel="0" collapsed="false">
      <c r="B3284" s="0" t="s">
        <v>54</v>
      </c>
      <c r="C3284" s="0" t="s">
        <v>1532</v>
      </c>
      <c r="D3284" s="0" t="s">
        <v>167</v>
      </c>
      <c r="E3284" s="0" t="s">
        <v>167</v>
      </c>
      <c r="F3284" s="0" t="s">
        <v>167</v>
      </c>
    </row>
    <row r="3286" customFormat="false" ht="12.8" hidden="false" customHeight="false" outlineLevel="0" collapsed="false">
      <c r="A3286" s="0" t="s">
        <v>1533</v>
      </c>
      <c r="B3286" s="0" t="str">
        <f aca="false">HYPERLINK("https://lindat.mff.cuni.cz/services/teitok/pdtc10/index.php?action=vallex&amp;frame=v-w10115f2", "dekontaminovat (v-w10115f2)")</f>
        <v>dekontaminovat (v-w10115f2)</v>
      </c>
    </row>
    <row r="3287" customFormat="false" ht="12.8" hidden="false" customHeight="false" outlineLevel="0" collapsed="false">
      <c r="B3287" s="0" t="s">
        <v>7</v>
      </c>
      <c r="D3287" s="0" t="s">
        <v>113</v>
      </c>
      <c r="E3287" s="0" t="s">
        <v>113</v>
      </c>
      <c r="F3287" s="0" t="s">
        <v>113</v>
      </c>
    </row>
    <row r="3288" customFormat="false" ht="12.8" hidden="false" customHeight="false" outlineLevel="0" collapsed="false">
      <c r="B3288" s="0" t="s">
        <v>14</v>
      </c>
      <c r="C3288" s="0" t="s">
        <v>155</v>
      </c>
      <c r="D3288" s="0" t="s">
        <v>384</v>
      </c>
      <c r="E3288" s="0" t="s">
        <v>384</v>
      </c>
      <c r="F3288" s="0" t="s">
        <v>384</v>
      </c>
    </row>
    <row r="3289" customFormat="false" ht="12.8" hidden="false" customHeight="false" outlineLevel="0" collapsed="false">
      <c r="B3289" s="0" t="s">
        <v>441</v>
      </c>
    </row>
    <row r="3291" customFormat="false" ht="12.8" hidden="false" customHeight="false" outlineLevel="0" collapsed="false">
      <c r="A3291" s="0" t="s">
        <v>1534</v>
      </c>
      <c r="B3291" s="0" t="str">
        <f aca="false">HYPERLINK("https://lindat.mff.cuni.cz/services/teitok/pdtc10/index.php?action=vallex&amp;frame=v-w414f1", "delegovat (v-w414f1)")</f>
        <v>delegovat (v-w414f1)</v>
      </c>
    </row>
    <row r="3292" customFormat="false" ht="12.8" hidden="false" customHeight="false" outlineLevel="0" collapsed="false">
      <c r="B3292" s="0" t="s">
        <v>7</v>
      </c>
      <c r="C3292" s="0" t="s">
        <v>191</v>
      </c>
      <c r="D3292" s="0" t="s">
        <v>1535</v>
      </c>
      <c r="E3292" s="0" t="s">
        <v>1536</v>
      </c>
      <c r="F3292" s="0" t="s">
        <v>1536</v>
      </c>
    </row>
    <row r="3293" customFormat="false" ht="12.8" hidden="false" customHeight="false" outlineLevel="0" collapsed="false">
      <c r="B3293" s="0" t="s">
        <v>14</v>
      </c>
      <c r="C3293" s="0" t="s">
        <v>155</v>
      </c>
      <c r="D3293" s="0" t="s">
        <v>1537</v>
      </c>
      <c r="E3293" s="0" t="s">
        <v>1538</v>
      </c>
      <c r="F3293" s="0" t="s">
        <v>1538</v>
      </c>
    </row>
    <row r="3294" customFormat="false" ht="12.8" hidden="false" customHeight="false" outlineLevel="0" collapsed="false">
      <c r="B3294" s="0" t="s">
        <v>122</v>
      </c>
      <c r="C3294" s="0" t="s">
        <v>1165</v>
      </c>
      <c r="D3294" s="0" t="s">
        <v>1539</v>
      </c>
      <c r="E3294" s="0" t="s">
        <v>1540</v>
      </c>
      <c r="F3294" s="0" t="s">
        <v>1540</v>
      </c>
    </row>
    <row r="3296" customFormat="false" ht="12.8" hidden="false" customHeight="false" outlineLevel="0" collapsed="false">
      <c r="A3296" s="0" t="s">
        <v>1541</v>
      </c>
      <c r="B3296" s="0" t="str">
        <f aca="false">HYPERLINK("https://lindat.mff.cuni.cz/services/teitok/pdtc10/index.php?action=vallex&amp;frame=v-w414f2", "delegovat (v-w414f2)")</f>
        <v>delegovat (v-w414f2)</v>
      </c>
    </row>
    <row r="3297" customFormat="false" ht="12.8" hidden="false" customHeight="false" outlineLevel="0" collapsed="false">
      <c r="B3297" s="0" t="s">
        <v>7</v>
      </c>
    </row>
    <row r="3298" customFormat="false" ht="12.8" hidden="false" customHeight="false" outlineLevel="0" collapsed="false">
      <c r="B3298" s="0" t="s">
        <v>14</v>
      </c>
    </row>
    <row r="3299" customFormat="false" ht="12.8" hidden="false" customHeight="false" outlineLevel="0" collapsed="false">
      <c r="B3299" s="0" t="s">
        <v>124</v>
      </c>
    </row>
    <row r="3301" customFormat="false" ht="12.8" hidden="false" customHeight="false" outlineLevel="0" collapsed="false">
      <c r="A3301" s="0" t="s">
        <v>1542</v>
      </c>
      <c r="B3301" s="0" t="str">
        <f aca="false">HYPERLINK("https://lindat.mff.cuni.cz/services/teitok/pdtc10/index.php?action=vallex&amp;frame=v-w423f1", "dementovat (v-w423f1)")</f>
        <v>dementovat (v-w423f1)</v>
      </c>
    </row>
    <row r="3302" customFormat="false" ht="12.8" hidden="false" customHeight="false" outlineLevel="0" collapsed="false">
      <c r="B3302" s="0" t="s">
        <v>7</v>
      </c>
    </row>
    <row r="3303" customFormat="false" ht="12.8" hidden="false" customHeight="false" outlineLevel="0" collapsed="false">
      <c r="B3303" s="0" t="s">
        <v>172</v>
      </c>
    </row>
    <row r="3305" customFormat="false" ht="12.8" hidden="false" customHeight="false" outlineLevel="0" collapsed="false">
      <c r="A3305" s="0" t="s">
        <v>1543</v>
      </c>
      <c r="B3305" s="0" t="str">
        <f aca="false">HYPERLINK("https://lindat.mff.cuni.cz/services/teitok/pdtc10/index.php?action=vallex&amp;frame=v-w10822f2", "demilitarizovat (v-w10822f2)")</f>
        <v>demilitarizovat (v-w10822f2)</v>
      </c>
    </row>
    <row r="3306" customFormat="false" ht="12.8" hidden="false" customHeight="false" outlineLevel="0" collapsed="false">
      <c r="B3306" s="0" t="s">
        <v>7</v>
      </c>
      <c r="C3306" s="0" t="s">
        <v>191</v>
      </c>
    </row>
    <row r="3307" customFormat="false" ht="12.8" hidden="false" customHeight="false" outlineLevel="0" collapsed="false">
      <c r="B3307" s="0" t="s">
        <v>14</v>
      </c>
      <c r="C3307" s="0" t="s">
        <v>1544</v>
      </c>
    </row>
    <row r="3309" customFormat="false" ht="12.8" hidden="false" customHeight="false" outlineLevel="0" collapsed="false">
      <c r="A3309" s="0" t="s">
        <v>1545</v>
      </c>
      <c r="B3309" s="0" t="str">
        <f aca="false">HYPERLINK("https://lindat.mff.cuni.cz/services/teitok/pdtc10/index.php?action=vallex&amp;frame=v-w10280f2", "demobilizovat (v-w10280f2)")</f>
        <v>demobilizovat (v-w10280f2)</v>
      </c>
    </row>
    <row r="3310" customFormat="false" ht="12.8" hidden="false" customHeight="false" outlineLevel="0" collapsed="false">
      <c r="B3310" s="0" t="s">
        <v>7</v>
      </c>
    </row>
    <row r="3311" customFormat="false" ht="12.8" hidden="false" customHeight="false" outlineLevel="0" collapsed="false">
      <c r="B3311" s="0" t="s">
        <v>14</v>
      </c>
      <c r="C3311" s="0" t="s">
        <v>47</v>
      </c>
    </row>
    <row r="3313" customFormat="false" ht="12.8" hidden="false" customHeight="false" outlineLevel="0" collapsed="false">
      <c r="A3313" s="0" t="s">
        <v>1546</v>
      </c>
      <c r="B3313" s="0" t="str">
        <f aca="false">HYPERLINK("https://lindat.mff.cuni.cz/services/teitok/pdtc10/index.php?action=vallex&amp;frame=v-w10280f3_ZU", "demobilizovat (v-w10280f3_ZU)")</f>
        <v>demobilizovat (v-w10280f3_ZU)</v>
      </c>
    </row>
    <row r="3314" customFormat="false" ht="12.8" hidden="false" customHeight="false" outlineLevel="0" collapsed="false">
      <c r="B3314" s="0" t="s">
        <v>7</v>
      </c>
    </row>
    <row r="3316" customFormat="false" ht="12.8" hidden="false" customHeight="false" outlineLevel="0" collapsed="false">
      <c r="A3316" s="0" t="s">
        <v>1547</v>
      </c>
      <c r="B3316" s="0" t="str">
        <f aca="false">HYPERLINK("https://lindat.mff.cuni.cz/services/teitok/pdtc10/index.php?action=vallex&amp;frame=v-w10642f2", "demokratizovat (v-w10642f2)")</f>
        <v>demokratizovat (v-w10642f2)</v>
      </c>
    </row>
    <row r="3317" customFormat="false" ht="12.8" hidden="false" customHeight="false" outlineLevel="0" collapsed="false">
      <c r="B3317" s="0" t="s">
        <v>7</v>
      </c>
    </row>
    <row r="3318" customFormat="false" ht="12.8" hidden="false" customHeight="false" outlineLevel="0" collapsed="false">
      <c r="B3318" s="0" t="s">
        <v>14</v>
      </c>
    </row>
    <row r="3320" customFormat="false" ht="12.8" hidden="false" customHeight="false" outlineLevel="0" collapsed="false">
      <c r="A3320" s="0" t="s">
        <v>1548</v>
      </c>
      <c r="B3320" s="0" t="str">
        <f aca="false">HYPERLINK("https://lindat.mff.cuni.cz/services/teitok/pdtc10/index.php?action=vallex&amp;frame=v-w427f1", "demolovat (v-w427f1)")</f>
        <v>demolovat (v-w427f1)</v>
      </c>
    </row>
    <row r="3321" customFormat="false" ht="12.8" hidden="false" customHeight="false" outlineLevel="0" collapsed="false">
      <c r="B3321" s="0" t="s">
        <v>7</v>
      </c>
      <c r="C3321" s="0" t="s">
        <v>46</v>
      </c>
      <c r="D3321" s="0" t="s">
        <v>1549</v>
      </c>
      <c r="E3321" s="0" t="s">
        <v>1550</v>
      </c>
      <c r="F3321" s="0" t="s">
        <v>1550</v>
      </c>
    </row>
    <row r="3322" customFormat="false" ht="12.8" hidden="false" customHeight="false" outlineLevel="0" collapsed="false">
      <c r="B3322" s="0" t="s">
        <v>232</v>
      </c>
      <c r="C3322" s="0" t="s">
        <v>1333</v>
      </c>
      <c r="D3322" s="0" t="s">
        <v>1164</v>
      </c>
      <c r="E3322" s="0" t="s">
        <v>1551</v>
      </c>
      <c r="F3322" s="0" t="s">
        <v>1551</v>
      </c>
    </row>
    <row r="3323" customFormat="false" ht="12.8" hidden="false" customHeight="false" outlineLevel="0" collapsed="false">
      <c r="B3323" s="0" t="s">
        <v>84</v>
      </c>
    </row>
    <row r="3325" customFormat="false" ht="12.8" hidden="false" customHeight="false" outlineLevel="0" collapsed="false">
      <c r="A3325" s="0" t="s">
        <v>1552</v>
      </c>
      <c r="B3325" s="0" t="str">
        <f aca="false">HYPERLINK("https://lindat.mff.cuni.cz/services/teitok/pdtc10/index.php?action=vallex&amp;frame=v-w431f1", "demonstrovat (v-w431f1)")</f>
        <v>demonstrovat (v-w431f1)</v>
      </c>
    </row>
    <row r="3326" customFormat="false" ht="12.8" hidden="false" customHeight="false" outlineLevel="0" collapsed="false">
      <c r="B3326" s="0" t="s">
        <v>7</v>
      </c>
      <c r="C3326" s="0" t="s">
        <v>157</v>
      </c>
      <c r="D3326" s="0" t="s">
        <v>1553</v>
      </c>
      <c r="E3326" s="0" t="s">
        <v>1553</v>
      </c>
      <c r="F3326" s="0" t="s">
        <v>1553</v>
      </c>
    </row>
    <row r="3327" customFormat="false" ht="12.8" hidden="false" customHeight="false" outlineLevel="0" collapsed="false">
      <c r="B3327" s="0" t="s">
        <v>1554</v>
      </c>
      <c r="C3327" s="0" t="s">
        <v>159</v>
      </c>
      <c r="D3327" s="0" t="s">
        <v>1555</v>
      </c>
      <c r="E3327" s="0" t="s">
        <v>1555</v>
      </c>
      <c r="F3327" s="0" t="s">
        <v>1555</v>
      </c>
    </row>
    <row r="3328" customFormat="false" ht="12.8" hidden="false" customHeight="false" outlineLevel="0" collapsed="false">
      <c r="B3328" s="0" t="s">
        <v>48</v>
      </c>
      <c r="D3328" s="0" t="s">
        <v>1556</v>
      </c>
      <c r="E3328" s="0" t="s">
        <v>1556</v>
      </c>
      <c r="F3328" s="0" t="s">
        <v>1556</v>
      </c>
    </row>
    <row r="3330" customFormat="false" ht="12.8" hidden="false" customHeight="false" outlineLevel="0" collapsed="false">
      <c r="A3330" s="0" t="s">
        <v>1557</v>
      </c>
      <c r="B3330" s="0" t="str">
        <f aca="false">HYPERLINK("https://lindat.mff.cuni.cz/services/teitok/pdtc10/index.php?action=vallex&amp;frame=v-w431f2", "demonstrovat (v-w431f2)")</f>
        <v>demonstrovat (v-w431f2)</v>
      </c>
    </row>
    <row r="3331" customFormat="false" ht="12.8" hidden="false" customHeight="false" outlineLevel="0" collapsed="false">
      <c r="B3331" s="0" t="s">
        <v>7</v>
      </c>
      <c r="C3331" s="0" t="s">
        <v>1558</v>
      </c>
      <c r="D3331" s="0" t="s">
        <v>1559</v>
      </c>
      <c r="E3331" s="0" t="s">
        <v>1559</v>
      </c>
      <c r="F3331" s="0" t="s">
        <v>1559</v>
      </c>
    </row>
    <row r="3332" customFormat="false" ht="12.8" hidden="false" customHeight="false" outlineLevel="0" collapsed="false">
      <c r="B3332" s="0" t="s">
        <v>1560</v>
      </c>
      <c r="D3332" s="0" t="s">
        <v>1544</v>
      </c>
      <c r="E3332" s="0" t="s">
        <v>1544</v>
      </c>
      <c r="F3332" s="0" t="s">
        <v>1544</v>
      </c>
    </row>
    <row r="3334" customFormat="false" ht="12.8" hidden="false" customHeight="false" outlineLevel="0" collapsed="false">
      <c r="A3334" s="0" t="s">
        <v>1561</v>
      </c>
      <c r="B3334" s="0" t="str">
        <f aca="false">HYPERLINK("https://lindat.mff.cuni.cz/services/teitok/pdtc10/index.php?action=vallex&amp;frame=v-w433f1", "demontovat (v-w433f1)")</f>
        <v>demontovat (v-w433f1)</v>
      </c>
    </row>
    <row r="3335" customFormat="false" ht="12.8" hidden="false" customHeight="false" outlineLevel="0" collapsed="false">
      <c r="B3335" s="0" t="s">
        <v>7</v>
      </c>
    </row>
    <row r="3336" customFormat="false" ht="12.8" hidden="false" customHeight="false" outlineLevel="0" collapsed="false">
      <c r="B3336" s="0" t="s">
        <v>14</v>
      </c>
    </row>
    <row r="3337" customFormat="false" ht="12.8" hidden="false" customHeight="false" outlineLevel="0" collapsed="false">
      <c r="B3337" s="0" t="s">
        <v>84</v>
      </c>
    </row>
    <row r="3339" customFormat="false" ht="12.8" hidden="false" customHeight="false" outlineLevel="0" collapsed="false">
      <c r="A3339" s="0" t="s">
        <v>1562</v>
      </c>
      <c r="B3339" s="0" t="str">
        <f aca="false">HYPERLINK("https://lindat.mff.cuni.cz/services/teitok/pdtc10/index.php?action=vallex&amp;frame=v-w435f1", "demoralizovat (v-w435f1)")</f>
        <v>demoralizovat (v-w435f1)</v>
      </c>
    </row>
    <row r="3340" customFormat="false" ht="12.8" hidden="false" customHeight="false" outlineLevel="0" collapsed="false">
      <c r="B3340" s="0" t="s">
        <v>7</v>
      </c>
    </row>
    <row r="3341" customFormat="false" ht="12.8" hidden="false" customHeight="false" outlineLevel="0" collapsed="false">
      <c r="B3341" s="0" t="s">
        <v>14</v>
      </c>
    </row>
    <row r="3343" customFormat="false" ht="12.8" hidden="false" customHeight="false" outlineLevel="0" collapsed="false">
      <c r="A3343" s="0" t="s">
        <v>1563</v>
      </c>
      <c r="B3343" s="0" t="str">
        <f aca="false">HYPERLINK("https://lindat.mff.cuni.cz/services/teitok/pdtc10/index.php?action=vallex&amp;frame=v-w10388f2", "denominovat (v-w10388f2)")</f>
        <v>denominovat (v-w10388f2)</v>
      </c>
    </row>
    <row r="3344" customFormat="false" ht="12.8" hidden="false" customHeight="false" outlineLevel="0" collapsed="false">
      <c r="B3344" s="0" t="s">
        <v>7</v>
      </c>
    </row>
    <row r="3345" customFormat="false" ht="12.8" hidden="false" customHeight="false" outlineLevel="0" collapsed="false">
      <c r="B3345" s="0" t="s">
        <v>14</v>
      </c>
    </row>
    <row r="3347" customFormat="false" ht="12.8" hidden="false" customHeight="false" outlineLevel="0" collapsed="false">
      <c r="A3347" s="0" t="s">
        <v>1564</v>
      </c>
      <c r="B3347" s="0" t="str">
        <f aca="false">HYPERLINK("https://lindat.mff.cuni.cz/services/teitok/pdtc10/index.php?action=vallex&amp;frame=v-w10327f3", "deponovat (v-w10327f3)")</f>
        <v>deponovat (v-w10327f3)</v>
      </c>
    </row>
    <row r="3348" customFormat="false" ht="12.8" hidden="false" customHeight="false" outlineLevel="0" collapsed="false">
      <c r="B3348" s="0" t="s">
        <v>7</v>
      </c>
    </row>
    <row r="3349" customFormat="false" ht="12.8" hidden="false" customHeight="false" outlineLevel="0" collapsed="false">
      <c r="B3349" s="0" t="s">
        <v>14</v>
      </c>
    </row>
    <row r="3350" customFormat="false" ht="12.8" hidden="false" customHeight="false" outlineLevel="0" collapsed="false">
      <c r="B3350" s="0" t="s">
        <v>11</v>
      </c>
    </row>
    <row r="3352" customFormat="false" ht="12.8" hidden="false" customHeight="false" outlineLevel="0" collapsed="false">
      <c r="A3352" s="0" t="s">
        <v>1565</v>
      </c>
      <c r="B3352" s="0" t="str">
        <f aca="false">HYPERLINK("https://lindat.mff.cuni.cz/services/teitok/pdtc10/index.php?action=vallex&amp;frame=v-w10327f2", "deponovat (v-w10327f2)")</f>
        <v>deponovat (v-w10327f2)</v>
      </c>
    </row>
    <row r="3353" customFormat="false" ht="12.8" hidden="false" customHeight="false" outlineLevel="0" collapsed="false">
      <c r="B3353" s="0" t="s">
        <v>7</v>
      </c>
    </row>
    <row r="3354" customFormat="false" ht="12.8" hidden="false" customHeight="false" outlineLevel="0" collapsed="false">
      <c r="B3354" s="0" t="s">
        <v>14</v>
      </c>
    </row>
    <row r="3355" customFormat="false" ht="12.8" hidden="false" customHeight="false" outlineLevel="0" collapsed="false">
      <c r="B3355" s="0" t="s">
        <v>124</v>
      </c>
    </row>
    <row r="3357" customFormat="false" ht="12.8" hidden="false" customHeight="false" outlineLevel="0" collapsed="false">
      <c r="A3357" s="0" t="s">
        <v>1566</v>
      </c>
      <c r="B3357" s="0" t="str">
        <f aca="false">HYPERLINK("https://lindat.mff.cuni.cz/services/teitok/pdtc10/index.php?action=vallex&amp;frame=v-w440f1", "deportovat (v-w440f1)")</f>
        <v>deportovat (v-w440f1)</v>
      </c>
    </row>
    <row r="3358" customFormat="false" ht="12.8" hidden="false" customHeight="false" outlineLevel="0" collapsed="false">
      <c r="B3358" s="0" t="s">
        <v>7</v>
      </c>
      <c r="C3358" s="0" t="s">
        <v>191</v>
      </c>
      <c r="D3358" s="0" t="s">
        <v>1567</v>
      </c>
      <c r="E3358" s="0" t="s">
        <v>1567</v>
      </c>
      <c r="F3358" s="0" t="s">
        <v>1567</v>
      </c>
    </row>
    <row r="3359" customFormat="false" ht="12.8" hidden="false" customHeight="false" outlineLevel="0" collapsed="false">
      <c r="B3359" s="0" t="s">
        <v>14</v>
      </c>
      <c r="C3359" s="0" t="s">
        <v>155</v>
      </c>
      <c r="D3359" s="0" t="s">
        <v>1568</v>
      </c>
      <c r="E3359" s="0" t="s">
        <v>1568</v>
      </c>
      <c r="F3359" s="0" t="s">
        <v>1568</v>
      </c>
    </row>
    <row r="3360" customFormat="false" ht="12.8" hidden="false" customHeight="false" outlineLevel="0" collapsed="false">
      <c r="B3360" s="0" t="s">
        <v>459</v>
      </c>
      <c r="D3360" s="0" t="s">
        <v>1569</v>
      </c>
      <c r="E3360" s="0" t="s">
        <v>1569</v>
      </c>
      <c r="F3360" s="0" t="s">
        <v>1569</v>
      </c>
    </row>
    <row r="3362" customFormat="false" ht="12.8" hidden="false" customHeight="false" outlineLevel="0" collapsed="false">
      <c r="A3362" s="0" t="s">
        <v>1570</v>
      </c>
      <c r="B3362" s="0" t="str">
        <f aca="false">HYPERLINK("https://lindat.mff.cuni.cz/services/teitok/pdtc10/index.php?action=vallex&amp;frame=v-w442f1", "deprimovat (v-w442f1)")</f>
        <v>deprimovat (v-w442f1)</v>
      </c>
    </row>
    <row r="3363" customFormat="false" ht="12.8" hidden="false" customHeight="false" outlineLevel="0" collapsed="false">
      <c r="B3363" s="0" t="s">
        <v>7</v>
      </c>
      <c r="C3363" s="0" t="s">
        <v>460</v>
      </c>
      <c r="D3363" s="0" t="s">
        <v>465</v>
      </c>
      <c r="E3363" s="0" t="s">
        <v>465</v>
      </c>
      <c r="F3363" s="0" t="s">
        <v>465</v>
      </c>
    </row>
    <row r="3364" customFormat="false" ht="12.8" hidden="false" customHeight="false" outlineLevel="0" collapsed="false">
      <c r="B3364" s="0" t="s">
        <v>14</v>
      </c>
      <c r="C3364" s="0" t="s">
        <v>487</v>
      </c>
      <c r="D3364" s="0" t="s">
        <v>1571</v>
      </c>
      <c r="E3364" s="0" t="s">
        <v>1571</v>
      </c>
      <c r="F3364" s="0" t="s">
        <v>1571</v>
      </c>
    </row>
    <row r="3366" customFormat="false" ht="12.8" hidden="false" customHeight="false" outlineLevel="0" collapsed="false">
      <c r="A3366" s="0" t="s">
        <v>1572</v>
      </c>
      <c r="B3366" s="0" t="str">
        <f aca="false">HYPERLINK("https://lindat.mff.cuni.cz/services/teitok/pdtc10/index.php?action=vallex&amp;frame=v-w11122f2", "deptat (v-w11122f2)")</f>
        <v>deptat (v-w11122f2)</v>
      </c>
    </row>
    <row r="3367" customFormat="false" ht="12.8" hidden="false" customHeight="false" outlineLevel="0" collapsed="false">
      <c r="B3367" s="0" t="s">
        <v>7</v>
      </c>
      <c r="C3367" s="0" t="s">
        <v>46</v>
      </c>
      <c r="D3367" s="0" t="s">
        <v>465</v>
      </c>
      <c r="E3367" s="0" t="s">
        <v>465</v>
      </c>
      <c r="F3367" s="0" t="s">
        <v>465</v>
      </c>
    </row>
    <row r="3368" customFormat="false" ht="12.8" hidden="false" customHeight="false" outlineLevel="0" collapsed="false">
      <c r="B3368" s="0" t="s">
        <v>14</v>
      </c>
      <c r="C3368" s="0" t="s">
        <v>47</v>
      </c>
      <c r="D3368" s="0" t="s">
        <v>1571</v>
      </c>
      <c r="E3368" s="0" t="s">
        <v>1571</v>
      </c>
      <c r="F3368" s="0" t="s">
        <v>1571</v>
      </c>
    </row>
    <row r="3370" customFormat="false" ht="12.8" hidden="false" customHeight="false" outlineLevel="0" collapsed="false">
      <c r="A3370" s="0" t="s">
        <v>1573</v>
      </c>
      <c r="B3370" s="0" t="str">
        <f aca="false">HYPERLINK("https://lindat.mff.cuni.cz/services/teitok/pdtc10/index.php?action=vallex&amp;frame=v-whsb_1184hsa_1185", "desinfikovat (v-whsb_1184hsa_1185)")</f>
        <v>desinfikovat (v-whsb_1184hsa_1185)</v>
      </c>
    </row>
    <row r="3371" customFormat="false" ht="12.8" hidden="false" customHeight="false" outlineLevel="0" collapsed="false">
      <c r="B3371" s="0" t="s">
        <v>7</v>
      </c>
    </row>
    <row r="3372" customFormat="false" ht="12.8" hidden="false" customHeight="false" outlineLevel="0" collapsed="false">
      <c r="B3372" s="0" t="s">
        <v>14</v>
      </c>
    </row>
    <row r="3373" customFormat="false" ht="12.8" hidden="false" customHeight="false" outlineLevel="0" collapsed="false">
      <c r="B3373" s="0" t="s">
        <v>441</v>
      </c>
    </row>
    <row r="3375" customFormat="false" ht="12.8" hidden="false" customHeight="false" outlineLevel="0" collapsed="false">
      <c r="A3375" s="0" t="s">
        <v>1574</v>
      </c>
      <c r="B3375" s="0" t="str">
        <f aca="false">HYPERLINK("https://lindat.mff.cuni.cz/services/teitok/pdtc10/index.php?action=vallex&amp;frame=v-w10248f2", "destabilizovat (v-w10248f2)")</f>
        <v>destabilizovat (v-w10248f2)</v>
      </c>
    </row>
    <row r="3376" customFormat="false" ht="12.8" hidden="false" customHeight="false" outlineLevel="0" collapsed="false">
      <c r="B3376" s="0" t="s">
        <v>7</v>
      </c>
      <c r="C3376" s="0" t="s">
        <v>46</v>
      </c>
      <c r="D3376" s="0" t="s">
        <v>46</v>
      </c>
      <c r="E3376" s="0" t="s">
        <v>46</v>
      </c>
      <c r="F3376" s="0" t="s">
        <v>46</v>
      </c>
    </row>
    <row r="3377" customFormat="false" ht="12.8" hidden="false" customHeight="false" outlineLevel="0" collapsed="false">
      <c r="B3377" s="0" t="s">
        <v>14</v>
      </c>
      <c r="C3377" s="0" t="s">
        <v>567</v>
      </c>
      <c r="D3377" s="0" t="s">
        <v>567</v>
      </c>
      <c r="E3377" s="0" t="s">
        <v>567</v>
      </c>
      <c r="F3377" s="0" t="s">
        <v>567</v>
      </c>
    </row>
    <row r="3379" customFormat="false" ht="12.8" hidden="false" customHeight="false" outlineLevel="0" collapsed="false">
      <c r="A3379" s="0" t="s">
        <v>1575</v>
      </c>
      <c r="B3379" s="0" t="str">
        <f aca="false">HYPERLINK("https://lindat.mff.cuni.cz/services/teitok/pdtc10/index.php?action=vallex&amp;frame=v-w10476f2", "detekovat (v-w10476f2)")</f>
        <v>detekovat (v-w10476f2)</v>
      </c>
    </row>
    <row r="3380" customFormat="false" ht="12.8" hidden="false" customHeight="false" outlineLevel="0" collapsed="false">
      <c r="B3380" s="0" t="s">
        <v>7</v>
      </c>
    </row>
    <row r="3381" customFormat="false" ht="12.8" hidden="false" customHeight="false" outlineLevel="0" collapsed="false">
      <c r="B3381" s="0" t="s">
        <v>14</v>
      </c>
    </row>
    <row r="3383" customFormat="false" ht="12.8" hidden="false" customHeight="false" outlineLevel="0" collapsed="false">
      <c r="A3383" s="0" t="s">
        <v>1576</v>
      </c>
      <c r="B3383" s="0" t="str">
        <f aca="false">HYPERLINK("https://lindat.mff.cuni.cz/services/teitok/pdtc10/index.php?action=vallex&amp;frame=v-w452f1", "determinovat (v-w452f1)")</f>
        <v>determinovat (v-w452f1)</v>
      </c>
    </row>
    <row r="3384" customFormat="false" ht="12.8" hidden="false" customHeight="false" outlineLevel="0" collapsed="false">
      <c r="B3384" s="0" t="s">
        <v>7</v>
      </c>
    </row>
    <row r="3385" customFormat="false" ht="12.8" hidden="false" customHeight="false" outlineLevel="0" collapsed="false">
      <c r="B3385" s="0" t="s">
        <v>232</v>
      </c>
    </row>
    <row r="3387" customFormat="false" ht="12.8" hidden="false" customHeight="false" outlineLevel="0" collapsed="false">
      <c r="A3387" s="0" t="s">
        <v>1577</v>
      </c>
      <c r="B3387" s="0" t="str">
        <f aca="false">HYPERLINK("https://lindat.mff.cuni.cz/services/teitok/pdtc10/index.php?action=vallex&amp;frame=v-w454f1", "devalvovat (v-w454f1)")</f>
        <v>devalvovat (v-w454f1)</v>
      </c>
    </row>
    <row r="3388" customFormat="false" ht="12.8" hidden="false" customHeight="false" outlineLevel="0" collapsed="false">
      <c r="B3388" s="0" t="s">
        <v>7</v>
      </c>
      <c r="C3388" s="0" t="s">
        <v>191</v>
      </c>
      <c r="D3388" s="0" t="s">
        <v>335</v>
      </c>
      <c r="E3388" s="0" t="s">
        <v>335</v>
      </c>
      <c r="F3388" s="0" t="s">
        <v>335</v>
      </c>
    </row>
    <row r="3389" customFormat="false" ht="12.8" hidden="false" customHeight="false" outlineLevel="0" collapsed="false">
      <c r="B3389" s="0" t="s">
        <v>14</v>
      </c>
      <c r="C3389" s="0" t="s">
        <v>567</v>
      </c>
      <c r="D3389" s="0" t="s">
        <v>33</v>
      </c>
      <c r="E3389" s="0" t="s">
        <v>33</v>
      </c>
      <c r="F3389" s="0" t="s">
        <v>33</v>
      </c>
    </row>
    <row r="3391" customFormat="false" ht="12.8" hidden="false" customHeight="false" outlineLevel="0" collapsed="false">
      <c r="A3391" s="0" t="s">
        <v>1578</v>
      </c>
      <c r="B3391" s="0" t="str">
        <f aca="false">HYPERLINK("https://lindat.mff.cuni.cz/services/teitok/pdtc10/index.php?action=vallex&amp;frame=v-w454f2", "devalvovat (v-w454f2)")</f>
        <v>devalvovat (v-w454f2)</v>
      </c>
    </row>
    <row r="3392" customFormat="false" ht="12.8" hidden="false" customHeight="false" outlineLevel="0" collapsed="false">
      <c r="B3392" s="0" t="s">
        <v>7</v>
      </c>
    </row>
    <row r="3394" customFormat="false" ht="12.8" hidden="false" customHeight="false" outlineLevel="0" collapsed="false">
      <c r="A3394" s="0" t="s">
        <v>1579</v>
      </c>
      <c r="B3394" s="0" t="str">
        <f aca="false">HYPERLINK("https://lindat.mff.cuni.cz/services/teitok/pdtc10/index.php?action=vallex&amp;frame=v-w456f1", "devastovat (v-w456f1)")</f>
        <v>devastovat (v-w456f1)</v>
      </c>
    </row>
    <row r="3395" customFormat="false" ht="12.8" hidden="false" customHeight="false" outlineLevel="0" collapsed="false">
      <c r="B3395" s="0" t="s">
        <v>7</v>
      </c>
      <c r="C3395" s="0" t="s">
        <v>1580</v>
      </c>
      <c r="D3395" s="0" t="s">
        <v>1549</v>
      </c>
      <c r="E3395" s="0" t="s">
        <v>1550</v>
      </c>
      <c r="F3395" s="0" t="s">
        <v>1550</v>
      </c>
    </row>
    <row r="3396" customFormat="false" ht="12.8" hidden="false" customHeight="false" outlineLevel="0" collapsed="false">
      <c r="B3396" s="0" t="s">
        <v>232</v>
      </c>
      <c r="C3396" s="0" t="s">
        <v>384</v>
      </c>
      <c r="D3396" s="0" t="s">
        <v>1164</v>
      </c>
      <c r="E3396" s="0" t="s">
        <v>1551</v>
      </c>
      <c r="F3396" s="0" t="s">
        <v>1551</v>
      </c>
    </row>
    <row r="3398" customFormat="false" ht="12.8" hidden="false" customHeight="false" outlineLevel="0" collapsed="false">
      <c r="A3398" s="0" t="s">
        <v>1581</v>
      </c>
      <c r="B3398" s="0" t="str">
        <f aca="false">HYPERLINK("https://lindat.mff.cuni.cz/services/teitok/pdtc10/index.php?action=vallex&amp;frame=v-w10087f2", "dezertovat (v-w10087f2)")</f>
        <v>dezertovat (v-w10087f2)</v>
      </c>
    </row>
    <row r="3399" customFormat="false" ht="12.8" hidden="false" customHeight="false" outlineLevel="0" collapsed="false">
      <c r="B3399" s="0" t="s">
        <v>7</v>
      </c>
      <c r="C3399" s="0" t="s">
        <v>191</v>
      </c>
      <c r="D3399" s="0" t="s">
        <v>1582</v>
      </c>
      <c r="E3399" s="0" t="s">
        <v>1582</v>
      </c>
      <c r="F3399" s="0" t="s">
        <v>1582</v>
      </c>
    </row>
    <row r="3400" customFormat="false" ht="12.8" hidden="false" customHeight="false" outlineLevel="0" collapsed="false">
      <c r="B3400" s="0" t="s">
        <v>459</v>
      </c>
      <c r="D3400" s="0" t="s">
        <v>1583</v>
      </c>
      <c r="E3400" s="0" t="s">
        <v>1583</v>
      </c>
      <c r="F3400" s="0" t="s">
        <v>1583</v>
      </c>
    </row>
    <row r="3402" customFormat="false" ht="12.8" hidden="false" customHeight="false" outlineLevel="0" collapsed="false">
      <c r="A3402" s="0" t="s">
        <v>1584</v>
      </c>
      <c r="B3402" s="0" t="str">
        <f aca="false">HYPERLINK("https://lindat.mff.cuni.cz/services/teitok/pdtc10/index.php?action=vallex&amp;frame=v-whsa_1189hsa_1190", "dezinterpretovat (v-whsa_1189hsa_1190)")</f>
        <v>dezinterpretovat (v-whsa_1189hsa_1190)</v>
      </c>
    </row>
    <row r="3403" customFormat="false" ht="12.8" hidden="false" customHeight="false" outlineLevel="0" collapsed="false">
      <c r="B3403" s="0" t="s">
        <v>7</v>
      </c>
      <c r="C3403" s="0" t="s">
        <v>113</v>
      </c>
    </row>
    <row r="3404" customFormat="false" ht="12.8" hidden="false" customHeight="false" outlineLevel="0" collapsed="false">
      <c r="B3404" s="0" t="s">
        <v>14</v>
      </c>
      <c r="C3404" s="0" t="s">
        <v>115</v>
      </c>
    </row>
    <row r="3406" customFormat="false" ht="12.8" hidden="false" customHeight="false" outlineLevel="0" collapsed="false">
      <c r="A3406" s="0" t="s">
        <v>1585</v>
      </c>
      <c r="B3406" s="0" t="str">
        <f aca="false">HYPERLINK("https://lindat.mff.cuni.cz/services/teitok/pdtc10/index.php?action=vallex&amp;frame=v-w11912_ZUf1_ZU", "dešifrovat (v-w11912_ZUf1_ZU)")</f>
        <v>dešifrovat (v-w11912_ZUf1_ZU)</v>
      </c>
    </row>
    <row r="3407" customFormat="false" ht="12.8" hidden="false" customHeight="false" outlineLevel="0" collapsed="false">
      <c r="B3407" s="0" t="s">
        <v>7</v>
      </c>
    </row>
    <row r="3408" customFormat="false" ht="12.8" hidden="false" customHeight="false" outlineLevel="0" collapsed="false">
      <c r="B3408" s="0" t="s">
        <v>14</v>
      </c>
    </row>
    <row r="3410" customFormat="false" ht="12.8" hidden="false" customHeight="false" outlineLevel="0" collapsed="false">
      <c r="A3410" s="0" t="s">
        <v>1586</v>
      </c>
      <c r="B3410" s="0" t="str">
        <f aca="false">HYPERLINK("https://lindat.mff.cuni.cz/services/teitok/pdtc10/index.php?action=vallex&amp;frame=v-w10508f2", "diagnostikovat (v-w10508f2)")</f>
        <v>diagnostikovat (v-w10508f2)</v>
      </c>
    </row>
    <row r="3411" customFormat="false" ht="12.8" hidden="false" customHeight="false" outlineLevel="0" collapsed="false">
      <c r="B3411" s="0" t="s">
        <v>7</v>
      </c>
      <c r="C3411" s="0" t="s">
        <v>191</v>
      </c>
      <c r="D3411" s="0" t="s">
        <v>1587</v>
      </c>
      <c r="E3411" s="0" t="s">
        <v>1587</v>
      </c>
      <c r="F3411" s="0" t="s">
        <v>1587</v>
      </c>
    </row>
    <row r="3412" customFormat="false" ht="12.8" hidden="false" customHeight="false" outlineLevel="0" collapsed="false">
      <c r="B3412" s="0" t="s">
        <v>14</v>
      </c>
      <c r="C3412" s="0" t="s">
        <v>1588</v>
      </c>
      <c r="D3412" s="0" t="s">
        <v>1589</v>
      </c>
      <c r="E3412" s="0" t="s">
        <v>1589</v>
      </c>
      <c r="F3412" s="0" t="s">
        <v>1589</v>
      </c>
    </row>
    <row r="3414" customFormat="false" ht="12.8" hidden="false" customHeight="false" outlineLevel="0" collapsed="false">
      <c r="A3414" s="0" t="s">
        <v>1590</v>
      </c>
      <c r="B3414" s="0" t="str">
        <f aca="false">HYPERLINK("https://lindat.mff.cuni.cz/services/teitok/pdtc10/index.php?action=vallex&amp;frame=v-w461f1", "diferencovat (v-w461f1)")</f>
        <v>diferencovat (v-w461f1)</v>
      </c>
    </row>
    <row r="3415" customFormat="false" ht="12.8" hidden="false" customHeight="false" outlineLevel="0" collapsed="false">
      <c r="B3415" s="0" t="s">
        <v>7</v>
      </c>
    </row>
    <row r="3416" customFormat="false" ht="12.8" hidden="false" customHeight="false" outlineLevel="0" collapsed="false">
      <c r="B3416" s="0" t="s">
        <v>1591</v>
      </c>
    </row>
    <row r="3417" customFormat="false" ht="12.8" hidden="false" customHeight="false" outlineLevel="0" collapsed="false">
      <c r="B3417" s="0" t="s">
        <v>1592</v>
      </c>
    </row>
    <row r="3419" customFormat="false" ht="12.8" hidden="false" customHeight="false" outlineLevel="0" collapsed="false">
      <c r="A3419" s="0" t="s">
        <v>1593</v>
      </c>
      <c r="B3419" s="0" t="str">
        <f aca="false">HYPERLINK("https://lindat.mff.cuni.cz/services/teitok/pdtc10/index.php?action=vallex&amp;frame=v-w462f3", "diferencovat se (v-w462f3)")</f>
        <v>diferencovat se (v-w462f3)</v>
      </c>
    </row>
    <row r="3420" customFormat="false" ht="12.8" hidden="false" customHeight="false" outlineLevel="0" collapsed="false">
      <c r="B3420" s="0" t="s">
        <v>7</v>
      </c>
    </row>
    <row r="3421" customFormat="false" ht="12.8" hidden="false" customHeight="false" outlineLevel="0" collapsed="false">
      <c r="B3421" s="0" t="s">
        <v>28</v>
      </c>
    </row>
    <row r="3423" customFormat="false" ht="12.8" hidden="false" customHeight="false" outlineLevel="0" collapsed="false">
      <c r="A3423" s="0" t="s">
        <v>1594</v>
      </c>
      <c r="B3423" s="0" t="str">
        <f aca="false">HYPERLINK("https://lindat.mff.cuni.cz/services/teitok/pdtc10/index.php?action=vallex&amp;frame=v-w462f2", "diferencovat se (v-w462f2)")</f>
        <v>diferencovat se (v-w462f2)</v>
      </c>
    </row>
    <row r="3424" customFormat="false" ht="12.8" hidden="false" customHeight="false" outlineLevel="0" collapsed="false">
      <c r="B3424" s="0" t="s">
        <v>7</v>
      </c>
      <c r="D3424" s="0" t="s">
        <v>1595</v>
      </c>
      <c r="E3424" s="0" t="s">
        <v>1595</v>
      </c>
      <c r="F3424" s="0" t="s">
        <v>1595</v>
      </c>
    </row>
    <row r="3425" customFormat="false" ht="12.8" hidden="false" customHeight="false" outlineLevel="0" collapsed="false">
      <c r="B3425" s="0" t="s">
        <v>28</v>
      </c>
      <c r="D3425" s="0" t="s">
        <v>1596</v>
      </c>
      <c r="E3425" s="0" t="s">
        <v>1596</v>
      </c>
      <c r="F3425" s="0" t="s">
        <v>1596</v>
      </c>
    </row>
    <row r="3427" customFormat="false" ht="12.8" hidden="false" customHeight="false" outlineLevel="0" collapsed="false">
      <c r="A3427" s="0" t="s">
        <v>1597</v>
      </c>
      <c r="B3427" s="0" t="str">
        <f aca="false">HYPERLINK("https://lindat.mff.cuni.cz/services/teitok/pdtc10/index.php?action=vallex&amp;frame=v-w462f1", "diferencovat se (v-w462f1)")</f>
        <v>diferencovat se (v-w462f1)</v>
      </c>
    </row>
    <row r="3428" customFormat="false" ht="12.8" hidden="false" customHeight="false" outlineLevel="0" collapsed="false">
      <c r="B3428" s="0" t="s">
        <v>7</v>
      </c>
    </row>
    <row r="3430" customFormat="false" ht="12.8" hidden="false" customHeight="false" outlineLevel="0" collapsed="false">
      <c r="A3430" s="0" t="s">
        <v>1598</v>
      </c>
      <c r="B3430" s="0" t="str">
        <f aca="false">HYPERLINK("https://lindat.mff.cuni.cz/services/teitok/pdtc10/index.php?action=vallex&amp;frame=v-w466f1", "diktovat (v-w466f1)")</f>
        <v>diktovat (v-w466f1)</v>
      </c>
    </row>
    <row r="3431" customFormat="false" ht="12.8" hidden="false" customHeight="false" outlineLevel="0" collapsed="false">
      <c r="B3431" s="0" t="s">
        <v>7</v>
      </c>
      <c r="C3431" s="0" t="s">
        <v>460</v>
      </c>
      <c r="D3431" s="0" t="s">
        <v>316</v>
      </c>
      <c r="E3431" s="0" t="s">
        <v>316</v>
      </c>
      <c r="F3431" s="0" t="s">
        <v>316</v>
      </c>
    </row>
    <row r="3432" customFormat="false" ht="12.8" hidden="false" customHeight="false" outlineLevel="0" collapsed="false">
      <c r="B3432" s="0" t="s">
        <v>1599</v>
      </c>
      <c r="C3432" s="0" t="s">
        <v>120</v>
      </c>
      <c r="D3432" s="0" t="s">
        <v>1600</v>
      </c>
      <c r="E3432" s="0" t="s">
        <v>1600</v>
      </c>
      <c r="F3432" s="0" t="s">
        <v>1600</v>
      </c>
    </row>
    <row r="3433" customFormat="false" ht="12.8" hidden="false" customHeight="false" outlineLevel="0" collapsed="false">
      <c r="B3433" s="0" t="s">
        <v>48</v>
      </c>
      <c r="D3433" s="0" t="s">
        <v>1601</v>
      </c>
      <c r="E3433" s="0" t="s">
        <v>1601</v>
      </c>
      <c r="F3433" s="0" t="s">
        <v>1601</v>
      </c>
    </row>
    <row r="3435" customFormat="false" ht="12.8" hidden="false" customHeight="false" outlineLevel="0" collapsed="false">
      <c r="A3435" s="0" t="s">
        <v>1602</v>
      </c>
      <c r="B3435" s="0" t="str">
        <f aca="false">HYPERLINK("https://lindat.mff.cuni.cz/services/teitok/pdtc10/index.php?action=vallex&amp;frame=v-w466hsa_1740", "diktovat (v-w466hsa_1740)")</f>
        <v>diktovat (v-w466hsa_1740)</v>
      </c>
    </row>
    <row r="3436" customFormat="false" ht="12.8" hidden="false" customHeight="false" outlineLevel="0" collapsed="false">
      <c r="B3436" s="0" t="s">
        <v>7</v>
      </c>
    </row>
    <row r="3437" customFormat="false" ht="12.8" hidden="false" customHeight="false" outlineLevel="0" collapsed="false">
      <c r="B3437" s="0" t="s">
        <v>14</v>
      </c>
    </row>
    <row r="3438" customFormat="false" ht="12.8" hidden="false" customHeight="false" outlineLevel="0" collapsed="false">
      <c r="B3438" s="0" t="s">
        <v>48</v>
      </c>
    </row>
    <row r="3440" customFormat="false" ht="12.8" hidden="false" customHeight="false" outlineLevel="0" collapsed="false">
      <c r="A3440" s="0" t="s">
        <v>1603</v>
      </c>
      <c r="B3440" s="0" t="str">
        <f aca="false">HYPERLINK("https://lindat.mff.cuni.cz/services/teitok/pdtc10/index.php?action=vallex&amp;frame=v-w472f1", "dirigovat (v-w472f1)")</f>
        <v>dirigovat (v-w472f1)</v>
      </c>
    </row>
    <row r="3441" customFormat="false" ht="12.8" hidden="false" customHeight="false" outlineLevel="0" collapsed="false">
      <c r="B3441" s="0" t="s">
        <v>7</v>
      </c>
      <c r="C3441" s="0" t="s">
        <v>23</v>
      </c>
      <c r="D3441" s="0" t="s">
        <v>1604</v>
      </c>
      <c r="E3441" s="0" t="s">
        <v>1604</v>
      </c>
      <c r="F3441" s="0" t="s">
        <v>1604</v>
      </c>
    </row>
    <row r="3442" customFormat="false" ht="12.8" hidden="false" customHeight="false" outlineLevel="0" collapsed="false">
      <c r="B3442" s="0" t="s">
        <v>14</v>
      </c>
      <c r="C3442" s="0" t="s">
        <v>1605</v>
      </c>
      <c r="D3442" s="0" t="s">
        <v>1606</v>
      </c>
      <c r="E3442" s="0" t="s">
        <v>1606</v>
      </c>
      <c r="F3442" s="0" t="s">
        <v>1606</v>
      </c>
    </row>
    <row r="3444" customFormat="false" ht="12.8" hidden="false" customHeight="false" outlineLevel="0" collapsed="false">
      <c r="A3444" s="0" t="s">
        <v>1607</v>
      </c>
      <c r="B3444" s="0" t="str">
        <f aca="false">HYPERLINK("https://lindat.mff.cuni.cz/services/teitok/pdtc10/index.php?action=vallex&amp;frame=v-w472f2", "dirigovat (v-w472f2)")</f>
        <v>dirigovat (v-w472f2)</v>
      </c>
    </row>
    <row r="3445" customFormat="false" ht="12.8" hidden="false" customHeight="false" outlineLevel="0" collapsed="false">
      <c r="B3445" s="0" t="s">
        <v>7</v>
      </c>
    </row>
    <row r="3446" customFormat="false" ht="12.8" hidden="false" customHeight="false" outlineLevel="0" collapsed="false">
      <c r="B3446" s="0" t="s">
        <v>14</v>
      </c>
    </row>
    <row r="3448" customFormat="false" ht="12.8" hidden="false" customHeight="false" outlineLevel="0" collapsed="false">
      <c r="A3448" s="0" t="s">
        <v>1608</v>
      </c>
      <c r="B3448" s="0" t="str">
        <f aca="false">HYPERLINK("https://lindat.mff.cuni.cz/services/teitok/pdtc10/index.php?action=vallex&amp;frame=v-w473f1", "diskontovat (v-w473f1)")</f>
        <v>diskontovat (v-w473f1)</v>
      </c>
    </row>
    <row r="3449" customFormat="false" ht="12.8" hidden="false" customHeight="false" outlineLevel="0" collapsed="false">
      <c r="B3449" s="0" t="s">
        <v>7</v>
      </c>
    </row>
    <row r="3450" customFormat="false" ht="12.8" hidden="false" customHeight="false" outlineLevel="0" collapsed="false">
      <c r="B3450" s="0" t="s">
        <v>14</v>
      </c>
    </row>
    <row r="3451" customFormat="false" ht="12.8" hidden="false" customHeight="false" outlineLevel="0" collapsed="false">
      <c r="B3451" s="0" t="s">
        <v>35</v>
      </c>
    </row>
    <row r="3452" customFormat="false" ht="12.8" hidden="false" customHeight="false" outlineLevel="0" collapsed="false">
      <c r="B3452" s="0" t="s">
        <v>84</v>
      </c>
    </row>
    <row r="3454" customFormat="false" ht="12.8" hidden="false" customHeight="false" outlineLevel="0" collapsed="false">
      <c r="A3454" s="0" t="s">
        <v>1609</v>
      </c>
      <c r="B3454" s="0" t="str">
        <f aca="false">HYPERLINK("https://lindat.mff.cuni.cz/services/teitok/pdtc10/index.php?action=vallex&amp;frame=v-w475f1", "diskreditovat (v-w475f1)")</f>
        <v>diskreditovat (v-w475f1)</v>
      </c>
    </row>
    <row r="3455" customFormat="false" ht="12.8" hidden="false" customHeight="false" outlineLevel="0" collapsed="false">
      <c r="B3455" s="0" t="s">
        <v>7</v>
      </c>
      <c r="C3455" s="0" t="s">
        <v>46</v>
      </c>
      <c r="D3455" s="0" t="s">
        <v>184</v>
      </c>
      <c r="E3455" s="0" t="s">
        <v>184</v>
      </c>
      <c r="F3455" s="0" t="s">
        <v>184</v>
      </c>
    </row>
    <row r="3456" customFormat="false" ht="12.8" hidden="false" customHeight="false" outlineLevel="0" collapsed="false">
      <c r="B3456" s="0" t="s">
        <v>14</v>
      </c>
      <c r="C3456" s="0" t="s">
        <v>33</v>
      </c>
      <c r="D3456" s="0" t="s">
        <v>1610</v>
      </c>
      <c r="E3456" s="0" t="s">
        <v>1610</v>
      </c>
      <c r="F3456" s="0" t="s">
        <v>1610</v>
      </c>
    </row>
    <row r="3458" customFormat="false" ht="12.8" hidden="false" customHeight="false" outlineLevel="0" collapsed="false">
      <c r="A3458" s="0" t="s">
        <v>1611</v>
      </c>
      <c r="B3458" s="0" t="str">
        <f aca="false">HYPERLINK("https://lindat.mff.cuni.cz/services/teitok/pdtc10/index.php?action=vallex&amp;frame=v-w477f1", "diskriminovat (v-w477f1)")</f>
        <v>diskriminovat (v-w477f1)</v>
      </c>
    </row>
    <row r="3459" customFormat="false" ht="12.8" hidden="false" customHeight="false" outlineLevel="0" collapsed="false">
      <c r="B3459" s="0" t="s">
        <v>7</v>
      </c>
      <c r="C3459" s="0" t="s">
        <v>184</v>
      </c>
      <c r="D3459" s="0" t="s">
        <v>184</v>
      </c>
      <c r="E3459" s="0" t="s">
        <v>184</v>
      </c>
      <c r="F3459" s="0" t="s">
        <v>184</v>
      </c>
    </row>
    <row r="3460" customFormat="false" ht="12.8" hidden="false" customHeight="false" outlineLevel="0" collapsed="false">
      <c r="B3460" s="0" t="s">
        <v>14</v>
      </c>
      <c r="C3460" s="0" t="s">
        <v>47</v>
      </c>
      <c r="D3460" s="0" t="s">
        <v>47</v>
      </c>
      <c r="E3460" s="0" t="s">
        <v>47</v>
      </c>
      <c r="F3460" s="0" t="s">
        <v>47</v>
      </c>
    </row>
    <row r="3462" customFormat="false" ht="12.8" hidden="false" customHeight="false" outlineLevel="0" collapsed="false">
      <c r="A3462" s="0" t="s">
        <v>1612</v>
      </c>
      <c r="B3462" s="0" t="str">
        <f aca="false">HYPERLINK("https://lindat.mff.cuni.cz/services/teitok/pdtc10/index.php?action=vallex&amp;frame=v-w479f1", "diskutovat (v-w479f1)")</f>
        <v>diskutovat (v-w479f1)</v>
      </c>
    </row>
    <row r="3463" customFormat="false" ht="12.8" hidden="false" customHeight="false" outlineLevel="0" collapsed="false">
      <c r="B3463" s="0" t="s">
        <v>7</v>
      </c>
      <c r="C3463" s="0" t="s">
        <v>1613</v>
      </c>
      <c r="D3463" s="0" t="s">
        <v>209</v>
      </c>
      <c r="E3463" s="0" t="s">
        <v>209</v>
      </c>
      <c r="F3463" s="0" t="s">
        <v>209</v>
      </c>
    </row>
    <row r="3464" customFormat="false" ht="12.8" hidden="false" customHeight="false" outlineLevel="0" collapsed="false">
      <c r="B3464" s="0" t="s">
        <v>1614</v>
      </c>
      <c r="C3464" s="0" t="s">
        <v>1093</v>
      </c>
      <c r="D3464" s="0" t="s">
        <v>211</v>
      </c>
      <c r="E3464" s="0" t="s">
        <v>211</v>
      </c>
      <c r="F3464" s="0" t="s">
        <v>211</v>
      </c>
    </row>
    <row r="3465" customFormat="false" ht="12.8" hidden="false" customHeight="false" outlineLevel="0" collapsed="false">
      <c r="B3465" s="0" t="s">
        <v>207</v>
      </c>
      <c r="C3465" s="0" t="s">
        <v>1512</v>
      </c>
      <c r="D3465" s="0" t="s">
        <v>213</v>
      </c>
      <c r="E3465" s="0" t="s">
        <v>213</v>
      </c>
      <c r="F3465" s="0" t="s">
        <v>213</v>
      </c>
    </row>
    <row r="3467" customFormat="false" ht="12.8" hidden="false" customHeight="false" outlineLevel="0" collapsed="false">
      <c r="A3467" s="0" t="s">
        <v>1615</v>
      </c>
      <c r="B3467" s="0" t="str">
        <f aca="false">HYPERLINK("https://lindat.mff.cuni.cz/services/teitok/pdtc10/index.php?action=vallex&amp;frame=v-w481f1", "diskvalifikovat (v-w481f1)")</f>
        <v>diskvalifikovat (v-w481f1)</v>
      </c>
    </row>
    <row r="3468" customFormat="false" ht="12.8" hidden="false" customHeight="false" outlineLevel="0" collapsed="false">
      <c r="B3468" s="0" t="s">
        <v>7</v>
      </c>
      <c r="C3468" s="0" t="s">
        <v>191</v>
      </c>
      <c r="D3468" s="0" t="s">
        <v>1567</v>
      </c>
      <c r="E3468" s="0" t="s">
        <v>1567</v>
      </c>
      <c r="F3468" s="0" t="s">
        <v>1567</v>
      </c>
    </row>
    <row r="3469" customFormat="false" ht="12.8" hidden="false" customHeight="false" outlineLevel="0" collapsed="false">
      <c r="B3469" s="0" t="s">
        <v>14</v>
      </c>
      <c r="C3469" s="0" t="s">
        <v>47</v>
      </c>
      <c r="D3469" s="0" t="s">
        <v>1568</v>
      </c>
      <c r="E3469" s="0" t="s">
        <v>1568</v>
      </c>
      <c r="F3469" s="0" t="s">
        <v>1568</v>
      </c>
    </row>
    <row r="3470" customFormat="false" ht="12.8" hidden="false" customHeight="false" outlineLevel="0" collapsed="false">
      <c r="B3470" s="0" t="s">
        <v>459</v>
      </c>
      <c r="D3470" s="0" t="s">
        <v>1569</v>
      </c>
      <c r="E3470" s="0" t="s">
        <v>1569</v>
      </c>
      <c r="F3470" s="0" t="s">
        <v>1569</v>
      </c>
    </row>
    <row r="3472" customFormat="false" ht="12.8" hidden="false" customHeight="false" outlineLevel="0" collapsed="false">
      <c r="A3472" s="0" t="s">
        <v>1616</v>
      </c>
      <c r="B3472" s="0" t="str">
        <f aca="false">HYPERLINK("https://lindat.mff.cuni.cz/services/teitok/pdtc10/index.php?action=vallex&amp;frame=v-w482f1", "dislokovat (v-w482f1)")</f>
        <v>dislokovat (v-w482f1)</v>
      </c>
    </row>
    <row r="3473" customFormat="false" ht="12.8" hidden="false" customHeight="false" outlineLevel="0" collapsed="false">
      <c r="B3473" s="0" t="s">
        <v>7</v>
      </c>
    </row>
    <row r="3474" customFormat="false" ht="12.8" hidden="false" customHeight="false" outlineLevel="0" collapsed="false">
      <c r="B3474" s="0" t="s">
        <v>14</v>
      </c>
    </row>
    <row r="3475" customFormat="false" ht="12.8" hidden="false" customHeight="false" outlineLevel="0" collapsed="false">
      <c r="B3475" s="0" t="s">
        <v>11</v>
      </c>
    </row>
    <row r="3477" customFormat="false" ht="12.8" hidden="false" customHeight="false" outlineLevel="0" collapsed="false">
      <c r="A3477" s="0" t="s">
        <v>1617</v>
      </c>
      <c r="B3477" s="0" t="str">
        <f aca="false">HYPERLINK("https://lindat.mff.cuni.cz/services/teitok/pdtc10/index.php?action=vallex&amp;frame=v-w482f2", "dislokovat (v-w482f2)")</f>
        <v>dislokovat (v-w482f2)</v>
      </c>
    </row>
    <row r="3478" customFormat="false" ht="12.8" hidden="false" customHeight="false" outlineLevel="0" collapsed="false">
      <c r="B3478" s="0" t="s">
        <v>7</v>
      </c>
    </row>
    <row r="3479" customFormat="false" ht="12.8" hidden="false" customHeight="false" outlineLevel="0" collapsed="false">
      <c r="B3479" s="0" t="s">
        <v>14</v>
      </c>
    </row>
    <row r="3480" customFormat="false" ht="12.8" hidden="false" customHeight="false" outlineLevel="0" collapsed="false">
      <c r="B3480" s="0" t="s">
        <v>124</v>
      </c>
    </row>
    <row r="3482" customFormat="false" ht="12.8" hidden="false" customHeight="false" outlineLevel="0" collapsed="false">
      <c r="A3482" s="0" t="s">
        <v>1618</v>
      </c>
      <c r="B3482" s="0" t="str">
        <f aca="false">HYPERLINK("https://lindat.mff.cuni.cz/services/teitok/pdtc10/index.php?action=vallex&amp;frame=v-whsa_628hsa_629", "disociovat (v-whsa_628hsa_629)")</f>
        <v>disociovat (v-whsa_628hsa_629)</v>
      </c>
    </row>
    <row r="3483" customFormat="false" ht="12.8" hidden="false" customHeight="false" outlineLevel="0" collapsed="false">
      <c r="B3483" s="0" t="s">
        <v>7</v>
      </c>
      <c r="D3483" s="0" t="s">
        <v>1619</v>
      </c>
      <c r="E3483" s="0" t="s">
        <v>1619</v>
      </c>
      <c r="F3483" s="0" t="s">
        <v>1619</v>
      </c>
    </row>
    <row r="3484" customFormat="false" ht="12.8" hidden="false" customHeight="false" outlineLevel="0" collapsed="false">
      <c r="B3484" s="0" t="s">
        <v>63</v>
      </c>
      <c r="D3484" s="0" t="s">
        <v>1620</v>
      </c>
      <c r="E3484" s="0" t="s">
        <v>1620</v>
      </c>
      <c r="F3484" s="0" t="s">
        <v>1620</v>
      </c>
    </row>
    <row r="3486" customFormat="false" ht="12.8" hidden="false" customHeight="false" outlineLevel="0" collapsed="false">
      <c r="A3486" s="0" t="s">
        <v>1621</v>
      </c>
      <c r="B3486" s="0" t="str">
        <f aca="false">HYPERLINK("https://lindat.mff.cuni.cz/services/teitok/pdtc10/index.php?action=vallex&amp;frame=v-w484f1", "disponovat (v-w484f1)")</f>
        <v>disponovat (v-w484f1)</v>
      </c>
    </row>
    <row r="3487" customFormat="false" ht="12.8" hidden="false" customHeight="false" outlineLevel="0" collapsed="false">
      <c r="B3487" s="0" t="s">
        <v>7</v>
      </c>
      <c r="C3487" s="0" t="s">
        <v>1286</v>
      </c>
    </row>
    <row r="3488" customFormat="false" ht="12.8" hidden="false" customHeight="false" outlineLevel="0" collapsed="false">
      <c r="B3488" s="0" t="s">
        <v>216</v>
      </c>
      <c r="C3488" s="0" t="s">
        <v>1288</v>
      </c>
    </row>
    <row r="3490" customFormat="false" ht="12.8" hidden="false" customHeight="false" outlineLevel="0" collapsed="false">
      <c r="A3490" s="0" t="s">
        <v>1622</v>
      </c>
      <c r="B3490" s="0" t="str">
        <f aca="false">HYPERLINK("https://lindat.mff.cuni.cz/services/teitok/pdtc10/index.php?action=vallex&amp;frame=v-w484f3_ZU", "disponovat (v-w484f3_ZU)")</f>
        <v>disponovat (v-w484f3_ZU)</v>
      </c>
    </row>
    <row r="3491" customFormat="false" ht="12.8" hidden="false" customHeight="false" outlineLevel="0" collapsed="false">
      <c r="B3491" s="0" t="s">
        <v>7</v>
      </c>
    </row>
    <row r="3492" customFormat="false" ht="12.8" hidden="false" customHeight="false" outlineLevel="0" collapsed="false">
      <c r="B3492" s="0" t="s">
        <v>1623</v>
      </c>
    </row>
    <row r="3493" customFormat="false" ht="12.8" hidden="false" customHeight="false" outlineLevel="0" collapsed="false">
      <c r="B3493" s="0" t="s">
        <v>474</v>
      </c>
    </row>
    <row r="3494" customFormat="false" ht="12.8" hidden="false" customHeight="false" outlineLevel="0" collapsed="false">
      <c r="B3494" s="0" t="s">
        <v>479</v>
      </c>
    </row>
    <row r="3495" customFormat="false" ht="12.8" hidden="false" customHeight="false" outlineLevel="0" collapsed="false">
      <c r="B3495" s="0" t="s">
        <v>481</v>
      </c>
    </row>
    <row r="3496" customFormat="false" ht="12.8" hidden="false" customHeight="false" outlineLevel="0" collapsed="false">
      <c r="B3496" s="0" t="s">
        <v>483</v>
      </c>
    </row>
    <row r="3498" customFormat="false" ht="12.8" hidden="false" customHeight="false" outlineLevel="0" collapsed="false">
      <c r="A3498" s="0" t="s">
        <v>1622</v>
      </c>
      <c r="B3498" s="0" t="str">
        <f aca="false">HYPERLINK("https://lindat.mff.cuni.cz/services/teitok/pdtc10/index.php?action=vallex&amp;frame=v-w484f2", "disponovat (v-w484f2) - substituted with v-w484f3_ZU")</f>
        <v>disponovat (v-w484f2) - substituted with v-w484f3_ZU</v>
      </c>
    </row>
    <row r="3499" customFormat="false" ht="12.8" hidden="false" customHeight="false" outlineLevel="0" collapsed="false">
      <c r="B3499" s="0" t="s">
        <v>7</v>
      </c>
      <c r="C3499" s="0" t="s">
        <v>1154</v>
      </c>
      <c r="D3499" s="0" t="s">
        <v>1624</v>
      </c>
      <c r="E3499" s="0" t="s">
        <v>1624</v>
      </c>
      <c r="F3499" s="0" t="s">
        <v>1624</v>
      </c>
    </row>
    <row r="3500" customFormat="false" ht="12.8" hidden="false" customHeight="false" outlineLevel="0" collapsed="false">
      <c r="B3500" s="0" t="s">
        <v>1623</v>
      </c>
      <c r="C3500" s="0" t="s">
        <v>413</v>
      </c>
      <c r="D3500" s="0" t="s">
        <v>1625</v>
      </c>
      <c r="E3500" s="0" t="s">
        <v>1625</v>
      </c>
      <c r="F3500" s="0" t="s">
        <v>1625</v>
      </c>
    </row>
    <row r="3501" customFormat="false" ht="12.8" hidden="false" customHeight="false" outlineLevel="0" collapsed="false">
      <c r="B3501" s="0" t="s">
        <v>474</v>
      </c>
    </row>
    <row r="3502" customFormat="false" ht="12.8" hidden="false" customHeight="false" outlineLevel="0" collapsed="false">
      <c r="B3502" s="0" t="s">
        <v>479</v>
      </c>
    </row>
    <row r="3503" customFormat="false" ht="12.8" hidden="false" customHeight="false" outlineLevel="0" collapsed="false">
      <c r="B3503" s="0" t="s">
        <v>481</v>
      </c>
    </row>
    <row r="3504" customFormat="false" ht="12.8" hidden="false" customHeight="false" outlineLevel="0" collapsed="false">
      <c r="B3504" s="0" t="s">
        <v>483</v>
      </c>
    </row>
    <row r="3506" customFormat="false" ht="12.8" hidden="false" customHeight="false" outlineLevel="0" collapsed="false">
      <c r="A3506" s="0" t="s">
        <v>1626</v>
      </c>
      <c r="B3506" s="0" t="str">
        <f aca="false">HYPERLINK("https://lindat.mff.cuni.cz/services/teitok/pdtc10/index.php?action=vallex&amp;frame=v-w487f1", "distancovat se (v-w487f1)")</f>
        <v>distancovat se (v-w487f1)</v>
      </c>
    </row>
    <row r="3507" customFormat="false" ht="12.8" hidden="false" customHeight="false" outlineLevel="0" collapsed="false">
      <c r="B3507" s="0" t="s">
        <v>7</v>
      </c>
      <c r="C3507" s="0" t="s">
        <v>191</v>
      </c>
      <c r="D3507" s="0" t="s">
        <v>1627</v>
      </c>
      <c r="E3507" s="0" t="s">
        <v>1627</v>
      </c>
      <c r="F3507" s="0" t="s">
        <v>1627</v>
      </c>
    </row>
    <row r="3508" customFormat="false" ht="12.8" hidden="false" customHeight="false" outlineLevel="0" collapsed="false">
      <c r="B3508" s="0" t="s">
        <v>28</v>
      </c>
      <c r="C3508" s="0" t="s">
        <v>1628</v>
      </c>
      <c r="D3508" s="0" t="s">
        <v>1628</v>
      </c>
      <c r="E3508" s="0" t="s">
        <v>1628</v>
      </c>
      <c r="F3508" s="0" t="s">
        <v>1628</v>
      </c>
    </row>
    <row r="3510" customFormat="false" ht="12.8" hidden="false" customHeight="false" outlineLevel="0" collapsed="false">
      <c r="A3510" s="0" t="s">
        <v>1629</v>
      </c>
      <c r="B3510" s="0" t="str">
        <f aca="false">HYPERLINK("https://lindat.mff.cuni.cz/services/teitok/pdtc10/index.php?action=vallex&amp;frame=v-w489f1", "distribuovat (v-w489f1)")</f>
        <v>distribuovat (v-w489f1)</v>
      </c>
    </row>
    <row r="3511" customFormat="false" ht="12.8" hidden="false" customHeight="false" outlineLevel="0" collapsed="false">
      <c r="B3511" s="0" t="s">
        <v>7</v>
      </c>
      <c r="C3511" s="0" t="s">
        <v>410</v>
      </c>
      <c r="D3511" s="0" t="s">
        <v>1630</v>
      </c>
      <c r="E3511" s="0" t="s">
        <v>1630</v>
      </c>
      <c r="F3511" s="0" t="s">
        <v>1630</v>
      </c>
    </row>
    <row r="3512" customFormat="false" ht="12.8" hidden="false" customHeight="false" outlineLevel="0" collapsed="false">
      <c r="B3512" s="0" t="s">
        <v>14</v>
      </c>
      <c r="C3512" s="0" t="s">
        <v>1631</v>
      </c>
      <c r="D3512" s="0" t="s">
        <v>1632</v>
      </c>
      <c r="E3512" s="0" t="s">
        <v>1632</v>
      </c>
      <c r="F3512" s="0" t="s">
        <v>1632</v>
      </c>
    </row>
    <row r="3513" customFormat="false" ht="12.8" hidden="false" customHeight="false" outlineLevel="0" collapsed="false">
      <c r="B3513" s="0" t="s">
        <v>1633</v>
      </c>
      <c r="C3513" s="0" t="s">
        <v>1634</v>
      </c>
      <c r="D3513" s="0" t="s">
        <v>1635</v>
      </c>
      <c r="E3513" s="0" t="s">
        <v>1635</v>
      </c>
      <c r="F3513" s="0" t="s">
        <v>1635</v>
      </c>
    </row>
    <row r="3515" customFormat="false" ht="12.8" hidden="false" customHeight="false" outlineLevel="0" collapsed="false">
      <c r="A3515" s="0" t="s">
        <v>1636</v>
      </c>
      <c r="B3515" s="0" t="str">
        <f aca="false">HYPERLINK("https://lindat.mff.cuni.cz/services/teitok/pdtc10/index.php?action=vallex&amp;frame=v-w489f2", "distribuovat (v-w489f2)")</f>
        <v>distribuovat (v-w489f2)</v>
      </c>
    </row>
    <row r="3516" customFormat="false" ht="12.8" hidden="false" customHeight="false" outlineLevel="0" collapsed="false">
      <c r="B3516" s="0" t="s">
        <v>7</v>
      </c>
      <c r="C3516" s="0" t="s">
        <v>1637</v>
      </c>
      <c r="D3516" s="0" t="s">
        <v>1630</v>
      </c>
      <c r="E3516" s="0" t="s">
        <v>1630</v>
      </c>
      <c r="F3516" s="0" t="s">
        <v>1630</v>
      </c>
    </row>
    <row r="3517" customFormat="false" ht="12.8" hidden="false" customHeight="false" outlineLevel="0" collapsed="false">
      <c r="B3517" s="0" t="s">
        <v>14</v>
      </c>
      <c r="C3517" s="0" t="s">
        <v>1638</v>
      </c>
      <c r="D3517" s="0" t="s">
        <v>1632</v>
      </c>
      <c r="E3517" s="0" t="s">
        <v>1632</v>
      </c>
      <c r="F3517" s="0" t="s">
        <v>1632</v>
      </c>
    </row>
    <row r="3519" customFormat="false" ht="12.8" hidden="false" customHeight="false" outlineLevel="0" collapsed="false">
      <c r="A3519" s="0" t="s">
        <v>1639</v>
      </c>
      <c r="B3519" s="0" t="str">
        <f aca="false">HYPERLINK("https://lindat.mff.cuni.cz/services/teitok/pdtc10/index.php?action=vallex&amp;frame=v-w496f1", "diverzifikovat (v-w496f1)")</f>
        <v>diverzifikovat (v-w496f1)</v>
      </c>
    </row>
    <row r="3520" customFormat="false" ht="12.8" hidden="false" customHeight="false" outlineLevel="0" collapsed="false">
      <c r="B3520" s="0" t="s">
        <v>7</v>
      </c>
    </row>
    <row r="3521" customFormat="false" ht="12.8" hidden="false" customHeight="false" outlineLevel="0" collapsed="false">
      <c r="B3521" s="0" t="s">
        <v>14</v>
      </c>
      <c r="C3521" s="0" t="s">
        <v>1640</v>
      </c>
    </row>
    <row r="3523" customFormat="false" ht="12.8" hidden="false" customHeight="false" outlineLevel="0" collapsed="false">
      <c r="A3523" s="0" t="s">
        <v>1641</v>
      </c>
      <c r="B3523" s="0" t="str">
        <f aca="false">HYPERLINK("https://lindat.mff.cuni.cz/services/teitok/pdtc10/index.php?action=vallex&amp;frame=v-w497f2_ZU", "divit se (v-w497f2_ZU)")</f>
        <v>divit se (v-w497f2_ZU)</v>
      </c>
    </row>
    <row r="3524" customFormat="false" ht="12.8" hidden="false" customHeight="false" outlineLevel="0" collapsed="false">
      <c r="B3524" s="0" t="s">
        <v>7</v>
      </c>
    </row>
    <row r="3525" customFormat="false" ht="12.8" hidden="false" customHeight="false" outlineLevel="0" collapsed="false">
      <c r="B3525" s="0" t="s">
        <v>1642</v>
      </c>
    </row>
    <row r="3527" customFormat="false" ht="12.8" hidden="false" customHeight="false" outlineLevel="0" collapsed="false">
      <c r="A3527" s="0" t="s">
        <v>1641</v>
      </c>
      <c r="B3527" s="0" t="str">
        <f aca="false">HYPERLINK("https://lindat.mff.cuni.cz/services/teitok/pdtc10/index.php?action=vallex&amp;frame=v-w497f1", "divit se (v-w497f1) - substituted with v-w497f2_ZU")</f>
        <v>divit se (v-w497f1) - substituted with v-w497f2_ZU</v>
      </c>
    </row>
    <row r="3528" customFormat="false" ht="12.8" hidden="false" customHeight="false" outlineLevel="0" collapsed="false">
      <c r="B3528" s="0" t="s">
        <v>7</v>
      </c>
      <c r="C3528" s="0" t="s">
        <v>1643</v>
      </c>
    </row>
    <row r="3529" customFormat="false" ht="12.8" hidden="false" customHeight="false" outlineLevel="0" collapsed="false">
      <c r="B3529" s="0" t="s">
        <v>1642</v>
      </c>
      <c r="C3529" s="0" t="s">
        <v>518</v>
      </c>
    </row>
    <row r="3531" customFormat="false" ht="12.8" hidden="false" customHeight="false" outlineLevel="0" collapsed="false">
      <c r="A3531" s="0" t="s">
        <v>1641</v>
      </c>
      <c r="B3531" s="0" t="str">
        <f aca="false">HYPERLINK("https://lindat.mff.cuni.cz/services/teitok/pdtc10/index.php?action=vallex&amp;frame=v-w497hsa_622", "divit se (v-w497hsa_622) - substituted with v-w497f2_ZU")</f>
        <v>divit se (v-w497hsa_622) - substituted with v-w497f2_ZU</v>
      </c>
    </row>
    <row r="3532" customFormat="false" ht="12.8" hidden="false" customHeight="false" outlineLevel="0" collapsed="false">
      <c r="B3532" s="0" t="s">
        <v>7</v>
      </c>
    </row>
    <row r="3533" customFormat="false" ht="12.8" hidden="false" customHeight="false" outlineLevel="0" collapsed="false">
      <c r="B3533" s="0" t="s">
        <v>1642</v>
      </c>
    </row>
    <row r="3535" customFormat="false" ht="12.8" hidden="false" customHeight="false" outlineLevel="0" collapsed="false">
      <c r="A3535" s="0" t="s">
        <v>1644</v>
      </c>
      <c r="B3535" s="0" t="str">
        <f aca="false">HYPERLINK("https://lindat.mff.cuni.cz/services/teitok/pdtc10/index.php?action=vallex&amp;frame=v-w12200_ZUf1_ZU", "divočet (v-w12200_ZUf1_ZU)")</f>
        <v>divočet (v-w12200_ZUf1_ZU)</v>
      </c>
    </row>
    <row r="3536" customFormat="false" ht="12.8" hidden="false" customHeight="false" outlineLevel="0" collapsed="false">
      <c r="B3536" s="0" t="s">
        <v>7</v>
      </c>
    </row>
    <row r="3538" customFormat="false" ht="12.8" hidden="false" customHeight="false" outlineLevel="0" collapsed="false">
      <c r="A3538" s="0" t="s">
        <v>1645</v>
      </c>
      <c r="B3538" s="0" t="str">
        <f aca="false">HYPERLINK("https://lindat.mff.cuni.cz/services/teitok/pdtc10/index.php?action=vallex&amp;frame=v-w12200_ZUf2_ZU", "divočet (v-w12200_ZUf2_ZU)")</f>
        <v>divočet (v-w12200_ZUf2_ZU)</v>
      </c>
    </row>
    <row r="3539" customFormat="false" ht="12.8" hidden="false" customHeight="false" outlineLevel="0" collapsed="false">
      <c r="B3539" s="0" t="s">
        <v>7</v>
      </c>
    </row>
    <row r="3541" customFormat="false" ht="12.8" hidden="false" customHeight="false" outlineLevel="0" collapsed="false">
      <c r="A3541" s="0" t="s">
        <v>1646</v>
      </c>
      <c r="B3541" s="0" t="str">
        <f aca="false">HYPERLINK("https://lindat.mff.cuni.cz/services/teitok/pdtc10/index.php?action=vallex&amp;frame=v-w500f1", "dloubat (v-w500f1)")</f>
        <v>dloubat (v-w500f1)</v>
      </c>
    </row>
    <row r="3542" customFormat="false" ht="12.8" hidden="false" customHeight="false" outlineLevel="0" collapsed="false">
      <c r="B3542" s="0" t="s">
        <v>7</v>
      </c>
    </row>
    <row r="3543" customFormat="false" ht="12.8" hidden="false" customHeight="false" outlineLevel="0" collapsed="false">
      <c r="B3543" s="0" t="s">
        <v>14</v>
      </c>
    </row>
    <row r="3545" customFormat="false" ht="12.8" hidden="false" customHeight="false" outlineLevel="0" collapsed="false">
      <c r="A3545" s="0" t="s">
        <v>1647</v>
      </c>
      <c r="B3545" s="0" t="str">
        <f aca="false">HYPERLINK("https://lindat.mff.cuni.cz/services/teitok/pdtc10/index.php?action=vallex&amp;frame=v-w502f2", "dlužit (v-w502f2)")</f>
        <v>dlužit (v-w502f2)</v>
      </c>
    </row>
    <row r="3546" customFormat="false" ht="12.8" hidden="false" customHeight="false" outlineLevel="0" collapsed="false">
      <c r="B3546" s="0" t="s">
        <v>7</v>
      </c>
      <c r="C3546" s="0" t="s">
        <v>1648</v>
      </c>
      <c r="D3546" s="0" t="s">
        <v>465</v>
      </c>
      <c r="E3546" s="0" t="s">
        <v>465</v>
      </c>
      <c r="F3546" s="0" t="s">
        <v>465</v>
      </c>
    </row>
    <row r="3547" customFormat="false" ht="12.8" hidden="false" customHeight="false" outlineLevel="0" collapsed="false">
      <c r="B3547" s="0" t="s">
        <v>14</v>
      </c>
      <c r="C3547" s="0" t="s">
        <v>1649</v>
      </c>
      <c r="D3547" s="0" t="s">
        <v>1650</v>
      </c>
      <c r="E3547" s="0" t="s">
        <v>1650</v>
      </c>
      <c r="F3547" s="0" t="s">
        <v>1650</v>
      </c>
    </row>
    <row r="3548" customFormat="false" ht="12.8" hidden="false" customHeight="false" outlineLevel="0" collapsed="false">
      <c r="B3548" s="0" t="s">
        <v>106</v>
      </c>
      <c r="C3548" s="0" t="s">
        <v>1651</v>
      </c>
      <c r="D3548" s="0" t="s">
        <v>1651</v>
      </c>
      <c r="E3548" s="0" t="s">
        <v>1651</v>
      </c>
      <c r="F3548" s="0" t="s">
        <v>1651</v>
      </c>
    </row>
    <row r="3549" customFormat="false" ht="12.8" hidden="false" customHeight="false" outlineLevel="0" collapsed="false">
      <c r="B3549" s="0" t="s">
        <v>550</v>
      </c>
    </row>
    <row r="3551" customFormat="false" ht="12.8" hidden="false" customHeight="false" outlineLevel="0" collapsed="false">
      <c r="A3551" s="0" t="s">
        <v>1652</v>
      </c>
      <c r="B3551" s="0" t="str">
        <f aca="false">HYPERLINK("https://lindat.mff.cuni.cz/services/teitok/pdtc10/index.php?action=vallex&amp;frame=v-w502f1", "dlužit (v-w502f1)")</f>
        <v>dlužit (v-w502f1)</v>
      </c>
    </row>
    <row r="3552" customFormat="false" ht="12.8" hidden="false" customHeight="false" outlineLevel="0" collapsed="false">
      <c r="B3552" s="0" t="s">
        <v>7</v>
      </c>
      <c r="C3552" s="0" t="s">
        <v>465</v>
      </c>
      <c r="D3552" s="0" t="s">
        <v>465</v>
      </c>
      <c r="E3552" s="0" t="s">
        <v>465</v>
      </c>
      <c r="F3552" s="0" t="s">
        <v>465</v>
      </c>
    </row>
    <row r="3553" customFormat="false" ht="12.8" hidden="false" customHeight="false" outlineLevel="0" collapsed="false">
      <c r="B3553" s="0" t="s">
        <v>679</v>
      </c>
      <c r="C3553" s="0" t="s">
        <v>1653</v>
      </c>
      <c r="D3553" s="0" t="s">
        <v>1653</v>
      </c>
      <c r="E3553" s="0" t="s">
        <v>1653</v>
      </c>
      <c r="F3553" s="0" t="s">
        <v>1653</v>
      </c>
    </row>
    <row r="3554" customFormat="false" ht="12.8" hidden="false" customHeight="false" outlineLevel="0" collapsed="false">
      <c r="B3554" s="0" t="s">
        <v>1654</v>
      </c>
    </row>
    <row r="3555" customFormat="false" ht="12.8" hidden="false" customHeight="false" outlineLevel="0" collapsed="false">
      <c r="B3555" s="0" t="s">
        <v>106</v>
      </c>
      <c r="C3555" s="0" t="s">
        <v>1651</v>
      </c>
      <c r="D3555" s="0" t="s">
        <v>1651</v>
      </c>
      <c r="E3555" s="0" t="s">
        <v>1651</v>
      </c>
      <c r="F3555" s="0" t="s">
        <v>1651</v>
      </c>
    </row>
    <row r="3557" customFormat="false" ht="12.8" hidden="false" customHeight="false" outlineLevel="0" collapsed="false">
      <c r="A3557" s="0" t="s">
        <v>1655</v>
      </c>
      <c r="B3557" s="0" t="str">
        <f aca="false">HYPERLINK("https://lindat.mff.cuni.cz/services/teitok/pdtc10/index.php?action=vallex&amp;frame=v-w502hsa_1237", "dlužit (v-w502hsa_1237)")</f>
        <v>dlužit (v-w502hsa_1237)</v>
      </c>
    </row>
    <row r="3558" customFormat="false" ht="12.8" hidden="false" customHeight="false" outlineLevel="0" collapsed="false">
      <c r="B3558" s="0" t="s">
        <v>7</v>
      </c>
      <c r="C3558" s="0" t="s">
        <v>465</v>
      </c>
    </row>
    <row r="3559" customFormat="false" ht="12.8" hidden="false" customHeight="false" outlineLevel="0" collapsed="false">
      <c r="B3559" s="0" t="s">
        <v>14</v>
      </c>
      <c r="C3559" s="0" t="s">
        <v>1650</v>
      </c>
    </row>
    <row r="3560" customFormat="false" ht="12.8" hidden="false" customHeight="false" outlineLevel="0" collapsed="false">
      <c r="B3560" s="0" t="s">
        <v>106</v>
      </c>
      <c r="C3560" s="0" t="s">
        <v>1651</v>
      </c>
    </row>
    <row r="3561" customFormat="false" ht="12.8" hidden="false" customHeight="false" outlineLevel="0" collapsed="false">
      <c r="B3561" s="0" t="s">
        <v>550</v>
      </c>
      <c r="C3561" s="0" t="s">
        <v>1656</v>
      </c>
    </row>
    <row r="3563" customFormat="false" ht="12.8" hidden="false" customHeight="false" outlineLevel="0" collapsed="false">
      <c r="A3563" s="0" t="s">
        <v>1657</v>
      </c>
      <c r="B3563" s="0" t="str">
        <f aca="false">HYPERLINK("https://lindat.mff.cuni.cz/services/teitok/pdtc10/index.php?action=vallex&amp;frame=v-w498f1", "dláždit (v-w498f1)")</f>
        <v>dláždit (v-w498f1)</v>
      </c>
    </row>
    <row r="3564" customFormat="false" ht="12.8" hidden="false" customHeight="false" outlineLevel="0" collapsed="false">
      <c r="B3564" s="0" t="s">
        <v>7</v>
      </c>
    </row>
    <row r="3565" customFormat="false" ht="12.8" hidden="false" customHeight="false" outlineLevel="0" collapsed="false">
      <c r="B3565" s="0" t="s">
        <v>14</v>
      </c>
    </row>
    <row r="3566" customFormat="false" ht="12.8" hidden="false" customHeight="false" outlineLevel="0" collapsed="false">
      <c r="B3566" s="0" t="s">
        <v>35</v>
      </c>
    </row>
    <row r="3568" customFormat="false" ht="12.8" hidden="false" customHeight="false" outlineLevel="0" collapsed="false">
      <c r="A3568" s="0" t="s">
        <v>1658</v>
      </c>
      <c r="B3568" s="0" t="str">
        <f aca="false">HYPERLINK("https://lindat.mff.cuni.cz/services/teitok/pdtc10/index.php?action=vallex&amp;frame=v-w498f2", "dláždit (v-w498f2)")</f>
        <v>dláždit (v-w498f2)</v>
      </c>
    </row>
    <row r="3569" customFormat="false" ht="12.8" hidden="false" customHeight="false" outlineLevel="0" collapsed="false">
      <c r="B3569" s="0" t="s">
        <v>7</v>
      </c>
      <c r="C3569" s="0" t="s">
        <v>46</v>
      </c>
      <c r="D3569" s="0" t="s">
        <v>623</v>
      </c>
      <c r="E3569" s="0" t="s">
        <v>623</v>
      </c>
      <c r="F3569" s="0" t="s">
        <v>623</v>
      </c>
    </row>
    <row r="3570" customFormat="false" ht="12.8" hidden="false" customHeight="false" outlineLevel="0" collapsed="false">
      <c r="B3570" s="0" t="s">
        <v>1659</v>
      </c>
      <c r="C3570" s="0" t="s">
        <v>378</v>
      </c>
      <c r="D3570" s="0" t="s">
        <v>1660</v>
      </c>
      <c r="E3570" s="0" t="s">
        <v>1660</v>
      </c>
      <c r="F3570" s="0" t="s">
        <v>1660</v>
      </c>
    </row>
    <row r="3571" customFormat="false" ht="12.8" hidden="false" customHeight="false" outlineLevel="0" collapsed="false">
      <c r="B3571" s="0" t="s">
        <v>119</v>
      </c>
      <c r="D3571" s="0" t="s">
        <v>1588</v>
      </c>
      <c r="E3571" s="0" t="s">
        <v>1588</v>
      </c>
      <c r="F3571" s="0" t="s">
        <v>1588</v>
      </c>
    </row>
    <row r="3573" customFormat="false" ht="12.8" hidden="false" customHeight="false" outlineLevel="0" collapsed="false">
      <c r="A3573" s="0" t="s">
        <v>1661</v>
      </c>
      <c r="B3573" s="0" t="str">
        <f aca="false">HYPERLINK("https://lindat.mff.cuni.cz/services/teitok/pdtc10/index.php?action=vallex&amp;frame=v-w499f1", "dlít (v-w499f1)")</f>
        <v>dlít (v-w499f1)</v>
      </c>
    </row>
    <row r="3574" customFormat="false" ht="12.8" hidden="false" customHeight="false" outlineLevel="0" collapsed="false">
      <c r="B3574" s="0" t="s">
        <v>7</v>
      </c>
    </row>
    <row r="3575" customFormat="false" ht="12.8" hidden="false" customHeight="false" outlineLevel="0" collapsed="false">
      <c r="B3575" s="0" t="s">
        <v>11</v>
      </c>
    </row>
    <row r="3577" customFormat="false" ht="12.8" hidden="false" customHeight="false" outlineLevel="0" collapsed="false">
      <c r="A3577" s="0" t="s">
        <v>1662</v>
      </c>
      <c r="B3577" s="0" t="str">
        <f aca="false">HYPERLINK("https://lindat.mff.cuni.cz/services/teitok/pdtc10/index.php?action=vallex&amp;frame=v-whsa_229hsa_230", "dmout se (v-whsa_229hsa_230)")</f>
        <v>dmout se (v-whsa_229hsa_230)</v>
      </c>
    </row>
    <row r="3578" customFormat="false" ht="12.8" hidden="false" customHeight="false" outlineLevel="0" collapsed="false">
      <c r="B3578" s="0" t="s">
        <v>7</v>
      </c>
      <c r="C3578" s="0" t="s">
        <v>272</v>
      </c>
      <c r="D3578" s="0" t="s">
        <v>708</v>
      </c>
      <c r="E3578" s="0" t="s">
        <v>708</v>
      </c>
      <c r="F3578" s="0" t="s">
        <v>708</v>
      </c>
    </row>
    <row r="3580" customFormat="false" ht="12.8" hidden="false" customHeight="false" outlineLevel="0" collapsed="false">
      <c r="A3580" s="0" t="s">
        <v>1663</v>
      </c>
      <c r="B3580" s="0" t="str">
        <f aca="false">HYPERLINK("https://lindat.mff.cuni.cz/services/teitok/pdtc10/index.php?action=vallex&amp;frame=v-w12326_MMf1_MM", "dobelhat (v-w12326_MMf1_MM)")</f>
        <v>dobelhat (v-w12326_MMf1_MM)</v>
      </c>
    </row>
    <row r="3581" customFormat="false" ht="12.8" hidden="false" customHeight="false" outlineLevel="0" collapsed="false">
      <c r="B3581" s="0" t="s">
        <v>7</v>
      </c>
    </row>
    <row r="3582" customFormat="false" ht="12.8" hidden="false" customHeight="false" outlineLevel="0" collapsed="false">
      <c r="B3582" s="0" t="s">
        <v>124</v>
      </c>
    </row>
    <row r="3584" customFormat="false" ht="12.8" hidden="false" customHeight="false" outlineLevel="0" collapsed="false">
      <c r="A3584" s="0" t="s">
        <v>1664</v>
      </c>
      <c r="B3584" s="0" t="str">
        <f aca="false">HYPERLINK("https://lindat.mff.cuni.cz/services/teitok/pdtc10/index.php?action=vallex&amp;frame=v-w11655_ZUf1_ZU", "doblekotat se (v-w11655_ZUf1_ZU)")</f>
        <v>doblekotat se (v-w11655_ZUf1_ZU)</v>
      </c>
    </row>
    <row r="3585" customFormat="false" ht="12.8" hidden="false" customHeight="false" outlineLevel="0" collapsed="false">
      <c r="B3585" s="0" t="s">
        <v>7</v>
      </c>
      <c r="C3585" s="0" t="s">
        <v>46</v>
      </c>
    </row>
    <row r="3586" customFormat="false" ht="12.8" hidden="false" customHeight="false" outlineLevel="0" collapsed="false">
      <c r="B3586" s="0" t="s">
        <v>237</v>
      </c>
    </row>
    <row r="3588" customFormat="false" ht="12.8" hidden="false" customHeight="false" outlineLevel="0" collapsed="false">
      <c r="A3588" s="0" t="s">
        <v>1665</v>
      </c>
      <c r="B3588" s="0" t="str">
        <f aca="false">HYPERLINK("https://lindat.mff.cuni.cz/services/teitok/pdtc10/index.php?action=vallex&amp;frame=v-w11829_ZUf1_ZU", "dobrat (v-w11829_ZUf1_ZU)")</f>
        <v>dobrat (v-w11829_ZUf1_ZU)</v>
      </c>
    </row>
    <row r="3589" customFormat="false" ht="12.8" hidden="false" customHeight="false" outlineLevel="0" collapsed="false">
      <c r="B3589" s="0" t="s">
        <v>7</v>
      </c>
    </row>
    <row r="3590" customFormat="false" ht="12.8" hidden="false" customHeight="false" outlineLevel="0" collapsed="false">
      <c r="B3590" s="0" t="s">
        <v>14</v>
      </c>
    </row>
    <row r="3592" customFormat="false" ht="12.8" hidden="false" customHeight="false" outlineLevel="0" collapsed="false">
      <c r="A3592" s="0" t="s">
        <v>1666</v>
      </c>
      <c r="B3592" s="0" t="str">
        <f aca="false">HYPERLINK("https://lindat.mff.cuni.cz/services/teitok/pdtc10/index.php?action=vallex&amp;frame=v-w510f1", "dobrat se (v-w510f1)")</f>
        <v>dobrat se (v-w510f1)</v>
      </c>
    </row>
    <row r="3593" customFormat="false" ht="12.8" hidden="false" customHeight="false" outlineLevel="0" collapsed="false">
      <c r="B3593" s="0" t="s">
        <v>7</v>
      </c>
    </row>
    <row r="3594" customFormat="false" ht="12.8" hidden="false" customHeight="false" outlineLevel="0" collapsed="false">
      <c r="B3594" s="0" t="s">
        <v>1667</v>
      </c>
    </row>
    <row r="3595" customFormat="false" ht="12.8" hidden="false" customHeight="false" outlineLevel="0" collapsed="false">
      <c r="B3595" s="0" t="s">
        <v>1668</v>
      </c>
    </row>
    <row r="3597" customFormat="false" ht="12.8" hidden="false" customHeight="false" outlineLevel="0" collapsed="false">
      <c r="A3597" s="0" t="s">
        <v>1669</v>
      </c>
      <c r="B3597" s="0" t="str">
        <f aca="false">HYPERLINK("https://lindat.mff.cuni.cz/services/teitok/pdtc10/index.php?action=vallex&amp;frame=v-w510f2", "dobrat se (v-w510f2)")</f>
        <v>dobrat se (v-w510f2)</v>
      </c>
    </row>
    <row r="3598" customFormat="false" ht="12.8" hidden="false" customHeight="false" outlineLevel="0" collapsed="false">
      <c r="B3598" s="0" t="s">
        <v>7</v>
      </c>
    </row>
    <row r="3599" customFormat="false" ht="12.8" hidden="false" customHeight="false" outlineLevel="0" collapsed="false">
      <c r="B3599" s="0" t="s">
        <v>1670</v>
      </c>
    </row>
    <row r="3601" customFormat="false" ht="12.8" hidden="false" customHeight="false" outlineLevel="0" collapsed="false">
      <c r="A3601" s="0" t="s">
        <v>1671</v>
      </c>
      <c r="B3601" s="0" t="str">
        <f aca="false">HYPERLINK("https://lindat.mff.cuni.cz/services/teitok/pdtc10/index.php?action=vallex&amp;frame=v-w513f1", "dobudovat (v-w513f1)")</f>
        <v>dobudovat (v-w513f1)</v>
      </c>
    </row>
    <row r="3602" customFormat="false" ht="12.8" hidden="false" customHeight="false" outlineLevel="0" collapsed="false">
      <c r="B3602" s="0" t="s">
        <v>7</v>
      </c>
    </row>
    <row r="3603" customFormat="false" ht="12.8" hidden="false" customHeight="false" outlineLevel="0" collapsed="false">
      <c r="B3603" s="0" t="s">
        <v>14</v>
      </c>
    </row>
    <row r="3604" customFormat="false" ht="12.8" hidden="false" customHeight="false" outlineLevel="0" collapsed="false">
      <c r="B3604" s="0" t="s">
        <v>35</v>
      </c>
    </row>
    <row r="3606" customFormat="false" ht="12.8" hidden="false" customHeight="false" outlineLevel="0" collapsed="false">
      <c r="A3606" s="0" t="s">
        <v>1672</v>
      </c>
      <c r="B3606" s="0" t="str">
        <f aca="false">HYPERLINK("https://lindat.mff.cuni.cz/services/teitok/pdtc10/index.php?action=vallex&amp;frame=v-whsa_1962hsa_1963", "dobíjet (v-whsa_1962hsa_1963)")</f>
        <v>dobíjet (v-whsa_1962hsa_1963)</v>
      </c>
    </row>
    <row r="3607" customFormat="false" ht="12.8" hidden="false" customHeight="false" outlineLevel="0" collapsed="false">
      <c r="B3607" s="0" t="s">
        <v>7</v>
      </c>
    </row>
    <row r="3608" customFormat="false" ht="12.8" hidden="false" customHeight="false" outlineLevel="0" collapsed="false">
      <c r="B3608" s="0" t="s">
        <v>1673</v>
      </c>
    </row>
    <row r="3610" customFormat="false" ht="12.8" hidden="false" customHeight="false" outlineLevel="0" collapsed="false">
      <c r="A3610" s="0" t="s">
        <v>1674</v>
      </c>
      <c r="B3610" s="0" t="str">
        <f aca="false">HYPERLINK("https://lindat.mff.cuni.cz/services/teitok/pdtc10/index.php?action=vallex&amp;frame=v-w508f1", "dobírat si (v-w508f1)")</f>
        <v>dobírat si (v-w508f1)</v>
      </c>
    </row>
    <row r="3611" customFormat="false" ht="12.8" hidden="false" customHeight="false" outlineLevel="0" collapsed="false">
      <c r="B3611" s="0" t="s">
        <v>7</v>
      </c>
    </row>
    <row r="3612" customFormat="false" ht="12.8" hidden="false" customHeight="false" outlineLevel="0" collapsed="false">
      <c r="B3612" s="0" t="s">
        <v>14</v>
      </c>
    </row>
    <row r="3614" customFormat="false" ht="12.8" hidden="false" customHeight="false" outlineLevel="0" collapsed="false">
      <c r="A3614" s="0" t="s">
        <v>1675</v>
      </c>
      <c r="B3614" s="0" t="str">
        <f aca="false">HYPERLINK("https://lindat.mff.cuni.cz/services/teitok/pdtc10/index.php?action=vallex&amp;frame=v-whsa_1253hsa_1254", "dobít (v-whsa_1253hsa_1254)")</f>
        <v>dobít (v-whsa_1253hsa_1254)</v>
      </c>
    </row>
    <row r="3615" customFormat="false" ht="12.8" hidden="false" customHeight="false" outlineLevel="0" collapsed="false">
      <c r="B3615" s="0" t="s">
        <v>7</v>
      </c>
    </row>
    <row r="3616" customFormat="false" ht="12.8" hidden="false" customHeight="false" outlineLevel="0" collapsed="false">
      <c r="B3616" s="0" t="s">
        <v>14</v>
      </c>
    </row>
    <row r="3618" customFormat="false" ht="12.8" hidden="false" customHeight="false" outlineLevel="0" collapsed="false">
      <c r="A3618" s="0" t="s">
        <v>1676</v>
      </c>
      <c r="B3618" s="0" t="str">
        <f aca="false">HYPERLINK("https://lindat.mff.cuni.cz/services/teitok/pdtc10/index.php?action=vallex&amp;frame=v-w514f2_ZU", "dobýt (v-w514f2_ZU)")</f>
        <v>dobýt (v-w514f2_ZU)</v>
      </c>
    </row>
    <row r="3619" customFormat="false" ht="12.8" hidden="false" customHeight="false" outlineLevel="0" collapsed="false">
      <c r="B3619" s="0" t="s">
        <v>7</v>
      </c>
    </row>
    <row r="3620" customFormat="false" ht="12.8" hidden="false" customHeight="false" outlineLevel="0" collapsed="false">
      <c r="B3620" s="0" t="s">
        <v>14</v>
      </c>
    </row>
    <row r="3621" customFormat="false" ht="12.8" hidden="false" customHeight="false" outlineLevel="0" collapsed="false">
      <c r="B3621" s="0" t="s">
        <v>441</v>
      </c>
    </row>
    <row r="3623" customFormat="false" ht="12.8" hidden="false" customHeight="false" outlineLevel="0" collapsed="false">
      <c r="A3623" s="0" t="s">
        <v>1676</v>
      </c>
      <c r="B3623" s="0" t="str">
        <f aca="false">HYPERLINK("https://lindat.mff.cuni.cz/services/teitok/pdtc10/index.php?action=vallex&amp;frame=v-w514f1", "dobýt (v-w514f1) - substituted with v-w514f2_ZU")</f>
        <v>dobýt (v-w514f1) - substituted with v-w514f2_ZU</v>
      </c>
    </row>
    <row r="3624" customFormat="false" ht="12.8" hidden="false" customHeight="false" outlineLevel="0" collapsed="false">
      <c r="B3624" s="0" t="s">
        <v>7</v>
      </c>
      <c r="C3624" s="0" t="s">
        <v>1677</v>
      </c>
      <c r="D3624" s="0" t="s">
        <v>1091</v>
      </c>
      <c r="E3624" s="0" t="s">
        <v>1091</v>
      </c>
      <c r="F3624" s="0" t="s">
        <v>1091</v>
      </c>
    </row>
    <row r="3625" customFormat="false" ht="12.8" hidden="false" customHeight="false" outlineLevel="0" collapsed="false">
      <c r="B3625" s="0" t="s">
        <v>14</v>
      </c>
      <c r="C3625" s="0" t="s">
        <v>135</v>
      </c>
      <c r="D3625" s="0" t="s">
        <v>1678</v>
      </c>
      <c r="E3625" s="0" t="s">
        <v>1678</v>
      </c>
      <c r="F3625" s="0" t="s">
        <v>1678</v>
      </c>
    </row>
    <row r="3626" customFormat="false" ht="12.8" hidden="false" customHeight="false" outlineLevel="0" collapsed="false">
      <c r="B3626" s="0" t="s">
        <v>441</v>
      </c>
    </row>
    <row r="3628" customFormat="false" ht="12.8" hidden="false" customHeight="false" outlineLevel="0" collapsed="false">
      <c r="A3628" s="0" t="s">
        <v>1679</v>
      </c>
      <c r="B3628" s="0" t="str">
        <f aca="false">HYPERLINK("https://lindat.mff.cuni.cz/services/teitok/pdtc10/index.php?action=vallex&amp;frame=v-w518f1", "dobývat (v-w518f1)")</f>
        <v>dobývat (v-w518f1)</v>
      </c>
    </row>
    <row r="3629" customFormat="false" ht="12.8" hidden="false" customHeight="false" outlineLevel="0" collapsed="false">
      <c r="B3629" s="0" t="s">
        <v>7</v>
      </c>
      <c r="C3629" s="0" t="s">
        <v>335</v>
      </c>
      <c r="D3629" s="0" t="s">
        <v>1680</v>
      </c>
      <c r="E3629" s="0" t="s">
        <v>1680</v>
      </c>
      <c r="F3629" s="0" t="s">
        <v>1680</v>
      </c>
    </row>
    <row r="3630" customFormat="false" ht="12.8" hidden="false" customHeight="false" outlineLevel="0" collapsed="false">
      <c r="B3630" s="0" t="s">
        <v>14</v>
      </c>
      <c r="C3630" s="0" t="s">
        <v>487</v>
      </c>
      <c r="D3630" s="0" t="s">
        <v>1681</v>
      </c>
      <c r="E3630" s="0" t="s">
        <v>1681</v>
      </c>
      <c r="F3630" s="0" t="s">
        <v>1681</v>
      </c>
    </row>
    <row r="3632" customFormat="false" ht="12.8" hidden="false" customHeight="false" outlineLevel="0" collapsed="false">
      <c r="A3632" s="0" t="s">
        <v>1682</v>
      </c>
      <c r="B3632" s="0" t="str">
        <f aca="false">HYPERLINK("https://lindat.mff.cuni.cz/services/teitok/pdtc10/index.php?action=vallex&amp;frame=v-w519f1", "dobývat se (v-w519f1)")</f>
        <v>dobývat se (v-w519f1)</v>
      </c>
    </row>
    <row r="3633" customFormat="false" ht="12.8" hidden="false" customHeight="false" outlineLevel="0" collapsed="false">
      <c r="B3633" s="0" t="s">
        <v>7</v>
      </c>
    </row>
    <row r="3634" customFormat="false" ht="12.8" hidden="false" customHeight="false" outlineLevel="0" collapsed="false">
      <c r="B3634" s="0" t="s">
        <v>124</v>
      </c>
    </row>
    <row r="3636" customFormat="false" ht="12.8" hidden="false" customHeight="false" outlineLevel="0" collapsed="false">
      <c r="A3636" s="0" t="s">
        <v>1683</v>
      </c>
      <c r="B3636" s="0" t="str">
        <f aca="false">HYPERLINK("https://lindat.mff.cuni.cz/services/teitok/pdtc10/index.php?action=vallex&amp;frame=v-w506f2", "doběhnout (v-w506f2)")</f>
        <v>doběhnout (v-w506f2)</v>
      </c>
    </row>
    <row r="3637" customFormat="false" ht="12.8" hidden="false" customHeight="false" outlineLevel="0" collapsed="false">
      <c r="B3637" s="0" t="s">
        <v>7</v>
      </c>
    </row>
    <row r="3638" customFormat="false" ht="12.8" hidden="false" customHeight="false" outlineLevel="0" collapsed="false">
      <c r="B3638" s="0" t="s">
        <v>14</v>
      </c>
    </row>
    <row r="3640" customFormat="false" ht="12.8" hidden="false" customHeight="false" outlineLevel="0" collapsed="false">
      <c r="A3640" s="0" t="s">
        <v>1684</v>
      </c>
      <c r="B3640" s="0" t="str">
        <f aca="false">HYPERLINK("https://lindat.mff.cuni.cz/services/teitok/pdtc10/index.php?action=vallex&amp;frame=v-w506f4", "doběhnout (v-w506f4)")</f>
        <v>doběhnout (v-w506f4)</v>
      </c>
    </row>
    <row r="3641" customFormat="false" ht="12.8" hidden="false" customHeight="false" outlineLevel="0" collapsed="false">
      <c r="B3641" s="0" t="s">
        <v>7</v>
      </c>
      <c r="C3641" s="0" t="s">
        <v>191</v>
      </c>
    </row>
    <row r="3642" customFormat="false" ht="12.8" hidden="false" customHeight="false" outlineLevel="0" collapsed="false">
      <c r="B3642" s="0" t="s">
        <v>1685</v>
      </c>
    </row>
    <row r="3644" customFormat="false" ht="12.8" hidden="false" customHeight="false" outlineLevel="0" collapsed="false">
      <c r="A3644" s="0" t="s">
        <v>1686</v>
      </c>
      <c r="B3644" s="0" t="str">
        <f aca="false">HYPERLINK("https://lindat.mff.cuni.cz/services/teitok/pdtc10/index.php?action=vallex&amp;frame=v-w506f3", "doběhnout (v-w506f3)")</f>
        <v>doběhnout (v-w506f3)</v>
      </c>
    </row>
    <row r="3645" customFormat="false" ht="12.8" hidden="false" customHeight="false" outlineLevel="0" collapsed="false">
      <c r="B3645" s="0" t="s">
        <v>7</v>
      </c>
    </row>
    <row r="3646" customFormat="false" ht="12.8" hidden="false" customHeight="false" outlineLevel="0" collapsed="false">
      <c r="B3646" s="0" t="s">
        <v>124</v>
      </c>
    </row>
    <row r="3648" customFormat="false" ht="12.8" hidden="false" customHeight="false" outlineLevel="0" collapsed="false">
      <c r="A3648" s="0" t="s">
        <v>1686</v>
      </c>
      <c r="B3648" s="0" t="str">
        <f aca="false">HYPERLINK("https://lindat.mff.cuni.cz/services/teitok/pdtc10/index.php?action=vallex&amp;frame=v-w506f1", "doběhnout (v-w506f1) - substituted with v-w506f3")</f>
        <v>doběhnout (v-w506f1) - substituted with v-w506f3</v>
      </c>
    </row>
    <row r="3649" customFormat="false" ht="12.8" hidden="false" customHeight="false" outlineLevel="0" collapsed="false">
      <c r="B3649" s="0" t="s">
        <v>7</v>
      </c>
    </row>
    <row r="3650" customFormat="false" ht="12.8" hidden="false" customHeight="false" outlineLevel="0" collapsed="false">
      <c r="B3650" s="0" t="s">
        <v>124</v>
      </c>
    </row>
    <row r="3652" customFormat="false" ht="12.8" hidden="false" customHeight="false" outlineLevel="0" collapsed="false">
      <c r="A3652" s="0" t="s">
        <v>1687</v>
      </c>
      <c r="B3652" s="0" t="str">
        <f aca="false">HYPERLINK("https://lindat.mff.cuni.cz/services/teitok/pdtc10/index.php?action=vallex&amp;frame=v-w506f5", "doběhnout (v-w506f5)")</f>
        <v>doběhnout (v-w506f5)</v>
      </c>
    </row>
    <row r="3653" customFormat="false" ht="12.8" hidden="false" customHeight="false" outlineLevel="0" collapsed="false">
      <c r="B3653" s="0" t="s">
        <v>7</v>
      </c>
      <c r="C3653" s="0" t="s">
        <v>1688</v>
      </c>
      <c r="D3653" s="0" t="s">
        <v>1689</v>
      </c>
      <c r="E3653" s="0" t="s">
        <v>1689</v>
      </c>
      <c r="F3653" s="0" t="s">
        <v>1689</v>
      </c>
    </row>
    <row r="3655" customFormat="false" ht="12.8" hidden="false" customHeight="false" outlineLevel="0" collapsed="false">
      <c r="A3655" s="0" t="s">
        <v>1690</v>
      </c>
      <c r="B3655" s="0" t="str">
        <f aca="false">HYPERLINK("https://lindat.mff.cuni.cz/services/teitok/pdtc10/index.php?action=vallex&amp;frame=v-w521f2_ZU", "docenit (v-w521f2_ZU)")</f>
        <v>docenit (v-w521f2_ZU)</v>
      </c>
    </row>
    <row r="3656" customFormat="false" ht="12.8" hidden="false" customHeight="false" outlineLevel="0" collapsed="false">
      <c r="B3656" s="0" t="s">
        <v>7</v>
      </c>
    </row>
    <row r="3657" customFormat="false" ht="12.8" hidden="false" customHeight="false" outlineLevel="0" collapsed="false">
      <c r="B3657" s="0" t="s">
        <v>1691</v>
      </c>
    </row>
    <row r="3659" customFormat="false" ht="12.8" hidden="false" customHeight="false" outlineLevel="0" collapsed="false">
      <c r="A3659" s="0" t="s">
        <v>1690</v>
      </c>
      <c r="B3659" s="0" t="str">
        <f aca="false">HYPERLINK("https://lindat.mff.cuni.cz/services/teitok/pdtc10/index.php?action=vallex&amp;frame=v-w521f1", "docenit (v-w521f1) - substituted with v-w521f2_ZU")</f>
        <v>docenit (v-w521f1) - substituted with v-w521f2_ZU</v>
      </c>
    </row>
    <row r="3660" customFormat="false" ht="12.8" hidden="false" customHeight="false" outlineLevel="0" collapsed="false">
      <c r="B3660" s="0" t="s">
        <v>7</v>
      </c>
    </row>
    <row r="3661" customFormat="false" ht="12.8" hidden="false" customHeight="false" outlineLevel="0" collapsed="false">
      <c r="B3661" s="0" t="s">
        <v>1691</v>
      </c>
    </row>
    <row r="3663" customFormat="false" ht="12.8" hidden="false" customHeight="false" outlineLevel="0" collapsed="false">
      <c r="A3663" s="0" t="s">
        <v>1690</v>
      </c>
      <c r="B3663" s="0" t="str">
        <f aca="false">HYPERLINK("https://lindat.mff.cuni.cz/services/teitok/pdtc10/index.php?action=vallex&amp;frame=v-w521hsa_187", "docenit (v-w521hsa_187) - substituted with v-w521f2_ZU")</f>
        <v>docenit (v-w521hsa_187) - substituted with v-w521f2_ZU</v>
      </c>
    </row>
    <row r="3664" customFormat="false" ht="12.8" hidden="false" customHeight="false" outlineLevel="0" collapsed="false">
      <c r="B3664" s="0" t="s">
        <v>7</v>
      </c>
    </row>
    <row r="3665" customFormat="false" ht="12.8" hidden="false" customHeight="false" outlineLevel="0" collapsed="false">
      <c r="B3665" s="0" t="s">
        <v>1691</v>
      </c>
    </row>
    <row r="3667" customFormat="false" ht="12.8" hidden="false" customHeight="false" outlineLevel="0" collapsed="false">
      <c r="A3667" s="0" t="s">
        <v>1692</v>
      </c>
      <c r="B3667" s="0" t="str">
        <f aca="false">HYPERLINK("https://lindat.mff.cuni.cz/services/teitok/pdtc10/index.php?action=vallex&amp;frame=v-w522f1", "doceňovat (v-w522f1)")</f>
        <v>doceňovat (v-w522f1)</v>
      </c>
    </row>
    <row r="3668" customFormat="false" ht="12.8" hidden="false" customHeight="false" outlineLevel="0" collapsed="false">
      <c r="B3668" s="0" t="s">
        <v>7</v>
      </c>
    </row>
    <row r="3669" customFormat="false" ht="12.8" hidden="false" customHeight="false" outlineLevel="0" collapsed="false">
      <c r="B3669" s="0" t="s">
        <v>1693</v>
      </c>
    </row>
    <row r="3671" customFormat="false" ht="12.8" hidden="false" customHeight="false" outlineLevel="0" collapsed="false">
      <c r="A3671" s="0" t="s">
        <v>1694</v>
      </c>
      <c r="B3671" s="0" t="str">
        <f aca="false">HYPERLINK("https://lindat.mff.cuni.cz/services/teitok/pdtc10/index.php?action=vallex&amp;frame=v-whsb_396hsa_397", "dochodit (v-whsb_396hsa_397)")</f>
        <v>dochodit (v-whsb_396hsa_397)</v>
      </c>
    </row>
    <row r="3672" customFormat="false" ht="12.8" hidden="false" customHeight="false" outlineLevel="0" collapsed="false">
      <c r="B3672" s="0" t="s">
        <v>7</v>
      </c>
    </row>
    <row r="3673" customFormat="false" ht="12.8" hidden="false" customHeight="false" outlineLevel="0" collapsed="false">
      <c r="B3673" s="0" t="s">
        <v>14</v>
      </c>
    </row>
    <row r="3675" customFormat="false" ht="12.8" hidden="false" customHeight="false" outlineLevel="0" collapsed="false">
      <c r="A3675" s="0" t="s">
        <v>1695</v>
      </c>
      <c r="B3675" s="0" t="str">
        <f aca="false">HYPERLINK("https://lindat.mff.cuni.cz/services/teitok/pdtc10/index.php?action=vallex&amp;frame=v-w11816_ZUf1_ZU", "dochovat (v-w11816_ZUf1_ZU)")</f>
        <v>dochovat (v-w11816_ZUf1_ZU)</v>
      </c>
    </row>
    <row r="3676" customFormat="false" ht="12.8" hidden="false" customHeight="false" outlineLevel="0" collapsed="false">
      <c r="B3676" s="0" t="s">
        <v>7</v>
      </c>
    </row>
    <row r="3677" customFormat="false" ht="12.8" hidden="false" customHeight="false" outlineLevel="0" collapsed="false">
      <c r="B3677" s="0" t="s">
        <v>14</v>
      </c>
    </row>
    <row r="3679" customFormat="false" ht="12.8" hidden="false" customHeight="false" outlineLevel="0" collapsed="false">
      <c r="A3679" s="0" t="s">
        <v>1696</v>
      </c>
      <c r="B3679" s="0" t="str">
        <f aca="false">HYPERLINK("https://lindat.mff.cuni.cz/services/teitok/pdtc10/index.php?action=vallex&amp;frame=v-w570f1", "dochovat se (v-w570f1)")</f>
        <v>dochovat se (v-w570f1)</v>
      </c>
    </row>
    <row r="3680" customFormat="false" ht="12.8" hidden="false" customHeight="false" outlineLevel="0" collapsed="false">
      <c r="B3680" s="0" t="s">
        <v>7</v>
      </c>
    </row>
    <row r="3682" customFormat="false" ht="12.8" hidden="false" customHeight="false" outlineLevel="0" collapsed="false">
      <c r="A3682" s="0" t="s">
        <v>1697</v>
      </c>
      <c r="B3682" s="0" t="str">
        <f aca="false">HYPERLINK("https://lindat.mff.cuni.cz/services/teitok/pdtc10/index.php?action=vallex&amp;frame=v-w571f1", "dochytat (v-w571f1)")</f>
        <v>dochytat (v-w571f1)</v>
      </c>
    </row>
    <row r="3683" customFormat="false" ht="12.8" hidden="false" customHeight="false" outlineLevel="0" collapsed="false">
      <c r="B3683" s="0" t="s">
        <v>7</v>
      </c>
    </row>
    <row r="3684" customFormat="false" ht="12.8" hidden="false" customHeight="false" outlineLevel="0" collapsed="false">
      <c r="B3684" s="0" t="s">
        <v>14</v>
      </c>
    </row>
    <row r="3686" customFormat="false" ht="12.8" hidden="false" customHeight="false" outlineLevel="0" collapsed="false">
      <c r="A3686" s="0" t="s">
        <v>1698</v>
      </c>
      <c r="B3686" s="0" t="str">
        <f aca="false">HYPERLINK("https://lindat.mff.cuni.cz/services/teitok/pdtc10/index.php?action=vallex&amp;frame=v-w568f11_ZU", "docházet (v-w568f11_ZU)")</f>
        <v>docházet (v-w568f11_ZU)</v>
      </c>
    </row>
    <row r="3687" customFormat="false" ht="12.8" hidden="false" customHeight="false" outlineLevel="0" collapsed="false">
      <c r="B3687" s="0" t="s">
        <v>7</v>
      </c>
    </row>
    <row r="3688" customFormat="false" ht="12.8" hidden="false" customHeight="false" outlineLevel="0" collapsed="false">
      <c r="B3688" s="0" t="s">
        <v>142</v>
      </c>
    </row>
    <row r="3690" customFormat="false" ht="12.8" hidden="false" customHeight="false" outlineLevel="0" collapsed="false">
      <c r="A3690" s="0" t="s">
        <v>1698</v>
      </c>
      <c r="B3690" s="0" t="str">
        <f aca="false">HYPERLINK("https://lindat.mff.cuni.cz/services/teitok/pdtc10/index.php?action=vallex&amp;frame=v-w568f10_ZU", "docházet (v-w568f10_ZU) - substituted with v-w568f11_ZU")</f>
        <v>docházet (v-w568f10_ZU) - substituted with v-w568f11_ZU</v>
      </c>
    </row>
    <row r="3691" customFormat="false" ht="12.8" hidden="false" customHeight="false" outlineLevel="0" collapsed="false">
      <c r="B3691" s="0" t="s">
        <v>7</v>
      </c>
    </row>
    <row r="3692" customFormat="false" ht="12.8" hidden="false" customHeight="false" outlineLevel="0" collapsed="false">
      <c r="B3692" s="0" t="s">
        <v>142</v>
      </c>
    </row>
    <row r="3694" customFormat="false" ht="12.8" hidden="false" customHeight="false" outlineLevel="0" collapsed="false">
      <c r="A3694" s="0" t="s">
        <v>1698</v>
      </c>
      <c r="B3694" s="0" t="str">
        <f aca="false">HYPERLINK("https://lindat.mff.cuni.cz/services/teitok/pdtc10/index.php?action=vallex&amp;frame=v-w568f4", "docházet (v-w568f4) - substituted with v-w568f11_ZU")</f>
        <v>docházet (v-w568f4) - substituted with v-w568f11_ZU</v>
      </c>
    </row>
    <row r="3695" customFormat="false" ht="12.8" hidden="false" customHeight="false" outlineLevel="0" collapsed="false">
      <c r="B3695" s="0" t="s">
        <v>7</v>
      </c>
    </row>
    <row r="3696" customFormat="false" ht="12.8" hidden="false" customHeight="false" outlineLevel="0" collapsed="false">
      <c r="B3696" s="0" t="s">
        <v>142</v>
      </c>
    </row>
    <row r="3698" customFormat="false" ht="12.8" hidden="false" customHeight="false" outlineLevel="0" collapsed="false">
      <c r="A3698" s="0" t="s">
        <v>1699</v>
      </c>
      <c r="B3698" s="0" t="str">
        <f aca="false">HYPERLINK("https://lindat.mff.cuni.cz/services/teitok/pdtc10/index.php?action=vallex&amp;frame=v-w568f3", "docházet (v-w568f3)")</f>
        <v>docházet (v-w568f3)</v>
      </c>
    </row>
    <row r="3699" customFormat="false" ht="12.8" hidden="false" customHeight="false" outlineLevel="0" collapsed="false">
      <c r="B3699" s="0" t="s">
        <v>7</v>
      </c>
      <c r="C3699" s="0" t="s">
        <v>272</v>
      </c>
      <c r="D3699" s="0" t="s">
        <v>1700</v>
      </c>
      <c r="E3699" s="0" t="s">
        <v>1700</v>
      </c>
      <c r="F3699" s="0" t="s">
        <v>1700</v>
      </c>
    </row>
    <row r="3700" customFormat="false" ht="12.8" hidden="false" customHeight="false" outlineLevel="0" collapsed="false">
      <c r="B3700" s="0" t="s">
        <v>237</v>
      </c>
      <c r="D3700" s="0" t="s">
        <v>1164</v>
      </c>
      <c r="E3700" s="0" t="s">
        <v>1164</v>
      </c>
      <c r="F3700" s="0" t="s">
        <v>1164</v>
      </c>
    </row>
    <row r="3702" customFormat="false" ht="12.8" hidden="false" customHeight="false" outlineLevel="0" collapsed="false">
      <c r="A3702" s="0" t="s">
        <v>1701</v>
      </c>
      <c r="B3702" s="0" t="str">
        <f aca="false">HYPERLINK("https://lindat.mff.cuni.cz/services/teitok/pdtc10/index.php?action=vallex&amp;frame=v-w568f6", "docházet (v-w568f6)")</f>
        <v>docházet (v-w568f6)</v>
      </c>
    </row>
    <row r="3703" customFormat="false" ht="12.8" hidden="false" customHeight="false" outlineLevel="0" collapsed="false">
      <c r="B3703" s="0" t="s">
        <v>603</v>
      </c>
      <c r="C3703" s="0" t="s">
        <v>1702</v>
      </c>
    </row>
    <row r="3704" customFormat="false" ht="12.8" hidden="false" customHeight="false" outlineLevel="0" collapsed="false">
      <c r="B3704" s="0" t="s">
        <v>1703</v>
      </c>
      <c r="C3704" s="0" t="s">
        <v>47</v>
      </c>
    </row>
    <row r="3706" customFormat="false" ht="12.8" hidden="false" customHeight="false" outlineLevel="0" collapsed="false">
      <c r="A3706" s="0" t="s">
        <v>1704</v>
      </c>
      <c r="B3706" s="0" t="str">
        <f aca="false">HYPERLINK("https://lindat.mff.cuni.cz/services/teitok/pdtc10/index.php?action=vallex&amp;frame=v-w568f2", "docházet (v-w568f2)")</f>
        <v>docházet (v-w568f2)</v>
      </c>
    </row>
    <row r="3707" customFormat="false" ht="12.8" hidden="false" customHeight="false" outlineLevel="0" collapsed="false">
      <c r="B3707" s="0" t="s">
        <v>7</v>
      </c>
      <c r="D3707" s="0" t="s">
        <v>1705</v>
      </c>
      <c r="E3707" s="0" t="s">
        <v>1706</v>
      </c>
      <c r="F3707" s="0" t="s">
        <v>1706</v>
      </c>
    </row>
    <row r="3708" customFormat="false" ht="12.8" hidden="false" customHeight="false" outlineLevel="0" collapsed="false">
      <c r="B3708" s="0" t="s">
        <v>124</v>
      </c>
      <c r="D3708" s="0" t="s">
        <v>1707</v>
      </c>
      <c r="E3708" s="0" t="s">
        <v>1707</v>
      </c>
      <c r="F3708" s="0" t="s">
        <v>1707</v>
      </c>
    </row>
    <row r="3710" customFormat="false" ht="12.8" hidden="false" customHeight="false" outlineLevel="0" collapsed="false">
      <c r="A3710" s="0" t="s">
        <v>1708</v>
      </c>
      <c r="B3710" s="0" t="str">
        <f aca="false">HYPERLINK("https://lindat.mff.cuni.cz/services/teitok/pdtc10/index.php?action=vallex&amp;frame=v-w568f12_ZU", "docházet (v-w568f12_ZU)")</f>
        <v>docházet (v-w568f12_ZU)</v>
      </c>
    </row>
    <row r="3711" customFormat="false" ht="12.8" hidden="false" customHeight="false" outlineLevel="0" collapsed="false">
      <c r="B3711" s="0" t="s">
        <v>7</v>
      </c>
    </row>
    <row r="3712" customFormat="false" ht="12.8" hidden="false" customHeight="false" outlineLevel="0" collapsed="false">
      <c r="B3712" s="0" t="s">
        <v>124</v>
      </c>
    </row>
    <row r="3714" customFormat="false" ht="12.8" hidden="false" customHeight="false" outlineLevel="0" collapsed="false">
      <c r="A3714" s="0" t="s">
        <v>1708</v>
      </c>
      <c r="B3714" s="0" t="str">
        <f aca="false">HYPERLINK("https://lindat.mff.cuni.cz/services/teitok/pdtc10/index.php?action=vallex&amp;frame=v-w568f5", "docházet (v-w568f5) - substituted with v-w568f12_ZU")</f>
        <v>docházet (v-w568f5) - substituted with v-w568f12_ZU</v>
      </c>
    </row>
    <row r="3715" customFormat="false" ht="12.8" hidden="false" customHeight="false" outlineLevel="0" collapsed="false">
      <c r="B3715" s="0" t="s">
        <v>7</v>
      </c>
      <c r="D3715" s="0" t="s">
        <v>1705</v>
      </c>
      <c r="E3715" s="0" t="s">
        <v>1706</v>
      </c>
      <c r="F3715" s="0" t="s">
        <v>1706</v>
      </c>
    </row>
    <row r="3716" customFormat="false" ht="12.8" hidden="false" customHeight="false" outlineLevel="0" collapsed="false">
      <c r="B3716" s="0" t="s">
        <v>124</v>
      </c>
      <c r="D3716" s="0" t="s">
        <v>1707</v>
      </c>
      <c r="E3716" s="0" t="s">
        <v>1707</v>
      </c>
      <c r="F3716" s="0" t="s">
        <v>1707</v>
      </c>
    </row>
    <row r="3718" customFormat="false" ht="12.8" hidden="false" customHeight="false" outlineLevel="0" collapsed="false">
      <c r="A3718" s="0" t="s">
        <v>1709</v>
      </c>
      <c r="B3718" s="0" t="str">
        <f aca="false">HYPERLINK("https://lindat.mff.cuni.cz/services/teitok/pdtc10/index.php?action=vallex&amp;frame=v-w568f7", "docházet (v-w568f7)")</f>
        <v>docházet (v-w568f7)</v>
      </c>
    </row>
    <row r="3719" customFormat="false" ht="12.8" hidden="false" customHeight="false" outlineLevel="0" collapsed="false">
      <c r="B3719" s="0" t="s">
        <v>7</v>
      </c>
      <c r="C3719" s="0" t="s">
        <v>1710</v>
      </c>
      <c r="D3719" s="0" t="s">
        <v>708</v>
      </c>
      <c r="E3719" s="0" t="s">
        <v>708</v>
      </c>
      <c r="F3719" s="0" t="s">
        <v>708</v>
      </c>
    </row>
    <row r="3721" customFormat="false" ht="12.8" hidden="false" customHeight="false" outlineLevel="0" collapsed="false">
      <c r="A3721" s="0" t="s">
        <v>1711</v>
      </c>
      <c r="B3721" s="0" t="str">
        <f aca="false">HYPERLINK("https://lindat.mff.cuni.cz/services/teitok/pdtc10/index.php?action=vallex&amp;frame=v-w568f9", "docházet (v-w568f9)")</f>
        <v>docházet (v-w568f9)</v>
      </c>
    </row>
    <row r="3722" customFormat="false" ht="12.8" hidden="false" customHeight="false" outlineLevel="0" collapsed="false">
      <c r="B3722" s="0" t="s">
        <v>7</v>
      </c>
    </row>
    <row r="3724" customFormat="false" ht="12.8" hidden="false" customHeight="false" outlineLevel="0" collapsed="false">
      <c r="A3724" s="0" t="s">
        <v>1712</v>
      </c>
      <c r="B3724" s="0" t="str">
        <f aca="false">HYPERLINK("https://lindat.mff.cuni.cz/services/teitok/pdtc10/index.php?action=vallex&amp;frame=v-w568f1", "docházet (v-w568f1)")</f>
        <v>docházet (v-w568f1)</v>
      </c>
    </row>
    <row r="3725" customFormat="false" ht="12.8" hidden="false" customHeight="false" outlineLevel="0" collapsed="false">
      <c r="B3725" s="0" t="s">
        <v>1713</v>
      </c>
      <c r="C3725" s="0" t="s">
        <v>1714</v>
      </c>
      <c r="D3725" s="0" t="s">
        <v>1715</v>
      </c>
      <c r="E3725" s="0" t="s">
        <v>1716</v>
      </c>
      <c r="F3725" s="0" t="s">
        <v>1716</v>
      </c>
    </row>
    <row r="3727" customFormat="false" ht="12.8" hidden="false" customHeight="false" outlineLevel="0" collapsed="false">
      <c r="A3727" s="0" t="s">
        <v>1717</v>
      </c>
      <c r="B3727" s="0" t="str">
        <f aca="false">HYPERLINK("https://lindat.mff.cuni.cz/services/teitok/pdtc10/index.php?action=vallex&amp;frame=v-w568f8", "docházet (v-w568f8)")</f>
        <v>docházet (v-w568f8)</v>
      </c>
    </row>
    <row r="3728" customFormat="false" ht="12.8" hidden="false" customHeight="false" outlineLevel="0" collapsed="false">
      <c r="B3728" s="0" t="s">
        <v>929</v>
      </c>
      <c r="D3728" s="0" t="s">
        <v>288</v>
      </c>
      <c r="E3728" s="0" t="s">
        <v>288</v>
      </c>
      <c r="F3728" s="0" t="s">
        <v>288</v>
      </c>
    </row>
    <row r="3730" customFormat="false" ht="12.8" hidden="false" customHeight="false" outlineLevel="0" collapsed="false">
      <c r="A3730" s="0" t="s">
        <v>1718</v>
      </c>
      <c r="B3730" s="0" t="str">
        <f aca="false">HYPERLINK("https://lindat.mff.cuni.cz/services/teitok/pdtc10/index.php?action=vallex&amp;frame=v-w524f1", "docilovat (v-w524f1)")</f>
        <v>docilovat (v-w524f1)</v>
      </c>
    </row>
    <row r="3731" customFormat="false" ht="12.8" hidden="false" customHeight="false" outlineLevel="0" collapsed="false">
      <c r="B3731" s="0" t="s">
        <v>7</v>
      </c>
      <c r="D3731" s="0" t="s">
        <v>1719</v>
      </c>
      <c r="E3731" s="0" t="s">
        <v>1719</v>
      </c>
      <c r="F3731" s="0" t="s">
        <v>1719</v>
      </c>
    </row>
    <row r="3732" customFormat="false" ht="12.8" hidden="false" customHeight="false" outlineLevel="0" collapsed="false">
      <c r="B3732" s="0" t="s">
        <v>1145</v>
      </c>
      <c r="C3732" s="0" t="s">
        <v>1720</v>
      </c>
      <c r="D3732" s="0" t="s">
        <v>1721</v>
      </c>
      <c r="E3732" s="0" t="s">
        <v>1721</v>
      </c>
      <c r="F3732" s="0" t="s">
        <v>1721</v>
      </c>
    </row>
    <row r="3734" customFormat="false" ht="12.8" hidden="false" customHeight="false" outlineLevel="0" collapsed="false">
      <c r="A3734" s="0" t="s">
        <v>1722</v>
      </c>
      <c r="B3734" s="0" t="str">
        <f aca="false">HYPERLINK("https://lindat.mff.cuni.cz/services/teitok/pdtc10/index.php?action=vallex&amp;frame=v-whsb_936hsa_937", "docvičit (v-whsb_936hsa_937)")</f>
        <v>docvičit (v-whsb_936hsa_937)</v>
      </c>
    </row>
    <row r="3735" customFormat="false" ht="12.8" hidden="false" customHeight="false" outlineLevel="0" collapsed="false">
      <c r="B3735" s="0" t="s">
        <v>7</v>
      </c>
    </row>
    <row r="3736" customFormat="false" ht="12.8" hidden="false" customHeight="false" outlineLevel="0" collapsed="false">
      <c r="B3736" s="0" t="s">
        <v>297</v>
      </c>
    </row>
    <row r="3738" customFormat="false" ht="12.8" hidden="false" customHeight="false" outlineLevel="0" collapsed="false">
      <c r="A3738" s="0" t="s">
        <v>1723</v>
      </c>
      <c r="B3738" s="0" t="str">
        <f aca="false">HYPERLINK("https://lindat.mff.cuni.cz/services/teitok/pdtc10/index.php?action=vallex&amp;frame=v-w523f1", "docílit (v-w523f1)")</f>
        <v>docílit (v-w523f1)</v>
      </c>
    </row>
    <row r="3739" customFormat="false" ht="12.8" hidden="false" customHeight="false" outlineLevel="0" collapsed="false">
      <c r="B3739" s="0" t="s">
        <v>7</v>
      </c>
      <c r="C3739" s="0" t="s">
        <v>1724</v>
      </c>
      <c r="D3739" s="0" t="s">
        <v>1725</v>
      </c>
      <c r="E3739" s="0" t="s">
        <v>1725</v>
      </c>
      <c r="F3739" s="0" t="s">
        <v>1725</v>
      </c>
    </row>
    <row r="3740" customFormat="false" ht="12.8" hidden="false" customHeight="false" outlineLevel="0" collapsed="false">
      <c r="B3740" s="0" t="s">
        <v>1726</v>
      </c>
      <c r="C3740" s="0" t="s">
        <v>1727</v>
      </c>
      <c r="D3740" s="0" t="s">
        <v>1728</v>
      </c>
      <c r="E3740" s="0" t="s">
        <v>1728</v>
      </c>
      <c r="F3740" s="0" t="s">
        <v>1728</v>
      </c>
    </row>
    <row r="3741" customFormat="false" ht="12.8" hidden="false" customHeight="false" outlineLevel="0" collapsed="false">
      <c r="B3741" s="0" t="s">
        <v>1668</v>
      </c>
      <c r="C3741" s="0" t="s">
        <v>1729</v>
      </c>
      <c r="D3741" s="0" t="s">
        <v>1730</v>
      </c>
      <c r="E3741" s="0" t="s">
        <v>1730</v>
      </c>
      <c r="F3741" s="0" t="s">
        <v>1730</v>
      </c>
    </row>
    <row r="3743" customFormat="false" ht="12.8" hidden="false" customHeight="false" outlineLevel="0" collapsed="false">
      <c r="A3743" s="0" t="s">
        <v>1731</v>
      </c>
      <c r="B3743" s="0" t="str">
        <f aca="false">HYPERLINK("https://lindat.mff.cuni.cz/services/teitok/pdtc10/index.php?action=vallex&amp;frame=v-w523f2", "docílit (v-w523f2)")</f>
        <v>docílit (v-w523f2)</v>
      </c>
    </row>
    <row r="3744" customFormat="false" ht="12.8" hidden="false" customHeight="false" outlineLevel="0" collapsed="false">
      <c r="B3744" s="0" t="s">
        <v>7</v>
      </c>
      <c r="C3744" s="0" t="s">
        <v>1732</v>
      </c>
      <c r="D3744" s="0" t="s">
        <v>1719</v>
      </c>
      <c r="E3744" s="0" t="s">
        <v>1719</v>
      </c>
      <c r="F3744" s="0" t="s">
        <v>1719</v>
      </c>
    </row>
    <row r="3745" customFormat="false" ht="12.8" hidden="false" customHeight="false" outlineLevel="0" collapsed="false">
      <c r="B3745" s="0" t="s">
        <v>1087</v>
      </c>
      <c r="C3745" s="0" t="s">
        <v>1733</v>
      </c>
      <c r="D3745" s="0" t="s">
        <v>1721</v>
      </c>
      <c r="E3745" s="0" t="s">
        <v>1721</v>
      </c>
      <c r="F3745" s="0" t="s">
        <v>1721</v>
      </c>
    </row>
    <row r="3747" customFormat="false" ht="12.8" hidden="false" customHeight="false" outlineLevel="0" collapsed="false">
      <c r="A3747" s="0" t="s">
        <v>1734</v>
      </c>
      <c r="B3747" s="0" t="str">
        <f aca="false">HYPERLINK("https://lindat.mff.cuni.cz/services/teitok/pdtc10/index.php?action=vallex&amp;frame=v-w523f3", "docílit (v-w523f3)")</f>
        <v>docílit (v-w523f3)</v>
      </c>
    </row>
    <row r="3748" customFormat="false" ht="12.8" hidden="false" customHeight="false" outlineLevel="0" collapsed="false">
      <c r="B3748" s="0" t="s">
        <v>7</v>
      </c>
      <c r="D3748" s="0" t="s">
        <v>1719</v>
      </c>
      <c r="E3748" s="0" t="s">
        <v>1719</v>
      </c>
      <c r="F3748" s="0" t="s">
        <v>1719</v>
      </c>
    </row>
    <row r="3749" customFormat="false" ht="12.8" hidden="false" customHeight="false" outlineLevel="0" collapsed="false">
      <c r="B3749" s="0" t="s">
        <v>1735</v>
      </c>
      <c r="D3749" s="0" t="s">
        <v>1736</v>
      </c>
      <c r="E3749" s="0" t="s">
        <v>1736</v>
      </c>
      <c r="F3749" s="0" t="s">
        <v>1736</v>
      </c>
    </row>
    <row r="3751" customFormat="false" ht="12.8" hidden="false" customHeight="false" outlineLevel="0" collapsed="false">
      <c r="A3751" s="0" t="s">
        <v>1737</v>
      </c>
      <c r="B3751" s="0" t="str">
        <f aca="false">HYPERLINK("https://lindat.mff.cuni.cz/services/teitok/pdtc10/index.php?action=vallex&amp;frame=v-w529f1", "dodanit (v-w529f1)")</f>
        <v>dodanit (v-w529f1)</v>
      </c>
    </row>
    <row r="3752" customFormat="false" ht="12.8" hidden="false" customHeight="false" outlineLevel="0" collapsed="false">
      <c r="B3752" s="0" t="s">
        <v>7</v>
      </c>
    </row>
    <row r="3753" customFormat="false" ht="12.8" hidden="false" customHeight="false" outlineLevel="0" collapsed="false">
      <c r="B3753" s="0" t="s">
        <v>14</v>
      </c>
    </row>
    <row r="3755" customFormat="false" ht="12.8" hidden="false" customHeight="false" outlineLevel="0" collapsed="false">
      <c r="A3755" s="0" t="s">
        <v>1738</v>
      </c>
      <c r="B3755" s="0" t="str">
        <f aca="false">HYPERLINK("https://lindat.mff.cuni.cz/services/teitok/pdtc10/index.php?action=vallex&amp;frame=v-w531f4", "dodat (v-w531f4)")</f>
        <v>dodat (v-w531f4)</v>
      </c>
    </row>
    <row r="3756" customFormat="false" ht="12.8" hidden="false" customHeight="false" outlineLevel="0" collapsed="false">
      <c r="B3756" s="0" t="s">
        <v>7</v>
      </c>
      <c r="C3756" s="0" t="s">
        <v>1739</v>
      </c>
      <c r="D3756" s="0" t="s">
        <v>1740</v>
      </c>
      <c r="E3756" s="0" t="s">
        <v>1740</v>
      </c>
      <c r="F3756" s="0" t="s">
        <v>1740</v>
      </c>
    </row>
    <row r="3757" customFormat="false" ht="12.8" hidden="false" customHeight="false" outlineLevel="0" collapsed="false">
      <c r="B3757" s="0" t="s">
        <v>1741</v>
      </c>
      <c r="C3757" s="0" t="s">
        <v>1742</v>
      </c>
      <c r="D3757" s="0" t="s">
        <v>1743</v>
      </c>
      <c r="E3757" s="0" t="s">
        <v>1743</v>
      </c>
      <c r="F3757" s="0" t="s">
        <v>1743</v>
      </c>
    </row>
    <row r="3758" customFormat="false" ht="12.8" hidden="false" customHeight="false" outlineLevel="0" collapsed="false">
      <c r="B3758" s="0" t="s">
        <v>48</v>
      </c>
      <c r="C3758" s="0" t="s">
        <v>1744</v>
      </c>
    </row>
    <row r="3760" customFormat="false" ht="12.8" hidden="false" customHeight="false" outlineLevel="0" collapsed="false">
      <c r="A3760" s="0" t="s">
        <v>1745</v>
      </c>
      <c r="B3760" s="0" t="str">
        <f aca="false">HYPERLINK("https://lindat.mff.cuni.cz/services/teitok/pdtc10/index.php?action=vallex&amp;frame=v-w531f3", "dodat (v-w531f3)")</f>
        <v>dodat (v-w531f3)</v>
      </c>
    </row>
    <row r="3761" customFormat="false" ht="12.8" hidden="false" customHeight="false" outlineLevel="0" collapsed="false">
      <c r="B3761" s="0" t="s">
        <v>7</v>
      </c>
      <c r="C3761" s="0" t="s">
        <v>1746</v>
      </c>
      <c r="D3761" s="0" t="s">
        <v>1747</v>
      </c>
      <c r="E3761" s="0" t="s">
        <v>1747</v>
      </c>
      <c r="F3761" s="0" t="s">
        <v>1747</v>
      </c>
    </row>
    <row r="3762" customFormat="false" ht="12.8" hidden="false" customHeight="false" outlineLevel="0" collapsed="false">
      <c r="B3762" s="0" t="s">
        <v>14</v>
      </c>
      <c r="C3762" s="0" t="s">
        <v>1748</v>
      </c>
      <c r="D3762" s="0" t="s">
        <v>1749</v>
      </c>
      <c r="E3762" s="0" t="s">
        <v>1749</v>
      </c>
      <c r="F3762" s="0" t="s">
        <v>1749</v>
      </c>
    </row>
    <row r="3763" customFormat="false" ht="12.8" hidden="false" customHeight="false" outlineLevel="0" collapsed="false">
      <c r="B3763" s="0" t="s">
        <v>48</v>
      </c>
      <c r="C3763" s="0" t="s">
        <v>1750</v>
      </c>
      <c r="D3763" s="0" t="s">
        <v>1751</v>
      </c>
      <c r="E3763" s="0" t="s">
        <v>1751</v>
      </c>
      <c r="F3763" s="0" t="s">
        <v>1751</v>
      </c>
    </row>
    <row r="3765" customFormat="false" ht="12.8" hidden="false" customHeight="false" outlineLevel="0" collapsed="false">
      <c r="A3765" s="0" t="s">
        <v>1752</v>
      </c>
      <c r="B3765" s="0" t="str">
        <f aca="false">HYPERLINK("https://lindat.mff.cuni.cz/services/teitok/pdtc10/index.php?action=vallex&amp;frame=v-w531f5_ZU", "dodat (v-w531f5_ZU)")</f>
        <v>dodat (v-w531f5_ZU)</v>
      </c>
    </row>
    <row r="3766" customFormat="false" ht="12.8" hidden="false" customHeight="false" outlineLevel="0" collapsed="false">
      <c r="B3766" s="0" t="s">
        <v>7</v>
      </c>
      <c r="C3766" s="0" t="s">
        <v>1753</v>
      </c>
    </row>
    <row r="3767" customFormat="false" ht="12.8" hidden="false" customHeight="false" outlineLevel="0" collapsed="false">
      <c r="B3767" s="0" t="s">
        <v>14</v>
      </c>
      <c r="C3767" s="0" t="s">
        <v>1754</v>
      </c>
    </row>
    <row r="3768" customFormat="false" ht="12.8" hidden="false" customHeight="false" outlineLevel="0" collapsed="false">
      <c r="B3768" s="0" t="s">
        <v>1755</v>
      </c>
      <c r="C3768" s="0" t="s">
        <v>1756</v>
      </c>
    </row>
    <row r="3770" customFormat="false" ht="12.8" hidden="false" customHeight="false" outlineLevel="0" collapsed="false">
      <c r="A3770" s="0" t="s">
        <v>1757</v>
      </c>
      <c r="B3770" s="0" t="str">
        <f aca="false">HYPERLINK("https://lindat.mff.cuni.cz/services/teitok/pdtc10/index.php?action=vallex&amp;frame=v-w531f2", "dodat (v-w531f2)")</f>
        <v>dodat (v-w531f2)</v>
      </c>
    </row>
    <row r="3771" customFormat="false" ht="12.8" hidden="false" customHeight="false" outlineLevel="0" collapsed="false">
      <c r="B3771" s="0" t="s">
        <v>7</v>
      </c>
      <c r="C3771" s="0" t="s">
        <v>1447</v>
      </c>
      <c r="D3771" s="0" t="s">
        <v>1758</v>
      </c>
      <c r="E3771" s="0" t="s">
        <v>1758</v>
      </c>
      <c r="F3771" s="0" t="s">
        <v>1758</v>
      </c>
    </row>
    <row r="3772" customFormat="false" ht="12.8" hidden="false" customHeight="false" outlineLevel="0" collapsed="false">
      <c r="B3772" s="0" t="s">
        <v>14</v>
      </c>
      <c r="C3772" s="0" t="s">
        <v>1759</v>
      </c>
      <c r="D3772" s="0" t="s">
        <v>1760</v>
      </c>
      <c r="E3772" s="0" t="s">
        <v>1760</v>
      </c>
      <c r="F3772" s="0" t="s">
        <v>1760</v>
      </c>
    </row>
    <row r="3773" customFormat="false" ht="12.8" hidden="false" customHeight="false" outlineLevel="0" collapsed="false">
      <c r="B3773" s="0" t="s">
        <v>124</v>
      </c>
      <c r="C3773" s="0" t="s">
        <v>1761</v>
      </c>
      <c r="D3773" s="0" t="s">
        <v>1761</v>
      </c>
      <c r="E3773" s="0" t="s">
        <v>1761</v>
      </c>
      <c r="F3773" s="0" t="s">
        <v>1761</v>
      </c>
    </row>
    <row r="3775" customFormat="false" ht="12.8" hidden="false" customHeight="false" outlineLevel="0" collapsed="false">
      <c r="A3775" s="0" t="s">
        <v>1762</v>
      </c>
      <c r="B3775" s="0" t="str">
        <f aca="false">HYPERLINK("https://lindat.mff.cuni.cz/services/teitok/pdtc10/index.php?action=vallex&amp;frame=v-w531f1", "dodat (v-w531f1)")</f>
        <v>dodat (v-w531f1)</v>
      </c>
    </row>
    <row r="3776" customFormat="false" ht="12.8" hidden="false" customHeight="false" outlineLevel="0" collapsed="false">
      <c r="B3776" s="0" t="s">
        <v>7</v>
      </c>
      <c r="C3776" s="0" t="s">
        <v>1763</v>
      </c>
      <c r="D3776" s="0" t="s">
        <v>164</v>
      </c>
      <c r="E3776" s="0" t="s">
        <v>164</v>
      </c>
      <c r="F3776" s="0" t="s">
        <v>164</v>
      </c>
    </row>
    <row r="3777" customFormat="false" ht="12.8" hidden="false" customHeight="false" outlineLevel="0" collapsed="false">
      <c r="B3777" s="0" t="s">
        <v>1764</v>
      </c>
      <c r="C3777" s="0" t="s">
        <v>1765</v>
      </c>
      <c r="D3777" s="0" t="s">
        <v>1766</v>
      </c>
      <c r="E3777" s="0" t="s">
        <v>1766</v>
      </c>
      <c r="F3777" s="0" t="s">
        <v>1766</v>
      </c>
    </row>
    <row r="3778" customFormat="false" ht="12.8" hidden="false" customHeight="false" outlineLevel="0" collapsed="false">
      <c r="B3778" s="0" t="s">
        <v>1767</v>
      </c>
      <c r="C3778" s="0" t="s">
        <v>1768</v>
      </c>
      <c r="D3778" s="0" t="s">
        <v>167</v>
      </c>
      <c r="E3778" s="0" t="s">
        <v>167</v>
      </c>
      <c r="F3778" s="0" t="s">
        <v>167</v>
      </c>
    </row>
    <row r="3780" customFormat="false" ht="12.8" hidden="false" customHeight="false" outlineLevel="0" collapsed="false">
      <c r="A3780" s="0" t="s">
        <v>1769</v>
      </c>
      <c r="B3780" s="0" t="str">
        <f aca="false">HYPERLINK("https://lindat.mff.cuni.cz/services/teitok/pdtc10/index.php?action=vallex&amp;frame=v-w541f1", "dodržet (v-w541f1)")</f>
        <v>dodržet (v-w541f1)</v>
      </c>
    </row>
    <row r="3781" customFormat="false" ht="12.8" hidden="false" customHeight="false" outlineLevel="0" collapsed="false">
      <c r="B3781" s="0" t="s">
        <v>7</v>
      </c>
      <c r="C3781" s="0" t="s">
        <v>1770</v>
      </c>
      <c r="D3781" s="0" t="s">
        <v>1771</v>
      </c>
      <c r="E3781" s="0" t="s">
        <v>1771</v>
      </c>
      <c r="F3781" s="0" t="s">
        <v>1771</v>
      </c>
    </row>
    <row r="3782" customFormat="false" ht="12.8" hidden="false" customHeight="false" outlineLevel="0" collapsed="false">
      <c r="B3782" s="0" t="s">
        <v>232</v>
      </c>
      <c r="C3782" s="0" t="s">
        <v>1772</v>
      </c>
      <c r="D3782" s="0" t="s">
        <v>1773</v>
      </c>
      <c r="E3782" s="0" t="s">
        <v>1773</v>
      </c>
      <c r="F3782" s="0" t="s">
        <v>1773</v>
      </c>
    </row>
    <row r="3784" customFormat="false" ht="12.8" hidden="false" customHeight="false" outlineLevel="0" collapsed="false">
      <c r="A3784" s="0" t="s">
        <v>1774</v>
      </c>
      <c r="B3784" s="0" t="str">
        <f aca="false">HYPERLINK("https://lindat.mff.cuni.cz/services/teitok/pdtc10/index.php?action=vallex&amp;frame=v-w544f2", "dodržovat (v-w544f2)")</f>
        <v>dodržovat (v-w544f2)</v>
      </c>
    </row>
    <row r="3785" customFormat="false" ht="12.8" hidden="false" customHeight="false" outlineLevel="0" collapsed="false">
      <c r="B3785" s="0" t="s">
        <v>7</v>
      </c>
      <c r="C3785" s="0" t="s">
        <v>1775</v>
      </c>
      <c r="D3785" s="0" t="s">
        <v>1771</v>
      </c>
      <c r="E3785" s="0" t="s">
        <v>1771</v>
      </c>
      <c r="F3785" s="0" t="s">
        <v>1771</v>
      </c>
    </row>
    <row r="3786" customFormat="false" ht="12.8" hidden="false" customHeight="false" outlineLevel="0" collapsed="false">
      <c r="B3786" s="0" t="s">
        <v>232</v>
      </c>
      <c r="C3786" s="0" t="s">
        <v>1420</v>
      </c>
      <c r="D3786" s="0" t="s">
        <v>1773</v>
      </c>
      <c r="E3786" s="0" t="s">
        <v>1773</v>
      </c>
      <c r="F3786" s="0" t="s">
        <v>1773</v>
      </c>
    </row>
    <row r="3788" customFormat="false" ht="12.8" hidden="false" customHeight="false" outlineLevel="0" collapsed="false">
      <c r="A3788" s="0" t="s">
        <v>1776</v>
      </c>
      <c r="B3788" s="0" t="str">
        <f aca="false">HYPERLINK("https://lindat.mff.cuni.cz/services/teitok/pdtc10/index.php?action=vallex&amp;frame=v-w544f3_ZU", "dodržovat (v-w544f3_ZU)")</f>
        <v>dodržovat (v-w544f3_ZU)</v>
      </c>
    </row>
    <row r="3789" customFormat="false" ht="12.8" hidden="false" customHeight="false" outlineLevel="0" collapsed="false">
      <c r="B3789" s="0" t="s">
        <v>7</v>
      </c>
    </row>
    <row r="3790" customFormat="false" ht="12.8" hidden="false" customHeight="false" outlineLevel="0" collapsed="false">
      <c r="B3790" s="0" t="s">
        <v>14</v>
      </c>
    </row>
    <row r="3792" customFormat="false" ht="12.8" hidden="false" customHeight="false" outlineLevel="0" collapsed="false">
      <c r="A3792" s="0" t="s">
        <v>1776</v>
      </c>
      <c r="B3792" s="0" t="str">
        <f aca="false">HYPERLINK("https://lindat.mff.cuni.cz/services/teitok/pdtc10/index.php?action=vallex&amp;frame=v-w544f1", "dodržovat (v-w544f1) - substituted with v-w544f3_ZU")</f>
        <v>dodržovat (v-w544f1) - substituted with v-w544f3_ZU</v>
      </c>
    </row>
    <row r="3793" customFormat="false" ht="12.8" hidden="false" customHeight="false" outlineLevel="0" collapsed="false">
      <c r="B3793" s="0" t="s">
        <v>7</v>
      </c>
      <c r="C3793" s="0" t="s">
        <v>1777</v>
      </c>
      <c r="D3793" s="0" t="s">
        <v>1771</v>
      </c>
      <c r="E3793" s="0" t="s">
        <v>1771</v>
      </c>
      <c r="F3793" s="0" t="s">
        <v>1771</v>
      </c>
    </row>
    <row r="3794" customFormat="false" ht="12.8" hidden="false" customHeight="false" outlineLevel="0" collapsed="false">
      <c r="B3794" s="0" t="s">
        <v>14</v>
      </c>
      <c r="C3794" s="0" t="s">
        <v>1778</v>
      </c>
      <c r="D3794" s="0" t="s">
        <v>1773</v>
      </c>
      <c r="E3794" s="0" t="s">
        <v>1773</v>
      </c>
      <c r="F3794" s="0" t="s">
        <v>1773</v>
      </c>
    </row>
    <row r="3796" customFormat="false" ht="12.8" hidden="false" customHeight="false" outlineLevel="0" collapsed="false">
      <c r="A3796" s="0" t="s">
        <v>1779</v>
      </c>
      <c r="B3796" s="0" t="str">
        <f aca="false">HYPERLINK("https://lindat.mff.cuni.cz/services/teitok/pdtc10/index.php?action=vallex&amp;frame=v-whsa_1653hsa_1654", "dodržovávat (v-whsa_1653hsa_1654)")</f>
        <v>dodržovávat (v-whsa_1653hsa_1654)</v>
      </c>
    </row>
    <row r="3797" customFormat="false" ht="12.8" hidden="false" customHeight="false" outlineLevel="0" collapsed="false">
      <c r="B3797" s="0" t="s">
        <v>7</v>
      </c>
    </row>
    <row r="3798" customFormat="false" ht="12.8" hidden="false" customHeight="false" outlineLevel="0" collapsed="false">
      <c r="B3798" s="0" t="s">
        <v>14</v>
      </c>
    </row>
    <row r="3800" customFormat="false" ht="12.8" hidden="false" customHeight="false" outlineLevel="0" collapsed="false">
      <c r="A3800" s="0" t="s">
        <v>1780</v>
      </c>
      <c r="B3800" s="0" t="str">
        <f aca="false">HYPERLINK("https://lindat.mff.cuni.cz/services/teitok/pdtc10/index.php?action=vallex&amp;frame=v-w536f4", "dodávat (v-w536f4)")</f>
        <v>dodávat (v-w536f4)</v>
      </c>
    </row>
    <row r="3801" customFormat="false" ht="12.8" hidden="false" customHeight="false" outlineLevel="0" collapsed="false">
      <c r="B3801" s="0" t="s">
        <v>7</v>
      </c>
      <c r="C3801" s="0" t="s">
        <v>1781</v>
      </c>
      <c r="D3801" s="0" t="s">
        <v>1740</v>
      </c>
      <c r="E3801" s="0" t="s">
        <v>1740</v>
      </c>
      <c r="F3801" s="0" t="s">
        <v>1740</v>
      </c>
    </row>
    <row r="3802" customFormat="false" ht="12.8" hidden="false" customHeight="false" outlineLevel="0" collapsed="false">
      <c r="B3802" s="0" t="s">
        <v>1741</v>
      </c>
      <c r="C3802" s="0" t="s">
        <v>1782</v>
      </c>
      <c r="D3802" s="0" t="s">
        <v>1743</v>
      </c>
      <c r="E3802" s="0" t="s">
        <v>1743</v>
      </c>
      <c r="F3802" s="0" t="s">
        <v>1743</v>
      </c>
    </row>
    <row r="3803" customFormat="false" ht="12.8" hidden="false" customHeight="false" outlineLevel="0" collapsed="false">
      <c r="B3803" s="0" t="s">
        <v>48</v>
      </c>
      <c r="C3803" s="0" t="s">
        <v>1783</v>
      </c>
    </row>
    <row r="3805" customFormat="false" ht="12.8" hidden="false" customHeight="false" outlineLevel="0" collapsed="false">
      <c r="A3805" s="0" t="s">
        <v>1784</v>
      </c>
      <c r="B3805" s="0" t="str">
        <f aca="false">HYPERLINK("https://lindat.mff.cuni.cz/services/teitok/pdtc10/index.php?action=vallex&amp;frame=v-w536f3", "dodávat (v-w536f3)")</f>
        <v>dodávat (v-w536f3)</v>
      </c>
    </row>
    <row r="3806" customFormat="false" ht="12.8" hidden="false" customHeight="false" outlineLevel="0" collapsed="false">
      <c r="B3806" s="0" t="s">
        <v>7</v>
      </c>
      <c r="C3806" s="0" t="s">
        <v>1785</v>
      </c>
      <c r="D3806" s="0" t="s">
        <v>1747</v>
      </c>
      <c r="E3806" s="0" t="s">
        <v>1747</v>
      </c>
      <c r="F3806" s="0" t="s">
        <v>1747</v>
      </c>
    </row>
    <row r="3807" customFormat="false" ht="12.8" hidden="false" customHeight="false" outlineLevel="0" collapsed="false">
      <c r="B3807" s="0" t="s">
        <v>14</v>
      </c>
      <c r="C3807" s="0" t="s">
        <v>1786</v>
      </c>
      <c r="D3807" s="0" t="s">
        <v>1749</v>
      </c>
      <c r="E3807" s="0" t="s">
        <v>1749</v>
      </c>
      <c r="F3807" s="0" t="s">
        <v>1749</v>
      </c>
    </row>
    <row r="3808" customFormat="false" ht="12.8" hidden="false" customHeight="false" outlineLevel="0" collapsed="false">
      <c r="B3808" s="0" t="s">
        <v>48</v>
      </c>
      <c r="C3808" s="0" t="s">
        <v>1787</v>
      </c>
      <c r="D3808" s="0" t="s">
        <v>1751</v>
      </c>
      <c r="E3808" s="0" t="s">
        <v>1751</v>
      </c>
      <c r="F3808" s="0" t="s">
        <v>1751</v>
      </c>
    </row>
    <row r="3810" customFormat="false" ht="12.8" hidden="false" customHeight="false" outlineLevel="0" collapsed="false">
      <c r="A3810" s="0" t="s">
        <v>1788</v>
      </c>
      <c r="B3810" s="0" t="str">
        <f aca="false">HYPERLINK("https://lindat.mff.cuni.cz/services/teitok/pdtc10/index.php?action=vallex&amp;frame=v-w536f2", "dodávat (v-w536f2)")</f>
        <v>dodávat (v-w536f2)</v>
      </c>
    </row>
    <row r="3811" customFormat="false" ht="12.8" hidden="false" customHeight="false" outlineLevel="0" collapsed="false">
      <c r="B3811" s="0" t="s">
        <v>7</v>
      </c>
      <c r="C3811" s="0" t="s">
        <v>1789</v>
      </c>
      <c r="D3811" s="0" t="s">
        <v>1758</v>
      </c>
      <c r="E3811" s="0" t="s">
        <v>1758</v>
      </c>
      <c r="F3811" s="0" t="s">
        <v>1758</v>
      </c>
    </row>
    <row r="3812" customFormat="false" ht="12.8" hidden="false" customHeight="false" outlineLevel="0" collapsed="false">
      <c r="B3812" s="0" t="s">
        <v>14</v>
      </c>
      <c r="C3812" s="0" t="s">
        <v>1790</v>
      </c>
      <c r="D3812" s="0" t="s">
        <v>1760</v>
      </c>
      <c r="E3812" s="0" t="s">
        <v>1760</v>
      </c>
      <c r="F3812" s="0" t="s">
        <v>1760</v>
      </c>
    </row>
    <row r="3813" customFormat="false" ht="12.8" hidden="false" customHeight="false" outlineLevel="0" collapsed="false">
      <c r="B3813" s="0" t="s">
        <v>124</v>
      </c>
      <c r="C3813" s="0" t="s">
        <v>1791</v>
      </c>
      <c r="D3813" s="0" t="s">
        <v>1761</v>
      </c>
      <c r="E3813" s="0" t="s">
        <v>1761</v>
      </c>
      <c r="F3813" s="0" t="s">
        <v>1761</v>
      </c>
    </row>
    <row r="3815" customFormat="false" ht="12.8" hidden="false" customHeight="false" outlineLevel="0" collapsed="false">
      <c r="A3815" s="0" t="s">
        <v>1792</v>
      </c>
      <c r="B3815" s="0" t="str">
        <f aca="false">HYPERLINK("https://lindat.mff.cuni.cz/services/teitok/pdtc10/index.php?action=vallex&amp;frame=v-w536f1", "dodávat (v-w536f1)")</f>
        <v>dodávat (v-w536f1)</v>
      </c>
    </row>
    <row r="3816" customFormat="false" ht="12.8" hidden="false" customHeight="false" outlineLevel="0" collapsed="false">
      <c r="B3816" s="0" t="s">
        <v>7</v>
      </c>
      <c r="C3816" s="0" t="s">
        <v>1793</v>
      </c>
      <c r="D3816" s="0" t="s">
        <v>164</v>
      </c>
      <c r="E3816" s="0" t="s">
        <v>164</v>
      </c>
      <c r="F3816" s="0" t="s">
        <v>164</v>
      </c>
    </row>
    <row r="3817" customFormat="false" ht="12.8" hidden="false" customHeight="false" outlineLevel="0" collapsed="false">
      <c r="B3817" s="0" t="s">
        <v>1764</v>
      </c>
      <c r="C3817" s="0" t="s">
        <v>1794</v>
      </c>
      <c r="D3817" s="0" t="s">
        <v>1766</v>
      </c>
      <c r="E3817" s="0" t="s">
        <v>1766</v>
      </c>
      <c r="F3817" s="0" t="s">
        <v>1766</v>
      </c>
    </row>
    <row r="3818" customFormat="false" ht="12.8" hidden="false" customHeight="false" outlineLevel="0" collapsed="false">
      <c r="B3818" s="0" t="s">
        <v>1767</v>
      </c>
      <c r="C3818" s="0" t="s">
        <v>1768</v>
      </c>
      <c r="D3818" s="0" t="s">
        <v>167</v>
      </c>
      <c r="E3818" s="0" t="s">
        <v>167</v>
      </c>
      <c r="F3818" s="0" t="s">
        <v>167</v>
      </c>
    </row>
    <row r="3820" customFormat="false" ht="12.8" hidden="false" customHeight="false" outlineLevel="0" collapsed="false">
      <c r="A3820" s="0" t="s">
        <v>1795</v>
      </c>
      <c r="B3820" s="0" t="str">
        <f aca="false">HYPERLINK("https://lindat.mff.cuni.cz/services/teitok/pdtc10/index.php?action=vallex&amp;frame=v-whsa_143f2_ZU", "dodělat (v-whsa_143f2_ZU)")</f>
        <v>dodělat (v-whsa_143f2_ZU)</v>
      </c>
    </row>
    <row r="3821" customFormat="false" ht="12.8" hidden="false" customHeight="false" outlineLevel="0" collapsed="false">
      <c r="B3821" s="0" t="s">
        <v>7</v>
      </c>
    </row>
    <row r="3822" customFormat="false" ht="12.8" hidden="false" customHeight="false" outlineLevel="0" collapsed="false">
      <c r="B3822" s="0" t="s">
        <v>14</v>
      </c>
    </row>
    <row r="3824" customFormat="false" ht="12.8" hidden="false" customHeight="false" outlineLevel="0" collapsed="false">
      <c r="A3824" s="0" t="s">
        <v>1795</v>
      </c>
      <c r="B3824" s="0" t="str">
        <f aca="false">HYPERLINK("https://lindat.mff.cuni.cz/services/teitok/pdtc10/index.php?action=vallex&amp;frame=v-whsa_143f1_ZU", "dodělat (v-whsa_143f1_ZU) - substituted with v-whsa_143f2_ZU")</f>
        <v>dodělat (v-whsa_143f1_ZU) - substituted with v-whsa_143f2_ZU</v>
      </c>
    </row>
    <row r="3825" customFormat="false" ht="12.8" hidden="false" customHeight="false" outlineLevel="0" collapsed="false">
      <c r="B3825" s="0" t="s">
        <v>7</v>
      </c>
    </row>
    <row r="3826" customFormat="false" ht="12.8" hidden="false" customHeight="false" outlineLevel="0" collapsed="false">
      <c r="B3826" s="0" t="s">
        <v>14</v>
      </c>
    </row>
    <row r="3828" customFormat="false" ht="12.8" hidden="false" customHeight="false" outlineLevel="0" collapsed="false">
      <c r="A3828" s="0" t="s">
        <v>1795</v>
      </c>
      <c r="B3828" s="0" t="str">
        <f aca="false">HYPERLINK("https://lindat.mff.cuni.cz/services/teitok/pdtc10/index.php?action=vallex&amp;frame=v-whsa_143hsa_144", "dodělat (v-whsa_143hsa_144) - substituted with v-whsa_143f2_ZU")</f>
        <v>dodělat (v-whsa_143hsa_144) - substituted with v-whsa_143f2_ZU</v>
      </c>
    </row>
    <row r="3829" customFormat="false" ht="12.8" hidden="false" customHeight="false" outlineLevel="0" collapsed="false">
      <c r="B3829" s="0" t="s">
        <v>7</v>
      </c>
    </row>
    <row r="3830" customFormat="false" ht="12.8" hidden="false" customHeight="false" outlineLevel="0" collapsed="false">
      <c r="B3830" s="0" t="s">
        <v>14</v>
      </c>
    </row>
    <row r="3832" customFormat="false" ht="12.8" hidden="false" customHeight="false" outlineLevel="0" collapsed="false">
      <c r="A3832" s="0" t="s">
        <v>1796</v>
      </c>
      <c r="B3832" s="0" t="str">
        <f aca="false">HYPERLINK("https://lindat.mff.cuni.cz/services/teitok/pdtc10/index.php?action=vallex&amp;frame=v-w12181_ZUf1_ZU", "dodělat se (v-w12181_ZUf1_ZU)")</f>
        <v>dodělat se (v-w12181_ZUf1_ZU)</v>
      </c>
    </row>
    <row r="3833" customFormat="false" ht="12.8" hidden="false" customHeight="false" outlineLevel="0" collapsed="false">
      <c r="B3833" s="0" t="s">
        <v>7</v>
      </c>
    </row>
    <row r="3835" customFormat="false" ht="12.8" hidden="false" customHeight="false" outlineLevel="0" collapsed="false">
      <c r="A3835" s="0" t="s">
        <v>1797</v>
      </c>
      <c r="B3835" s="0" t="str">
        <f aca="false">HYPERLINK("https://lindat.mff.cuni.cz/services/teitok/pdtc10/index.php?action=vallex&amp;frame=v-w539f1", "dodělávat (v-w539f1)")</f>
        <v>dodělávat (v-w539f1)</v>
      </c>
    </row>
    <row r="3836" customFormat="false" ht="12.8" hidden="false" customHeight="false" outlineLevel="0" collapsed="false">
      <c r="B3836" s="0" t="s">
        <v>7</v>
      </c>
    </row>
    <row r="3837" customFormat="false" ht="12.8" hidden="false" customHeight="false" outlineLevel="0" collapsed="false">
      <c r="B3837" s="0" t="s">
        <v>14</v>
      </c>
    </row>
    <row r="3838" customFormat="false" ht="12.8" hidden="false" customHeight="false" outlineLevel="0" collapsed="false">
      <c r="B3838" s="0" t="s">
        <v>35</v>
      </c>
    </row>
    <row r="3840" customFormat="false" ht="12.8" hidden="false" customHeight="false" outlineLevel="0" collapsed="false">
      <c r="A3840" s="0" t="s">
        <v>1798</v>
      </c>
      <c r="B3840" s="0" t="str">
        <f aca="false">HYPERLINK("https://lindat.mff.cuni.cz/services/teitok/pdtc10/index.php?action=vallex&amp;frame=v-w539f2", "dodělávat (v-w539f2)")</f>
        <v>dodělávat (v-w539f2)</v>
      </c>
    </row>
    <row r="3841" customFormat="false" ht="12.8" hidden="false" customHeight="false" outlineLevel="0" collapsed="false">
      <c r="B3841" s="0" t="s">
        <v>7</v>
      </c>
    </row>
    <row r="3842" customFormat="false" ht="12.8" hidden="false" customHeight="false" outlineLevel="0" collapsed="false">
      <c r="B3842" s="0" t="s">
        <v>14</v>
      </c>
    </row>
    <row r="3844" customFormat="false" ht="12.8" hidden="false" customHeight="false" outlineLevel="0" collapsed="false">
      <c r="A3844" s="0" t="s">
        <v>1799</v>
      </c>
      <c r="B3844" s="0" t="str">
        <f aca="false">HYPERLINK("https://lindat.mff.cuni.cz/services/teitok/pdtc10/index.php?action=vallex&amp;frame=v-w545f1", "dofinišovat (v-w545f1)")</f>
        <v>dofinišovat (v-w545f1)</v>
      </c>
    </row>
    <row r="3845" customFormat="false" ht="12.8" hidden="false" customHeight="false" outlineLevel="0" collapsed="false">
      <c r="B3845" s="0" t="s">
        <v>7</v>
      </c>
    </row>
    <row r="3846" customFormat="false" ht="12.8" hidden="false" customHeight="false" outlineLevel="0" collapsed="false">
      <c r="B3846" s="0" t="s">
        <v>124</v>
      </c>
    </row>
    <row r="3848" customFormat="false" ht="12.8" hidden="false" customHeight="false" outlineLevel="0" collapsed="false">
      <c r="A3848" s="0" t="s">
        <v>1800</v>
      </c>
      <c r="B3848" s="0" t="str">
        <f aca="false">HYPERLINK("https://lindat.mff.cuni.cz/services/teitok/pdtc10/index.php?action=vallex&amp;frame=v-w549f1", "dohadovat (v-w549f1)")</f>
        <v>dohadovat (v-w549f1)</v>
      </c>
    </row>
    <row r="3849" customFormat="false" ht="12.8" hidden="false" customHeight="false" outlineLevel="0" collapsed="false">
      <c r="B3849" s="0" t="s">
        <v>7</v>
      </c>
      <c r="C3849" s="0" t="s">
        <v>411</v>
      </c>
      <c r="D3849" s="0" t="s">
        <v>1801</v>
      </c>
      <c r="E3849" s="0" t="s">
        <v>1801</v>
      </c>
      <c r="F3849" s="0" t="s">
        <v>1801</v>
      </c>
    </row>
    <row r="3850" customFormat="false" ht="12.8" hidden="false" customHeight="false" outlineLevel="0" collapsed="false">
      <c r="B3850" s="0" t="s">
        <v>1802</v>
      </c>
      <c r="C3850" s="0" t="s">
        <v>1803</v>
      </c>
      <c r="D3850" s="0" t="s">
        <v>1804</v>
      </c>
      <c r="E3850" s="0" t="s">
        <v>1804</v>
      </c>
      <c r="F3850" s="0" t="s">
        <v>1804</v>
      </c>
    </row>
    <row r="3851" customFormat="false" ht="12.8" hidden="false" customHeight="false" outlineLevel="0" collapsed="false">
      <c r="B3851" s="0" t="s">
        <v>207</v>
      </c>
      <c r="C3851" s="0" t="s">
        <v>1805</v>
      </c>
      <c r="D3851" s="0" t="s">
        <v>1806</v>
      </c>
      <c r="E3851" s="0" t="s">
        <v>1806</v>
      </c>
      <c r="F3851" s="0" t="s">
        <v>1806</v>
      </c>
    </row>
    <row r="3853" customFormat="false" ht="12.8" hidden="false" customHeight="false" outlineLevel="0" collapsed="false">
      <c r="A3853" s="0" t="s">
        <v>1807</v>
      </c>
      <c r="B3853" s="0" t="str">
        <f aca="false">HYPERLINK("https://lindat.mff.cuni.cz/services/teitok/pdtc10/index.php?action=vallex&amp;frame=v-w550f1", "dohadovat se (v-w550f1)")</f>
        <v>dohadovat se (v-w550f1)</v>
      </c>
    </row>
    <row r="3854" customFormat="false" ht="12.8" hidden="false" customHeight="false" outlineLevel="0" collapsed="false">
      <c r="B3854" s="0" t="s">
        <v>7</v>
      </c>
      <c r="C3854" s="0" t="s">
        <v>1263</v>
      </c>
      <c r="D3854" s="0" t="s">
        <v>108</v>
      </c>
      <c r="E3854" s="0" t="s">
        <v>108</v>
      </c>
      <c r="F3854" s="0" t="s">
        <v>108</v>
      </c>
    </row>
    <row r="3855" customFormat="false" ht="12.8" hidden="false" customHeight="false" outlineLevel="0" collapsed="false">
      <c r="B3855" s="0" t="s">
        <v>1808</v>
      </c>
      <c r="C3855" s="0" t="s">
        <v>625</v>
      </c>
      <c r="D3855" s="0" t="s">
        <v>1809</v>
      </c>
      <c r="E3855" s="0" t="s">
        <v>1809</v>
      </c>
      <c r="F3855" s="0" t="s">
        <v>1809</v>
      </c>
    </row>
    <row r="3856" customFormat="false" ht="12.8" hidden="false" customHeight="false" outlineLevel="0" collapsed="false">
      <c r="B3856" s="0" t="s">
        <v>207</v>
      </c>
    </row>
    <row r="3858" customFormat="false" ht="12.8" hidden="false" customHeight="false" outlineLevel="0" collapsed="false">
      <c r="A3858" s="0" t="s">
        <v>1810</v>
      </c>
      <c r="B3858" s="0" t="str">
        <f aca="false">HYPERLINK("https://lindat.mff.cuni.cz/services/teitok/pdtc10/index.php?action=vallex&amp;frame=v-whsa_1510f1_ZU", "dohasit (v-whsa_1510f1_ZU)")</f>
        <v>dohasit (v-whsa_1510f1_ZU)</v>
      </c>
    </row>
    <row r="3859" customFormat="false" ht="12.8" hidden="false" customHeight="false" outlineLevel="0" collapsed="false">
      <c r="B3859" s="0" t="s">
        <v>7</v>
      </c>
    </row>
    <row r="3860" customFormat="false" ht="12.8" hidden="false" customHeight="false" outlineLevel="0" collapsed="false">
      <c r="B3860" s="0" t="s">
        <v>14</v>
      </c>
    </row>
    <row r="3862" customFormat="false" ht="12.8" hidden="false" customHeight="false" outlineLevel="0" collapsed="false">
      <c r="A3862" s="0" t="s">
        <v>1810</v>
      </c>
      <c r="B3862" s="0" t="str">
        <f aca="false">HYPERLINK("https://lindat.mff.cuni.cz/services/teitok/pdtc10/index.php?action=vallex&amp;frame=v-whsa_1510hsa_1511", "dohasit (v-whsa_1510hsa_1511) - substituted with v-whsa_1510f1_ZU")</f>
        <v>dohasit (v-whsa_1510hsa_1511) - substituted with v-whsa_1510f1_ZU</v>
      </c>
    </row>
    <row r="3863" customFormat="false" ht="12.8" hidden="false" customHeight="false" outlineLevel="0" collapsed="false">
      <c r="B3863" s="0" t="s">
        <v>7</v>
      </c>
    </row>
    <row r="3864" customFormat="false" ht="12.8" hidden="false" customHeight="false" outlineLevel="0" collapsed="false">
      <c r="B3864" s="0" t="s">
        <v>14</v>
      </c>
    </row>
    <row r="3866" customFormat="false" ht="12.8" hidden="false" customHeight="false" outlineLevel="0" collapsed="false">
      <c r="A3866" s="0" t="s">
        <v>1811</v>
      </c>
      <c r="B3866" s="0" t="str">
        <f aca="false">HYPERLINK("https://lindat.mff.cuni.cz/services/teitok/pdtc10/index.php?action=vallex&amp;frame=v-w552f1", "dohasnout (v-w552f1)")</f>
        <v>dohasnout (v-w552f1)</v>
      </c>
    </row>
    <row r="3867" customFormat="false" ht="12.8" hidden="false" customHeight="false" outlineLevel="0" collapsed="false">
      <c r="B3867" s="0" t="s">
        <v>7</v>
      </c>
    </row>
    <row r="3869" customFormat="false" ht="12.8" hidden="false" customHeight="false" outlineLevel="0" collapsed="false">
      <c r="A3869" s="0" t="s">
        <v>1812</v>
      </c>
      <c r="B3869" s="0" t="str">
        <f aca="false">HYPERLINK("https://lindat.mff.cuni.cz/services/teitok/pdtc10/index.php?action=vallex&amp;frame=v-w554f1", "dohledávat (v-w554f1)")</f>
        <v>dohledávat (v-w554f1)</v>
      </c>
    </row>
    <row r="3870" customFormat="false" ht="12.8" hidden="false" customHeight="false" outlineLevel="0" collapsed="false">
      <c r="B3870" s="0" t="s">
        <v>7</v>
      </c>
      <c r="D3870" s="0" t="s">
        <v>1813</v>
      </c>
      <c r="E3870" s="0" t="s">
        <v>1813</v>
      </c>
      <c r="F3870" s="0" t="s">
        <v>1813</v>
      </c>
    </row>
    <row r="3871" customFormat="false" ht="12.8" hidden="false" customHeight="false" outlineLevel="0" collapsed="false">
      <c r="B3871" s="0" t="s">
        <v>1814</v>
      </c>
      <c r="D3871" s="0" t="s">
        <v>1815</v>
      </c>
      <c r="E3871" s="0" t="s">
        <v>1815</v>
      </c>
      <c r="F3871" s="0" t="s">
        <v>1815</v>
      </c>
    </row>
    <row r="3873" customFormat="false" ht="12.8" hidden="false" customHeight="false" outlineLevel="0" collapsed="false">
      <c r="A3873" s="0" t="s">
        <v>1816</v>
      </c>
      <c r="B3873" s="0" t="str">
        <f aca="false">HYPERLINK("https://lindat.mff.cuni.cz/services/teitok/pdtc10/index.php?action=vallex&amp;frame=v-w555f1", "dohlédnout (v-w555f1)")</f>
        <v>dohlédnout (v-w555f1)</v>
      </c>
    </row>
    <row r="3874" customFormat="false" ht="12.8" hidden="false" customHeight="false" outlineLevel="0" collapsed="false">
      <c r="B3874" s="0" t="s">
        <v>7</v>
      </c>
      <c r="C3874" s="0" t="s">
        <v>191</v>
      </c>
      <c r="D3874" s="0" t="s">
        <v>315</v>
      </c>
      <c r="E3874" s="0" t="s">
        <v>315</v>
      </c>
      <c r="F3874" s="0" t="s">
        <v>315</v>
      </c>
    </row>
    <row r="3875" customFormat="false" ht="12.8" hidden="false" customHeight="false" outlineLevel="0" collapsed="false">
      <c r="B3875" s="0" t="s">
        <v>1817</v>
      </c>
      <c r="C3875" s="0" t="s">
        <v>1544</v>
      </c>
      <c r="D3875" s="0" t="s">
        <v>1818</v>
      </c>
      <c r="E3875" s="0" t="s">
        <v>1818</v>
      </c>
      <c r="F3875" s="0" t="s">
        <v>1818</v>
      </c>
    </row>
    <row r="3877" customFormat="false" ht="12.8" hidden="false" customHeight="false" outlineLevel="0" collapsed="false">
      <c r="A3877" s="0" t="s">
        <v>1819</v>
      </c>
      <c r="B3877" s="0" t="str">
        <f aca="false">HYPERLINK("https://lindat.mff.cuni.cz/services/teitok/pdtc10/index.php?action=vallex&amp;frame=v-w555f2", "dohlédnout (v-w555f2)")</f>
        <v>dohlédnout (v-w555f2)</v>
      </c>
    </row>
    <row r="3878" customFormat="false" ht="12.8" hidden="false" customHeight="false" outlineLevel="0" collapsed="false">
      <c r="B3878" s="0" t="s">
        <v>7</v>
      </c>
      <c r="C3878" s="0" t="s">
        <v>845</v>
      </c>
    </row>
    <row r="3879" customFormat="false" ht="12.8" hidden="false" customHeight="false" outlineLevel="0" collapsed="false">
      <c r="B3879" s="0" t="s">
        <v>124</v>
      </c>
    </row>
    <row r="3881" customFormat="false" ht="12.8" hidden="false" customHeight="false" outlineLevel="0" collapsed="false">
      <c r="A3881" s="0" t="s">
        <v>1820</v>
      </c>
      <c r="B3881" s="0" t="str">
        <f aca="false">HYPERLINK("https://lindat.mff.cuni.cz/services/teitok/pdtc10/index.php?action=vallex&amp;frame=v-whsa_1109hsa_1110", "dohlídnout (v-whsa_1109hsa_1110)")</f>
        <v>dohlídnout (v-whsa_1109hsa_1110)</v>
      </c>
    </row>
    <row r="3882" customFormat="false" ht="12.8" hidden="false" customHeight="false" outlineLevel="0" collapsed="false">
      <c r="B3882" s="0" t="s">
        <v>7</v>
      </c>
    </row>
    <row r="3883" customFormat="false" ht="12.8" hidden="false" customHeight="false" outlineLevel="0" collapsed="false">
      <c r="B3883" s="0" t="s">
        <v>1817</v>
      </c>
    </row>
    <row r="3885" customFormat="false" ht="12.8" hidden="false" customHeight="false" outlineLevel="0" collapsed="false">
      <c r="A3885" s="0" t="s">
        <v>1821</v>
      </c>
      <c r="B3885" s="0" t="str">
        <f aca="false">HYPERLINK("https://lindat.mff.cuni.cz/services/teitok/pdtc10/index.php?action=vallex&amp;frame=v-w557f1", "dohlížet (v-w557f1)")</f>
        <v>dohlížet (v-w557f1)</v>
      </c>
    </row>
    <row r="3886" customFormat="false" ht="12.8" hidden="false" customHeight="false" outlineLevel="0" collapsed="false">
      <c r="B3886" s="0" t="s">
        <v>7</v>
      </c>
      <c r="C3886" s="0" t="s">
        <v>1822</v>
      </c>
      <c r="D3886" s="0" t="s">
        <v>315</v>
      </c>
      <c r="E3886" s="0" t="s">
        <v>315</v>
      </c>
      <c r="F3886" s="0" t="s">
        <v>315</v>
      </c>
    </row>
    <row r="3887" customFormat="false" ht="12.8" hidden="false" customHeight="false" outlineLevel="0" collapsed="false">
      <c r="B3887" s="0" t="s">
        <v>1823</v>
      </c>
      <c r="C3887" s="0" t="s">
        <v>1824</v>
      </c>
      <c r="D3887" s="0" t="s">
        <v>1818</v>
      </c>
      <c r="E3887" s="0" t="s">
        <v>1818</v>
      </c>
      <c r="F3887" s="0" t="s">
        <v>1818</v>
      </c>
    </row>
    <row r="3889" customFormat="false" ht="12.8" hidden="false" customHeight="false" outlineLevel="0" collapsed="false">
      <c r="A3889" s="0" t="s">
        <v>1825</v>
      </c>
      <c r="B3889" s="0" t="str">
        <f aca="false">HYPERLINK("https://lindat.mff.cuni.cz/services/teitok/pdtc10/index.php?action=vallex&amp;frame=v-w558f2", "dohnat (v-w558f2)")</f>
        <v>dohnat (v-w558f2)</v>
      </c>
    </row>
    <row r="3890" customFormat="false" ht="12.8" hidden="false" customHeight="false" outlineLevel="0" collapsed="false">
      <c r="B3890" s="0" t="s">
        <v>7</v>
      </c>
      <c r="C3890" s="0" t="s">
        <v>1826</v>
      </c>
      <c r="D3890" s="0" t="s">
        <v>208</v>
      </c>
      <c r="E3890" s="0" t="s">
        <v>208</v>
      </c>
      <c r="F3890" s="0" t="s">
        <v>208</v>
      </c>
    </row>
    <row r="3891" customFormat="false" ht="12.8" hidden="false" customHeight="false" outlineLevel="0" collapsed="false">
      <c r="B3891" s="0" t="s">
        <v>237</v>
      </c>
      <c r="D3891" s="0" t="s">
        <v>1827</v>
      </c>
      <c r="E3891" s="0" t="s">
        <v>1827</v>
      </c>
      <c r="F3891" s="0" t="s">
        <v>1827</v>
      </c>
    </row>
    <row r="3892" customFormat="false" ht="12.8" hidden="false" customHeight="false" outlineLevel="0" collapsed="false">
      <c r="B3892" s="0" t="s">
        <v>81</v>
      </c>
      <c r="C3892" s="0" t="s">
        <v>1828</v>
      </c>
      <c r="D3892" s="0" t="s">
        <v>1829</v>
      </c>
      <c r="E3892" s="0" t="s">
        <v>1829</v>
      </c>
      <c r="F3892" s="0" t="s">
        <v>1829</v>
      </c>
    </row>
    <row r="3894" customFormat="false" ht="12.8" hidden="false" customHeight="false" outlineLevel="0" collapsed="false">
      <c r="A3894" s="0" t="s">
        <v>1830</v>
      </c>
      <c r="B3894" s="0" t="str">
        <f aca="false">HYPERLINK("https://lindat.mff.cuni.cz/services/teitok/pdtc10/index.php?action=vallex&amp;frame=v-w558f1", "dohnat (v-w558f1)")</f>
        <v>dohnat (v-w558f1)</v>
      </c>
    </row>
    <row r="3895" customFormat="false" ht="12.8" hidden="false" customHeight="false" outlineLevel="0" collapsed="false">
      <c r="B3895" s="0" t="s">
        <v>7</v>
      </c>
      <c r="C3895" s="0" t="s">
        <v>16</v>
      </c>
      <c r="D3895" s="0" t="s">
        <v>16</v>
      </c>
      <c r="E3895" s="0" t="s">
        <v>16</v>
      </c>
      <c r="F3895" s="0" t="s">
        <v>16</v>
      </c>
    </row>
    <row r="3896" customFormat="false" ht="12.8" hidden="false" customHeight="false" outlineLevel="0" collapsed="false">
      <c r="B3896" s="0" t="s">
        <v>14</v>
      </c>
      <c r="C3896" s="0" t="s">
        <v>274</v>
      </c>
      <c r="D3896" s="0" t="s">
        <v>274</v>
      </c>
      <c r="E3896" s="0" t="s">
        <v>274</v>
      </c>
      <c r="F3896" s="0" t="s">
        <v>274</v>
      </c>
    </row>
    <row r="3898" customFormat="false" ht="12.8" hidden="false" customHeight="false" outlineLevel="0" collapsed="false">
      <c r="A3898" s="0" t="s">
        <v>1831</v>
      </c>
      <c r="B3898" s="0" t="str">
        <f aca="false">HYPERLINK("https://lindat.mff.cuni.cz/services/teitok/pdtc10/index.php?action=vallex&amp;frame=v-w558f3", "dohnat (v-w558f3)")</f>
        <v>dohnat (v-w558f3)</v>
      </c>
    </row>
    <row r="3899" customFormat="false" ht="12.8" hidden="false" customHeight="false" outlineLevel="0" collapsed="false">
      <c r="B3899" s="0" t="s">
        <v>7</v>
      </c>
      <c r="D3899" s="0" t="s">
        <v>16</v>
      </c>
      <c r="E3899" s="0" t="s">
        <v>16</v>
      </c>
      <c r="F3899" s="0" t="s">
        <v>16</v>
      </c>
    </row>
    <row r="3900" customFormat="false" ht="12.8" hidden="false" customHeight="false" outlineLevel="0" collapsed="false">
      <c r="B3900" s="0" t="s">
        <v>14</v>
      </c>
      <c r="D3900" s="0" t="s">
        <v>274</v>
      </c>
      <c r="E3900" s="0" t="s">
        <v>274</v>
      </c>
      <c r="F3900" s="0" t="s">
        <v>274</v>
      </c>
    </row>
    <row r="3902" customFormat="false" ht="12.8" hidden="false" customHeight="false" outlineLevel="0" collapsed="false">
      <c r="A3902" s="0" t="s">
        <v>1832</v>
      </c>
      <c r="B3902" s="0" t="str">
        <f aca="false">HYPERLINK("https://lindat.mff.cuni.cz/services/teitok/pdtc10/index.php?action=vallex&amp;frame=v-w558f4", "dohnat (v-w558f4)")</f>
        <v>dohnat (v-w558f4)</v>
      </c>
    </row>
    <row r="3903" customFormat="false" ht="12.8" hidden="false" customHeight="false" outlineLevel="0" collapsed="false">
      <c r="B3903" s="0" t="s">
        <v>7</v>
      </c>
      <c r="C3903" s="0" t="s">
        <v>1263</v>
      </c>
    </row>
    <row r="3904" customFormat="false" ht="12.8" hidden="false" customHeight="false" outlineLevel="0" collapsed="false">
      <c r="B3904" s="0" t="s">
        <v>14</v>
      </c>
      <c r="C3904" s="0" t="s">
        <v>1833</v>
      </c>
    </row>
    <row r="3906" customFormat="false" ht="12.8" hidden="false" customHeight="false" outlineLevel="0" collapsed="false">
      <c r="A3906" s="0" t="s">
        <v>1834</v>
      </c>
      <c r="B3906" s="0" t="str">
        <f aca="false">HYPERLINK("https://lindat.mff.cuni.cz/services/teitok/pdtc10/index.php?action=vallex&amp;frame=v-w558hsa_1047", "dohnat (v-w558hsa_1047)")</f>
        <v>dohnat (v-w558hsa_1047)</v>
      </c>
    </row>
    <row r="3907" customFormat="false" ht="12.8" hidden="false" customHeight="false" outlineLevel="0" collapsed="false">
      <c r="B3907" s="0" t="s">
        <v>7</v>
      </c>
    </row>
    <row r="3908" customFormat="false" ht="12.8" hidden="false" customHeight="false" outlineLevel="0" collapsed="false">
      <c r="B3908" s="0" t="s">
        <v>14</v>
      </c>
    </row>
    <row r="3909" customFormat="false" ht="12.8" hidden="false" customHeight="false" outlineLevel="0" collapsed="false">
      <c r="B3909" s="0" t="s">
        <v>124</v>
      </c>
    </row>
    <row r="3911" customFormat="false" ht="12.8" hidden="false" customHeight="false" outlineLevel="0" collapsed="false">
      <c r="A3911" s="0" t="s">
        <v>1835</v>
      </c>
      <c r="B3911" s="0" t="str">
        <f aca="false">HYPERLINK("https://lindat.mff.cuni.cz/services/teitok/pdtc10/index.php?action=vallex&amp;frame=v-w10107f2", "dohodit (v-w10107f2)")</f>
        <v>dohodit (v-w10107f2)</v>
      </c>
    </row>
    <row r="3912" customFormat="false" ht="12.8" hidden="false" customHeight="false" outlineLevel="0" collapsed="false">
      <c r="B3912" s="0" t="s">
        <v>7</v>
      </c>
    </row>
    <row r="3913" customFormat="false" ht="12.8" hidden="false" customHeight="false" outlineLevel="0" collapsed="false">
      <c r="B3913" s="0" t="s">
        <v>1836</v>
      </c>
    </row>
    <row r="3915" customFormat="false" ht="12.8" hidden="false" customHeight="false" outlineLevel="0" collapsed="false">
      <c r="A3915" s="0" t="s">
        <v>1837</v>
      </c>
      <c r="B3915" s="0" t="str">
        <f aca="false">HYPERLINK("https://lindat.mff.cuni.cz/services/teitok/pdtc10/index.php?action=vallex&amp;frame=v-w10107f3_ZU", "dohodit (v-w10107f3_ZU)")</f>
        <v>dohodit (v-w10107f3_ZU)</v>
      </c>
    </row>
    <row r="3916" customFormat="false" ht="12.8" hidden="false" customHeight="false" outlineLevel="0" collapsed="false">
      <c r="B3916" s="0" t="s">
        <v>7</v>
      </c>
    </row>
    <row r="3917" customFormat="false" ht="12.8" hidden="false" customHeight="false" outlineLevel="0" collapsed="false">
      <c r="B3917" s="0" t="s">
        <v>1838</v>
      </c>
    </row>
    <row r="3919" customFormat="false" ht="12.8" hidden="false" customHeight="false" outlineLevel="0" collapsed="false">
      <c r="A3919" s="0" t="s">
        <v>1837</v>
      </c>
      <c r="B3919" s="0" t="str">
        <f aca="false">HYPERLINK("https://lindat.mff.cuni.cz/services/teitok/pdtc10/index.php?action=vallex&amp;frame=v-w10107hsa_843", "dohodit (v-w10107hsa_843) - substituted with v-w10107f3_ZU")</f>
        <v>dohodit (v-w10107hsa_843) - substituted with v-w10107f3_ZU</v>
      </c>
    </row>
    <row r="3920" customFormat="false" ht="12.8" hidden="false" customHeight="false" outlineLevel="0" collapsed="false">
      <c r="B3920" s="0" t="s">
        <v>7</v>
      </c>
    </row>
    <row r="3921" customFormat="false" ht="12.8" hidden="false" customHeight="false" outlineLevel="0" collapsed="false">
      <c r="B3921" s="0" t="s">
        <v>1838</v>
      </c>
    </row>
    <row r="3923" customFormat="false" ht="12.8" hidden="false" customHeight="false" outlineLevel="0" collapsed="false">
      <c r="A3923" s="0" t="s">
        <v>1839</v>
      </c>
      <c r="B3923" s="0" t="str">
        <f aca="false">HYPERLINK("https://lindat.mff.cuni.cz/services/teitok/pdtc10/index.php?action=vallex&amp;frame=v-w10107f4_ZU", "dohodit (v-w10107f4_ZU)")</f>
        <v>dohodit (v-w10107f4_ZU)</v>
      </c>
    </row>
    <row r="3924" customFormat="false" ht="12.8" hidden="false" customHeight="false" outlineLevel="0" collapsed="false">
      <c r="B3924" s="0" t="s">
        <v>7</v>
      </c>
    </row>
    <row r="3925" customFormat="false" ht="12.8" hidden="false" customHeight="false" outlineLevel="0" collapsed="false">
      <c r="B3925" s="0" t="s">
        <v>14</v>
      </c>
    </row>
    <row r="3926" customFormat="false" ht="12.8" hidden="false" customHeight="false" outlineLevel="0" collapsed="false">
      <c r="B3926" s="0" t="s">
        <v>48</v>
      </c>
    </row>
    <row r="3928" customFormat="false" ht="12.8" hidden="false" customHeight="false" outlineLevel="0" collapsed="false">
      <c r="A3928" s="0" t="s">
        <v>1840</v>
      </c>
      <c r="B3928" s="0" t="str">
        <f aca="false">HYPERLINK("https://lindat.mff.cuni.cz/services/teitok/pdtc10/index.php?action=vallex&amp;frame=v-w560f1", "dohodnout (v-w560f1)")</f>
        <v>dohodnout (v-w560f1)</v>
      </c>
    </row>
    <row r="3929" customFormat="false" ht="12.8" hidden="false" customHeight="false" outlineLevel="0" collapsed="false">
      <c r="B3929" s="0" t="s">
        <v>7</v>
      </c>
      <c r="C3929" s="0" t="s">
        <v>1841</v>
      </c>
      <c r="D3929" s="0" t="s">
        <v>158</v>
      </c>
      <c r="E3929" s="0" t="s">
        <v>158</v>
      </c>
      <c r="F3929" s="0" t="s">
        <v>158</v>
      </c>
    </row>
    <row r="3930" customFormat="false" ht="12.8" hidden="false" customHeight="false" outlineLevel="0" collapsed="false">
      <c r="B3930" s="0" t="s">
        <v>165</v>
      </c>
      <c r="C3930" s="0" t="s">
        <v>1842</v>
      </c>
      <c r="D3930" s="0" t="s">
        <v>160</v>
      </c>
      <c r="E3930" s="0" t="s">
        <v>160</v>
      </c>
      <c r="F3930" s="0" t="s">
        <v>160</v>
      </c>
    </row>
    <row r="3931" customFormat="false" ht="12.8" hidden="false" customHeight="false" outlineLevel="0" collapsed="false">
      <c r="B3931" s="0" t="s">
        <v>207</v>
      </c>
      <c r="C3931" s="0" t="s">
        <v>1165</v>
      </c>
      <c r="D3931" s="0" t="s">
        <v>1843</v>
      </c>
      <c r="E3931" s="0" t="s">
        <v>1843</v>
      </c>
      <c r="F3931" s="0" t="s">
        <v>1843</v>
      </c>
    </row>
    <row r="3933" customFormat="false" ht="12.8" hidden="false" customHeight="false" outlineLevel="0" collapsed="false">
      <c r="A3933" s="0" t="s">
        <v>1844</v>
      </c>
      <c r="B3933" s="0" t="str">
        <f aca="false">HYPERLINK("https://lindat.mff.cuni.cz/services/teitok/pdtc10/index.php?action=vallex&amp;frame=v-w561f1", "dohodnout se (v-w561f1)")</f>
        <v>dohodnout se (v-w561f1)</v>
      </c>
    </row>
    <row r="3934" customFormat="false" ht="12.8" hidden="false" customHeight="false" outlineLevel="0" collapsed="false">
      <c r="B3934" s="0" t="s">
        <v>7</v>
      </c>
      <c r="C3934" s="0" t="s">
        <v>1845</v>
      </c>
      <c r="D3934" s="0" t="s">
        <v>1846</v>
      </c>
      <c r="E3934" s="0" t="s">
        <v>1846</v>
      </c>
      <c r="F3934" s="0" t="s">
        <v>1846</v>
      </c>
    </row>
    <row r="3935" customFormat="false" ht="12.8" hidden="false" customHeight="false" outlineLevel="0" collapsed="false">
      <c r="B3935" s="0" t="s">
        <v>1847</v>
      </c>
      <c r="C3935" s="0" t="s">
        <v>1848</v>
      </c>
      <c r="D3935" s="0" t="s">
        <v>1849</v>
      </c>
      <c r="E3935" s="0" t="s">
        <v>1849</v>
      </c>
      <c r="F3935" s="0" t="s">
        <v>1849</v>
      </c>
    </row>
    <row r="3936" customFormat="false" ht="12.8" hidden="false" customHeight="false" outlineLevel="0" collapsed="false">
      <c r="B3936" s="0" t="s">
        <v>1850</v>
      </c>
      <c r="C3936" s="0" t="s">
        <v>1851</v>
      </c>
      <c r="D3936" s="0" t="s">
        <v>1852</v>
      </c>
      <c r="E3936" s="0" t="s">
        <v>1852</v>
      </c>
      <c r="F3936" s="0" t="s">
        <v>1852</v>
      </c>
    </row>
    <row r="3938" customFormat="false" ht="12.8" hidden="false" customHeight="false" outlineLevel="0" collapsed="false">
      <c r="A3938" s="0" t="s">
        <v>1853</v>
      </c>
      <c r="B3938" s="0" t="str">
        <f aca="false">HYPERLINK("https://lindat.mff.cuni.cz/services/teitok/pdtc10/index.php?action=vallex&amp;frame=v-w563f1", "dohonit (v-w563f1)")</f>
        <v>dohonit (v-w563f1)</v>
      </c>
    </row>
    <row r="3939" customFormat="false" ht="12.8" hidden="false" customHeight="false" outlineLevel="0" collapsed="false">
      <c r="B3939" s="0" t="s">
        <v>7</v>
      </c>
    </row>
    <row r="3940" customFormat="false" ht="12.8" hidden="false" customHeight="false" outlineLevel="0" collapsed="false">
      <c r="B3940" s="0" t="s">
        <v>14</v>
      </c>
    </row>
    <row r="3942" customFormat="false" ht="12.8" hidden="false" customHeight="false" outlineLevel="0" collapsed="false">
      <c r="A3942" s="0" t="s">
        <v>1854</v>
      </c>
      <c r="B3942" s="0" t="str">
        <f aca="false">HYPERLINK("https://lindat.mff.cuni.cz/services/teitok/pdtc10/index.php?action=vallex&amp;frame=v-w563hsa_1210", "dohonit (v-w563hsa_1210)")</f>
        <v>dohonit (v-w563hsa_1210)</v>
      </c>
    </row>
    <row r="3943" customFormat="false" ht="12.8" hidden="false" customHeight="false" outlineLevel="0" collapsed="false">
      <c r="B3943" s="0" t="s">
        <v>7</v>
      </c>
    </row>
    <row r="3944" customFormat="false" ht="12.8" hidden="false" customHeight="false" outlineLevel="0" collapsed="false">
      <c r="B3944" s="0" t="s">
        <v>14</v>
      </c>
    </row>
    <row r="3946" customFormat="false" ht="12.8" hidden="false" customHeight="false" outlineLevel="0" collapsed="false">
      <c r="A3946" s="0" t="s">
        <v>1855</v>
      </c>
      <c r="B3946" s="0" t="str">
        <f aca="false">HYPERLINK("https://lindat.mff.cuni.cz/services/teitok/pdtc10/index.php?action=vallex&amp;frame=v-w563f2_ZU", "dohonit (v-w563f2_ZU)")</f>
        <v>dohonit (v-w563f2_ZU)</v>
      </c>
    </row>
    <row r="3947" customFormat="false" ht="12.8" hidden="false" customHeight="false" outlineLevel="0" collapsed="false">
      <c r="B3947" s="0" t="s">
        <v>7</v>
      </c>
    </row>
    <row r="3948" customFormat="false" ht="12.8" hidden="false" customHeight="false" outlineLevel="0" collapsed="false">
      <c r="B3948" s="0" t="s">
        <v>14</v>
      </c>
    </row>
    <row r="3950" customFormat="false" ht="12.8" hidden="false" customHeight="false" outlineLevel="0" collapsed="false">
      <c r="A3950" s="0" t="s">
        <v>1856</v>
      </c>
      <c r="B3950" s="0" t="str">
        <f aca="false">HYPERLINK("https://lindat.mff.cuni.cz/services/teitok/pdtc10/index.php?action=vallex&amp;frame=v-w565f1", "dohrát (v-w565f1)")</f>
        <v>dohrát (v-w565f1)</v>
      </c>
    </row>
    <row r="3951" customFormat="false" ht="12.8" hidden="false" customHeight="false" outlineLevel="0" collapsed="false">
      <c r="B3951" s="0" t="s">
        <v>7</v>
      </c>
      <c r="C3951" s="0" t="s">
        <v>1857</v>
      </c>
    </row>
    <row r="3952" customFormat="false" ht="12.8" hidden="false" customHeight="false" outlineLevel="0" collapsed="false">
      <c r="B3952" s="0" t="s">
        <v>14</v>
      </c>
      <c r="C3952" s="0" t="s">
        <v>466</v>
      </c>
    </row>
    <row r="3954" customFormat="false" ht="12.8" hidden="false" customHeight="false" outlineLevel="0" collapsed="false">
      <c r="A3954" s="0" t="s">
        <v>1858</v>
      </c>
      <c r="B3954" s="0" t="str">
        <f aca="false">HYPERLINK("https://lindat.mff.cuni.cz/services/teitok/pdtc10/index.php?action=vallex&amp;frame=v-w566f1", "dohrávat (v-w566f1)")</f>
        <v>dohrávat (v-w566f1)</v>
      </c>
    </row>
    <row r="3955" customFormat="false" ht="12.8" hidden="false" customHeight="false" outlineLevel="0" collapsed="false">
      <c r="B3955" s="0" t="s">
        <v>7</v>
      </c>
    </row>
    <row r="3956" customFormat="false" ht="12.8" hidden="false" customHeight="false" outlineLevel="0" collapsed="false">
      <c r="B3956" s="0" t="s">
        <v>14</v>
      </c>
    </row>
    <row r="3958" customFormat="false" ht="12.8" hidden="false" customHeight="false" outlineLevel="0" collapsed="false">
      <c r="A3958" s="0" t="s">
        <v>1859</v>
      </c>
      <c r="B3958" s="0" t="str">
        <f aca="false">HYPERLINK("https://lindat.mff.cuni.cz/services/teitok/pdtc10/index.php?action=vallex&amp;frame=v-w551f2_ZU", "dohánět (v-w551f2_ZU)")</f>
        <v>dohánět (v-w551f2_ZU)</v>
      </c>
    </row>
    <row r="3959" customFormat="false" ht="12.8" hidden="false" customHeight="false" outlineLevel="0" collapsed="false">
      <c r="B3959" s="0" t="s">
        <v>7</v>
      </c>
      <c r="C3959" s="0" t="s">
        <v>113</v>
      </c>
      <c r="D3959" s="0" t="s">
        <v>208</v>
      </c>
      <c r="E3959" s="0" t="s">
        <v>208</v>
      </c>
      <c r="F3959" s="0" t="s">
        <v>208</v>
      </c>
    </row>
    <row r="3960" customFormat="false" ht="12.8" hidden="false" customHeight="false" outlineLevel="0" collapsed="false">
      <c r="B3960" s="0" t="s">
        <v>237</v>
      </c>
      <c r="C3960" s="0" t="s">
        <v>1860</v>
      </c>
      <c r="D3960" s="0" t="s">
        <v>1827</v>
      </c>
      <c r="E3960" s="0" t="s">
        <v>1827</v>
      </c>
      <c r="F3960" s="0" t="s">
        <v>1827</v>
      </c>
    </row>
    <row r="3961" customFormat="false" ht="12.8" hidden="false" customHeight="false" outlineLevel="0" collapsed="false">
      <c r="B3961" s="0" t="s">
        <v>81</v>
      </c>
      <c r="C3961" s="0" t="s">
        <v>1861</v>
      </c>
      <c r="D3961" s="0" t="s">
        <v>1829</v>
      </c>
      <c r="E3961" s="0" t="s">
        <v>1829</v>
      </c>
      <c r="F3961" s="0" t="s">
        <v>1829</v>
      </c>
    </row>
    <row r="3963" customFormat="false" ht="12.8" hidden="false" customHeight="false" outlineLevel="0" collapsed="false">
      <c r="A3963" s="0" t="s">
        <v>1862</v>
      </c>
      <c r="B3963" s="0" t="str">
        <f aca="false">HYPERLINK("https://lindat.mff.cuni.cz/services/teitok/pdtc10/index.php?action=vallex&amp;frame=v-w551f1", "dohánět (v-w551f1)")</f>
        <v>dohánět (v-w551f1)</v>
      </c>
    </row>
    <row r="3964" customFormat="false" ht="12.8" hidden="false" customHeight="false" outlineLevel="0" collapsed="false">
      <c r="B3964" s="0" t="s">
        <v>7</v>
      </c>
      <c r="C3964" s="0" t="s">
        <v>16</v>
      </c>
      <c r="D3964" s="0" t="s">
        <v>16</v>
      </c>
      <c r="E3964" s="0" t="s">
        <v>16</v>
      </c>
      <c r="F3964" s="0" t="s">
        <v>16</v>
      </c>
    </row>
    <row r="3965" customFormat="false" ht="12.8" hidden="false" customHeight="false" outlineLevel="0" collapsed="false">
      <c r="B3965" s="0" t="s">
        <v>14</v>
      </c>
      <c r="C3965" s="0" t="s">
        <v>274</v>
      </c>
      <c r="D3965" s="0" t="s">
        <v>274</v>
      </c>
      <c r="E3965" s="0" t="s">
        <v>274</v>
      </c>
      <c r="F3965" s="0" t="s">
        <v>274</v>
      </c>
    </row>
    <row r="3967" customFormat="false" ht="12.8" hidden="false" customHeight="false" outlineLevel="0" collapsed="false">
      <c r="A3967" s="0" t="s">
        <v>1863</v>
      </c>
      <c r="B3967" s="0" t="str">
        <f aca="false">HYPERLINK("https://lindat.mff.cuni.cz/services/teitok/pdtc10/index.php?action=vallex&amp;frame=v-w573f1", "dojednat (v-w573f1)")</f>
        <v>dojednat (v-w573f1)</v>
      </c>
    </row>
    <row r="3968" customFormat="false" ht="12.8" hidden="false" customHeight="false" outlineLevel="0" collapsed="false">
      <c r="B3968" s="0" t="s">
        <v>7</v>
      </c>
      <c r="C3968" s="0" t="s">
        <v>1864</v>
      </c>
      <c r="D3968" s="0" t="s">
        <v>1801</v>
      </c>
      <c r="E3968" s="0" t="s">
        <v>1801</v>
      </c>
      <c r="F3968" s="0" t="s">
        <v>1801</v>
      </c>
    </row>
    <row r="3969" customFormat="false" ht="12.8" hidden="false" customHeight="false" outlineLevel="0" collapsed="false">
      <c r="B3969" s="0" t="s">
        <v>1865</v>
      </c>
      <c r="C3969" s="0" t="s">
        <v>1866</v>
      </c>
      <c r="D3969" s="0" t="s">
        <v>1804</v>
      </c>
      <c r="E3969" s="0" t="s">
        <v>1804</v>
      </c>
      <c r="F3969" s="0" t="s">
        <v>1804</v>
      </c>
    </row>
    <row r="3970" customFormat="false" ht="12.8" hidden="false" customHeight="false" outlineLevel="0" collapsed="false">
      <c r="B3970" s="0" t="s">
        <v>207</v>
      </c>
      <c r="C3970" s="0" t="s">
        <v>1867</v>
      </c>
      <c r="D3970" s="0" t="s">
        <v>1806</v>
      </c>
      <c r="E3970" s="0" t="s">
        <v>1806</v>
      </c>
      <c r="F3970" s="0" t="s">
        <v>1806</v>
      </c>
    </row>
    <row r="3972" customFormat="false" ht="12.8" hidden="false" customHeight="false" outlineLevel="0" collapsed="false">
      <c r="A3972" s="0" t="s">
        <v>1868</v>
      </c>
      <c r="B3972" s="0" t="str">
        <f aca="false">HYPERLINK("https://lindat.mff.cuni.cz/services/teitok/pdtc10/index.php?action=vallex&amp;frame=v-w10384f2", "dojednávat (v-w10384f2)")</f>
        <v>dojednávat (v-w10384f2)</v>
      </c>
    </row>
    <row r="3973" customFormat="false" ht="12.8" hidden="false" customHeight="false" outlineLevel="0" collapsed="false">
      <c r="B3973" s="0" t="s">
        <v>7</v>
      </c>
      <c r="C3973" s="0" t="s">
        <v>1869</v>
      </c>
      <c r="D3973" s="0" t="s">
        <v>1801</v>
      </c>
      <c r="E3973" s="0" t="s">
        <v>1801</v>
      </c>
      <c r="F3973" s="0" t="s">
        <v>1801</v>
      </c>
    </row>
    <row r="3974" customFormat="false" ht="12.8" hidden="false" customHeight="false" outlineLevel="0" collapsed="false">
      <c r="B3974" s="0" t="s">
        <v>1865</v>
      </c>
      <c r="C3974" s="0" t="s">
        <v>1870</v>
      </c>
      <c r="D3974" s="0" t="s">
        <v>1804</v>
      </c>
      <c r="E3974" s="0" t="s">
        <v>1804</v>
      </c>
      <c r="F3974" s="0" t="s">
        <v>1804</v>
      </c>
    </row>
    <row r="3975" customFormat="false" ht="12.8" hidden="false" customHeight="false" outlineLevel="0" collapsed="false">
      <c r="B3975" s="0" t="s">
        <v>207</v>
      </c>
      <c r="C3975" s="0" t="s">
        <v>1871</v>
      </c>
      <c r="D3975" s="0" t="s">
        <v>1806</v>
      </c>
      <c r="E3975" s="0" t="s">
        <v>1806</v>
      </c>
      <c r="F3975" s="0" t="s">
        <v>1806</v>
      </c>
    </row>
    <row r="3977" customFormat="false" ht="12.8" hidden="false" customHeight="false" outlineLevel="0" collapsed="false">
      <c r="A3977" s="0" t="s">
        <v>1872</v>
      </c>
      <c r="B3977" s="0" t="str">
        <f aca="false">HYPERLINK("https://lindat.mff.cuni.cz/services/teitok/pdtc10/index.php?action=vallex&amp;frame=v-w576f2", "dojet (v-w576f2)")</f>
        <v>dojet (v-w576f2)</v>
      </c>
    </row>
    <row r="3978" customFormat="false" ht="12.8" hidden="false" customHeight="false" outlineLevel="0" collapsed="false">
      <c r="B3978" s="0" t="s">
        <v>7</v>
      </c>
    </row>
    <row r="3979" customFormat="false" ht="12.8" hidden="false" customHeight="false" outlineLevel="0" collapsed="false">
      <c r="B3979" s="0" t="s">
        <v>14</v>
      </c>
    </row>
    <row r="3981" customFormat="false" ht="12.8" hidden="false" customHeight="false" outlineLevel="0" collapsed="false">
      <c r="A3981" s="0" t="s">
        <v>1873</v>
      </c>
      <c r="B3981" s="0" t="str">
        <f aca="false">HYPERLINK("https://lindat.mff.cuni.cz/services/teitok/pdtc10/index.php?action=vallex&amp;frame=v-w576f1", "dojet (v-w576f1)")</f>
        <v>dojet (v-w576f1)</v>
      </c>
    </row>
    <row r="3982" customFormat="false" ht="12.8" hidden="false" customHeight="false" outlineLevel="0" collapsed="false">
      <c r="B3982" s="0" t="s">
        <v>7</v>
      </c>
      <c r="C3982" s="0" t="s">
        <v>1874</v>
      </c>
      <c r="E3982" s="0" t="s">
        <v>1706</v>
      </c>
      <c r="F3982" s="0" t="s">
        <v>1706</v>
      </c>
    </row>
    <row r="3983" customFormat="false" ht="12.8" hidden="false" customHeight="false" outlineLevel="0" collapsed="false">
      <c r="B3983" s="0" t="s">
        <v>124</v>
      </c>
      <c r="E3983" s="0" t="s">
        <v>1707</v>
      </c>
      <c r="F3983" s="0" t="s">
        <v>1707</v>
      </c>
    </row>
    <row r="3985" customFormat="false" ht="12.8" hidden="false" customHeight="false" outlineLevel="0" collapsed="false">
      <c r="A3985" s="0" t="s">
        <v>1875</v>
      </c>
      <c r="B3985" s="0" t="str">
        <f aca="false">HYPERLINK("https://lindat.mff.cuni.cz/services/teitok/pdtc10/index.php?action=vallex&amp;frame=v-w576f3_ZU", "dojet (v-w576f3_ZU)")</f>
        <v>dojet (v-w576f3_ZU)</v>
      </c>
    </row>
    <row r="3986" customFormat="false" ht="12.8" hidden="false" customHeight="false" outlineLevel="0" collapsed="false">
      <c r="B3986" s="0" t="s">
        <v>7</v>
      </c>
    </row>
    <row r="3987" customFormat="false" ht="12.8" hidden="false" customHeight="false" outlineLevel="0" collapsed="false">
      <c r="B3987" s="0" t="s">
        <v>14</v>
      </c>
    </row>
    <row r="3989" customFormat="false" ht="12.8" hidden="false" customHeight="false" outlineLevel="0" collapsed="false">
      <c r="A3989" s="0" t="s">
        <v>1876</v>
      </c>
      <c r="B3989" s="0" t="str">
        <f aca="false">HYPERLINK("https://lindat.mff.cuni.cz/services/teitok/pdtc10/index.php?action=vallex&amp;frame=v-w581f1", "dojit (v-w581f1)")</f>
        <v>dojit (v-w581f1)</v>
      </c>
    </row>
    <row r="3990" customFormat="false" ht="12.8" hidden="false" customHeight="false" outlineLevel="0" collapsed="false">
      <c r="B3990" s="0" t="s">
        <v>7</v>
      </c>
      <c r="C3990" s="0" t="s">
        <v>191</v>
      </c>
    </row>
    <row r="3991" customFormat="false" ht="12.8" hidden="false" customHeight="false" outlineLevel="0" collapsed="false">
      <c r="B3991" s="0" t="s">
        <v>14</v>
      </c>
      <c r="C3991" s="0" t="s">
        <v>1544</v>
      </c>
    </row>
    <row r="3993" customFormat="false" ht="12.8" hidden="false" customHeight="false" outlineLevel="0" collapsed="false">
      <c r="A3993" s="0" t="s">
        <v>1877</v>
      </c>
      <c r="B3993" s="0" t="str">
        <f aca="false">HYPERLINK("https://lindat.mff.cuni.cz/services/teitok/pdtc10/index.php?action=vallex&amp;frame=v-w581f2", "dojit (v-w581f2)")</f>
        <v>dojit (v-w581f2)</v>
      </c>
    </row>
    <row r="3994" customFormat="false" ht="12.8" hidden="false" customHeight="false" outlineLevel="0" collapsed="false">
      <c r="B3994" s="0" t="s">
        <v>7</v>
      </c>
    </row>
    <row r="3995" customFormat="false" ht="12.8" hidden="false" customHeight="false" outlineLevel="0" collapsed="false">
      <c r="B3995" s="0" t="s">
        <v>297</v>
      </c>
    </row>
    <row r="3997" customFormat="false" ht="12.8" hidden="false" customHeight="false" outlineLevel="0" collapsed="false">
      <c r="A3997" s="0" t="s">
        <v>1878</v>
      </c>
      <c r="B3997" s="0" t="str">
        <f aca="false">HYPERLINK("https://lindat.mff.cuni.cz/services/teitok/pdtc10/index.php?action=vallex&amp;frame=v-w585f1", "dojmout (v-w585f1)")</f>
        <v>dojmout (v-w585f1)</v>
      </c>
    </row>
    <row r="3998" customFormat="false" ht="12.8" hidden="false" customHeight="false" outlineLevel="0" collapsed="false">
      <c r="B3998" s="0" t="s">
        <v>7</v>
      </c>
      <c r="C3998" s="0" t="s">
        <v>191</v>
      </c>
      <c r="D3998" s="0" t="s">
        <v>1879</v>
      </c>
      <c r="E3998" s="0" t="s">
        <v>1879</v>
      </c>
      <c r="F3998" s="0" t="s">
        <v>1879</v>
      </c>
    </row>
    <row r="3999" customFormat="false" ht="12.8" hidden="false" customHeight="false" outlineLevel="0" collapsed="false">
      <c r="B3999" s="0" t="s">
        <v>14</v>
      </c>
      <c r="D3999" s="0" t="s">
        <v>74</v>
      </c>
      <c r="E3999" s="0" t="s">
        <v>74</v>
      </c>
      <c r="F3999" s="0" t="s">
        <v>74</v>
      </c>
    </row>
    <row r="4001" customFormat="false" ht="12.8" hidden="false" customHeight="false" outlineLevel="0" collapsed="false">
      <c r="A4001" s="0" t="s">
        <v>1880</v>
      </c>
      <c r="B4001" s="0" t="str">
        <f aca="false">HYPERLINK("https://lindat.mff.cuni.cz/services/teitok/pdtc10/index.php?action=vallex&amp;frame=v-w580f1", "dojímat (v-w580f1)")</f>
        <v>dojímat (v-w580f1)</v>
      </c>
    </row>
    <row r="4002" customFormat="false" ht="12.8" hidden="false" customHeight="false" outlineLevel="0" collapsed="false">
      <c r="B4002" s="0" t="s">
        <v>7</v>
      </c>
    </row>
    <row r="4003" customFormat="false" ht="12.8" hidden="false" customHeight="false" outlineLevel="0" collapsed="false">
      <c r="B4003" s="0" t="s">
        <v>14</v>
      </c>
    </row>
    <row r="4005" customFormat="false" ht="12.8" hidden="false" customHeight="false" outlineLevel="0" collapsed="false">
      <c r="A4005" s="0" t="s">
        <v>1881</v>
      </c>
      <c r="B4005" s="0" t="str">
        <f aca="false">HYPERLINK("https://lindat.mff.cuni.cz/services/teitok/pdtc10/index.php?action=vallex&amp;frame=v-w11883_ZUf1_ZU", "dojíst (v-w11883_ZUf1_ZU)")</f>
        <v>dojíst (v-w11883_ZUf1_ZU)</v>
      </c>
    </row>
    <row r="4006" customFormat="false" ht="12.8" hidden="false" customHeight="false" outlineLevel="0" collapsed="false">
      <c r="B4006" s="0" t="s">
        <v>7</v>
      </c>
    </row>
    <row r="4007" customFormat="false" ht="12.8" hidden="false" customHeight="false" outlineLevel="0" collapsed="false">
      <c r="B4007" s="0" t="s">
        <v>14</v>
      </c>
    </row>
    <row r="4009" customFormat="false" ht="12.8" hidden="false" customHeight="false" outlineLevel="0" collapsed="false">
      <c r="A4009" s="0" t="s">
        <v>1882</v>
      </c>
      <c r="B4009" s="0" t="str">
        <f aca="false">HYPERLINK("https://lindat.mff.cuni.cz/services/teitok/pdtc10/index.php?action=vallex&amp;frame=v-w582f15_ZU", "dojít (v-w582f15_ZU)")</f>
        <v>dojít (v-w582f15_ZU)</v>
      </c>
    </row>
    <row r="4010" customFormat="false" ht="12.8" hidden="false" customHeight="false" outlineLevel="0" collapsed="false">
      <c r="B4010" s="0" t="s">
        <v>7</v>
      </c>
    </row>
    <row r="4011" customFormat="false" ht="12.8" hidden="false" customHeight="false" outlineLevel="0" collapsed="false">
      <c r="B4011" s="0" t="s">
        <v>1883</v>
      </c>
    </row>
    <row r="4013" customFormat="false" ht="12.8" hidden="false" customHeight="false" outlineLevel="0" collapsed="false">
      <c r="A4013" s="0" t="s">
        <v>1882</v>
      </c>
      <c r="B4013" s="0" t="str">
        <f aca="false">HYPERLINK("https://lindat.mff.cuni.cz/services/teitok/pdtc10/index.php?action=vallex&amp;frame=v-w582f7", "dojít (v-w582f7) - substituted with v-w582f15_ZU")</f>
        <v>dojít (v-w582f7) - substituted with v-w582f15_ZU</v>
      </c>
    </row>
    <row r="4014" customFormat="false" ht="12.8" hidden="false" customHeight="false" outlineLevel="0" collapsed="false">
      <c r="B4014" s="0" t="s">
        <v>7</v>
      </c>
      <c r="D4014" s="0" t="s">
        <v>1719</v>
      </c>
      <c r="E4014" s="0" t="s">
        <v>1719</v>
      </c>
      <c r="F4014" s="0" t="s">
        <v>1719</v>
      </c>
    </row>
    <row r="4015" customFormat="false" ht="12.8" hidden="false" customHeight="false" outlineLevel="0" collapsed="false">
      <c r="B4015" s="0" t="s">
        <v>1883</v>
      </c>
      <c r="D4015" s="0" t="s">
        <v>1721</v>
      </c>
      <c r="E4015" s="0" t="s">
        <v>1721</v>
      </c>
      <c r="F4015" s="0" t="s">
        <v>1721</v>
      </c>
    </row>
    <row r="4017" customFormat="false" ht="12.8" hidden="false" customHeight="false" outlineLevel="0" collapsed="false">
      <c r="A4017" s="0" t="s">
        <v>1884</v>
      </c>
      <c r="B4017" s="0" t="str">
        <f aca="false">HYPERLINK("https://lindat.mff.cuni.cz/services/teitok/pdtc10/index.php?action=vallex&amp;frame=v-w582f11", "dojít (v-w582f11)")</f>
        <v>dojít (v-w582f11)</v>
      </c>
    </row>
    <row r="4018" customFormat="false" ht="12.8" hidden="false" customHeight="false" outlineLevel="0" collapsed="false">
      <c r="B4018" s="0" t="s">
        <v>7</v>
      </c>
    </row>
    <row r="4019" customFormat="false" ht="12.8" hidden="false" customHeight="false" outlineLevel="0" collapsed="false">
      <c r="B4019" s="0" t="s">
        <v>14</v>
      </c>
    </row>
    <row r="4021" customFormat="false" ht="12.8" hidden="false" customHeight="false" outlineLevel="0" collapsed="false">
      <c r="A4021" s="0" t="s">
        <v>1885</v>
      </c>
      <c r="B4021" s="0" t="str">
        <f aca="false">HYPERLINK("https://lindat.mff.cuni.cz/services/teitok/pdtc10/index.php?action=vallex&amp;frame=v-w582f17_ZU", "dojít (v-w582f17_ZU)")</f>
        <v>dojít (v-w582f17_ZU)</v>
      </c>
    </row>
    <row r="4022" customFormat="false" ht="12.8" hidden="false" customHeight="false" outlineLevel="0" collapsed="false">
      <c r="B4022" s="0" t="s">
        <v>7</v>
      </c>
    </row>
    <row r="4023" customFormat="false" ht="12.8" hidden="false" customHeight="false" outlineLevel="0" collapsed="false">
      <c r="B4023" s="0" t="s">
        <v>237</v>
      </c>
    </row>
    <row r="4025" customFormat="false" ht="12.8" hidden="false" customHeight="false" outlineLevel="0" collapsed="false">
      <c r="A4025" s="0" t="s">
        <v>1885</v>
      </c>
      <c r="B4025" s="0" t="str">
        <f aca="false">HYPERLINK("https://lindat.mff.cuni.cz/services/teitok/pdtc10/index.php?action=vallex&amp;frame=v-w582f2", "dojít (v-w582f2) - substituted with v-w582f17_ZU")</f>
        <v>dojít (v-w582f2) - substituted with v-w582f17_ZU</v>
      </c>
    </row>
    <row r="4026" customFormat="false" ht="12.8" hidden="false" customHeight="false" outlineLevel="0" collapsed="false">
      <c r="B4026" s="0" t="s">
        <v>7</v>
      </c>
      <c r="C4026" s="0" t="s">
        <v>1886</v>
      </c>
      <c r="D4026" s="0" t="s">
        <v>1700</v>
      </c>
      <c r="E4026" s="0" t="s">
        <v>1700</v>
      </c>
      <c r="F4026" s="0" t="s">
        <v>1700</v>
      </c>
    </row>
    <row r="4027" customFormat="false" ht="12.8" hidden="false" customHeight="false" outlineLevel="0" collapsed="false">
      <c r="B4027" s="0" t="s">
        <v>237</v>
      </c>
      <c r="C4027" s="0" t="s">
        <v>1887</v>
      </c>
      <c r="D4027" s="0" t="s">
        <v>1164</v>
      </c>
      <c r="E4027" s="0" t="s">
        <v>1164</v>
      </c>
      <c r="F4027" s="0" t="s">
        <v>1164</v>
      </c>
    </row>
    <row r="4029" customFormat="false" ht="12.8" hidden="false" customHeight="false" outlineLevel="0" collapsed="false">
      <c r="A4029" s="0" t="s">
        <v>1888</v>
      </c>
      <c r="B4029" s="0" t="str">
        <f aca="false">HYPERLINK("https://lindat.mff.cuni.cz/services/teitok/pdtc10/index.php?action=vallex&amp;frame=v-w582f20_ZU", "dojít (v-w582f20_ZU)")</f>
        <v>dojít (v-w582f20_ZU)</v>
      </c>
    </row>
    <row r="4030" customFormat="false" ht="12.8" hidden="false" customHeight="false" outlineLevel="0" collapsed="false">
      <c r="B4030" s="0" t="s">
        <v>603</v>
      </c>
    </row>
    <row r="4031" customFormat="false" ht="12.8" hidden="false" customHeight="false" outlineLevel="0" collapsed="false">
      <c r="B4031" s="0" t="s">
        <v>1889</v>
      </c>
    </row>
    <row r="4033" customFormat="false" ht="12.8" hidden="false" customHeight="false" outlineLevel="0" collapsed="false">
      <c r="A4033" s="0" t="s">
        <v>1888</v>
      </c>
      <c r="B4033" s="0" t="str">
        <f aca="false">HYPERLINK("https://lindat.mff.cuni.cz/services/teitok/pdtc10/index.php?action=vallex&amp;frame=v-w582f6", "dojít (v-w582f6) - substituted with v-w582f20_ZU")</f>
        <v>dojít (v-w582f6) - substituted with v-w582f20_ZU</v>
      </c>
    </row>
    <row r="4034" customFormat="false" ht="12.8" hidden="false" customHeight="false" outlineLevel="0" collapsed="false">
      <c r="B4034" s="0" t="s">
        <v>603</v>
      </c>
      <c r="C4034" s="0" t="s">
        <v>1261</v>
      </c>
    </row>
    <row r="4035" customFormat="false" ht="12.8" hidden="false" customHeight="false" outlineLevel="0" collapsed="false">
      <c r="B4035" s="0" t="s">
        <v>1889</v>
      </c>
      <c r="C4035" s="0" t="s">
        <v>342</v>
      </c>
    </row>
    <row r="4037" customFormat="false" ht="12.8" hidden="false" customHeight="false" outlineLevel="0" collapsed="false">
      <c r="A4037" s="0" t="s">
        <v>1890</v>
      </c>
      <c r="B4037" s="0" t="str">
        <f aca="false">HYPERLINK("https://lindat.mff.cuni.cz/services/teitok/pdtc10/index.php?action=vallex&amp;frame=v-w582f19_ZU", "dojít (v-w582f19_ZU)")</f>
        <v>dojít (v-w582f19_ZU)</v>
      </c>
    </row>
    <row r="4038" customFormat="false" ht="12.8" hidden="false" customHeight="false" outlineLevel="0" collapsed="false">
      <c r="B4038" s="0" t="s">
        <v>7</v>
      </c>
    </row>
    <row r="4039" customFormat="false" ht="12.8" hidden="false" customHeight="false" outlineLevel="0" collapsed="false">
      <c r="B4039" s="0" t="s">
        <v>124</v>
      </c>
    </row>
    <row r="4041" customFormat="false" ht="12.8" hidden="false" customHeight="false" outlineLevel="0" collapsed="false">
      <c r="A4041" s="0" t="s">
        <v>1890</v>
      </c>
      <c r="B4041" s="0" t="str">
        <f aca="false">HYPERLINK("https://lindat.mff.cuni.cz/services/teitok/pdtc10/index.php?action=vallex&amp;frame=v-w582f18_ZU", "dojít (v-w582f18_ZU) - substituted with v-w582f19_ZU")</f>
        <v>dojít (v-w582f18_ZU) - substituted with v-w582f19_ZU</v>
      </c>
    </row>
    <row r="4042" customFormat="false" ht="12.8" hidden="false" customHeight="false" outlineLevel="0" collapsed="false">
      <c r="B4042" s="0" t="s">
        <v>7</v>
      </c>
    </row>
    <row r="4043" customFormat="false" ht="12.8" hidden="false" customHeight="false" outlineLevel="0" collapsed="false">
      <c r="B4043" s="0" t="s">
        <v>124</v>
      </c>
    </row>
    <row r="4045" customFormat="false" ht="12.8" hidden="false" customHeight="false" outlineLevel="0" collapsed="false">
      <c r="A4045" s="0" t="s">
        <v>1890</v>
      </c>
      <c r="B4045" s="0" t="str">
        <f aca="false">HYPERLINK("https://lindat.mff.cuni.cz/services/teitok/pdtc10/index.php?action=vallex&amp;frame=v-w582f3", "dojít (v-w582f3) - substituted with v-w582f19_ZU")</f>
        <v>dojít (v-w582f3) - substituted with v-w582f19_ZU</v>
      </c>
    </row>
    <row r="4046" customFormat="false" ht="12.8" hidden="false" customHeight="false" outlineLevel="0" collapsed="false">
      <c r="B4046" s="0" t="s">
        <v>7</v>
      </c>
      <c r="C4046" s="0" t="s">
        <v>1891</v>
      </c>
      <c r="D4046" s="0" t="s">
        <v>1705</v>
      </c>
      <c r="E4046" s="0" t="s">
        <v>1706</v>
      </c>
      <c r="F4046" s="0" t="s">
        <v>1706</v>
      </c>
    </row>
    <row r="4047" customFormat="false" ht="12.8" hidden="false" customHeight="false" outlineLevel="0" collapsed="false">
      <c r="B4047" s="0" t="s">
        <v>124</v>
      </c>
      <c r="C4047" s="0" t="s">
        <v>1892</v>
      </c>
      <c r="D4047" s="0" t="s">
        <v>1707</v>
      </c>
      <c r="E4047" s="0" t="s">
        <v>1707</v>
      </c>
      <c r="F4047" s="0" t="s">
        <v>1707</v>
      </c>
    </row>
    <row r="4049" customFormat="false" ht="12.8" hidden="false" customHeight="false" outlineLevel="0" collapsed="false">
      <c r="A4049" s="0" t="s">
        <v>1893</v>
      </c>
      <c r="B4049" s="0" t="str">
        <f aca="false">HYPERLINK("https://lindat.mff.cuni.cz/services/teitok/pdtc10/index.php?action=vallex&amp;frame=v-w582f9", "dojít (v-w582f9)")</f>
        <v>dojít (v-w582f9)</v>
      </c>
    </row>
    <row r="4050" customFormat="false" ht="12.8" hidden="false" customHeight="false" outlineLevel="0" collapsed="false">
      <c r="B4050" s="0" t="s">
        <v>7</v>
      </c>
      <c r="C4050" s="0" t="s">
        <v>1894</v>
      </c>
      <c r="D4050" s="0" t="s">
        <v>1705</v>
      </c>
      <c r="E4050" s="0" t="s">
        <v>1706</v>
      </c>
      <c r="F4050" s="0" t="s">
        <v>1706</v>
      </c>
    </row>
    <row r="4051" customFormat="false" ht="12.8" hidden="false" customHeight="false" outlineLevel="0" collapsed="false">
      <c r="B4051" s="0" t="s">
        <v>124</v>
      </c>
      <c r="D4051" s="0" t="s">
        <v>1707</v>
      </c>
      <c r="E4051" s="0" t="s">
        <v>1707</v>
      </c>
      <c r="F4051" s="0" t="s">
        <v>1707</v>
      </c>
    </row>
    <row r="4053" customFormat="false" ht="12.8" hidden="false" customHeight="false" outlineLevel="0" collapsed="false">
      <c r="A4053" s="0" t="s">
        <v>1895</v>
      </c>
      <c r="B4053" s="0" t="str">
        <f aca="false">HYPERLINK("https://lindat.mff.cuni.cz/services/teitok/pdtc10/index.php?action=vallex&amp;frame=v-w582f13_ZU", "dojít (v-w582f13_ZU)")</f>
        <v>dojít (v-w582f13_ZU)</v>
      </c>
    </row>
    <row r="4054" customFormat="false" ht="12.8" hidden="false" customHeight="false" outlineLevel="0" collapsed="false">
      <c r="B4054" s="0" t="s">
        <v>7</v>
      </c>
      <c r="C4054" s="0" t="s">
        <v>272</v>
      </c>
      <c r="D4054" s="0" t="s">
        <v>708</v>
      </c>
      <c r="E4054" s="0" t="s">
        <v>708</v>
      </c>
      <c r="F4054" s="0" t="s">
        <v>708</v>
      </c>
    </row>
    <row r="4056" customFormat="false" ht="12.8" hidden="false" customHeight="false" outlineLevel="0" collapsed="false">
      <c r="A4056" s="0" t="s">
        <v>1895</v>
      </c>
      <c r="B4056" s="0" t="str">
        <f aca="false">HYPERLINK("https://lindat.mff.cuni.cz/services/teitok/pdtc10/index.php?action=vallex&amp;frame=v-w582f4", "dojít (v-w582f4) - substituted with v-w582f13_ZU")</f>
        <v>dojít (v-w582f4) - substituted with v-w582f13_ZU</v>
      </c>
    </row>
    <row r="4057" customFormat="false" ht="12.8" hidden="false" customHeight="false" outlineLevel="0" collapsed="false">
      <c r="B4057" s="0" t="s">
        <v>7</v>
      </c>
      <c r="C4057" s="0" t="s">
        <v>1896</v>
      </c>
    </row>
    <row r="4059" customFormat="false" ht="12.8" hidden="false" customHeight="false" outlineLevel="0" collapsed="false">
      <c r="A4059" s="0" t="s">
        <v>1897</v>
      </c>
      <c r="B4059" s="0" t="str">
        <f aca="false">HYPERLINK("https://lindat.mff.cuni.cz/services/teitok/pdtc10/index.php?action=vallex&amp;frame=v-w582f10", "dojít (v-w582f10)")</f>
        <v>dojít (v-w582f10)</v>
      </c>
    </row>
    <row r="4060" customFormat="false" ht="12.8" hidden="false" customHeight="false" outlineLevel="0" collapsed="false">
      <c r="B4060" s="0" t="s">
        <v>7</v>
      </c>
    </row>
    <row r="4062" customFormat="false" ht="12.8" hidden="false" customHeight="false" outlineLevel="0" collapsed="false">
      <c r="A4062" s="0" t="s">
        <v>1898</v>
      </c>
      <c r="B4062" s="0" t="str">
        <f aca="false">HYPERLINK("https://lindat.mff.cuni.cz/services/teitok/pdtc10/index.php?action=vallex&amp;frame=v-w582f14_ZU", "dojít (v-w582f14_ZU)")</f>
        <v>dojít (v-w582f14_ZU)</v>
      </c>
    </row>
    <row r="4063" customFormat="false" ht="12.8" hidden="false" customHeight="false" outlineLevel="0" collapsed="false">
      <c r="B4063" s="0" t="s">
        <v>1713</v>
      </c>
      <c r="D4063" s="0" t="s">
        <v>288</v>
      </c>
      <c r="E4063" s="0" t="s">
        <v>1899</v>
      </c>
      <c r="F4063" s="0" t="s">
        <v>1899</v>
      </c>
    </row>
    <row r="4065" customFormat="false" ht="12.8" hidden="false" customHeight="false" outlineLevel="0" collapsed="false">
      <c r="A4065" s="0" t="s">
        <v>1898</v>
      </c>
      <c r="B4065" s="0" t="str">
        <f aca="false">HYPERLINK("https://lindat.mff.cuni.cz/services/teitok/pdtc10/index.php?action=vallex&amp;frame=v-w582f1", "dojít (v-w582f1) - substituted with v-w582f14_ZU")</f>
        <v>dojít (v-w582f1) - substituted with v-w582f14_ZU</v>
      </c>
    </row>
    <row r="4066" customFormat="false" ht="12.8" hidden="false" customHeight="false" outlineLevel="0" collapsed="false">
      <c r="B4066" s="0" t="s">
        <v>1713</v>
      </c>
      <c r="C4066" s="0" t="s">
        <v>1900</v>
      </c>
    </row>
    <row r="4068" customFormat="false" ht="12.8" hidden="false" customHeight="false" outlineLevel="0" collapsed="false">
      <c r="A4068" s="0" t="s">
        <v>1901</v>
      </c>
      <c r="B4068" s="0" t="str">
        <f aca="false">HYPERLINK("https://lindat.mff.cuni.cz/services/teitok/pdtc10/index.php?action=vallex&amp;frame=v-w582f5", "dojít (v-w582f5)")</f>
        <v>dojít (v-w582f5)</v>
      </c>
    </row>
    <row r="4069" customFormat="false" ht="12.8" hidden="false" customHeight="false" outlineLevel="0" collapsed="false">
      <c r="B4069" s="0" t="s">
        <v>929</v>
      </c>
      <c r="C4069" s="0" t="s">
        <v>1902</v>
      </c>
      <c r="D4069" s="0" t="s">
        <v>288</v>
      </c>
      <c r="E4069" s="0" t="s">
        <v>288</v>
      </c>
      <c r="F4069" s="0" t="s">
        <v>288</v>
      </c>
    </row>
    <row r="4071" customFormat="false" ht="12.8" hidden="false" customHeight="false" outlineLevel="0" collapsed="false">
      <c r="A4071" s="0" t="s">
        <v>1903</v>
      </c>
      <c r="B4071" s="0" t="str">
        <f aca="false">HYPERLINK("https://lindat.mff.cuni.cz/services/teitok/pdtc10/index.php?action=vallex&amp;frame=v-w582f8", "dojít (v-w582f8)")</f>
        <v>dojít (v-w582f8)</v>
      </c>
    </row>
    <row r="4072" customFormat="false" ht="12.8" hidden="false" customHeight="false" outlineLevel="0" collapsed="false">
      <c r="B4072" s="0" t="s">
        <v>929</v>
      </c>
      <c r="C4072" s="0" t="s">
        <v>1902</v>
      </c>
    </row>
    <row r="4074" customFormat="false" ht="12.8" hidden="false" customHeight="false" outlineLevel="0" collapsed="false">
      <c r="A4074" s="0" t="s">
        <v>1904</v>
      </c>
      <c r="B4074" s="0" t="str">
        <f aca="false">HYPERLINK("https://lindat.mff.cuni.cz/services/teitok/pdtc10/index.php?action=vallex&amp;frame=v-w582f12_ZU", "dojít (v-w582f12_ZU)")</f>
        <v>dojít (v-w582f12_ZU)</v>
      </c>
    </row>
    <row r="4075" customFormat="false" ht="12.8" hidden="false" customHeight="false" outlineLevel="0" collapsed="false">
      <c r="B4075" s="0" t="s">
        <v>7</v>
      </c>
      <c r="C4075" s="0" t="s">
        <v>1905</v>
      </c>
    </row>
    <row r="4076" customFormat="false" ht="12.8" hidden="false" customHeight="false" outlineLevel="0" collapsed="false">
      <c r="B4076" s="0" t="s">
        <v>1906</v>
      </c>
    </row>
    <row r="4078" customFormat="false" ht="12.8" hidden="false" customHeight="false" outlineLevel="0" collapsed="false">
      <c r="A4078" s="0" t="s">
        <v>1907</v>
      </c>
      <c r="B4078" s="0" t="str">
        <f aca="false">HYPERLINK("https://lindat.mff.cuni.cz/services/teitok/pdtc10/index.php?action=vallex&amp;frame=v-w582f16_ZU", "dojít (v-w582f16_ZU)")</f>
        <v>dojít (v-w582f16_ZU)</v>
      </c>
    </row>
    <row r="4079" customFormat="false" ht="12.8" hidden="false" customHeight="false" outlineLevel="0" collapsed="false">
      <c r="B4079" s="0" t="s">
        <v>7</v>
      </c>
    </row>
    <row r="4080" customFormat="false" ht="12.8" hidden="false" customHeight="false" outlineLevel="0" collapsed="false">
      <c r="B4080" s="0" t="s">
        <v>14</v>
      </c>
    </row>
    <row r="4082" customFormat="false" ht="12.8" hidden="false" customHeight="false" outlineLevel="0" collapsed="false">
      <c r="A4082" s="0" t="s">
        <v>1907</v>
      </c>
      <c r="B4082" s="0" t="str">
        <f aca="false">HYPERLINK("https://lindat.mff.cuni.cz/services/teitok/pdtc10/index.php?action=vallex&amp;frame=v-w582hsa_243", "dojít (v-w582hsa_243) - substituted with v-w582f16_ZU")</f>
        <v>dojít (v-w582hsa_243) - substituted with v-w582f16_ZU</v>
      </c>
    </row>
    <row r="4083" customFormat="false" ht="12.8" hidden="false" customHeight="false" outlineLevel="0" collapsed="false">
      <c r="B4083" s="0" t="s">
        <v>7</v>
      </c>
    </row>
    <row r="4084" customFormat="false" ht="12.8" hidden="false" customHeight="false" outlineLevel="0" collapsed="false">
      <c r="B4084" s="0" t="s">
        <v>14</v>
      </c>
    </row>
    <row r="4086" customFormat="false" ht="12.8" hidden="false" customHeight="false" outlineLevel="0" collapsed="false">
      <c r="A4086" s="0" t="s">
        <v>1908</v>
      </c>
      <c r="B4086" s="0" t="str">
        <f aca="false">HYPERLINK("https://lindat.mff.cuni.cz/services/teitok/pdtc10/index.php?action=vallex&amp;frame=v-w582f21_ZU", "dojít (v-w582f21_ZU)")</f>
        <v>dojít (v-w582f21_ZU)</v>
      </c>
    </row>
    <row r="4087" customFormat="false" ht="12.8" hidden="false" customHeight="false" outlineLevel="0" collapsed="false">
      <c r="B4087" s="0" t="s">
        <v>7</v>
      </c>
    </row>
    <row r="4088" customFormat="false" ht="12.8" hidden="false" customHeight="false" outlineLevel="0" collapsed="false">
      <c r="B4088" s="0" t="s">
        <v>142</v>
      </c>
    </row>
    <row r="4090" customFormat="false" ht="12.8" hidden="false" customHeight="false" outlineLevel="0" collapsed="false">
      <c r="A4090" s="0" t="s">
        <v>1909</v>
      </c>
      <c r="B4090" s="0" t="str">
        <f aca="false">HYPERLINK("https://lindat.mff.cuni.cz/services/teitok/pdtc10/index.php?action=vallex&amp;frame=v-w582hsa_310", "dojít (v-w582hsa_310)")</f>
        <v>dojít (v-w582hsa_310)</v>
      </c>
    </row>
    <row r="4091" customFormat="false" ht="12.8" hidden="false" customHeight="false" outlineLevel="0" collapsed="false">
      <c r="B4091" s="0" t="s">
        <v>7</v>
      </c>
    </row>
    <row r="4092" customFormat="false" ht="12.8" hidden="false" customHeight="false" outlineLevel="0" collapsed="false">
      <c r="B4092" s="0" t="s">
        <v>14</v>
      </c>
    </row>
    <row r="4094" customFormat="false" ht="12.8" hidden="false" customHeight="false" outlineLevel="0" collapsed="false">
      <c r="A4094" s="0" t="s">
        <v>1910</v>
      </c>
      <c r="B4094" s="0" t="str">
        <f aca="false">HYPERLINK("https://lindat.mff.cuni.cz/services/teitok/pdtc10/index.php?action=vallex&amp;frame=v-w584f2", "dojíždět (v-w584f2)")</f>
        <v>dojíždět (v-w584f2)</v>
      </c>
    </row>
    <row r="4095" customFormat="false" ht="12.8" hidden="false" customHeight="false" outlineLevel="0" collapsed="false">
      <c r="B4095" s="0" t="s">
        <v>7</v>
      </c>
    </row>
    <row r="4096" customFormat="false" ht="12.8" hidden="false" customHeight="false" outlineLevel="0" collapsed="false">
      <c r="B4096" s="0" t="s">
        <v>14</v>
      </c>
    </row>
    <row r="4098" customFormat="false" ht="12.8" hidden="false" customHeight="false" outlineLevel="0" collapsed="false">
      <c r="A4098" s="0" t="s">
        <v>1911</v>
      </c>
      <c r="B4098" s="0" t="str">
        <f aca="false">HYPERLINK("https://lindat.mff.cuni.cz/services/teitok/pdtc10/index.php?action=vallex&amp;frame=v-w584f1", "dojíždět (v-w584f1)")</f>
        <v>dojíždět (v-w584f1)</v>
      </c>
    </row>
    <row r="4099" customFormat="false" ht="12.8" hidden="false" customHeight="false" outlineLevel="0" collapsed="false">
      <c r="B4099" s="0" t="s">
        <v>7</v>
      </c>
      <c r="C4099" s="0" t="s">
        <v>191</v>
      </c>
      <c r="D4099" s="0" t="s">
        <v>1912</v>
      </c>
      <c r="E4099" s="0" t="s">
        <v>1913</v>
      </c>
      <c r="F4099" s="0" t="s">
        <v>1913</v>
      </c>
    </row>
    <row r="4100" customFormat="false" ht="12.8" hidden="false" customHeight="false" outlineLevel="0" collapsed="false">
      <c r="B4100" s="0" t="s">
        <v>124</v>
      </c>
      <c r="D4100" s="0" t="s">
        <v>1914</v>
      </c>
      <c r="E4100" s="0" t="s">
        <v>1914</v>
      </c>
      <c r="F4100" s="0" t="s">
        <v>1914</v>
      </c>
    </row>
    <row r="4102" customFormat="false" ht="12.8" hidden="false" customHeight="false" outlineLevel="0" collapsed="false">
      <c r="A4102" s="0" t="s">
        <v>1915</v>
      </c>
      <c r="B4102" s="0" t="str">
        <f aca="false">HYPERLINK("https://lindat.mff.cuni.cz/services/teitok/pdtc10/index.php?action=vallex&amp;frame=v-w588f1", "dokazovat (v-w588f1)")</f>
        <v>dokazovat (v-w588f1)</v>
      </c>
    </row>
    <row r="4103" customFormat="false" ht="12.8" hidden="false" customHeight="false" outlineLevel="0" collapsed="false">
      <c r="B4103" s="0" t="s">
        <v>7</v>
      </c>
      <c r="C4103" s="0" t="s">
        <v>335</v>
      </c>
      <c r="D4103" s="0" t="s">
        <v>1916</v>
      </c>
      <c r="E4103" s="0" t="s">
        <v>1916</v>
      </c>
      <c r="F4103" s="0" t="s">
        <v>1916</v>
      </c>
    </row>
    <row r="4104" customFormat="false" ht="12.8" hidden="false" customHeight="false" outlineLevel="0" collapsed="false">
      <c r="B4104" s="0" t="s">
        <v>172</v>
      </c>
      <c r="C4104" s="0" t="s">
        <v>1917</v>
      </c>
      <c r="D4104" s="0" t="s">
        <v>1918</v>
      </c>
      <c r="E4104" s="0" t="s">
        <v>1918</v>
      </c>
      <c r="F4104" s="0" t="s">
        <v>1918</v>
      </c>
    </row>
    <row r="4105" customFormat="false" ht="12.8" hidden="false" customHeight="false" outlineLevel="0" collapsed="false">
      <c r="B4105" s="0" t="s">
        <v>48</v>
      </c>
      <c r="D4105" s="0" t="s">
        <v>1919</v>
      </c>
      <c r="E4105" s="0" t="s">
        <v>1919</v>
      </c>
      <c r="F4105" s="0" t="s">
        <v>1919</v>
      </c>
    </row>
    <row r="4107" customFormat="false" ht="12.8" hidden="false" customHeight="false" outlineLevel="0" collapsed="false">
      <c r="A4107" s="0" t="s">
        <v>1920</v>
      </c>
      <c r="B4107" s="0" t="str">
        <f aca="false">HYPERLINK("https://lindat.mff.cuni.cz/services/teitok/pdtc10/index.php?action=vallex&amp;frame=v-w588f2", "dokazovat (v-w588f2)")</f>
        <v>dokazovat (v-w588f2)</v>
      </c>
    </row>
    <row r="4108" customFormat="false" ht="12.8" hidden="false" customHeight="false" outlineLevel="0" collapsed="false">
      <c r="B4108" s="0" t="s">
        <v>7</v>
      </c>
      <c r="C4108" s="0" t="s">
        <v>1921</v>
      </c>
      <c r="D4108" s="0" t="s">
        <v>1922</v>
      </c>
      <c r="E4108" s="0" t="s">
        <v>1922</v>
      </c>
      <c r="F4108" s="0" t="s">
        <v>1922</v>
      </c>
    </row>
    <row r="4109" customFormat="false" ht="12.8" hidden="false" customHeight="false" outlineLevel="0" collapsed="false">
      <c r="B4109" s="0" t="s">
        <v>54</v>
      </c>
      <c r="C4109" s="0" t="s">
        <v>1923</v>
      </c>
      <c r="D4109" s="0" t="s">
        <v>899</v>
      </c>
      <c r="E4109" s="0" t="s">
        <v>899</v>
      </c>
      <c r="F4109" s="0" t="s">
        <v>899</v>
      </c>
    </row>
    <row r="4111" customFormat="false" ht="12.8" hidden="false" customHeight="false" outlineLevel="0" collapsed="false">
      <c r="A4111" s="0" t="s">
        <v>1924</v>
      </c>
      <c r="B4111" s="0" t="str">
        <f aca="false">HYPERLINK("https://lindat.mff.cuni.cz/services/teitok/pdtc10/index.php?action=vallex&amp;frame=v-w588f3", "dokazovat (v-w588f3)")</f>
        <v>dokazovat (v-w588f3)</v>
      </c>
    </row>
    <row r="4112" customFormat="false" ht="12.8" hidden="false" customHeight="false" outlineLevel="0" collapsed="false">
      <c r="B4112" s="0" t="s">
        <v>7</v>
      </c>
    </row>
    <row r="4113" customFormat="false" ht="12.8" hidden="false" customHeight="false" outlineLevel="0" collapsed="false">
      <c r="B4113" s="0" t="s">
        <v>1925</v>
      </c>
    </row>
    <row r="4114" customFormat="false" ht="12.8" hidden="false" customHeight="false" outlineLevel="0" collapsed="false">
      <c r="B4114" s="0" t="s">
        <v>363</v>
      </c>
    </row>
    <row r="4116" customFormat="false" ht="12.8" hidden="false" customHeight="false" outlineLevel="0" collapsed="false">
      <c r="A4116" s="0" t="s">
        <v>1926</v>
      </c>
      <c r="B4116" s="0" t="str">
        <f aca="false">HYPERLINK("https://lindat.mff.cuni.cz/services/teitok/pdtc10/index.php?action=vallex&amp;frame=v-w593f1", "dokladovat (v-w593f1)")</f>
        <v>dokladovat (v-w593f1)</v>
      </c>
    </row>
    <row r="4117" customFormat="false" ht="12.8" hidden="false" customHeight="false" outlineLevel="0" collapsed="false">
      <c r="B4117" s="0" t="s">
        <v>7</v>
      </c>
      <c r="D4117" s="0" t="s">
        <v>1922</v>
      </c>
      <c r="E4117" s="0" t="s">
        <v>1922</v>
      </c>
      <c r="F4117" s="0" t="s">
        <v>1922</v>
      </c>
    </row>
    <row r="4118" customFormat="false" ht="12.8" hidden="false" customHeight="false" outlineLevel="0" collapsed="false">
      <c r="B4118" s="0" t="s">
        <v>1451</v>
      </c>
      <c r="D4118" s="0" t="s">
        <v>899</v>
      </c>
      <c r="E4118" s="0" t="s">
        <v>899</v>
      </c>
      <c r="F4118" s="0" t="s">
        <v>899</v>
      </c>
    </row>
    <row r="4119" customFormat="false" ht="12.8" hidden="false" customHeight="false" outlineLevel="0" collapsed="false">
      <c r="B4119" s="0" t="s">
        <v>48</v>
      </c>
      <c r="D4119" s="0" t="s">
        <v>1927</v>
      </c>
      <c r="E4119" s="0" t="s">
        <v>1927</v>
      </c>
      <c r="F4119" s="0" t="s">
        <v>1927</v>
      </c>
    </row>
    <row r="4121" customFormat="false" ht="12.8" hidden="false" customHeight="false" outlineLevel="0" collapsed="false">
      <c r="A4121" s="0" t="s">
        <v>1928</v>
      </c>
      <c r="B4121" s="0" t="str">
        <f aca="false">HYPERLINK("https://lindat.mff.cuni.cz/services/teitok/pdtc10/index.php?action=vallex&amp;frame=v-w594f1", "doklepnout (v-w594f1)")</f>
        <v>doklepnout (v-w594f1)</v>
      </c>
    </row>
    <row r="4122" customFormat="false" ht="12.8" hidden="false" customHeight="false" outlineLevel="0" collapsed="false">
      <c r="B4122" s="0" t="s">
        <v>7</v>
      </c>
    </row>
    <row r="4123" customFormat="false" ht="12.8" hidden="false" customHeight="false" outlineLevel="0" collapsed="false">
      <c r="B4123" s="0" t="s">
        <v>14</v>
      </c>
    </row>
    <row r="4124" customFormat="false" ht="12.8" hidden="false" customHeight="false" outlineLevel="0" collapsed="false">
      <c r="B4124" s="0" t="s">
        <v>124</v>
      </c>
    </row>
    <row r="4126" customFormat="false" ht="12.8" hidden="false" customHeight="false" outlineLevel="0" collapsed="false">
      <c r="A4126" s="0" t="s">
        <v>1929</v>
      </c>
      <c r="B4126" s="0" t="str">
        <f aca="false">HYPERLINK("https://lindat.mff.cuni.cz/services/teitok/pdtc10/index.php?action=vallex&amp;frame=v-w595f1", "doklopýtat (v-w595f1)")</f>
        <v>doklopýtat (v-w595f1)</v>
      </c>
    </row>
    <row r="4127" customFormat="false" ht="12.8" hidden="false" customHeight="false" outlineLevel="0" collapsed="false">
      <c r="B4127" s="0" t="s">
        <v>7</v>
      </c>
    </row>
    <row r="4128" customFormat="false" ht="12.8" hidden="false" customHeight="false" outlineLevel="0" collapsed="false">
      <c r="B4128" s="0" t="s">
        <v>124</v>
      </c>
    </row>
    <row r="4130" customFormat="false" ht="12.8" hidden="false" customHeight="false" outlineLevel="0" collapsed="false">
      <c r="A4130" s="0" t="s">
        <v>1930</v>
      </c>
      <c r="B4130" s="0" t="str">
        <f aca="false">HYPERLINK("https://lindat.mff.cuni.cz/services/teitok/pdtc10/index.php?action=vallex&amp;frame=v-w592f1", "dokládat (v-w592f1)")</f>
        <v>dokládat (v-w592f1)</v>
      </c>
    </row>
    <row r="4131" customFormat="false" ht="12.8" hidden="false" customHeight="false" outlineLevel="0" collapsed="false">
      <c r="B4131" s="0" t="s">
        <v>7</v>
      </c>
      <c r="C4131" s="0" t="s">
        <v>1931</v>
      </c>
      <c r="D4131" s="0" t="s">
        <v>1922</v>
      </c>
      <c r="E4131" s="0" t="s">
        <v>1922</v>
      </c>
      <c r="F4131" s="0" t="s">
        <v>1922</v>
      </c>
    </row>
    <row r="4132" customFormat="false" ht="12.8" hidden="false" customHeight="false" outlineLevel="0" collapsed="false">
      <c r="B4132" s="0" t="s">
        <v>1451</v>
      </c>
      <c r="C4132" s="0" t="s">
        <v>1932</v>
      </c>
      <c r="D4132" s="0" t="s">
        <v>899</v>
      </c>
      <c r="E4132" s="0" t="s">
        <v>899</v>
      </c>
      <c r="F4132" s="0" t="s">
        <v>899</v>
      </c>
    </row>
    <row r="4133" customFormat="false" ht="12.8" hidden="false" customHeight="false" outlineLevel="0" collapsed="false">
      <c r="B4133" s="0" t="s">
        <v>106</v>
      </c>
      <c r="D4133" s="0" t="s">
        <v>1927</v>
      </c>
      <c r="E4133" s="0" t="s">
        <v>1927</v>
      </c>
      <c r="F4133" s="0" t="s">
        <v>1927</v>
      </c>
    </row>
    <row r="4135" customFormat="false" ht="12.8" hidden="false" customHeight="false" outlineLevel="0" collapsed="false">
      <c r="A4135" s="0" t="s">
        <v>1933</v>
      </c>
      <c r="B4135" s="0" t="str">
        <f aca="false">HYPERLINK("https://lindat.mff.cuni.cz/services/teitok/pdtc10/index.php?action=vallex&amp;frame=v-w596f1", "dokonat (v-w596f1)")</f>
        <v>dokonat (v-w596f1)</v>
      </c>
    </row>
    <row r="4136" customFormat="false" ht="12.8" hidden="false" customHeight="false" outlineLevel="0" collapsed="false">
      <c r="B4136" s="0" t="s">
        <v>7</v>
      </c>
    </row>
    <row r="4137" customFormat="false" ht="12.8" hidden="false" customHeight="false" outlineLevel="0" collapsed="false">
      <c r="B4137" s="0" t="s">
        <v>14</v>
      </c>
    </row>
    <row r="4139" customFormat="false" ht="12.8" hidden="false" customHeight="false" outlineLevel="0" collapsed="false">
      <c r="A4139" s="0" t="s">
        <v>1934</v>
      </c>
      <c r="B4139" s="0" t="str">
        <f aca="false">HYPERLINK("https://lindat.mff.cuni.cz/services/teitok/pdtc10/index.php?action=vallex&amp;frame=v-w596f2_ZU", "dokonat (v-w596f2_ZU)")</f>
        <v>dokonat (v-w596f2_ZU)</v>
      </c>
    </row>
    <row r="4140" customFormat="false" ht="12.8" hidden="false" customHeight="false" outlineLevel="0" collapsed="false">
      <c r="B4140" s="0" t="s">
        <v>7</v>
      </c>
    </row>
    <row r="4142" customFormat="false" ht="12.8" hidden="false" customHeight="false" outlineLevel="0" collapsed="false">
      <c r="A4142" s="0" t="s">
        <v>1935</v>
      </c>
      <c r="B4142" s="0" t="str">
        <f aca="false">HYPERLINK("https://lindat.mff.cuni.cz/services/teitok/pdtc10/index.php?action=vallex&amp;frame=v-w598f1", "dokončit (v-w598f1)")</f>
        <v>dokončit (v-w598f1)</v>
      </c>
    </row>
    <row r="4143" customFormat="false" ht="12.8" hidden="false" customHeight="false" outlineLevel="0" collapsed="false">
      <c r="B4143" s="0" t="s">
        <v>7</v>
      </c>
      <c r="C4143" s="0" t="s">
        <v>1936</v>
      </c>
      <c r="D4143" s="0" t="s">
        <v>1937</v>
      </c>
      <c r="E4143" s="0" t="s">
        <v>1937</v>
      </c>
      <c r="F4143" s="0" t="s">
        <v>1937</v>
      </c>
    </row>
    <row r="4144" customFormat="false" ht="12.8" hidden="false" customHeight="false" outlineLevel="0" collapsed="false">
      <c r="B4144" s="0" t="s">
        <v>14</v>
      </c>
      <c r="C4144" s="0" t="s">
        <v>1938</v>
      </c>
      <c r="D4144" s="0" t="s">
        <v>1939</v>
      </c>
      <c r="E4144" s="0" t="s">
        <v>1939</v>
      </c>
      <c r="F4144" s="0" t="s">
        <v>1939</v>
      </c>
    </row>
    <row r="4145" customFormat="false" ht="12.8" hidden="false" customHeight="false" outlineLevel="0" collapsed="false">
      <c r="B4145" s="0" t="s">
        <v>35</v>
      </c>
      <c r="D4145" s="0" t="s">
        <v>1940</v>
      </c>
      <c r="E4145" s="0" t="s">
        <v>1940</v>
      </c>
      <c r="F4145" s="0" t="s">
        <v>1940</v>
      </c>
    </row>
    <row r="4147" customFormat="false" ht="12.8" hidden="false" customHeight="false" outlineLevel="0" collapsed="false">
      <c r="A4147" s="0" t="s">
        <v>1941</v>
      </c>
      <c r="B4147" s="0" t="str">
        <f aca="false">HYPERLINK("https://lindat.mff.cuni.cz/services/teitok/pdtc10/index.php?action=vallex&amp;frame=v-w598f2", "dokončit (v-w598f2)")</f>
        <v>dokončit (v-w598f2)</v>
      </c>
    </row>
    <row r="4148" customFormat="false" ht="12.8" hidden="false" customHeight="false" outlineLevel="0" collapsed="false">
      <c r="B4148" s="0" t="s">
        <v>7</v>
      </c>
      <c r="C4148" s="0" t="s">
        <v>1942</v>
      </c>
      <c r="D4148" s="0" t="s">
        <v>1943</v>
      </c>
      <c r="E4148" s="0" t="s">
        <v>1944</v>
      </c>
      <c r="F4148" s="0" t="s">
        <v>1944</v>
      </c>
    </row>
    <row r="4149" customFormat="false" ht="12.8" hidden="false" customHeight="false" outlineLevel="0" collapsed="false">
      <c r="B4149" s="0" t="s">
        <v>14</v>
      </c>
      <c r="C4149" s="0" t="s">
        <v>1945</v>
      </c>
      <c r="D4149" s="0" t="s">
        <v>1946</v>
      </c>
      <c r="E4149" s="0" t="s">
        <v>1947</v>
      </c>
      <c r="F4149" s="0" t="s">
        <v>1947</v>
      </c>
    </row>
    <row r="4151" customFormat="false" ht="12.8" hidden="false" customHeight="false" outlineLevel="0" collapsed="false">
      <c r="A4151" s="0" t="s">
        <v>1948</v>
      </c>
      <c r="B4151" s="0" t="str">
        <f aca="false">HYPERLINK("https://lindat.mff.cuni.cz/services/teitok/pdtc10/index.php?action=vallex&amp;frame=v-w600f1", "dokončovat (v-w600f1)")</f>
        <v>dokončovat (v-w600f1)</v>
      </c>
    </row>
    <row r="4152" customFormat="false" ht="12.8" hidden="false" customHeight="false" outlineLevel="0" collapsed="false">
      <c r="B4152" s="0" t="s">
        <v>7</v>
      </c>
      <c r="D4152" s="0" t="s">
        <v>1937</v>
      </c>
      <c r="E4152" s="0" t="s">
        <v>1937</v>
      </c>
      <c r="F4152" s="0" t="s">
        <v>1937</v>
      </c>
    </row>
    <row r="4153" customFormat="false" ht="12.8" hidden="false" customHeight="false" outlineLevel="0" collapsed="false">
      <c r="B4153" s="0" t="s">
        <v>14</v>
      </c>
      <c r="D4153" s="0" t="s">
        <v>1939</v>
      </c>
      <c r="E4153" s="0" t="s">
        <v>1939</v>
      </c>
      <c r="F4153" s="0" t="s">
        <v>1939</v>
      </c>
    </row>
    <row r="4154" customFormat="false" ht="12.8" hidden="false" customHeight="false" outlineLevel="0" collapsed="false">
      <c r="B4154" s="0" t="s">
        <v>35</v>
      </c>
      <c r="D4154" s="0" t="s">
        <v>1940</v>
      </c>
      <c r="E4154" s="0" t="s">
        <v>1940</v>
      </c>
      <c r="F4154" s="0" t="s">
        <v>1940</v>
      </c>
    </row>
    <row r="4156" customFormat="false" ht="12.8" hidden="false" customHeight="false" outlineLevel="0" collapsed="false">
      <c r="A4156" s="0" t="s">
        <v>1949</v>
      </c>
      <c r="B4156" s="0" t="str">
        <f aca="false">HYPERLINK("https://lindat.mff.cuni.cz/services/teitok/pdtc10/index.php?action=vallex&amp;frame=v-w600f2", "dokončovat (v-w600f2)")</f>
        <v>dokončovat (v-w600f2)</v>
      </c>
    </row>
    <row r="4157" customFormat="false" ht="12.8" hidden="false" customHeight="false" outlineLevel="0" collapsed="false">
      <c r="B4157" s="0" t="s">
        <v>7</v>
      </c>
      <c r="D4157" s="0" t="s">
        <v>1943</v>
      </c>
      <c r="E4157" s="0" t="s">
        <v>1944</v>
      </c>
      <c r="F4157" s="0" t="s">
        <v>1944</v>
      </c>
    </row>
    <row r="4158" customFormat="false" ht="12.8" hidden="false" customHeight="false" outlineLevel="0" collapsed="false">
      <c r="B4158" s="0" t="s">
        <v>14</v>
      </c>
      <c r="D4158" s="0" t="s">
        <v>1946</v>
      </c>
      <c r="E4158" s="0" t="s">
        <v>1947</v>
      </c>
      <c r="F4158" s="0" t="s">
        <v>1947</v>
      </c>
    </row>
    <row r="4160" customFormat="false" ht="12.8" hidden="false" customHeight="false" outlineLevel="0" collapsed="false">
      <c r="A4160" s="0" t="s">
        <v>1950</v>
      </c>
      <c r="B4160" s="0" t="str">
        <f aca="false">HYPERLINK("https://lindat.mff.cuni.cz/services/teitok/pdtc10/index.php?action=vallex&amp;frame=v-w11845_ZUf1_ZU", "dokopat (v-w11845_ZUf1_ZU)")</f>
        <v>dokopat (v-w11845_ZUf1_ZU)</v>
      </c>
    </row>
    <row r="4161" customFormat="false" ht="12.8" hidden="false" customHeight="false" outlineLevel="0" collapsed="false">
      <c r="B4161" s="0" t="s">
        <v>7</v>
      </c>
    </row>
    <row r="4162" customFormat="false" ht="12.8" hidden="false" customHeight="false" outlineLevel="0" collapsed="false">
      <c r="B4162" s="0" t="s">
        <v>14</v>
      </c>
    </row>
    <row r="4164" customFormat="false" ht="12.8" hidden="false" customHeight="false" outlineLevel="0" collapsed="false">
      <c r="A4164" s="0" t="s">
        <v>1951</v>
      </c>
      <c r="B4164" s="0" t="str">
        <f aca="false">HYPERLINK("https://lindat.mff.cuni.cz/services/teitok/pdtc10/index.php?action=vallex&amp;frame=v-w11845_ZUf2_ZU", "dokopat (v-w11845_ZUf2_ZU)")</f>
        <v>dokopat (v-w11845_ZUf2_ZU)</v>
      </c>
    </row>
    <row r="4165" customFormat="false" ht="12.8" hidden="false" customHeight="false" outlineLevel="0" collapsed="false">
      <c r="B4165" s="0" t="s">
        <v>7</v>
      </c>
    </row>
    <row r="4166" customFormat="false" ht="12.8" hidden="false" customHeight="false" outlineLevel="0" collapsed="false">
      <c r="B4166" s="0" t="s">
        <v>81</v>
      </c>
    </row>
    <row r="4167" customFormat="false" ht="12.8" hidden="false" customHeight="false" outlineLevel="0" collapsed="false">
      <c r="B4167" s="0" t="s">
        <v>237</v>
      </c>
    </row>
    <row r="4169" customFormat="false" ht="12.8" hidden="false" customHeight="false" outlineLevel="0" collapsed="false">
      <c r="A4169" s="0" t="s">
        <v>1952</v>
      </c>
      <c r="B4169" s="0" t="str">
        <f aca="false">HYPERLINK("https://lindat.mff.cuni.cz/services/teitok/pdtc10/index.php?action=vallex&amp;frame=v-w601f1", "dokoupit (v-w601f1)")</f>
        <v>dokoupit (v-w601f1)</v>
      </c>
    </row>
    <row r="4170" customFormat="false" ht="12.8" hidden="false" customHeight="false" outlineLevel="0" collapsed="false">
      <c r="B4170" s="0" t="s">
        <v>7</v>
      </c>
    </row>
    <row r="4171" customFormat="false" ht="12.8" hidden="false" customHeight="false" outlineLevel="0" collapsed="false">
      <c r="B4171" s="0" t="s">
        <v>14</v>
      </c>
    </row>
    <row r="4172" customFormat="false" ht="12.8" hidden="false" customHeight="false" outlineLevel="0" collapsed="false">
      <c r="B4172" s="0" t="s">
        <v>1953</v>
      </c>
    </row>
    <row r="4173" customFormat="false" ht="12.8" hidden="false" customHeight="false" outlineLevel="0" collapsed="false">
      <c r="B4173" s="0" t="s">
        <v>441</v>
      </c>
    </row>
    <row r="4175" customFormat="false" ht="12.8" hidden="false" customHeight="false" outlineLevel="0" collapsed="false">
      <c r="A4175" s="0" t="s">
        <v>1954</v>
      </c>
      <c r="B4175" s="0" t="str">
        <f aca="false">HYPERLINK("https://lindat.mff.cuni.cz/services/teitok/pdtc10/index.php?action=vallex&amp;frame=v-w602f1", "dokralovat (v-w602f1)")</f>
        <v>dokralovat (v-w602f1)</v>
      </c>
    </row>
    <row r="4176" customFormat="false" ht="12.8" hidden="false" customHeight="false" outlineLevel="0" collapsed="false">
      <c r="B4176" s="0" t="s">
        <v>7</v>
      </c>
    </row>
    <row r="4178" customFormat="false" ht="12.8" hidden="false" customHeight="false" outlineLevel="0" collapsed="false">
      <c r="A4178" s="0" t="s">
        <v>1955</v>
      </c>
      <c r="B4178" s="0" t="str">
        <f aca="false">HYPERLINK("https://lindat.mff.cuni.cz/services/teitok/pdtc10/index.php?action=vallex&amp;frame=v-w604f1", "dokreslit (v-w604f1)")</f>
        <v>dokreslit (v-w604f1)</v>
      </c>
    </row>
    <row r="4179" customFormat="false" ht="12.8" hidden="false" customHeight="false" outlineLevel="0" collapsed="false">
      <c r="B4179" s="0" t="s">
        <v>7</v>
      </c>
      <c r="D4179" s="0" t="s">
        <v>1937</v>
      </c>
      <c r="E4179" s="0" t="s">
        <v>1937</v>
      </c>
      <c r="F4179" s="0" t="s">
        <v>1937</v>
      </c>
    </row>
    <row r="4180" customFormat="false" ht="12.8" hidden="false" customHeight="false" outlineLevel="0" collapsed="false">
      <c r="B4180" s="0" t="s">
        <v>14</v>
      </c>
      <c r="D4180" s="0" t="s">
        <v>1939</v>
      </c>
      <c r="E4180" s="0" t="s">
        <v>1939</v>
      </c>
      <c r="F4180" s="0" t="s">
        <v>1939</v>
      </c>
    </row>
    <row r="4181" customFormat="false" ht="12.8" hidden="false" customHeight="false" outlineLevel="0" collapsed="false">
      <c r="B4181" s="0" t="s">
        <v>1956</v>
      </c>
      <c r="D4181" s="0" t="s">
        <v>361</v>
      </c>
      <c r="E4181" s="0" t="s">
        <v>361</v>
      </c>
      <c r="F4181" s="0" t="s">
        <v>361</v>
      </c>
    </row>
    <row r="4183" customFormat="false" ht="12.8" hidden="false" customHeight="false" outlineLevel="0" collapsed="false">
      <c r="A4183" s="0" t="s">
        <v>1957</v>
      </c>
      <c r="B4183" s="0" t="str">
        <f aca="false">HYPERLINK("https://lindat.mff.cuni.cz/services/teitok/pdtc10/index.php?action=vallex&amp;frame=v-w605f1", "dokreslovat (v-w605f1)")</f>
        <v>dokreslovat (v-w605f1)</v>
      </c>
    </row>
    <row r="4184" customFormat="false" ht="12.8" hidden="false" customHeight="false" outlineLevel="0" collapsed="false">
      <c r="B4184" s="0" t="s">
        <v>7</v>
      </c>
    </row>
    <row r="4185" customFormat="false" ht="12.8" hidden="false" customHeight="false" outlineLevel="0" collapsed="false">
      <c r="B4185" s="0" t="s">
        <v>14</v>
      </c>
    </row>
    <row r="4186" customFormat="false" ht="12.8" hidden="false" customHeight="false" outlineLevel="0" collapsed="false">
      <c r="B4186" s="0" t="s">
        <v>1956</v>
      </c>
    </row>
    <row r="4188" customFormat="false" ht="12.8" hidden="false" customHeight="false" outlineLevel="0" collapsed="false">
      <c r="A4188" s="0" t="s">
        <v>1958</v>
      </c>
      <c r="B4188" s="0" t="str">
        <f aca="false">HYPERLINK("https://lindat.mff.cuni.cz/services/teitok/pdtc10/index.php?action=vallex&amp;frame=v-whsa_1589hsa_1590", "dokrvovat se (v-whsa_1589hsa_1590)")</f>
        <v>dokrvovat se (v-whsa_1589hsa_1590)</v>
      </c>
    </row>
    <row r="4189" customFormat="false" ht="12.8" hidden="false" customHeight="false" outlineLevel="0" collapsed="false">
      <c r="B4189" s="0" t="s">
        <v>7</v>
      </c>
    </row>
    <row r="4191" customFormat="false" ht="12.8" hidden="false" customHeight="false" outlineLevel="0" collapsed="false">
      <c r="A4191" s="0" t="s">
        <v>1959</v>
      </c>
      <c r="B4191" s="0" t="str">
        <f aca="false">HYPERLINK("https://lindat.mff.cuni.cz/services/teitok/pdtc10/index.php?action=vallex&amp;frame=v-w611f1", "dokumentovat (v-w611f1)")</f>
        <v>dokumentovat (v-w611f1)</v>
      </c>
    </row>
    <row r="4192" customFormat="false" ht="12.8" hidden="false" customHeight="false" outlineLevel="0" collapsed="false">
      <c r="B4192" s="0" t="s">
        <v>7</v>
      </c>
      <c r="C4192" s="0" t="s">
        <v>184</v>
      </c>
      <c r="D4192" s="0" t="s">
        <v>1960</v>
      </c>
      <c r="E4192" s="0" t="s">
        <v>1960</v>
      </c>
      <c r="F4192" s="0" t="s">
        <v>1960</v>
      </c>
    </row>
    <row r="4193" customFormat="false" ht="12.8" hidden="false" customHeight="false" outlineLevel="0" collapsed="false">
      <c r="B4193" s="0" t="s">
        <v>1961</v>
      </c>
      <c r="C4193" s="0" t="s">
        <v>33</v>
      </c>
      <c r="D4193" s="0" t="s">
        <v>1962</v>
      </c>
      <c r="E4193" s="0" t="s">
        <v>1962</v>
      </c>
      <c r="F4193" s="0" t="s">
        <v>1962</v>
      </c>
    </row>
    <row r="4194" customFormat="false" ht="12.8" hidden="false" customHeight="false" outlineLevel="0" collapsed="false">
      <c r="B4194" s="0" t="s">
        <v>106</v>
      </c>
    </row>
    <row r="4195" customFormat="false" ht="12.8" hidden="false" customHeight="false" outlineLevel="0" collapsed="false">
      <c r="B4195" s="0" t="s">
        <v>586</v>
      </c>
    </row>
    <row r="4197" customFormat="false" ht="12.8" hidden="false" customHeight="false" outlineLevel="0" collapsed="false">
      <c r="A4197" s="0" t="s">
        <v>1963</v>
      </c>
      <c r="B4197" s="0" t="str">
        <f aca="false">HYPERLINK("https://lindat.mff.cuni.cz/services/teitok/pdtc10/index.php?action=vallex&amp;frame=v-w611f2_ZU", "dokumentovat (v-w611f2_ZU)")</f>
        <v>dokumentovat (v-w611f2_ZU)</v>
      </c>
    </row>
    <row r="4198" customFormat="false" ht="12.8" hidden="false" customHeight="false" outlineLevel="0" collapsed="false">
      <c r="B4198" s="0" t="s">
        <v>7</v>
      </c>
    </row>
    <row r="4199" customFormat="false" ht="12.8" hidden="false" customHeight="false" outlineLevel="0" collapsed="false">
      <c r="B4199" s="0" t="s">
        <v>14</v>
      </c>
    </row>
    <row r="4201" customFormat="false" ht="12.8" hidden="false" customHeight="false" outlineLevel="0" collapsed="false">
      <c r="A4201" s="0" t="s">
        <v>1964</v>
      </c>
      <c r="B4201" s="0" t="str">
        <f aca="false">HYPERLINK("https://lindat.mff.cuni.cz/services/teitok/pdtc10/index.php?action=vallex&amp;frame=v-w611f4_ZU", "dokumentovat (v-w611f4_ZU)")</f>
        <v>dokumentovat (v-w611f4_ZU)</v>
      </c>
    </row>
    <row r="4202" customFormat="false" ht="12.8" hidden="false" customHeight="false" outlineLevel="0" collapsed="false">
      <c r="B4202" s="0" t="s">
        <v>7</v>
      </c>
    </row>
    <row r="4203" customFormat="false" ht="12.8" hidden="false" customHeight="false" outlineLevel="0" collapsed="false">
      <c r="B4203" s="0" t="s">
        <v>14</v>
      </c>
    </row>
    <row r="4205" customFormat="false" ht="12.8" hidden="false" customHeight="false" outlineLevel="0" collapsed="false">
      <c r="A4205" s="0" t="s">
        <v>1964</v>
      </c>
      <c r="B4205" s="0" t="str">
        <f aca="false">HYPERLINK("https://lindat.mff.cuni.cz/services/teitok/pdtc10/index.php?action=vallex&amp;frame=v-w611f3_ZU", "dokumentovat (v-w611f3_ZU) - substituted with v-w611f4_ZU")</f>
        <v>dokumentovat (v-w611f3_ZU) - substituted with v-w611f4_ZU</v>
      </c>
    </row>
    <row r="4206" customFormat="false" ht="12.8" hidden="false" customHeight="false" outlineLevel="0" collapsed="false">
      <c r="B4206" s="0" t="s">
        <v>7</v>
      </c>
    </row>
    <row r="4207" customFormat="false" ht="12.8" hidden="false" customHeight="false" outlineLevel="0" collapsed="false">
      <c r="B4207" s="0" t="s">
        <v>14</v>
      </c>
    </row>
    <row r="4209" customFormat="false" ht="12.8" hidden="false" customHeight="false" outlineLevel="0" collapsed="false">
      <c r="A4209" s="0" t="s">
        <v>1965</v>
      </c>
      <c r="B4209" s="0" t="str">
        <f aca="false">HYPERLINK("https://lindat.mff.cuni.cz/services/teitok/pdtc10/index.php?action=vallex&amp;frame=v-whsa_749f1_ZU", "dokupovat (v-whsa_749f1_ZU)")</f>
        <v>dokupovat (v-whsa_749f1_ZU)</v>
      </c>
    </row>
    <row r="4210" customFormat="false" ht="12.8" hidden="false" customHeight="false" outlineLevel="0" collapsed="false">
      <c r="B4210" s="0" t="s">
        <v>7</v>
      </c>
    </row>
    <row r="4211" customFormat="false" ht="12.8" hidden="false" customHeight="false" outlineLevel="0" collapsed="false">
      <c r="B4211" s="0" t="s">
        <v>14</v>
      </c>
    </row>
    <row r="4212" customFormat="false" ht="12.8" hidden="false" customHeight="false" outlineLevel="0" collapsed="false">
      <c r="B4212" s="0" t="s">
        <v>1953</v>
      </c>
    </row>
    <row r="4213" customFormat="false" ht="12.8" hidden="false" customHeight="false" outlineLevel="0" collapsed="false">
      <c r="B4213" s="0" t="s">
        <v>441</v>
      </c>
    </row>
    <row r="4215" customFormat="false" ht="12.8" hidden="false" customHeight="false" outlineLevel="0" collapsed="false">
      <c r="A4215" s="0" t="s">
        <v>1965</v>
      </c>
      <c r="B4215" s="0" t="str">
        <f aca="false">HYPERLINK("https://lindat.mff.cuni.cz/services/teitok/pdtc10/index.php?action=vallex&amp;frame=v-whsa_749hsa_750", "dokupovat (v-whsa_749hsa_750) - substituted with v-whsa_749f1_ZU")</f>
        <v>dokupovat (v-whsa_749hsa_750) - substituted with v-whsa_749f1_ZU</v>
      </c>
    </row>
    <row r="4216" customFormat="false" ht="12.8" hidden="false" customHeight="false" outlineLevel="0" collapsed="false">
      <c r="B4216" s="0" t="s">
        <v>7</v>
      </c>
    </row>
    <row r="4217" customFormat="false" ht="12.8" hidden="false" customHeight="false" outlineLevel="0" collapsed="false">
      <c r="B4217" s="0" t="s">
        <v>14</v>
      </c>
    </row>
    <row r="4218" customFormat="false" ht="12.8" hidden="false" customHeight="false" outlineLevel="0" collapsed="false">
      <c r="B4218" s="0" t="s">
        <v>1953</v>
      </c>
    </row>
    <row r="4219" customFormat="false" ht="12.8" hidden="false" customHeight="false" outlineLevel="0" collapsed="false">
      <c r="B4219" s="0" t="s">
        <v>441</v>
      </c>
    </row>
    <row r="4221" customFormat="false" ht="12.8" hidden="false" customHeight="false" outlineLevel="0" collapsed="false">
      <c r="A4221" s="0" t="s">
        <v>1966</v>
      </c>
      <c r="B4221" s="0" t="str">
        <f aca="false">HYPERLINK("https://lindat.mff.cuni.cz/services/teitok/pdtc10/index.php?action=vallex&amp;frame=v-whsb_631hsa_632", "dokvétat (v-whsb_631hsa_632)")</f>
        <v>dokvétat (v-whsb_631hsa_632)</v>
      </c>
    </row>
    <row r="4222" customFormat="false" ht="12.8" hidden="false" customHeight="false" outlineLevel="0" collapsed="false">
      <c r="B4222" s="0" t="s">
        <v>7</v>
      </c>
    </row>
    <row r="4224" customFormat="false" ht="12.8" hidden="false" customHeight="false" outlineLevel="0" collapsed="false">
      <c r="A4224" s="0" t="s">
        <v>1967</v>
      </c>
      <c r="B4224" s="0" t="str">
        <f aca="false">HYPERLINK("https://lindat.mff.cuni.cz/services/teitok/pdtc10/index.php?action=vallex&amp;frame=v-w586f2", "dokázat (v-w586f2)")</f>
        <v>dokázat (v-w586f2)</v>
      </c>
    </row>
    <row r="4225" customFormat="false" ht="12.8" hidden="false" customHeight="false" outlineLevel="0" collapsed="false">
      <c r="B4225" s="0" t="s">
        <v>7</v>
      </c>
      <c r="C4225" s="0" t="s">
        <v>1968</v>
      </c>
    </row>
    <row r="4226" customFormat="false" ht="12.8" hidden="false" customHeight="false" outlineLevel="0" collapsed="false">
      <c r="B4226" s="0" t="s">
        <v>172</v>
      </c>
      <c r="C4226" s="0" t="s">
        <v>1969</v>
      </c>
    </row>
    <row r="4227" customFormat="false" ht="12.8" hidden="false" customHeight="false" outlineLevel="0" collapsed="false">
      <c r="B4227" s="0" t="s">
        <v>48</v>
      </c>
      <c r="C4227" s="0" t="s">
        <v>1970</v>
      </c>
    </row>
    <row r="4229" customFormat="false" ht="12.8" hidden="false" customHeight="false" outlineLevel="0" collapsed="false">
      <c r="A4229" s="0" t="s">
        <v>1971</v>
      </c>
      <c r="B4229" s="0" t="str">
        <f aca="false">HYPERLINK("https://lindat.mff.cuni.cz/services/teitok/pdtc10/index.php?action=vallex&amp;frame=v-w586f1", "dokázat (v-w586f1)")</f>
        <v>dokázat (v-w586f1)</v>
      </c>
    </row>
    <row r="4230" customFormat="false" ht="12.8" hidden="false" customHeight="false" outlineLevel="0" collapsed="false">
      <c r="B4230" s="0" t="s">
        <v>7</v>
      </c>
      <c r="C4230" s="0" t="s">
        <v>1972</v>
      </c>
      <c r="D4230" s="0" t="s">
        <v>1973</v>
      </c>
      <c r="E4230" s="0" t="s">
        <v>1973</v>
      </c>
      <c r="F4230" s="0" t="s">
        <v>1973</v>
      </c>
    </row>
    <row r="4231" customFormat="false" ht="12.8" hidden="false" customHeight="false" outlineLevel="0" collapsed="false">
      <c r="B4231" s="0" t="s">
        <v>306</v>
      </c>
      <c r="C4231" s="0" t="s">
        <v>1974</v>
      </c>
      <c r="D4231" s="0" t="s">
        <v>1975</v>
      </c>
      <c r="E4231" s="0" t="s">
        <v>1975</v>
      </c>
      <c r="F4231" s="0" t="s">
        <v>1975</v>
      </c>
    </row>
    <row r="4233" customFormat="false" ht="12.8" hidden="false" customHeight="false" outlineLevel="0" collapsed="false">
      <c r="A4233" s="0" t="s">
        <v>1976</v>
      </c>
      <c r="B4233" s="0" t="str">
        <f aca="false">HYPERLINK("https://lindat.mff.cuni.cz/services/teitok/pdtc10/index.php?action=vallex&amp;frame=v-w586f3", "dokázat (v-w586f3)")</f>
        <v>dokázat (v-w586f3)</v>
      </c>
    </row>
    <row r="4234" customFormat="false" ht="12.8" hidden="false" customHeight="false" outlineLevel="0" collapsed="false">
      <c r="B4234" s="0" t="s">
        <v>7</v>
      </c>
      <c r="C4234" s="0" t="s">
        <v>1977</v>
      </c>
      <c r="D4234" s="0" t="s">
        <v>1922</v>
      </c>
      <c r="E4234" s="0" t="s">
        <v>1922</v>
      </c>
      <c r="F4234" s="0" t="s">
        <v>1922</v>
      </c>
    </row>
    <row r="4235" customFormat="false" ht="12.8" hidden="false" customHeight="false" outlineLevel="0" collapsed="false">
      <c r="B4235" s="0" t="s">
        <v>54</v>
      </c>
      <c r="C4235" s="0" t="s">
        <v>1978</v>
      </c>
      <c r="D4235" s="0" t="s">
        <v>899</v>
      </c>
      <c r="E4235" s="0" t="s">
        <v>899</v>
      </c>
      <c r="F4235" s="0" t="s">
        <v>899</v>
      </c>
    </row>
    <row r="4237" customFormat="false" ht="12.8" hidden="false" customHeight="false" outlineLevel="0" collapsed="false">
      <c r="A4237" s="0" t="s">
        <v>1979</v>
      </c>
      <c r="B4237" s="0" t="str">
        <f aca="false">HYPERLINK("https://lindat.mff.cuni.cz/services/teitok/pdtc10/index.php?action=vallex&amp;frame=v-w586f4", "dokázat (v-w586f4)")</f>
        <v>dokázat (v-w586f4)</v>
      </c>
    </row>
    <row r="4238" customFormat="false" ht="12.8" hidden="false" customHeight="false" outlineLevel="0" collapsed="false">
      <c r="B4238" s="0" t="s">
        <v>7</v>
      </c>
    </row>
    <row r="4239" customFormat="false" ht="12.8" hidden="false" customHeight="false" outlineLevel="0" collapsed="false">
      <c r="B4239" s="0" t="s">
        <v>1925</v>
      </c>
    </row>
    <row r="4240" customFormat="false" ht="12.8" hidden="false" customHeight="false" outlineLevel="0" collapsed="false">
      <c r="B4240" s="0" t="s">
        <v>363</v>
      </c>
    </row>
    <row r="4242" customFormat="false" ht="12.8" hidden="false" customHeight="false" outlineLevel="0" collapsed="false">
      <c r="A4242" s="0" t="s">
        <v>1980</v>
      </c>
      <c r="B4242" s="0" t="str">
        <f aca="false">HYPERLINK("https://lindat.mff.cuni.cz/services/teitok/pdtc10/index.php?action=vallex&amp;frame=v-w586f5", "dokázat (v-w586f5)")</f>
        <v>dokázat (v-w586f5)</v>
      </c>
    </row>
    <row r="4243" customFormat="false" ht="12.8" hidden="false" customHeight="false" outlineLevel="0" collapsed="false">
      <c r="B4243" s="0" t="s">
        <v>7</v>
      </c>
    </row>
    <row r="4245" customFormat="false" ht="12.8" hidden="false" customHeight="false" outlineLevel="0" collapsed="false">
      <c r="A4245" s="0" t="s">
        <v>1981</v>
      </c>
      <c r="B4245" s="0" t="str">
        <f aca="false">HYPERLINK("https://lindat.mff.cuni.cz/services/teitok/pdtc10/index.php?action=vallex&amp;frame=v-w612f1", "doladit (v-w612f1)")</f>
        <v>doladit (v-w612f1)</v>
      </c>
    </row>
    <row r="4246" customFormat="false" ht="12.8" hidden="false" customHeight="false" outlineLevel="0" collapsed="false">
      <c r="B4246" s="0" t="s">
        <v>7</v>
      </c>
      <c r="D4246" s="0" t="s">
        <v>46</v>
      </c>
      <c r="E4246" s="0" t="s">
        <v>46</v>
      </c>
      <c r="F4246" s="0" t="s">
        <v>46</v>
      </c>
    </row>
    <row r="4247" customFormat="false" ht="12.8" hidden="false" customHeight="false" outlineLevel="0" collapsed="false">
      <c r="B4247" s="0" t="s">
        <v>14</v>
      </c>
      <c r="D4247" s="0" t="s">
        <v>33</v>
      </c>
      <c r="E4247" s="0" t="s">
        <v>33</v>
      </c>
      <c r="F4247" s="0" t="s">
        <v>33</v>
      </c>
    </row>
    <row r="4249" customFormat="false" ht="12.8" hidden="false" customHeight="false" outlineLevel="0" collapsed="false">
      <c r="A4249" s="0" t="s">
        <v>1982</v>
      </c>
      <c r="B4249" s="0" t="str">
        <f aca="false">HYPERLINK("https://lindat.mff.cuni.cz/services/teitok/pdtc10/index.php?action=vallex&amp;frame=v-w614f1", "dolaďovat (v-w614f1)")</f>
        <v>dolaďovat (v-w614f1)</v>
      </c>
    </row>
    <row r="4250" customFormat="false" ht="12.8" hidden="false" customHeight="false" outlineLevel="0" collapsed="false">
      <c r="B4250" s="0" t="s">
        <v>7</v>
      </c>
      <c r="D4250" s="0" t="s">
        <v>46</v>
      </c>
      <c r="E4250" s="0" t="s">
        <v>46</v>
      </c>
      <c r="F4250" s="0" t="s">
        <v>46</v>
      </c>
    </row>
    <row r="4251" customFormat="false" ht="12.8" hidden="false" customHeight="false" outlineLevel="0" collapsed="false">
      <c r="B4251" s="0" t="s">
        <v>14</v>
      </c>
      <c r="D4251" s="0" t="s">
        <v>33</v>
      </c>
      <c r="E4251" s="0" t="s">
        <v>33</v>
      </c>
      <c r="F4251" s="0" t="s">
        <v>33</v>
      </c>
    </row>
    <row r="4253" customFormat="false" ht="12.8" hidden="false" customHeight="false" outlineLevel="0" collapsed="false">
      <c r="A4253" s="0" t="s">
        <v>1983</v>
      </c>
      <c r="B4253" s="0" t="str">
        <f aca="false">HYPERLINK("https://lindat.mff.cuni.cz/services/teitok/pdtc10/index.php?action=vallex&amp;frame=v-w618f1", "dolehnout (v-w618f1)")</f>
        <v>dolehnout (v-w618f1)</v>
      </c>
    </row>
    <row r="4254" customFormat="false" ht="12.8" hidden="false" customHeight="false" outlineLevel="0" collapsed="false">
      <c r="B4254" s="0" t="s">
        <v>7</v>
      </c>
    </row>
    <row r="4255" customFormat="false" ht="12.8" hidden="false" customHeight="false" outlineLevel="0" collapsed="false">
      <c r="B4255" s="0" t="s">
        <v>41</v>
      </c>
    </row>
    <row r="4257" customFormat="false" ht="12.8" hidden="false" customHeight="false" outlineLevel="0" collapsed="false">
      <c r="A4257" s="0" t="s">
        <v>1984</v>
      </c>
      <c r="B4257" s="0" t="str">
        <f aca="false">HYPERLINK("https://lindat.mff.cuni.cz/services/teitok/pdtc10/index.php?action=vallex&amp;frame=v-w618f2", "dolehnout (v-w618f2)")</f>
        <v>dolehnout (v-w618f2)</v>
      </c>
    </row>
    <row r="4258" customFormat="false" ht="12.8" hidden="false" customHeight="false" outlineLevel="0" collapsed="false">
      <c r="B4258" s="0" t="s">
        <v>7</v>
      </c>
    </row>
    <row r="4259" customFormat="false" ht="12.8" hidden="false" customHeight="false" outlineLevel="0" collapsed="false">
      <c r="B4259" s="0" t="s">
        <v>124</v>
      </c>
    </row>
    <row r="4261" customFormat="false" ht="12.8" hidden="false" customHeight="false" outlineLevel="0" collapsed="false">
      <c r="A4261" s="0" t="s">
        <v>1985</v>
      </c>
      <c r="B4261" s="0" t="str">
        <f aca="false">HYPERLINK("https://lindat.mff.cuni.cz/services/teitok/pdtc10/index.php?action=vallex&amp;frame=v-w619f1", "doletět (v-w619f1)")</f>
        <v>doletět (v-w619f1)</v>
      </c>
    </row>
    <row r="4262" customFormat="false" ht="12.8" hidden="false" customHeight="false" outlineLevel="0" collapsed="false">
      <c r="B4262" s="0" t="s">
        <v>7</v>
      </c>
      <c r="D4262" s="0" t="s">
        <v>1986</v>
      </c>
      <c r="E4262" s="0" t="s">
        <v>1987</v>
      </c>
      <c r="F4262" s="0" t="s">
        <v>1987</v>
      </c>
    </row>
    <row r="4263" customFormat="false" ht="12.8" hidden="false" customHeight="false" outlineLevel="0" collapsed="false">
      <c r="B4263" s="0" t="s">
        <v>124</v>
      </c>
      <c r="D4263" s="0" t="s">
        <v>1988</v>
      </c>
      <c r="E4263" s="0" t="s">
        <v>1988</v>
      </c>
      <c r="F4263" s="0" t="s">
        <v>1988</v>
      </c>
    </row>
    <row r="4265" customFormat="false" ht="12.8" hidden="false" customHeight="false" outlineLevel="0" collapsed="false">
      <c r="A4265" s="0" t="s">
        <v>1989</v>
      </c>
      <c r="B4265" s="0" t="str">
        <f aca="false">HYPERLINK("https://lindat.mff.cuni.cz/services/teitok/pdtc10/index.php?action=vallex&amp;frame=v-w623f1", "doložit (v-w623f1)")</f>
        <v>doložit (v-w623f1)</v>
      </c>
    </row>
    <row r="4266" customFormat="false" ht="12.8" hidden="false" customHeight="false" outlineLevel="0" collapsed="false">
      <c r="B4266" s="0" t="s">
        <v>7</v>
      </c>
      <c r="D4266" s="0" t="s">
        <v>1922</v>
      </c>
      <c r="E4266" s="0" t="s">
        <v>1922</v>
      </c>
      <c r="F4266" s="0" t="s">
        <v>1922</v>
      </c>
    </row>
    <row r="4267" customFormat="false" ht="12.8" hidden="false" customHeight="false" outlineLevel="0" collapsed="false">
      <c r="B4267" s="0" t="s">
        <v>1451</v>
      </c>
      <c r="D4267" s="0" t="s">
        <v>899</v>
      </c>
      <c r="E4267" s="0" t="s">
        <v>899</v>
      </c>
      <c r="F4267" s="0" t="s">
        <v>899</v>
      </c>
    </row>
    <row r="4268" customFormat="false" ht="12.8" hidden="false" customHeight="false" outlineLevel="0" collapsed="false">
      <c r="B4268" s="0" t="s">
        <v>106</v>
      </c>
      <c r="D4268" s="0" t="s">
        <v>1927</v>
      </c>
      <c r="E4268" s="0" t="s">
        <v>1927</v>
      </c>
      <c r="F4268" s="0" t="s">
        <v>1927</v>
      </c>
    </row>
    <row r="4270" customFormat="false" ht="12.8" hidden="false" customHeight="false" outlineLevel="0" collapsed="false">
      <c r="A4270" s="0" t="s">
        <v>1990</v>
      </c>
      <c r="B4270" s="0" t="str">
        <f aca="false">HYPERLINK("https://lindat.mff.cuni.cz/services/teitok/pdtc10/index.php?action=vallex&amp;frame=v-w623f2", "doložit (v-w623f2)")</f>
        <v>doložit (v-w623f2)</v>
      </c>
    </row>
    <row r="4271" customFormat="false" ht="12.8" hidden="false" customHeight="false" outlineLevel="0" collapsed="false">
      <c r="B4271" s="0" t="s">
        <v>7</v>
      </c>
    </row>
    <row r="4272" customFormat="false" ht="12.8" hidden="false" customHeight="false" outlineLevel="0" collapsed="false">
      <c r="B4272" s="0" t="s">
        <v>14</v>
      </c>
    </row>
    <row r="4274" customFormat="false" ht="12.8" hidden="false" customHeight="false" outlineLevel="0" collapsed="false">
      <c r="A4274" s="0" t="s">
        <v>1991</v>
      </c>
      <c r="B4274" s="0" t="str">
        <f aca="false">HYPERLINK("https://lindat.mff.cuni.cz/services/teitok/pdtc10/index.php?action=vallex&amp;frame=v-w617f1", "doléhat (v-w617f1)")</f>
        <v>doléhat (v-w617f1)</v>
      </c>
    </row>
    <row r="4275" customFormat="false" ht="12.8" hidden="false" customHeight="false" outlineLevel="0" collapsed="false">
      <c r="B4275" s="0" t="s">
        <v>7</v>
      </c>
    </row>
    <row r="4276" customFormat="false" ht="12.8" hidden="false" customHeight="false" outlineLevel="0" collapsed="false">
      <c r="B4276" s="0" t="s">
        <v>41</v>
      </c>
    </row>
    <row r="4278" customFormat="false" ht="12.8" hidden="false" customHeight="false" outlineLevel="0" collapsed="false">
      <c r="A4278" s="0" t="s">
        <v>1992</v>
      </c>
      <c r="B4278" s="0" t="str">
        <f aca="false">HYPERLINK("https://lindat.mff.cuni.cz/services/teitok/pdtc10/index.php?action=vallex&amp;frame=v-w617f2", "doléhat (v-w617f2)")</f>
        <v>doléhat (v-w617f2)</v>
      </c>
    </row>
    <row r="4279" customFormat="false" ht="12.8" hidden="false" customHeight="false" outlineLevel="0" collapsed="false">
      <c r="B4279" s="0" t="s">
        <v>7</v>
      </c>
    </row>
    <row r="4280" customFormat="false" ht="12.8" hidden="false" customHeight="false" outlineLevel="0" collapsed="false">
      <c r="B4280" s="0" t="s">
        <v>124</v>
      </c>
    </row>
    <row r="4282" customFormat="false" ht="12.8" hidden="false" customHeight="false" outlineLevel="0" collapsed="false">
      <c r="A4282" s="0" t="s">
        <v>1993</v>
      </c>
      <c r="B4282" s="0" t="str">
        <f aca="false">HYPERLINK("https://lindat.mff.cuni.cz/services/teitok/pdtc10/index.php?action=vallex&amp;frame=v-w620f1", "dolétnout (v-w620f1)")</f>
        <v>dolétnout (v-w620f1)</v>
      </c>
    </row>
    <row r="4283" customFormat="false" ht="12.8" hidden="false" customHeight="false" outlineLevel="0" collapsed="false">
      <c r="B4283" s="0" t="s">
        <v>7</v>
      </c>
    </row>
    <row r="4284" customFormat="false" ht="12.8" hidden="false" customHeight="false" outlineLevel="0" collapsed="false">
      <c r="B4284" s="0" t="s">
        <v>124</v>
      </c>
    </row>
    <row r="4286" customFormat="false" ht="12.8" hidden="false" customHeight="false" outlineLevel="0" collapsed="false">
      <c r="A4286" s="0" t="s">
        <v>1994</v>
      </c>
      <c r="B4286" s="0" t="str">
        <f aca="false">HYPERLINK("https://lindat.mff.cuni.cz/services/teitok/pdtc10/index.php?action=vallex&amp;frame=v-w616f1", "doléčit (v-w616f1)")</f>
        <v>doléčit (v-w616f1)</v>
      </c>
    </row>
    <row r="4287" customFormat="false" ht="12.8" hidden="false" customHeight="false" outlineLevel="0" collapsed="false">
      <c r="B4287" s="0" t="s">
        <v>7</v>
      </c>
    </row>
    <row r="4288" customFormat="false" ht="12.8" hidden="false" customHeight="false" outlineLevel="0" collapsed="false">
      <c r="B4288" s="0" t="s">
        <v>14</v>
      </c>
    </row>
    <row r="4290" customFormat="false" ht="12.8" hidden="false" customHeight="false" outlineLevel="0" collapsed="false">
      <c r="A4290" s="0" t="s">
        <v>1995</v>
      </c>
      <c r="B4290" s="0" t="str">
        <f aca="false">HYPERLINK("https://lindat.mff.cuni.cz/services/teitok/pdtc10/index.php?action=vallex&amp;frame=v-w12390_MMf1_MM", "dolít (v-w12390_MMf1_MM)")</f>
        <v>dolít (v-w12390_MMf1_MM)</v>
      </c>
    </row>
    <row r="4291" customFormat="false" ht="12.8" hidden="false" customHeight="false" outlineLevel="0" collapsed="false">
      <c r="B4291" s="0" t="s">
        <v>7</v>
      </c>
    </row>
    <row r="4292" customFormat="false" ht="12.8" hidden="false" customHeight="false" outlineLevel="0" collapsed="false">
      <c r="B4292" s="0" t="s">
        <v>14</v>
      </c>
    </row>
    <row r="4293" customFormat="false" ht="12.8" hidden="false" customHeight="false" outlineLevel="0" collapsed="false">
      <c r="B4293" s="0" t="s">
        <v>124</v>
      </c>
    </row>
    <row r="4295" customFormat="false" ht="12.8" hidden="false" customHeight="false" outlineLevel="0" collapsed="false">
      <c r="A4295" s="0" t="s">
        <v>1996</v>
      </c>
      <c r="B4295" s="0" t="str">
        <f aca="false">HYPERLINK("https://lindat.mff.cuni.cz/services/teitok/pdtc10/index.php?action=vallex&amp;frame=v-w626f1", "domazat (v-w626f1)")</f>
        <v>domazat (v-w626f1)</v>
      </c>
    </row>
    <row r="4296" customFormat="false" ht="12.8" hidden="false" customHeight="false" outlineLevel="0" collapsed="false">
      <c r="B4296" s="0" t="s">
        <v>7</v>
      </c>
    </row>
    <row r="4297" customFormat="false" ht="12.8" hidden="false" customHeight="false" outlineLevel="0" collapsed="false">
      <c r="B4297" s="0" t="s">
        <v>14</v>
      </c>
    </row>
    <row r="4299" customFormat="false" ht="12.8" hidden="false" customHeight="false" outlineLevel="0" collapsed="false">
      <c r="A4299" s="0" t="s">
        <v>1997</v>
      </c>
      <c r="B4299" s="0" t="str">
        <f aca="false">HYPERLINK("https://lindat.mff.cuni.cz/services/teitok/pdtc10/index.php?action=vallex&amp;frame=v-w628f2", "dominovat (v-w628f2)")</f>
        <v>dominovat (v-w628f2)</v>
      </c>
    </row>
    <row r="4300" customFormat="false" ht="12.8" hidden="false" customHeight="false" outlineLevel="0" collapsed="false">
      <c r="B4300" s="0" t="s">
        <v>7</v>
      </c>
      <c r="C4300" s="0" t="s">
        <v>1998</v>
      </c>
      <c r="D4300" s="0" t="s">
        <v>1999</v>
      </c>
      <c r="E4300" s="0" t="s">
        <v>1999</v>
      </c>
      <c r="F4300" s="0" t="s">
        <v>1999</v>
      </c>
    </row>
    <row r="4301" customFormat="false" ht="12.8" hidden="false" customHeight="false" outlineLevel="0" collapsed="false">
      <c r="B4301" s="0" t="s">
        <v>2000</v>
      </c>
      <c r="C4301" s="0" t="s">
        <v>1511</v>
      </c>
      <c r="D4301" s="0" t="s">
        <v>1278</v>
      </c>
      <c r="E4301" s="0" t="s">
        <v>1278</v>
      </c>
      <c r="F4301" s="0" t="s">
        <v>1278</v>
      </c>
    </row>
    <row r="4303" customFormat="false" ht="12.8" hidden="false" customHeight="false" outlineLevel="0" collapsed="false">
      <c r="A4303" s="0" t="s">
        <v>2001</v>
      </c>
      <c r="B4303" s="0" t="str">
        <f aca="false">HYPERLINK("https://lindat.mff.cuni.cz/services/teitok/pdtc10/index.php?action=vallex&amp;frame=v-w628f1", "dominovat (v-w628f1)")</f>
        <v>dominovat (v-w628f1)</v>
      </c>
    </row>
    <row r="4304" customFormat="false" ht="12.8" hidden="false" customHeight="false" outlineLevel="0" collapsed="false">
      <c r="B4304" s="0" t="s">
        <v>7</v>
      </c>
      <c r="C4304" s="0" t="s">
        <v>1154</v>
      </c>
    </row>
    <row r="4306" customFormat="false" ht="12.8" hidden="false" customHeight="false" outlineLevel="0" collapsed="false">
      <c r="A4306" s="0" t="s">
        <v>2002</v>
      </c>
      <c r="B4306" s="0" t="str">
        <f aca="false">HYPERLINK("https://lindat.mff.cuni.cz/services/teitok/pdtc10/index.php?action=vallex&amp;frame=v-whsa_916hsa_917", "domlouvat (v-whsa_916hsa_917)")</f>
        <v>domlouvat (v-whsa_916hsa_917)</v>
      </c>
    </row>
    <row r="4307" customFormat="false" ht="12.8" hidden="false" customHeight="false" outlineLevel="0" collapsed="false">
      <c r="B4307" s="0" t="s">
        <v>7</v>
      </c>
      <c r="C4307" s="0" t="s">
        <v>184</v>
      </c>
    </row>
    <row r="4308" customFormat="false" ht="12.8" hidden="false" customHeight="false" outlineLevel="0" collapsed="false">
      <c r="B4308" s="0" t="s">
        <v>2003</v>
      </c>
      <c r="C4308" s="0" t="s">
        <v>1628</v>
      </c>
    </row>
    <row r="4309" customFormat="false" ht="12.8" hidden="false" customHeight="false" outlineLevel="0" collapsed="false">
      <c r="B4309" s="0" t="s">
        <v>48</v>
      </c>
      <c r="C4309" s="0" t="s">
        <v>2004</v>
      </c>
    </row>
    <row r="4311" customFormat="false" ht="12.8" hidden="false" customHeight="false" outlineLevel="0" collapsed="false">
      <c r="A4311" s="0" t="s">
        <v>2005</v>
      </c>
      <c r="B4311" s="0" t="str">
        <f aca="false">HYPERLINK("https://lindat.mff.cuni.cz/services/teitok/pdtc10/index.php?action=vallex&amp;frame=v-w629f1", "domlouvat se (v-w629f1)")</f>
        <v>domlouvat se (v-w629f1)</v>
      </c>
    </row>
    <row r="4312" customFormat="false" ht="12.8" hidden="false" customHeight="false" outlineLevel="0" collapsed="false">
      <c r="B4312" s="0" t="s">
        <v>7</v>
      </c>
    </row>
    <row r="4313" customFormat="false" ht="12.8" hidden="false" customHeight="false" outlineLevel="0" collapsed="false">
      <c r="B4313" s="0" t="s">
        <v>1808</v>
      </c>
    </row>
    <row r="4314" customFormat="false" ht="12.8" hidden="false" customHeight="false" outlineLevel="0" collapsed="false">
      <c r="B4314" s="0" t="s">
        <v>207</v>
      </c>
    </row>
    <row r="4316" customFormat="false" ht="12.8" hidden="false" customHeight="false" outlineLevel="0" collapsed="false">
      <c r="A4316" s="0" t="s">
        <v>2006</v>
      </c>
      <c r="B4316" s="0" t="str">
        <f aca="false">HYPERLINK("https://lindat.mff.cuni.cz/services/teitok/pdtc10/index.php?action=vallex&amp;frame=v-w629hsa_884", "domlouvat se (v-w629hsa_884)")</f>
        <v>domlouvat se (v-w629hsa_884)</v>
      </c>
    </row>
    <row r="4317" customFormat="false" ht="12.8" hidden="false" customHeight="false" outlineLevel="0" collapsed="false">
      <c r="B4317" s="0" t="s">
        <v>7</v>
      </c>
    </row>
    <row r="4318" customFormat="false" ht="12.8" hidden="false" customHeight="false" outlineLevel="0" collapsed="false">
      <c r="B4318" s="0" t="s">
        <v>548</v>
      </c>
    </row>
    <row r="4320" customFormat="false" ht="12.8" hidden="false" customHeight="false" outlineLevel="0" collapsed="false">
      <c r="A4320" s="0" t="s">
        <v>2007</v>
      </c>
      <c r="B4320" s="0" t="str">
        <f aca="false">HYPERLINK("https://lindat.mff.cuni.cz/services/teitok/pdtc10/index.php?action=vallex&amp;frame=v-w631f1", "domluvit (v-w631f1)")</f>
        <v>domluvit (v-w631f1)</v>
      </c>
    </row>
    <row r="4321" customFormat="false" ht="12.8" hidden="false" customHeight="false" outlineLevel="0" collapsed="false">
      <c r="B4321" s="0" t="s">
        <v>7</v>
      </c>
      <c r="E4321" s="0" t="s">
        <v>1801</v>
      </c>
      <c r="F4321" s="0" t="s">
        <v>1801</v>
      </c>
    </row>
    <row r="4322" customFormat="false" ht="12.8" hidden="false" customHeight="false" outlineLevel="0" collapsed="false">
      <c r="B4322" s="0" t="s">
        <v>1865</v>
      </c>
      <c r="E4322" s="0" t="s">
        <v>1804</v>
      </c>
      <c r="F4322" s="0" t="s">
        <v>1804</v>
      </c>
    </row>
    <row r="4323" customFormat="false" ht="12.8" hidden="false" customHeight="false" outlineLevel="0" collapsed="false">
      <c r="B4323" s="0" t="s">
        <v>207</v>
      </c>
      <c r="E4323" s="0" t="s">
        <v>1806</v>
      </c>
      <c r="F4323" s="0" t="s">
        <v>1806</v>
      </c>
    </row>
    <row r="4325" customFormat="false" ht="12.8" hidden="false" customHeight="false" outlineLevel="0" collapsed="false">
      <c r="A4325" s="0" t="s">
        <v>2008</v>
      </c>
      <c r="B4325" s="0" t="str">
        <f aca="false">HYPERLINK("https://lindat.mff.cuni.cz/services/teitok/pdtc10/index.php?action=vallex&amp;frame=v-w631f3", "domluvit (v-w631f3)")</f>
        <v>domluvit (v-w631f3)</v>
      </c>
    </row>
    <row r="4326" customFormat="false" ht="12.8" hidden="false" customHeight="false" outlineLevel="0" collapsed="false">
      <c r="B4326" s="0" t="s">
        <v>7</v>
      </c>
    </row>
    <row r="4327" customFormat="false" ht="12.8" hidden="false" customHeight="false" outlineLevel="0" collapsed="false">
      <c r="B4327" s="0" t="s">
        <v>2003</v>
      </c>
    </row>
    <row r="4328" customFormat="false" ht="12.8" hidden="false" customHeight="false" outlineLevel="0" collapsed="false">
      <c r="B4328" s="0" t="s">
        <v>48</v>
      </c>
    </row>
    <row r="4330" customFormat="false" ht="12.8" hidden="false" customHeight="false" outlineLevel="0" collapsed="false">
      <c r="A4330" s="0" t="s">
        <v>2009</v>
      </c>
      <c r="B4330" s="0" t="str">
        <f aca="false">HYPERLINK("https://lindat.mff.cuni.cz/services/teitok/pdtc10/index.php?action=vallex&amp;frame=v-w631f4_ZU", "domluvit (v-w631f4_ZU)")</f>
        <v>domluvit (v-w631f4_ZU)</v>
      </c>
    </row>
    <row r="4331" customFormat="false" ht="12.8" hidden="false" customHeight="false" outlineLevel="0" collapsed="false">
      <c r="B4331" s="0" t="s">
        <v>7</v>
      </c>
    </row>
    <row r="4332" customFormat="false" ht="12.8" hidden="false" customHeight="false" outlineLevel="0" collapsed="false">
      <c r="B4332" s="0" t="s">
        <v>297</v>
      </c>
    </row>
    <row r="4334" customFormat="false" ht="12.8" hidden="false" customHeight="false" outlineLevel="0" collapsed="false">
      <c r="A4334" s="0" t="s">
        <v>2009</v>
      </c>
      <c r="B4334" s="0" t="str">
        <f aca="false">HYPERLINK("https://lindat.mff.cuni.cz/services/teitok/pdtc10/index.php?action=vallex&amp;frame=v-w631f2", "domluvit (v-w631f2) - substituted with v-w631f4_ZU")</f>
        <v>domluvit (v-w631f2) - substituted with v-w631f4_ZU</v>
      </c>
    </row>
    <row r="4335" customFormat="false" ht="12.8" hidden="false" customHeight="false" outlineLevel="0" collapsed="false">
      <c r="B4335" s="0" t="s">
        <v>7</v>
      </c>
    </row>
    <row r="4336" customFormat="false" ht="12.8" hidden="false" customHeight="false" outlineLevel="0" collapsed="false">
      <c r="B4336" s="0" t="s">
        <v>297</v>
      </c>
    </row>
    <row r="4338" customFormat="false" ht="12.8" hidden="false" customHeight="false" outlineLevel="0" collapsed="false">
      <c r="A4338" s="0" t="s">
        <v>2010</v>
      </c>
      <c r="B4338" s="0" t="str">
        <f aca="false">HYPERLINK("https://lindat.mff.cuni.cz/services/teitok/pdtc10/index.php?action=vallex&amp;frame=v-w632f1", "domluvit se (v-w632f1)")</f>
        <v>domluvit se (v-w632f1)</v>
      </c>
    </row>
    <row r="4339" customFormat="false" ht="12.8" hidden="false" customHeight="false" outlineLevel="0" collapsed="false">
      <c r="B4339" s="0" t="s">
        <v>7</v>
      </c>
      <c r="E4339" s="0" t="s">
        <v>1846</v>
      </c>
      <c r="F4339" s="0" t="s">
        <v>1846</v>
      </c>
    </row>
    <row r="4340" customFormat="false" ht="12.8" hidden="false" customHeight="false" outlineLevel="0" collapsed="false">
      <c r="B4340" s="0" t="s">
        <v>1808</v>
      </c>
      <c r="E4340" s="0" t="s">
        <v>1849</v>
      </c>
      <c r="F4340" s="0" t="s">
        <v>1849</v>
      </c>
    </row>
    <row r="4341" customFormat="false" ht="12.8" hidden="false" customHeight="false" outlineLevel="0" collapsed="false">
      <c r="B4341" s="0" t="s">
        <v>1850</v>
      </c>
      <c r="E4341" s="0" t="s">
        <v>1852</v>
      </c>
      <c r="F4341" s="0" t="s">
        <v>1852</v>
      </c>
    </row>
    <row r="4343" customFormat="false" ht="12.8" hidden="false" customHeight="false" outlineLevel="0" collapsed="false">
      <c r="A4343" s="0" t="s">
        <v>2011</v>
      </c>
      <c r="B4343" s="0" t="str">
        <f aca="false">HYPERLINK("https://lindat.mff.cuni.cz/services/teitok/pdtc10/index.php?action=vallex&amp;frame=v-w632f2", "domluvit se (v-w632f2)")</f>
        <v>domluvit se (v-w632f2)</v>
      </c>
    </row>
    <row r="4344" customFormat="false" ht="12.8" hidden="false" customHeight="false" outlineLevel="0" collapsed="false">
      <c r="B4344" s="0" t="s">
        <v>7</v>
      </c>
      <c r="C4344" s="0" t="s">
        <v>2012</v>
      </c>
    </row>
    <row r="4345" customFormat="false" ht="12.8" hidden="false" customHeight="false" outlineLevel="0" collapsed="false">
      <c r="B4345" s="0" t="s">
        <v>548</v>
      </c>
      <c r="C4345" s="0" t="s">
        <v>2013</v>
      </c>
    </row>
    <row r="4347" customFormat="false" ht="12.8" hidden="false" customHeight="false" outlineLevel="0" collapsed="false">
      <c r="A4347" s="0" t="s">
        <v>2014</v>
      </c>
      <c r="B4347" s="0" t="str">
        <f aca="false">HYPERLINK("https://lindat.mff.cuni.cz/services/teitok/pdtc10/index.php?action=vallex&amp;frame=v-w634f1", "domnívat se (v-w634f1)")</f>
        <v>domnívat se (v-w634f1)</v>
      </c>
    </row>
    <row r="4348" customFormat="false" ht="12.8" hidden="false" customHeight="false" outlineLevel="0" collapsed="false">
      <c r="B4348" s="0" t="s">
        <v>7</v>
      </c>
      <c r="C4348" s="0" t="s">
        <v>2015</v>
      </c>
      <c r="D4348" s="0" t="s">
        <v>2016</v>
      </c>
      <c r="E4348" s="0" t="s">
        <v>2016</v>
      </c>
      <c r="F4348" s="0" t="s">
        <v>2016</v>
      </c>
    </row>
    <row r="4349" customFormat="false" ht="12.8" hidden="false" customHeight="false" outlineLevel="0" collapsed="false">
      <c r="B4349" s="0" t="s">
        <v>2017</v>
      </c>
      <c r="C4349" s="0" t="s">
        <v>2018</v>
      </c>
      <c r="D4349" s="0" t="s">
        <v>2019</v>
      </c>
      <c r="E4349" s="0" t="s">
        <v>2019</v>
      </c>
      <c r="F4349" s="0" t="s">
        <v>2019</v>
      </c>
    </row>
    <row r="4351" customFormat="false" ht="12.8" hidden="false" customHeight="false" outlineLevel="0" collapsed="false">
      <c r="A4351" s="0" t="s">
        <v>2020</v>
      </c>
      <c r="B4351" s="0" t="str">
        <f aca="false">HYPERLINK("https://lindat.mff.cuni.cz/services/teitok/pdtc10/index.php?action=vallex&amp;frame=v-w634f2", "domnívat se (v-w634f2)")</f>
        <v>domnívat se (v-w634f2)</v>
      </c>
    </row>
    <row r="4352" customFormat="false" ht="12.8" hidden="false" customHeight="false" outlineLevel="0" collapsed="false">
      <c r="B4352" s="0" t="s">
        <v>7</v>
      </c>
      <c r="C4352" s="0" t="s">
        <v>2021</v>
      </c>
      <c r="D4352" s="0" t="s">
        <v>2022</v>
      </c>
      <c r="E4352" s="0" t="s">
        <v>2022</v>
      </c>
      <c r="F4352" s="0" t="s">
        <v>2022</v>
      </c>
    </row>
    <row r="4353" customFormat="false" ht="12.8" hidden="false" customHeight="false" outlineLevel="0" collapsed="false">
      <c r="B4353" s="0" t="s">
        <v>2023</v>
      </c>
      <c r="C4353" s="0" t="s">
        <v>2024</v>
      </c>
      <c r="D4353" s="0" t="s">
        <v>2025</v>
      </c>
      <c r="E4353" s="0" t="s">
        <v>2025</v>
      </c>
      <c r="F4353" s="0" t="s">
        <v>2025</v>
      </c>
    </row>
    <row r="4354" customFormat="false" ht="12.8" hidden="false" customHeight="false" outlineLevel="0" collapsed="false">
      <c r="B4354" s="0" t="s">
        <v>363</v>
      </c>
      <c r="C4354" s="0" t="s">
        <v>2026</v>
      </c>
      <c r="D4354" s="0" t="s">
        <v>2027</v>
      </c>
      <c r="E4354" s="0" t="s">
        <v>2027</v>
      </c>
      <c r="F4354" s="0" t="s">
        <v>2027</v>
      </c>
    </row>
    <row r="4356" customFormat="false" ht="12.8" hidden="false" customHeight="false" outlineLevel="0" collapsed="false">
      <c r="A4356" s="0" t="s">
        <v>2028</v>
      </c>
      <c r="B4356" s="0" t="str">
        <f aca="false">HYPERLINK("https://lindat.mff.cuni.cz/services/teitok/pdtc10/index.php?action=vallex&amp;frame=v-w635f1", "domoci se (v-w635f1)")</f>
        <v>domoci se (v-w635f1)</v>
      </c>
    </row>
    <row r="4357" customFormat="false" ht="12.8" hidden="false" customHeight="false" outlineLevel="0" collapsed="false">
      <c r="B4357" s="0" t="s">
        <v>7</v>
      </c>
    </row>
    <row r="4358" customFormat="false" ht="12.8" hidden="false" customHeight="false" outlineLevel="0" collapsed="false">
      <c r="B4358" s="0" t="s">
        <v>1667</v>
      </c>
    </row>
    <row r="4359" customFormat="false" ht="12.8" hidden="false" customHeight="false" outlineLevel="0" collapsed="false">
      <c r="B4359" s="0" t="s">
        <v>1668</v>
      </c>
    </row>
    <row r="4361" customFormat="false" ht="12.8" hidden="false" customHeight="false" outlineLevel="0" collapsed="false">
      <c r="A4361" s="0" t="s">
        <v>2029</v>
      </c>
      <c r="B4361" s="0" t="str">
        <f aca="false">HYPERLINK("https://lindat.mff.cuni.cz/services/teitok/pdtc10/index.php?action=vallex&amp;frame=v-w636f1", "domyslet (v-w636f1)")</f>
        <v>domyslet (v-w636f1)</v>
      </c>
    </row>
    <row r="4362" customFormat="false" ht="12.8" hidden="false" customHeight="false" outlineLevel="0" collapsed="false">
      <c r="B4362" s="0" t="s">
        <v>7</v>
      </c>
    </row>
    <row r="4363" customFormat="false" ht="12.8" hidden="false" customHeight="false" outlineLevel="0" collapsed="false">
      <c r="B4363" s="0" t="s">
        <v>2030</v>
      </c>
    </row>
    <row r="4365" customFormat="false" ht="12.8" hidden="false" customHeight="false" outlineLevel="0" collapsed="false">
      <c r="A4365" s="0" t="s">
        <v>2031</v>
      </c>
      <c r="B4365" s="0" t="str">
        <f aca="false">HYPERLINK("https://lindat.mff.cuni.cz/services/teitok/pdtc10/index.php?action=vallex&amp;frame=v-w625f1", "domáhat se (v-w625f1)")</f>
        <v>domáhat se (v-w625f1)</v>
      </c>
    </row>
    <row r="4366" customFormat="false" ht="12.8" hidden="false" customHeight="false" outlineLevel="0" collapsed="false">
      <c r="B4366" s="0" t="s">
        <v>7</v>
      </c>
      <c r="C4366" s="0" t="s">
        <v>2032</v>
      </c>
      <c r="D4366" s="0" t="s">
        <v>1243</v>
      </c>
      <c r="E4366" s="0" t="s">
        <v>1243</v>
      </c>
      <c r="F4366" s="0" t="s">
        <v>1243</v>
      </c>
    </row>
    <row r="4367" customFormat="false" ht="12.8" hidden="false" customHeight="false" outlineLevel="0" collapsed="false">
      <c r="B4367" s="0" t="s">
        <v>1667</v>
      </c>
      <c r="C4367" s="0" t="s">
        <v>2033</v>
      </c>
      <c r="D4367" s="0" t="s">
        <v>1246</v>
      </c>
      <c r="E4367" s="0" t="s">
        <v>1246</v>
      </c>
      <c r="F4367" s="0" t="s">
        <v>1246</v>
      </c>
    </row>
    <row r="4368" customFormat="false" ht="12.8" hidden="false" customHeight="false" outlineLevel="0" collapsed="false">
      <c r="B4368" s="0" t="s">
        <v>1668</v>
      </c>
      <c r="C4368" s="0" t="s">
        <v>2034</v>
      </c>
      <c r="D4368" s="0" t="s">
        <v>1248</v>
      </c>
      <c r="E4368" s="0" t="s">
        <v>1248</v>
      </c>
      <c r="F4368" s="0" t="s">
        <v>1248</v>
      </c>
    </row>
    <row r="4370" customFormat="false" ht="12.8" hidden="false" customHeight="false" outlineLevel="0" collapsed="false">
      <c r="A4370" s="0" t="s">
        <v>2035</v>
      </c>
      <c r="B4370" s="0" t="str">
        <f aca="false">HYPERLINK("https://lindat.mff.cuni.cz/services/teitok/pdtc10/index.php?action=vallex&amp;frame=v-w637f1", "domýšlet se (v-w637f1)")</f>
        <v>domýšlet se (v-w637f1)</v>
      </c>
    </row>
    <row r="4371" customFormat="false" ht="12.8" hidden="false" customHeight="false" outlineLevel="0" collapsed="false">
      <c r="B4371" s="0" t="s">
        <v>7</v>
      </c>
    </row>
    <row r="4372" customFormat="false" ht="12.8" hidden="false" customHeight="false" outlineLevel="0" collapsed="false">
      <c r="B4372" s="0" t="s">
        <v>2036</v>
      </c>
    </row>
    <row r="4374" customFormat="false" ht="12.8" hidden="false" customHeight="false" outlineLevel="0" collapsed="false">
      <c r="A4374" s="0" t="s">
        <v>2037</v>
      </c>
      <c r="B4374" s="0" t="str">
        <f aca="false">HYPERLINK("https://lindat.mff.cuni.cz/services/teitok/pdtc10/index.php?action=vallex&amp;frame=v-w641f1", "donosit (v-w641f1)")</f>
        <v>donosit (v-w641f1)</v>
      </c>
    </row>
    <row r="4375" customFormat="false" ht="12.8" hidden="false" customHeight="false" outlineLevel="0" collapsed="false">
      <c r="B4375" s="0" t="s">
        <v>7</v>
      </c>
    </row>
    <row r="4376" customFormat="false" ht="12.8" hidden="false" customHeight="false" outlineLevel="0" collapsed="false">
      <c r="B4376" s="0" t="s">
        <v>14</v>
      </c>
    </row>
    <row r="4378" customFormat="false" ht="12.8" hidden="false" customHeight="false" outlineLevel="0" collapsed="false">
      <c r="A4378" s="0" t="s">
        <v>2038</v>
      </c>
      <c r="B4378" s="0" t="str">
        <f aca="false">HYPERLINK("https://lindat.mff.cuni.cz/services/teitok/pdtc10/index.php?action=vallex&amp;frame=v-w643f3_ZU", "donutit (v-w643f3_ZU)")</f>
        <v>donutit (v-w643f3_ZU)</v>
      </c>
    </row>
    <row r="4379" customFormat="false" ht="12.8" hidden="false" customHeight="false" outlineLevel="0" collapsed="false">
      <c r="B4379" s="0" t="s">
        <v>7</v>
      </c>
    </row>
    <row r="4380" customFormat="false" ht="12.8" hidden="false" customHeight="false" outlineLevel="0" collapsed="false">
      <c r="B4380" s="0" t="s">
        <v>2039</v>
      </c>
    </row>
    <row r="4381" customFormat="false" ht="12.8" hidden="false" customHeight="false" outlineLevel="0" collapsed="false">
      <c r="B4381" s="0" t="s">
        <v>81</v>
      </c>
    </row>
    <row r="4383" customFormat="false" ht="12.8" hidden="false" customHeight="false" outlineLevel="0" collapsed="false">
      <c r="A4383" s="0" t="s">
        <v>2038</v>
      </c>
      <c r="B4383" s="0" t="str">
        <f aca="false">HYPERLINK("https://lindat.mff.cuni.cz/services/teitok/pdtc10/index.php?action=vallex&amp;frame=v-w643f1", "donutit (v-w643f1) - substituted with v-w643f3_ZU")</f>
        <v>donutit (v-w643f1) - substituted with v-w643f3_ZU</v>
      </c>
    </row>
    <row r="4384" customFormat="false" ht="12.8" hidden="false" customHeight="false" outlineLevel="0" collapsed="false">
      <c r="B4384" s="0" t="s">
        <v>7</v>
      </c>
      <c r="C4384" s="0" t="s">
        <v>2040</v>
      </c>
      <c r="D4384" s="0" t="s">
        <v>2041</v>
      </c>
      <c r="E4384" s="0" t="s">
        <v>2041</v>
      </c>
      <c r="F4384" s="0" t="s">
        <v>2041</v>
      </c>
    </row>
    <row r="4385" customFormat="false" ht="12.8" hidden="false" customHeight="false" outlineLevel="0" collapsed="false">
      <c r="B4385" s="0" t="s">
        <v>2039</v>
      </c>
      <c r="C4385" s="0" t="s">
        <v>2042</v>
      </c>
      <c r="D4385" s="0" t="s">
        <v>2043</v>
      </c>
      <c r="E4385" s="0" t="s">
        <v>2043</v>
      </c>
      <c r="F4385" s="0" t="s">
        <v>2043</v>
      </c>
    </row>
    <row r="4386" customFormat="false" ht="12.8" hidden="false" customHeight="false" outlineLevel="0" collapsed="false">
      <c r="B4386" s="0" t="s">
        <v>81</v>
      </c>
      <c r="C4386" s="0" t="s">
        <v>2044</v>
      </c>
      <c r="D4386" s="0" t="s">
        <v>2045</v>
      </c>
      <c r="E4386" s="0" t="s">
        <v>2045</v>
      </c>
      <c r="F4386" s="0" t="s">
        <v>2045</v>
      </c>
    </row>
    <row r="4388" customFormat="false" ht="12.8" hidden="false" customHeight="false" outlineLevel="0" collapsed="false">
      <c r="A4388" s="0" t="s">
        <v>2038</v>
      </c>
      <c r="B4388" s="0" t="str">
        <f aca="false">HYPERLINK("https://lindat.mff.cuni.cz/services/teitok/pdtc10/index.php?action=vallex&amp;frame=v-w643f2_ZU", "donutit (v-w643f2_ZU) - substituted with v-w643f3_ZU")</f>
        <v>donutit (v-w643f2_ZU) - substituted with v-w643f3_ZU</v>
      </c>
    </row>
    <row r="4389" customFormat="false" ht="12.8" hidden="false" customHeight="false" outlineLevel="0" collapsed="false">
      <c r="B4389" s="0" t="s">
        <v>7</v>
      </c>
    </row>
    <row r="4390" customFormat="false" ht="12.8" hidden="false" customHeight="false" outlineLevel="0" collapsed="false">
      <c r="B4390" s="0" t="s">
        <v>2039</v>
      </c>
    </row>
    <row r="4391" customFormat="false" ht="12.8" hidden="false" customHeight="false" outlineLevel="0" collapsed="false">
      <c r="B4391" s="0" t="s">
        <v>81</v>
      </c>
    </row>
    <row r="4393" customFormat="false" ht="12.8" hidden="false" customHeight="false" outlineLevel="0" collapsed="false">
      <c r="A4393" s="0" t="s">
        <v>2046</v>
      </c>
      <c r="B4393" s="0" t="str">
        <f aca="false">HYPERLINK("https://lindat.mff.cuni.cz/services/teitok/pdtc10/index.php?action=vallex&amp;frame=v-w638f2", "donášet (v-w638f2)")</f>
        <v>donášet (v-w638f2)</v>
      </c>
    </row>
    <row r="4394" customFormat="false" ht="12.8" hidden="false" customHeight="false" outlineLevel="0" collapsed="false">
      <c r="B4394" s="0" t="s">
        <v>7</v>
      </c>
    </row>
    <row r="4395" customFormat="false" ht="12.8" hidden="false" customHeight="false" outlineLevel="0" collapsed="false">
      <c r="B4395" s="0" t="s">
        <v>14</v>
      </c>
    </row>
    <row r="4396" customFormat="false" ht="12.8" hidden="false" customHeight="false" outlineLevel="0" collapsed="false">
      <c r="B4396" s="0" t="s">
        <v>48</v>
      </c>
    </row>
    <row r="4398" customFormat="false" ht="12.8" hidden="false" customHeight="false" outlineLevel="0" collapsed="false">
      <c r="A4398" s="0" t="s">
        <v>2047</v>
      </c>
      <c r="B4398" s="0" t="str">
        <f aca="false">HYPERLINK("https://lindat.mff.cuni.cz/services/teitok/pdtc10/index.php?action=vallex&amp;frame=v-w638f1", "donášet (v-w638f1)")</f>
        <v>donášet (v-w638f1)</v>
      </c>
    </row>
    <row r="4399" customFormat="false" ht="12.8" hidden="false" customHeight="false" outlineLevel="0" collapsed="false">
      <c r="B4399" s="0" t="s">
        <v>7</v>
      </c>
    </row>
    <row r="4400" customFormat="false" ht="12.8" hidden="false" customHeight="false" outlineLevel="0" collapsed="false">
      <c r="B4400" s="0" t="s">
        <v>14</v>
      </c>
    </row>
    <row r="4401" customFormat="false" ht="12.8" hidden="false" customHeight="false" outlineLevel="0" collapsed="false">
      <c r="B4401" s="0" t="s">
        <v>124</v>
      </c>
    </row>
    <row r="4403" customFormat="false" ht="12.8" hidden="false" customHeight="false" outlineLevel="0" collapsed="false">
      <c r="A4403" s="0" t="s">
        <v>2048</v>
      </c>
      <c r="B4403" s="0" t="str">
        <f aca="false">HYPERLINK("https://lindat.mff.cuni.cz/services/teitok/pdtc10/index.php?action=vallex&amp;frame=v-w638hsa_1275", "donášet (v-w638hsa_1275)")</f>
        <v>donášet (v-w638hsa_1275)</v>
      </c>
    </row>
    <row r="4404" customFormat="false" ht="12.8" hidden="false" customHeight="false" outlineLevel="0" collapsed="false">
      <c r="B4404" s="0" t="s">
        <v>7</v>
      </c>
      <c r="C4404" s="0" t="s">
        <v>348</v>
      </c>
    </row>
    <row r="4405" customFormat="false" ht="12.8" hidden="false" customHeight="false" outlineLevel="0" collapsed="false">
      <c r="B4405" s="0" t="s">
        <v>48</v>
      </c>
    </row>
    <row r="4406" customFormat="false" ht="12.8" hidden="false" customHeight="false" outlineLevel="0" collapsed="false">
      <c r="B4406" s="0" t="s">
        <v>1925</v>
      </c>
    </row>
    <row r="4407" customFormat="false" ht="12.8" hidden="false" customHeight="false" outlineLevel="0" collapsed="false">
      <c r="B4407" s="0" t="s">
        <v>63</v>
      </c>
      <c r="C4407" s="0" t="s">
        <v>384</v>
      </c>
    </row>
    <row r="4409" customFormat="false" ht="12.8" hidden="false" customHeight="false" outlineLevel="0" collapsed="false">
      <c r="A4409" s="0" t="s">
        <v>2049</v>
      </c>
      <c r="B4409" s="0" t="str">
        <f aca="false">HYPERLINK("https://lindat.mff.cuni.cz/services/teitok/pdtc10/index.php?action=vallex&amp;frame=v-w639f1", "donést (v-w639f1)")</f>
        <v>donést (v-w639f1)</v>
      </c>
    </row>
    <row r="4410" customFormat="false" ht="12.8" hidden="false" customHeight="false" outlineLevel="0" collapsed="false">
      <c r="B4410" s="0" t="s">
        <v>7</v>
      </c>
      <c r="D4410" s="0" t="s">
        <v>1758</v>
      </c>
      <c r="E4410" s="0" t="s">
        <v>1758</v>
      </c>
      <c r="F4410" s="0" t="s">
        <v>1758</v>
      </c>
    </row>
    <row r="4411" customFormat="false" ht="12.8" hidden="false" customHeight="false" outlineLevel="0" collapsed="false">
      <c r="B4411" s="0" t="s">
        <v>14</v>
      </c>
      <c r="D4411" s="0" t="s">
        <v>1760</v>
      </c>
      <c r="E4411" s="0" t="s">
        <v>1760</v>
      </c>
      <c r="F4411" s="0" t="s">
        <v>1760</v>
      </c>
    </row>
    <row r="4412" customFormat="false" ht="12.8" hidden="false" customHeight="false" outlineLevel="0" collapsed="false">
      <c r="B4412" s="0" t="s">
        <v>48</v>
      </c>
      <c r="D4412" s="0" t="s">
        <v>1851</v>
      </c>
      <c r="E4412" s="0" t="s">
        <v>1851</v>
      </c>
      <c r="F4412" s="0" t="s">
        <v>1851</v>
      </c>
    </row>
    <row r="4414" customFormat="false" ht="12.8" hidden="false" customHeight="false" outlineLevel="0" collapsed="false">
      <c r="A4414" s="0" t="s">
        <v>2050</v>
      </c>
      <c r="B4414" s="0" t="str">
        <f aca="false">HYPERLINK("https://lindat.mff.cuni.cz/services/teitok/pdtc10/index.php?action=vallex&amp;frame=v-w639f2", "donést (v-w639f2)")</f>
        <v>donést (v-w639f2)</v>
      </c>
    </row>
    <row r="4415" customFormat="false" ht="12.8" hidden="false" customHeight="false" outlineLevel="0" collapsed="false">
      <c r="B4415" s="0" t="s">
        <v>7</v>
      </c>
      <c r="D4415" s="0" t="s">
        <v>2051</v>
      </c>
      <c r="E4415" s="0" t="s">
        <v>2051</v>
      </c>
      <c r="F4415" s="0" t="s">
        <v>2051</v>
      </c>
    </row>
    <row r="4416" customFormat="false" ht="12.8" hidden="false" customHeight="false" outlineLevel="0" collapsed="false">
      <c r="B4416" s="0" t="s">
        <v>14</v>
      </c>
      <c r="C4416" s="0" t="s">
        <v>2052</v>
      </c>
      <c r="D4416" s="0" t="s">
        <v>2053</v>
      </c>
      <c r="E4416" s="0" t="s">
        <v>2053</v>
      </c>
      <c r="F4416" s="0" t="s">
        <v>2053</v>
      </c>
    </row>
    <row r="4417" customFormat="false" ht="12.8" hidden="false" customHeight="false" outlineLevel="0" collapsed="false">
      <c r="B4417" s="0" t="s">
        <v>124</v>
      </c>
      <c r="C4417" s="0" t="s">
        <v>2054</v>
      </c>
      <c r="D4417" s="0" t="s">
        <v>1761</v>
      </c>
      <c r="E4417" s="0" t="s">
        <v>1761</v>
      </c>
      <c r="F4417" s="0" t="s">
        <v>1761</v>
      </c>
    </row>
    <row r="4419" customFormat="false" ht="12.8" hidden="false" customHeight="false" outlineLevel="0" collapsed="false">
      <c r="A4419" s="0" t="s">
        <v>2055</v>
      </c>
      <c r="B4419" s="0" t="str">
        <f aca="false">HYPERLINK("https://lindat.mff.cuni.cz/services/teitok/pdtc10/index.php?action=vallex&amp;frame=v-w640f1", "donést se (v-w640f1)")</f>
        <v>donést se (v-w640f1)</v>
      </c>
    </row>
    <row r="4420" customFormat="false" ht="12.8" hidden="false" customHeight="false" outlineLevel="0" collapsed="false">
      <c r="B4420" s="0" t="s">
        <v>7</v>
      </c>
    </row>
    <row r="4421" customFormat="false" ht="12.8" hidden="false" customHeight="false" outlineLevel="0" collapsed="false">
      <c r="B4421" s="0" t="s">
        <v>142</v>
      </c>
    </row>
    <row r="4423" customFormat="false" ht="12.8" hidden="false" customHeight="false" outlineLevel="0" collapsed="false">
      <c r="A4423" s="0" t="s">
        <v>2056</v>
      </c>
      <c r="B4423" s="0" t="str">
        <f aca="false">HYPERLINK("https://lindat.mff.cuni.cz/services/teitok/pdtc10/index.php?action=vallex&amp;frame=v-w640f2", "donést se (v-w640f2)")</f>
        <v>donést se (v-w640f2)</v>
      </c>
    </row>
    <row r="4424" customFormat="false" ht="12.8" hidden="false" customHeight="false" outlineLevel="0" collapsed="false">
      <c r="B4424" s="0" t="s">
        <v>7</v>
      </c>
      <c r="E4424" s="0" t="s">
        <v>1706</v>
      </c>
      <c r="F4424" s="0" t="s">
        <v>1706</v>
      </c>
    </row>
    <row r="4425" customFormat="false" ht="12.8" hidden="false" customHeight="false" outlineLevel="0" collapsed="false">
      <c r="B4425" s="0" t="s">
        <v>124</v>
      </c>
      <c r="E4425" s="0" t="s">
        <v>1707</v>
      </c>
      <c r="F4425" s="0" t="s">
        <v>1707</v>
      </c>
    </row>
    <row r="4427" customFormat="false" ht="12.8" hidden="false" customHeight="false" outlineLevel="0" collapsed="false">
      <c r="A4427" s="0" t="s">
        <v>2057</v>
      </c>
      <c r="B4427" s="0" t="str">
        <f aca="false">HYPERLINK("https://lindat.mff.cuni.cz/services/teitok/pdtc10/index.php?action=vallex&amp;frame=v-w12248_ZUf1_ZU", "dooblíknout (v-w12248_ZUf1_ZU)")</f>
        <v>dooblíknout (v-w12248_ZUf1_ZU)</v>
      </c>
    </row>
    <row r="4428" customFormat="false" ht="12.8" hidden="false" customHeight="false" outlineLevel="0" collapsed="false">
      <c r="B4428" s="0" t="s">
        <v>7</v>
      </c>
    </row>
    <row r="4429" customFormat="false" ht="12.8" hidden="false" customHeight="false" outlineLevel="0" collapsed="false">
      <c r="B4429" s="0" t="s">
        <v>14</v>
      </c>
    </row>
    <row r="4430" customFormat="false" ht="12.8" hidden="false" customHeight="false" outlineLevel="0" collapsed="false">
      <c r="B4430" s="0" t="s">
        <v>181</v>
      </c>
    </row>
    <row r="4432" customFormat="false" ht="12.8" hidden="false" customHeight="false" outlineLevel="0" collapsed="false">
      <c r="A4432" s="0" t="s">
        <v>2058</v>
      </c>
      <c r="B4432" s="0" t="str">
        <f aca="false">HYPERLINK("https://lindat.mff.cuni.cz/services/teitok/pdtc10/index.php?action=vallex&amp;frame=v-w11035f2", "doobědvat (v-w11035f2)")</f>
        <v>doobědvat (v-w11035f2)</v>
      </c>
    </row>
    <row r="4433" customFormat="false" ht="12.8" hidden="false" customHeight="false" outlineLevel="0" collapsed="false">
      <c r="B4433" s="0" t="s">
        <v>7</v>
      </c>
    </row>
    <row r="4435" customFormat="false" ht="12.8" hidden="false" customHeight="false" outlineLevel="0" collapsed="false">
      <c r="A4435" s="0" t="s">
        <v>2059</v>
      </c>
      <c r="B4435" s="0" t="str">
        <f aca="false">HYPERLINK("https://lindat.mff.cuni.cz/services/teitok/pdtc10/index.php?action=vallex&amp;frame=v-w11818_ZUf1_ZU", "doopravit (v-w11818_ZUf1_ZU)")</f>
        <v>doopravit (v-w11818_ZUf1_ZU)</v>
      </c>
    </row>
    <row r="4436" customFormat="false" ht="12.8" hidden="false" customHeight="false" outlineLevel="0" collapsed="false">
      <c r="B4436" s="0" t="s">
        <v>7</v>
      </c>
    </row>
    <row r="4437" customFormat="false" ht="12.8" hidden="false" customHeight="false" outlineLevel="0" collapsed="false">
      <c r="B4437" s="0" t="s">
        <v>14</v>
      </c>
    </row>
    <row r="4439" customFormat="false" ht="12.8" hidden="false" customHeight="false" outlineLevel="0" collapsed="false">
      <c r="A4439" s="0" t="s">
        <v>2060</v>
      </c>
      <c r="B4439" s="0" t="str">
        <f aca="false">HYPERLINK("https://lindat.mff.cuni.cz/services/teitok/pdtc10/index.php?action=vallex&amp;frame=v-w645f3", "dopadat (v-w645f3)")</f>
        <v>dopadat (v-w645f3)</v>
      </c>
    </row>
    <row r="4440" customFormat="false" ht="12.8" hidden="false" customHeight="false" outlineLevel="0" collapsed="false">
      <c r="B4440" s="0" t="s">
        <v>7</v>
      </c>
      <c r="C4440" s="0" t="s">
        <v>2061</v>
      </c>
      <c r="D4440" s="0" t="s">
        <v>2062</v>
      </c>
      <c r="E4440" s="0" t="s">
        <v>2062</v>
      </c>
      <c r="F4440" s="0" t="s">
        <v>2063</v>
      </c>
    </row>
    <row r="4441" customFormat="false" ht="12.8" hidden="false" customHeight="false" outlineLevel="0" collapsed="false">
      <c r="B4441" s="0" t="s">
        <v>41</v>
      </c>
      <c r="C4441" s="0" t="s">
        <v>2064</v>
      </c>
      <c r="D4441" s="0" t="s">
        <v>2065</v>
      </c>
      <c r="E4441" s="0" t="s">
        <v>2065</v>
      </c>
      <c r="F4441" s="0" t="s">
        <v>2066</v>
      </c>
    </row>
    <row r="4443" customFormat="false" ht="12.8" hidden="false" customHeight="false" outlineLevel="0" collapsed="false">
      <c r="A4443" s="0" t="s">
        <v>2067</v>
      </c>
      <c r="B4443" s="0" t="str">
        <f aca="false">HYPERLINK("https://lindat.mff.cuni.cz/services/teitok/pdtc10/index.php?action=vallex&amp;frame=v-w645f2", "dopadat (v-w645f2)")</f>
        <v>dopadat (v-w645f2)</v>
      </c>
    </row>
    <row r="4444" customFormat="false" ht="12.8" hidden="false" customHeight="false" outlineLevel="0" collapsed="false">
      <c r="B4444" s="0" t="s">
        <v>7</v>
      </c>
    </row>
    <row r="4445" customFormat="false" ht="12.8" hidden="false" customHeight="false" outlineLevel="0" collapsed="false">
      <c r="B4445" s="0" t="s">
        <v>124</v>
      </c>
    </row>
    <row r="4447" customFormat="false" ht="12.8" hidden="false" customHeight="false" outlineLevel="0" collapsed="false">
      <c r="A4447" s="0" t="s">
        <v>2068</v>
      </c>
      <c r="B4447" s="0" t="str">
        <f aca="false">HYPERLINK("https://lindat.mff.cuni.cz/services/teitok/pdtc10/index.php?action=vallex&amp;frame=v-w645f1", "dopadat (v-w645f1)")</f>
        <v>dopadat (v-w645f1)</v>
      </c>
    </row>
    <row r="4448" customFormat="false" ht="12.8" hidden="false" customHeight="false" outlineLevel="0" collapsed="false">
      <c r="B4448" s="0" t="s">
        <v>7</v>
      </c>
    </row>
    <row r="4449" customFormat="false" ht="12.8" hidden="false" customHeight="false" outlineLevel="0" collapsed="false">
      <c r="B4449" s="0" t="s">
        <v>552</v>
      </c>
    </row>
    <row r="4450" customFormat="false" ht="12.8" hidden="false" customHeight="false" outlineLevel="0" collapsed="false">
      <c r="B4450" s="0" t="s">
        <v>474</v>
      </c>
    </row>
    <row r="4451" customFormat="false" ht="12.8" hidden="false" customHeight="false" outlineLevel="0" collapsed="false">
      <c r="B4451" s="0" t="s">
        <v>479</v>
      </c>
    </row>
    <row r="4453" customFormat="false" ht="12.8" hidden="false" customHeight="false" outlineLevel="0" collapsed="false">
      <c r="A4453" s="0" t="s">
        <v>2069</v>
      </c>
      <c r="B4453" s="0" t="str">
        <f aca="false">HYPERLINK("https://lindat.mff.cuni.cz/services/teitok/pdtc10/index.php?action=vallex&amp;frame=v-w647f3", "dopadnout (v-w647f3)")</f>
        <v>dopadnout (v-w647f3)</v>
      </c>
    </row>
    <row r="4454" customFormat="false" ht="12.8" hidden="false" customHeight="false" outlineLevel="0" collapsed="false">
      <c r="B4454" s="0" t="s">
        <v>7</v>
      </c>
      <c r="C4454" s="0" t="s">
        <v>191</v>
      </c>
    </row>
    <row r="4455" customFormat="false" ht="12.8" hidden="false" customHeight="false" outlineLevel="0" collapsed="false">
      <c r="B4455" s="0" t="s">
        <v>14</v>
      </c>
      <c r="C4455" s="0" t="s">
        <v>78</v>
      </c>
    </row>
    <row r="4457" customFormat="false" ht="12.8" hidden="false" customHeight="false" outlineLevel="0" collapsed="false">
      <c r="A4457" s="0" t="s">
        <v>2070</v>
      </c>
      <c r="B4457" s="0" t="str">
        <f aca="false">HYPERLINK("https://lindat.mff.cuni.cz/services/teitok/pdtc10/index.php?action=vallex&amp;frame=v-w647f5", "dopadnout (v-w647f5)")</f>
        <v>dopadnout (v-w647f5)</v>
      </c>
    </row>
    <row r="4458" customFormat="false" ht="12.8" hidden="false" customHeight="false" outlineLevel="0" collapsed="false">
      <c r="B4458" s="0" t="s">
        <v>7</v>
      </c>
      <c r="C4458" s="0" t="s">
        <v>2071</v>
      </c>
      <c r="D4458" s="0" t="s">
        <v>2062</v>
      </c>
      <c r="E4458" s="0" t="s">
        <v>2062</v>
      </c>
      <c r="F4458" s="0" t="s">
        <v>2062</v>
      </c>
    </row>
    <row r="4459" customFormat="false" ht="12.8" hidden="false" customHeight="false" outlineLevel="0" collapsed="false">
      <c r="B4459" s="0" t="s">
        <v>41</v>
      </c>
      <c r="C4459" s="0" t="s">
        <v>1170</v>
      </c>
      <c r="D4459" s="0" t="s">
        <v>2065</v>
      </c>
      <c r="E4459" s="0" t="s">
        <v>2065</v>
      </c>
      <c r="F4459" s="0" t="s">
        <v>2065</v>
      </c>
    </row>
    <row r="4461" customFormat="false" ht="12.8" hidden="false" customHeight="false" outlineLevel="0" collapsed="false">
      <c r="A4461" s="0" t="s">
        <v>2072</v>
      </c>
      <c r="B4461" s="0" t="str">
        <f aca="false">HYPERLINK("https://lindat.mff.cuni.cz/services/teitok/pdtc10/index.php?action=vallex&amp;frame=v-w647f4", "dopadnout (v-w647f4)")</f>
        <v>dopadnout (v-w647f4)</v>
      </c>
    </row>
    <row r="4462" customFormat="false" ht="12.8" hidden="false" customHeight="false" outlineLevel="0" collapsed="false">
      <c r="B4462" s="0" t="s">
        <v>7</v>
      </c>
    </row>
    <row r="4463" customFormat="false" ht="12.8" hidden="false" customHeight="false" outlineLevel="0" collapsed="false">
      <c r="B4463" s="0" t="s">
        <v>548</v>
      </c>
    </row>
    <row r="4464" customFormat="false" ht="12.8" hidden="false" customHeight="false" outlineLevel="0" collapsed="false">
      <c r="B4464" s="0" t="s">
        <v>474</v>
      </c>
    </row>
    <row r="4465" customFormat="false" ht="12.8" hidden="false" customHeight="false" outlineLevel="0" collapsed="false">
      <c r="B4465" s="0" t="s">
        <v>479</v>
      </c>
    </row>
    <row r="4466" customFormat="false" ht="12.8" hidden="false" customHeight="false" outlineLevel="0" collapsed="false">
      <c r="B4466" s="0" t="s">
        <v>481</v>
      </c>
    </row>
    <row r="4468" customFormat="false" ht="12.8" hidden="false" customHeight="false" outlineLevel="0" collapsed="false">
      <c r="A4468" s="0" t="s">
        <v>2073</v>
      </c>
      <c r="B4468" s="0" t="str">
        <f aca="false">HYPERLINK("https://lindat.mff.cuni.cz/services/teitok/pdtc10/index.php?action=vallex&amp;frame=v-w647f2", "dopadnout (v-w647f2)")</f>
        <v>dopadnout (v-w647f2)</v>
      </c>
    </row>
    <row r="4469" customFormat="false" ht="12.8" hidden="false" customHeight="false" outlineLevel="0" collapsed="false">
      <c r="B4469" s="0" t="s">
        <v>7</v>
      </c>
      <c r="C4469" s="0" t="s">
        <v>723</v>
      </c>
      <c r="D4469" s="0" t="s">
        <v>2074</v>
      </c>
      <c r="E4469" s="0" t="s">
        <v>2074</v>
      </c>
      <c r="F4469" s="0" t="s">
        <v>2074</v>
      </c>
    </row>
    <row r="4470" customFormat="false" ht="12.8" hidden="false" customHeight="false" outlineLevel="0" collapsed="false">
      <c r="B4470" s="0" t="s">
        <v>124</v>
      </c>
    </row>
    <row r="4472" customFormat="false" ht="12.8" hidden="false" customHeight="false" outlineLevel="0" collapsed="false">
      <c r="A4472" s="0" t="s">
        <v>2075</v>
      </c>
      <c r="B4472" s="0" t="str">
        <f aca="false">HYPERLINK("https://lindat.mff.cuni.cz/services/teitok/pdtc10/index.php?action=vallex&amp;frame=v-w647f6_ZU", "dopadnout (v-w647f6_ZU)")</f>
        <v>dopadnout (v-w647f6_ZU)</v>
      </c>
    </row>
    <row r="4473" customFormat="false" ht="12.8" hidden="false" customHeight="false" outlineLevel="0" collapsed="false">
      <c r="B4473" s="0" t="s">
        <v>7</v>
      </c>
    </row>
    <row r="4474" customFormat="false" ht="12.8" hidden="false" customHeight="false" outlineLevel="0" collapsed="false">
      <c r="B4474" s="0" t="s">
        <v>552</v>
      </c>
    </row>
    <row r="4475" customFormat="false" ht="12.8" hidden="false" customHeight="false" outlineLevel="0" collapsed="false">
      <c r="B4475" s="0" t="s">
        <v>474</v>
      </c>
    </row>
    <row r="4476" customFormat="false" ht="12.8" hidden="false" customHeight="false" outlineLevel="0" collapsed="false">
      <c r="B4476" s="0" t="s">
        <v>479</v>
      </c>
    </row>
    <row r="4477" customFormat="false" ht="12.8" hidden="false" customHeight="false" outlineLevel="0" collapsed="false">
      <c r="B4477" s="0" t="s">
        <v>481</v>
      </c>
    </row>
    <row r="4478" customFormat="false" ht="12.8" hidden="false" customHeight="false" outlineLevel="0" collapsed="false">
      <c r="B4478" s="0" t="s">
        <v>2076</v>
      </c>
    </row>
    <row r="4480" customFormat="false" ht="12.8" hidden="false" customHeight="false" outlineLevel="0" collapsed="false">
      <c r="A4480" s="0" t="s">
        <v>2075</v>
      </c>
      <c r="B4480" s="0" t="str">
        <f aca="false">HYPERLINK("https://lindat.mff.cuni.cz/services/teitok/pdtc10/index.php?action=vallex&amp;frame=v-w647f1", "dopadnout (v-w647f1) - substituted with v-w647f6_ZU")</f>
        <v>dopadnout (v-w647f1) - substituted with v-w647f6_ZU</v>
      </c>
    </row>
    <row r="4481" customFormat="false" ht="12.8" hidden="false" customHeight="false" outlineLevel="0" collapsed="false">
      <c r="B4481" s="0" t="s">
        <v>7</v>
      </c>
      <c r="C4481" s="0" t="s">
        <v>2077</v>
      </c>
      <c r="D4481" s="0" t="s">
        <v>2078</v>
      </c>
      <c r="E4481" s="0" t="s">
        <v>2078</v>
      </c>
      <c r="F4481" s="0" t="s">
        <v>2078</v>
      </c>
    </row>
    <row r="4482" customFormat="false" ht="12.8" hidden="false" customHeight="false" outlineLevel="0" collapsed="false">
      <c r="B4482" s="0" t="s">
        <v>552</v>
      </c>
      <c r="D4482" s="0" t="s">
        <v>2079</v>
      </c>
      <c r="E4482" s="0" t="s">
        <v>2079</v>
      </c>
      <c r="F4482" s="0" t="s">
        <v>2079</v>
      </c>
    </row>
    <row r="4483" customFormat="false" ht="12.8" hidden="false" customHeight="false" outlineLevel="0" collapsed="false">
      <c r="B4483" s="0" t="s">
        <v>474</v>
      </c>
      <c r="C4483" s="0" t="s">
        <v>2080</v>
      </c>
      <c r="D4483" s="0" t="s">
        <v>2081</v>
      </c>
      <c r="E4483" s="0" t="s">
        <v>2081</v>
      </c>
      <c r="F4483" s="0" t="s">
        <v>2081</v>
      </c>
    </row>
    <row r="4484" customFormat="false" ht="12.8" hidden="false" customHeight="false" outlineLevel="0" collapsed="false">
      <c r="B4484" s="0" t="s">
        <v>479</v>
      </c>
      <c r="C4484" s="0" t="s">
        <v>2082</v>
      </c>
      <c r="D4484" s="0" t="s">
        <v>2083</v>
      </c>
      <c r="E4484" s="0" t="s">
        <v>2083</v>
      </c>
      <c r="F4484" s="0" t="s">
        <v>2083</v>
      </c>
    </row>
    <row r="4485" customFormat="false" ht="12.8" hidden="false" customHeight="false" outlineLevel="0" collapsed="false">
      <c r="B4485" s="0" t="s">
        <v>481</v>
      </c>
      <c r="D4485" s="0" t="s">
        <v>2084</v>
      </c>
      <c r="E4485" s="0" t="s">
        <v>2084</v>
      </c>
      <c r="F4485" s="0" t="s">
        <v>2084</v>
      </c>
    </row>
    <row r="4486" customFormat="false" ht="12.8" hidden="false" customHeight="false" outlineLevel="0" collapsed="false">
      <c r="B4486" s="0" t="s">
        <v>2076</v>
      </c>
      <c r="D4486" s="0" t="s">
        <v>2085</v>
      </c>
      <c r="E4486" s="0" t="s">
        <v>2085</v>
      </c>
      <c r="F4486" s="0" t="s">
        <v>2085</v>
      </c>
    </row>
    <row r="4488" customFormat="false" ht="12.8" hidden="false" customHeight="false" outlineLevel="0" collapsed="false">
      <c r="A4488" s="0" t="s">
        <v>2086</v>
      </c>
      <c r="B4488" s="0" t="str">
        <f aca="false">HYPERLINK("https://lindat.mff.cuni.cz/services/teitok/pdtc10/index.php?action=vallex&amp;frame=v-w651f1", "dopisovat si (v-w651f1)")</f>
        <v>dopisovat si (v-w651f1)</v>
      </c>
    </row>
    <row r="4489" customFormat="false" ht="12.8" hidden="false" customHeight="false" outlineLevel="0" collapsed="false">
      <c r="B4489" s="0" t="s">
        <v>7</v>
      </c>
    </row>
    <row r="4490" customFormat="false" ht="12.8" hidden="false" customHeight="false" outlineLevel="0" collapsed="false">
      <c r="B4490" s="0" t="s">
        <v>207</v>
      </c>
    </row>
    <row r="4491" customFormat="false" ht="12.8" hidden="false" customHeight="false" outlineLevel="0" collapsed="false">
      <c r="B4491" s="0" t="s">
        <v>363</v>
      </c>
    </row>
    <row r="4493" customFormat="false" ht="12.8" hidden="false" customHeight="false" outlineLevel="0" collapsed="false">
      <c r="A4493" s="0" t="s">
        <v>2087</v>
      </c>
      <c r="B4493" s="0" t="str">
        <f aca="false">HYPERLINK("https://lindat.mff.cuni.cz/services/teitok/pdtc10/index.php?action=vallex&amp;frame=v-w656f2", "doplatit (v-w656f2)")</f>
        <v>doplatit (v-w656f2)</v>
      </c>
    </row>
    <row r="4494" customFormat="false" ht="12.8" hidden="false" customHeight="false" outlineLevel="0" collapsed="false">
      <c r="B4494" s="0" t="s">
        <v>7</v>
      </c>
      <c r="C4494" s="0" t="s">
        <v>465</v>
      </c>
      <c r="D4494" s="0" t="s">
        <v>2088</v>
      </c>
      <c r="E4494" s="0" t="s">
        <v>2088</v>
      </c>
      <c r="F4494" s="0" t="s">
        <v>2088</v>
      </c>
    </row>
    <row r="4495" customFormat="false" ht="12.8" hidden="false" customHeight="false" outlineLevel="0" collapsed="false">
      <c r="B4495" s="0" t="s">
        <v>14</v>
      </c>
      <c r="C4495" s="0" t="s">
        <v>1650</v>
      </c>
      <c r="D4495" s="0" t="s">
        <v>2089</v>
      </c>
      <c r="E4495" s="0" t="s">
        <v>2089</v>
      </c>
      <c r="F4495" s="0" t="s">
        <v>2089</v>
      </c>
    </row>
    <row r="4496" customFormat="false" ht="12.8" hidden="false" customHeight="false" outlineLevel="0" collapsed="false">
      <c r="B4496" s="0" t="s">
        <v>106</v>
      </c>
      <c r="C4496" s="0" t="s">
        <v>1651</v>
      </c>
      <c r="D4496" s="0" t="s">
        <v>2090</v>
      </c>
      <c r="E4496" s="0" t="s">
        <v>2090</v>
      </c>
      <c r="F4496" s="0" t="s">
        <v>2090</v>
      </c>
    </row>
    <row r="4497" customFormat="false" ht="12.8" hidden="false" customHeight="false" outlineLevel="0" collapsed="false">
      <c r="B4497" s="0" t="s">
        <v>550</v>
      </c>
    </row>
    <row r="4499" customFormat="false" ht="12.8" hidden="false" customHeight="false" outlineLevel="0" collapsed="false">
      <c r="A4499" s="0" t="s">
        <v>2091</v>
      </c>
      <c r="B4499" s="0" t="str">
        <f aca="false">HYPERLINK("https://lindat.mff.cuni.cz/services/teitok/pdtc10/index.php?action=vallex&amp;frame=v-w656f1", "doplatit (v-w656f1)")</f>
        <v>doplatit (v-w656f1)</v>
      </c>
    </row>
    <row r="4500" customFormat="false" ht="12.8" hidden="false" customHeight="false" outlineLevel="0" collapsed="false">
      <c r="B4500" s="0" t="s">
        <v>7</v>
      </c>
      <c r="C4500" s="0" t="s">
        <v>1921</v>
      </c>
      <c r="D4500" s="0" t="s">
        <v>2092</v>
      </c>
      <c r="E4500" s="0" t="s">
        <v>2092</v>
      </c>
      <c r="F4500" s="0" t="s">
        <v>2092</v>
      </c>
    </row>
    <row r="4501" customFormat="false" ht="12.8" hidden="false" customHeight="false" outlineLevel="0" collapsed="false">
      <c r="B4501" s="0" t="s">
        <v>41</v>
      </c>
      <c r="C4501" s="0" t="s">
        <v>2093</v>
      </c>
      <c r="D4501" s="0" t="s">
        <v>2094</v>
      </c>
      <c r="E4501" s="0" t="s">
        <v>2094</v>
      </c>
      <c r="F4501" s="0" t="s">
        <v>2094</v>
      </c>
    </row>
    <row r="4503" customFormat="false" ht="12.8" hidden="false" customHeight="false" outlineLevel="0" collapsed="false">
      <c r="A4503" s="0" t="s">
        <v>2095</v>
      </c>
      <c r="B4503" s="0" t="str">
        <f aca="false">HYPERLINK("https://lindat.mff.cuni.cz/services/teitok/pdtc10/index.php?action=vallex&amp;frame=v-w656f3", "doplatit (v-w656f3)")</f>
        <v>doplatit (v-w656f3)</v>
      </c>
    </row>
    <row r="4504" customFormat="false" ht="12.8" hidden="false" customHeight="false" outlineLevel="0" collapsed="false">
      <c r="B4504" s="0" t="s">
        <v>7</v>
      </c>
      <c r="D4504" s="0" t="s">
        <v>2088</v>
      </c>
      <c r="E4504" s="0" t="s">
        <v>2088</v>
      </c>
      <c r="F4504" s="0" t="s">
        <v>2088</v>
      </c>
    </row>
    <row r="4505" customFormat="false" ht="12.8" hidden="false" customHeight="false" outlineLevel="0" collapsed="false">
      <c r="B4505" s="0" t="s">
        <v>679</v>
      </c>
      <c r="D4505" s="0" t="s">
        <v>2096</v>
      </c>
      <c r="E4505" s="0" t="s">
        <v>2096</v>
      </c>
      <c r="F4505" s="0" t="s">
        <v>2096</v>
      </c>
    </row>
    <row r="4506" customFormat="false" ht="12.8" hidden="false" customHeight="false" outlineLevel="0" collapsed="false">
      <c r="B4506" s="0" t="s">
        <v>1654</v>
      </c>
    </row>
    <row r="4507" customFormat="false" ht="12.8" hidden="false" customHeight="false" outlineLevel="0" collapsed="false">
      <c r="B4507" s="0" t="s">
        <v>106</v>
      </c>
      <c r="D4507" s="0" t="s">
        <v>2090</v>
      </c>
      <c r="E4507" s="0" t="s">
        <v>2090</v>
      </c>
      <c r="F4507" s="0" t="s">
        <v>2090</v>
      </c>
    </row>
    <row r="4509" customFormat="false" ht="12.8" hidden="false" customHeight="false" outlineLevel="0" collapsed="false">
      <c r="A4509" s="0" t="s">
        <v>2097</v>
      </c>
      <c r="B4509" s="0" t="str">
        <f aca="false">HYPERLINK("https://lindat.mff.cuni.cz/services/teitok/pdtc10/index.php?action=vallex&amp;frame=v-whsb_728hsa_729", "doplavat (v-whsb_728hsa_729)")</f>
        <v>doplavat (v-whsb_728hsa_729)</v>
      </c>
    </row>
    <row r="4510" customFormat="false" ht="12.8" hidden="false" customHeight="false" outlineLevel="0" collapsed="false">
      <c r="B4510" s="0" t="s">
        <v>7</v>
      </c>
    </row>
    <row r="4511" customFormat="false" ht="12.8" hidden="false" customHeight="false" outlineLevel="0" collapsed="false">
      <c r="B4511" s="0" t="s">
        <v>124</v>
      </c>
    </row>
    <row r="4513" customFormat="false" ht="12.8" hidden="false" customHeight="false" outlineLevel="0" collapsed="false">
      <c r="A4513" s="0" t="s">
        <v>2098</v>
      </c>
      <c r="B4513" s="0" t="str">
        <f aca="false">HYPERLINK("https://lindat.mff.cuni.cz/services/teitok/pdtc10/index.php?action=vallex&amp;frame=v-w657f1", "doplazit se (v-w657f1)")</f>
        <v>doplazit se (v-w657f1)</v>
      </c>
    </row>
    <row r="4514" customFormat="false" ht="12.8" hidden="false" customHeight="false" outlineLevel="0" collapsed="false">
      <c r="B4514" s="0" t="s">
        <v>7</v>
      </c>
    </row>
    <row r="4515" customFormat="false" ht="12.8" hidden="false" customHeight="false" outlineLevel="0" collapsed="false">
      <c r="B4515" s="0" t="s">
        <v>124</v>
      </c>
    </row>
    <row r="4517" customFormat="false" ht="12.8" hidden="false" customHeight="false" outlineLevel="0" collapsed="false">
      <c r="A4517" s="0" t="s">
        <v>2099</v>
      </c>
      <c r="B4517" s="0" t="str">
        <f aca="false">HYPERLINK("https://lindat.mff.cuni.cz/services/teitok/pdtc10/index.php?action=vallex&amp;frame=v-w661f1", "doplnit (v-w661f1)")</f>
        <v>doplnit (v-w661f1)</v>
      </c>
    </row>
    <row r="4518" customFormat="false" ht="12.8" hidden="false" customHeight="false" outlineLevel="0" collapsed="false">
      <c r="B4518" s="0" t="s">
        <v>7</v>
      </c>
      <c r="C4518" s="0" t="s">
        <v>2100</v>
      </c>
      <c r="D4518" s="0" t="s">
        <v>2101</v>
      </c>
      <c r="E4518" s="0" t="s">
        <v>2101</v>
      </c>
      <c r="F4518" s="0" t="s">
        <v>2101</v>
      </c>
    </row>
    <row r="4519" customFormat="false" ht="12.8" hidden="false" customHeight="false" outlineLevel="0" collapsed="false">
      <c r="B4519" s="0" t="s">
        <v>14</v>
      </c>
      <c r="C4519" s="0" t="s">
        <v>2102</v>
      </c>
      <c r="D4519" s="0" t="s">
        <v>2103</v>
      </c>
      <c r="E4519" s="0" t="s">
        <v>2103</v>
      </c>
      <c r="F4519" s="0" t="s">
        <v>2103</v>
      </c>
    </row>
    <row r="4520" customFormat="false" ht="12.8" hidden="false" customHeight="false" outlineLevel="0" collapsed="false">
      <c r="B4520" s="0" t="s">
        <v>2104</v>
      </c>
      <c r="C4520" s="0" t="s">
        <v>2105</v>
      </c>
      <c r="D4520" s="0" t="s">
        <v>2106</v>
      </c>
      <c r="E4520" s="0" t="s">
        <v>2106</v>
      </c>
      <c r="F4520" s="0" t="s">
        <v>2106</v>
      </c>
    </row>
    <row r="4522" customFormat="false" ht="12.8" hidden="false" customHeight="false" outlineLevel="0" collapsed="false">
      <c r="A4522" s="0" t="s">
        <v>2107</v>
      </c>
      <c r="B4522" s="0" t="str">
        <f aca="false">HYPERLINK("https://lindat.mff.cuni.cz/services/teitok/pdtc10/index.php?action=vallex&amp;frame=v-w661f2", "doplnit (v-w661f2)")</f>
        <v>doplnit (v-w661f2)</v>
      </c>
    </row>
    <row r="4523" customFormat="false" ht="12.8" hidden="false" customHeight="false" outlineLevel="0" collapsed="false">
      <c r="B4523" s="0" t="s">
        <v>7</v>
      </c>
      <c r="C4523" s="0" t="s">
        <v>2108</v>
      </c>
    </row>
    <row r="4524" customFormat="false" ht="12.8" hidden="false" customHeight="false" outlineLevel="0" collapsed="false">
      <c r="B4524" s="0" t="s">
        <v>1764</v>
      </c>
      <c r="C4524" s="0" t="s">
        <v>2109</v>
      </c>
    </row>
    <row r="4525" customFormat="false" ht="12.8" hidden="false" customHeight="false" outlineLevel="0" collapsed="false">
      <c r="B4525" s="0" t="s">
        <v>1767</v>
      </c>
    </row>
    <row r="4527" customFormat="false" ht="12.8" hidden="false" customHeight="false" outlineLevel="0" collapsed="false">
      <c r="A4527" s="0" t="s">
        <v>2110</v>
      </c>
      <c r="B4527" s="0" t="str">
        <f aca="false">HYPERLINK("https://lindat.mff.cuni.cz/services/teitok/pdtc10/index.php?action=vallex&amp;frame=v-w661hsa_399", "doplnit (v-w661hsa_399)")</f>
        <v>doplnit (v-w661hsa_399)</v>
      </c>
    </row>
    <row r="4528" customFormat="false" ht="12.8" hidden="false" customHeight="false" outlineLevel="0" collapsed="false">
      <c r="B4528" s="0" t="s">
        <v>7</v>
      </c>
      <c r="C4528" s="0" t="s">
        <v>465</v>
      </c>
      <c r="D4528" s="0" t="s">
        <v>1740</v>
      </c>
      <c r="E4528" s="0" t="s">
        <v>1740</v>
      </c>
      <c r="F4528" s="0" t="s">
        <v>1740</v>
      </c>
    </row>
    <row r="4529" customFormat="false" ht="12.8" hidden="false" customHeight="false" outlineLevel="0" collapsed="false">
      <c r="B4529" s="0" t="s">
        <v>14</v>
      </c>
      <c r="C4529" s="0" t="s">
        <v>488</v>
      </c>
    </row>
    <row r="4530" customFormat="false" ht="12.8" hidden="false" customHeight="false" outlineLevel="0" collapsed="false">
      <c r="B4530" s="0" t="s">
        <v>84</v>
      </c>
      <c r="C4530" s="0" t="s">
        <v>2111</v>
      </c>
      <c r="D4530" s="0" t="s">
        <v>2112</v>
      </c>
      <c r="E4530" s="0" t="s">
        <v>2112</v>
      </c>
      <c r="F4530" s="0" t="s">
        <v>2112</v>
      </c>
    </row>
    <row r="4532" customFormat="false" ht="12.8" hidden="false" customHeight="false" outlineLevel="0" collapsed="false">
      <c r="A4532" s="0" t="s">
        <v>2113</v>
      </c>
      <c r="B4532" s="0" t="str">
        <f aca="false">HYPERLINK("https://lindat.mff.cuni.cz/services/teitok/pdtc10/index.php?action=vallex&amp;frame=v-w661f3_ZU", "doplnit (v-w661f3_ZU)")</f>
        <v>doplnit (v-w661f3_ZU)</v>
      </c>
    </row>
    <row r="4533" customFormat="false" ht="12.8" hidden="false" customHeight="false" outlineLevel="0" collapsed="false">
      <c r="B4533" s="0" t="s">
        <v>7</v>
      </c>
    </row>
    <row r="4534" customFormat="false" ht="12.8" hidden="false" customHeight="false" outlineLevel="0" collapsed="false">
      <c r="B4534" s="0" t="s">
        <v>14</v>
      </c>
    </row>
    <row r="4535" customFormat="false" ht="12.8" hidden="false" customHeight="false" outlineLevel="0" collapsed="false">
      <c r="B4535" s="0" t="s">
        <v>2114</v>
      </c>
    </row>
    <row r="4537" customFormat="false" ht="12.8" hidden="false" customHeight="false" outlineLevel="0" collapsed="false">
      <c r="A4537" s="0" t="s">
        <v>2115</v>
      </c>
      <c r="B4537" s="0" t="str">
        <f aca="false">HYPERLINK("https://lindat.mff.cuni.cz/services/teitok/pdtc10/index.php?action=vallex&amp;frame=v-w12219_ZUf2_ZU", "doplout (v-w12219_ZUf2_ZU)")</f>
        <v>doplout (v-w12219_ZUf2_ZU)</v>
      </c>
    </row>
    <row r="4538" customFormat="false" ht="12.8" hidden="false" customHeight="false" outlineLevel="0" collapsed="false">
      <c r="B4538" s="0" t="s">
        <v>7</v>
      </c>
    </row>
    <row r="4539" customFormat="false" ht="12.8" hidden="false" customHeight="false" outlineLevel="0" collapsed="false">
      <c r="B4539" s="0" t="s">
        <v>338</v>
      </c>
    </row>
    <row r="4541" customFormat="false" ht="12.8" hidden="false" customHeight="false" outlineLevel="0" collapsed="false">
      <c r="A4541" s="0" t="s">
        <v>2115</v>
      </c>
      <c r="B4541" s="0" t="str">
        <f aca="false">HYPERLINK("https://lindat.mff.cuni.cz/services/teitok/pdtc10/index.php?action=vallex&amp;frame=v-w12219_ZUf1_ZU", "doplout (v-w12219_ZUf1_ZU) - substituted with v-w12219_ZUf2_ZU")</f>
        <v>doplout (v-w12219_ZUf1_ZU) - substituted with v-w12219_ZUf2_ZU</v>
      </c>
    </row>
    <row r="4542" customFormat="false" ht="12.8" hidden="false" customHeight="false" outlineLevel="0" collapsed="false">
      <c r="B4542" s="0" t="s">
        <v>7</v>
      </c>
    </row>
    <row r="4543" customFormat="false" ht="12.8" hidden="false" customHeight="false" outlineLevel="0" collapsed="false">
      <c r="B4543" s="0" t="s">
        <v>338</v>
      </c>
    </row>
    <row r="4545" customFormat="false" ht="12.8" hidden="false" customHeight="false" outlineLevel="0" collapsed="false">
      <c r="A4545" s="0" t="s">
        <v>2116</v>
      </c>
      <c r="B4545" s="0" t="str">
        <f aca="false">HYPERLINK("https://lindat.mff.cuni.cz/services/teitok/pdtc10/index.php?action=vallex&amp;frame=v-w654f1", "doplácet (v-w654f1)")</f>
        <v>doplácet (v-w654f1)</v>
      </c>
    </row>
    <row r="4546" customFormat="false" ht="12.8" hidden="false" customHeight="false" outlineLevel="0" collapsed="false">
      <c r="B4546" s="0" t="s">
        <v>7</v>
      </c>
      <c r="D4546" s="0" t="s">
        <v>2088</v>
      </c>
      <c r="E4546" s="0" t="s">
        <v>2088</v>
      </c>
      <c r="F4546" s="0" t="s">
        <v>2088</v>
      </c>
    </row>
    <row r="4547" customFormat="false" ht="12.8" hidden="false" customHeight="false" outlineLevel="0" collapsed="false">
      <c r="B4547" s="0" t="s">
        <v>14</v>
      </c>
      <c r="D4547" s="0" t="s">
        <v>2089</v>
      </c>
      <c r="E4547" s="0" t="s">
        <v>2089</v>
      </c>
      <c r="F4547" s="0" t="s">
        <v>2089</v>
      </c>
    </row>
    <row r="4548" customFormat="false" ht="12.8" hidden="false" customHeight="false" outlineLevel="0" collapsed="false">
      <c r="B4548" s="0" t="s">
        <v>106</v>
      </c>
      <c r="D4548" s="0" t="s">
        <v>2090</v>
      </c>
      <c r="E4548" s="0" t="s">
        <v>2090</v>
      </c>
      <c r="F4548" s="0" t="s">
        <v>2090</v>
      </c>
    </row>
    <row r="4549" customFormat="false" ht="12.8" hidden="false" customHeight="false" outlineLevel="0" collapsed="false">
      <c r="B4549" s="0" t="s">
        <v>550</v>
      </c>
    </row>
    <row r="4551" customFormat="false" ht="12.8" hidden="false" customHeight="false" outlineLevel="0" collapsed="false">
      <c r="A4551" s="0" t="s">
        <v>2117</v>
      </c>
      <c r="B4551" s="0" t="str">
        <f aca="false">HYPERLINK("https://lindat.mff.cuni.cz/services/teitok/pdtc10/index.php?action=vallex&amp;frame=v-w654f3", "doplácet (v-w654f3)")</f>
        <v>doplácet (v-w654f3)</v>
      </c>
    </row>
    <row r="4552" customFormat="false" ht="12.8" hidden="false" customHeight="false" outlineLevel="0" collapsed="false">
      <c r="B4552" s="0" t="s">
        <v>7</v>
      </c>
      <c r="C4552" s="0" t="s">
        <v>113</v>
      </c>
      <c r="D4552" s="0" t="s">
        <v>2092</v>
      </c>
      <c r="E4552" s="0" t="s">
        <v>2092</v>
      </c>
      <c r="F4552" s="0" t="s">
        <v>2092</v>
      </c>
    </row>
    <row r="4553" customFormat="false" ht="12.8" hidden="false" customHeight="false" outlineLevel="0" collapsed="false">
      <c r="B4553" s="0" t="s">
        <v>41</v>
      </c>
      <c r="D4553" s="0" t="s">
        <v>2094</v>
      </c>
      <c r="E4553" s="0" t="s">
        <v>2094</v>
      </c>
      <c r="F4553" s="0" t="s">
        <v>2094</v>
      </c>
    </row>
    <row r="4555" customFormat="false" ht="12.8" hidden="false" customHeight="false" outlineLevel="0" collapsed="false">
      <c r="A4555" s="0" t="s">
        <v>2118</v>
      </c>
      <c r="B4555" s="0" t="str">
        <f aca="false">HYPERLINK("https://lindat.mff.cuni.cz/services/teitok/pdtc10/index.php?action=vallex&amp;frame=v-w654f2", "doplácet (v-w654f2)")</f>
        <v>doplácet (v-w654f2)</v>
      </c>
    </row>
    <row r="4556" customFormat="false" ht="12.8" hidden="false" customHeight="false" outlineLevel="0" collapsed="false">
      <c r="B4556" s="0" t="s">
        <v>7</v>
      </c>
    </row>
    <row r="4557" customFormat="false" ht="12.8" hidden="false" customHeight="false" outlineLevel="0" collapsed="false">
      <c r="B4557" s="0" t="s">
        <v>679</v>
      </c>
    </row>
    <row r="4558" customFormat="false" ht="12.8" hidden="false" customHeight="false" outlineLevel="0" collapsed="false">
      <c r="B4558" s="0" t="s">
        <v>1654</v>
      </c>
    </row>
    <row r="4559" customFormat="false" ht="12.8" hidden="false" customHeight="false" outlineLevel="0" collapsed="false">
      <c r="B4559" s="0" t="s">
        <v>106</v>
      </c>
    </row>
    <row r="4561" customFormat="false" ht="12.8" hidden="false" customHeight="false" outlineLevel="0" collapsed="false">
      <c r="A4561" s="0" t="s">
        <v>2119</v>
      </c>
      <c r="B4561" s="0" t="str">
        <f aca="false">HYPERLINK("https://lindat.mff.cuni.cz/services/teitok/pdtc10/index.php?action=vallex&amp;frame=v-w663f1", "doplňovat (v-w663f1)")</f>
        <v>doplňovat (v-w663f1)</v>
      </c>
    </row>
    <row r="4562" customFormat="false" ht="12.8" hidden="false" customHeight="false" outlineLevel="0" collapsed="false">
      <c r="B4562" s="0" t="s">
        <v>7</v>
      </c>
      <c r="C4562" s="0" t="s">
        <v>2120</v>
      </c>
      <c r="D4562" s="0" t="s">
        <v>2101</v>
      </c>
      <c r="E4562" s="0" t="s">
        <v>2101</v>
      </c>
      <c r="F4562" s="0" t="s">
        <v>2101</v>
      </c>
    </row>
    <row r="4563" customFormat="false" ht="12.8" hidden="false" customHeight="false" outlineLevel="0" collapsed="false">
      <c r="B4563" s="0" t="s">
        <v>14</v>
      </c>
      <c r="C4563" s="0" t="s">
        <v>2121</v>
      </c>
      <c r="D4563" s="0" t="s">
        <v>2103</v>
      </c>
      <c r="E4563" s="0" t="s">
        <v>2103</v>
      </c>
      <c r="F4563" s="0" t="s">
        <v>2103</v>
      </c>
    </row>
    <row r="4564" customFormat="false" ht="12.8" hidden="false" customHeight="false" outlineLevel="0" collapsed="false">
      <c r="B4564" s="0" t="s">
        <v>2122</v>
      </c>
      <c r="C4564" s="0" t="s">
        <v>2123</v>
      </c>
      <c r="D4564" s="0" t="s">
        <v>2106</v>
      </c>
      <c r="E4564" s="0" t="s">
        <v>2106</v>
      </c>
      <c r="F4564" s="0" t="s">
        <v>2106</v>
      </c>
    </row>
    <row r="4566" customFormat="false" ht="12.8" hidden="false" customHeight="false" outlineLevel="0" collapsed="false">
      <c r="A4566" s="0" t="s">
        <v>2124</v>
      </c>
      <c r="B4566" s="0" t="str">
        <f aca="false">HYPERLINK("https://lindat.mff.cuni.cz/services/teitok/pdtc10/index.php?action=vallex&amp;frame=v-w663f2", "doplňovat (v-w663f2)")</f>
        <v>doplňovat (v-w663f2)</v>
      </c>
    </row>
    <row r="4567" customFormat="false" ht="12.8" hidden="false" customHeight="false" outlineLevel="0" collapsed="false">
      <c r="B4567" s="0" t="s">
        <v>7</v>
      </c>
    </row>
    <row r="4568" customFormat="false" ht="12.8" hidden="false" customHeight="false" outlineLevel="0" collapsed="false">
      <c r="B4568" s="0" t="s">
        <v>1764</v>
      </c>
    </row>
    <row r="4569" customFormat="false" ht="12.8" hidden="false" customHeight="false" outlineLevel="0" collapsed="false">
      <c r="B4569" s="0" t="s">
        <v>1767</v>
      </c>
    </row>
    <row r="4571" customFormat="false" ht="12.8" hidden="false" customHeight="false" outlineLevel="0" collapsed="false">
      <c r="A4571" s="0" t="s">
        <v>2125</v>
      </c>
      <c r="B4571" s="0" t="str">
        <f aca="false">HYPERLINK("https://lindat.mff.cuni.cz/services/teitok/pdtc10/index.php?action=vallex&amp;frame=v-w663f3_ZU", "doplňovat (v-w663f3_ZU)")</f>
        <v>doplňovat (v-w663f3_ZU)</v>
      </c>
    </row>
    <row r="4572" customFormat="false" ht="12.8" hidden="false" customHeight="false" outlineLevel="0" collapsed="false">
      <c r="B4572" s="0" t="s">
        <v>7</v>
      </c>
    </row>
    <row r="4573" customFormat="false" ht="12.8" hidden="false" customHeight="false" outlineLevel="0" collapsed="false">
      <c r="B4573" s="0" t="s">
        <v>14</v>
      </c>
    </row>
    <row r="4574" customFormat="false" ht="12.8" hidden="false" customHeight="false" outlineLevel="0" collapsed="false">
      <c r="B4574" s="0" t="s">
        <v>338</v>
      </c>
    </row>
    <row r="4576" customFormat="false" ht="12.8" hidden="false" customHeight="false" outlineLevel="0" collapsed="false">
      <c r="A4576" s="0" t="s">
        <v>2126</v>
      </c>
      <c r="B4576" s="0" t="str">
        <f aca="false">HYPERLINK("https://lindat.mff.cuni.cz/services/teitok/pdtc10/index.php?action=vallex&amp;frame=v-w11508_ZUf1_ZU", "doplňovat se (v-w11508_ZUf1_ZU)")</f>
        <v>doplňovat se (v-w11508_ZUf1_ZU)</v>
      </c>
    </row>
    <row r="4577" customFormat="false" ht="12.8" hidden="false" customHeight="false" outlineLevel="0" collapsed="false">
      <c r="B4577" s="0" t="s">
        <v>7</v>
      </c>
    </row>
    <row r="4578" customFormat="false" ht="12.8" hidden="false" customHeight="false" outlineLevel="0" collapsed="false">
      <c r="B4578" s="0" t="s">
        <v>548</v>
      </c>
    </row>
    <row r="4580" customFormat="false" ht="12.8" hidden="false" customHeight="false" outlineLevel="0" collapsed="false">
      <c r="A4580" s="0" t="s">
        <v>2127</v>
      </c>
      <c r="B4580" s="0" t="str">
        <f aca="false">HYPERLINK("https://lindat.mff.cuni.cz/services/teitok/pdtc10/index.php?action=vallex&amp;frame=v-w667f1", "dopomoci (v-w667f1)")</f>
        <v>dopomoci (v-w667f1)</v>
      </c>
    </row>
    <row r="4581" customFormat="false" ht="12.8" hidden="false" customHeight="false" outlineLevel="0" collapsed="false">
      <c r="B4581" s="0" t="s">
        <v>979</v>
      </c>
    </row>
    <row r="4582" customFormat="false" ht="12.8" hidden="false" customHeight="false" outlineLevel="0" collapsed="false">
      <c r="B4582" s="0" t="s">
        <v>48</v>
      </c>
    </row>
    <row r="4583" customFormat="false" ht="12.8" hidden="false" customHeight="false" outlineLevel="0" collapsed="false">
      <c r="B4583" s="0" t="s">
        <v>2128</v>
      </c>
    </row>
    <row r="4585" customFormat="false" ht="12.8" hidden="false" customHeight="false" outlineLevel="0" collapsed="false">
      <c r="A4585" s="0" t="s">
        <v>2129</v>
      </c>
      <c r="B4585" s="0" t="str">
        <f aca="false">HYPERLINK("https://lindat.mff.cuni.cz/services/teitok/pdtc10/index.php?action=vallex&amp;frame=v-w666f1", "dopomáhat (v-w666f1)")</f>
        <v>dopomáhat (v-w666f1)</v>
      </c>
    </row>
    <row r="4586" customFormat="false" ht="12.8" hidden="false" customHeight="false" outlineLevel="0" collapsed="false">
      <c r="B4586" s="0" t="s">
        <v>979</v>
      </c>
    </row>
    <row r="4587" customFormat="false" ht="12.8" hidden="false" customHeight="false" outlineLevel="0" collapsed="false">
      <c r="B4587" s="0" t="s">
        <v>730</v>
      </c>
    </row>
    <row r="4588" customFormat="false" ht="12.8" hidden="false" customHeight="false" outlineLevel="0" collapsed="false">
      <c r="B4588" s="0" t="s">
        <v>48</v>
      </c>
    </row>
    <row r="4590" customFormat="false" ht="12.8" hidden="false" customHeight="false" outlineLevel="0" collapsed="false">
      <c r="A4590" s="0" t="s">
        <v>2130</v>
      </c>
      <c r="B4590" s="0" t="str">
        <f aca="false">HYPERLINK("https://lindat.mff.cuni.cz/services/teitok/pdtc10/index.php?action=vallex&amp;frame=v-w670f1", "doporučit (v-w670f1)")</f>
        <v>doporučit (v-w670f1)</v>
      </c>
    </row>
    <row r="4591" customFormat="false" ht="12.8" hidden="false" customHeight="false" outlineLevel="0" collapsed="false">
      <c r="B4591" s="0" t="s">
        <v>7</v>
      </c>
      <c r="C4591" s="0" t="s">
        <v>315</v>
      </c>
      <c r="D4591" s="0" t="s">
        <v>2131</v>
      </c>
      <c r="E4591" s="0" t="s">
        <v>2131</v>
      </c>
      <c r="F4591" s="0" t="s">
        <v>2131</v>
      </c>
    </row>
    <row r="4592" customFormat="false" ht="12.8" hidden="false" customHeight="false" outlineLevel="0" collapsed="false">
      <c r="B4592" s="0" t="s">
        <v>2132</v>
      </c>
      <c r="C4592" s="0" t="s">
        <v>2133</v>
      </c>
      <c r="D4592" s="0" t="s">
        <v>2134</v>
      </c>
      <c r="E4592" s="0" t="s">
        <v>2134</v>
      </c>
      <c r="F4592" s="0" t="s">
        <v>2134</v>
      </c>
    </row>
    <row r="4593" customFormat="false" ht="12.8" hidden="false" customHeight="false" outlineLevel="0" collapsed="false">
      <c r="B4593" s="0" t="s">
        <v>48</v>
      </c>
      <c r="C4593" s="0" t="s">
        <v>2135</v>
      </c>
      <c r="D4593" s="0" t="s">
        <v>2136</v>
      </c>
      <c r="E4593" s="0" t="s">
        <v>2136</v>
      </c>
      <c r="F4593" s="0" t="s">
        <v>2136</v>
      </c>
    </row>
    <row r="4595" customFormat="false" ht="12.8" hidden="false" customHeight="false" outlineLevel="0" collapsed="false">
      <c r="A4595" s="0" t="s">
        <v>2137</v>
      </c>
      <c r="B4595" s="0" t="str">
        <f aca="false">HYPERLINK("https://lindat.mff.cuni.cz/services/teitok/pdtc10/index.php?action=vallex&amp;frame=v-w670f2", "doporučit (v-w670f2)")</f>
        <v>doporučit (v-w670f2)</v>
      </c>
    </row>
    <row r="4596" customFormat="false" ht="12.8" hidden="false" customHeight="false" outlineLevel="0" collapsed="false">
      <c r="B4596" s="0" t="s">
        <v>7</v>
      </c>
      <c r="C4596" s="0" t="s">
        <v>1999</v>
      </c>
      <c r="D4596" s="0" t="s">
        <v>1604</v>
      </c>
      <c r="E4596" s="0" t="s">
        <v>1604</v>
      </c>
      <c r="F4596" s="0" t="s">
        <v>1604</v>
      </c>
    </row>
    <row r="4597" customFormat="false" ht="12.8" hidden="false" customHeight="false" outlineLevel="0" collapsed="false">
      <c r="B4597" s="0" t="s">
        <v>14</v>
      </c>
      <c r="C4597" s="0" t="s">
        <v>2138</v>
      </c>
      <c r="D4597" s="0" t="s">
        <v>2139</v>
      </c>
      <c r="E4597" s="0" t="s">
        <v>2139</v>
      </c>
      <c r="F4597" s="0" t="s">
        <v>2139</v>
      </c>
    </row>
    <row r="4598" customFormat="false" ht="12.8" hidden="false" customHeight="false" outlineLevel="0" collapsed="false">
      <c r="B4598" s="0" t="s">
        <v>84</v>
      </c>
    </row>
    <row r="4600" customFormat="false" ht="12.8" hidden="false" customHeight="false" outlineLevel="0" collapsed="false">
      <c r="A4600" s="0" t="s">
        <v>2140</v>
      </c>
      <c r="B4600" s="0" t="str">
        <f aca="false">HYPERLINK("https://lindat.mff.cuni.cz/services/teitok/pdtc10/index.php?action=vallex&amp;frame=v-w672f1", "doporučovat (v-w672f1)")</f>
        <v>doporučovat (v-w672f1)</v>
      </c>
    </row>
    <row r="4601" customFormat="false" ht="12.8" hidden="false" customHeight="false" outlineLevel="0" collapsed="false">
      <c r="B4601" s="0" t="s">
        <v>7</v>
      </c>
      <c r="C4601" s="0" t="s">
        <v>2141</v>
      </c>
      <c r="D4601" s="0" t="s">
        <v>2131</v>
      </c>
      <c r="E4601" s="0" t="s">
        <v>2131</v>
      </c>
      <c r="F4601" s="0" t="s">
        <v>2131</v>
      </c>
    </row>
    <row r="4602" customFormat="false" ht="12.8" hidden="false" customHeight="false" outlineLevel="0" collapsed="false">
      <c r="B4602" s="0" t="s">
        <v>2132</v>
      </c>
      <c r="C4602" s="0" t="s">
        <v>2142</v>
      </c>
      <c r="D4602" s="0" t="s">
        <v>2134</v>
      </c>
      <c r="E4602" s="0" t="s">
        <v>2134</v>
      </c>
      <c r="F4602" s="0" t="s">
        <v>2134</v>
      </c>
    </row>
    <row r="4603" customFormat="false" ht="12.8" hidden="false" customHeight="false" outlineLevel="0" collapsed="false">
      <c r="B4603" s="0" t="s">
        <v>48</v>
      </c>
      <c r="C4603" s="0" t="s">
        <v>2143</v>
      </c>
      <c r="D4603" s="0" t="s">
        <v>2136</v>
      </c>
      <c r="E4603" s="0" t="s">
        <v>2136</v>
      </c>
      <c r="F4603" s="0" t="s">
        <v>2136</v>
      </c>
    </row>
    <row r="4605" customFormat="false" ht="12.8" hidden="false" customHeight="false" outlineLevel="0" collapsed="false">
      <c r="A4605" s="0" t="s">
        <v>2144</v>
      </c>
      <c r="B4605" s="0" t="str">
        <f aca="false">HYPERLINK("https://lindat.mff.cuni.cz/services/teitok/pdtc10/index.php?action=vallex&amp;frame=v-w674f1", "dopouštět se (v-w674f1)")</f>
        <v>dopouštět se (v-w674f1)</v>
      </c>
    </row>
    <row r="4606" customFormat="false" ht="12.8" hidden="false" customHeight="false" outlineLevel="0" collapsed="false">
      <c r="B4606" s="0" t="s">
        <v>7</v>
      </c>
      <c r="D4606" s="0" t="s">
        <v>108</v>
      </c>
      <c r="E4606" s="0" t="s">
        <v>108</v>
      </c>
      <c r="F4606" s="0" t="s">
        <v>108</v>
      </c>
    </row>
    <row r="4607" customFormat="false" ht="12.8" hidden="false" customHeight="false" outlineLevel="0" collapsed="false">
      <c r="B4607" s="0" t="s">
        <v>1087</v>
      </c>
      <c r="D4607" s="0" t="s">
        <v>487</v>
      </c>
      <c r="E4607" s="0" t="s">
        <v>487</v>
      </c>
      <c r="F4607" s="0" t="s">
        <v>487</v>
      </c>
    </row>
    <row r="4609" customFormat="false" ht="12.8" hidden="false" customHeight="false" outlineLevel="0" collapsed="false">
      <c r="A4609" s="0" t="s">
        <v>2145</v>
      </c>
      <c r="B4609" s="0" t="str">
        <f aca="false">HYPERLINK("https://lindat.mff.cuni.cz/services/teitok/pdtc10/index.php?action=vallex&amp;frame=v-w675f1", "dopovat (v-w675f1)")</f>
        <v>dopovat (v-w675f1)</v>
      </c>
    </row>
    <row r="4610" customFormat="false" ht="12.8" hidden="false" customHeight="false" outlineLevel="0" collapsed="false">
      <c r="B4610" s="0" t="s">
        <v>7</v>
      </c>
    </row>
    <row r="4611" customFormat="false" ht="12.8" hidden="false" customHeight="false" outlineLevel="0" collapsed="false">
      <c r="B4611" s="0" t="s">
        <v>14</v>
      </c>
    </row>
    <row r="4613" customFormat="false" ht="12.8" hidden="false" customHeight="false" outlineLevel="0" collapsed="false">
      <c r="A4613" s="0" t="s">
        <v>2146</v>
      </c>
      <c r="B4613" s="0" t="str">
        <f aca="false">HYPERLINK("https://lindat.mff.cuni.cz/services/teitok/pdtc10/index.php?action=vallex&amp;frame=v-w675f2", "dopovat (v-w675f2)")</f>
        <v>dopovat (v-w675f2)</v>
      </c>
    </row>
    <row r="4614" customFormat="false" ht="12.8" hidden="false" customHeight="false" outlineLevel="0" collapsed="false">
      <c r="B4614" s="0" t="s">
        <v>7</v>
      </c>
    </row>
    <row r="4615" customFormat="false" ht="12.8" hidden="false" customHeight="false" outlineLevel="0" collapsed="false">
      <c r="B4615" s="0" t="s">
        <v>14</v>
      </c>
    </row>
    <row r="4617" customFormat="false" ht="12.8" hidden="false" customHeight="false" outlineLevel="0" collapsed="false">
      <c r="A4617" s="0" t="s">
        <v>2147</v>
      </c>
      <c r="B4617" s="0" t="str">
        <f aca="false">HYPERLINK("https://lindat.mff.cuni.cz/services/teitok/pdtc10/index.php?action=vallex&amp;frame=v-whsa_1924hsa_1925", "dopovídat (v-whsa_1924hsa_1925)")</f>
        <v>dopovídat (v-whsa_1924hsa_1925)</v>
      </c>
    </row>
    <row r="4618" customFormat="false" ht="12.8" hidden="false" customHeight="false" outlineLevel="0" collapsed="false">
      <c r="B4618" s="0" t="s">
        <v>7</v>
      </c>
    </row>
    <row r="4619" customFormat="false" ht="12.8" hidden="false" customHeight="false" outlineLevel="0" collapsed="false">
      <c r="B4619" s="0" t="s">
        <v>48</v>
      </c>
    </row>
    <row r="4620" customFormat="false" ht="12.8" hidden="false" customHeight="false" outlineLevel="0" collapsed="false">
      <c r="B4620" s="0" t="s">
        <v>2023</v>
      </c>
    </row>
    <row r="4621" customFormat="false" ht="12.8" hidden="false" customHeight="false" outlineLevel="0" collapsed="false">
      <c r="B4621" s="0" t="s">
        <v>363</v>
      </c>
    </row>
    <row r="4623" customFormat="false" ht="12.8" hidden="false" customHeight="false" outlineLevel="0" collapsed="false">
      <c r="A4623" s="0" t="s">
        <v>2148</v>
      </c>
      <c r="B4623" s="0" t="str">
        <f aca="false">HYPERLINK("https://lindat.mff.cuni.cz/services/teitok/pdtc10/index.php?action=vallex&amp;frame=v-w12327_MMf1_MM", "dopovědět (v-w12327_MMf1_MM)")</f>
        <v>dopovědět (v-w12327_MMf1_MM)</v>
      </c>
    </row>
    <row r="4624" customFormat="false" ht="12.8" hidden="false" customHeight="false" outlineLevel="0" collapsed="false">
      <c r="B4624" s="0" t="s">
        <v>7</v>
      </c>
    </row>
    <row r="4625" customFormat="false" ht="12.8" hidden="false" customHeight="false" outlineLevel="0" collapsed="false">
      <c r="B4625" s="0" t="s">
        <v>48</v>
      </c>
    </row>
    <row r="4626" customFormat="false" ht="12.8" hidden="false" customHeight="false" outlineLevel="0" collapsed="false">
      <c r="B4626" s="0" t="s">
        <v>2023</v>
      </c>
    </row>
    <row r="4627" customFormat="false" ht="12.8" hidden="false" customHeight="false" outlineLevel="0" collapsed="false">
      <c r="B4627" s="0" t="s">
        <v>363</v>
      </c>
    </row>
    <row r="4629" customFormat="false" ht="12.8" hidden="false" customHeight="false" outlineLevel="0" collapsed="false">
      <c r="A4629" s="0" t="s">
        <v>2149</v>
      </c>
      <c r="B4629" s="0" t="str">
        <f aca="false">HYPERLINK("https://lindat.mff.cuni.cz/services/teitok/pdtc10/index.php?action=vallex&amp;frame=v-whsa_1506hsa_1507", "dopočítat (v-whsa_1506hsa_1507)")</f>
        <v>dopočítat (v-whsa_1506hsa_1507)</v>
      </c>
    </row>
    <row r="4630" customFormat="false" ht="12.8" hidden="false" customHeight="false" outlineLevel="0" collapsed="false">
      <c r="B4630" s="0" t="s">
        <v>7</v>
      </c>
    </row>
    <row r="4631" customFormat="false" ht="12.8" hidden="false" customHeight="false" outlineLevel="0" collapsed="false">
      <c r="B4631" s="0" t="s">
        <v>232</v>
      </c>
    </row>
    <row r="4633" customFormat="false" ht="12.8" hidden="false" customHeight="false" outlineLevel="0" collapsed="false">
      <c r="A4633" s="0" t="s">
        <v>2150</v>
      </c>
      <c r="B4633" s="0" t="str">
        <f aca="false">HYPERLINK("https://lindat.mff.cuni.cz/services/teitok/pdtc10/index.php?action=vallex&amp;frame=v-w664f1", "dopočítat se (v-w664f1)")</f>
        <v>dopočítat se (v-w664f1)</v>
      </c>
    </row>
    <row r="4634" customFormat="false" ht="12.8" hidden="false" customHeight="false" outlineLevel="0" collapsed="false">
      <c r="B4634" s="0" t="s">
        <v>7</v>
      </c>
    </row>
    <row r="4635" customFormat="false" ht="12.8" hidden="false" customHeight="false" outlineLevel="0" collapsed="false">
      <c r="B4635" s="0" t="s">
        <v>2151</v>
      </c>
    </row>
    <row r="4637" customFormat="false" ht="12.8" hidden="false" customHeight="false" outlineLevel="0" collapsed="false">
      <c r="A4637" s="0" t="s">
        <v>2152</v>
      </c>
      <c r="B4637" s="0" t="str">
        <f aca="false">HYPERLINK("https://lindat.mff.cuni.cz/services/teitok/pdtc10/index.php?action=vallex&amp;frame=v-w665f2", "dopočítávat (v-w665f2)")</f>
        <v>dopočítávat (v-w665f2)</v>
      </c>
    </row>
    <row r="4638" customFormat="false" ht="12.8" hidden="false" customHeight="false" outlineLevel="0" collapsed="false">
      <c r="B4638" s="0" t="s">
        <v>7</v>
      </c>
    </row>
    <row r="4639" customFormat="false" ht="12.8" hidden="false" customHeight="false" outlineLevel="0" collapsed="false">
      <c r="B4639" s="0" t="s">
        <v>14</v>
      </c>
    </row>
    <row r="4641" customFormat="false" ht="12.8" hidden="false" customHeight="false" outlineLevel="0" collapsed="false">
      <c r="A4641" s="0" t="s">
        <v>2153</v>
      </c>
      <c r="B4641" s="0" t="str">
        <f aca="false">HYPERLINK("https://lindat.mff.cuni.cz/services/teitok/pdtc10/index.php?action=vallex&amp;frame=v-w665f1", "dopočítávat (v-w665f1)")</f>
        <v>dopočítávat (v-w665f1)</v>
      </c>
    </row>
    <row r="4642" customFormat="false" ht="12.8" hidden="false" customHeight="false" outlineLevel="0" collapsed="false">
      <c r="B4642" s="0" t="s">
        <v>7</v>
      </c>
    </row>
    <row r="4644" customFormat="false" ht="12.8" hidden="false" customHeight="false" outlineLevel="0" collapsed="false">
      <c r="A4644" s="0" t="s">
        <v>2154</v>
      </c>
      <c r="B4644" s="0" t="str">
        <f aca="false">HYPERLINK("https://lindat.mff.cuni.cz/services/teitok/pdtc10/index.php?action=vallex&amp;frame=v-w677f1", "dopracovat (v-w677f1)")</f>
        <v>dopracovat (v-w677f1)</v>
      </c>
    </row>
    <row r="4645" customFormat="false" ht="12.8" hidden="false" customHeight="false" outlineLevel="0" collapsed="false">
      <c r="B4645" s="0" t="s">
        <v>7</v>
      </c>
      <c r="D4645" s="0" t="s">
        <v>1937</v>
      </c>
      <c r="E4645" s="0" t="s">
        <v>1937</v>
      </c>
      <c r="F4645" s="0" t="s">
        <v>1937</v>
      </c>
    </row>
    <row r="4646" customFormat="false" ht="12.8" hidden="false" customHeight="false" outlineLevel="0" collapsed="false">
      <c r="B4646" s="0" t="s">
        <v>14</v>
      </c>
      <c r="D4646" s="0" t="s">
        <v>1939</v>
      </c>
      <c r="E4646" s="0" t="s">
        <v>1939</v>
      </c>
      <c r="F4646" s="0" t="s">
        <v>1939</v>
      </c>
    </row>
    <row r="4648" customFormat="false" ht="12.8" hidden="false" customHeight="false" outlineLevel="0" collapsed="false">
      <c r="A4648" s="0" t="s">
        <v>2155</v>
      </c>
      <c r="B4648" s="0" t="str">
        <f aca="false">HYPERLINK("https://lindat.mff.cuni.cz/services/teitok/pdtc10/index.php?action=vallex&amp;frame=v-w678f1", "dopracovat se (v-w678f1)")</f>
        <v>dopracovat se (v-w678f1)</v>
      </c>
    </row>
    <row r="4649" customFormat="false" ht="12.8" hidden="false" customHeight="false" outlineLevel="0" collapsed="false">
      <c r="B4649" s="0" t="s">
        <v>7</v>
      </c>
      <c r="C4649" s="0" t="s">
        <v>2156</v>
      </c>
    </row>
    <row r="4650" customFormat="false" ht="12.8" hidden="false" customHeight="false" outlineLevel="0" collapsed="false">
      <c r="B4650" s="0" t="s">
        <v>2151</v>
      </c>
    </row>
    <row r="4652" customFormat="false" ht="12.8" hidden="false" customHeight="false" outlineLevel="0" collapsed="false">
      <c r="A4652" s="0" t="s">
        <v>2157</v>
      </c>
      <c r="B4652" s="0" t="str">
        <f aca="false">HYPERLINK("https://lindat.mff.cuni.cz/services/teitok/pdtc10/index.php?action=vallex&amp;frame=v-w680f2", "dopravit (v-w680f2)")</f>
        <v>dopravit (v-w680f2)</v>
      </c>
    </row>
    <row r="4653" customFormat="false" ht="12.8" hidden="false" customHeight="false" outlineLevel="0" collapsed="false">
      <c r="B4653" s="0" t="s">
        <v>7</v>
      </c>
    </row>
    <row r="4654" customFormat="false" ht="12.8" hidden="false" customHeight="false" outlineLevel="0" collapsed="false">
      <c r="B4654" s="0" t="s">
        <v>14</v>
      </c>
    </row>
    <row r="4655" customFormat="false" ht="12.8" hidden="false" customHeight="false" outlineLevel="0" collapsed="false">
      <c r="B4655" s="0" t="s">
        <v>48</v>
      </c>
    </row>
    <row r="4657" customFormat="false" ht="12.8" hidden="false" customHeight="false" outlineLevel="0" collapsed="false">
      <c r="A4657" s="0" t="s">
        <v>2158</v>
      </c>
      <c r="B4657" s="0" t="str">
        <f aca="false">HYPERLINK("https://lindat.mff.cuni.cz/services/teitok/pdtc10/index.php?action=vallex&amp;frame=v-w680f3_ZU", "dopravit (v-w680f3_ZU)")</f>
        <v>dopravit (v-w680f3_ZU)</v>
      </c>
    </row>
    <row r="4658" customFormat="false" ht="12.8" hidden="false" customHeight="false" outlineLevel="0" collapsed="false">
      <c r="B4658" s="0" t="s">
        <v>7</v>
      </c>
    </row>
    <row r="4659" customFormat="false" ht="12.8" hidden="false" customHeight="false" outlineLevel="0" collapsed="false">
      <c r="B4659" s="0" t="s">
        <v>14</v>
      </c>
    </row>
    <row r="4660" customFormat="false" ht="12.8" hidden="false" customHeight="false" outlineLevel="0" collapsed="false">
      <c r="B4660" s="0" t="s">
        <v>124</v>
      </c>
    </row>
    <row r="4662" customFormat="false" ht="12.8" hidden="false" customHeight="false" outlineLevel="0" collapsed="false">
      <c r="A4662" s="0" t="s">
        <v>2158</v>
      </c>
      <c r="B4662" s="0" t="str">
        <f aca="false">HYPERLINK("https://lindat.mff.cuni.cz/services/teitok/pdtc10/index.php?action=vallex&amp;frame=v-w680f1", "dopravit (v-w680f1) - substituted with v-w680f3_ZU")</f>
        <v>dopravit (v-w680f1) - substituted with v-w680f3_ZU</v>
      </c>
    </row>
    <row r="4663" customFormat="false" ht="12.8" hidden="false" customHeight="false" outlineLevel="0" collapsed="false">
      <c r="B4663" s="0" t="s">
        <v>7</v>
      </c>
      <c r="C4663" s="0" t="s">
        <v>465</v>
      </c>
      <c r="D4663" s="0" t="s">
        <v>2159</v>
      </c>
      <c r="E4663" s="0" t="s">
        <v>2159</v>
      </c>
      <c r="F4663" s="0" t="s">
        <v>2159</v>
      </c>
    </row>
    <row r="4664" customFormat="false" ht="12.8" hidden="false" customHeight="false" outlineLevel="0" collapsed="false">
      <c r="B4664" s="0" t="s">
        <v>14</v>
      </c>
      <c r="C4664" s="0" t="s">
        <v>2160</v>
      </c>
      <c r="D4664" s="0" t="s">
        <v>2161</v>
      </c>
      <c r="E4664" s="0" t="s">
        <v>2161</v>
      </c>
      <c r="F4664" s="0" t="s">
        <v>2161</v>
      </c>
    </row>
    <row r="4665" customFormat="false" ht="12.8" hidden="false" customHeight="false" outlineLevel="0" collapsed="false">
      <c r="B4665" s="0" t="s">
        <v>124</v>
      </c>
      <c r="C4665" s="0" t="s">
        <v>2162</v>
      </c>
      <c r="D4665" s="0" t="s">
        <v>2163</v>
      </c>
      <c r="E4665" s="0" t="s">
        <v>2163</v>
      </c>
      <c r="F4665" s="0" t="s">
        <v>2163</v>
      </c>
    </row>
    <row r="4667" customFormat="false" ht="12.8" hidden="false" customHeight="false" outlineLevel="0" collapsed="false">
      <c r="A4667" s="0" t="s">
        <v>2164</v>
      </c>
      <c r="B4667" s="0" t="str">
        <f aca="false">HYPERLINK("https://lindat.mff.cuni.cz/services/teitok/pdtc10/index.php?action=vallex&amp;frame=v-w681f1", "dopravovat (v-w681f1)")</f>
        <v>dopravovat (v-w681f1)</v>
      </c>
    </row>
    <row r="4668" customFormat="false" ht="12.8" hidden="false" customHeight="false" outlineLevel="0" collapsed="false">
      <c r="B4668" s="0" t="s">
        <v>7</v>
      </c>
      <c r="C4668" s="0" t="s">
        <v>108</v>
      </c>
      <c r="D4668" s="0" t="s">
        <v>1630</v>
      </c>
      <c r="E4668" s="0" t="s">
        <v>1630</v>
      </c>
      <c r="F4668" s="0" t="s">
        <v>1630</v>
      </c>
    </row>
    <row r="4669" customFormat="false" ht="12.8" hidden="false" customHeight="false" outlineLevel="0" collapsed="false">
      <c r="B4669" s="0" t="s">
        <v>14</v>
      </c>
      <c r="C4669" s="0" t="s">
        <v>152</v>
      </c>
      <c r="D4669" s="0" t="s">
        <v>1632</v>
      </c>
      <c r="E4669" s="0" t="s">
        <v>1632</v>
      </c>
      <c r="F4669" s="0" t="s">
        <v>1632</v>
      </c>
    </row>
    <row r="4670" customFormat="false" ht="12.8" hidden="false" customHeight="false" outlineLevel="0" collapsed="false">
      <c r="B4670" s="0" t="s">
        <v>124</v>
      </c>
      <c r="D4670" s="0" t="s">
        <v>2165</v>
      </c>
      <c r="E4670" s="0" t="s">
        <v>2165</v>
      </c>
      <c r="F4670" s="0" t="s">
        <v>2165</v>
      </c>
    </row>
    <row r="4672" customFormat="false" ht="12.8" hidden="false" customHeight="false" outlineLevel="0" collapsed="false">
      <c r="A4672" s="0" t="s">
        <v>2166</v>
      </c>
      <c r="B4672" s="0" t="str">
        <f aca="false">HYPERLINK("https://lindat.mff.cuni.cz/services/teitok/pdtc10/index.php?action=vallex&amp;frame=v-w683f1", "doprodat (v-w683f1)")</f>
        <v>doprodat (v-w683f1)</v>
      </c>
    </row>
    <row r="4673" customFormat="false" ht="12.8" hidden="false" customHeight="false" outlineLevel="0" collapsed="false">
      <c r="B4673" s="0" t="s">
        <v>7</v>
      </c>
    </row>
    <row r="4674" customFormat="false" ht="12.8" hidden="false" customHeight="false" outlineLevel="0" collapsed="false">
      <c r="B4674" s="0" t="s">
        <v>14</v>
      </c>
    </row>
    <row r="4675" customFormat="false" ht="12.8" hidden="false" customHeight="false" outlineLevel="0" collapsed="false">
      <c r="B4675" s="0" t="s">
        <v>48</v>
      </c>
    </row>
    <row r="4677" customFormat="false" ht="12.8" hidden="false" customHeight="false" outlineLevel="0" collapsed="false">
      <c r="A4677" s="0" t="s">
        <v>2167</v>
      </c>
      <c r="B4677" s="0" t="str">
        <f aca="false">HYPERLINK("https://lindat.mff.cuni.cz/services/teitok/pdtc10/index.php?action=vallex&amp;frame=v-w11509_ZUf1_ZU", "doprodávat (v-w11509_ZUf1_ZU)")</f>
        <v>doprodávat (v-w11509_ZUf1_ZU)</v>
      </c>
    </row>
    <row r="4678" customFormat="false" ht="12.8" hidden="false" customHeight="false" outlineLevel="0" collapsed="false">
      <c r="B4678" s="0" t="s">
        <v>7</v>
      </c>
    </row>
    <row r="4679" customFormat="false" ht="12.8" hidden="false" customHeight="false" outlineLevel="0" collapsed="false">
      <c r="B4679" s="0" t="s">
        <v>14</v>
      </c>
    </row>
    <row r="4680" customFormat="false" ht="12.8" hidden="false" customHeight="false" outlineLevel="0" collapsed="false">
      <c r="B4680" s="0" t="s">
        <v>48</v>
      </c>
    </row>
    <row r="4682" customFormat="false" ht="12.8" hidden="false" customHeight="false" outlineLevel="0" collapsed="false">
      <c r="A4682" s="0" t="s">
        <v>2168</v>
      </c>
      <c r="B4682" s="0" t="str">
        <f aca="false">HYPERLINK("https://lindat.mff.cuni.cz/services/teitok/pdtc10/index.php?action=vallex&amp;frame=v-w689f2", "doprovodit (v-w689f2)")</f>
        <v>doprovodit (v-w689f2)</v>
      </c>
    </row>
    <row r="4683" customFormat="false" ht="12.8" hidden="false" customHeight="false" outlineLevel="0" collapsed="false">
      <c r="B4683" s="0" t="s">
        <v>7</v>
      </c>
    </row>
    <row r="4684" customFormat="false" ht="12.8" hidden="false" customHeight="false" outlineLevel="0" collapsed="false">
      <c r="B4684" s="0" t="s">
        <v>14</v>
      </c>
    </row>
    <row r="4685" customFormat="false" ht="12.8" hidden="false" customHeight="false" outlineLevel="0" collapsed="false">
      <c r="B4685" s="0" t="s">
        <v>1956</v>
      </c>
    </row>
    <row r="4687" customFormat="false" ht="12.8" hidden="false" customHeight="false" outlineLevel="0" collapsed="false">
      <c r="A4687" s="0" t="s">
        <v>2169</v>
      </c>
      <c r="B4687" s="0" t="str">
        <f aca="false">HYPERLINK("https://lindat.mff.cuni.cz/services/teitok/pdtc10/index.php?action=vallex&amp;frame=v-w689f1", "doprovodit (v-w689f1)")</f>
        <v>doprovodit (v-w689f1)</v>
      </c>
    </row>
    <row r="4688" customFormat="false" ht="12.8" hidden="false" customHeight="false" outlineLevel="0" collapsed="false">
      <c r="B4688" s="0" t="s">
        <v>7</v>
      </c>
      <c r="D4688" s="0" t="s">
        <v>1613</v>
      </c>
      <c r="E4688" s="0" t="s">
        <v>2170</v>
      </c>
      <c r="F4688" s="0" t="s">
        <v>2170</v>
      </c>
    </row>
    <row r="4689" customFormat="false" ht="12.8" hidden="false" customHeight="false" outlineLevel="0" collapsed="false">
      <c r="B4689" s="0" t="s">
        <v>14</v>
      </c>
      <c r="D4689" s="0" t="s">
        <v>128</v>
      </c>
      <c r="E4689" s="0" t="s">
        <v>159</v>
      </c>
      <c r="F4689" s="0" t="s">
        <v>159</v>
      </c>
    </row>
    <row r="4691" customFormat="false" ht="12.8" hidden="false" customHeight="false" outlineLevel="0" collapsed="false">
      <c r="A4691" s="0" t="s">
        <v>2171</v>
      </c>
      <c r="B4691" s="0" t="str">
        <f aca="false">HYPERLINK("https://lindat.mff.cuni.cz/services/teitok/pdtc10/index.php?action=vallex&amp;frame=v-w689f3", "doprovodit (v-w689f3)")</f>
        <v>doprovodit (v-w689f3)</v>
      </c>
    </row>
    <row r="4692" customFormat="false" ht="12.8" hidden="false" customHeight="false" outlineLevel="0" collapsed="false">
      <c r="B4692" s="0" t="s">
        <v>7</v>
      </c>
    </row>
    <row r="4693" customFormat="false" ht="12.8" hidden="false" customHeight="false" outlineLevel="0" collapsed="false">
      <c r="B4693" s="0" t="s">
        <v>14</v>
      </c>
    </row>
    <row r="4695" customFormat="false" ht="12.8" hidden="false" customHeight="false" outlineLevel="0" collapsed="false">
      <c r="A4695" s="0" t="s">
        <v>2172</v>
      </c>
      <c r="B4695" s="0" t="str">
        <f aca="false">HYPERLINK("https://lindat.mff.cuni.cz/services/teitok/pdtc10/index.php?action=vallex&amp;frame=v-w687f3", "doprovázet (v-w687f3)")</f>
        <v>doprovázet (v-w687f3)</v>
      </c>
    </row>
    <row r="4696" customFormat="false" ht="12.8" hidden="false" customHeight="false" outlineLevel="0" collapsed="false">
      <c r="B4696" s="0" t="s">
        <v>7</v>
      </c>
      <c r="C4696" s="0" t="s">
        <v>2170</v>
      </c>
    </row>
    <row r="4697" customFormat="false" ht="12.8" hidden="false" customHeight="false" outlineLevel="0" collapsed="false">
      <c r="B4697" s="0" t="s">
        <v>14</v>
      </c>
      <c r="C4697" s="0" t="s">
        <v>159</v>
      </c>
    </row>
    <row r="4698" customFormat="false" ht="12.8" hidden="false" customHeight="false" outlineLevel="0" collapsed="false">
      <c r="B4698" s="0" t="s">
        <v>1956</v>
      </c>
    </row>
    <row r="4700" customFormat="false" ht="12.8" hidden="false" customHeight="false" outlineLevel="0" collapsed="false">
      <c r="A4700" s="0" t="s">
        <v>2173</v>
      </c>
      <c r="B4700" s="0" t="str">
        <f aca="false">HYPERLINK("https://lindat.mff.cuni.cz/services/teitok/pdtc10/index.php?action=vallex&amp;frame=v-w687f1", "doprovázet (v-w687f1)")</f>
        <v>doprovázet (v-w687f1)</v>
      </c>
    </row>
    <row r="4701" customFormat="false" ht="12.8" hidden="false" customHeight="false" outlineLevel="0" collapsed="false">
      <c r="B4701" s="0" t="s">
        <v>7</v>
      </c>
      <c r="C4701" s="0" t="s">
        <v>2170</v>
      </c>
    </row>
    <row r="4702" customFormat="false" ht="12.8" hidden="false" customHeight="false" outlineLevel="0" collapsed="false">
      <c r="B4702" s="0" t="s">
        <v>14</v>
      </c>
      <c r="C4702" s="0" t="s">
        <v>159</v>
      </c>
    </row>
    <row r="4704" customFormat="false" ht="12.8" hidden="false" customHeight="false" outlineLevel="0" collapsed="false">
      <c r="A4704" s="0" t="s">
        <v>2174</v>
      </c>
      <c r="B4704" s="0" t="str">
        <f aca="false">HYPERLINK("https://lindat.mff.cuni.cz/services/teitok/pdtc10/index.php?action=vallex&amp;frame=v-w687f2", "doprovázet (v-w687f2)")</f>
        <v>doprovázet (v-w687f2)</v>
      </c>
    </row>
    <row r="4705" customFormat="false" ht="12.8" hidden="false" customHeight="false" outlineLevel="0" collapsed="false">
      <c r="B4705" s="0" t="s">
        <v>7</v>
      </c>
      <c r="C4705" s="0" t="s">
        <v>2175</v>
      </c>
      <c r="D4705" s="0" t="s">
        <v>1613</v>
      </c>
      <c r="E4705" s="0" t="s">
        <v>2170</v>
      </c>
      <c r="F4705" s="0" t="s">
        <v>2170</v>
      </c>
    </row>
    <row r="4706" customFormat="false" ht="12.8" hidden="false" customHeight="false" outlineLevel="0" collapsed="false">
      <c r="B4706" s="0" t="s">
        <v>14</v>
      </c>
      <c r="C4706" s="0" t="s">
        <v>2176</v>
      </c>
      <c r="D4706" s="0" t="s">
        <v>128</v>
      </c>
      <c r="E4706" s="0" t="s">
        <v>159</v>
      </c>
      <c r="F4706" s="0" t="s">
        <v>159</v>
      </c>
    </row>
    <row r="4708" customFormat="false" ht="12.8" hidden="false" customHeight="false" outlineLevel="0" collapsed="false">
      <c r="A4708" s="0" t="s">
        <v>2177</v>
      </c>
      <c r="B4708" s="0" t="str">
        <f aca="false">HYPERLINK("https://lindat.mff.cuni.cz/services/teitok/pdtc10/index.php?action=vallex&amp;frame=v-w687f5_ZU", "doprovázet (v-w687f5_ZU)")</f>
        <v>doprovázet (v-w687f5_ZU)</v>
      </c>
    </row>
    <row r="4709" customFormat="false" ht="12.8" hidden="false" customHeight="false" outlineLevel="0" collapsed="false">
      <c r="B4709" s="0" t="s">
        <v>7</v>
      </c>
    </row>
    <row r="4710" customFormat="false" ht="12.8" hidden="false" customHeight="false" outlineLevel="0" collapsed="false">
      <c r="B4710" s="0" t="s">
        <v>14</v>
      </c>
    </row>
    <row r="4712" customFormat="false" ht="12.8" hidden="false" customHeight="false" outlineLevel="0" collapsed="false">
      <c r="A4712" s="0" t="s">
        <v>2177</v>
      </c>
      <c r="B4712" s="0" t="str">
        <f aca="false">HYPERLINK("https://lindat.mff.cuni.cz/services/teitok/pdtc10/index.php?action=vallex&amp;frame=v-w687f4_ZU", "doprovázet (v-w687f4_ZU) - substituted with v-w687f5_ZU")</f>
        <v>doprovázet (v-w687f4_ZU) - substituted with v-w687f5_ZU</v>
      </c>
    </row>
    <row r="4713" customFormat="false" ht="12.8" hidden="false" customHeight="false" outlineLevel="0" collapsed="false">
      <c r="B4713" s="0" t="s">
        <v>7</v>
      </c>
      <c r="C4713" s="0" t="s">
        <v>2178</v>
      </c>
    </row>
    <row r="4714" customFormat="false" ht="12.8" hidden="false" customHeight="false" outlineLevel="0" collapsed="false">
      <c r="B4714" s="0" t="s">
        <v>14</v>
      </c>
      <c r="C4714" s="0" t="s">
        <v>2179</v>
      </c>
    </row>
    <row r="4716" customFormat="false" ht="12.8" hidden="false" customHeight="false" outlineLevel="0" collapsed="false">
      <c r="A4716" s="0" t="s">
        <v>2177</v>
      </c>
      <c r="B4716" s="0" t="str">
        <f aca="false">HYPERLINK("https://lindat.mff.cuni.cz/services/teitok/pdtc10/index.php?action=vallex&amp;frame=v-w687hsa_1228", "doprovázet (v-w687hsa_1228) - substituted with v-w687f5_ZU")</f>
        <v>doprovázet (v-w687hsa_1228) - substituted with v-w687f5_ZU</v>
      </c>
    </row>
    <row r="4717" customFormat="false" ht="12.8" hidden="false" customHeight="false" outlineLevel="0" collapsed="false">
      <c r="B4717" s="0" t="s">
        <v>7</v>
      </c>
      <c r="C4717" s="0" t="s">
        <v>2170</v>
      </c>
    </row>
    <row r="4718" customFormat="false" ht="12.8" hidden="false" customHeight="false" outlineLevel="0" collapsed="false">
      <c r="B4718" s="0" t="s">
        <v>14</v>
      </c>
      <c r="C4718" s="0" t="s">
        <v>159</v>
      </c>
    </row>
    <row r="4720" customFormat="false" ht="12.8" hidden="false" customHeight="false" outlineLevel="0" collapsed="false">
      <c r="A4720" s="0" t="s">
        <v>2180</v>
      </c>
      <c r="B4720" s="0" t="str">
        <f aca="false">HYPERLINK("https://lindat.mff.cuni.cz/services/teitok/pdtc10/index.php?action=vallex&amp;frame=v-w692f1", "dopustit (v-w692f1)")</f>
        <v>dopustit (v-w692f1)</v>
      </c>
    </row>
    <row r="4721" customFormat="false" ht="12.8" hidden="false" customHeight="false" outlineLevel="0" collapsed="false">
      <c r="B4721" s="0" t="s">
        <v>7</v>
      </c>
      <c r="C4721" s="0" t="s">
        <v>411</v>
      </c>
    </row>
    <row r="4722" customFormat="false" ht="12.8" hidden="false" customHeight="false" outlineLevel="0" collapsed="false">
      <c r="B4722" s="0" t="s">
        <v>2181</v>
      </c>
      <c r="C4722" s="0" t="s">
        <v>2182</v>
      </c>
    </row>
    <row r="4724" customFormat="false" ht="12.8" hidden="false" customHeight="false" outlineLevel="0" collapsed="false">
      <c r="A4724" s="0" t="s">
        <v>2183</v>
      </c>
      <c r="B4724" s="0" t="str">
        <f aca="false">HYPERLINK("https://lindat.mff.cuni.cz/services/teitok/pdtc10/index.php?action=vallex&amp;frame=v-w693f1", "dopustit se (v-w693f1)")</f>
        <v>dopustit se (v-w693f1)</v>
      </c>
    </row>
    <row r="4725" customFormat="false" ht="12.8" hidden="false" customHeight="false" outlineLevel="0" collapsed="false">
      <c r="B4725" s="0" t="s">
        <v>7</v>
      </c>
      <c r="C4725" s="0" t="s">
        <v>2184</v>
      </c>
      <c r="D4725" s="0" t="s">
        <v>108</v>
      </c>
      <c r="E4725" s="0" t="s">
        <v>108</v>
      </c>
      <c r="F4725" s="0" t="s">
        <v>108</v>
      </c>
    </row>
    <row r="4726" customFormat="false" ht="12.8" hidden="false" customHeight="false" outlineLevel="0" collapsed="false">
      <c r="B4726" s="0" t="s">
        <v>1087</v>
      </c>
      <c r="C4726" s="0" t="s">
        <v>2185</v>
      </c>
      <c r="D4726" s="0" t="s">
        <v>487</v>
      </c>
      <c r="E4726" s="0" t="s">
        <v>487</v>
      </c>
      <c r="F4726" s="0" t="s">
        <v>487</v>
      </c>
    </row>
    <row r="4728" customFormat="false" ht="12.8" hidden="false" customHeight="false" outlineLevel="0" collapsed="false">
      <c r="A4728" s="0" t="s">
        <v>2186</v>
      </c>
      <c r="B4728" s="0" t="str">
        <f aca="false">HYPERLINK("https://lindat.mff.cuni.cz/services/teitok/pdtc10/index.php?action=vallex&amp;frame=v-w695f1", "doputovat (v-w695f1)")</f>
        <v>doputovat (v-w695f1)</v>
      </c>
    </row>
    <row r="4729" customFormat="false" ht="12.8" hidden="false" customHeight="false" outlineLevel="0" collapsed="false">
      <c r="B4729" s="0" t="s">
        <v>7</v>
      </c>
    </row>
    <row r="4730" customFormat="false" ht="12.8" hidden="false" customHeight="false" outlineLevel="0" collapsed="false">
      <c r="B4730" s="0" t="s">
        <v>124</v>
      </c>
    </row>
    <row r="4732" customFormat="false" ht="12.8" hidden="false" customHeight="false" outlineLevel="0" collapsed="false">
      <c r="A4732" s="0" t="s">
        <v>2187</v>
      </c>
      <c r="B4732" s="0" t="str">
        <f aca="false">HYPERLINK("https://lindat.mff.cuni.cz/services/teitok/pdtc10/index.php?action=vallex&amp;frame=v-w11851_ZUf1_ZU", "dopátrat se (v-w11851_ZUf1_ZU)")</f>
        <v>dopátrat se (v-w11851_ZUf1_ZU)</v>
      </c>
    </row>
    <row r="4733" customFormat="false" ht="12.8" hidden="false" customHeight="false" outlineLevel="0" collapsed="false">
      <c r="B4733" s="0" t="s">
        <v>7</v>
      </c>
    </row>
    <row r="4734" customFormat="false" ht="12.8" hidden="false" customHeight="false" outlineLevel="0" collapsed="false">
      <c r="B4734" s="0" t="s">
        <v>2188</v>
      </c>
    </row>
    <row r="4736" customFormat="false" ht="12.8" hidden="false" customHeight="false" outlineLevel="0" collapsed="false">
      <c r="A4736" s="0" t="s">
        <v>2189</v>
      </c>
      <c r="B4736" s="0" t="str">
        <f aca="false">HYPERLINK("https://lindat.mff.cuni.cz/services/teitok/pdtc10/index.php?action=vallex&amp;frame=v-w648f2", "dopéci (v-w648f2)")</f>
        <v>dopéci (v-w648f2)</v>
      </c>
    </row>
    <row r="4737" customFormat="false" ht="12.8" hidden="false" customHeight="false" outlineLevel="0" collapsed="false">
      <c r="B4737" s="0" t="s">
        <v>7</v>
      </c>
    </row>
    <row r="4738" customFormat="false" ht="12.8" hidden="false" customHeight="false" outlineLevel="0" collapsed="false">
      <c r="B4738" s="0" t="s">
        <v>14</v>
      </c>
    </row>
    <row r="4739" customFormat="false" ht="12.8" hidden="false" customHeight="false" outlineLevel="0" collapsed="false">
      <c r="B4739" s="0" t="s">
        <v>35</v>
      </c>
    </row>
    <row r="4741" customFormat="false" ht="12.8" hidden="false" customHeight="false" outlineLevel="0" collapsed="false">
      <c r="A4741" s="0" t="s">
        <v>2190</v>
      </c>
      <c r="B4741" s="0" t="str">
        <f aca="false">HYPERLINK("https://lindat.mff.cuni.cz/services/teitok/pdtc10/index.php?action=vallex&amp;frame=v-w648f1", "dopéci (v-w648f1)")</f>
        <v>dopéci (v-w648f1)</v>
      </c>
    </row>
    <row r="4742" customFormat="false" ht="12.8" hidden="false" customHeight="false" outlineLevel="0" collapsed="false">
      <c r="B4742" s="0" t="s">
        <v>7</v>
      </c>
    </row>
    <row r="4743" customFormat="false" ht="12.8" hidden="false" customHeight="false" outlineLevel="0" collapsed="false">
      <c r="B4743" s="0" t="s">
        <v>2191</v>
      </c>
    </row>
    <row r="4745" customFormat="false" ht="12.8" hidden="false" customHeight="false" outlineLevel="0" collapsed="false">
      <c r="A4745" s="0" t="s">
        <v>2192</v>
      </c>
      <c r="B4745" s="0" t="str">
        <f aca="false">HYPERLINK("https://lindat.mff.cuni.cz/services/teitok/pdtc10/index.php?action=vallex&amp;frame=v-w12247_ZUf1_ZU", "dopřipravit se (v-w12247_ZUf1_ZU)")</f>
        <v>dopřipravit se (v-w12247_ZUf1_ZU)</v>
      </c>
    </row>
    <row r="4746" customFormat="false" ht="12.8" hidden="false" customHeight="false" outlineLevel="0" collapsed="false">
      <c r="B4746" s="0" t="s">
        <v>7</v>
      </c>
    </row>
    <row r="4747" customFormat="false" ht="12.8" hidden="false" customHeight="false" outlineLevel="0" collapsed="false">
      <c r="B4747" s="0" t="s">
        <v>2193</v>
      </c>
    </row>
    <row r="4749" customFormat="false" ht="12.8" hidden="false" customHeight="false" outlineLevel="0" collapsed="false">
      <c r="A4749" s="0" t="s">
        <v>2194</v>
      </c>
      <c r="B4749" s="0" t="str">
        <f aca="false">HYPERLINK("https://lindat.mff.cuni.cz/services/teitok/pdtc10/index.php?action=vallex&amp;frame=v-w690f1", "dopřát (v-w690f1)")</f>
        <v>dopřát (v-w690f1)</v>
      </c>
    </row>
    <row r="4750" customFormat="false" ht="12.8" hidden="false" customHeight="false" outlineLevel="0" collapsed="false">
      <c r="B4750" s="0" t="s">
        <v>7</v>
      </c>
    </row>
    <row r="4751" customFormat="false" ht="12.8" hidden="false" customHeight="false" outlineLevel="0" collapsed="false">
      <c r="B4751" s="0" t="s">
        <v>306</v>
      </c>
    </row>
    <row r="4752" customFormat="false" ht="12.8" hidden="false" customHeight="false" outlineLevel="0" collapsed="false">
      <c r="B4752" s="0" t="s">
        <v>48</v>
      </c>
    </row>
    <row r="4754" customFormat="false" ht="12.8" hidden="false" customHeight="false" outlineLevel="0" collapsed="false">
      <c r="A4754" s="0" t="s">
        <v>2195</v>
      </c>
      <c r="B4754" s="0" t="str">
        <f aca="false">HYPERLINK("https://lindat.mff.cuni.cz/services/teitok/pdtc10/index.php?action=vallex&amp;frame=v-w691f1", "dopřát si (v-w691f1)")</f>
        <v>dopřát si (v-w691f1)</v>
      </c>
    </row>
    <row r="4755" customFormat="false" ht="12.8" hidden="false" customHeight="false" outlineLevel="0" collapsed="false">
      <c r="B4755" s="0" t="s">
        <v>7</v>
      </c>
    </row>
    <row r="4756" customFormat="false" ht="12.8" hidden="false" customHeight="false" outlineLevel="0" collapsed="false">
      <c r="B4756" s="0" t="s">
        <v>2196</v>
      </c>
    </row>
    <row r="4758" customFormat="false" ht="12.8" hidden="false" customHeight="false" outlineLevel="0" collapsed="false">
      <c r="A4758" s="0" t="s">
        <v>2197</v>
      </c>
      <c r="B4758" s="0" t="str">
        <f aca="false">HYPERLINK("https://lindat.mff.cuni.cz/services/teitok/pdtc10/index.php?action=vallex&amp;frame=v-w12273_ZUf1_ZU", "dopřávat (v-w12273_ZUf1_ZU)")</f>
        <v>dopřávat (v-w12273_ZUf1_ZU)</v>
      </c>
    </row>
    <row r="4759" customFormat="false" ht="12.8" hidden="false" customHeight="false" outlineLevel="0" collapsed="false">
      <c r="B4759" s="0" t="s">
        <v>7</v>
      </c>
    </row>
    <row r="4760" customFormat="false" ht="12.8" hidden="false" customHeight="false" outlineLevel="0" collapsed="false">
      <c r="B4760" s="0" t="s">
        <v>48</v>
      </c>
    </row>
    <row r="4761" customFormat="false" ht="12.8" hidden="false" customHeight="false" outlineLevel="0" collapsed="false">
      <c r="B4761" s="0" t="s">
        <v>14</v>
      </c>
    </row>
    <row r="4763" customFormat="false" ht="12.8" hidden="false" customHeight="false" outlineLevel="0" collapsed="false">
      <c r="A4763" s="0" t="s">
        <v>2198</v>
      </c>
      <c r="B4763" s="0" t="str">
        <f aca="false">HYPERLINK("https://lindat.mff.cuni.cz/services/teitok/pdtc10/index.php?action=vallex&amp;frame=v-w11292f1", "dopřávat si (v-w11292f1)")</f>
        <v>dopřávat si (v-w11292f1)</v>
      </c>
    </row>
    <row r="4764" customFormat="false" ht="12.8" hidden="false" customHeight="false" outlineLevel="0" collapsed="false">
      <c r="B4764" s="0" t="s">
        <v>7</v>
      </c>
      <c r="C4764" s="0" t="s">
        <v>184</v>
      </c>
      <c r="D4764" s="0" t="s">
        <v>2199</v>
      </c>
      <c r="E4764" s="0" t="s">
        <v>2199</v>
      </c>
      <c r="F4764" s="0" t="s">
        <v>2199</v>
      </c>
    </row>
    <row r="4765" customFormat="false" ht="12.8" hidden="false" customHeight="false" outlineLevel="0" collapsed="false">
      <c r="B4765" s="0" t="s">
        <v>2196</v>
      </c>
      <c r="C4765" s="0" t="s">
        <v>2200</v>
      </c>
      <c r="D4765" s="0" t="s">
        <v>2201</v>
      </c>
      <c r="E4765" s="0" t="s">
        <v>2201</v>
      </c>
      <c r="F4765" s="0" t="s">
        <v>2201</v>
      </c>
    </row>
    <row r="4767" customFormat="false" ht="12.8" hidden="false" customHeight="false" outlineLevel="0" collapsed="false">
      <c r="A4767" s="0" t="s">
        <v>2202</v>
      </c>
      <c r="B4767" s="0" t="str">
        <f aca="false">HYPERLINK("https://lindat.mff.cuni.cz/services/teitok/pdtc10/index.php?action=vallex&amp;frame=v-w696f2", "dorazit (v-w696f2)")</f>
        <v>dorazit (v-w696f2)</v>
      </c>
    </row>
    <row r="4768" customFormat="false" ht="12.8" hidden="false" customHeight="false" outlineLevel="0" collapsed="false">
      <c r="B4768" s="0" t="s">
        <v>7</v>
      </c>
    </row>
    <row r="4769" customFormat="false" ht="12.8" hidden="false" customHeight="false" outlineLevel="0" collapsed="false">
      <c r="B4769" s="0" t="s">
        <v>14</v>
      </c>
    </row>
    <row r="4770" customFormat="false" ht="12.8" hidden="false" customHeight="false" outlineLevel="0" collapsed="false">
      <c r="B4770" s="0" t="s">
        <v>124</v>
      </c>
    </row>
    <row r="4772" customFormat="false" ht="12.8" hidden="false" customHeight="false" outlineLevel="0" collapsed="false">
      <c r="A4772" s="0" t="s">
        <v>2203</v>
      </c>
      <c r="B4772" s="0" t="str">
        <f aca="false">HYPERLINK("https://lindat.mff.cuni.cz/services/teitok/pdtc10/index.php?action=vallex&amp;frame=v-w696f3", "dorazit (v-w696f3)")</f>
        <v>dorazit (v-w696f3)</v>
      </c>
    </row>
    <row r="4773" customFormat="false" ht="12.8" hidden="false" customHeight="false" outlineLevel="0" collapsed="false">
      <c r="B4773" s="0" t="s">
        <v>7</v>
      </c>
    </row>
    <row r="4774" customFormat="false" ht="12.8" hidden="false" customHeight="false" outlineLevel="0" collapsed="false">
      <c r="B4774" s="0" t="s">
        <v>14</v>
      </c>
    </row>
    <row r="4776" customFormat="false" ht="12.8" hidden="false" customHeight="false" outlineLevel="0" collapsed="false">
      <c r="A4776" s="0" t="s">
        <v>2204</v>
      </c>
      <c r="B4776" s="0" t="str">
        <f aca="false">HYPERLINK("https://lindat.mff.cuni.cz/services/teitok/pdtc10/index.php?action=vallex&amp;frame=v-w696f5", "dorazit (v-w696f5)")</f>
        <v>dorazit (v-w696f5)</v>
      </c>
    </row>
    <row r="4777" customFormat="false" ht="12.8" hidden="false" customHeight="false" outlineLevel="0" collapsed="false">
      <c r="B4777" s="0" t="s">
        <v>7</v>
      </c>
    </row>
    <row r="4778" customFormat="false" ht="12.8" hidden="false" customHeight="false" outlineLevel="0" collapsed="false">
      <c r="B4778" s="0" t="s">
        <v>14</v>
      </c>
    </row>
    <row r="4780" customFormat="false" ht="12.8" hidden="false" customHeight="false" outlineLevel="0" collapsed="false">
      <c r="A4780" s="0" t="s">
        <v>2205</v>
      </c>
      <c r="B4780" s="0" t="str">
        <f aca="false">HYPERLINK("https://lindat.mff.cuni.cz/services/teitok/pdtc10/index.php?action=vallex&amp;frame=v-w696f4", "dorazit (v-w696f4)")</f>
        <v>dorazit (v-w696f4)</v>
      </c>
    </row>
    <row r="4781" customFormat="false" ht="12.8" hidden="false" customHeight="false" outlineLevel="0" collapsed="false">
      <c r="B4781" s="0" t="s">
        <v>7</v>
      </c>
    </row>
    <row r="4782" customFormat="false" ht="12.8" hidden="false" customHeight="false" outlineLevel="0" collapsed="false">
      <c r="B4782" s="0" t="s">
        <v>14</v>
      </c>
    </row>
    <row r="4784" customFormat="false" ht="12.8" hidden="false" customHeight="false" outlineLevel="0" collapsed="false">
      <c r="A4784" s="0" t="s">
        <v>2206</v>
      </c>
      <c r="B4784" s="0" t="str">
        <f aca="false">HYPERLINK("https://lindat.mff.cuni.cz/services/teitok/pdtc10/index.php?action=vallex&amp;frame=v-w696f1", "dorazit (v-w696f1)")</f>
        <v>dorazit (v-w696f1)</v>
      </c>
    </row>
    <row r="4785" customFormat="false" ht="12.8" hidden="false" customHeight="false" outlineLevel="0" collapsed="false">
      <c r="B4785" s="0" t="s">
        <v>7</v>
      </c>
      <c r="C4785" s="0" t="s">
        <v>2207</v>
      </c>
      <c r="D4785" s="0" t="s">
        <v>1705</v>
      </c>
      <c r="E4785" s="0" t="s">
        <v>1706</v>
      </c>
      <c r="F4785" s="0" t="s">
        <v>1706</v>
      </c>
    </row>
    <row r="4786" customFormat="false" ht="12.8" hidden="false" customHeight="false" outlineLevel="0" collapsed="false">
      <c r="B4786" s="0" t="s">
        <v>124</v>
      </c>
      <c r="C4786" s="0" t="s">
        <v>2208</v>
      </c>
      <c r="D4786" s="0" t="s">
        <v>1707</v>
      </c>
      <c r="E4786" s="0" t="s">
        <v>1707</v>
      </c>
      <c r="F4786" s="0" t="s">
        <v>1707</v>
      </c>
    </row>
    <row r="4788" customFormat="false" ht="12.8" hidden="false" customHeight="false" outlineLevel="0" collapsed="false">
      <c r="A4788" s="0" t="s">
        <v>2209</v>
      </c>
      <c r="B4788" s="0" t="str">
        <f aca="false">HYPERLINK("https://lindat.mff.cuni.cz/services/teitok/pdtc10/index.php?action=vallex&amp;frame=v-w696hsa_673", "dorazit (v-w696hsa_673)")</f>
        <v>dorazit (v-w696hsa_673)</v>
      </c>
    </row>
    <row r="4789" customFormat="false" ht="12.8" hidden="false" customHeight="false" outlineLevel="0" collapsed="false">
      <c r="B4789" s="0" t="s">
        <v>641</v>
      </c>
    </row>
    <row r="4790" customFormat="false" ht="12.8" hidden="false" customHeight="false" outlineLevel="0" collapsed="false">
      <c r="B4790" s="0" t="s">
        <v>124</v>
      </c>
    </row>
    <row r="4792" customFormat="false" ht="12.8" hidden="false" customHeight="false" outlineLevel="0" collapsed="false">
      <c r="A4792" s="0" t="s">
        <v>2210</v>
      </c>
      <c r="B4792" s="0" t="str">
        <f aca="false">HYPERLINK("https://lindat.mff.cuni.cz/services/teitok/pdtc10/index.php?action=vallex&amp;frame=v-w699f1", "dorovnat (v-w699f1)")</f>
        <v>dorovnat (v-w699f1)</v>
      </c>
    </row>
    <row r="4793" customFormat="false" ht="12.8" hidden="false" customHeight="false" outlineLevel="0" collapsed="false">
      <c r="B4793" s="0" t="s">
        <v>7</v>
      </c>
      <c r="C4793" s="0" t="s">
        <v>184</v>
      </c>
      <c r="D4793" s="0" t="s">
        <v>2088</v>
      </c>
      <c r="E4793" s="0" t="s">
        <v>2088</v>
      </c>
      <c r="F4793" s="0" t="s">
        <v>2088</v>
      </c>
    </row>
    <row r="4794" customFormat="false" ht="12.8" hidden="false" customHeight="false" outlineLevel="0" collapsed="false">
      <c r="B4794" s="0" t="s">
        <v>14</v>
      </c>
      <c r="C4794" s="0" t="s">
        <v>78</v>
      </c>
      <c r="D4794" s="0" t="s">
        <v>2089</v>
      </c>
      <c r="E4794" s="0" t="s">
        <v>2089</v>
      </c>
      <c r="F4794" s="0" t="s">
        <v>2089</v>
      </c>
    </row>
    <row r="4795" customFormat="false" ht="12.8" hidden="false" customHeight="false" outlineLevel="0" collapsed="false">
      <c r="B4795" s="0" t="s">
        <v>106</v>
      </c>
      <c r="D4795" s="0" t="s">
        <v>2090</v>
      </c>
      <c r="E4795" s="0" t="s">
        <v>2090</v>
      </c>
      <c r="F4795" s="0" t="s">
        <v>2090</v>
      </c>
    </row>
    <row r="4796" customFormat="false" ht="12.8" hidden="false" customHeight="false" outlineLevel="0" collapsed="false">
      <c r="B4796" s="0" t="s">
        <v>550</v>
      </c>
    </row>
    <row r="4798" customFormat="false" ht="12.8" hidden="false" customHeight="false" outlineLevel="0" collapsed="false">
      <c r="A4798" s="0" t="s">
        <v>2211</v>
      </c>
      <c r="B4798" s="0" t="str">
        <f aca="false">HYPERLINK("https://lindat.mff.cuni.cz/services/teitok/pdtc10/index.php?action=vallex&amp;frame=v-w701f1", "dorozumívat se (v-w701f1)")</f>
        <v>dorozumívat se (v-w701f1)</v>
      </c>
    </row>
    <row r="4799" customFormat="false" ht="12.8" hidden="false" customHeight="false" outlineLevel="0" collapsed="false">
      <c r="B4799" s="0" t="s">
        <v>7</v>
      </c>
    </row>
    <row r="4800" customFormat="false" ht="12.8" hidden="false" customHeight="false" outlineLevel="0" collapsed="false">
      <c r="B4800" s="0" t="s">
        <v>2212</v>
      </c>
    </row>
    <row r="4801" customFormat="false" ht="12.8" hidden="false" customHeight="false" outlineLevel="0" collapsed="false">
      <c r="B4801" s="0" t="s">
        <v>207</v>
      </c>
    </row>
    <row r="4803" customFormat="false" ht="12.8" hidden="false" customHeight="false" outlineLevel="0" collapsed="false">
      <c r="A4803" s="0" t="s">
        <v>2213</v>
      </c>
      <c r="B4803" s="0" t="str">
        <f aca="false">HYPERLINK("https://lindat.mff.cuni.cz/services/teitok/pdtc10/index.php?action=vallex&amp;frame=v-w700f2", "dorozumět se (v-w700f2)")</f>
        <v>dorozumět se (v-w700f2)</v>
      </c>
    </row>
    <row r="4804" customFormat="false" ht="12.8" hidden="false" customHeight="false" outlineLevel="0" collapsed="false">
      <c r="B4804" s="0" t="s">
        <v>7</v>
      </c>
    </row>
    <row r="4805" customFormat="false" ht="12.8" hidden="false" customHeight="false" outlineLevel="0" collapsed="false">
      <c r="B4805" s="0" t="s">
        <v>2212</v>
      </c>
    </row>
    <row r="4806" customFormat="false" ht="12.8" hidden="false" customHeight="false" outlineLevel="0" collapsed="false">
      <c r="B4806" s="0" t="s">
        <v>207</v>
      </c>
    </row>
    <row r="4808" customFormat="false" ht="12.8" hidden="false" customHeight="false" outlineLevel="0" collapsed="false">
      <c r="A4808" s="0" t="s">
        <v>2214</v>
      </c>
      <c r="B4808" s="0" t="str">
        <f aca="false">HYPERLINK("https://lindat.mff.cuni.cz/services/teitok/pdtc10/index.php?action=vallex&amp;frame=v-w700f1", "dorozumět se (v-w700f1)")</f>
        <v>dorozumět se (v-w700f1)</v>
      </c>
    </row>
    <row r="4809" customFormat="false" ht="12.8" hidden="false" customHeight="false" outlineLevel="0" collapsed="false">
      <c r="B4809" s="0" t="s">
        <v>7</v>
      </c>
    </row>
    <row r="4810" customFormat="false" ht="12.8" hidden="false" customHeight="false" outlineLevel="0" collapsed="false">
      <c r="B4810" s="0" t="s">
        <v>548</v>
      </c>
    </row>
    <row r="4812" customFormat="false" ht="12.8" hidden="false" customHeight="false" outlineLevel="0" collapsed="false">
      <c r="A4812" s="0" t="s">
        <v>2215</v>
      </c>
      <c r="B4812" s="0" t="str">
        <f aca="false">HYPERLINK("https://lindat.mff.cuni.cz/services/teitok/pdtc10/index.php?action=vallex&amp;frame=v-w703f1", "doručit (v-w703f1)")</f>
        <v>doručit (v-w703f1)</v>
      </c>
    </row>
    <row r="4813" customFormat="false" ht="12.8" hidden="false" customHeight="false" outlineLevel="0" collapsed="false">
      <c r="B4813" s="0" t="s">
        <v>7</v>
      </c>
      <c r="C4813" s="0" t="s">
        <v>2216</v>
      </c>
      <c r="D4813" s="0" t="s">
        <v>1758</v>
      </c>
      <c r="E4813" s="0" t="s">
        <v>1758</v>
      </c>
      <c r="F4813" s="0" t="s">
        <v>1758</v>
      </c>
    </row>
    <row r="4814" customFormat="false" ht="12.8" hidden="false" customHeight="false" outlineLevel="0" collapsed="false">
      <c r="B4814" s="0" t="s">
        <v>14</v>
      </c>
      <c r="C4814" s="0" t="s">
        <v>2217</v>
      </c>
      <c r="D4814" s="0" t="s">
        <v>1760</v>
      </c>
      <c r="E4814" s="0" t="s">
        <v>1760</v>
      </c>
      <c r="F4814" s="0" t="s">
        <v>1760</v>
      </c>
    </row>
    <row r="4815" customFormat="false" ht="12.8" hidden="false" customHeight="false" outlineLevel="0" collapsed="false">
      <c r="B4815" s="0" t="s">
        <v>48</v>
      </c>
      <c r="C4815" s="0" t="s">
        <v>1851</v>
      </c>
      <c r="D4815" s="0" t="s">
        <v>1851</v>
      </c>
      <c r="E4815" s="0" t="s">
        <v>1851</v>
      </c>
      <c r="F4815" s="0" t="s">
        <v>1851</v>
      </c>
    </row>
    <row r="4817" customFormat="false" ht="12.8" hidden="false" customHeight="false" outlineLevel="0" collapsed="false">
      <c r="A4817" s="0" t="s">
        <v>2218</v>
      </c>
      <c r="B4817" s="0" t="str">
        <f aca="false">HYPERLINK("https://lindat.mff.cuni.cz/services/teitok/pdtc10/index.php?action=vallex&amp;frame=v-w703f2", "doručit (v-w703f2)")</f>
        <v>doručit (v-w703f2)</v>
      </c>
    </row>
    <row r="4818" customFormat="false" ht="12.8" hidden="false" customHeight="false" outlineLevel="0" collapsed="false">
      <c r="B4818" s="0" t="s">
        <v>7</v>
      </c>
      <c r="C4818" s="0" t="s">
        <v>2219</v>
      </c>
      <c r="D4818" s="0" t="s">
        <v>2220</v>
      </c>
      <c r="E4818" s="0" t="s">
        <v>2220</v>
      </c>
      <c r="F4818" s="0" t="s">
        <v>2220</v>
      </c>
    </row>
    <row r="4819" customFormat="false" ht="12.8" hidden="false" customHeight="false" outlineLevel="0" collapsed="false">
      <c r="B4819" s="0" t="s">
        <v>14</v>
      </c>
      <c r="C4819" s="0" t="s">
        <v>2221</v>
      </c>
      <c r="D4819" s="0" t="s">
        <v>2222</v>
      </c>
      <c r="E4819" s="0" t="s">
        <v>2222</v>
      </c>
      <c r="F4819" s="0" t="s">
        <v>2222</v>
      </c>
    </row>
    <row r="4820" customFormat="false" ht="12.8" hidden="false" customHeight="false" outlineLevel="0" collapsed="false">
      <c r="B4820" s="0" t="s">
        <v>124</v>
      </c>
      <c r="C4820" s="0" t="s">
        <v>2223</v>
      </c>
      <c r="D4820" s="0" t="s">
        <v>2224</v>
      </c>
      <c r="E4820" s="0" t="s">
        <v>2224</v>
      </c>
      <c r="F4820" s="0" t="s">
        <v>2224</v>
      </c>
    </row>
    <row r="4822" customFormat="false" ht="12.8" hidden="false" customHeight="false" outlineLevel="0" collapsed="false">
      <c r="A4822" s="0" t="s">
        <v>2225</v>
      </c>
      <c r="B4822" s="0" t="str">
        <f aca="false">HYPERLINK("https://lindat.mff.cuni.cz/services/teitok/pdtc10/index.php?action=vallex&amp;frame=v-w705f1", "doručovat (v-w705f1)")</f>
        <v>doručovat (v-w705f1)</v>
      </c>
    </row>
    <row r="4823" customFormat="false" ht="12.8" hidden="false" customHeight="false" outlineLevel="0" collapsed="false">
      <c r="B4823" s="0" t="s">
        <v>7</v>
      </c>
      <c r="C4823" s="0" t="s">
        <v>1142</v>
      </c>
      <c r="D4823" s="0" t="s">
        <v>1758</v>
      </c>
      <c r="E4823" s="0" t="s">
        <v>1758</v>
      </c>
      <c r="F4823" s="0" t="s">
        <v>1758</v>
      </c>
    </row>
    <row r="4824" customFormat="false" ht="12.8" hidden="false" customHeight="false" outlineLevel="0" collapsed="false">
      <c r="B4824" s="0" t="s">
        <v>14</v>
      </c>
      <c r="C4824" s="0" t="s">
        <v>2226</v>
      </c>
      <c r="D4824" s="0" t="s">
        <v>1760</v>
      </c>
      <c r="E4824" s="0" t="s">
        <v>1760</v>
      </c>
      <c r="F4824" s="0" t="s">
        <v>1760</v>
      </c>
    </row>
    <row r="4825" customFormat="false" ht="12.8" hidden="false" customHeight="false" outlineLevel="0" collapsed="false">
      <c r="B4825" s="0" t="s">
        <v>48</v>
      </c>
      <c r="C4825" s="0" t="s">
        <v>1851</v>
      </c>
      <c r="D4825" s="0" t="s">
        <v>1851</v>
      </c>
      <c r="E4825" s="0" t="s">
        <v>1851</v>
      </c>
      <c r="F4825" s="0" t="s">
        <v>1851</v>
      </c>
    </row>
    <row r="4827" customFormat="false" ht="12.8" hidden="false" customHeight="false" outlineLevel="0" collapsed="false">
      <c r="A4827" s="0" t="s">
        <v>2227</v>
      </c>
      <c r="B4827" s="0" t="str">
        <f aca="false">HYPERLINK("https://lindat.mff.cuni.cz/services/teitok/pdtc10/index.php?action=vallex&amp;frame=v-w705f2", "doručovat (v-w705f2)")</f>
        <v>doručovat (v-w705f2)</v>
      </c>
    </row>
    <row r="4828" customFormat="false" ht="12.8" hidden="false" customHeight="false" outlineLevel="0" collapsed="false">
      <c r="B4828" s="0" t="s">
        <v>7</v>
      </c>
      <c r="D4828" s="0" t="s">
        <v>1758</v>
      </c>
      <c r="E4828" s="0" t="s">
        <v>1758</v>
      </c>
      <c r="F4828" s="0" t="s">
        <v>1758</v>
      </c>
    </row>
    <row r="4829" customFormat="false" ht="12.8" hidden="false" customHeight="false" outlineLevel="0" collapsed="false">
      <c r="B4829" s="0" t="s">
        <v>14</v>
      </c>
      <c r="D4829" s="0" t="s">
        <v>1760</v>
      </c>
      <c r="E4829" s="0" t="s">
        <v>1760</v>
      </c>
      <c r="F4829" s="0" t="s">
        <v>1760</v>
      </c>
    </row>
    <row r="4830" customFormat="false" ht="12.8" hidden="false" customHeight="false" outlineLevel="0" collapsed="false">
      <c r="B4830" s="0" t="s">
        <v>124</v>
      </c>
      <c r="D4830" s="0" t="s">
        <v>1761</v>
      </c>
      <c r="E4830" s="0" t="s">
        <v>1761</v>
      </c>
      <c r="F4830" s="0" t="s">
        <v>1761</v>
      </c>
    </row>
    <row r="4832" customFormat="false" ht="12.8" hidden="false" customHeight="false" outlineLevel="0" collapsed="false">
      <c r="A4832" s="0" t="s">
        <v>2228</v>
      </c>
      <c r="B4832" s="0" t="str">
        <f aca="false">HYPERLINK("https://lindat.mff.cuni.cz/services/teitok/pdtc10/index.php?action=vallex&amp;frame=v-w697f2", "dorážet (v-w697f2)")</f>
        <v>dorážet (v-w697f2)</v>
      </c>
    </row>
    <row r="4833" customFormat="false" ht="12.8" hidden="false" customHeight="false" outlineLevel="0" collapsed="false">
      <c r="B4833" s="0" t="s">
        <v>7</v>
      </c>
    </row>
    <row r="4834" customFormat="false" ht="12.8" hidden="false" customHeight="false" outlineLevel="0" collapsed="false">
      <c r="B4834" s="0" t="s">
        <v>14</v>
      </c>
    </row>
    <row r="4836" customFormat="false" ht="12.8" hidden="false" customHeight="false" outlineLevel="0" collapsed="false">
      <c r="A4836" s="0" t="s">
        <v>2229</v>
      </c>
      <c r="B4836" s="0" t="str">
        <f aca="false">HYPERLINK("https://lindat.mff.cuni.cz/services/teitok/pdtc10/index.php?action=vallex&amp;frame=v-w697f1", "dorážet (v-w697f1)")</f>
        <v>dorážet (v-w697f1)</v>
      </c>
    </row>
    <row r="4837" customFormat="false" ht="12.8" hidden="false" customHeight="false" outlineLevel="0" collapsed="false">
      <c r="B4837" s="0" t="s">
        <v>7</v>
      </c>
    </row>
    <row r="4838" customFormat="false" ht="12.8" hidden="false" customHeight="false" outlineLevel="0" collapsed="false">
      <c r="B4838" s="0" t="s">
        <v>41</v>
      </c>
    </row>
    <row r="4840" customFormat="false" ht="12.8" hidden="false" customHeight="false" outlineLevel="0" collapsed="false">
      <c r="A4840" s="0" t="s">
        <v>2230</v>
      </c>
      <c r="B4840" s="0" t="str">
        <f aca="false">HYPERLINK("https://lindat.mff.cuni.cz/services/teitok/pdtc10/index.php?action=vallex&amp;frame=v-w707f4_ZU", "dorůst (v-w707f4_ZU)")</f>
        <v>dorůst (v-w707f4_ZU)</v>
      </c>
    </row>
    <row r="4841" customFormat="false" ht="12.8" hidden="false" customHeight="false" outlineLevel="0" collapsed="false">
      <c r="B4841" s="0" t="s">
        <v>7</v>
      </c>
    </row>
    <row r="4842" customFormat="false" ht="12.8" hidden="false" customHeight="false" outlineLevel="0" collapsed="false">
      <c r="B4842" s="0" t="s">
        <v>2231</v>
      </c>
    </row>
    <row r="4843" customFormat="false" ht="12.8" hidden="false" customHeight="false" outlineLevel="0" collapsed="false">
      <c r="B4843" s="0" t="s">
        <v>35</v>
      </c>
    </row>
    <row r="4845" customFormat="false" ht="12.8" hidden="false" customHeight="false" outlineLevel="0" collapsed="false">
      <c r="A4845" s="0" t="s">
        <v>2230</v>
      </c>
      <c r="B4845" s="0" t="str">
        <f aca="false">HYPERLINK("https://lindat.mff.cuni.cz/services/teitok/pdtc10/index.php?action=vallex&amp;frame=v-w707f2", "dorůst (v-w707f2) - substituted with v-w707f4_ZU")</f>
        <v>dorůst (v-w707f2) - substituted with v-w707f4_ZU</v>
      </c>
    </row>
    <row r="4846" customFormat="false" ht="12.8" hidden="false" customHeight="false" outlineLevel="0" collapsed="false">
      <c r="B4846" s="0" t="s">
        <v>7</v>
      </c>
    </row>
    <row r="4847" customFormat="false" ht="12.8" hidden="false" customHeight="false" outlineLevel="0" collapsed="false">
      <c r="B4847" s="0" t="s">
        <v>2231</v>
      </c>
    </row>
    <row r="4848" customFormat="false" ht="12.8" hidden="false" customHeight="false" outlineLevel="0" collapsed="false">
      <c r="B4848" s="0" t="s">
        <v>35</v>
      </c>
    </row>
    <row r="4850" customFormat="false" ht="12.8" hidden="false" customHeight="false" outlineLevel="0" collapsed="false">
      <c r="A4850" s="0" t="s">
        <v>2230</v>
      </c>
      <c r="B4850" s="0" t="str">
        <f aca="false">HYPERLINK("https://lindat.mff.cuni.cz/services/teitok/pdtc10/index.php?action=vallex&amp;frame=v-w707f3_ZU", "dorůst (v-w707f3_ZU) - substituted with v-w707f4_ZU")</f>
        <v>dorůst (v-w707f3_ZU) - substituted with v-w707f4_ZU</v>
      </c>
    </row>
    <row r="4851" customFormat="false" ht="12.8" hidden="false" customHeight="false" outlineLevel="0" collapsed="false">
      <c r="B4851" s="0" t="s">
        <v>7</v>
      </c>
    </row>
    <row r="4852" customFormat="false" ht="12.8" hidden="false" customHeight="false" outlineLevel="0" collapsed="false">
      <c r="B4852" s="0" t="s">
        <v>2231</v>
      </c>
    </row>
    <row r="4853" customFormat="false" ht="12.8" hidden="false" customHeight="false" outlineLevel="0" collapsed="false">
      <c r="B4853" s="0" t="s">
        <v>35</v>
      </c>
    </row>
    <row r="4855" customFormat="false" ht="12.8" hidden="false" customHeight="false" outlineLevel="0" collapsed="false">
      <c r="A4855" s="0" t="s">
        <v>2232</v>
      </c>
      <c r="B4855" s="0" t="str">
        <f aca="false">HYPERLINK("https://lindat.mff.cuni.cz/services/teitok/pdtc10/index.php?action=vallex&amp;frame=v-w707f1", "dorůst (v-w707f1)")</f>
        <v>dorůst (v-w707f1)</v>
      </c>
    </row>
    <row r="4856" customFormat="false" ht="12.8" hidden="false" customHeight="false" outlineLevel="0" collapsed="false">
      <c r="B4856" s="0" t="s">
        <v>7</v>
      </c>
    </row>
    <row r="4857" customFormat="false" ht="12.8" hidden="false" customHeight="false" outlineLevel="0" collapsed="false">
      <c r="B4857" s="0" t="s">
        <v>268</v>
      </c>
    </row>
    <row r="4859" customFormat="false" ht="12.8" hidden="false" customHeight="false" outlineLevel="0" collapsed="false">
      <c r="A4859" s="0" t="s">
        <v>2233</v>
      </c>
      <c r="B4859" s="0" t="str">
        <f aca="false">HYPERLINK("https://lindat.mff.cuni.cz/services/teitok/pdtc10/index.php?action=vallex&amp;frame=v-w708f1", "dorůstat (v-w708f1)")</f>
        <v>dorůstat (v-w708f1)</v>
      </c>
    </row>
    <row r="4860" customFormat="false" ht="12.8" hidden="false" customHeight="false" outlineLevel="0" collapsed="false">
      <c r="B4860" s="0" t="s">
        <v>7</v>
      </c>
    </row>
    <row r="4861" customFormat="false" ht="12.8" hidden="false" customHeight="false" outlineLevel="0" collapsed="false">
      <c r="B4861" s="0" t="s">
        <v>2231</v>
      </c>
    </row>
    <row r="4862" customFormat="false" ht="12.8" hidden="false" customHeight="false" outlineLevel="0" collapsed="false">
      <c r="B4862" s="0" t="s">
        <v>35</v>
      </c>
    </row>
    <row r="4864" customFormat="false" ht="12.8" hidden="false" customHeight="false" outlineLevel="0" collapsed="false">
      <c r="A4864" s="0" t="s">
        <v>2234</v>
      </c>
      <c r="B4864" s="0" t="str">
        <f aca="false">HYPERLINK("https://lindat.mff.cuni.cz/services/teitok/pdtc10/index.php?action=vallex&amp;frame=v-w712f1", "dosadit (v-w712f1)")</f>
        <v>dosadit (v-w712f1)</v>
      </c>
    </row>
    <row r="4865" customFormat="false" ht="12.8" hidden="false" customHeight="false" outlineLevel="0" collapsed="false">
      <c r="B4865" s="0" t="s">
        <v>7</v>
      </c>
      <c r="C4865" s="0" t="s">
        <v>208</v>
      </c>
      <c r="D4865" s="0" t="s">
        <v>2235</v>
      </c>
      <c r="E4865" s="0" t="s">
        <v>2235</v>
      </c>
      <c r="F4865" s="0" t="s">
        <v>2235</v>
      </c>
    </row>
    <row r="4866" customFormat="false" ht="12.8" hidden="false" customHeight="false" outlineLevel="0" collapsed="false">
      <c r="B4866" s="0" t="s">
        <v>14</v>
      </c>
      <c r="C4866" s="0" t="s">
        <v>2236</v>
      </c>
      <c r="D4866" s="0" t="s">
        <v>2237</v>
      </c>
      <c r="E4866" s="0" t="s">
        <v>2237</v>
      </c>
      <c r="F4866" s="0" t="s">
        <v>2237</v>
      </c>
    </row>
    <row r="4867" customFormat="false" ht="12.8" hidden="false" customHeight="false" outlineLevel="0" collapsed="false">
      <c r="B4867" s="0" t="s">
        <v>124</v>
      </c>
      <c r="D4867" s="0" t="s">
        <v>2238</v>
      </c>
      <c r="E4867" s="0" t="s">
        <v>2238</v>
      </c>
      <c r="F4867" s="0" t="s">
        <v>2238</v>
      </c>
    </row>
    <row r="4869" customFormat="false" ht="12.8" hidden="false" customHeight="false" outlineLevel="0" collapsed="false">
      <c r="A4869" s="0" t="s">
        <v>2239</v>
      </c>
      <c r="B4869" s="0" t="str">
        <f aca="false">HYPERLINK("https://lindat.mff.cuni.cz/services/teitok/pdtc10/index.php?action=vallex&amp;frame=v-w716f4", "dosahovat (v-w716f4)")</f>
        <v>dosahovat (v-w716f4)</v>
      </c>
    </row>
    <row r="4870" customFormat="false" ht="12.8" hidden="false" customHeight="false" outlineLevel="0" collapsed="false">
      <c r="B4870" s="0" t="s">
        <v>7</v>
      </c>
      <c r="C4870" s="0" t="s">
        <v>2240</v>
      </c>
      <c r="D4870" s="0" t="s">
        <v>1725</v>
      </c>
      <c r="E4870" s="0" t="s">
        <v>1725</v>
      </c>
      <c r="F4870" s="0" t="s">
        <v>1725</v>
      </c>
    </row>
    <row r="4871" customFormat="false" ht="12.8" hidden="false" customHeight="false" outlineLevel="0" collapsed="false">
      <c r="B4871" s="0" t="s">
        <v>1667</v>
      </c>
      <c r="C4871" s="0" t="s">
        <v>2241</v>
      </c>
      <c r="D4871" s="0" t="s">
        <v>1728</v>
      </c>
      <c r="E4871" s="0" t="s">
        <v>1728</v>
      </c>
      <c r="F4871" s="0" t="s">
        <v>1728</v>
      </c>
    </row>
    <row r="4872" customFormat="false" ht="12.8" hidden="false" customHeight="false" outlineLevel="0" collapsed="false">
      <c r="B4872" s="0" t="s">
        <v>1668</v>
      </c>
      <c r="C4872" s="0" t="s">
        <v>2242</v>
      </c>
      <c r="D4872" s="0" t="s">
        <v>1730</v>
      </c>
      <c r="E4872" s="0" t="s">
        <v>1730</v>
      </c>
      <c r="F4872" s="0" t="s">
        <v>1730</v>
      </c>
    </row>
    <row r="4874" customFormat="false" ht="12.8" hidden="false" customHeight="false" outlineLevel="0" collapsed="false">
      <c r="A4874" s="0" t="s">
        <v>2243</v>
      </c>
      <c r="B4874" s="0" t="str">
        <f aca="false">HYPERLINK("https://lindat.mff.cuni.cz/services/teitok/pdtc10/index.php?action=vallex&amp;frame=v-w716f1", "dosahovat (v-w716f1)")</f>
        <v>dosahovat (v-w716f1)</v>
      </c>
    </row>
    <row r="4875" customFormat="false" ht="12.8" hidden="false" customHeight="false" outlineLevel="0" collapsed="false">
      <c r="B4875" s="0" t="s">
        <v>7</v>
      </c>
      <c r="C4875" s="0" t="s">
        <v>2244</v>
      </c>
      <c r="D4875" s="0" t="s">
        <v>2245</v>
      </c>
      <c r="E4875" s="0" t="s">
        <v>2245</v>
      </c>
      <c r="F4875" s="0" t="s">
        <v>2245</v>
      </c>
    </row>
    <row r="4876" customFormat="false" ht="12.8" hidden="false" customHeight="false" outlineLevel="0" collapsed="false">
      <c r="B4876" s="0" t="s">
        <v>1145</v>
      </c>
      <c r="C4876" s="0" t="s">
        <v>2246</v>
      </c>
      <c r="D4876" s="0" t="s">
        <v>2247</v>
      </c>
      <c r="E4876" s="0" t="s">
        <v>2247</v>
      </c>
      <c r="F4876" s="0" t="s">
        <v>2247</v>
      </c>
    </row>
    <row r="4878" customFormat="false" ht="12.8" hidden="false" customHeight="false" outlineLevel="0" collapsed="false">
      <c r="A4878" s="0" t="s">
        <v>2248</v>
      </c>
      <c r="B4878" s="0" t="str">
        <f aca="false">HYPERLINK("https://lindat.mff.cuni.cz/services/teitok/pdtc10/index.php?action=vallex&amp;frame=v-w716f2", "dosahovat (v-w716f2)")</f>
        <v>dosahovat (v-w716f2)</v>
      </c>
    </row>
    <row r="4879" customFormat="false" ht="12.8" hidden="false" customHeight="false" outlineLevel="0" collapsed="false">
      <c r="B4879" s="0" t="s">
        <v>7</v>
      </c>
    </row>
    <row r="4880" customFormat="false" ht="12.8" hidden="false" customHeight="false" outlineLevel="0" collapsed="false">
      <c r="B4880" s="0" t="s">
        <v>124</v>
      </c>
    </row>
    <row r="4882" customFormat="false" ht="12.8" hidden="false" customHeight="false" outlineLevel="0" collapsed="false">
      <c r="A4882" s="0" t="s">
        <v>2249</v>
      </c>
      <c r="B4882" s="0" t="str">
        <f aca="false">HYPERLINK("https://lindat.mff.cuni.cz/services/teitok/pdtc10/index.php?action=vallex&amp;frame=v-w716f3", "dosahovat (v-w716f3)")</f>
        <v>dosahovat (v-w716f3)</v>
      </c>
    </row>
    <row r="4883" customFormat="false" ht="12.8" hidden="false" customHeight="false" outlineLevel="0" collapsed="false">
      <c r="B4883" s="0" t="s">
        <v>7</v>
      </c>
      <c r="D4883" s="0" t="s">
        <v>1719</v>
      </c>
      <c r="E4883" s="0" t="s">
        <v>1719</v>
      </c>
      <c r="F4883" s="0" t="s">
        <v>1719</v>
      </c>
    </row>
    <row r="4884" customFormat="false" ht="12.8" hidden="false" customHeight="false" outlineLevel="0" collapsed="false">
      <c r="B4884" s="0" t="s">
        <v>1735</v>
      </c>
      <c r="D4884" s="0" t="s">
        <v>1736</v>
      </c>
      <c r="E4884" s="0" t="s">
        <v>1736</v>
      </c>
      <c r="F4884" s="0" t="s">
        <v>1736</v>
      </c>
    </row>
    <row r="4886" customFormat="false" ht="12.8" hidden="false" customHeight="false" outlineLevel="0" collapsed="false">
      <c r="A4886" s="0" t="s">
        <v>2250</v>
      </c>
      <c r="B4886" s="0" t="str">
        <f aca="false">HYPERLINK("https://lindat.mff.cuni.cz/services/teitok/pdtc10/index.php?action=vallex&amp;frame=v-w719f1", "dosazovat (v-w719f1)")</f>
        <v>dosazovat (v-w719f1)</v>
      </c>
    </row>
    <row r="4887" customFormat="false" ht="12.8" hidden="false" customHeight="false" outlineLevel="0" collapsed="false">
      <c r="B4887" s="0" t="s">
        <v>7</v>
      </c>
      <c r="D4887" s="0" t="s">
        <v>2235</v>
      </c>
      <c r="E4887" s="0" t="s">
        <v>2235</v>
      </c>
      <c r="F4887" s="0" t="s">
        <v>2235</v>
      </c>
    </row>
    <row r="4888" customFormat="false" ht="12.8" hidden="false" customHeight="false" outlineLevel="0" collapsed="false">
      <c r="B4888" s="0" t="s">
        <v>14</v>
      </c>
      <c r="D4888" s="0" t="s">
        <v>2237</v>
      </c>
      <c r="E4888" s="0" t="s">
        <v>2237</v>
      </c>
      <c r="F4888" s="0" t="s">
        <v>2237</v>
      </c>
    </row>
    <row r="4889" customFormat="false" ht="12.8" hidden="false" customHeight="false" outlineLevel="0" collapsed="false">
      <c r="B4889" s="0" t="s">
        <v>124</v>
      </c>
      <c r="D4889" s="0" t="s">
        <v>2238</v>
      </c>
      <c r="E4889" s="0" t="s">
        <v>2238</v>
      </c>
      <c r="F4889" s="0" t="s">
        <v>2238</v>
      </c>
    </row>
    <row r="4891" customFormat="false" ht="12.8" hidden="false" customHeight="false" outlineLevel="0" collapsed="false">
      <c r="A4891" s="0" t="s">
        <v>2251</v>
      </c>
      <c r="B4891" s="0" t="str">
        <f aca="false">HYPERLINK("https://lindat.mff.cuni.cz/services/teitok/pdtc10/index.php?action=vallex&amp;frame=v-whsa_911hsa_912", "dosekat (v-whsa_911hsa_912)")</f>
        <v>dosekat (v-whsa_911hsa_912)</v>
      </c>
    </row>
    <row r="4892" customFormat="false" ht="12.8" hidden="false" customHeight="false" outlineLevel="0" collapsed="false">
      <c r="B4892" s="0" t="s">
        <v>7</v>
      </c>
    </row>
    <row r="4893" customFormat="false" ht="12.8" hidden="false" customHeight="false" outlineLevel="0" collapsed="false">
      <c r="B4893" s="0" t="s">
        <v>14</v>
      </c>
    </row>
    <row r="4895" customFormat="false" ht="12.8" hidden="false" customHeight="false" outlineLevel="0" collapsed="false">
      <c r="A4895" s="0" t="s">
        <v>2252</v>
      </c>
      <c r="B4895" s="0" t="str">
        <f aca="false">HYPERLINK("https://lindat.mff.cuni.cz/services/teitok/pdtc10/index.php?action=vallex&amp;frame=v-w722f2", "doslechnout se (v-w722f2)")</f>
        <v>doslechnout se (v-w722f2)</v>
      </c>
    </row>
    <row r="4896" customFormat="false" ht="12.8" hidden="false" customHeight="false" outlineLevel="0" collapsed="false">
      <c r="B4896" s="0" t="s">
        <v>7</v>
      </c>
    </row>
    <row r="4897" customFormat="false" ht="12.8" hidden="false" customHeight="false" outlineLevel="0" collapsed="false">
      <c r="B4897" s="0" t="s">
        <v>2253</v>
      </c>
    </row>
    <row r="4898" customFormat="false" ht="12.8" hidden="false" customHeight="false" outlineLevel="0" collapsed="false">
      <c r="B4898" s="0" t="s">
        <v>2254</v>
      </c>
    </row>
    <row r="4900" customFormat="false" ht="12.8" hidden="false" customHeight="false" outlineLevel="0" collapsed="false">
      <c r="A4900" s="0" t="s">
        <v>2255</v>
      </c>
      <c r="B4900" s="0" t="str">
        <f aca="false">HYPERLINK("https://lindat.mff.cuni.cz/services/teitok/pdtc10/index.php?action=vallex&amp;frame=v-w722f1", "doslechnout se (v-w722f1)")</f>
        <v>doslechnout se (v-w722f1)</v>
      </c>
    </row>
    <row r="4901" customFormat="false" ht="12.8" hidden="false" customHeight="false" outlineLevel="0" collapsed="false">
      <c r="B4901" s="0" t="s">
        <v>7</v>
      </c>
      <c r="D4901" s="0" t="s">
        <v>2256</v>
      </c>
      <c r="E4901" s="0" t="s">
        <v>2256</v>
      </c>
      <c r="F4901" s="0" t="s">
        <v>2256</v>
      </c>
    </row>
    <row r="4902" customFormat="false" ht="12.8" hidden="false" customHeight="false" outlineLevel="0" collapsed="false">
      <c r="B4902" s="0" t="s">
        <v>2257</v>
      </c>
      <c r="D4902" s="0" t="s">
        <v>2258</v>
      </c>
      <c r="E4902" s="0" t="s">
        <v>2258</v>
      </c>
      <c r="F4902" s="0" t="s">
        <v>2258</v>
      </c>
    </row>
    <row r="4903" customFormat="false" ht="12.8" hidden="false" customHeight="false" outlineLevel="0" collapsed="false">
      <c r="B4903" s="0" t="s">
        <v>363</v>
      </c>
      <c r="D4903" s="0" t="s">
        <v>2259</v>
      </c>
      <c r="E4903" s="0" t="s">
        <v>2259</v>
      </c>
      <c r="F4903" s="0" t="s">
        <v>2259</v>
      </c>
    </row>
    <row r="4904" customFormat="false" ht="12.8" hidden="false" customHeight="false" outlineLevel="0" collapsed="false">
      <c r="B4904" s="0" t="s">
        <v>2254</v>
      </c>
      <c r="D4904" s="0" t="s">
        <v>2260</v>
      </c>
      <c r="E4904" s="0" t="s">
        <v>2260</v>
      </c>
      <c r="F4904" s="0" t="s">
        <v>2260</v>
      </c>
    </row>
    <row r="4906" customFormat="false" ht="12.8" hidden="false" customHeight="false" outlineLevel="0" collapsed="false">
      <c r="A4906" s="0" t="s">
        <v>2261</v>
      </c>
      <c r="B4906" s="0" t="str">
        <f aca="false">HYPERLINK("https://lindat.mff.cuni.cz/services/teitok/pdtc10/index.php?action=vallex&amp;frame=v-w723f1", "dosloužit (v-w723f1)")</f>
        <v>dosloužit (v-w723f1)</v>
      </c>
    </row>
    <row r="4907" customFormat="false" ht="12.8" hidden="false" customHeight="false" outlineLevel="0" collapsed="false">
      <c r="B4907" s="0" t="s">
        <v>7</v>
      </c>
      <c r="C4907" s="0" t="s">
        <v>200</v>
      </c>
      <c r="D4907" s="0" t="s">
        <v>2262</v>
      </c>
      <c r="E4907" s="0" t="s">
        <v>2262</v>
      </c>
      <c r="F4907" s="0" t="s">
        <v>2262</v>
      </c>
    </row>
    <row r="4909" customFormat="false" ht="12.8" hidden="false" customHeight="false" outlineLevel="0" collapsed="false">
      <c r="A4909" s="0" t="s">
        <v>2263</v>
      </c>
      <c r="B4909" s="0" t="str">
        <f aca="false">HYPERLINK("https://lindat.mff.cuni.cz/services/teitok/pdtc10/index.php?action=vallex&amp;frame=v-w723f2_ZU", "dosloužit (v-w723f2_ZU)")</f>
        <v>dosloužit (v-w723f2_ZU)</v>
      </c>
    </row>
    <row r="4910" customFormat="false" ht="12.8" hidden="false" customHeight="false" outlineLevel="0" collapsed="false">
      <c r="B4910" s="0" t="s">
        <v>7</v>
      </c>
    </row>
    <row r="4911" customFormat="false" ht="12.8" hidden="false" customHeight="false" outlineLevel="0" collapsed="false">
      <c r="B4911" s="0" t="s">
        <v>14</v>
      </c>
    </row>
    <row r="4913" customFormat="false" ht="12.8" hidden="false" customHeight="false" outlineLevel="0" collapsed="false">
      <c r="A4913" s="0" t="s">
        <v>2264</v>
      </c>
      <c r="B4913" s="0" t="str">
        <f aca="false">HYPERLINK("https://lindat.mff.cuni.cz/services/teitok/pdtc10/index.php?action=vallex&amp;frame=v-w725f1", "dosluhovat (v-w725f1)")</f>
        <v>dosluhovat (v-w725f1)</v>
      </c>
    </row>
    <row r="4914" customFormat="false" ht="12.8" hidden="false" customHeight="false" outlineLevel="0" collapsed="false">
      <c r="B4914" s="0" t="s">
        <v>7</v>
      </c>
    </row>
    <row r="4916" customFormat="false" ht="12.8" hidden="false" customHeight="false" outlineLevel="0" collapsed="false">
      <c r="A4916" s="0" t="s">
        <v>2265</v>
      </c>
      <c r="B4916" s="0" t="str">
        <f aca="false">HYPERLINK("https://lindat.mff.cuni.cz/services/teitok/pdtc10/index.php?action=vallex&amp;frame=v-w11474f1", "doslýchat se (v-w11474f1)")</f>
        <v>doslýchat se (v-w11474f1)</v>
      </c>
    </row>
    <row r="4917" customFormat="false" ht="12.8" hidden="false" customHeight="false" outlineLevel="0" collapsed="false">
      <c r="B4917" s="0" t="s">
        <v>7</v>
      </c>
      <c r="C4917" s="0" t="s">
        <v>22</v>
      </c>
      <c r="D4917" s="0" t="s">
        <v>2266</v>
      </c>
      <c r="E4917" s="0" t="s">
        <v>2266</v>
      </c>
      <c r="F4917" s="0" t="s">
        <v>2266</v>
      </c>
    </row>
    <row r="4918" customFormat="false" ht="12.8" hidden="false" customHeight="false" outlineLevel="0" collapsed="false">
      <c r="B4918" s="0" t="s">
        <v>2267</v>
      </c>
      <c r="C4918" s="0" t="s">
        <v>2268</v>
      </c>
      <c r="D4918" s="0" t="s">
        <v>2269</v>
      </c>
      <c r="E4918" s="0" t="s">
        <v>2269</v>
      </c>
      <c r="F4918" s="0" t="s">
        <v>2269</v>
      </c>
    </row>
    <row r="4919" customFormat="false" ht="12.8" hidden="false" customHeight="false" outlineLevel="0" collapsed="false">
      <c r="B4919" s="0" t="s">
        <v>363</v>
      </c>
      <c r="D4919" s="0" t="s">
        <v>2270</v>
      </c>
      <c r="E4919" s="0" t="s">
        <v>2270</v>
      </c>
      <c r="F4919" s="0" t="s">
        <v>2270</v>
      </c>
    </row>
    <row r="4920" customFormat="false" ht="12.8" hidden="false" customHeight="false" outlineLevel="0" collapsed="false">
      <c r="B4920" s="0" t="s">
        <v>2271</v>
      </c>
      <c r="C4920" s="0" t="s">
        <v>2272</v>
      </c>
      <c r="D4920" s="0" t="s">
        <v>2273</v>
      </c>
      <c r="E4920" s="0" t="s">
        <v>2273</v>
      </c>
      <c r="F4920" s="0" t="s">
        <v>2273</v>
      </c>
    </row>
    <row r="4922" customFormat="false" ht="12.8" hidden="false" customHeight="false" outlineLevel="0" collapsed="false">
      <c r="A4922" s="0" t="s">
        <v>2274</v>
      </c>
      <c r="B4922" s="0" t="str">
        <f aca="false">HYPERLINK("https://lindat.mff.cuni.cz/services/teitok/pdtc10/index.php?action=vallex&amp;frame=v-w729f4", "dospívat (v-w729f4)")</f>
        <v>dospívat (v-w729f4)</v>
      </c>
    </row>
    <row r="4923" customFormat="false" ht="12.8" hidden="false" customHeight="false" outlineLevel="0" collapsed="false">
      <c r="B4923" s="0" t="s">
        <v>7</v>
      </c>
    </row>
    <row r="4924" customFormat="false" ht="12.8" hidden="false" customHeight="false" outlineLevel="0" collapsed="false">
      <c r="B4924" s="0" t="s">
        <v>2275</v>
      </c>
    </row>
    <row r="4925" customFormat="false" ht="12.8" hidden="false" customHeight="false" outlineLevel="0" collapsed="false">
      <c r="B4925" s="0" t="s">
        <v>35</v>
      </c>
    </row>
    <row r="4927" customFormat="false" ht="12.8" hidden="false" customHeight="false" outlineLevel="0" collapsed="false">
      <c r="A4927" s="0" t="s">
        <v>2276</v>
      </c>
      <c r="B4927" s="0" t="str">
        <f aca="false">HYPERLINK("https://lindat.mff.cuni.cz/services/teitok/pdtc10/index.php?action=vallex&amp;frame=v-w729f1", "dospívat (v-w729f1)")</f>
        <v>dospívat (v-w729f1)</v>
      </c>
    </row>
    <row r="4928" customFormat="false" ht="12.8" hidden="false" customHeight="false" outlineLevel="0" collapsed="false">
      <c r="B4928" s="0" t="s">
        <v>7</v>
      </c>
      <c r="C4928" s="0" t="s">
        <v>2277</v>
      </c>
      <c r="D4928" s="0" t="s">
        <v>1700</v>
      </c>
      <c r="E4928" s="0" t="s">
        <v>1700</v>
      </c>
      <c r="F4928" s="0" t="s">
        <v>1700</v>
      </c>
    </row>
    <row r="4929" customFormat="false" ht="12.8" hidden="false" customHeight="false" outlineLevel="0" collapsed="false">
      <c r="B4929" s="0" t="s">
        <v>1670</v>
      </c>
      <c r="C4929" s="0" t="s">
        <v>2278</v>
      </c>
      <c r="D4929" s="0" t="s">
        <v>1164</v>
      </c>
      <c r="E4929" s="0" t="s">
        <v>1164</v>
      </c>
      <c r="F4929" s="0" t="s">
        <v>1164</v>
      </c>
    </row>
    <row r="4931" customFormat="false" ht="12.8" hidden="false" customHeight="false" outlineLevel="0" collapsed="false">
      <c r="A4931" s="0" t="s">
        <v>2279</v>
      </c>
      <c r="B4931" s="0" t="str">
        <f aca="false">HYPERLINK("https://lindat.mff.cuni.cz/services/teitok/pdtc10/index.php?action=vallex&amp;frame=v-w729f2", "dospívat (v-w729f2)")</f>
        <v>dospívat (v-w729f2)</v>
      </c>
    </row>
    <row r="4932" customFormat="false" ht="12.8" hidden="false" customHeight="false" outlineLevel="0" collapsed="false">
      <c r="B4932" s="0" t="s">
        <v>7</v>
      </c>
      <c r="D4932" s="0" t="s">
        <v>1705</v>
      </c>
      <c r="E4932" s="0" t="s">
        <v>1706</v>
      </c>
      <c r="F4932" s="0" t="s">
        <v>1706</v>
      </c>
    </row>
    <row r="4933" customFormat="false" ht="12.8" hidden="false" customHeight="false" outlineLevel="0" collapsed="false">
      <c r="B4933" s="0" t="s">
        <v>124</v>
      </c>
      <c r="D4933" s="0" t="s">
        <v>1707</v>
      </c>
      <c r="E4933" s="0" t="s">
        <v>1707</v>
      </c>
      <c r="F4933" s="0" t="s">
        <v>1707</v>
      </c>
    </row>
    <row r="4935" customFormat="false" ht="12.8" hidden="false" customHeight="false" outlineLevel="0" collapsed="false">
      <c r="A4935" s="0" t="s">
        <v>2280</v>
      </c>
      <c r="B4935" s="0" t="str">
        <f aca="false">HYPERLINK("https://lindat.mff.cuni.cz/services/teitok/pdtc10/index.php?action=vallex&amp;frame=v-w729f3", "dospívat (v-w729f3)")</f>
        <v>dospívat (v-w729f3)</v>
      </c>
    </row>
    <row r="4936" customFormat="false" ht="12.8" hidden="false" customHeight="false" outlineLevel="0" collapsed="false">
      <c r="B4936" s="0" t="s">
        <v>7</v>
      </c>
      <c r="C4936" s="0" t="s">
        <v>2281</v>
      </c>
      <c r="D4936" s="0" t="s">
        <v>2282</v>
      </c>
      <c r="E4936" s="0" t="s">
        <v>2282</v>
      </c>
      <c r="F4936" s="0" t="s">
        <v>2282</v>
      </c>
    </row>
    <row r="4938" customFormat="false" ht="12.8" hidden="false" customHeight="false" outlineLevel="0" collapsed="false">
      <c r="A4938" s="0" t="s">
        <v>2283</v>
      </c>
      <c r="B4938" s="0" t="str">
        <f aca="false">HYPERLINK("https://lindat.mff.cuni.cz/services/teitok/pdtc10/index.php?action=vallex&amp;frame=v-w727f3", "dospět (v-w727f3)")</f>
        <v>dospět (v-w727f3)</v>
      </c>
    </row>
    <row r="4939" customFormat="false" ht="12.8" hidden="false" customHeight="false" outlineLevel="0" collapsed="false">
      <c r="B4939" s="0" t="s">
        <v>7</v>
      </c>
    </row>
    <row r="4940" customFormat="false" ht="12.8" hidden="false" customHeight="false" outlineLevel="0" collapsed="false">
      <c r="B4940" s="0" t="s">
        <v>2275</v>
      </c>
    </row>
    <row r="4941" customFormat="false" ht="12.8" hidden="false" customHeight="false" outlineLevel="0" collapsed="false">
      <c r="B4941" s="0" t="s">
        <v>35</v>
      </c>
    </row>
    <row r="4943" customFormat="false" ht="12.8" hidden="false" customHeight="false" outlineLevel="0" collapsed="false">
      <c r="A4943" s="0" t="s">
        <v>2284</v>
      </c>
      <c r="B4943" s="0" t="str">
        <f aca="false">HYPERLINK("https://lindat.mff.cuni.cz/services/teitok/pdtc10/index.php?action=vallex&amp;frame=v-w727f1", "dospět (v-w727f1)")</f>
        <v>dospět (v-w727f1)</v>
      </c>
    </row>
    <row r="4944" customFormat="false" ht="12.8" hidden="false" customHeight="false" outlineLevel="0" collapsed="false">
      <c r="B4944" s="0" t="s">
        <v>7</v>
      </c>
      <c r="C4944" s="0" t="s">
        <v>2285</v>
      </c>
      <c r="D4944" s="0" t="s">
        <v>2286</v>
      </c>
      <c r="E4944" s="0" t="s">
        <v>2286</v>
      </c>
      <c r="F4944" s="0" t="s">
        <v>2286</v>
      </c>
    </row>
    <row r="4945" customFormat="false" ht="12.8" hidden="false" customHeight="false" outlineLevel="0" collapsed="false">
      <c r="B4945" s="0" t="s">
        <v>1670</v>
      </c>
      <c r="C4945" s="0" t="s">
        <v>2287</v>
      </c>
      <c r="D4945" s="0" t="s">
        <v>2288</v>
      </c>
      <c r="E4945" s="0" t="s">
        <v>2288</v>
      </c>
      <c r="F4945" s="0" t="s">
        <v>2288</v>
      </c>
    </row>
    <row r="4947" customFormat="false" ht="12.8" hidden="false" customHeight="false" outlineLevel="0" collapsed="false">
      <c r="A4947" s="0" t="s">
        <v>2289</v>
      </c>
      <c r="B4947" s="0" t="str">
        <f aca="false">HYPERLINK("https://lindat.mff.cuni.cz/services/teitok/pdtc10/index.php?action=vallex&amp;frame=v-w727f6_ZU", "dospět (v-w727f6_ZU)")</f>
        <v>dospět (v-w727f6_ZU)</v>
      </c>
    </row>
    <row r="4948" customFormat="false" ht="12.8" hidden="false" customHeight="false" outlineLevel="0" collapsed="false">
      <c r="B4948" s="0" t="s">
        <v>7</v>
      </c>
    </row>
    <row r="4949" customFormat="false" ht="12.8" hidden="false" customHeight="false" outlineLevel="0" collapsed="false">
      <c r="B4949" s="0" t="s">
        <v>279</v>
      </c>
    </row>
    <row r="4951" customFormat="false" ht="12.8" hidden="false" customHeight="false" outlineLevel="0" collapsed="false">
      <c r="A4951" s="0" t="s">
        <v>2289</v>
      </c>
      <c r="B4951" s="0" t="str">
        <f aca="false">HYPERLINK("https://lindat.mff.cuni.cz/services/teitok/pdtc10/index.php?action=vallex&amp;frame=v-w727f5", "dospět (v-w727f5) - substituted with v-w727f6_ZU")</f>
        <v>dospět (v-w727f5) - substituted with v-w727f6_ZU</v>
      </c>
    </row>
    <row r="4952" customFormat="false" ht="12.8" hidden="false" customHeight="false" outlineLevel="0" collapsed="false">
      <c r="B4952" s="0" t="s">
        <v>7</v>
      </c>
      <c r="C4952" s="0" t="s">
        <v>2290</v>
      </c>
    </row>
    <row r="4953" customFormat="false" ht="12.8" hidden="false" customHeight="false" outlineLevel="0" collapsed="false">
      <c r="B4953" s="0" t="s">
        <v>279</v>
      </c>
      <c r="C4953" s="0" t="s">
        <v>2291</v>
      </c>
    </row>
    <row r="4955" customFormat="false" ht="12.8" hidden="false" customHeight="false" outlineLevel="0" collapsed="false">
      <c r="A4955" s="0" t="s">
        <v>2292</v>
      </c>
      <c r="B4955" s="0" t="str">
        <f aca="false">HYPERLINK("https://lindat.mff.cuni.cz/services/teitok/pdtc10/index.php?action=vallex&amp;frame=v-w727f2", "dospět (v-w727f2)")</f>
        <v>dospět (v-w727f2)</v>
      </c>
    </row>
    <row r="4956" customFormat="false" ht="12.8" hidden="false" customHeight="false" outlineLevel="0" collapsed="false">
      <c r="B4956" s="0" t="s">
        <v>7</v>
      </c>
      <c r="C4956" s="0" t="s">
        <v>2293</v>
      </c>
      <c r="D4956" s="0" t="s">
        <v>1705</v>
      </c>
      <c r="E4956" s="0" t="s">
        <v>1706</v>
      </c>
      <c r="F4956" s="0" t="s">
        <v>1706</v>
      </c>
    </row>
    <row r="4957" customFormat="false" ht="12.8" hidden="false" customHeight="false" outlineLevel="0" collapsed="false">
      <c r="B4957" s="0" t="s">
        <v>124</v>
      </c>
      <c r="D4957" s="0" t="s">
        <v>1707</v>
      </c>
      <c r="E4957" s="0" t="s">
        <v>1707</v>
      </c>
      <c r="F4957" s="0" t="s">
        <v>1707</v>
      </c>
    </row>
    <row r="4959" customFormat="false" ht="12.8" hidden="false" customHeight="false" outlineLevel="0" collapsed="false">
      <c r="A4959" s="0" t="s">
        <v>2294</v>
      </c>
      <c r="B4959" s="0" t="str">
        <f aca="false">HYPERLINK("https://lindat.mff.cuni.cz/services/teitok/pdtc10/index.php?action=vallex&amp;frame=v-w727f4", "dospět (v-w727f4)")</f>
        <v>dospět (v-w727f4)</v>
      </c>
    </row>
    <row r="4960" customFormat="false" ht="12.8" hidden="false" customHeight="false" outlineLevel="0" collapsed="false">
      <c r="B4960" s="0" t="s">
        <v>7</v>
      </c>
      <c r="C4960" s="0" t="s">
        <v>2295</v>
      </c>
      <c r="D4960" s="0" t="s">
        <v>176</v>
      </c>
      <c r="E4960" s="0" t="s">
        <v>176</v>
      </c>
      <c r="F4960" s="0" t="s">
        <v>176</v>
      </c>
    </row>
    <row r="4962" customFormat="false" ht="12.8" hidden="false" customHeight="false" outlineLevel="0" collapsed="false">
      <c r="A4962" s="0" t="s">
        <v>2296</v>
      </c>
      <c r="B4962" s="0" t="str">
        <f aca="false">HYPERLINK("https://lindat.mff.cuni.cz/services/teitok/pdtc10/index.php?action=vallex&amp;frame=v-w732f41_ZU", "dostat (v-w732f41_ZU)")</f>
        <v>dostat (v-w732f41_ZU)</v>
      </c>
    </row>
    <row r="4963" customFormat="false" ht="12.8" hidden="false" customHeight="false" outlineLevel="0" collapsed="false">
      <c r="B4963" s="0" t="s">
        <v>7</v>
      </c>
    </row>
    <row r="4964" customFormat="false" ht="12.8" hidden="false" customHeight="false" outlineLevel="0" collapsed="false">
      <c r="B4964" s="0" t="s">
        <v>2297</v>
      </c>
    </row>
    <row r="4965" customFormat="false" ht="12.8" hidden="false" customHeight="false" outlineLevel="0" collapsed="false">
      <c r="B4965" s="0" t="s">
        <v>1349</v>
      </c>
    </row>
    <row r="4967" customFormat="false" ht="12.8" hidden="false" customHeight="false" outlineLevel="0" collapsed="false">
      <c r="A4967" s="0" t="s">
        <v>2296</v>
      </c>
      <c r="B4967" s="0" t="str">
        <f aca="false">HYPERLINK("https://lindat.mff.cuni.cz/services/teitok/pdtc10/index.php?action=vallex&amp;frame=v-w732f1", "dostat (v-w732f1) - substituted with v-w732f41_ZU")</f>
        <v>dostat (v-w732f1) - substituted with v-w732f41_ZU</v>
      </c>
    </row>
    <row r="4968" customFormat="false" ht="12.8" hidden="false" customHeight="false" outlineLevel="0" collapsed="false">
      <c r="B4968" s="0" t="s">
        <v>7</v>
      </c>
      <c r="C4968" s="0" t="s">
        <v>2298</v>
      </c>
      <c r="D4968" s="0" t="s">
        <v>2299</v>
      </c>
      <c r="E4968" s="0" t="s">
        <v>2299</v>
      </c>
      <c r="F4968" s="0" t="s">
        <v>2299</v>
      </c>
    </row>
    <row r="4969" customFormat="false" ht="12.8" hidden="false" customHeight="false" outlineLevel="0" collapsed="false">
      <c r="B4969" s="0" t="s">
        <v>2297</v>
      </c>
      <c r="C4969" s="0" t="s">
        <v>2300</v>
      </c>
      <c r="D4969" s="0" t="s">
        <v>2301</v>
      </c>
      <c r="E4969" s="0" t="s">
        <v>2301</v>
      </c>
      <c r="F4969" s="0" t="s">
        <v>2301</v>
      </c>
    </row>
    <row r="4970" customFormat="false" ht="12.8" hidden="false" customHeight="false" outlineLevel="0" collapsed="false">
      <c r="B4970" s="0" t="s">
        <v>1349</v>
      </c>
      <c r="C4970" s="0" t="s">
        <v>2302</v>
      </c>
      <c r="D4970" s="0" t="s">
        <v>2303</v>
      </c>
      <c r="E4970" s="0" t="s">
        <v>2303</v>
      </c>
      <c r="F4970" s="0" t="s">
        <v>2303</v>
      </c>
    </row>
    <row r="4972" customFormat="false" ht="12.8" hidden="false" customHeight="false" outlineLevel="0" collapsed="false">
      <c r="A4972" s="0" t="s">
        <v>2296</v>
      </c>
      <c r="B4972" s="0" t="str">
        <f aca="false">HYPERLINK("https://lindat.mff.cuni.cz/services/teitok/pdtc10/index.php?action=vallex&amp;frame=v-w732f38_ZU", "dostat (v-w732f38_ZU) - substituted with v-w732f41_ZU")</f>
        <v>dostat (v-w732f38_ZU) - substituted with v-w732f41_ZU</v>
      </c>
    </row>
    <row r="4973" customFormat="false" ht="12.8" hidden="false" customHeight="false" outlineLevel="0" collapsed="false">
      <c r="B4973" s="0" t="s">
        <v>7</v>
      </c>
    </row>
    <row r="4974" customFormat="false" ht="12.8" hidden="false" customHeight="false" outlineLevel="0" collapsed="false">
      <c r="B4974" s="0" t="s">
        <v>2297</v>
      </c>
    </row>
    <row r="4975" customFormat="false" ht="12.8" hidden="false" customHeight="false" outlineLevel="0" collapsed="false">
      <c r="B4975" s="0" t="s">
        <v>1349</v>
      </c>
    </row>
    <row r="4977" customFormat="false" ht="12.8" hidden="false" customHeight="false" outlineLevel="0" collapsed="false">
      <c r="A4977" s="0" t="s">
        <v>2304</v>
      </c>
      <c r="B4977" s="0" t="str">
        <f aca="false">HYPERLINK("https://lindat.mff.cuni.cz/services/teitok/pdtc10/index.php?action=vallex&amp;frame=v-w732f5", "dostat (v-w732f5)")</f>
        <v>dostat (v-w732f5)</v>
      </c>
    </row>
    <row r="4978" customFormat="false" ht="12.8" hidden="false" customHeight="false" outlineLevel="0" collapsed="false">
      <c r="B4978" s="0" t="s">
        <v>7</v>
      </c>
      <c r="C4978" s="0" t="s">
        <v>2305</v>
      </c>
      <c r="D4978" s="0" t="s">
        <v>1378</v>
      </c>
      <c r="E4978" s="0" t="s">
        <v>1378</v>
      </c>
      <c r="F4978" s="0" t="s">
        <v>1378</v>
      </c>
    </row>
    <row r="4979" customFormat="false" ht="12.8" hidden="false" customHeight="false" outlineLevel="0" collapsed="false">
      <c r="B4979" s="0" t="s">
        <v>14</v>
      </c>
      <c r="C4979" s="0" t="s">
        <v>2306</v>
      </c>
      <c r="D4979" s="0" t="s">
        <v>18</v>
      </c>
      <c r="E4979" s="0" t="s">
        <v>18</v>
      </c>
      <c r="F4979" s="0" t="s">
        <v>18</v>
      </c>
    </row>
    <row r="4980" customFormat="false" ht="12.8" hidden="false" customHeight="false" outlineLevel="0" collapsed="false">
      <c r="B4980" s="0" t="s">
        <v>1349</v>
      </c>
    </row>
    <row r="4982" customFormat="false" ht="12.8" hidden="false" customHeight="false" outlineLevel="0" collapsed="false">
      <c r="A4982" s="0" t="s">
        <v>2307</v>
      </c>
      <c r="B4982" s="0" t="str">
        <f aca="false">HYPERLINK("https://lindat.mff.cuni.cz/services/teitok/pdtc10/index.php?action=vallex&amp;frame=v-w732f13", "dostat (v-w732f13)")</f>
        <v>dostat (v-w732f13)</v>
      </c>
    </row>
    <row r="4983" customFormat="false" ht="12.8" hidden="false" customHeight="false" outlineLevel="0" collapsed="false">
      <c r="B4983" s="0" t="s">
        <v>7</v>
      </c>
      <c r="C4983" s="0" t="s">
        <v>2308</v>
      </c>
      <c r="D4983" s="0" t="s">
        <v>1725</v>
      </c>
      <c r="E4983" s="0" t="s">
        <v>1725</v>
      </c>
      <c r="F4983" s="0" t="s">
        <v>1725</v>
      </c>
    </row>
    <row r="4984" customFormat="false" ht="12.8" hidden="false" customHeight="false" outlineLevel="0" collapsed="false">
      <c r="B4984" s="0" t="s">
        <v>14</v>
      </c>
      <c r="C4984" s="0" t="s">
        <v>2309</v>
      </c>
      <c r="D4984" s="0" t="s">
        <v>1728</v>
      </c>
      <c r="E4984" s="0" t="s">
        <v>1728</v>
      </c>
      <c r="F4984" s="0" t="s">
        <v>1728</v>
      </c>
    </row>
    <row r="4985" customFormat="false" ht="12.8" hidden="false" customHeight="false" outlineLevel="0" collapsed="false">
      <c r="B4985" s="0" t="s">
        <v>441</v>
      </c>
      <c r="C4985" s="0" t="s">
        <v>2310</v>
      </c>
      <c r="D4985" s="0" t="s">
        <v>1730</v>
      </c>
      <c r="E4985" s="0" t="s">
        <v>1730</v>
      </c>
      <c r="F4985" s="0" t="s">
        <v>1730</v>
      </c>
    </row>
    <row r="4987" customFormat="false" ht="12.8" hidden="false" customHeight="false" outlineLevel="0" collapsed="false">
      <c r="A4987" s="0" t="s">
        <v>2311</v>
      </c>
      <c r="B4987" s="0" t="str">
        <f aca="false">HYPERLINK("https://lindat.mff.cuni.cz/services/teitok/pdtc10/index.php?action=vallex&amp;frame=v-w732f28_ZU", "dostat (v-w732f28_ZU)")</f>
        <v>dostat (v-w732f28_ZU)</v>
      </c>
    </row>
    <row r="4988" customFormat="false" ht="12.8" hidden="false" customHeight="false" outlineLevel="0" collapsed="false">
      <c r="B4988" s="0" t="s">
        <v>7</v>
      </c>
      <c r="C4988" s="0" t="s">
        <v>2240</v>
      </c>
      <c r="D4988" s="0" t="s">
        <v>1725</v>
      </c>
      <c r="E4988" s="0" t="s">
        <v>1725</v>
      </c>
      <c r="F4988" s="0" t="s">
        <v>1725</v>
      </c>
    </row>
    <row r="4989" customFormat="false" ht="12.8" hidden="false" customHeight="false" outlineLevel="0" collapsed="false">
      <c r="B4989" s="0" t="s">
        <v>491</v>
      </c>
      <c r="C4989" s="0" t="s">
        <v>2241</v>
      </c>
      <c r="D4989" s="0" t="s">
        <v>1728</v>
      </c>
      <c r="E4989" s="0" t="s">
        <v>1728</v>
      </c>
      <c r="F4989" s="0" t="s">
        <v>1728</v>
      </c>
    </row>
    <row r="4990" customFormat="false" ht="12.8" hidden="false" customHeight="false" outlineLevel="0" collapsed="false">
      <c r="B4990" s="0" t="s">
        <v>441</v>
      </c>
      <c r="C4990" s="0" t="s">
        <v>2242</v>
      </c>
      <c r="D4990" s="0" t="s">
        <v>1730</v>
      </c>
      <c r="E4990" s="0" t="s">
        <v>1730</v>
      </c>
      <c r="F4990" s="0" t="s">
        <v>1730</v>
      </c>
    </row>
    <row r="4992" customFormat="false" ht="12.8" hidden="false" customHeight="false" outlineLevel="0" collapsed="false">
      <c r="A4992" s="0" t="s">
        <v>2312</v>
      </c>
      <c r="B4992" s="0" t="str">
        <f aca="false">HYPERLINK("https://lindat.mff.cuni.cz/services/teitok/pdtc10/index.php?action=vallex&amp;frame=v-w732f6", "dostat (v-w732f6)")</f>
        <v>dostat (v-w732f6)</v>
      </c>
    </row>
    <row r="4993" customFormat="false" ht="12.8" hidden="false" customHeight="false" outlineLevel="0" collapsed="false">
      <c r="B4993" s="0" t="s">
        <v>7</v>
      </c>
      <c r="C4993" s="0" t="s">
        <v>272</v>
      </c>
    </row>
    <row r="4994" customFormat="false" ht="12.8" hidden="false" customHeight="false" outlineLevel="0" collapsed="false">
      <c r="B4994" s="0" t="s">
        <v>2313</v>
      </c>
    </row>
    <row r="4995" customFormat="false" ht="12.8" hidden="false" customHeight="false" outlineLevel="0" collapsed="false">
      <c r="B4995" s="0" t="s">
        <v>2314</v>
      </c>
    </row>
    <row r="4996" customFormat="false" ht="12.8" hidden="false" customHeight="false" outlineLevel="0" collapsed="false">
      <c r="B4996" s="0" t="s">
        <v>441</v>
      </c>
    </row>
    <row r="4998" customFormat="false" ht="12.8" hidden="false" customHeight="false" outlineLevel="0" collapsed="false">
      <c r="A4998" s="0" t="s">
        <v>2315</v>
      </c>
      <c r="B4998" s="0" t="str">
        <f aca="false">HYPERLINK("https://lindat.mff.cuni.cz/services/teitok/pdtc10/index.php?action=vallex&amp;frame=v-w732f21", "dostat (v-w732f21)")</f>
        <v>dostat (v-w732f21)</v>
      </c>
    </row>
    <row r="4999" customFormat="false" ht="12.8" hidden="false" customHeight="false" outlineLevel="0" collapsed="false">
      <c r="B4999" s="0" t="s">
        <v>7</v>
      </c>
    </row>
    <row r="5000" customFormat="false" ht="12.8" hidden="false" customHeight="false" outlineLevel="0" collapsed="false">
      <c r="B5000" s="0" t="s">
        <v>14</v>
      </c>
    </row>
    <row r="5001" customFormat="false" ht="12.8" hidden="false" customHeight="false" outlineLevel="0" collapsed="false">
      <c r="B5001" s="0" t="s">
        <v>2316</v>
      </c>
    </row>
    <row r="5003" customFormat="false" ht="12.8" hidden="false" customHeight="false" outlineLevel="0" collapsed="false">
      <c r="A5003" s="0" t="s">
        <v>2317</v>
      </c>
      <c r="B5003" s="0" t="str">
        <f aca="false">HYPERLINK("https://lindat.mff.cuni.cz/services/teitok/pdtc10/index.php?action=vallex&amp;frame=v-w732f9", "dostat (v-w732f9)")</f>
        <v>dostat (v-w732f9)</v>
      </c>
    </row>
    <row r="5004" customFormat="false" ht="12.8" hidden="false" customHeight="false" outlineLevel="0" collapsed="false">
      <c r="B5004" s="0" t="s">
        <v>7</v>
      </c>
      <c r="C5004" s="0" t="s">
        <v>2318</v>
      </c>
    </row>
    <row r="5005" customFormat="false" ht="12.8" hidden="false" customHeight="false" outlineLevel="0" collapsed="false">
      <c r="B5005" s="0" t="s">
        <v>14</v>
      </c>
      <c r="C5005" s="0" t="s">
        <v>2319</v>
      </c>
      <c r="D5005" s="0" t="s">
        <v>1544</v>
      </c>
      <c r="E5005" s="0" t="s">
        <v>1544</v>
      </c>
      <c r="F5005" s="0" t="s">
        <v>1544</v>
      </c>
    </row>
    <row r="5006" customFormat="false" ht="12.8" hidden="false" customHeight="false" outlineLevel="0" collapsed="false">
      <c r="B5006" s="0" t="s">
        <v>459</v>
      </c>
    </row>
    <row r="5008" customFormat="false" ht="12.8" hidden="false" customHeight="false" outlineLevel="0" collapsed="false">
      <c r="A5008" s="0" t="s">
        <v>2320</v>
      </c>
      <c r="B5008" s="0" t="str">
        <f aca="false">HYPERLINK("https://lindat.mff.cuni.cz/services/teitok/pdtc10/index.php?action=vallex&amp;frame=v-w732f23", "dostat (v-w732f23)")</f>
        <v>dostat (v-w732f23)</v>
      </c>
    </row>
    <row r="5009" customFormat="false" ht="12.8" hidden="false" customHeight="false" outlineLevel="0" collapsed="false">
      <c r="B5009" s="0" t="s">
        <v>7</v>
      </c>
    </row>
    <row r="5010" customFormat="false" ht="12.8" hidden="false" customHeight="false" outlineLevel="0" collapsed="false">
      <c r="B5010" s="0" t="s">
        <v>14</v>
      </c>
    </row>
    <row r="5011" customFormat="false" ht="12.8" hidden="false" customHeight="false" outlineLevel="0" collapsed="false">
      <c r="B5011" s="0" t="s">
        <v>459</v>
      </c>
    </row>
    <row r="5013" customFormat="false" ht="12.8" hidden="false" customHeight="false" outlineLevel="0" collapsed="false">
      <c r="A5013" s="0" t="s">
        <v>2321</v>
      </c>
      <c r="B5013" s="0" t="str">
        <f aca="false">HYPERLINK("https://lindat.mff.cuni.cz/services/teitok/pdtc10/index.php?action=vallex&amp;frame=v-w732f11", "dostat (v-w732f11)")</f>
        <v>dostat (v-w732f11)</v>
      </c>
    </row>
    <row r="5014" customFormat="false" ht="12.8" hidden="false" customHeight="false" outlineLevel="0" collapsed="false">
      <c r="B5014" s="0" t="s">
        <v>7</v>
      </c>
      <c r="C5014" s="0" t="s">
        <v>2322</v>
      </c>
      <c r="D5014" s="0" t="s">
        <v>2323</v>
      </c>
      <c r="E5014" s="0" t="s">
        <v>2323</v>
      </c>
      <c r="F5014" s="0" t="s">
        <v>2323</v>
      </c>
    </row>
    <row r="5015" customFormat="false" ht="12.8" hidden="false" customHeight="false" outlineLevel="0" collapsed="false">
      <c r="B5015" s="0" t="s">
        <v>14</v>
      </c>
      <c r="C5015" s="0" t="s">
        <v>1206</v>
      </c>
      <c r="D5015" s="0" t="s">
        <v>1918</v>
      </c>
      <c r="E5015" s="0" t="s">
        <v>1918</v>
      </c>
      <c r="F5015" s="0" t="s">
        <v>1918</v>
      </c>
    </row>
    <row r="5016" customFormat="false" ht="12.8" hidden="false" customHeight="false" outlineLevel="0" collapsed="false">
      <c r="B5016" s="0" t="s">
        <v>279</v>
      </c>
      <c r="C5016" s="0" t="s">
        <v>2324</v>
      </c>
      <c r="D5016" s="0" t="s">
        <v>2325</v>
      </c>
      <c r="E5016" s="0" t="s">
        <v>2325</v>
      </c>
      <c r="F5016" s="0" t="s">
        <v>2325</v>
      </c>
    </row>
    <row r="5018" customFormat="false" ht="12.8" hidden="false" customHeight="false" outlineLevel="0" collapsed="false">
      <c r="A5018" s="0" t="s">
        <v>2326</v>
      </c>
      <c r="B5018" s="0" t="str">
        <f aca="false">HYPERLINK("https://lindat.mff.cuni.cz/services/teitok/pdtc10/index.php?action=vallex&amp;frame=v-w732f3", "dostat (v-w732f3)")</f>
        <v>dostat (v-w732f3)</v>
      </c>
    </row>
    <row r="5019" customFormat="false" ht="12.8" hidden="false" customHeight="false" outlineLevel="0" collapsed="false">
      <c r="B5019" s="0" t="s">
        <v>7</v>
      </c>
      <c r="C5019" s="0" t="s">
        <v>2327</v>
      </c>
      <c r="D5019" s="0" t="s">
        <v>2235</v>
      </c>
      <c r="E5019" s="0" t="s">
        <v>2235</v>
      </c>
      <c r="F5019" s="0" t="s">
        <v>2235</v>
      </c>
    </row>
    <row r="5020" customFormat="false" ht="12.8" hidden="false" customHeight="false" outlineLevel="0" collapsed="false">
      <c r="B5020" s="0" t="s">
        <v>14</v>
      </c>
      <c r="C5020" s="0" t="s">
        <v>2328</v>
      </c>
      <c r="D5020" s="0" t="s">
        <v>2237</v>
      </c>
      <c r="E5020" s="0" t="s">
        <v>2237</v>
      </c>
      <c r="F5020" s="0" t="s">
        <v>2237</v>
      </c>
    </row>
    <row r="5021" customFormat="false" ht="12.8" hidden="false" customHeight="false" outlineLevel="0" collapsed="false">
      <c r="B5021" s="0" t="s">
        <v>124</v>
      </c>
      <c r="C5021" s="0" t="s">
        <v>2329</v>
      </c>
      <c r="D5021" s="0" t="s">
        <v>2238</v>
      </c>
      <c r="E5021" s="0" t="s">
        <v>2238</v>
      </c>
      <c r="F5021" s="0" t="s">
        <v>2238</v>
      </c>
    </row>
    <row r="5023" customFormat="false" ht="12.8" hidden="false" customHeight="false" outlineLevel="0" collapsed="false">
      <c r="A5023" s="0" t="s">
        <v>2330</v>
      </c>
      <c r="B5023" s="0" t="str">
        <f aca="false">HYPERLINK("https://lindat.mff.cuni.cz/services/teitok/pdtc10/index.php?action=vallex&amp;frame=v-w732f40_ZU", "dostat (v-w732f40_ZU)")</f>
        <v>dostat (v-w732f40_ZU)</v>
      </c>
    </row>
    <row r="5024" customFormat="false" ht="12.8" hidden="false" customHeight="false" outlineLevel="0" collapsed="false">
      <c r="B5024" s="0" t="s">
        <v>7</v>
      </c>
    </row>
    <row r="5025" customFormat="false" ht="12.8" hidden="false" customHeight="false" outlineLevel="0" collapsed="false">
      <c r="B5025" s="0" t="s">
        <v>14</v>
      </c>
    </row>
    <row r="5027" customFormat="false" ht="12.8" hidden="false" customHeight="false" outlineLevel="0" collapsed="false">
      <c r="A5027" s="0" t="s">
        <v>2330</v>
      </c>
      <c r="B5027" s="0" t="str">
        <f aca="false">HYPERLINK("https://lindat.mff.cuni.cz/services/teitok/pdtc10/index.php?action=vallex&amp;frame=v-w732f4", "dostat (v-w732f4) - substituted with v-w732f40_ZU")</f>
        <v>dostat (v-w732f4) - substituted with v-w732f40_ZU</v>
      </c>
    </row>
    <row r="5028" customFormat="false" ht="12.8" hidden="false" customHeight="false" outlineLevel="0" collapsed="false">
      <c r="B5028" s="0" t="s">
        <v>7</v>
      </c>
      <c r="C5028" s="0" t="s">
        <v>2331</v>
      </c>
      <c r="D5028" s="0" t="s">
        <v>2332</v>
      </c>
      <c r="E5028" s="0" t="s">
        <v>2332</v>
      </c>
      <c r="F5028" s="0" t="s">
        <v>2332</v>
      </c>
    </row>
    <row r="5029" customFormat="false" ht="12.8" hidden="false" customHeight="false" outlineLevel="0" collapsed="false">
      <c r="B5029" s="0" t="s">
        <v>14</v>
      </c>
      <c r="C5029" s="0" t="s">
        <v>2333</v>
      </c>
      <c r="D5029" s="0" t="s">
        <v>2334</v>
      </c>
      <c r="E5029" s="0" t="s">
        <v>2334</v>
      </c>
      <c r="F5029" s="0" t="s">
        <v>2334</v>
      </c>
    </row>
    <row r="5031" customFormat="false" ht="12.8" hidden="false" customHeight="false" outlineLevel="0" collapsed="false">
      <c r="A5031" s="0" t="s">
        <v>2335</v>
      </c>
      <c r="B5031" s="0" t="str">
        <f aca="false">HYPERLINK("https://lindat.mff.cuni.cz/services/teitok/pdtc10/index.php?action=vallex&amp;frame=v-w732f7", "dostat (v-w732f7)")</f>
        <v>dostat (v-w732f7)</v>
      </c>
    </row>
    <row r="5032" customFormat="false" ht="12.8" hidden="false" customHeight="false" outlineLevel="0" collapsed="false">
      <c r="B5032" s="0" t="s">
        <v>7</v>
      </c>
      <c r="C5032" s="0" t="s">
        <v>191</v>
      </c>
    </row>
    <row r="5033" customFormat="false" ht="12.8" hidden="false" customHeight="false" outlineLevel="0" collapsed="false">
      <c r="B5033" s="0" t="s">
        <v>14</v>
      </c>
      <c r="C5033" s="0" t="s">
        <v>155</v>
      </c>
    </row>
    <row r="5035" customFormat="false" ht="12.8" hidden="false" customHeight="false" outlineLevel="0" collapsed="false">
      <c r="A5035" s="0" t="s">
        <v>2336</v>
      </c>
      <c r="B5035" s="0" t="str">
        <f aca="false">HYPERLINK("https://lindat.mff.cuni.cz/services/teitok/pdtc10/index.php?action=vallex&amp;frame=v-w732f14", "dostat (v-w732f14)")</f>
        <v>dostat (v-w732f14)</v>
      </c>
    </row>
    <row r="5036" customFormat="false" ht="12.8" hidden="false" customHeight="false" outlineLevel="0" collapsed="false">
      <c r="B5036" s="0" t="s">
        <v>7</v>
      </c>
    </row>
    <row r="5037" customFormat="false" ht="12.8" hidden="false" customHeight="false" outlineLevel="0" collapsed="false">
      <c r="B5037" s="0" t="s">
        <v>14</v>
      </c>
    </row>
    <row r="5039" customFormat="false" ht="12.8" hidden="false" customHeight="false" outlineLevel="0" collapsed="false">
      <c r="A5039" s="0" t="s">
        <v>2337</v>
      </c>
      <c r="B5039" s="0" t="str">
        <f aca="false">HYPERLINK("https://lindat.mff.cuni.cz/services/teitok/pdtc10/index.php?action=vallex&amp;frame=v-w732f39_ZU", "dostat (v-w732f39_ZU)")</f>
        <v>dostat (v-w732f39_ZU)</v>
      </c>
    </row>
    <row r="5040" customFormat="false" ht="12.8" hidden="false" customHeight="false" outlineLevel="0" collapsed="false">
      <c r="B5040" s="0" t="s">
        <v>7</v>
      </c>
    </row>
    <row r="5041" customFormat="false" ht="12.8" hidden="false" customHeight="false" outlineLevel="0" collapsed="false">
      <c r="B5041" s="0" t="s">
        <v>2338</v>
      </c>
    </row>
    <row r="5042" customFormat="false" ht="12.8" hidden="false" customHeight="false" outlineLevel="0" collapsed="false">
      <c r="B5042" s="0" t="s">
        <v>2339</v>
      </c>
    </row>
    <row r="5044" customFormat="false" ht="12.8" hidden="false" customHeight="false" outlineLevel="0" collapsed="false">
      <c r="A5044" s="0" t="s">
        <v>2337</v>
      </c>
      <c r="B5044" s="0" t="str">
        <f aca="false">HYPERLINK("https://lindat.mff.cuni.cz/services/teitok/pdtc10/index.php?action=vallex&amp;frame=v-w732f2", "dostat (v-w732f2) - substituted with v-w732f39_ZU")</f>
        <v>dostat (v-w732f2) - substituted with v-w732f39_ZU</v>
      </c>
    </row>
    <row r="5045" customFormat="false" ht="12.8" hidden="false" customHeight="false" outlineLevel="0" collapsed="false">
      <c r="B5045" s="0" t="s">
        <v>7</v>
      </c>
      <c r="C5045" s="0" t="s">
        <v>2340</v>
      </c>
    </row>
    <row r="5046" customFormat="false" ht="12.8" hidden="false" customHeight="false" outlineLevel="0" collapsed="false">
      <c r="B5046" s="0" t="s">
        <v>2338</v>
      </c>
      <c r="C5046" s="0" t="s">
        <v>2341</v>
      </c>
    </row>
    <row r="5047" customFormat="false" ht="12.8" hidden="false" customHeight="false" outlineLevel="0" collapsed="false">
      <c r="B5047" s="0" t="s">
        <v>2339</v>
      </c>
      <c r="C5047" s="0" t="s">
        <v>2342</v>
      </c>
    </row>
    <row r="5049" customFormat="false" ht="12.8" hidden="false" customHeight="false" outlineLevel="0" collapsed="false">
      <c r="A5049" s="0" t="s">
        <v>2337</v>
      </c>
      <c r="B5049" s="0" t="str">
        <f aca="false">HYPERLINK("https://lindat.mff.cuni.cz/services/teitok/pdtc10/index.php?action=vallex&amp;frame=v-w732f26_ZU", "dostat (v-w732f26_ZU) - substituted with v-w732f39_ZU")</f>
        <v>dostat (v-w732f26_ZU) - substituted with v-w732f39_ZU</v>
      </c>
    </row>
    <row r="5050" customFormat="false" ht="12.8" hidden="false" customHeight="false" outlineLevel="0" collapsed="false">
      <c r="B5050" s="0" t="s">
        <v>7</v>
      </c>
      <c r="C5050" s="0" t="s">
        <v>2240</v>
      </c>
    </row>
    <row r="5051" customFormat="false" ht="12.8" hidden="false" customHeight="false" outlineLevel="0" collapsed="false">
      <c r="B5051" s="0" t="s">
        <v>2338</v>
      </c>
      <c r="C5051" s="0" t="s">
        <v>2343</v>
      </c>
    </row>
    <row r="5052" customFormat="false" ht="12.8" hidden="false" customHeight="false" outlineLevel="0" collapsed="false">
      <c r="B5052" s="0" t="s">
        <v>2339</v>
      </c>
      <c r="C5052" s="0" t="s">
        <v>2242</v>
      </c>
    </row>
    <row r="5054" customFormat="false" ht="12.8" hidden="false" customHeight="false" outlineLevel="0" collapsed="false">
      <c r="A5054" s="0" t="s">
        <v>2337</v>
      </c>
      <c r="B5054" s="0" t="str">
        <f aca="false">HYPERLINK("https://lindat.mff.cuni.cz/services/teitok/pdtc10/index.php?action=vallex&amp;frame=v-w732f27_ZU", "dostat (v-w732f27_ZU) - substituted with v-w732f39_ZU")</f>
        <v>dostat (v-w732f27_ZU) - substituted with v-w732f39_ZU</v>
      </c>
    </row>
    <row r="5055" customFormat="false" ht="12.8" hidden="false" customHeight="false" outlineLevel="0" collapsed="false">
      <c r="B5055" s="0" t="s">
        <v>7</v>
      </c>
      <c r="C5055" s="0" t="s">
        <v>2344</v>
      </c>
    </row>
    <row r="5056" customFormat="false" ht="12.8" hidden="false" customHeight="false" outlineLevel="0" collapsed="false">
      <c r="B5056" s="0" t="s">
        <v>2338</v>
      </c>
      <c r="C5056" s="0" t="s">
        <v>2345</v>
      </c>
    </row>
    <row r="5057" customFormat="false" ht="12.8" hidden="false" customHeight="false" outlineLevel="0" collapsed="false">
      <c r="B5057" s="0" t="s">
        <v>2339</v>
      </c>
      <c r="C5057" s="0" t="s">
        <v>2346</v>
      </c>
    </row>
    <row r="5059" customFormat="false" ht="12.8" hidden="false" customHeight="false" outlineLevel="0" collapsed="false">
      <c r="A5059" s="0" t="s">
        <v>2337</v>
      </c>
      <c r="B5059" s="0" t="str">
        <f aca="false">HYPERLINK("https://lindat.mff.cuni.cz/services/teitok/pdtc10/index.php?action=vallex&amp;frame=v-w732f29_ZU", "dostat (v-w732f29_ZU) - substituted with v-w732f39_ZU")</f>
        <v>dostat (v-w732f29_ZU) - substituted with v-w732f39_ZU</v>
      </c>
    </row>
    <row r="5060" customFormat="false" ht="12.8" hidden="false" customHeight="false" outlineLevel="0" collapsed="false">
      <c r="B5060" s="0" t="s">
        <v>7</v>
      </c>
      <c r="C5060" s="0" t="s">
        <v>2347</v>
      </c>
    </row>
    <row r="5061" customFormat="false" ht="12.8" hidden="false" customHeight="false" outlineLevel="0" collapsed="false">
      <c r="B5061" s="0" t="s">
        <v>2338</v>
      </c>
      <c r="C5061" s="0" t="s">
        <v>2348</v>
      </c>
    </row>
    <row r="5062" customFormat="false" ht="12.8" hidden="false" customHeight="false" outlineLevel="0" collapsed="false">
      <c r="B5062" s="0" t="s">
        <v>2339</v>
      </c>
      <c r="C5062" s="0" t="s">
        <v>2346</v>
      </c>
    </row>
    <row r="5064" customFormat="false" ht="12.8" hidden="false" customHeight="false" outlineLevel="0" collapsed="false">
      <c r="A5064" s="0" t="s">
        <v>2337</v>
      </c>
      <c r="B5064" s="0" t="str">
        <f aca="false">HYPERLINK("https://lindat.mff.cuni.cz/services/teitok/pdtc10/index.php?action=vallex&amp;frame=v-w732f33_ZU", "dostat (v-w732f33_ZU) - substituted with v-w732f39_ZU")</f>
        <v>dostat (v-w732f33_ZU) - substituted with v-w732f39_ZU</v>
      </c>
    </row>
    <row r="5065" customFormat="false" ht="12.8" hidden="false" customHeight="false" outlineLevel="0" collapsed="false">
      <c r="B5065" s="0" t="s">
        <v>7</v>
      </c>
      <c r="C5065" s="0" t="s">
        <v>2349</v>
      </c>
    </row>
    <row r="5066" customFormat="false" ht="12.8" hidden="false" customHeight="false" outlineLevel="0" collapsed="false">
      <c r="B5066" s="0" t="s">
        <v>2338</v>
      </c>
      <c r="C5066" s="0" t="s">
        <v>2350</v>
      </c>
    </row>
    <row r="5067" customFormat="false" ht="12.8" hidden="false" customHeight="false" outlineLevel="0" collapsed="false">
      <c r="B5067" s="0" t="s">
        <v>2339</v>
      </c>
      <c r="C5067" s="0" t="s">
        <v>2346</v>
      </c>
    </row>
    <row r="5069" customFormat="false" ht="12.8" hidden="false" customHeight="false" outlineLevel="0" collapsed="false">
      <c r="A5069" s="0" t="s">
        <v>2337</v>
      </c>
      <c r="B5069" s="0" t="str">
        <f aca="false">HYPERLINK("https://lindat.mff.cuni.cz/services/teitok/pdtc10/index.php?action=vallex&amp;frame=v-w732f34_ZU", "dostat (v-w732f34_ZU) - substituted with v-w732f39_ZU")</f>
        <v>dostat (v-w732f34_ZU) - substituted with v-w732f39_ZU</v>
      </c>
    </row>
    <row r="5070" customFormat="false" ht="12.8" hidden="false" customHeight="false" outlineLevel="0" collapsed="false">
      <c r="B5070" s="0" t="s">
        <v>7</v>
      </c>
    </row>
    <row r="5071" customFormat="false" ht="12.8" hidden="false" customHeight="false" outlineLevel="0" collapsed="false">
      <c r="B5071" s="0" t="s">
        <v>2338</v>
      </c>
    </row>
    <row r="5072" customFormat="false" ht="12.8" hidden="false" customHeight="false" outlineLevel="0" collapsed="false">
      <c r="B5072" s="0" t="s">
        <v>2339</v>
      </c>
    </row>
    <row r="5074" customFormat="false" ht="12.8" hidden="false" customHeight="false" outlineLevel="0" collapsed="false">
      <c r="A5074" s="0" t="s">
        <v>2337</v>
      </c>
      <c r="B5074" s="0" t="str">
        <f aca="false">HYPERLINK("https://lindat.mff.cuni.cz/services/teitok/pdtc10/index.php?action=vallex&amp;frame=v-w732f35_ZU", "dostat (v-w732f35_ZU) - substituted with v-w732f39_ZU")</f>
        <v>dostat (v-w732f35_ZU) - substituted with v-w732f39_ZU</v>
      </c>
    </row>
    <row r="5075" customFormat="false" ht="12.8" hidden="false" customHeight="false" outlineLevel="0" collapsed="false">
      <c r="B5075" s="0" t="s">
        <v>7</v>
      </c>
      <c r="C5075" s="0" t="s">
        <v>2351</v>
      </c>
      <c r="D5075" s="0" t="s">
        <v>1725</v>
      </c>
      <c r="E5075" s="0" t="s">
        <v>1725</v>
      </c>
      <c r="F5075" s="0" t="s">
        <v>1725</v>
      </c>
    </row>
    <row r="5076" customFormat="false" ht="12.8" hidden="false" customHeight="false" outlineLevel="0" collapsed="false">
      <c r="B5076" s="0" t="s">
        <v>2338</v>
      </c>
      <c r="C5076" s="0" t="s">
        <v>2352</v>
      </c>
      <c r="D5076" s="0" t="s">
        <v>2353</v>
      </c>
      <c r="E5076" s="0" t="s">
        <v>2353</v>
      </c>
      <c r="F5076" s="0" t="s">
        <v>2353</v>
      </c>
    </row>
    <row r="5077" customFormat="false" ht="12.8" hidden="false" customHeight="false" outlineLevel="0" collapsed="false">
      <c r="B5077" s="0" t="s">
        <v>2339</v>
      </c>
      <c r="C5077" s="0" t="s">
        <v>2354</v>
      </c>
      <c r="D5077" s="0" t="s">
        <v>1730</v>
      </c>
      <c r="E5077" s="0" t="s">
        <v>1730</v>
      </c>
      <c r="F5077" s="0" t="s">
        <v>1730</v>
      </c>
    </row>
    <row r="5079" customFormat="false" ht="12.8" hidden="false" customHeight="false" outlineLevel="0" collapsed="false">
      <c r="A5079" s="0" t="s">
        <v>2337</v>
      </c>
      <c r="B5079" s="0" t="str">
        <f aca="false">HYPERLINK("https://lindat.mff.cuni.cz/services/teitok/pdtc10/index.php?action=vallex&amp;frame=v-w732hsa_1361", "dostat (v-w732hsa_1361) - substituted with v-w732f39_ZU")</f>
        <v>dostat (v-w732hsa_1361) - substituted with v-w732f39_ZU</v>
      </c>
    </row>
    <row r="5080" customFormat="false" ht="12.8" hidden="false" customHeight="false" outlineLevel="0" collapsed="false">
      <c r="B5080" s="0" t="s">
        <v>7</v>
      </c>
    </row>
    <row r="5081" customFormat="false" ht="12.8" hidden="false" customHeight="false" outlineLevel="0" collapsed="false">
      <c r="B5081" s="0" t="s">
        <v>2338</v>
      </c>
    </row>
    <row r="5082" customFormat="false" ht="12.8" hidden="false" customHeight="false" outlineLevel="0" collapsed="false">
      <c r="B5082" s="0" t="s">
        <v>2339</v>
      </c>
    </row>
    <row r="5084" customFormat="false" ht="12.8" hidden="false" customHeight="false" outlineLevel="0" collapsed="false">
      <c r="A5084" s="0" t="s">
        <v>2337</v>
      </c>
      <c r="B5084" s="0" t="str">
        <f aca="false">HYPERLINK("https://lindat.mff.cuni.cz/services/teitok/pdtc10/index.php?action=vallex&amp;frame=v-w732hsa_340", "dostat (v-w732hsa_340) - substituted with v-w732f39_ZU")</f>
        <v>dostat (v-w732hsa_340) - substituted with v-w732f39_ZU</v>
      </c>
    </row>
    <row r="5085" customFormat="false" ht="12.8" hidden="false" customHeight="false" outlineLevel="0" collapsed="false">
      <c r="B5085" s="0" t="s">
        <v>7</v>
      </c>
      <c r="C5085" s="0" t="s">
        <v>2355</v>
      </c>
    </row>
    <row r="5086" customFormat="false" ht="12.8" hidden="false" customHeight="false" outlineLevel="0" collapsed="false">
      <c r="B5086" s="0" t="s">
        <v>2338</v>
      </c>
      <c r="C5086" s="0" t="s">
        <v>2356</v>
      </c>
    </row>
    <row r="5087" customFormat="false" ht="12.8" hidden="false" customHeight="false" outlineLevel="0" collapsed="false">
      <c r="B5087" s="0" t="s">
        <v>2339</v>
      </c>
      <c r="C5087" s="0" t="s">
        <v>2346</v>
      </c>
    </row>
    <row r="5089" customFormat="false" ht="12.8" hidden="false" customHeight="false" outlineLevel="0" collapsed="false">
      <c r="A5089" s="0" t="s">
        <v>2357</v>
      </c>
      <c r="B5089" s="0" t="str">
        <f aca="false">HYPERLINK("https://lindat.mff.cuni.cz/services/teitok/pdtc10/index.php?action=vallex&amp;frame=v-w732f25", "dostat (v-w732f25)")</f>
        <v>dostat (v-w732f25)</v>
      </c>
    </row>
    <row r="5090" customFormat="false" ht="12.8" hidden="false" customHeight="false" outlineLevel="0" collapsed="false">
      <c r="B5090" s="0" t="s">
        <v>7</v>
      </c>
      <c r="C5090" s="0" t="s">
        <v>1286</v>
      </c>
    </row>
    <row r="5091" customFormat="false" ht="12.8" hidden="false" customHeight="false" outlineLevel="0" collapsed="false">
      <c r="B5091" s="0" t="s">
        <v>2358</v>
      </c>
      <c r="C5091" s="0" t="s">
        <v>2359</v>
      </c>
    </row>
    <row r="5093" customFormat="false" ht="12.8" hidden="false" customHeight="false" outlineLevel="0" collapsed="false">
      <c r="A5093" s="0" t="s">
        <v>2360</v>
      </c>
      <c r="B5093" s="0" t="str">
        <f aca="false">HYPERLINK("https://lindat.mff.cuni.cz/services/teitok/pdtc10/index.php?action=vallex&amp;frame=v-w732f16", "dostat (v-w732f16)")</f>
        <v>dostat (v-w732f16)</v>
      </c>
    </row>
    <row r="5094" customFormat="false" ht="12.8" hidden="false" customHeight="false" outlineLevel="0" collapsed="false">
      <c r="B5094" s="0" t="s">
        <v>7</v>
      </c>
      <c r="D5094" s="0" t="s">
        <v>2361</v>
      </c>
      <c r="E5094" s="0" t="s">
        <v>2361</v>
      </c>
      <c r="F5094" s="0" t="s">
        <v>2361</v>
      </c>
    </row>
    <row r="5095" customFormat="false" ht="12.8" hidden="false" customHeight="false" outlineLevel="0" collapsed="false">
      <c r="B5095" s="0" t="s">
        <v>2362</v>
      </c>
    </row>
    <row r="5096" customFormat="false" ht="12.8" hidden="false" customHeight="false" outlineLevel="0" collapsed="false">
      <c r="B5096" s="0" t="s">
        <v>14</v>
      </c>
      <c r="D5096" s="0" t="s">
        <v>2363</v>
      </c>
      <c r="E5096" s="0" t="s">
        <v>2363</v>
      </c>
      <c r="F5096" s="0" t="s">
        <v>2363</v>
      </c>
    </row>
    <row r="5098" customFormat="false" ht="12.8" hidden="false" customHeight="false" outlineLevel="0" collapsed="false">
      <c r="A5098" s="0" t="s">
        <v>2364</v>
      </c>
      <c r="B5098" s="0" t="str">
        <f aca="false">HYPERLINK("https://lindat.mff.cuni.cz/services/teitok/pdtc10/index.php?action=vallex&amp;frame=v-w732f17", "dostat (v-w732f17)")</f>
        <v>dostat (v-w732f17)</v>
      </c>
    </row>
    <row r="5099" customFormat="false" ht="12.8" hidden="false" customHeight="false" outlineLevel="0" collapsed="false">
      <c r="B5099" s="0" t="s">
        <v>7</v>
      </c>
      <c r="D5099" s="0" t="s">
        <v>2361</v>
      </c>
      <c r="E5099" s="0" t="s">
        <v>2361</v>
      </c>
      <c r="F5099" s="0" t="s">
        <v>2361</v>
      </c>
    </row>
    <row r="5100" customFormat="false" ht="12.8" hidden="false" customHeight="false" outlineLevel="0" collapsed="false">
      <c r="B5100" s="0" t="s">
        <v>777</v>
      </c>
    </row>
    <row r="5101" customFormat="false" ht="12.8" hidden="false" customHeight="false" outlineLevel="0" collapsed="false">
      <c r="B5101" s="0" t="s">
        <v>14</v>
      </c>
      <c r="D5101" s="0" t="s">
        <v>2363</v>
      </c>
      <c r="E5101" s="0" t="s">
        <v>2363</v>
      </c>
      <c r="F5101" s="0" t="s">
        <v>2363</v>
      </c>
    </row>
    <row r="5103" customFormat="false" ht="12.8" hidden="false" customHeight="false" outlineLevel="0" collapsed="false">
      <c r="A5103" s="0" t="s">
        <v>2365</v>
      </c>
      <c r="B5103" s="0" t="str">
        <f aca="false">HYPERLINK("https://lindat.mff.cuni.cz/services/teitok/pdtc10/index.php?action=vallex&amp;frame=v-w732f15", "dostat (v-w732f15)")</f>
        <v>dostat (v-w732f15)</v>
      </c>
    </row>
    <row r="5104" customFormat="false" ht="12.8" hidden="false" customHeight="false" outlineLevel="0" collapsed="false">
      <c r="B5104" s="0" t="s">
        <v>7</v>
      </c>
    </row>
    <row r="5105" customFormat="false" ht="12.8" hidden="false" customHeight="false" outlineLevel="0" collapsed="false">
      <c r="B5105" s="0" t="s">
        <v>2366</v>
      </c>
    </row>
    <row r="5106" customFormat="false" ht="12.8" hidden="false" customHeight="false" outlineLevel="0" collapsed="false">
      <c r="B5106" s="0" t="s">
        <v>14</v>
      </c>
    </row>
    <row r="5108" customFormat="false" ht="12.8" hidden="false" customHeight="false" outlineLevel="0" collapsed="false">
      <c r="A5108" s="0" t="s">
        <v>2367</v>
      </c>
      <c r="B5108" s="0" t="str">
        <f aca="false">HYPERLINK("https://lindat.mff.cuni.cz/services/teitok/pdtc10/index.php?action=vallex&amp;frame=v-w732f37_JS", "dostat (v-w732f37_JS)")</f>
        <v>dostat (v-w732f37_JS)</v>
      </c>
    </row>
    <row r="5109" customFormat="false" ht="12.8" hidden="false" customHeight="false" outlineLevel="0" collapsed="false">
      <c r="B5109" s="0" t="s">
        <v>7</v>
      </c>
    </row>
    <row r="5110" customFormat="false" ht="12.8" hidden="false" customHeight="false" outlineLevel="0" collapsed="false">
      <c r="B5110" s="0" t="s">
        <v>2368</v>
      </c>
    </row>
    <row r="5111" customFormat="false" ht="12.8" hidden="false" customHeight="false" outlineLevel="0" collapsed="false">
      <c r="B5111" s="0" t="s">
        <v>333</v>
      </c>
    </row>
    <row r="5113" customFormat="false" ht="12.8" hidden="false" customHeight="false" outlineLevel="0" collapsed="false">
      <c r="A5113" s="0" t="s">
        <v>2367</v>
      </c>
      <c r="B5113" s="0" t="str">
        <f aca="false">HYPERLINK("https://lindat.mff.cuni.cz/services/teitok/pdtc10/index.php?action=vallex&amp;frame=v-w732f22", "dostat (v-w732f22) - substituted with v-w732f37_JS")</f>
        <v>dostat (v-w732f22) - substituted with v-w732f37_JS</v>
      </c>
    </row>
    <row r="5114" customFormat="false" ht="12.8" hidden="false" customHeight="false" outlineLevel="0" collapsed="false">
      <c r="B5114" s="0" t="s">
        <v>7</v>
      </c>
    </row>
    <row r="5115" customFormat="false" ht="12.8" hidden="false" customHeight="false" outlineLevel="0" collapsed="false">
      <c r="B5115" s="0" t="s">
        <v>2368</v>
      </c>
    </row>
    <row r="5116" customFormat="false" ht="12.8" hidden="false" customHeight="false" outlineLevel="0" collapsed="false">
      <c r="B5116" s="0" t="s">
        <v>333</v>
      </c>
    </row>
    <row r="5118" customFormat="false" ht="12.8" hidden="false" customHeight="false" outlineLevel="0" collapsed="false">
      <c r="A5118" s="0" t="s">
        <v>2369</v>
      </c>
      <c r="B5118" s="0" t="str">
        <f aca="false">HYPERLINK("https://lindat.mff.cuni.cz/services/teitok/pdtc10/index.php?action=vallex&amp;frame=v-w732f18", "dostat (v-w732f18)")</f>
        <v>dostat (v-w732f18)</v>
      </c>
    </row>
    <row r="5119" customFormat="false" ht="12.8" hidden="false" customHeight="false" outlineLevel="0" collapsed="false">
      <c r="B5119" s="0" t="s">
        <v>7</v>
      </c>
    </row>
    <row r="5120" customFormat="false" ht="12.8" hidden="false" customHeight="false" outlineLevel="0" collapsed="false">
      <c r="B5120" s="0" t="s">
        <v>2370</v>
      </c>
    </row>
    <row r="5122" customFormat="false" ht="12.8" hidden="false" customHeight="false" outlineLevel="0" collapsed="false">
      <c r="A5122" s="0" t="s">
        <v>2371</v>
      </c>
      <c r="B5122" s="0" t="str">
        <f aca="false">HYPERLINK("https://lindat.mff.cuni.cz/services/teitok/pdtc10/index.php?action=vallex&amp;frame=v-w732f24", "dostat (v-w732f24)")</f>
        <v>dostat (v-w732f24)</v>
      </c>
    </row>
    <row r="5123" customFormat="false" ht="12.8" hidden="false" customHeight="false" outlineLevel="0" collapsed="false">
      <c r="B5123" s="0" t="s">
        <v>7</v>
      </c>
    </row>
    <row r="5124" customFormat="false" ht="12.8" hidden="false" customHeight="false" outlineLevel="0" collapsed="false">
      <c r="B5124" s="0" t="s">
        <v>2372</v>
      </c>
    </row>
    <row r="5126" customFormat="false" ht="12.8" hidden="false" customHeight="false" outlineLevel="0" collapsed="false">
      <c r="A5126" s="0" t="s">
        <v>2373</v>
      </c>
      <c r="B5126" s="0" t="str">
        <f aca="false">HYPERLINK("https://lindat.mff.cuni.cz/services/teitok/pdtc10/index.php?action=vallex&amp;frame=v-w732f10", "dostat (v-w732f10)")</f>
        <v>dostat (v-w732f10)</v>
      </c>
    </row>
    <row r="5127" customFormat="false" ht="12.8" hidden="false" customHeight="false" outlineLevel="0" collapsed="false">
      <c r="B5127" s="0" t="s">
        <v>7</v>
      </c>
    </row>
    <row r="5128" customFormat="false" ht="12.8" hidden="false" customHeight="false" outlineLevel="0" collapsed="false">
      <c r="B5128" s="0" t="s">
        <v>2374</v>
      </c>
    </row>
    <row r="5130" customFormat="false" ht="12.8" hidden="false" customHeight="false" outlineLevel="0" collapsed="false">
      <c r="A5130" s="0" t="s">
        <v>2375</v>
      </c>
      <c r="B5130" s="0" t="str">
        <f aca="false">HYPERLINK("https://lindat.mff.cuni.cz/services/teitok/pdtc10/index.php?action=vallex&amp;frame=v-w732f19", "dostat (v-w732f19)")</f>
        <v>dostat (v-w732f19)</v>
      </c>
    </row>
    <row r="5131" customFormat="false" ht="12.8" hidden="false" customHeight="false" outlineLevel="0" collapsed="false">
      <c r="B5131" s="0" t="s">
        <v>7</v>
      </c>
    </row>
    <row r="5132" customFormat="false" ht="12.8" hidden="false" customHeight="false" outlineLevel="0" collapsed="false">
      <c r="B5132" s="0" t="s">
        <v>2376</v>
      </c>
    </row>
    <row r="5134" customFormat="false" ht="12.8" hidden="false" customHeight="false" outlineLevel="0" collapsed="false">
      <c r="A5134" s="0" t="s">
        <v>2377</v>
      </c>
      <c r="B5134" s="0" t="str">
        <f aca="false">HYPERLINK("https://lindat.mff.cuni.cz/services/teitok/pdtc10/index.php?action=vallex&amp;frame=v-w732f20", "dostat (v-w732f20)")</f>
        <v>dostat (v-w732f20)</v>
      </c>
    </row>
    <row r="5135" customFormat="false" ht="12.8" hidden="false" customHeight="false" outlineLevel="0" collapsed="false">
      <c r="B5135" s="0" t="s">
        <v>7</v>
      </c>
    </row>
    <row r="5136" customFormat="false" ht="12.8" hidden="false" customHeight="false" outlineLevel="0" collapsed="false">
      <c r="B5136" s="0" t="s">
        <v>2378</v>
      </c>
    </row>
    <row r="5138" customFormat="false" ht="12.8" hidden="false" customHeight="false" outlineLevel="0" collapsed="false">
      <c r="A5138" s="0" t="s">
        <v>2379</v>
      </c>
      <c r="B5138" s="0" t="str">
        <f aca="false">HYPERLINK("https://lindat.mff.cuni.cz/services/teitok/pdtc10/index.php?action=vallex&amp;frame=v-w732f8", "dostat (v-w732f8)")</f>
        <v>dostat (v-w732f8)</v>
      </c>
    </row>
    <row r="5139" customFormat="false" ht="12.8" hidden="false" customHeight="false" outlineLevel="0" collapsed="false">
      <c r="B5139" s="0" t="s">
        <v>7</v>
      </c>
    </row>
    <row r="5140" customFormat="false" ht="12.8" hidden="false" customHeight="false" outlineLevel="0" collapsed="false">
      <c r="B5140" s="0" t="s">
        <v>2380</v>
      </c>
    </row>
    <row r="5142" customFormat="false" ht="12.8" hidden="false" customHeight="false" outlineLevel="0" collapsed="false">
      <c r="A5142" s="0" t="s">
        <v>2381</v>
      </c>
      <c r="B5142" s="0" t="str">
        <f aca="false">HYPERLINK("https://lindat.mff.cuni.cz/services/teitok/pdtc10/index.php?action=vallex&amp;frame=v-w732f12", "dostat (v-w732f12)")</f>
        <v>dostat (v-w732f12)</v>
      </c>
    </row>
    <row r="5143" customFormat="false" ht="12.8" hidden="false" customHeight="false" outlineLevel="0" collapsed="false">
      <c r="B5143" s="0" t="s">
        <v>7</v>
      </c>
    </row>
    <row r="5144" customFormat="false" ht="12.8" hidden="false" customHeight="false" outlineLevel="0" collapsed="false">
      <c r="B5144" s="0" t="s">
        <v>2382</v>
      </c>
    </row>
    <row r="5146" customFormat="false" ht="12.8" hidden="false" customHeight="false" outlineLevel="0" collapsed="false">
      <c r="A5146" s="0" t="s">
        <v>2383</v>
      </c>
      <c r="B5146" s="0" t="str">
        <f aca="false">HYPERLINK("https://lindat.mff.cuni.cz/services/teitok/pdtc10/index.php?action=vallex&amp;frame=v-w732f30_ZU", "dostat (v-w732f30_ZU)")</f>
        <v>dostat (v-w732f30_ZU)</v>
      </c>
    </row>
    <row r="5147" customFormat="false" ht="12.8" hidden="false" customHeight="false" outlineLevel="0" collapsed="false">
      <c r="B5147" s="0" t="s">
        <v>7</v>
      </c>
      <c r="C5147" s="0" t="s">
        <v>2240</v>
      </c>
      <c r="D5147" s="0" t="s">
        <v>1725</v>
      </c>
      <c r="E5147" s="0" t="s">
        <v>1725</v>
      </c>
      <c r="F5147" s="0" t="s">
        <v>1725</v>
      </c>
    </row>
    <row r="5148" customFormat="false" ht="12.8" hidden="false" customHeight="false" outlineLevel="0" collapsed="false">
      <c r="B5148" s="0" t="s">
        <v>2384</v>
      </c>
      <c r="C5148" s="0" t="s">
        <v>2385</v>
      </c>
      <c r="D5148" s="0" t="s">
        <v>2386</v>
      </c>
      <c r="E5148" s="0" t="s">
        <v>2386</v>
      </c>
      <c r="F5148" s="0" t="s">
        <v>2386</v>
      </c>
    </row>
    <row r="5150" customFormat="false" ht="12.8" hidden="false" customHeight="false" outlineLevel="0" collapsed="false">
      <c r="A5150" s="0" t="s">
        <v>2387</v>
      </c>
      <c r="B5150" s="0" t="str">
        <f aca="false">HYPERLINK("https://lindat.mff.cuni.cz/services/teitok/pdtc10/index.php?action=vallex&amp;frame=v-w732f31_ZU", "dostat (v-w732f31_ZU)")</f>
        <v>dostat (v-w732f31_ZU)</v>
      </c>
    </row>
    <row r="5151" customFormat="false" ht="12.8" hidden="false" customHeight="false" outlineLevel="0" collapsed="false">
      <c r="B5151" s="0" t="s">
        <v>7</v>
      </c>
    </row>
    <row r="5152" customFormat="false" ht="12.8" hidden="false" customHeight="false" outlineLevel="0" collapsed="false">
      <c r="B5152" s="0" t="s">
        <v>2388</v>
      </c>
    </row>
    <row r="5154" customFormat="false" ht="12.8" hidden="false" customHeight="false" outlineLevel="0" collapsed="false">
      <c r="A5154" s="0" t="s">
        <v>2387</v>
      </c>
      <c r="B5154" s="0" t="str">
        <f aca="false">HYPERLINK("https://lindat.mff.cuni.cz/services/teitok/pdtc10/index.php?action=vallex&amp;frame=v-w732hsa_341", "dostat (v-w732hsa_341) - substituted with v-w732f31_ZU")</f>
        <v>dostat (v-w732hsa_341) - substituted with v-w732f31_ZU</v>
      </c>
    </row>
    <row r="5155" customFormat="false" ht="12.8" hidden="false" customHeight="false" outlineLevel="0" collapsed="false">
      <c r="B5155" s="0" t="s">
        <v>7</v>
      </c>
    </row>
    <row r="5156" customFormat="false" ht="12.8" hidden="false" customHeight="false" outlineLevel="0" collapsed="false">
      <c r="B5156" s="0" t="s">
        <v>2388</v>
      </c>
    </row>
    <row r="5158" customFormat="false" ht="12.8" hidden="false" customHeight="false" outlineLevel="0" collapsed="false">
      <c r="A5158" s="0" t="s">
        <v>2389</v>
      </c>
      <c r="B5158" s="0" t="str">
        <f aca="false">HYPERLINK("https://lindat.mff.cuni.cz/services/teitok/pdtc10/index.php?action=vallex&amp;frame=v-w732f36_ZU", "dostat (v-w732f36_ZU)")</f>
        <v>dostat (v-w732f36_ZU)</v>
      </c>
    </row>
    <row r="5159" customFormat="false" ht="12.8" hidden="false" customHeight="false" outlineLevel="0" collapsed="false">
      <c r="B5159" s="0" t="s">
        <v>7</v>
      </c>
    </row>
    <row r="5160" customFormat="false" ht="12.8" hidden="false" customHeight="false" outlineLevel="0" collapsed="false">
      <c r="B5160" s="0" t="s">
        <v>2390</v>
      </c>
    </row>
    <row r="5161" customFormat="false" ht="12.8" hidden="false" customHeight="false" outlineLevel="0" collapsed="false">
      <c r="B5161" s="0" t="s">
        <v>333</v>
      </c>
    </row>
    <row r="5163" customFormat="false" ht="12.8" hidden="false" customHeight="false" outlineLevel="0" collapsed="false">
      <c r="A5163" s="0" t="s">
        <v>2389</v>
      </c>
      <c r="B5163" s="0" t="str">
        <f aca="false">HYPERLINK("https://lindat.mff.cuni.cz/services/teitok/pdtc10/index.php?action=vallex&amp;frame=v-w732f32_ZU", "dostat (v-w732f32_ZU) - substituted with v-w732f36_ZU")</f>
        <v>dostat (v-w732f32_ZU) - substituted with v-w732f36_ZU</v>
      </c>
    </row>
    <row r="5164" customFormat="false" ht="12.8" hidden="false" customHeight="false" outlineLevel="0" collapsed="false">
      <c r="B5164" s="0" t="s">
        <v>7</v>
      </c>
      <c r="C5164" s="0" t="s">
        <v>316</v>
      </c>
    </row>
    <row r="5165" customFormat="false" ht="12.8" hidden="false" customHeight="false" outlineLevel="0" collapsed="false">
      <c r="B5165" s="0" t="s">
        <v>2390</v>
      </c>
      <c r="C5165" s="0" t="s">
        <v>2391</v>
      </c>
    </row>
    <row r="5166" customFormat="false" ht="12.8" hidden="false" customHeight="false" outlineLevel="0" collapsed="false">
      <c r="B5166" s="0" t="s">
        <v>333</v>
      </c>
    </row>
    <row r="5168" customFormat="false" ht="12.8" hidden="false" customHeight="false" outlineLevel="0" collapsed="false">
      <c r="A5168" s="0" t="s">
        <v>2389</v>
      </c>
      <c r="B5168" s="0" t="str">
        <f aca="false">HYPERLINK("https://lindat.mff.cuni.cz/services/teitok/pdtc10/index.php?action=vallex&amp;frame=v-w732hsa_342", "dostat (v-w732hsa_342) - substituted with v-w732f36_ZU")</f>
        <v>dostat (v-w732hsa_342) - substituted with v-w732f36_ZU</v>
      </c>
    </row>
    <row r="5169" customFormat="false" ht="12.8" hidden="false" customHeight="false" outlineLevel="0" collapsed="false">
      <c r="B5169" s="0" t="s">
        <v>7</v>
      </c>
    </row>
    <row r="5170" customFormat="false" ht="12.8" hidden="false" customHeight="false" outlineLevel="0" collapsed="false">
      <c r="B5170" s="0" t="s">
        <v>2390</v>
      </c>
    </row>
    <row r="5171" customFormat="false" ht="12.8" hidden="false" customHeight="false" outlineLevel="0" collapsed="false">
      <c r="B5171" s="0" t="s">
        <v>333</v>
      </c>
    </row>
    <row r="5173" customFormat="false" ht="12.8" hidden="false" customHeight="false" outlineLevel="0" collapsed="false">
      <c r="A5173" s="0" t="s">
        <v>2392</v>
      </c>
      <c r="B5173" s="0" t="str">
        <f aca="false">HYPERLINK("https://lindat.mff.cuni.cz/services/teitok/pdtc10/index.php?action=vallex&amp;frame=v-w735f12", "dostat se (v-w735f12)")</f>
        <v>dostat se (v-w735f12)</v>
      </c>
    </row>
    <row r="5174" customFormat="false" ht="12.8" hidden="false" customHeight="false" outlineLevel="0" collapsed="false">
      <c r="B5174" s="0" t="s">
        <v>7</v>
      </c>
      <c r="C5174" s="0" t="s">
        <v>2393</v>
      </c>
    </row>
    <row r="5175" customFormat="false" ht="12.8" hidden="false" customHeight="false" outlineLevel="0" collapsed="false">
      <c r="B5175" s="0" t="s">
        <v>41</v>
      </c>
      <c r="C5175" s="0" t="s">
        <v>2394</v>
      </c>
    </row>
    <row r="5176" customFormat="false" ht="12.8" hidden="false" customHeight="false" outlineLevel="0" collapsed="false">
      <c r="B5176" s="0" t="s">
        <v>35</v>
      </c>
    </row>
    <row r="5178" customFormat="false" ht="12.8" hidden="false" customHeight="false" outlineLevel="0" collapsed="false">
      <c r="A5178" s="0" t="s">
        <v>2395</v>
      </c>
      <c r="B5178" s="0" t="str">
        <f aca="false">HYPERLINK("https://lindat.mff.cuni.cz/services/teitok/pdtc10/index.php?action=vallex&amp;frame=v-w735f19_ZU", "dostat se (v-w735f19_ZU)")</f>
        <v>dostat se (v-w735f19_ZU)</v>
      </c>
    </row>
    <row r="5179" customFormat="false" ht="12.8" hidden="false" customHeight="false" outlineLevel="0" collapsed="false">
      <c r="B5179" s="0" t="s">
        <v>603</v>
      </c>
    </row>
    <row r="5180" customFormat="false" ht="12.8" hidden="false" customHeight="false" outlineLevel="0" collapsed="false">
      <c r="B5180" s="0" t="s">
        <v>2396</v>
      </c>
    </row>
    <row r="5181" customFormat="false" ht="12.8" hidden="false" customHeight="false" outlineLevel="0" collapsed="false">
      <c r="B5181" s="0" t="s">
        <v>441</v>
      </c>
    </row>
    <row r="5183" customFormat="false" ht="12.8" hidden="false" customHeight="false" outlineLevel="0" collapsed="false">
      <c r="A5183" s="0" t="s">
        <v>2395</v>
      </c>
      <c r="B5183" s="0" t="str">
        <f aca="false">HYPERLINK("https://lindat.mff.cuni.cz/services/teitok/pdtc10/index.php?action=vallex&amp;frame=v-w735f3", "dostat se (v-w735f3) - substituted with v-w735f19_ZU")</f>
        <v>dostat se (v-w735f3) - substituted with v-w735f19_ZU</v>
      </c>
    </row>
    <row r="5184" customFormat="false" ht="12.8" hidden="false" customHeight="false" outlineLevel="0" collapsed="false">
      <c r="B5184" s="0" t="s">
        <v>603</v>
      </c>
      <c r="C5184" s="0" t="s">
        <v>2397</v>
      </c>
      <c r="D5184" s="0" t="s">
        <v>1725</v>
      </c>
      <c r="E5184" s="0" t="s">
        <v>1725</v>
      </c>
      <c r="F5184" s="0" t="s">
        <v>1725</v>
      </c>
    </row>
    <row r="5185" customFormat="false" ht="12.8" hidden="false" customHeight="false" outlineLevel="0" collapsed="false">
      <c r="B5185" s="0" t="s">
        <v>2396</v>
      </c>
      <c r="C5185" s="0" t="s">
        <v>2398</v>
      </c>
      <c r="D5185" s="0" t="s">
        <v>1728</v>
      </c>
      <c r="E5185" s="0" t="s">
        <v>1728</v>
      </c>
      <c r="F5185" s="0" t="s">
        <v>1728</v>
      </c>
    </row>
    <row r="5186" customFormat="false" ht="12.8" hidden="false" customHeight="false" outlineLevel="0" collapsed="false">
      <c r="B5186" s="0" t="s">
        <v>441</v>
      </c>
      <c r="C5186" s="0" t="s">
        <v>2399</v>
      </c>
      <c r="D5186" s="0" t="s">
        <v>1730</v>
      </c>
      <c r="E5186" s="0" t="s">
        <v>1730</v>
      </c>
      <c r="F5186" s="0" t="s">
        <v>1730</v>
      </c>
    </row>
    <row r="5188" customFormat="false" ht="12.8" hidden="false" customHeight="false" outlineLevel="0" collapsed="false">
      <c r="A5188" s="0" t="s">
        <v>2400</v>
      </c>
      <c r="B5188" s="0" t="str">
        <f aca="false">HYPERLINK("https://lindat.mff.cuni.cz/services/teitok/pdtc10/index.php?action=vallex&amp;frame=v-w735f8", "dostat se (v-w735f8)")</f>
        <v>dostat se (v-w735f8)</v>
      </c>
    </row>
    <row r="5189" customFormat="false" ht="12.8" hidden="false" customHeight="false" outlineLevel="0" collapsed="false">
      <c r="B5189" s="0" t="s">
        <v>2401</v>
      </c>
    </row>
    <row r="5190" customFormat="false" ht="12.8" hidden="false" customHeight="false" outlineLevel="0" collapsed="false">
      <c r="B5190" s="0" t="s">
        <v>41</v>
      </c>
    </row>
    <row r="5192" customFormat="false" ht="12.8" hidden="false" customHeight="false" outlineLevel="0" collapsed="false">
      <c r="A5192" s="0" t="s">
        <v>2402</v>
      </c>
      <c r="B5192" s="0" t="str">
        <f aca="false">HYPERLINK("https://lindat.mff.cuni.cz/services/teitok/pdtc10/index.php?action=vallex&amp;frame=v-w735f22_ZU", "dostat se (v-w735f22_ZU)")</f>
        <v>dostat se (v-w735f22_ZU)</v>
      </c>
    </row>
    <row r="5193" customFormat="false" ht="12.8" hidden="false" customHeight="false" outlineLevel="0" collapsed="false">
      <c r="B5193" s="0" t="s">
        <v>7</v>
      </c>
    </row>
    <row r="5194" customFormat="false" ht="12.8" hidden="false" customHeight="false" outlineLevel="0" collapsed="false">
      <c r="B5194" s="0" t="s">
        <v>237</v>
      </c>
    </row>
    <row r="5196" customFormat="false" ht="12.8" hidden="false" customHeight="false" outlineLevel="0" collapsed="false">
      <c r="A5196" s="0" t="s">
        <v>2402</v>
      </c>
      <c r="B5196" s="0" t="str">
        <f aca="false">HYPERLINK("https://lindat.mff.cuni.cz/services/teitok/pdtc10/index.php?action=vallex&amp;frame=v-w735f17_ZU", "dostat se (v-w735f17_ZU) - substituted with v-w735f22_ZU")</f>
        <v>dostat se (v-w735f17_ZU) - substituted with v-w735f22_ZU</v>
      </c>
    </row>
    <row r="5197" customFormat="false" ht="12.8" hidden="false" customHeight="false" outlineLevel="0" collapsed="false">
      <c r="B5197" s="0" t="s">
        <v>7</v>
      </c>
    </row>
    <row r="5198" customFormat="false" ht="12.8" hidden="false" customHeight="false" outlineLevel="0" collapsed="false">
      <c r="B5198" s="0" t="s">
        <v>237</v>
      </c>
    </row>
    <row r="5200" customFormat="false" ht="12.8" hidden="false" customHeight="false" outlineLevel="0" collapsed="false">
      <c r="A5200" s="0" t="s">
        <v>2402</v>
      </c>
      <c r="B5200" s="0" t="str">
        <f aca="false">HYPERLINK("https://lindat.mff.cuni.cz/services/teitok/pdtc10/index.php?action=vallex&amp;frame=v-w735f21_ZU", "dostat se (v-w735f21_ZU) - substituted with v-w735f22_ZU")</f>
        <v>dostat se (v-w735f21_ZU) - substituted with v-w735f22_ZU</v>
      </c>
    </row>
    <row r="5201" customFormat="false" ht="12.8" hidden="false" customHeight="false" outlineLevel="0" collapsed="false">
      <c r="B5201" s="0" t="s">
        <v>7</v>
      </c>
    </row>
    <row r="5202" customFormat="false" ht="12.8" hidden="false" customHeight="false" outlineLevel="0" collapsed="false">
      <c r="B5202" s="0" t="s">
        <v>237</v>
      </c>
    </row>
    <row r="5204" customFormat="false" ht="12.8" hidden="false" customHeight="false" outlineLevel="0" collapsed="false">
      <c r="A5204" s="0" t="s">
        <v>2402</v>
      </c>
      <c r="B5204" s="0" t="str">
        <f aca="false">HYPERLINK("https://lindat.mff.cuni.cz/services/teitok/pdtc10/index.php?action=vallex&amp;frame=v-w735f4", "dostat se (v-w735f4) - substituted with v-w735f22_ZU")</f>
        <v>dostat se (v-w735f4) - substituted with v-w735f22_ZU</v>
      </c>
    </row>
    <row r="5205" customFormat="false" ht="12.8" hidden="false" customHeight="false" outlineLevel="0" collapsed="false">
      <c r="B5205" s="0" t="s">
        <v>7</v>
      </c>
      <c r="C5205" s="0" t="s">
        <v>2403</v>
      </c>
      <c r="D5205" s="0" t="s">
        <v>2332</v>
      </c>
      <c r="E5205" s="0" t="s">
        <v>2332</v>
      </c>
      <c r="F5205" s="0" t="s">
        <v>2332</v>
      </c>
    </row>
    <row r="5206" customFormat="false" ht="12.8" hidden="false" customHeight="false" outlineLevel="0" collapsed="false">
      <c r="B5206" s="0" t="s">
        <v>237</v>
      </c>
      <c r="C5206" s="0" t="s">
        <v>2404</v>
      </c>
      <c r="D5206" s="0" t="s">
        <v>2334</v>
      </c>
      <c r="E5206" s="0" t="s">
        <v>2334</v>
      </c>
      <c r="F5206" s="0" t="s">
        <v>2334</v>
      </c>
    </row>
    <row r="5208" customFormat="false" ht="12.8" hidden="false" customHeight="false" outlineLevel="0" collapsed="false">
      <c r="A5208" s="0" t="s">
        <v>2405</v>
      </c>
      <c r="B5208" s="0" t="str">
        <f aca="false">HYPERLINK("https://lindat.mff.cuni.cz/services/teitok/pdtc10/index.php?action=vallex&amp;frame=v-w735f13", "dostat se (v-w735f13)")</f>
        <v>dostat se (v-w735f13)</v>
      </c>
    </row>
    <row r="5209" customFormat="false" ht="12.8" hidden="false" customHeight="false" outlineLevel="0" collapsed="false">
      <c r="B5209" s="0" t="s">
        <v>7</v>
      </c>
      <c r="C5209" s="0" t="s">
        <v>580</v>
      </c>
      <c r="D5209" s="0" t="s">
        <v>1319</v>
      </c>
      <c r="E5209" s="0" t="s">
        <v>1319</v>
      </c>
      <c r="F5209" s="0" t="s">
        <v>1319</v>
      </c>
    </row>
    <row r="5210" customFormat="false" ht="12.8" hidden="false" customHeight="false" outlineLevel="0" collapsed="false">
      <c r="B5210" s="0" t="s">
        <v>227</v>
      </c>
    </row>
    <row r="5211" customFormat="false" ht="12.8" hidden="false" customHeight="false" outlineLevel="0" collapsed="false">
      <c r="B5211" s="0" t="s">
        <v>474</v>
      </c>
    </row>
    <row r="5212" customFormat="false" ht="12.8" hidden="false" customHeight="false" outlineLevel="0" collapsed="false">
      <c r="B5212" s="0" t="s">
        <v>479</v>
      </c>
    </row>
    <row r="5213" customFormat="false" ht="12.8" hidden="false" customHeight="false" outlineLevel="0" collapsed="false">
      <c r="B5213" s="0" t="s">
        <v>2406</v>
      </c>
    </row>
    <row r="5215" customFormat="false" ht="12.8" hidden="false" customHeight="false" outlineLevel="0" collapsed="false">
      <c r="A5215" s="0" t="s">
        <v>2407</v>
      </c>
      <c r="B5215" s="0" t="str">
        <f aca="false">HYPERLINK("https://lindat.mff.cuni.cz/services/teitok/pdtc10/index.php?action=vallex&amp;frame=v-w735f14", "dostat se (v-w735f14)")</f>
        <v>dostat se (v-w735f14)</v>
      </c>
    </row>
    <row r="5216" customFormat="false" ht="12.8" hidden="false" customHeight="false" outlineLevel="0" collapsed="false">
      <c r="B5216" s="0" t="s">
        <v>7</v>
      </c>
      <c r="C5216" s="0" t="s">
        <v>2408</v>
      </c>
      <c r="D5216" s="0" t="s">
        <v>2409</v>
      </c>
      <c r="E5216" s="0" t="s">
        <v>2409</v>
      </c>
      <c r="F5216" s="0" t="s">
        <v>2409</v>
      </c>
    </row>
    <row r="5217" customFormat="false" ht="12.8" hidden="false" customHeight="false" outlineLevel="0" collapsed="false">
      <c r="B5217" s="0" t="s">
        <v>459</v>
      </c>
      <c r="C5217" s="0" t="s">
        <v>2410</v>
      </c>
      <c r="D5217" s="0" t="s">
        <v>2411</v>
      </c>
      <c r="E5217" s="0" t="s">
        <v>2411</v>
      </c>
      <c r="F5217" s="0" t="s">
        <v>2411</v>
      </c>
    </row>
    <row r="5219" customFormat="false" ht="12.8" hidden="false" customHeight="false" outlineLevel="0" collapsed="false">
      <c r="A5219" s="0" t="s">
        <v>2407</v>
      </c>
      <c r="B5219" s="0" t="str">
        <f aca="false">HYPERLINK("https://lindat.mff.cuni.cz/services/teitok/pdtc10/index.php?action=vallex&amp;frame=v-w735f6", "dostat se (v-w735f6) - substituted with v-w735f14")</f>
        <v>dostat se (v-w735f6) - substituted with v-w735f14</v>
      </c>
    </row>
    <row r="5220" customFormat="false" ht="12.8" hidden="false" customHeight="false" outlineLevel="0" collapsed="false">
      <c r="B5220" s="0" t="s">
        <v>7</v>
      </c>
    </row>
    <row r="5221" customFormat="false" ht="12.8" hidden="false" customHeight="false" outlineLevel="0" collapsed="false">
      <c r="B5221" s="0" t="s">
        <v>459</v>
      </c>
    </row>
    <row r="5223" customFormat="false" ht="12.8" hidden="false" customHeight="false" outlineLevel="0" collapsed="false">
      <c r="A5223" s="0" t="s">
        <v>2412</v>
      </c>
      <c r="B5223" s="0" t="str">
        <f aca="false">HYPERLINK("https://lindat.mff.cuni.cz/services/teitok/pdtc10/index.php?action=vallex&amp;frame=v-w735f26_ZU", "dostat se (v-w735f26_ZU)")</f>
        <v>dostat se (v-w735f26_ZU)</v>
      </c>
    </row>
    <row r="5224" customFormat="false" ht="12.8" hidden="false" customHeight="false" outlineLevel="0" collapsed="false">
      <c r="B5224" s="0" t="s">
        <v>7</v>
      </c>
    </row>
    <row r="5225" customFormat="false" ht="12.8" hidden="false" customHeight="false" outlineLevel="0" collapsed="false">
      <c r="B5225" s="0" t="s">
        <v>279</v>
      </c>
    </row>
    <row r="5227" customFormat="false" ht="12.8" hidden="false" customHeight="false" outlineLevel="0" collapsed="false">
      <c r="A5227" s="0" t="s">
        <v>2412</v>
      </c>
      <c r="B5227" s="0" t="str">
        <f aca="false">HYPERLINK("https://lindat.mff.cuni.cz/services/teitok/pdtc10/index.php?action=vallex&amp;frame=v-w735f2", "dostat se (v-w735f2) - substituted with v-w735f26_ZU")</f>
        <v>dostat se (v-w735f2) - substituted with v-w735f26_ZU</v>
      </c>
    </row>
    <row r="5228" customFormat="false" ht="12.8" hidden="false" customHeight="false" outlineLevel="0" collapsed="false">
      <c r="B5228" s="0" t="s">
        <v>7</v>
      </c>
      <c r="C5228" s="0" t="s">
        <v>2413</v>
      </c>
      <c r="D5228" s="0" t="s">
        <v>272</v>
      </c>
      <c r="E5228" s="0" t="s">
        <v>272</v>
      </c>
      <c r="F5228" s="0" t="s">
        <v>272</v>
      </c>
    </row>
    <row r="5229" customFormat="false" ht="12.8" hidden="false" customHeight="false" outlineLevel="0" collapsed="false">
      <c r="B5229" s="0" t="s">
        <v>279</v>
      </c>
      <c r="C5229" s="0" t="s">
        <v>2414</v>
      </c>
      <c r="D5229" s="0" t="s">
        <v>1337</v>
      </c>
      <c r="E5229" s="0" t="s">
        <v>1337</v>
      </c>
      <c r="F5229" s="0" t="s">
        <v>1337</v>
      </c>
    </row>
    <row r="5231" customFormat="false" ht="12.8" hidden="false" customHeight="false" outlineLevel="0" collapsed="false">
      <c r="A5231" s="0" t="s">
        <v>2415</v>
      </c>
      <c r="B5231" s="0" t="str">
        <f aca="false">HYPERLINK("https://lindat.mff.cuni.cz/services/teitok/pdtc10/index.php?action=vallex&amp;frame=v-w735f24_ZU", "dostat se (v-w735f24_ZU)")</f>
        <v>dostat se (v-w735f24_ZU)</v>
      </c>
    </row>
    <row r="5232" customFormat="false" ht="12.8" hidden="false" customHeight="false" outlineLevel="0" collapsed="false">
      <c r="B5232" s="0" t="s">
        <v>641</v>
      </c>
    </row>
    <row r="5233" customFormat="false" ht="12.8" hidden="false" customHeight="false" outlineLevel="0" collapsed="false">
      <c r="B5233" s="0" t="s">
        <v>124</v>
      </c>
    </row>
    <row r="5235" customFormat="false" ht="12.8" hidden="false" customHeight="false" outlineLevel="0" collapsed="false">
      <c r="A5235" s="0" t="s">
        <v>2415</v>
      </c>
      <c r="B5235" s="0" t="str">
        <f aca="false">HYPERLINK("https://lindat.mff.cuni.cz/services/teitok/pdtc10/index.php?action=vallex&amp;frame=v-w735f1", "dostat se (v-w735f1) - substituted with v-w735f24_ZU")</f>
        <v>dostat se (v-w735f1) - substituted with v-w735f24_ZU</v>
      </c>
    </row>
    <row r="5236" customFormat="false" ht="12.8" hidden="false" customHeight="false" outlineLevel="0" collapsed="false">
      <c r="B5236" s="0" t="s">
        <v>641</v>
      </c>
      <c r="C5236" s="0" t="s">
        <v>2416</v>
      </c>
      <c r="D5236" s="0" t="s">
        <v>1705</v>
      </c>
      <c r="E5236" s="0" t="s">
        <v>1706</v>
      </c>
      <c r="F5236" s="0" t="s">
        <v>1706</v>
      </c>
    </row>
    <row r="5237" customFormat="false" ht="12.8" hidden="false" customHeight="false" outlineLevel="0" collapsed="false">
      <c r="B5237" s="0" t="s">
        <v>124</v>
      </c>
      <c r="C5237" s="0" t="s">
        <v>2417</v>
      </c>
      <c r="D5237" s="0" t="s">
        <v>1707</v>
      </c>
      <c r="E5237" s="0" t="s">
        <v>1707</v>
      </c>
      <c r="F5237" s="0" t="s">
        <v>1707</v>
      </c>
    </row>
    <row r="5239" customFormat="false" ht="12.8" hidden="false" customHeight="false" outlineLevel="0" collapsed="false">
      <c r="A5239" s="0" t="s">
        <v>2415</v>
      </c>
      <c r="B5239" s="0" t="str">
        <f aca="false">HYPERLINK("https://lindat.mff.cuni.cz/services/teitok/pdtc10/index.php?action=vallex&amp;frame=v-w735f18_ZU", "dostat se (v-w735f18_ZU) - substituted with v-w735f24_ZU")</f>
        <v>dostat se (v-w735f18_ZU) - substituted with v-w735f24_ZU</v>
      </c>
    </row>
    <row r="5240" customFormat="false" ht="12.8" hidden="false" customHeight="false" outlineLevel="0" collapsed="false">
      <c r="B5240" s="0" t="s">
        <v>641</v>
      </c>
    </row>
    <row r="5241" customFormat="false" ht="12.8" hidden="false" customHeight="false" outlineLevel="0" collapsed="false">
      <c r="B5241" s="0" t="s">
        <v>124</v>
      </c>
    </row>
    <row r="5243" customFormat="false" ht="12.8" hidden="false" customHeight="false" outlineLevel="0" collapsed="false">
      <c r="A5243" s="0" t="s">
        <v>2415</v>
      </c>
      <c r="B5243" s="0" t="str">
        <f aca="false">HYPERLINK("https://lindat.mff.cuni.cz/services/teitok/pdtc10/index.php?action=vallex&amp;frame=v-w735f23_ZU", "dostat se (v-w735f23_ZU) - substituted with v-w735f24_ZU")</f>
        <v>dostat se (v-w735f23_ZU) - substituted with v-w735f24_ZU</v>
      </c>
    </row>
    <row r="5244" customFormat="false" ht="12.8" hidden="false" customHeight="false" outlineLevel="0" collapsed="false">
      <c r="B5244" s="0" t="s">
        <v>641</v>
      </c>
    </row>
    <row r="5245" customFormat="false" ht="12.8" hidden="false" customHeight="false" outlineLevel="0" collapsed="false">
      <c r="B5245" s="0" t="s">
        <v>124</v>
      </c>
    </row>
    <row r="5247" customFormat="false" ht="12.8" hidden="false" customHeight="false" outlineLevel="0" collapsed="false">
      <c r="A5247" s="0" t="s">
        <v>2418</v>
      </c>
      <c r="B5247" s="0" t="str">
        <f aca="false">HYPERLINK("https://lindat.mff.cuni.cz/services/teitok/pdtc10/index.php?action=vallex&amp;frame=v-w735f5", "dostat se (v-w735f5)")</f>
        <v>dostat se (v-w735f5)</v>
      </c>
    </row>
    <row r="5248" customFormat="false" ht="12.8" hidden="false" customHeight="false" outlineLevel="0" collapsed="false">
      <c r="B5248" s="0" t="s">
        <v>929</v>
      </c>
    </row>
    <row r="5250" customFormat="false" ht="12.8" hidden="false" customHeight="false" outlineLevel="0" collapsed="false">
      <c r="A5250" s="0" t="s">
        <v>2419</v>
      </c>
      <c r="B5250" s="0" t="str">
        <f aca="false">HYPERLINK("https://lindat.mff.cuni.cz/services/teitok/pdtc10/index.php?action=vallex&amp;frame=v-w735f20_ZU", "dostat se (v-w735f20_ZU)")</f>
        <v>dostat se (v-w735f20_ZU)</v>
      </c>
    </row>
    <row r="5251" customFormat="false" ht="12.8" hidden="false" customHeight="false" outlineLevel="0" collapsed="false">
      <c r="B5251" s="0" t="s">
        <v>7</v>
      </c>
    </row>
    <row r="5252" customFormat="false" ht="12.8" hidden="false" customHeight="false" outlineLevel="0" collapsed="false">
      <c r="B5252" s="0" t="s">
        <v>2420</v>
      </c>
    </row>
    <row r="5254" customFormat="false" ht="12.8" hidden="false" customHeight="false" outlineLevel="0" collapsed="false">
      <c r="A5254" s="0" t="s">
        <v>2419</v>
      </c>
      <c r="B5254" s="0" t="str">
        <f aca="false">HYPERLINK("https://lindat.mff.cuni.cz/services/teitok/pdtc10/index.php?action=vallex&amp;frame=v-w735f7", "dostat se (v-w735f7) - substituted with v-w735f20_ZU")</f>
        <v>dostat se (v-w735f7) - substituted with v-w735f20_ZU</v>
      </c>
    </row>
    <row r="5255" customFormat="false" ht="12.8" hidden="false" customHeight="false" outlineLevel="0" collapsed="false">
      <c r="B5255" s="0" t="s">
        <v>7</v>
      </c>
      <c r="C5255" s="0" t="s">
        <v>2421</v>
      </c>
      <c r="D5255" s="0" t="s">
        <v>272</v>
      </c>
      <c r="E5255" s="0" t="s">
        <v>272</v>
      </c>
      <c r="F5255" s="0" t="s">
        <v>272</v>
      </c>
    </row>
    <row r="5256" customFormat="false" ht="12.8" hidden="false" customHeight="false" outlineLevel="0" collapsed="false">
      <c r="B5256" s="0" t="s">
        <v>2420</v>
      </c>
      <c r="C5256" s="0" t="s">
        <v>2422</v>
      </c>
      <c r="D5256" s="0" t="s">
        <v>2423</v>
      </c>
      <c r="E5256" s="0" t="s">
        <v>2423</v>
      </c>
      <c r="F5256" s="0" t="s">
        <v>2423</v>
      </c>
    </row>
    <row r="5258" customFormat="false" ht="12.8" hidden="false" customHeight="false" outlineLevel="0" collapsed="false">
      <c r="A5258" s="0" t="s">
        <v>2424</v>
      </c>
      <c r="B5258" s="0" t="str">
        <f aca="false">HYPERLINK("https://lindat.mff.cuni.cz/services/teitok/pdtc10/index.php?action=vallex&amp;frame=v-w735f11", "dostat se (v-w735f11)")</f>
        <v>dostat se (v-w735f11)</v>
      </c>
    </row>
    <row r="5259" customFormat="false" ht="12.8" hidden="false" customHeight="false" outlineLevel="0" collapsed="false">
      <c r="B5259" s="0" t="s">
        <v>7</v>
      </c>
    </row>
    <row r="5260" customFormat="false" ht="12.8" hidden="false" customHeight="false" outlineLevel="0" collapsed="false">
      <c r="B5260" s="0" t="s">
        <v>2425</v>
      </c>
    </row>
    <row r="5262" customFormat="false" ht="12.8" hidden="false" customHeight="false" outlineLevel="0" collapsed="false">
      <c r="A5262" s="0" t="s">
        <v>2426</v>
      </c>
      <c r="B5262" s="0" t="str">
        <f aca="false">HYPERLINK("https://lindat.mff.cuni.cz/services/teitok/pdtc10/index.php?action=vallex&amp;frame=v-w735f10", "dostat se (v-w735f10)")</f>
        <v>dostat se (v-w735f10)</v>
      </c>
    </row>
    <row r="5263" customFormat="false" ht="12.8" hidden="false" customHeight="false" outlineLevel="0" collapsed="false">
      <c r="B5263" s="0" t="s">
        <v>7</v>
      </c>
    </row>
    <row r="5264" customFormat="false" ht="12.8" hidden="false" customHeight="false" outlineLevel="0" collapsed="false">
      <c r="B5264" s="0" t="s">
        <v>2427</v>
      </c>
    </row>
    <row r="5266" customFormat="false" ht="12.8" hidden="false" customHeight="false" outlineLevel="0" collapsed="false">
      <c r="A5266" s="0" t="s">
        <v>2428</v>
      </c>
      <c r="B5266" s="0" t="str">
        <f aca="false">HYPERLINK("https://lindat.mff.cuni.cz/services/teitok/pdtc10/index.php?action=vallex&amp;frame=v-w735f9", "dostat se (v-w735f9)")</f>
        <v>dostat se (v-w735f9)</v>
      </c>
    </row>
    <row r="5267" customFormat="false" ht="12.8" hidden="false" customHeight="false" outlineLevel="0" collapsed="false">
      <c r="B5267" s="0" t="s">
        <v>7</v>
      </c>
    </row>
    <row r="5268" customFormat="false" ht="12.8" hidden="false" customHeight="false" outlineLevel="0" collapsed="false">
      <c r="B5268" s="0" t="s">
        <v>2429</v>
      </c>
    </row>
    <row r="5270" customFormat="false" ht="12.8" hidden="false" customHeight="false" outlineLevel="0" collapsed="false">
      <c r="A5270" s="0" t="s">
        <v>2430</v>
      </c>
      <c r="B5270" s="0" t="str">
        <f aca="false">HYPERLINK("https://lindat.mff.cuni.cz/services/teitok/pdtc10/index.php?action=vallex&amp;frame=v-w735f15_ZU", "dostat se (v-w735f15_ZU)")</f>
        <v>dostat se (v-w735f15_ZU)</v>
      </c>
    </row>
    <row r="5271" customFormat="false" ht="12.8" hidden="false" customHeight="false" outlineLevel="0" collapsed="false">
      <c r="B5271" s="0" t="s">
        <v>7</v>
      </c>
      <c r="C5271" s="0" t="s">
        <v>2431</v>
      </c>
    </row>
    <row r="5272" customFormat="false" ht="12.8" hidden="false" customHeight="false" outlineLevel="0" collapsed="false">
      <c r="B5272" s="0" t="s">
        <v>2432</v>
      </c>
      <c r="C5272" s="0" t="s">
        <v>2433</v>
      </c>
    </row>
    <row r="5274" customFormat="false" ht="12.8" hidden="false" customHeight="false" outlineLevel="0" collapsed="false">
      <c r="A5274" s="0" t="s">
        <v>2430</v>
      </c>
      <c r="B5274" s="0" t="str">
        <f aca="false">HYPERLINK("https://lindat.mff.cuni.cz/services/teitok/pdtc10/index.php?action=vallex&amp;frame=v-w735hsa_258", "dostat se (v-w735hsa_258) - substituted with v-w735f15_ZU")</f>
        <v>dostat se (v-w735hsa_258) - substituted with v-w735f15_ZU</v>
      </c>
    </row>
    <row r="5275" customFormat="false" ht="12.8" hidden="false" customHeight="false" outlineLevel="0" collapsed="false">
      <c r="B5275" s="0" t="s">
        <v>7</v>
      </c>
    </row>
    <row r="5276" customFormat="false" ht="12.8" hidden="false" customHeight="false" outlineLevel="0" collapsed="false">
      <c r="B5276" s="0" t="s">
        <v>2432</v>
      </c>
    </row>
    <row r="5278" customFormat="false" ht="12.8" hidden="false" customHeight="false" outlineLevel="0" collapsed="false">
      <c r="A5278" s="0" t="s">
        <v>2434</v>
      </c>
      <c r="B5278" s="0" t="str">
        <f aca="false">HYPERLINK("https://lindat.mff.cuni.cz/services/teitok/pdtc10/index.php?action=vallex&amp;frame=v-w735f16_ZU", "dostat se (v-w735f16_ZU)")</f>
        <v>dostat se (v-w735f16_ZU)</v>
      </c>
    </row>
    <row r="5279" customFormat="false" ht="12.8" hidden="false" customHeight="false" outlineLevel="0" collapsed="false">
      <c r="B5279" s="0" t="s">
        <v>7</v>
      </c>
    </row>
    <row r="5280" customFormat="false" ht="12.8" hidden="false" customHeight="false" outlineLevel="0" collapsed="false">
      <c r="B5280" s="0" t="s">
        <v>1059</v>
      </c>
    </row>
    <row r="5282" customFormat="false" ht="12.8" hidden="false" customHeight="false" outlineLevel="0" collapsed="false">
      <c r="A5282" s="0" t="s">
        <v>2435</v>
      </c>
      <c r="B5282" s="0" t="str">
        <f aca="false">HYPERLINK("https://lindat.mff.cuni.cz/services/teitok/pdtc10/index.php?action=vallex&amp;frame=v-w735f25_ZU", "dostat se (v-w735f25_ZU)")</f>
        <v>dostat se (v-w735f25_ZU)</v>
      </c>
    </row>
    <row r="5283" customFormat="false" ht="12.8" hidden="false" customHeight="false" outlineLevel="0" collapsed="false">
      <c r="B5283" s="0" t="s">
        <v>7</v>
      </c>
    </row>
    <row r="5284" customFormat="false" ht="12.8" hidden="false" customHeight="false" outlineLevel="0" collapsed="false">
      <c r="B5284" s="0" t="s">
        <v>2436</v>
      </c>
    </row>
    <row r="5286" customFormat="false" ht="12.8" hidden="false" customHeight="false" outlineLevel="0" collapsed="false">
      <c r="A5286" s="0" t="s">
        <v>2437</v>
      </c>
      <c r="B5286" s="0" t="str">
        <f aca="false">HYPERLINK("https://lindat.mff.cuni.cz/services/teitok/pdtc10/index.php?action=vallex&amp;frame=v-w740f1", "dostavit se (v-w740f1)")</f>
        <v>dostavit se (v-w740f1)</v>
      </c>
    </row>
    <row r="5287" customFormat="false" ht="12.8" hidden="false" customHeight="false" outlineLevel="0" collapsed="false">
      <c r="B5287" s="0" t="s">
        <v>7</v>
      </c>
      <c r="C5287" s="0" t="s">
        <v>2438</v>
      </c>
      <c r="D5287" s="0" t="s">
        <v>2439</v>
      </c>
      <c r="E5287" s="0" t="s">
        <v>2439</v>
      </c>
      <c r="F5287" s="0" t="s">
        <v>2439</v>
      </c>
    </row>
    <row r="5288" customFormat="false" ht="12.8" hidden="false" customHeight="false" outlineLevel="0" collapsed="false">
      <c r="B5288" s="0" t="s">
        <v>124</v>
      </c>
      <c r="D5288" s="0" t="s">
        <v>1182</v>
      </c>
      <c r="E5288" s="0" t="s">
        <v>1182</v>
      </c>
      <c r="F5288" s="0" t="s">
        <v>1182</v>
      </c>
    </row>
    <row r="5290" customFormat="false" ht="12.8" hidden="false" customHeight="false" outlineLevel="0" collapsed="false">
      <c r="A5290" s="0" t="s">
        <v>2440</v>
      </c>
      <c r="B5290" s="0" t="str">
        <f aca="false">HYPERLINK("https://lindat.mff.cuni.cz/services/teitok/pdtc10/index.php?action=vallex&amp;frame=v-w740f2", "dostavit se (v-w740f2)")</f>
        <v>dostavit se (v-w740f2)</v>
      </c>
    </row>
    <row r="5291" customFormat="false" ht="12.8" hidden="false" customHeight="false" outlineLevel="0" collapsed="false">
      <c r="B5291" s="0" t="s">
        <v>7</v>
      </c>
      <c r="C5291" s="0" t="s">
        <v>2441</v>
      </c>
      <c r="D5291" s="0" t="s">
        <v>1899</v>
      </c>
      <c r="E5291" s="0" t="s">
        <v>1899</v>
      </c>
      <c r="F5291" s="0" t="s">
        <v>1899</v>
      </c>
    </row>
    <row r="5293" customFormat="false" ht="12.8" hidden="false" customHeight="false" outlineLevel="0" collapsed="false">
      <c r="A5293" s="0" t="s">
        <v>2442</v>
      </c>
      <c r="B5293" s="0" t="str">
        <f aca="false">HYPERLINK("https://lindat.mff.cuni.cz/services/teitok/pdtc10/index.php?action=vallex&amp;frame=v-w741f1", "dostavovat se (v-w741f1)")</f>
        <v>dostavovat se (v-w741f1)</v>
      </c>
    </row>
    <row r="5294" customFormat="false" ht="12.8" hidden="false" customHeight="false" outlineLevel="0" collapsed="false">
      <c r="B5294" s="0" t="s">
        <v>7</v>
      </c>
      <c r="D5294" s="0" t="s">
        <v>2439</v>
      </c>
      <c r="E5294" s="0" t="s">
        <v>2439</v>
      </c>
      <c r="F5294" s="0" t="s">
        <v>2439</v>
      </c>
    </row>
    <row r="5295" customFormat="false" ht="12.8" hidden="false" customHeight="false" outlineLevel="0" collapsed="false">
      <c r="B5295" s="0" t="s">
        <v>124</v>
      </c>
      <c r="D5295" s="0" t="s">
        <v>1182</v>
      </c>
      <c r="E5295" s="0" t="s">
        <v>1182</v>
      </c>
      <c r="F5295" s="0" t="s">
        <v>1182</v>
      </c>
    </row>
    <row r="5297" customFormat="false" ht="12.8" hidden="false" customHeight="false" outlineLevel="0" collapsed="false">
      <c r="A5297" s="0" t="s">
        <v>2443</v>
      </c>
      <c r="B5297" s="0" t="str">
        <f aca="false">HYPERLINK("https://lindat.mff.cuni.cz/services/teitok/pdtc10/index.php?action=vallex&amp;frame=v-w741f2", "dostavovat se (v-w741f2)")</f>
        <v>dostavovat se (v-w741f2)</v>
      </c>
    </row>
    <row r="5298" customFormat="false" ht="12.8" hidden="false" customHeight="false" outlineLevel="0" collapsed="false">
      <c r="B5298" s="0" t="s">
        <v>7</v>
      </c>
      <c r="D5298" s="0" t="s">
        <v>1899</v>
      </c>
      <c r="E5298" s="0" t="s">
        <v>1899</v>
      </c>
      <c r="F5298" s="0" t="s">
        <v>1899</v>
      </c>
    </row>
    <row r="5300" customFormat="false" ht="12.8" hidden="false" customHeight="false" outlineLevel="0" collapsed="false">
      <c r="A5300" s="0" t="s">
        <v>2444</v>
      </c>
      <c r="B5300" s="0" t="str">
        <f aca="false">HYPERLINK("https://lindat.mff.cuni.cz/services/teitok/pdtc10/index.php?action=vallex&amp;frame=v-w739f1", "dostavět (v-w739f1)")</f>
        <v>dostavět (v-w739f1)</v>
      </c>
    </row>
    <row r="5301" customFormat="false" ht="12.8" hidden="false" customHeight="false" outlineLevel="0" collapsed="false">
      <c r="B5301" s="0" t="s">
        <v>7</v>
      </c>
      <c r="D5301" s="0" t="s">
        <v>1937</v>
      </c>
      <c r="E5301" s="0" t="s">
        <v>1937</v>
      </c>
      <c r="F5301" s="0" t="s">
        <v>1937</v>
      </c>
    </row>
    <row r="5302" customFormat="false" ht="12.8" hidden="false" customHeight="false" outlineLevel="0" collapsed="false">
      <c r="B5302" s="0" t="s">
        <v>14</v>
      </c>
      <c r="D5302" s="0" t="s">
        <v>1939</v>
      </c>
      <c r="E5302" s="0" t="s">
        <v>1939</v>
      </c>
      <c r="F5302" s="0" t="s">
        <v>1939</v>
      </c>
    </row>
    <row r="5303" customFormat="false" ht="12.8" hidden="false" customHeight="false" outlineLevel="0" collapsed="false">
      <c r="B5303" s="0" t="s">
        <v>35</v>
      </c>
      <c r="D5303" s="0" t="s">
        <v>1940</v>
      </c>
      <c r="E5303" s="0" t="s">
        <v>1940</v>
      </c>
      <c r="F5303" s="0" t="s">
        <v>1940</v>
      </c>
    </row>
    <row r="5305" customFormat="false" ht="12.8" hidden="false" customHeight="false" outlineLevel="0" collapsed="false">
      <c r="A5305" s="0" t="s">
        <v>2445</v>
      </c>
      <c r="B5305" s="0" t="str">
        <f aca="false">HYPERLINK("https://lindat.mff.cuni.cz/services/teitok/pdtc10/index.php?action=vallex&amp;frame=v-w730f1", "dostačovat (v-w730f1)")</f>
        <v>dostačovat (v-w730f1)</v>
      </c>
    </row>
    <row r="5306" customFormat="false" ht="12.8" hidden="false" customHeight="false" outlineLevel="0" collapsed="false">
      <c r="B5306" s="0" t="s">
        <v>2446</v>
      </c>
    </row>
    <row r="5307" customFormat="false" ht="12.8" hidden="false" customHeight="false" outlineLevel="0" collapsed="false">
      <c r="B5307" s="0" t="s">
        <v>142</v>
      </c>
    </row>
    <row r="5309" customFormat="false" ht="12.8" hidden="false" customHeight="false" outlineLevel="0" collapsed="false">
      <c r="A5309" s="0" t="s">
        <v>2447</v>
      </c>
      <c r="B5309" s="0" t="str">
        <f aca="false">HYPERLINK("https://lindat.mff.cuni.cz/services/teitok/pdtc10/index.php?action=vallex&amp;frame=v-w742f1", "dostihnout (v-w742f1)")</f>
        <v>dostihnout (v-w742f1)</v>
      </c>
    </row>
    <row r="5310" customFormat="false" ht="12.8" hidden="false" customHeight="false" outlineLevel="0" collapsed="false">
      <c r="B5310" s="0" t="s">
        <v>7</v>
      </c>
      <c r="C5310" s="0" t="s">
        <v>2448</v>
      </c>
      <c r="D5310" s="0" t="s">
        <v>16</v>
      </c>
      <c r="E5310" s="0" t="s">
        <v>16</v>
      </c>
      <c r="F5310" s="0" t="s">
        <v>16</v>
      </c>
    </row>
    <row r="5311" customFormat="false" ht="12.8" hidden="false" customHeight="false" outlineLevel="0" collapsed="false">
      <c r="B5311" s="0" t="s">
        <v>14</v>
      </c>
      <c r="C5311" s="0" t="s">
        <v>2449</v>
      </c>
      <c r="D5311" s="0" t="s">
        <v>274</v>
      </c>
      <c r="E5311" s="0" t="s">
        <v>274</v>
      </c>
      <c r="F5311" s="0" t="s">
        <v>274</v>
      </c>
    </row>
    <row r="5313" customFormat="false" ht="12.8" hidden="false" customHeight="false" outlineLevel="0" collapsed="false">
      <c r="A5313" s="0" t="s">
        <v>2450</v>
      </c>
      <c r="B5313" s="0" t="str">
        <f aca="false">HYPERLINK("https://lindat.mff.cuni.cz/services/teitok/pdtc10/index.php?action=vallex&amp;frame=v-w11941_ZUf1_ZU", "dostopovat (v-w11941_ZUf1_ZU)")</f>
        <v>dostopovat (v-w11941_ZUf1_ZU)</v>
      </c>
    </row>
    <row r="5314" customFormat="false" ht="12.8" hidden="false" customHeight="false" outlineLevel="0" collapsed="false">
      <c r="B5314" s="0" t="s">
        <v>7</v>
      </c>
    </row>
    <row r="5315" customFormat="false" ht="12.8" hidden="false" customHeight="false" outlineLevel="0" collapsed="false">
      <c r="B5315" s="0" t="s">
        <v>338</v>
      </c>
    </row>
    <row r="5317" customFormat="false" ht="12.8" hidden="false" customHeight="false" outlineLevel="0" collapsed="false">
      <c r="A5317" s="0" t="s">
        <v>2451</v>
      </c>
      <c r="B5317" s="0" t="str">
        <f aca="false">HYPERLINK("https://lindat.mff.cuni.cz/services/teitok/pdtc10/index.php?action=vallex&amp;frame=v-whsa_700f1_ZU", "dostoupit (v-whsa_700f1_ZU)")</f>
        <v>dostoupit (v-whsa_700f1_ZU)</v>
      </c>
    </row>
    <row r="5318" customFormat="false" ht="12.8" hidden="false" customHeight="false" outlineLevel="0" collapsed="false">
      <c r="B5318" s="0" t="s">
        <v>7</v>
      </c>
    </row>
    <row r="5319" customFormat="false" ht="12.8" hidden="false" customHeight="false" outlineLevel="0" collapsed="false">
      <c r="B5319" s="0" t="s">
        <v>124</v>
      </c>
    </row>
    <row r="5321" customFormat="false" ht="12.8" hidden="false" customHeight="false" outlineLevel="0" collapsed="false">
      <c r="A5321" s="0" t="s">
        <v>2451</v>
      </c>
      <c r="B5321" s="0" t="str">
        <f aca="false">HYPERLINK("https://lindat.mff.cuni.cz/services/teitok/pdtc10/index.php?action=vallex&amp;frame=v-whsa_700hsa_701", "dostoupit (v-whsa_700hsa_701) - substituted with v-whsa_700f1_ZU")</f>
        <v>dostoupit (v-whsa_700hsa_701) - substituted with v-whsa_700f1_ZU</v>
      </c>
    </row>
    <row r="5322" customFormat="false" ht="12.8" hidden="false" customHeight="false" outlineLevel="0" collapsed="false">
      <c r="B5322" s="0" t="s">
        <v>7</v>
      </c>
    </row>
    <row r="5323" customFormat="false" ht="12.8" hidden="false" customHeight="false" outlineLevel="0" collapsed="false">
      <c r="B5323" s="0" t="s">
        <v>124</v>
      </c>
    </row>
    <row r="5325" customFormat="false" ht="12.8" hidden="false" customHeight="false" outlineLevel="0" collapsed="false">
      <c r="A5325" s="0" t="s">
        <v>2452</v>
      </c>
      <c r="B5325" s="0" t="str">
        <f aca="false">HYPERLINK("https://lindat.mff.cuni.cz/services/teitok/pdtc10/index.php?action=vallex&amp;frame=v-whsa_700f2_ZU", "dostoupit (v-whsa_700f2_ZU)")</f>
        <v>dostoupit (v-whsa_700f2_ZU)</v>
      </c>
    </row>
    <row r="5326" customFormat="false" ht="12.8" hidden="false" customHeight="false" outlineLevel="0" collapsed="false">
      <c r="B5326" s="0" t="s">
        <v>7</v>
      </c>
    </row>
    <row r="5327" customFormat="false" ht="12.8" hidden="false" customHeight="false" outlineLevel="0" collapsed="false">
      <c r="B5327" s="0" t="s">
        <v>1087</v>
      </c>
    </row>
    <row r="5329" customFormat="false" ht="12.8" hidden="false" customHeight="false" outlineLevel="0" collapsed="false">
      <c r="A5329" s="0" t="s">
        <v>2453</v>
      </c>
      <c r="B5329" s="0" t="str">
        <f aca="false">HYPERLINK("https://lindat.mff.cuni.cz/services/teitok/pdtc10/index.php?action=vallex&amp;frame=v-w743f1", "dostrkat (v-w743f1)")</f>
        <v>dostrkat (v-w743f1)</v>
      </c>
    </row>
    <row r="5330" customFormat="false" ht="12.8" hidden="false" customHeight="false" outlineLevel="0" collapsed="false">
      <c r="B5330" s="0" t="s">
        <v>7</v>
      </c>
    </row>
    <row r="5331" customFormat="false" ht="12.8" hidden="false" customHeight="false" outlineLevel="0" collapsed="false">
      <c r="B5331" s="0" t="s">
        <v>14</v>
      </c>
    </row>
    <row r="5332" customFormat="false" ht="12.8" hidden="false" customHeight="false" outlineLevel="0" collapsed="false">
      <c r="B5332" s="0" t="s">
        <v>124</v>
      </c>
    </row>
    <row r="5334" customFormat="false" ht="12.8" hidden="false" customHeight="false" outlineLevel="0" collapsed="false">
      <c r="A5334" s="0" t="s">
        <v>2454</v>
      </c>
      <c r="B5334" s="0" t="str">
        <f aca="false">HYPERLINK("https://lindat.mff.cuni.cz/services/teitok/pdtc10/index.php?action=vallex&amp;frame=v-whsa_930hsa_931", "dostudovat (v-whsa_930hsa_931)")</f>
        <v>dostudovat (v-whsa_930hsa_931)</v>
      </c>
    </row>
    <row r="5335" customFormat="false" ht="12.8" hidden="false" customHeight="false" outlineLevel="0" collapsed="false">
      <c r="B5335" s="0" t="s">
        <v>7</v>
      </c>
    </row>
    <row r="5336" customFormat="false" ht="12.8" hidden="false" customHeight="false" outlineLevel="0" collapsed="false">
      <c r="B5336" s="0" t="s">
        <v>14</v>
      </c>
    </row>
    <row r="5338" customFormat="false" ht="12.8" hidden="false" customHeight="false" outlineLevel="0" collapsed="false">
      <c r="A5338" s="0" t="s">
        <v>2455</v>
      </c>
      <c r="B5338" s="0" t="str">
        <f aca="false">HYPERLINK("https://lindat.mff.cuni.cz/services/teitok/pdtc10/index.php?action=vallex&amp;frame=v-whsa_930hsa_932", "dostudovat (v-whsa_930hsa_932)")</f>
        <v>dostudovat (v-whsa_930hsa_932)</v>
      </c>
    </row>
    <row r="5339" customFormat="false" ht="12.8" hidden="false" customHeight="false" outlineLevel="0" collapsed="false">
      <c r="B5339" s="0" t="s">
        <v>7</v>
      </c>
    </row>
    <row r="5340" customFormat="false" ht="12.8" hidden="false" customHeight="false" outlineLevel="0" collapsed="false">
      <c r="B5340" s="0" t="s">
        <v>14</v>
      </c>
    </row>
    <row r="5342" customFormat="false" ht="12.8" hidden="false" customHeight="false" outlineLevel="0" collapsed="false">
      <c r="A5342" s="0" t="s">
        <v>2456</v>
      </c>
      <c r="B5342" s="0" t="str">
        <f aca="false">HYPERLINK("https://lindat.mff.cuni.cz/services/teitok/pdtc10/index.php?action=vallex&amp;frame=v-w11701_ZUf1_ZU", "dostudovávat (v-w11701_ZUf1_ZU)")</f>
        <v>dostudovávat (v-w11701_ZUf1_ZU)</v>
      </c>
    </row>
    <row r="5343" customFormat="false" ht="12.8" hidden="false" customHeight="false" outlineLevel="0" collapsed="false">
      <c r="B5343" s="0" t="s">
        <v>7</v>
      </c>
    </row>
    <row r="5344" customFormat="false" ht="12.8" hidden="false" customHeight="false" outlineLevel="0" collapsed="false">
      <c r="B5344" s="0" t="s">
        <v>14</v>
      </c>
    </row>
    <row r="5346" customFormat="false" ht="12.8" hidden="false" customHeight="false" outlineLevel="0" collapsed="false">
      <c r="A5346" s="0" t="s">
        <v>2457</v>
      </c>
      <c r="B5346" s="0" t="str">
        <f aca="false">HYPERLINK("https://lindat.mff.cuni.cz/services/teitok/pdtc10/index.php?action=vallex&amp;frame=v-w733f1", "dostát (v-w733f1)")</f>
        <v>dostát (v-w733f1)</v>
      </c>
    </row>
    <row r="5347" customFormat="false" ht="12.8" hidden="false" customHeight="false" outlineLevel="0" collapsed="false">
      <c r="B5347" s="0" t="s">
        <v>7</v>
      </c>
      <c r="C5347" s="0" t="s">
        <v>2458</v>
      </c>
      <c r="D5347" s="0" t="s">
        <v>1771</v>
      </c>
      <c r="E5347" s="0" t="s">
        <v>1771</v>
      </c>
      <c r="F5347" s="0" t="s">
        <v>1771</v>
      </c>
    </row>
    <row r="5348" customFormat="false" ht="12.8" hidden="false" customHeight="false" outlineLevel="0" collapsed="false">
      <c r="B5348" s="0" t="s">
        <v>142</v>
      </c>
      <c r="C5348" s="0" t="s">
        <v>2459</v>
      </c>
      <c r="D5348" s="0" t="s">
        <v>1773</v>
      </c>
      <c r="E5348" s="0" t="s">
        <v>1773</v>
      </c>
      <c r="F5348" s="0" t="s">
        <v>1773</v>
      </c>
    </row>
    <row r="5350" customFormat="false" ht="12.8" hidden="false" customHeight="false" outlineLevel="0" collapsed="false">
      <c r="A5350" s="0" t="s">
        <v>2460</v>
      </c>
      <c r="B5350" s="0" t="str">
        <f aca="false">HYPERLINK("https://lindat.mff.cuni.cz/services/teitok/pdtc10/index.php?action=vallex&amp;frame=v-w736f15_ZU", "dostávat (v-w736f15_ZU)")</f>
        <v>dostávat (v-w736f15_ZU)</v>
      </c>
    </row>
    <row r="5351" customFormat="false" ht="12.8" hidden="false" customHeight="false" outlineLevel="0" collapsed="false">
      <c r="B5351" s="0" t="s">
        <v>7</v>
      </c>
    </row>
    <row r="5352" customFormat="false" ht="12.8" hidden="false" customHeight="false" outlineLevel="0" collapsed="false">
      <c r="B5352" s="0" t="s">
        <v>54</v>
      </c>
    </row>
    <row r="5353" customFormat="false" ht="12.8" hidden="false" customHeight="false" outlineLevel="0" collapsed="false">
      <c r="B5353" s="0" t="s">
        <v>1349</v>
      </c>
    </row>
    <row r="5355" customFormat="false" ht="12.8" hidden="false" customHeight="false" outlineLevel="0" collapsed="false">
      <c r="A5355" s="0" t="s">
        <v>2460</v>
      </c>
      <c r="B5355" s="0" t="str">
        <f aca="false">HYPERLINK("https://lindat.mff.cuni.cz/services/teitok/pdtc10/index.php?action=vallex&amp;frame=v-w736f1", "dostávat (v-w736f1) - substituted with v-w736f15_ZU")</f>
        <v>dostávat (v-w736f1) - substituted with v-w736f15_ZU</v>
      </c>
    </row>
    <row r="5356" customFormat="false" ht="12.8" hidden="false" customHeight="false" outlineLevel="0" collapsed="false">
      <c r="B5356" s="0" t="s">
        <v>7</v>
      </c>
      <c r="C5356" s="0" t="s">
        <v>2461</v>
      </c>
      <c r="D5356" s="0" t="s">
        <v>2299</v>
      </c>
      <c r="E5356" s="0" t="s">
        <v>2299</v>
      </c>
      <c r="F5356" s="0" t="s">
        <v>2299</v>
      </c>
    </row>
    <row r="5357" customFormat="false" ht="12.8" hidden="false" customHeight="false" outlineLevel="0" collapsed="false">
      <c r="B5357" s="0" t="s">
        <v>54</v>
      </c>
      <c r="C5357" s="0" t="s">
        <v>2462</v>
      </c>
      <c r="D5357" s="0" t="s">
        <v>2301</v>
      </c>
      <c r="E5357" s="0" t="s">
        <v>2301</v>
      </c>
      <c r="F5357" s="0" t="s">
        <v>2301</v>
      </c>
    </row>
    <row r="5358" customFormat="false" ht="12.8" hidden="false" customHeight="false" outlineLevel="0" collapsed="false">
      <c r="B5358" s="0" t="s">
        <v>1349</v>
      </c>
      <c r="C5358" s="0" t="s">
        <v>2463</v>
      </c>
      <c r="D5358" s="0" t="s">
        <v>2303</v>
      </c>
      <c r="E5358" s="0" t="s">
        <v>2303</v>
      </c>
      <c r="F5358" s="0" t="s">
        <v>2303</v>
      </c>
    </row>
    <row r="5360" customFormat="false" ht="12.8" hidden="false" customHeight="false" outlineLevel="0" collapsed="false">
      <c r="A5360" s="0" t="s">
        <v>2464</v>
      </c>
      <c r="B5360" s="0" t="str">
        <f aca="false">HYPERLINK("https://lindat.mff.cuni.cz/services/teitok/pdtc10/index.php?action=vallex&amp;frame=v-w736f3", "dostávat (v-w736f3)")</f>
        <v>dostávat (v-w736f3)</v>
      </c>
    </row>
    <row r="5361" customFormat="false" ht="12.8" hidden="false" customHeight="false" outlineLevel="0" collapsed="false">
      <c r="B5361" s="0" t="s">
        <v>7</v>
      </c>
      <c r="C5361" s="0" t="s">
        <v>2465</v>
      </c>
      <c r="D5361" s="0" t="s">
        <v>2299</v>
      </c>
      <c r="E5361" s="0" t="s">
        <v>2299</v>
      </c>
      <c r="F5361" s="0" t="s">
        <v>2299</v>
      </c>
    </row>
    <row r="5362" customFormat="false" ht="12.8" hidden="false" customHeight="false" outlineLevel="0" collapsed="false">
      <c r="B5362" s="0" t="s">
        <v>14</v>
      </c>
      <c r="C5362" s="0" t="s">
        <v>2466</v>
      </c>
      <c r="D5362" s="0" t="s">
        <v>2301</v>
      </c>
      <c r="E5362" s="0" t="s">
        <v>2301</v>
      </c>
      <c r="F5362" s="0" t="s">
        <v>2301</v>
      </c>
    </row>
    <row r="5363" customFormat="false" ht="12.8" hidden="false" customHeight="false" outlineLevel="0" collapsed="false">
      <c r="B5363" s="0" t="s">
        <v>441</v>
      </c>
      <c r="D5363" s="0" t="s">
        <v>2303</v>
      </c>
      <c r="E5363" s="0" t="s">
        <v>2303</v>
      </c>
      <c r="F5363" s="0" t="s">
        <v>2303</v>
      </c>
    </row>
    <row r="5365" customFormat="false" ht="12.8" hidden="false" customHeight="false" outlineLevel="0" collapsed="false">
      <c r="A5365" s="0" t="s">
        <v>2467</v>
      </c>
      <c r="B5365" s="0" t="str">
        <f aca="false">HYPERLINK("https://lindat.mff.cuni.cz/services/teitok/pdtc10/index.php?action=vallex&amp;frame=v-w736f4", "dostávat (v-w736f4)")</f>
        <v>dostávat (v-w736f4)</v>
      </c>
    </row>
    <row r="5366" customFormat="false" ht="12.8" hidden="false" customHeight="false" outlineLevel="0" collapsed="false">
      <c r="B5366" s="0" t="s">
        <v>7</v>
      </c>
      <c r="D5366" s="0" t="s">
        <v>1378</v>
      </c>
      <c r="E5366" s="0" t="s">
        <v>1378</v>
      </c>
      <c r="F5366" s="0" t="s">
        <v>1378</v>
      </c>
    </row>
    <row r="5367" customFormat="false" ht="12.8" hidden="false" customHeight="false" outlineLevel="0" collapsed="false">
      <c r="B5367" s="0" t="s">
        <v>14</v>
      </c>
      <c r="D5367" s="0" t="s">
        <v>18</v>
      </c>
      <c r="E5367" s="0" t="s">
        <v>18</v>
      </c>
      <c r="F5367" s="0" t="s">
        <v>18</v>
      </c>
    </row>
    <row r="5368" customFormat="false" ht="12.8" hidden="false" customHeight="false" outlineLevel="0" collapsed="false">
      <c r="B5368" s="0" t="s">
        <v>2339</v>
      </c>
    </row>
    <row r="5370" customFormat="false" ht="12.8" hidden="false" customHeight="false" outlineLevel="0" collapsed="false">
      <c r="A5370" s="0" t="s">
        <v>2468</v>
      </c>
      <c r="B5370" s="0" t="str">
        <f aca="false">HYPERLINK("https://lindat.mff.cuni.cz/services/teitok/pdtc10/index.php?action=vallex&amp;frame=v-w736f7", "dostávat (v-w736f7)")</f>
        <v>dostávat (v-w736f7)</v>
      </c>
    </row>
    <row r="5371" customFormat="false" ht="12.8" hidden="false" customHeight="false" outlineLevel="0" collapsed="false">
      <c r="B5371" s="0" t="s">
        <v>7</v>
      </c>
    </row>
    <row r="5372" customFormat="false" ht="12.8" hidden="false" customHeight="false" outlineLevel="0" collapsed="false">
      <c r="B5372" s="0" t="s">
        <v>2313</v>
      </c>
    </row>
    <row r="5373" customFormat="false" ht="12.8" hidden="false" customHeight="false" outlineLevel="0" collapsed="false">
      <c r="B5373" s="0" t="s">
        <v>2314</v>
      </c>
    </row>
    <row r="5374" customFormat="false" ht="12.8" hidden="false" customHeight="false" outlineLevel="0" collapsed="false">
      <c r="B5374" s="0" t="s">
        <v>441</v>
      </c>
    </row>
    <row r="5376" customFormat="false" ht="12.8" hidden="false" customHeight="false" outlineLevel="0" collapsed="false">
      <c r="A5376" s="0" t="s">
        <v>2469</v>
      </c>
      <c r="B5376" s="0" t="str">
        <f aca="false">HYPERLINK("https://lindat.mff.cuni.cz/services/teitok/pdtc10/index.php?action=vallex&amp;frame=v-w736f5", "dostávat (v-w736f5)")</f>
        <v>dostávat (v-w736f5)</v>
      </c>
    </row>
    <row r="5377" customFormat="false" ht="12.8" hidden="false" customHeight="false" outlineLevel="0" collapsed="false">
      <c r="B5377" s="0" t="s">
        <v>7</v>
      </c>
    </row>
    <row r="5378" customFormat="false" ht="12.8" hidden="false" customHeight="false" outlineLevel="0" collapsed="false">
      <c r="B5378" s="0" t="s">
        <v>14</v>
      </c>
    </row>
    <row r="5379" customFormat="false" ht="12.8" hidden="false" customHeight="false" outlineLevel="0" collapsed="false">
      <c r="B5379" s="0" t="s">
        <v>459</v>
      </c>
    </row>
    <row r="5381" customFormat="false" ht="12.8" hidden="false" customHeight="false" outlineLevel="0" collapsed="false">
      <c r="A5381" s="0" t="s">
        <v>2470</v>
      </c>
      <c r="B5381" s="0" t="str">
        <f aca="false">HYPERLINK("https://lindat.mff.cuni.cz/services/teitok/pdtc10/index.php?action=vallex&amp;frame=v-w736f8", "dostávat (v-w736f8)")</f>
        <v>dostávat (v-w736f8)</v>
      </c>
    </row>
    <row r="5382" customFormat="false" ht="12.8" hidden="false" customHeight="false" outlineLevel="0" collapsed="false">
      <c r="B5382" s="0" t="s">
        <v>7</v>
      </c>
    </row>
    <row r="5383" customFormat="false" ht="12.8" hidden="false" customHeight="false" outlineLevel="0" collapsed="false">
      <c r="B5383" s="0" t="s">
        <v>14</v>
      </c>
    </row>
    <row r="5384" customFormat="false" ht="12.8" hidden="false" customHeight="false" outlineLevel="0" collapsed="false">
      <c r="B5384" s="0" t="s">
        <v>459</v>
      </c>
    </row>
    <row r="5386" customFormat="false" ht="12.8" hidden="false" customHeight="false" outlineLevel="0" collapsed="false">
      <c r="A5386" s="0" t="s">
        <v>2471</v>
      </c>
      <c r="B5386" s="0" t="str">
        <f aca="false">HYPERLINK("https://lindat.mff.cuni.cz/services/teitok/pdtc10/index.php?action=vallex&amp;frame=v-w736f11", "dostávat (v-w736f11)")</f>
        <v>dostávat (v-w736f11)</v>
      </c>
    </row>
    <row r="5387" customFormat="false" ht="12.8" hidden="false" customHeight="false" outlineLevel="0" collapsed="false">
      <c r="B5387" s="0" t="s">
        <v>7</v>
      </c>
      <c r="C5387" s="0" t="s">
        <v>113</v>
      </c>
      <c r="D5387" s="0" t="s">
        <v>2323</v>
      </c>
      <c r="E5387" s="0" t="s">
        <v>2323</v>
      </c>
      <c r="F5387" s="0" t="s">
        <v>2323</v>
      </c>
    </row>
    <row r="5388" customFormat="false" ht="12.8" hidden="false" customHeight="false" outlineLevel="0" collapsed="false">
      <c r="B5388" s="0" t="s">
        <v>14</v>
      </c>
      <c r="C5388" s="0" t="s">
        <v>151</v>
      </c>
      <c r="D5388" s="0" t="s">
        <v>1918</v>
      </c>
      <c r="E5388" s="0" t="s">
        <v>1918</v>
      </c>
      <c r="F5388" s="0" t="s">
        <v>1918</v>
      </c>
    </row>
    <row r="5389" customFormat="false" ht="12.8" hidden="false" customHeight="false" outlineLevel="0" collapsed="false">
      <c r="B5389" s="0" t="s">
        <v>279</v>
      </c>
      <c r="D5389" s="0" t="s">
        <v>2325</v>
      </c>
      <c r="E5389" s="0" t="s">
        <v>2325</v>
      </c>
      <c r="F5389" s="0" t="s">
        <v>2325</v>
      </c>
    </row>
    <row r="5391" customFormat="false" ht="12.8" hidden="false" customHeight="false" outlineLevel="0" collapsed="false">
      <c r="A5391" s="0" t="s">
        <v>2472</v>
      </c>
      <c r="B5391" s="0" t="str">
        <f aca="false">HYPERLINK("https://lindat.mff.cuni.cz/services/teitok/pdtc10/index.php?action=vallex&amp;frame=v-w736f6", "dostávat (v-w736f6)")</f>
        <v>dostávat (v-w736f6)</v>
      </c>
    </row>
    <row r="5392" customFormat="false" ht="12.8" hidden="false" customHeight="false" outlineLevel="0" collapsed="false">
      <c r="B5392" s="0" t="s">
        <v>7</v>
      </c>
      <c r="D5392" s="0" t="s">
        <v>2235</v>
      </c>
      <c r="E5392" s="0" t="s">
        <v>2235</v>
      </c>
      <c r="F5392" s="0" t="s">
        <v>2235</v>
      </c>
    </row>
    <row r="5393" customFormat="false" ht="12.8" hidden="false" customHeight="false" outlineLevel="0" collapsed="false">
      <c r="B5393" s="0" t="s">
        <v>14</v>
      </c>
      <c r="D5393" s="0" t="s">
        <v>2237</v>
      </c>
      <c r="E5393" s="0" t="s">
        <v>2237</v>
      </c>
      <c r="F5393" s="0" t="s">
        <v>2237</v>
      </c>
    </row>
    <row r="5394" customFormat="false" ht="12.8" hidden="false" customHeight="false" outlineLevel="0" collapsed="false">
      <c r="B5394" s="0" t="s">
        <v>124</v>
      </c>
      <c r="D5394" s="0" t="s">
        <v>2238</v>
      </c>
      <c r="E5394" s="0" t="s">
        <v>2238</v>
      </c>
      <c r="F5394" s="0" t="s">
        <v>2238</v>
      </c>
    </row>
    <row r="5396" customFormat="false" ht="12.8" hidden="false" customHeight="false" outlineLevel="0" collapsed="false">
      <c r="A5396" s="0" t="s">
        <v>2473</v>
      </c>
      <c r="B5396" s="0" t="str">
        <f aca="false">HYPERLINK("https://lindat.mff.cuni.cz/services/teitok/pdtc10/index.php?action=vallex&amp;frame=v-w736f10", "dostávat (v-w736f10)")</f>
        <v>dostávat (v-w736f10)</v>
      </c>
    </row>
    <row r="5397" customFormat="false" ht="12.8" hidden="false" customHeight="false" outlineLevel="0" collapsed="false">
      <c r="B5397" s="0" t="s">
        <v>7</v>
      </c>
    </row>
    <row r="5398" customFormat="false" ht="12.8" hidden="false" customHeight="false" outlineLevel="0" collapsed="false">
      <c r="B5398" s="0" t="s">
        <v>142</v>
      </c>
    </row>
    <row r="5400" customFormat="false" ht="12.8" hidden="false" customHeight="false" outlineLevel="0" collapsed="false">
      <c r="A5400" s="0" t="s">
        <v>2474</v>
      </c>
      <c r="B5400" s="0" t="str">
        <f aca="false">HYPERLINK("https://lindat.mff.cuni.cz/services/teitok/pdtc10/index.php?action=vallex&amp;frame=v-w736f13", "dostávat (v-w736f13)")</f>
        <v>dostávat (v-w736f13)</v>
      </c>
    </row>
    <row r="5401" customFormat="false" ht="12.8" hidden="false" customHeight="false" outlineLevel="0" collapsed="false">
      <c r="B5401" s="0" t="s">
        <v>7</v>
      </c>
      <c r="D5401" s="0" t="s">
        <v>2332</v>
      </c>
      <c r="E5401" s="0" t="s">
        <v>2332</v>
      </c>
      <c r="F5401" s="0" t="s">
        <v>2332</v>
      </c>
    </row>
    <row r="5402" customFormat="false" ht="12.8" hidden="false" customHeight="false" outlineLevel="0" collapsed="false">
      <c r="B5402" s="0" t="s">
        <v>14</v>
      </c>
      <c r="D5402" s="0" t="s">
        <v>2334</v>
      </c>
      <c r="E5402" s="0" t="s">
        <v>2334</v>
      </c>
      <c r="F5402" s="0" t="s">
        <v>2334</v>
      </c>
    </row>
    <row r="5404" customFormat="false" ht="12.8" hidden="false" customHeight="false" outlineLevel="0" collapsed="false">
      <c r="A5404" s="0" t="s">
        <v>2475</v>
      </c>
      <c r="B5404" s="0" t="str">
        <f aca="false">HYPERLINK("https://lindat.mff.cuni.cz/services/teitok/pdtc10/index.php?action=vallex&amp;frame=v-w736f9", "dostávat (v-w736f9)")</f>
        <v>dostávat (v-w736f9)</v>
      </c>
    </row>
    <row r="5405" customFormat="false" ht="12.8" hidden="false" customHeight="false" outlineLevel="0" collapsed="false">
      <c r="B5405" s="0" t="s">
        <v>7</v>
      </c>
    </row>
    <row r="5406" customFormat="false" ht="12.8" hidden="false" customHeight="false" outlineLevel="0" collapsed="false">
      <c r="B5406" s="0" t="s">
        <v>14</v>
      </c>
    </row>
    <row r="5408" customFormat="false" ht="12.8" hidden="false" customHeight="false" outlineLevel="0" collapsed="false">
      <c r="A5408" s="0" t="s">
        <v>2476</v>
      </c>
      <c r="B5408" s="0" t="str">
        <f aca="false">HYPERLINK("https://lindat.mff.cuni.cz/services/teitok/pdtc10/index.php?action=vallex&amp;frame=v-w736f12", "dostávat (v-w736f12)")</f>
        <v>dostávat (v-w736f12)</v>
      </c>
    </row>
    <row r="5409" customFormat="false" ht="12.8" hidden="false" customHeight="false" outlineLevel="0" collapsed="false">
      <c r="B5409" s="0" t="s">
        <v>7</v>
      </c>
    </row>
    <row r="5410" customFormat="false" ht="12.8" hidden="false" customHeight="false" outlineLevel="0" collapsed="false">
      <c r="B5410" s="0" t="s">
        <v>14</v>
      </c>
    </row>
    <row r="5412" customFormat="false" ht="12.8" hidden="false" customHeight="false" outlineLevel="0" collapsed="false">
      <c r="A5412" s="0" t="s">
        <v>2477</v>
      </c>
      <c r="B5412" s="0" t="str">
        <f aca="false">HYPERLINK("https://lindat.mff.cuni.cz/services/teitok/pdtc10/index.php?action=vallex&amp;frame=v-w736f14_ZU", "dostávat (v-w736f14_ZU)")</f>
        <v>dostávat (v-w736f14_ZU)</v>
      </c>
    </row>
    <row r="5413" customFormat="false" ht="12.8" hidden="false" customHeight="false" outlineLevel="0" collapsed="false">
      <c r="B5413" s="0" t="s">
        <v>7</v>
      </c>
      <c r="C5413" s="0" t="s">
        <v>316</v>
      </c>
      <c r="D5413" s="0" t="s">
        <v>1725</v>
      </c>
      <c r="E5413" s="0" t="s">
        <v>1725</v>
      </c>
      <c r="F5413" s="0" t="s">
        <v>1725</v>
      </c>
    </row>
    <row r="5414" customFormat="false" ht="12.8" hidden="false" customHeight="false" outlineLevel="0" collapsed="false">
      <c r="B5414" s="0" t="s">
        <v>2478</v>
      </c>
      <c r="C5414" s="0" t="s">
        <v>2479</v>
      </c>
      <c r="D5414" s="0" t="s">
        <v>2353</v>
      </c>
      <c r="E5414" s="0" t="s">
        <v>2353</v>
      </c>
      <c r="F5414" s="0" t="s">
        <v>2353</v>
      </c>
    </row>
    <row r="5415" customFormat="false" ht="12.8" hidden="false" customHeight="false" outlineLevel="0" collapsed="false">
      <c r="B5415" s="0" t="s">
        <v>2339</v>
      </c>
      <c r="C5415" s="0" t="s">
        <v>2480</v>
      </c>
      <c r="D5415" s="0" t="s">
        <v>1730</v>
      </c>
      <c r="E5415" s="0" t="s">
        <v>1730</v>
      </c>
      <c r="F5415" s="0" t="s">
        <v>1730</v>
      </c>
    </row>
    <row r="5417" customFormat="false" ht="12.8" hidden="false" customHeight="false" outlineLevel="0" collapsed="false">
      <c r="A5417" s="0" t="s">
        <v>2477</v>
      </c>
      <c r="B5417" s="0" t="str">
        <f aca="false">HYPERLINK("https://lindat.mff.cuni.cz/services/teitok/pdtc10/index.php?action=vallex&amp;frame=v-w736f2", "dostávat (v-w736f2) - substituted with v-w736f14_ZU")</f>
        <v>dostávat (v-w736f2) - substituted with v-w736f14_ZU</v>
      </c>
    </row>
    <row r="5418" customFormat="false" ht="12.8" hidden="false" customHeight="false" outlineLevel="0" collapsed="false">
      <c r="B5418" s="0" t="s">
        <v>7</v>
      </c>
      <c r="C5418" s="0" t="s">
        <v>2481</v>
      </c>
    </row>
    <row r="5419" customFormat="false" ht="12.8" hidden="false" customHeight="false" outlineLevel="0" collapsed="false">
      <c r="B5419" s="0" t="s">
        <v>2478</v>
      </c>
      <c r="C5419" s="0" t="s">
        <v>2482</v>
      </c>
    </row>
    <row r="5420" customFormat="false" ht="12.8" hidden="false" customHeight="false" outlineLevel="0" collapsed="false">
      <c r="B5420" s="0" t="s">
        <v>2339</v>
      </c>
      <c r="C5420" s="0" t="s">
        <v>1729</v>
      </c>
    </row>
    <row r="5422" customFormat="false" ht="12.8" hidden="false" customHeight="false" outlineLevel="0" collapsed="false">
      <c r="A5422" s="0" t="s">
        <v>2477</v>
      </c>
      <c r="B5422" s="0" t="str">
        <f aca="false">HYPERLINK("https://lindat.mff.cuni.cz/services/teitok/pdtc10/index.php?action=vallex&amp;frame=v-w736hsa_402", "dostávat (v-w736hsa_402) - substituted with v-w736f14_ZU")</f>
        <v>dostávat (v-w736hsa_402) - substituted with v-w736f14_ZU</v>
      </c>
    </row>
    <row r="5423" customFormat="false" ht="12.8" hidden="false" customHeight="false" outlineLevel="0" collapsed="false">
      <c r="B5423" s="0" t="s">
        <v>7</v>
      </c>
    </row>
    <row r="5424" customFormat="false" ht="12.8" hidden="false" customHeight="false" outlineLevel="0" collapsed="false">
      <c r="B5424" s="0" t="s">
        <v>2478</v>
      </c>
    </row>
    <row r="5425" customFormat="false" ht="12.8" hidden="false" customHeight="false" outlineLevel="0" collapsed="false">
      <c r="B5425" s="0" t="s">
        <v>2339</v>
      </c>
    </row>
    <row r="5427" customFormat="false" ht="12.8" hidden="false" customHeight="false" outlineLevel="0" collapsed="false">
      <c r="A5427" s="0" t="s">
        <v>2483</v>
      </c>
      <c r="B5427" s="0" t="str">
        <f aca="false">HYPERLINK("https://lindat.mff.cuni.cz/services/teitok/pdtc10/index.php?action=vallex&amp;frame=v-w736f16_ZU", "dostávat (v-w736f16_ZU)")</f>
        <v>dostávat (v-w736f16_ZU)</v>
      </c>
    </row>
    <row r="5428" customFormat="false" ht="12.8" hidden="false" customHeight="false" outlineLevel="0" collapsed="false">
      <c r="B5428" s="0" t="s">
        <v>7</v>
      </c>
    </row>
    <row r="5429" customFormat="false" ht="12.8" hidden="false" customHeight="false" outlineLevel="0" collapsed="false">
      <c r="B5429" s="0" t="s">
        <v>2380</v>
      </c>
    </row>
    <row r="5431" customFormat="false" ht="12.8" hidden="false" customHeight="false" outlineLevel="0" collapsed="false">
      <c r="A5431" s="0" t="s">
        <v>2483</v>
      </c>
      <c r="B5431" s="0" t="str">
        <f aca="false">HYPERLINK("https://lindat.mff.cuni.cz/services/teitok/pdtc10/index.php?action=vallex&amp;frame=v-w736hsa_302", "dostávat (v-w736hsa_302) - substituted with v-w736f16_ZU")</f>
        <v>dostávat (v-w736hsa_302) - substituted with v-w736f16_ZU</v>
      </c>
    </row>
    <row r="5432" customFormat="false" ht="12.8" hidden="false" customHeight="false" outlineLevel="0" collapsed="false">
      <c r="B5432" s="0" t="s">
        <v>7</v>
      </c>
    </row>
    <row r="5433" customFormat="false" ht="12.8" hidden="false" customHeight="false" outlineLevel="0" collapsed="false">
      <c r="B5433" s="0" t="s">
        <v>2380</v>
      </c>
    </row>
    <row r="5435" customFormat="false" ht="12.8" hidden="false" customHeight="false" outlineLevel="0" collapsed="false">
      <c r="A5435" s="0" t="s">
        <v>2484</v>
      </c>
      <c r="B5435" s="0" t="str">
        <f aca="false">HYPERLINK("https://lindat.mff.cuni.cz/services/teitok/pdtc10/index.php?action=vallex&amp;frame=v-w737f2", "dostávat se (v-w737f2)")</f>
        <v>dostávat se (v-w737f2)</v>
      </c>
    </row>
    <row r="5436" customFormat="false" ht="12.8" hidden="false" customHeight="false" outlineLevel="0" collapsed="false">
      <c r="B5436" s="0" t="s">
        <v>603</v>
      </c>
      <c r="C5436" s="0" t="s">
        <v>2485</v>
      </c>
      <c r="D5436" s="0" t="s">
        <v>1725</v>
      </c>
      <c r="E5436" s="0" t="s">
        <v>1725</v>
      </c>
      <c r="F5436" s="0" t="s">
        <v>1725</v>
      </c>
    </row>
    <row r="5437" customFormat="false" ht="12.8" hidden="false" customHeight="false" outlineLevel="0" collapsed="false">
      <c r="B5437" s="0" t="s">
        <v>1087</v>
      </c>
      <c r="C5437" s="0" t="s">
        <v>2486</v>
      </c>
      <c r="D5437" s="0" t="s">
        <v>1728</v>
      </c>
      <c r="E5437" s="0" t="s">
        <v>1728</v>
      </c>
      <c r="F5437" s="0" t="s">
        <v>1728</v>
      </c>
    </row>
    <row r="5438" customFormat="false" ht="12.8" hidden="false" customHeight="false" outlineLevel="0" collapsed="false">
      <c r="B5438" s="0" t="s">
        <v>441</v>
      </c>
      <c r="C5438" s="0" t="s">
        <v>2399</v>
      </c>
      <c r="D5438" s="0" t="s">
        <v>1730</v>
      </c>
      <c r="E5438" s="0" t="s">
        <v>1730</v>
      </c>
      <c r="F5438" s="0" t="s">
        <v>1730</v>
      </c>
    </row>
    <row r="5440" customFormat="false" ht="12.8" hidden="false" customHeight="false" outlineLevel="0" collapsed="false">
      <c r="A5440" s="0" t="s">
        <v>2487</v>
      </c>
      <c r="B5440" s="0" t="str">
        <f aca="false">HYPERLINK("https://lindat.mff.cuni.cz/services/teitok/pdtc10/index.php?action=vallex&amp;frame=v-w737f7", "dostávat se (v-w737f7)")</f>
        <v>dostávat se (v-w737f7)</v>
      </c>
    </row>
    <row r="5441" customFormat="false" ht="12.8" hidden="false" customHeight="false" outlineLevel="0" collapsed="false">
      <c r="B5441" s="0" t="s">
        <v>2401</v>
      </c>
    </row>
    <row r="5442" customFormat="false" ht="12.8" hidden="false" customHeight="false" outlineLevel="0" collapsed="false">
      <c r="B5442" s="0" t="s">
        <v>41</v>
      </c>
    </row>
    <row r="5444" customFormat="false" ht="12.8" hidden="false" customHeight="false" outlineLevel="0" collapsed="false">
      <c r="A5444" s="0" t="s">
        <v>2488</v>
      </c>
      <c r="B5444" s="0" t="str">
        <f aca="false">HYPERLINK("https://lindat.mff.cuni.cz/services/teitok/pdtc10/index.php?action=vallex&amp;frame=v-w737f8", "dostávat se (v-w737f8)")</f>
        <v>dostávat se (v-w737f8)</v>
      </c>
    </row>
    <row r="5445" customFormat="false" ht="12.8" hidden="false" customHeight="false" outlineLevel="0" collapsed="false">
      <c r="B5445" s="0" t="s">
        <v>7</v>
      </c>
      <c r="C5445" s="0" t="s">
        <v>200</v>
      </c>
      <c r="D5445" s="0" t="s">
        <v>2332</v>
      </c>
      <c r="E5445" s="0" t="s">
        <v>2332</v>
      </c>
      <c r="F5445" s="0" t="s">
        <v>2332</v>
      </c>
    </row>
    <row r="5446" customFormat="false" ht="12.8" hidden="false" customHeight="false" outlineLevel="0" collapsed="false">
      <c r="B5446" s="0" t="s">
        <v>237</v>
      </c>
      <c r="C5446" s="0" t="s">
        <v>400</v>
      </c>
      <c r="D5446" s="0" t="s">
        <v>2334</v>
      </c>
      <c r="E5446" s="0" t="s">
        <v>2334</v>
      </c>
      <c r="F5446" s="0" t="s">
        <v>2334</v>
      </c>
    </row>
    <row r="5448" customFormat="false" ht="12.8" hidden="false" customHeight="false" outlineLevel="0" collapsed="false">
      <c r="A5448" s="0" t="s">
        <v>2489</v>
      </c>
      <c r="B5448" s="0" t="str">
        <f aca="false">HYPERLINK("https://lindat.mff.cuni.cz/services/teitok/pdtc10/index.php?action=vallex&amp;frame=v-w737f10", "dostávat se (v-w737f10)")</f>
        <v>dostávat se (v-w737f10)</v>
      </c>
    </row>
    <row r="5449" customFormat="false" ht="12.8" hidden="false" customHeight="false" outlineLevel="0" collapsed="false">
      <c r="B5449" s="0" t="s">
        <v>7</v>
      </c>
      <c r="D5449" s="0" t="s">
        <v>1319</v>
      </c>
      <c r="E5449" s="0" t="s">
        <v>1319</v>
      </c>
      <c r="F5449" s="0" t="s">
        <v>1319</v>
      </c>
    </row>
    <row r="5450" customFormat="false" ht="12.8" hidden="false" customHeight="false" outlineLevel="0" collapsed="false">
      <c r="B5450" s="0" t="s">
        <v>227</v>
      </c>
    </row>
    <row r="5451" customFormat="false" ht="12.8" hidden="false" customHeight="false" outlineLevel="0" collapsed="false">
      <c r="B5451" s="0" t="s">
        <v>474</v>
      </c>
    </row>
    <row r="5452" customFormat="false" ht="12.8" hidden="false" customHeight="false" outlineLevel="0" collapsed="false">
      <c r="B5452" s="0" t="s">
        <v>479</v>
      </c>
    </row>
    <row r="5453" customFormat="false" ht="12.8" hidden="false" customHeight="false" outlineLevel="0" collapsed="false">
      <c r="B5453" s="0" t="s">
        <v>2406</v>
      </c>
    </row>
    <row r="5455" customFormat="false" ht="12.8" hidden="false" customHeight="false" outlineLevel="0" collapsed="false">
      <c r="A5455" s="0" t="s">
        <v>2490</v>
      </c>
      <c r="B5455" s="0" t="str">
        <f aca="false">HYPERLINK("https://lindat.mff.cuni.cz/services/teitok/pdtc10/index.php?action=vallex&amp;frame=v-w737f9", "dostávat se (v-w737f9)")</f>
        <v>dostávat se (v-w737f9)</v>
      </c>
    </row>
    <row r="5456" customFormat="false" ht="12.8" hidden="false" customHeight="false" outlineLevel="0" collapsed="false">
      <c r="B5456" s="0" t="s">
        <v>7</v>
      </c>
      <c r="D5456" s="0" t="s">
        <v>2409</v>
      </c>
      <c r="E5456" s="0" t="s">
        <v>2409</v>
      </c>
      <c r="F5456" s="0" t="s">
        <v>2409</v>
      </c>
    </row>
    <row r="5457" customFormat="false" ht="12.8" hidden="false" customHeight="false" outlineLevel="0" collapsed="false">
      <c r="B5457" s="0" t="s">
        <v>459</v>
      </c>
      <c r="D5457" s="0" t="s">
        <v>2411</v>
      </c>
      <c r="E5457" s="0" t="s">
        <v>2411</v>
      </c>
      <c r="F5457" s="0" t="s">
        <v>2411</v>
      </c>
    </row>
    <row r="5459" customFormat="false" ht="12.8" hidden="false" customHeight="false" outlineLevel="0" collapsed="false">
      <c r="A5459" s="0" t="s">
        <v>2490</v>
      </c>
      <c r="B5459" s="0" t="str">
        <f aca="false">HYPERLINK("https://lindat.mff.cuni.cz/services/teitok/pdtc10/index.php?action=vallex&amp;frame=v-w737f4", "dostávat se (v-w737f4) - substituted with v-w737f9")</f>
        <v>dostávat se (v-w737f4) - substituted with v-w737f9</v>
      </c>
    </row>
    <row r="5460" customFormat="false" ht="12.8" hidden="false" customHeight="false" outlineLevel="0" collapsed="false">
      <c r="B5460" s="0" t="s">
        <v>7</v>
      </c>
    </row>
    <row r="5461" customFormat="false" ht="12.8" hidden="false" customHeight="false" outlineLevel="0" collapsed="false">
      <c r="B5461" s="0" t="s">
        <v>459</v>
      </c>
    </row>
    <row r="5463" customFormat="false" ht="12.8" hidden="false" customHeight="false" outlineLevel="0" collapsed="false">
      <c r="A5463" s="0" t="s">
        <v>2491</v>
      </c>
      <c r="B5463" s="0" t="str">
        <f aca="false">HYPERLINK("https://lindat.mff.cuni.cz/services/teitok/pdtc10/index.php?action=vallex&amp;frame=v-w737f3", "dostávat se (v-w737f3)")</f>
        <v>dostávat se (v-w737f3)</v>
      </c>
    </row>
    <row r="5464" customFormat="false" ht="12.8" hidden="false" customHeight="false" outlineLevel="0" collapsed="false">
      <c r="B5464" s="0" t="s">
        <v>7</v>
      </c>
      <c r="C5464" s="0" t="s">
        <v>2492</v>
      </c>
      <c r="D5464" s="0" t="s">
        <v>272</v>
      </c>
      <c r="E5464" s="0" t="s">
        <v>272</v>
      </c>
      <c r="F5464" s="0" t="s">
        <v>272</v>
      </c>
    </row>
    <row r="5465" customFormat="false" ht="12.8" hidden="false" customHeight="false" outlineLevel="0" collapsed="false">
      <c r="B5465" s="0" t="s">
        <v>279</v>
      </c>
      <c r="C5465" s="0" t="s">
        <v>2493</v>
      </c>
      <c r="D5465" s="0" t="s">
        <v>1337</v>
      </c>
      <c r="E5465" s="0" t="s">
        <v>1337</v>
      </c>
      <c r="F5465" s="0" t="s">
        <v>1337</v>
      </c>
    </row>
    <row r="5467" customFormat="false" ht="12.8" hidden="false" customHeight="false" outlineLevel="0" collapsed="false">
      <c r="A5467" s="0" t="s">
        <v>2494</v>
      </c>
      <c r="B5467" s="0" t="str">
        <f aca="false">HYPERLINK("https://lindat.mff.cuni.cz/services/teitok/pdtc10/index.php?action=vallex&amp;frame=v-w737f1", "dostávat se (v-w737f1)")</f>
        <v>dostávat se (v-w737f1)</v>
      </c>
    </row>
    <row r="5468" customFormat="false" ht="12.8" hidden="false" customHeight="false" outlineLevel="0" collapsed="false">
      <c r="B5468" s="0" t="s">
        <v>7</v>
      </c>
      <c r="C5468" s="0" t="s">
        <v>2495</v>
      </c>
      <c r="D5468" s="0" t="s">
        <v>1705</v>
      </c>
      <c r="E5468" s="0" t="s">
        <v>1706</v>
      </c>
      <c r="F5468" s="0" t="s">
        <v>1706</v>
      </c>
    </row>
    <row r="5469" customFormat="false" ht="12.8" hidden="false" customHeight="false" outlineLevel="0" collapsed="false">
      <c r="B5469" s="0" t="s">
        <v>124</v>
      </c>
      <c r="C5469" s="0" t="s">
        <v>2496</v>
      </c>
      <c r="D5469" s="0" t="s">
        <v>1707</v>
      </c>
      <c r="E5469" s="0" t="s">
        <v>1707</v>
      </c>
      <c r="F5469" s="0" t="s">
        <v>1707</v>
      </c>
    </row>
    <row r="5471" customFormat="false" ht="12.8" hidden="false" customHeight="false" outlineLevel="0" collapsed="false">
      <c r="A5471" s="0" t="s">
        <v>2497</v>
      </c>
      <c r="B5471" s="0" t="str">
        <f aca="false">HYPERLINK("https://lindat.mff.cuni.cz/services/teitok/pdtc10/index.php?action=vallex&amp;frame=v-w737f11_ZU", "dostávat se (v-w737f11_ZU)")</f>
        <v>dostávat se (v-w737f11_ZU)</v>
      </c>
    </row>
    <row r="5472" customFormat="false" ht="12.8" hidden="false" customHeight="false" outlineLevel="0" collapsed="false">
      <c r="B5472" s="0" t="s">
        <v>7</v>
      </c>
      <c r="C5472" s="0" t="s">
        <v>2498</v>
      </c>
    </row>
    <row r="5473" customFormat="false" ht="12.8" hidden="false" customHeight="false" outlineLevel="0" collapsed="false">
      <c r="B5473" s="0" t="s">
        <v>2499</v>
      </c>
    </row>
    <row r="5474" customFormat="false" ht="12.8" hidden="false" customHeight="false" outlineLevel="0" collapsed="false">
      <c r="B5474" s="0" t="s">
        <v>142</v>
      </c>
    </row>
    <row r="5476" customFormat="false" ht="12.8" hidden="false" customHeight="false" outlineLevel="0" collapsed="false">
      <c r="A5476" s="0" t="s">
        <v>2500</v>
      </c>
      <c r="B5476" s="0" t="str">
        <f aca="false">HYPERLINK("https://lindat.mff.cuni.cz/services/teitok/pdtc10/index.php?action=vallex&amp;frame=v-w737f5", "dostávat se (v-w737f5)")</f>
        <v>dostávat se (v-w737f5)</v>
      </c>
    </row>
    <row r="5477" customFormat="false" ht="12.8" hidden="false" customHeight="false" outlineLevel="0" collapsed="false">
      <c r="B5477" s="0" t="s">
        <v>7</v>
      </c>
    </row>
    <row r="5478" customFormat="false" ht="12.8" hidden="false" customHeight="false" outlineLevel="0" collapsed="false">
      <c r="B5478" s="0" t="s">
        <v>2501</v>
      </c>
    </row>
    <row r="5480" customFormat="false" ht="12.8" hidden="false" customHeight="false" outlineLevel="0" collapsed="false">
      <c r="A5480" s="0" t="s">
        <v>2502</v>
      </c>
      <c r="B5480" s="0" t="str">
        <f aca="false">HYPERLINK("https://lindat.mff.cuni.cz/services/teitok/pdtc10/index.php?action=vallex&amp;frame=v-w737f6", "dostávat se (v-w737f6)")</f>
        <v>dostávat se (v-w737f6)</v>
      </c>
    </row>
    <row r="5481" customFormat="false" ht="12.8" hidden="false" customHeight="false" outlineLevel="0" collapsed="false">
      <c r="B5481" s="0" t="s">
        <v>7</v>
      </c>
    </row>
    <row r="5482" customFormat="false" ht="12.8" hidden="false" customHeight="false" outlineLevel="0" collapsed="false">
      <c r="B5482" s="0" t="s">
        <v>2427</v>
      </c>
    </row>
    <row r="5484" customFormat="false" ht="12.8" hidden="false" customHeight="false" outlineLevel="0" collapsed="false">
      <c r="A5484" s="0" t="s">
        <v>2503</v>
      </c>
      <c r="B5484" s="0" t="str">
        <f aca="false">HYPERLINK("https://lindat.mff.cuni.cz/services/teitok/pdtc10/index.php?action=vallex&amp;frame=v-w737f12_ZU", "dostávat se (v-w737f12_ZU)")</f>
        <v>dostávat se (v-w737f12_ZU)</v>
      </c>
    </row>
    <row r="5485" customFormat="false" ht="12.8" hidden="false" customHeight="false" outlineLevel="0" collapsed="false">
      <c r="B5485" s="0" t="s">
        <v>7</v>
      </c>
    </row>
    <row r="5486" customFormat="false" ht="12.8" hidden="false" customHeight="false" outlineLevel="0" collapsed="false">
      <c r="B5486" s="0" t="s">
        <v>2504</v>
      </c>
    </row>
    <row r="5488" customFormat="false" ht="12.8" hidden="false" customHeight="false" outlineLevel="0" collapsed="false">
      <c r="A5488" s="0" t="s">
        <v>2505</v>
      </c>
      <c r="B5488" s="0" t="str">
        <f aca="false">HYPERLINK("https://lindat.mff.cuni.cz/services/teitok/pdtc10/index.php?action=vallex&amp;frame=v-w11920_ZUf1_ZU", "dostříknout (v-w11920_ZUf1_ZU)")</f>
        <v>dostříknout (v-w11920_ZUf1_ZU)</v>
      </c>
    </row>
    <row r="5489" customFormat="false" ht="12.8" hidden="false" customHeight="false" outlineLevel="0" collapsed="false">
      <c r="B5489" s="0" t="s">
        <v>7</v>
      </c>
    </row>
    <row r="5490" customFormat="false" ht="12.8" hidden="false" customHeight="false" outlineLevel="0" collapsed="false">
      <c r="B5490" s="0" t="s">
        <v>338</v>
      </c>
    </row>
    <row r="5492" customFormat="false" ht="12.8" hidden="false" customHeight="false" outlineLevel="0" collapsed="false">
      <c r="A5492" s="0" t="s">
        <v>2506</v>
      </c>
      <c r="B5492" s="0" t="str">
        <f aca="false">HYPERLINK("https://lindat.mff.cuni.cz/services/teitok/pdtc10/index.php?action=vallex&amp;frame=v-w745f1", "dosvědčit (v-w745f1)")</f>
        <v>dosvědčit (v-w745f1)</v>
      </c>
    </row>
    <row r="5493" customFormat="false" ht="12.8" hidden="false" customHeight="false" outlineLevel="0" collapsed="false">
      <c r="B5493" s="0" t="s">
        <v>7</v>
      </c>
      <c r="C5493" s="0" t="s">
        <v>2507</v>
      </c>
    </row>
    <row r="5494" customFormat="false" ht="12.8" hidden="false" customHeight="false" outlineLevel="0" collapsed="false">
      <c r="B5494" s="0" t="s">
        <v>1451</v>
      </c>
      <c r="C5494" s="0" t="s">
        <v>461</v>
      </c>
    </row>
    <row r="5495" customFormat="false" ht="12.8" hidden="false" customHeight="false" outlineLevel="0" collapsed="false">
      <c r="B5495" s="0" t="s">
        <v>48</v>
      </c>
    </row>
    <row r="5497" customFormat="false" ht="12.8" hidden="false" customHeight="false" outlineLevel="0" collapsed="false">
      <c r="A5497" s="0" t="s">
        <v>2508</v>
      </c>
      <c r="B5497" s="0" t="str">
        <f aca="false">HYPERLINK("https://lindat.mff.cuni.cz/services/teitok/pdtc10/index.php?action=vallex&amp;frame=v-w746f1", "dosvědčovat (v-w746f1)")</f>
        <v>dosvědčovat (v-w746f1)</v>
      </c>
    </row>
    <row r="5498" customFormat="false" ht="12.8" hidden="false" customHeight="false" outlineLevel="0" collapsed="false">
      <c r="B5498" s="0" t="s">
        <v>7</v>
      </c>
      <c r="C5498" s="0" t="s">
        <v>348</v>
      </c>
    </row>
    <row r="5499" customFormat="false" ht="12.8" hidden="false" customHeight="false" outlineLevel="0" collapsed="false">
      <c r="B5499" s="0" t="s">
        <v>1451</v>
      </c>
      <c r="C5499" s="0" t="s">
        <v>567</v>
      </c>
    </row>
    <row r="5500" customFormat="false" ht="12.8" hidden="false" customHeight="false" outlineLevel="0" collapsed="false">
      <c r="B5500" s="0" t="s">
        <v>48</v>
      </c>
    </row>
    <row r="5502" customFormat="false" ht="12.8" hidden="false" customHeight="false" outlineLevel="0" collapsed="false">
      <c r="A5502" s="0" t="s">
        <v>2509</v>
      </c>
      <c r="B5502" s="0" t="str">
        <f aca="false">HYPERLINK("https://lindat.mff.cuni.cz/services/teitok/pdtc10/index.php?action=vallex&amp;frame=v-w714f2", "dosáhnout (v-w714f2)")</f>
        <v>dosáhnout (v-w714f2)</v>
      </c>
    </row>
    <row r="5503" customFormat="false" ht="12.8" hidden="false" customHeight="false" outlineLevel="0" collapsed="false">
      <c r="B5503" s="0" t="s">
        <v>7</v>
      </c>
      <c r="C5503" s="0" t="s">
        <v>2510</v>
      </c>
      <c r="D5503" s="0" t="s">
        <v>2511</v>
      </c>
      <c r="E5503" s="0" t="s">
        <v>2511</v>
      </c>
      <c r="F5503" s="0" t="s">
        <v>2511</v>
      </c>
    </row>
    <row r="5504" customFormat="false" ht="12.8" hidden="false" customHeight="false" outlineLevel="0" collapsed="false">
      <c r="B5504" s="0" t="s">
        <v>1667</v>
      </c>
      <c r="C5504" s="0" t="s">
        <v>2512</v>
      </c>
      <c r="D5504" s="0" t="s">
        <v>2513</v>
      </c>
      <c r="E5504" s="0" t="s">
        <v>2513</v>
      </c>
      <c r="F5504" s="0" t="s">
        <v>2513</v>
      </c>
    </row>
    <row r="5505" customFormat="false" ht="12.8" hidden="false" customHeight="false" outlineLevel="0" collapsed="false">
      <c r="B5505" s="0" t="s">
        <v>1668</v>
      </c>
      <c r="D5505" s="0" t="s">
        <v>1730</v>
      </c>
      <c r="E5505" s="0" t="s">
        <v>1730</v>
      </c>
      <c r="F5505" s="0" t="s">
        <v>1730</v>
      </c>
    </row>
    <row r="5507" customFormat="false" ht="12.8" hidden="false" customHeight="false" outlineLevel="0" collapsed="false">
      <c r="A5507" s="0" t="s">
        <v>2514</v>
      </c>
      <c r="B5507" s="0" t="str">
        <f aca="false">HYPERLINK("https://lindat.mff.cuni.cz/services/teitok/pdtc10/index.php?action=vallex&amp;frame=v-w714f6_ZU", "dosáhnout (v-w714f6_ZU)")</f>
        <v>dosáhnout (v-w714f6_ZU)</v>
      </c>
    </row>
    <row r="5508" customFormat="false" ht="12.8" hidden="false" customHeight="false" outlineLevel="0" collapsed="false">
      <c r="B5508" s="0" t="s">
        <v>7</v>
      </c>
      <c r="C5508" s="0" t="s">
        <v>1226</v>
      </c>
      <c r="D5508" s="0" t="s">
        <v>2515</v>
      </c>
      <c r="E5508" s="0" t="s">
        <v>2515</v>
      </c>
      <c r="F5508" s="0" t="s">
        <v>2515</v>
      </c>
    </row>
    <row r="5509" customFormat="false" ht="12.8" hidden="false" customHeight="false" outlineLevel="0" collapsed="false">
      <c r="B5509" s="0" t="s">
        <v>2516</v>
      </c>
      <c r="C5509" s="0" t="s">
        <v>2517</v>
      </c>
      <c r="D5509" s="0" t="s">
        <v>2518</v>
      </c>
      <c r="E5509" s="0" t="s">
        <v>2518</v>
      </c>
      <c r="F5509" s="0" t="s">
        <v>2518</v>
      </c>
    </row>
    <row r="5510" customFormat="false" ht="12.8" hidden="false" customHeight="false" outlineLevel="0" collapsed="false">
      <c r="B5510" s="0" t="s">
        <v>35</v>
      </c>
    </row>
    <row r="5512" customFormat="false" ht="12.8" hidden="false" customHeight="false" outlineLevel="0" collapsed="false">
      <c r="A5512" s="0" t="s">
        <v>2514</v>
      </c>
      <c r="B5512" s="0" t="str">
        <f aca="false">HYPERLINK("https://lindat.mff.cuni.cz/services/teitok/pdtc10/index.php?action=vallex&amp;frame=v-w714f1", "dosáhnout (v-w714f1) - substituted with v-w714f6_ZU")</f>
        <v>dosáhnout (v-w714f1) - substituted with v-w714f6_ZU</v>
      </c>
    </row>
    <row r="5513" customFormat="false" ht="12.8" hidden="false" customHeight="false" outlineLevel="0" collapsed="false">
      <c r="B5513" s="0" t="s">
        <v>7</v>
      </c>
      <c r="C5513" s="0" t="s">
        <v>2519</v>
      </c>
    </row>
    <row r="5514" customFormat="false" ht="12.8" hidden="false" customHeight="false" outlineLevel="0" collapsed="false">
      <c r="B5514" s="0" t="s">
        <v>2516</v>
      </c>
      <c r="C5514" s="0" t="s">
        <v>2520</v>
      </c>
    </row>
    <row r="5515" customFormat="false" ht="12.8" hidden="false" customHeight="false" outlineLevel="0" collapsed="false">
      <c r="B5515" s="0" t="s">
        <v>35</v>
      </c>
    </row>
    <row r="5517" customFormat="false" ht="12.8" hidden="false" customHeight="false" outlineLevel="0" collapsed="false">
      <c r="A5517" s="0" t="s">
        <v>2514</v>
      </c>
      <c r="B5517" s="0" t="str">
        <f aca="false">HYPERLINK("https://lindat.mff.cuni.cz/services/teitok/pdtc10/index.php?action=vallex&amp;frame=v-w714f5_ZU", "dosáhnout (v-w714f5_ZU) - substituted with v-w714f6_ZU")</f>
        <v>dosáhnout (v-w714f5_ZU) - substituted with v-w714f6_ZU</v>
      </c>
    </row>
    <row r="5518" customFormat="false" ht="12.8" hidden="false" customHeight="false" outlineLevel="0" collapsed="false">
      <c r="B5518" s="0" t="s">
        <v>7</v>
      </c>
    </row>
    <row r="5519" customFormat="false" ht="12.8" hidden="false" customHeight="false" outlineLevel="0" collapsed="false">
      <c r="B5519" s="0" t="s">
        <v>2516</v>
      </c>
    </row>
    <row r="5520" customFormat="false" ht="12.8" hidden="false" customHeight="false" outlineLevel="0" collapsed="false">
      <c r="B5520" s="0" t="s">
        <v>35</v>
      </c>
    </row>
    <row r="5522" customFormat="false" ht="12.8" hidden="false" customHeight="false" outlineLevel="0" collapsed="false">
      <c r="A5522" s="0" t="s">
        <v>2521</v>
      </c>
      <c r="B5522" s="0" t="str">
        <f aca="false">HYPERLINK("https://lindat.mff.cuni.cz/services/teitok/pdtc10/index.php?action=vallex&amp;frame=v-w714f4", "dosáhnout (v-w714f4)")</f>
        <v>dosáhnout (v-w714f4)</v>
      </c>
    </row>
    <row r="5523" customFormat="false" ht="12.8" hidden="false" customHeight="false" outlineLevel="0" collapsed="false">
      <c r="B5523" s="0" t="s">
        <v>7</v>
      </c>
    </row>
    <row r="5524" customFormat="false" ht="12.8" hidden="false" customHeight="false" outlineLevel="0" collapsed="false">
      <c r="B5524" s="0" t="s">
        <v>124</v>
      </c>
    </row>
    <row r="5526" customFormat="false" ht="12.8" hidden="false" customHeight="false" outlineLevel="0" collapsed="false">
      <c r="A5526" s="0" t="s">
        <v>2522</v>
      </c>
      <c r="B5526" s="0" t="str">
        <f aca="false">HYPERLINK("https://lindat.mff.cuni.cz/services/teitok/pdtc10/index.php?action=vallex&amp;frame=v-w714f3", "dosáhnout (v-w714f3)")</f>
        <v>dosáhnout (v-w714f3)</v>
      </c>
    </row>
    <row r="5527" customFormat="false" ht="12.8" hidden="false" customHeight="false" outlineLevel="0" collapsed="false">
      <c r="B5527" s="0" t="s">
        <v>7</v>
      </c>
      <c r="C5527" s="0" t="s">
        <v>2523</v>
      </c>
      <c r="D5527" s="0" t="s">
        <v>1719</v>
      </c>
      <c r="E5527" s="0" t="s">
        <v>1719</v>
      </c>
      <c r="F5527" s="0" t="s">
        <v>1719</v>
      </c>
    </row>
    <row r="5528" customFormat="false" ht="12.8" hidden="false" customHeight="false" outlineLevel="0" collapsed="false">
      <c r="B5528" s="0" t="s">
        <v>1735</v>
      </c>
      <c r="C5528" s="0" t="s">
        <v>2524</v>
      </c>
      <c r="D5528" s="0" t="s">
        <v>1736</v>
      </c>
      <c r="E5528" s="0" t="s">
        <v>1736</v>
      </c>
      <c r="F5528" s="0" t="s">
        <v>1736</v>
      </c>
    </row>
    <row r="5530" customFormat="false" ht="12.8" hidden="false" customHeight="false" outlineLevel="0" collapsed="false">
      <c r="A5530" s="0" t="s">
        <v>2525</v>
      </c>
      <c r="B5530" s="0" t="str">
        <f aca="false">HYPERLINK("https://lindat.mff.cuni.cz/services/teitok/pdtc10/index.php?action=vallex&amp;frame=v-w714hsa_141", "dosáhnout (v-w714hsa_141)")</f>
        <v>dosáhnout (v-w714hsa_141)</v>
      </c>
    </row>
    <row r="5531" customFormat="false" ht="12.8" hidden="false" customHeight="false" outlineLevel="0" collapsed="false">
      <c r="B5531" s="0" t="s">
        <v>7</v>
      </c>
      <c r="C5531" s="0" t="s">
        <v>1371</v>
      </c>
    </row>
    <row r="5532" customFormat="false" ht="12.8" hidden="false" customHeight="false" outlineLevel="0" collapsed="false">
      <c r="B5532" s="0" t="s">
        <v>41</v>
      </c>
      <c r="C5532" s="0" t="s">
        <v>2526</v>
      </c>
    </row>
    <row r="5534" customFormat="false" ht="12.8" hidden="false" customHeight="false" outlineLevel="0" collapsed="false">
      <c r="A5534" s="0" t="s">
        <v>2527</v>
      </c>
      <c r="B5534" s="0" t="str">
        <f aca="false">HYPERLINK("https://lindat.mff.cuni.cz/services/teitok/pdtc10/index.php?action=vallex&amp;frame=v-w714hsa_102", "dosáhnout (v-w714hsa_102)")</f>
        <v>dosáhnout (v-w714hsa_102)</v>
      </c>
    </row>
    <row r="5535" customFormat="false" ht="12.8" hidden="false" customHeight="false" outlineLevel="0" collapsed="false">
      <c r="B5535" s="0" t="s">
        <v>7</v>
      </c>
    </row>
    <row r="5536" customFormat="false" ht="12.8" hidden="false" customHeight="false" outlineLevel="0" collapsed="false">
      <c r="B5536" s="0" t="s">
        <v>1087</v>
      </c>
    </row>
    <row r="5538" customFormat="false" ht="12.8" hidden="false" customHeight="false" outlineLevel="0" collapsed="false">
      <c r="A5538" s="0" t="s">
        <v>2528</v>
      </c>
      <c r="B5538" s="0" t="str">
        <f aca="false">HYPERLINK("https://lindat.mff.cuni.cz/services/teitok/pdtc10/index.php?action=vallex&amp;frame=v-w10458f2", "dotahovat (v-w10458f2)")</f>
        <v>dotahovat (v-w10458f2)</v>
      </c>
    </row>
    <row r="5539" customFormat="false" ht="12.8" hidden="false" customHeight="false" outlineLevel="0" collapsed="false">
      <c r="B5539" s="0" t="s">
        <v>7</v>
      </c>
    </row>
    <row r="5540" customFormat="false" ht="12.8" hidden="false" customHeight="false" outlineLevel="0" collapsed="false">
      <c r="B5540" s="0" t="s">
        <v>14</v>
      </c>
    </row>
    <row r="5542" customFormat="false" ht="12.8" hidden="false" customHeight="false" outlineLevel="0" collapsed="false">
      <c r="A5542" s="0" t="s">
        <v>2529</v>
      </c>
      <c r="B5542" s="0" t="str">
        <f aca="false">HYPERLINK("https://lindat.mff.cuni.cz/services/teitok/pdtc10/index.php?action=vallex&amp;frame=v-w10458hsa_1169", "dotahovat (v-w10458hsa_1169)")</f>
        <v>dotahovat (v-w10458hsa_1169)</v>
      </c>
    </row>
    <row r="5543" customFormat="false" ht="12.8" hidden="false" customHeight="false" outlineLevel="0" collapsed="false">
      <c r="B5543" s="0" t="s">
        <v>7</v>
      </c>
      <c r="C5543" s="0" t="s">
        <v>2530</v>
      </c>
    </row>
    <row r="5544" customFormat="false" ht="12.8" hidden="false" customHeight="false" outlineLevel="0" collapsed="false">
      <c r="B5544" s="0" t="s">
        <v>14</v>
      </c>
    </row>
    <row r="5545" customFormat="false" ht="12.8" hidden="false" customHeight="false" outlineLevel="0" collapsed="false">
      <c r="B5545" s="0" t="s">
        <v>35</v>
      </c>
    </row>
    <row r="5546" customFormat="false" ht="12.8" hidden="false" customHeight="false" outlineLevel="0" collapsed="false">
      <c r="B5546" s="0" t="s">
        <v>84</v>
      </c>
      <c r="C5546" s="0" t="s">
        <v>2531</v>
      </c>
    </row>
    <row r="5548" customFormat="false" ht="12.8" hidden="false" customHeight="false" outlineLevel="0" collapsed="false">
      <c r="A5548" s="0" t="s">
        <v>2532</v>
      </c>
      <c r="B5548" s="0" t="str">
        <f aca="false">HYPERLINK("https://lindat.mff.cuni.cz/services/teitok/pdtc10/index.php?action=vallex&amp;frame=v-w755f1", "dotazovat se (v-w755f1)")</f>
        <v>dotazovat se (v-w755f1)</v>
      </c>
    </row>
    <row r="5549" customFormat="false" ht="12.8" hidden="false" customHeight="false" outlineLevel="0" collapsed="false">
      <c r="B5549" s="0" t="s">
        <v>7</v>
      </c>
      <c r="C5549" s="0" t="s">
        <v>2533</v>
      </c>
      <c r="D5549" s="0" t="s">
        <v>2534</v>
      </c>
      <c r="E5549" s="0" t="s">
        <v>2534</v>
      </c>
      <c r="F5549" s="0" t="s">
        <v>2534</v>
      </c>
    </row>
    <row r="5550" customFormat="false" ht="12.8" hidden="false" customHeight="false" outlineLevel="0" collapsed="false">
      <c r="B5550" s="0" t="s">
        <v>2535</v>
      </c>
      <c r="C5550" s="0" t="s">
        <v>2536</v>
      </c>
      <c r="D5550" s="0" t="s">
        <v>2537</v>
      </c>
      <c r="E5550" s="0" t="s">
        <v>2537</v>
      </c>
      <c r="F5550" s="0" t="s">
        <v>2537</v>
      </c>
    </row>
    <row r="5551" customFormat="false" ht="12.8" hidden="false" customHeight="false" outlineLevel="0" collapsed="false">
      <c r="B5551" s="0" t="s">
        <v>2538</v>
      </c>
      <c r="C5551" s="0" t="s">
        <v>2539</v>
      </c>
      <c r="D5551" s="0" t="s">
        <v>2540</v>
      </c>
      <c r="E5551" s="0" t="s">
        <v>2540</v>
      </c>
      <c r="F5551" s="0" t="s">
        <v>2540</v>
      </c>
    </row>
    <row r="5553" customFormat="false" ht="12.8" hidden="false" customHeight="false" outlineLevel="0" collapsed="false">
      <c r="A5553" s="0" t="s">
        <v>2541</v>
      </c>
      <c r="B5553" s="0" t="str">
        <f aca="false">HYPERLINK("https://lindat.mff.cuni.cz/services/teitok/pdtc10/index.php?action=vallex&amp;frame=v-w760f1", "dotisknout (v-w760f1)")</f>
        <v>dotisknout (v-w760f1)</v>
      </c>
    </row>
    <row r="5554" customFormat="false" ht="12.8" hidden="false" customHeight="false" outlineLevel="0" collapsed="false">
      <c r="B5554" s="0" t="s">
        <v>7</v>
      </c>
    </row>
    <row r="5555" customFormat="false" ht="12.8" hidden="false" customHeight="false" outlineLevel="0" collapsed="false">
      <c r="B5555" s="0" t="s">
        <v>14</v>
      </c>
    </row>
    <row r="5557" customFormat="false" ht="12.8" hidden="false" customHeight="false" outlineLevel="0" collapsed="false">
      <c r="A5557" s="0" t="s">
        <v>2542</v>
      </c>
      <c r="B5557" s="0" t="str">
        <f aca="false">HYPERLINK("https://lindat.mff.cuni.cz/services/teitok/pdtc10/index.php?action=vallex&amp;frame=v-w761f3", "dotknout se (v-w761f3)")</f>
        <v>dotknout se (v-w761f3)</v>
      </c>
    </row>
    <row r="5558" customFormat="false" ht="12.8" hidden="false" customHeight="false" outlineLevel="0" collapsed="false">
      <c r="B5558" s="0" t="s">
        <v>2543</v>
      </c>
    </row>
    <row r="5559" customFormat="false" ht="12.8" hidden="false" customHeight="false" outlineLevel="0" collapsed="false">
      <c r="B5559" s="0" t="s">
        <v>328</v>
      </c>
    </row>
    <row r="5560" customFormat="false" ht="12.8" hidden="false" customHeight="false" outlineLevel="0" collapsed="false">
      <c r="B5560" s="0" t="s">
        <v>2544</v>
      </c>
    </row>
    <row r="5562" customFormat="false" ht="12.8" hidden="false" customHeight="false" outlineLevel="0" collapsed="false">
      <c r="A5562" s="0" t="s">
        <v>2545</v>
      </c>
      <c r="B5562" s="0" t="str">
        <f aca="false">HYPERLINK("https://lindat.mff.cuni.cz/services/teitok/pdtc10/index.php?action=vallex&amp;frame=v-w761f1", "dotknout se (v-w761f1)")</f>
        <v>dotknout se (v-w761f1)</v>
      </c>
    </row>
    <row r="5563" customFormat="false" ht="12.8" hidden="false" customHeight="false" outlineLevel="0" collapsed="false">
      <c r="B5563" s="0" t="s">
        <v>7</v>
      </c>
      <c r="C5563" s="0" t="s">
        <v>2546</v>
      </c>
      <c r="D5563" s="0" t="s">
        <v>569</v>
      </c>
      <c r="E5563" s="0" t="s">
        <v>569</v>
      </c>
      <c r="F5563" s="0" t="s">
        <v>569</v>
      </c>
    </row>
    <row r="5564" customFormat="false" ht="12.8" hidden="false" customHeight="false" outlineLevel="0" collapsed="false">
      <c r="B5564" s="0" t="s">
        <v>1087</v>
      </c>
      <c r="C5564" s="0" t="s">
        <v>2547</v>
      </c>
      <c r="D5564" s="0" t="s">
        <v>461</v>
      </c>
      <c r="E5564" s="0" t="s">
        <v>461</v>
      </c>
      <c r="F5564" s="0" t="s">
        <v>461</v>
      </c>
    </row>
    <row r="5566" customFormat="false" ht="12.8" hidden="false" customHeight="false" outlineLevel="0" collapsed="false">
      <c r="A5566" s="0" t="s">
        <v>2548</v>
      </c>
      <c r="B5566" s="0" t="str">
        <f aca="false">HYPERLINK("https://lindat.mff.cuni.cz/services/teitok/pdtc10/index.php?action=vallex&amp;frame=v-w761f7_ZU", "dotknout se (v-w761f7_ZU)")</f>
        <v>dotknout se (v-w761f7_ZU)</v>
      </c>
    </row>
    <row r="5567" customFormat="false" ht="12.8" hidden="false" customHeight="false" outlineLevel="0" collapsed="false">
      <c r="B5567" s="0" t="s">
        <v>641</v>
      </c>
    </row>
    <row r="5568" customFormat="false" ht="12.8" hidden="false" customHeight="false" outlineLevel="0" collapsed="false">
      <c r="B5568" s="0" t="s">
        <v>1087</v>
      </c>
    </row>
    <row r="5570" customFormat="false" ht="12.8" hidden="false" customHeight="false" outlineLevel="0" collapsed="false">
      <c r="A5570" s="0" t="s">
        <v>2548</v>
      </c>
      <c r="B5570" s="0" t="str">
        <f aca="false">HYPERLINK("https://lindat.mff.cuni.cz/services/teitok/pdtc10/index.php?action=vallex&amp;frame=v-w761f2", "dotknout se (v-w761f2) - substituted with v-w761f7_ZU")</f>
        <v>dotknout se (v-w761f2) - substituted with v-w761f7_ZU</v>
      </c>
    </row>
    <row r="5571" customFormat="false" ht="12.8" hidden="false" customHeight="false" outlineLevel="0" collapsed="false">
      <c r="B5571" s="0" t="s">
        <v>641</v>
      </c>
      <c r="C5571" s="0" t="s">
        <v>2061</v>
      </c>
      <c r="D5571" s="0" t="s">
        <v>2062</v>
      </c>
      <c r="E5571" s="0" t="s">
        <v>2062</v>
      </c>
      <c r="F5571" s="0" t="s">
        <v>2062</v>
      </c>
    </row>
    <row r="5572" customFormat="false" ht="12.8" hidden="false" customHeight="false" outlineLevel="0" collapsed="false">
      <c r="B5572" s="0" t="s">
        <v>1087</v>
      </c>
      <c r="C5572" s="0" t="s">
        <v>2064</v>
      </c>
      <c r="D5572" s="0" t="s">
        <v>2065</v>
      </c>
      <c r="E5572" s="0" t="s">
        <v>2065</v>
      </c>
      <c r="F5572" s="0" t="s">
        <v>2065</v>
      </c>
    </row>
    <row r="5574" customFormat="false" ht="12.8" hidden="false" customHeight="false" outlineLevel="0" collapsed="false">
      <c r="A5574" s="0" t="s">
        <v>2549</v>
      </c>
      <c r="B5574" s="0" t="str">
        <f aca="false">HYPERLINK("https://lindat.mff.cuni.cz/services/teitok/pdtc10/index.php?action=vallex&amp;frame=v-w761f4", "dotknout se (v-w761f4)")</f>
        <v>dotknout se (v-w761f4)</v>
      </c>
    </row>
    <row r="5575" customFormat="false" ht="12.8" hidden="false" customHeight="false" outlineLevel="0" collapsed="false">
      <c r="B5575" s="0" t="s">
        <v>7</v>
      </c>
    </row>
    <row r="5576" customFormat="false" ht="12.8" hidden="false" customHeight="false" outlineLevel="0" collapsed="false">
      <c r="B5576" s="0" t="s">
        <v>1087</v>
      </c>
    </row>
    <row r="5578" customFormat="false" ht="12.8" hidden="false" customHeight="false" outlineLevel="0" collapsed="false">
      <c r="A5578" s="0" t="s">
        <v>2550</v>
      </c>
      <c r="B5578" s="0" t="str">
        <f aca="false">HYPERLINK("https://lindat.mff.cuni.cz/services/teitok/pdtc10/index.php?action=vallex&amp;frame=v-w761f6_ZU", "dotknout se (v-w761f6_ZU)")</f>
        <v>dotknout se (v-w761f6_ZU)</v>
      </c>
    </row>
    <row r="5579" customFormat="false" ht="12.8" hidden="false" customHeight="false" outlineLevel="0" collapsed="false">
      <c r="B5579" s="0" t="s">
        <v>7</v>
      </c>
      <c r="C5579" s="0" t="s">
        <v>2551</v>
      </c>
      <c r="D5579" s="0" t="s">
        <v>2552</v>
      </c>
      <c r="E5579" s="0" t="s">
        <v>2552</v>
      </c>
      <c r="F5579" s="0" t="s">
        <v>2553</v>
      </c>
    </row>
    <row r="5580" customFormat="false" ht="12.8" hidden="false" customHeight="false" outlineLevel="0" collapsed="false">
      <c r="B5580" s="0" t="s">
        <v>1087</v>
      </c>
      <c r="C5580" s="0" t="s">
        <v>2554</v>
      </c>
      <c r="D5580" s="0" t="s">
        <v>2555</v>
      </c>
      <c r="E5580" s="0" t="s">
        <v>2555</v>
      </c>
      <c r="F5580" s="0" t="s">
        <v>2556</v>
      </c>
    </row>
    <row r="5582" customFormat="false" ht="12.8" hidden="false" customHeight="false" outlineLevel="0" collapsed="false">
      <c r="A5582" s="0" t="s">
        <v>2550</v>
      </c>
      <c r="B5582" s="0" t="str">
        <f aca="false">HYPERLINK("https://lindat.mff.cuni.cz/services/teitok/pdtc10/index.php?action=vallex&amp;frame=v-w761f5_ZU", "dotknout se (v-w761f5_ZU) - substituted with v-w761f6_ZU")</f>
        <v>dotknout se (v-w761f5_ZU) - substituted with v-w761f6_ZU</v>
      </c>
    </row>
    <row r="5583" customFormat="false" ht="12.8" hidden="false" customHeight="false" outlineLevel="0" collapsed="false">
      <c r="B5583" s="0" t="s">
        <v>7</v>
      </c>
      <c r="C5583" s="0" t="s">
        <v>2557</v>
      </c>
    </row>
    <row r="5584" customFormat="false" ht="12.8" hidden="false" customHeight="false" outlineLevel="0" collapsed="false">
      <c r="B5584" s="0" t="s">
        <v>1087</v>
      </c>
      <c r="C5584" s="0" t="s">
        <v>2558</v>
      </c>
    </row>
    <row r="5586" customFormat="false" ht="12.8" hidden="false" customHeight="false" outlineLevel="0" collapsed="false">
      <c r="A5586" s="0" t="s">
        <v>2559</v>
      </c>
      <c r="B5586" s="0" t="str">
        <f aca="false">HYPERLINK("https://lindat.mff.cuni.cz/services/teitok/pdtc10/index.php?action=vallex&amp;frame=v-w10097f2", "dotlačit (v-w10097f2)")</f>
        <v>dotlačit (v-w10097f2)</v>
      </c>
    </row>
    <row r="5587" customFormat="false" ht="12.8" hidden="false" customHeight="false" outlineLevel="0" collapsed="false">
      <c r="B5587" s="0" t="s">
        <v>7</v>
      </c>
      <c r="C5587" s="0" t="s">
        <v>2560</v>
      </c>
      <c r="D5587" s="0" t="s">
        <v>2041</v>
      </c>
      <c r="E5587" s="0" t="s">
        <v>2041</v>
      </c>
      <c r="F5587" s="0" t="s">
        <v>2041</v>
      </c>
    </row>
    <row r="5588" customFormat="false" ht="12.8" hidden="false" customHeight="false" outlineLevel="0" collapsed="false">
      <c r="B5588" s="0" t="s">
        <v>2561</v>
      </c>
      <c r="C5588" s="0" t="s">
        <v>2562</v>
      </c>
      <c r="D5588" s="0" t="s">
        <v>2043</v>
      </c>
      <c r="E5588" s="0" t="s">
        <v>2043</v>
      </c>
      <c r="F5588" s="0" t="s">
        <v>2043</v>
      </c>
    </row>
    <row r="5589" customFormat="false" ht="12.8" hidden="false" customHeight="false" outlineLevel="0" collapsed="false">
      <c r="B5589" s="0" t="s">
        <v>81</v>
      </c>
      <c r="C5589" s="0" t="s">
        <v>2563</v>
      </c>
      <c r="D5589" s="0" t="s">
        <v>2045</v>
      </c>
      <c r="E5589" s="0" t="s">
        <v>2045</v>
      </c>
      <c r="F5589" s="0" t="s">
        <v>2045</v>
      </c>
    </row>
    <row r="5591" customFormat="false" ht="12.8" hidden="false" customHeight="false" outlineLevel="0" collapsed="false">
      <c r="A5591" s="0" t="s">
        <v>2564</v>
      </c>
      <c r="B5591" s="0" t="str">
        <f aca="false">HYPERLINK("https://lindat.mff.cuni.cz/services/teitok/pdtc10/index.php?action=vallex&amp;frame=v-w764f1", "dotovat (v-w764f1)")</f>
        <v>dotovat (v-w764f1)</v>
      </c>
    </row>
    <row r="5592" customFormat="false" ht="12.8" hidden="false" customHeight="false" outlineLevel="0" collapsed="false">
      <c r="B5592" s="0" t="s">
        <v>7</v>
      </c>
      <c r="C5592" s="0" t="s">
        <v>2565</v>
      </c>
      <c r="D5592" s="0" t="s">
        <v>2566</v>
      </c>
      <c r="E5592" s="0" t="s">
        <v>2566</v>
      </c>
      <c r="F5592" s="0" t="s">
        <v>2567</v>
      </c>
    </row>
    <row r="5593" customFormat="false" ht="12.8" hidden="false" customHeight="false" outlineLevel="0" collapsed="false">
      <c r="B5593" s="0" t="s">
        <v>14</v>
      </c>
      <c r="C5593" s="0" t="s">
        <v>2568</v>
      </c>
      <c r="D5593" s="0" t="s">
        <v>453</v>
      </c>
      <c r="E5593" s="0" t="s">
        <v>453</v>
      </c>
      <c r="F5593" s="0" t="s">
        <v>2569</v>
      </c>
    </row>
    <row r="5595" customFormat="false" ht="12.8" hidden="false" customHeight="false" outlineLevel="0" collapsed="false">
      <c r="A5595" s="0" t="s">
        <v>2570</v>
      </c>
      <c r="B5595" s="0" t="str">
        <f aca="false">HYPERLINK("https://lindat.mff.cuni.cz/services/teitok/pdtc10/index.php?action=vallex&amp;frame=v-w768f1", "dotvořit (v-w768f1)")</f>
        <v>dotvořit (v-w768f1)</v>
      </c>
    </row>
    <row r="5596" customFormat="false" ht="12.8" hidden="false" customHeight="false" outlineLevel="0" collapsed="false">
      <c r="B5596" s="0" t="s">
        <v>7</v>
      </c>
      <c r="D5596" s="0" t="s">
        <v>1937</v>
      </c>
      <c r="E5596" s="0" t="s">
        <v>1937</v>
      </c>
      <c r="F5596" s="0" t="s">
        <v>1937</v>
      </c>
    </row>
    <row r="5597" customFormat="false" ht="12.8" hidden="false" customHeight="false" outlineLevel="0" collapsed="false">
      <c r="B5597" s="0" t="s">
        <v>14</v>
      </c>
      <c r="D5597" s="0" t="s">
        <v>1939</v>
      </c>
      <c r="E5597" s="0" t="s">
        <v>1939</v>
      </c>
      <c r="F5597" s="0" t="s">
        <v>1939</v>
      </c>
    </row>
    <row r="5598" customFormat="false" ht="12.8" hidden="false" customHeight="false" outlineLevel="0" collapsed="false">
      <c r="B5598" s="0" t="s">
        <v>35</v>
      </c>
      <c r="D5598" s="0" t="s">
        <v>1940</v>
      </c>
      <c r="E5598" s="0" t="s">
        <v>1940</v>
      </c>
      <c r="F5598" s="0" t="s">
        <v>1940</v>
      </c>
    </row>
    <row r="5599" customFormat="false" ht="12.8" hidden="false" customHeight="false" outlineLevel="0" collapsed="false">
      <c r="B5599" s="0" t="s">
        <v>2571</v>
      </c>
      <c r="D5599" s="0" t="s">
        <v>361</v>
      </c>
      <c r="E5599" s="0" t="s">
        <v>361</v>
      </c>
      <c r="F5599" s="0" t="s">
        <v>361</v>
      </c>
    </row>
    <row r="5601" customFormat="false" ht="12.8" hidden="false" customHeight="false" outlineLevel="0" collapsed="false">
      <c r="A5601" s="0" t="s">
        <v>2572</v>
      </c>
      <c r="B5601" s="0" t="str">
        <f aca="false">HYPERLINK("https://lindat.mff.cuni.cz/services/teitok/pdtc10/index.php?action=vallex&amp;frame=v-w769f1", "dotvrzovat (v-w769f1)")</f>
        <v>dotvrzovat (v-w769f1)</v>
      </c>
    </row>
    <row r="5602" customFormat="false" ht="12.8" hidden="false" customHeight="false" outlineLevel="0" collapsed="false">
      <c r="B5602" s="0" t="s">
        <v>7</v>
      </c>
    </row>
    <row r="5603" customFormat="false" ht="12.8" hidden="false" customHeight="false" outlineLevel="0" collapsed="false">
      <c r="B5603" s="0" t="s">
        <v>2573</v>
      </c>
    </row>
    <row r="5604" customFormat="false" ht="12.8" hidden="false" customHeight="false" outlineLevel="0" collapsed="false">
      <c r="B5604" s="0" t="s">
        <v>106</v>
      </c>
    </row>
    <row r="5606" customFormat="false" ht="12.8" hidden="false" customHeight="false" outlineLevel="0" collapsed="false">
      <c r="A5606" s="0" t="s">
        <v>2574</v>
      </c>
      <c r="B5606" s="0" t="str">
        <f aca="false">HYPERLINK("https://lindat.mff.cuni.cz/services/teitok/pdtc10/index.php?action=vallex&amp;frame=v-w767f1", "dotvářet (v-w767f1)")</f>
        <v>dotvářet (v-w767f1)</v>
      </c>
    </row>
    <row r="5607" customFormat="false" ht="12.8" hidden="false" customHeight="false" outlineLevel="0" collapsed="false">
      <c r="B5607" s="0" t="s">
        <v>7</v>
      </c>
    </row>
    <row r="5608" customFormat="false" ht="12.8" hidden="false" customHeight="false" outlineLevel="0" collapsed="false">
      <c r="B5608" s="0" t="s">
        <v>14</v>
      </c>
    </row>
    <row r="5609" customFormat="false" ht="12.8" hidden="false" customHeight="false" outlineLevel="0" collapsed="false">
      <c r="B5609" s="0" t="s">
        <v>35</v>
      </c>
    </row>
    <row r="5610" customFormat="false" ht="12.8" hidden="false" customHeight="false" outlineLevel="0" collapsed="false">
      <c r="B5610" s="0" t="s">
        <v>2571</v>
      </c>
    </row>
    <row r="5612" customFormat="false" ht="12.8" hidden="false" customHeight="false" outlineLevel="0" collapsed="false">
      <c r="A5612" s="0" t="s">
        <v>2575</v>
      </c>
      <c r="B5612" s="0" t="str">
        <f aca="false">HYPERLINK("https://lindat.mff.cuni.cz/services/teitok/pdtc10/index.php?action=vallex&amp;frame=v-w750f4_ZU", "dotáhnout (v-w750f4_ZU)")</f>
        <v>dotáhnout (v-w750f4_ZU)</v>
      </c>
    </row>
    <row r="5613" customFormat="false" ht="12.8" hidden="false" customHeight="false" outlineLevel="0" collapsed="false">
      <c r="B5613" s="0" t="s">
        <v>7</v>
      </c>
    </row>
    <row r="5614" customFormat="false" ht="12.8" hidden="false" customHeight="false" outlineLevel="0" collapsed="false">
      <c r="B5614" s="0" t="s">
        <v>14</v>
      </c>
    </row>
    <row r="5615" customFormat="false" ht="12.8" hidden="false" customHeight="false" outlineLevel="0" collapsed="false">
      <c r="B5615" s="0" t="s">
        <v>279</v>
      </c>
    </row>
    <row r="5617" customFormat="false" ht="12.8" hidden="false" customHeight="false" outlineLevel="0" collapsed="false">
      <c r="A5617" s="0" t="s">
        <v>2575</v>
      </c>
      <c r="B5617" s="0" t="str">
        <f aca="false">HYPERLINK("https://lindat.mff.cuni.cz/services/teitok/pdtc10/index.php?action=vallex&amp;frame=v-w750f2", "dotáhnout (v-w750f2) - substituted with v-w750f4_ZU")</f>
        <v>dotáhnout (v-w750f2) - substituted with v-w750f4_ZU</v>
      </c>
    </row>
    <row r="5618" customFormat="false" ht="12.8" hidden="false" customHeight="false" outlineLevel="0" collapsed="false">
      <c r="B5618" s="0" t="s">
        <v>7</v>
      </c>
    </row>
    <row r="5619" customFormat="false" ht="12.8" hidden="false" customHeight="false" outlineLevel="0" collapsed="false">
      <c r="B5619" s="0" t="s">
        <v>14</v>
      </c>
    </row>
    <row r="5620" customFormat="false" ht="12.8" hidden="false" customHeight="false" outlineLevel="0" collapsed="false">
      <c r="B5620" s="0" t="s">
        <v>279</v>
      </c>
    </row>
    <row r="5622" customFormat="false" ht="12.8" hidden="false" customHeight="false" outlineLevel="0" collapsed="false">
      <c r="A5622" s="0" t="s">
        <v>2576</v>
      </c>
      <c r="B5622" s="0" t="str">
        <f aca="false">HYPERLINK("https://lindat.mff.cuni.cz/services/teitok/pdtc10/index.php?action=vallex&amp;frame=v-w750f1", "dotáhnout (v-w750f1)")</f>
        <v>dotáhnout (v-w750f1)</v>
      </c>
    </row>
    <row r="5623" customFormat="false" ht="12.8" hidden="false" customHeight="false" outlineLevel="0" collapsed="false">
      <c r="B5623" s="0" t="s">
        <v>7</v>
      </c>
    </row>
    <row r="5624" customFormat="false" ht="12.8" hidden="false" customHeight="false" outlineLevel="0" collapsed="false">
      <c r="B5624" s="0" t="s">
        <v>14</v>
      </c>
    </row>
    <row r="5625" customFormat="false" ht="12.8" hidden="false" customHeight="false" outlineLevel="0" collapsed="false">
      <c r="B5625" s="0" t="s">
        <v>124</v>
      </c>
    </row>
    <row r="5627" customFormat="false" ht="12.8" hidden="false" customHeight="false" outlineLevel="0" collapsed="false">
      <c r="A5627" s="0" t="s">
        <v>2577</v>
      </c>
      <c r="B5627" s="0" t="str">
        <f aca="false">HYPERLINK("https://lindat.mff.cuni.cz/services/teitok/pdtc10/index.php?action=vallex&amp;frame=v-w750f3_ZU", "dotáhnout (v-w750f3_ZU)")</f>
        <v>dotáhnout (v-w750f3_ZU)</v>
      </c>
    </row>
    <row r="5628" customFormat="false" ht="12.8" hidden="false" customHeight="false" outlineLevel="0" collapsed="false">
      <c r="B5628" s="0" t="s">
        <v>7</v>
      </c>
    </row>
    <row r="5629" customFormat="false" ht="12.8" hidden="false" customHeight="false" outlineLevel="0" collapsed="false">
      <c r="B5629" s="0" t="s">
        <v>338</v>
      </c>
    </row>
    <row r="5631" customFormat="false" ht="12.8" hidden="false" customHeight="false" outlineLevel="0" collapsed="false">
      <c r="A5631" s="0" t="s">
        <v>2578</v>
      </c>
      <c r="B5631" s="0" t="str">
        <f aca="false">HYPERLINK("https://lindat.mff.cuni.cz/services/teitok/pdtc10/index.php?action=vallex&amp;frame=v-w750hsa_311", "dotáhnout (v-w750hsa_311)")</f>
        <v>dotáhnout (v-w750hsa_311)</v>
      </c>
    </row>
    <row r="5632" customFormat="false" ht="12.8" hidden="false" customHeight="false" outlineLevel="0" collapsed="false">
      <c r="B5632" s="0" t="s">
        <v>7</v>
      </c>
    </row>
    <row r="5633" customFormat="false" ht="12.8" hidden="false" customHeight="false" outlineLevel="0" collapsed="false">
      <c r="B5633" s="0" t="s">
        <v>14</v>
      </c>
    </row>
    <row r="5634" customFormat="false" ht="12.8" hidden="false" customHeight="false" outlineLevel="0" collapsed="false">
      <c r="B5634" s="0" t="s">
        <v>1755</v>
      </c>
    </row>
    <row r="5635" customFormat="false" ht="12.8" hidden="false" customHeight="false" outlineLevel="0" collapsed="false">
      <c r="B5635" s="0" t="s">
        <v>35</v>
      </c>
    </row>
    <row r="5637" customFormat="false" ht="12.8" hidden="false" customHeight="false" outlineLevel="0" collapsed="false">
      <c r="A5637" s="0" t="s">
        <v>2579</v>
      </c>
      <c r="B5637" s="0" t="str">
        <f aca="false">HYPERLINK("https://lindat.mff.cuni.cz/services/teitok/pdtc10/index.php?action=vallex&amp;frame=v-w751f1", "dotáhnout se (v-w751f1)")</f>
        <v>dotáhnout se (v-w751f1)</v>
      </c>
    </row>
    <row r="5638" customFormat="false" ht="12.8" hidden="false" customHeight="false" outlineLevel="0" collapsed="false">
      <c r="B5638" s="0" t="s">
        <v>7</v>
      </c>
      <c r="C5638" s="0" t="s">
        <v>23</v>
      </c>
    </row>
    <row r="5639" customFormat="false" ht="12.8" hidden="false" customHeight="false" outlineLevel="0" collapsed="false">
      <c r="B5639" s="0" t="s">
        <v>124</v>
      </c>
      <c r="C5639" s="0" t="s">
        <v>2580</v>
      </c>
    </row>
    <row r="5641" customFormat="false" ht="12.8" hidden="false" customHeight="false" outlineLevel="0" collapsed="false">
      <c r="A5641" s="0" t="s">
        <v>2581</v>
      </c>
      <c r="B5641" s="0" t="str">
        <f aca="false">HYPERLINK("https://lindat.mff.cuni.cz/services/teitok/pdtc10/index.php?action=vallex&amp;frame=v-w752f1", "dotápět (v-w752f1)")</f>
        <v>dotápět (v-w752f1)</v>
      </c>
    </row>
    <row r="5642" customFormat="false" ht="12.8" hidden="false" customHeight="false" outlineLevel="0" collapsed="false">
      <c r="B5642" s="0" t="s">
        <v>7</v>
      </c>
    </row>
    <row r="5643" customFormat="false" ht="12.8" hidden="false" customHeight="false" outlineLevel="0" collapsed="false">
      <c r="B5643" s="0" t="s">
        <v>14</v>
      </c>
    </row>
    <row r="5645" customFormat="false" ht="12.8" hidden="false" customHeight="false" outlineLevel="0" collapsed="false">
      <c r="A5645" s="0" t="s">
        <v>2582</v>
      </c>
      <c r="B5645" s="0" t="str">
        <f aca="false">HYPERLINK("https://lindat.mff.cuni.cz/services/teitok/pdtc10/index.php?action=vallex&amp;frame=v-w754f1", "dotázat se (v-w754f1)")</f>
        <v>dotázat se (v-w754f1)</v>
      </c>
    </row>
    <row r="5646" customFormat="false" ht="12.8" hidden="false" customHeight="false" outlineLevel="0" collapsed="false">
      <c r="B5646" s="0" t="s">
        <v>7</v>
      </c>
      <c r="C5646" s="0" t="s">
        <v>2583</v>
      </c>
      <c r="D5646" s="0" t="s">
        <v>2534</v>
      </c>
      <c r="E5646" s="0" t="s">
        <v>2534</v>
      </c>
      <c r="F5646" s="0" t="s">
        <v>2534</v>
      </c>
    </row>
    <row r="5647" customFormat="false" ht="12.8" hidden="false" customHeight="false" outlineLevel="0" collapsed="false">
      <c r="B5647" s="0" t="s">
        <v>2535</v>
      </c>
      <c r="C5647" s="0" t="s">
        <v>2584</v>
      </c>
      <c r="D5647" s="0" t="s">
        <v>2537</v>
      </c>
      <c r="E5647" s="0" t="s">
        <v>2537</v>
      </c>
      <c r="F5647" s="0" t="s">
        <v>2537</v>
      </c>
    </row>
    <row r="5648" customFormat="false" ht="12.8" hidden="false" customHeight="false" outlineLevel="0" collapsed="false">
      <c r="B5648" s="0" t="s">
        <v>2538</v>
      </c>
      <c r="C5648" s="0" t="s">
        <v>2585</v>
      </c>
      <c r="D5648" s="0" t="s">
        <v>2540</v>
      </c>
      <c r="E5648" s="0" t="s">
        <v>2540</v>
      </c>
      <c r="F5648" s="0" t="s">
        <v>2540</v>
      </c>
    </row>
    <row r="5650" customFormat="false" ht="12.8" hidden="false" customHeight="false" outlineLevel="0" collapsed="false">
      <c r="A5650" s="0" t="s">
        <v>2586</v>
      </c>
      <c r="B5650" s="0" t="str">
        <f aca="false">HYPERLINK("https://lindat.mff.cuni.cz/services/teitok/pdtc10/index.php?action=vallex&amp;frame=v-whsa_44hsa_45", "dotéci (v-whsa_44hsa_45)")</f>
        <v>dotéci (v-whsa_44hsa_45)</v>
      </c>
    </row>
    <row r="5651" customFormat="false" ht="12.8" hidden="false" customHeight="false" outlineLevel="0" collapsed="false">
      <c r="B5651" s="0" t="s">
        <v>7</v>
      </c>
      <c r="C5651" s="0" t="s">
        <v>396</v>
      </c>
      <c r="D5651" s="0" t="s">
        <v>2587</v>
      </c>
      <c r="E5651" s="0" t="s">
        <v>2588</v>
      </c>
      <c r="F5651" s="0" t="s">
        <v>2588</v>
      </c>
    </row>
    <row r="5652" customFormat="false" ht="12.8" hidden="false" customHeight="false" outlineLevel="0" collapsed="false">
      <c r="B5652" s="0" t="s">
        <v>124</v>
      </c>
      <c r="D5652" s="0" t="s">
        <v>1707</v>
      </c>
      <c r="E5652" s="0" t="s">
        <v>1707</v>
      </c>
      <c r="F5652" s="0" t="s">
        <v>1707</v>
      </c>
    </row>
    <row r="5654" customFormat="false" ht="12.8" hidden="false" customHeight="false" outlineLevel="0" collapsed="false">
      <c r="A5654" s="0" t="s">
        <v>2589</v>
      </c>
      <c r="B5654" s="0" t="str">
        <f aca="false">HYPERLINK("https://lindat.mff.cuni.cz/services/teitok/pdtc10/index.php?action=vallex&amp;frame=v-w759f1", "dotírat (v-w759f1)")</f>
        <v>dotírat (v-w759f1)</v>
      </c>
    </row>
    <row r="5655" customFormat="false" ht="12.8" hidden="false" customHeight="false" outlineLevel="0" collapsed="false">
      <c r="B5655" s="0" t="s">
        <v>7</v>
      </c>
    </row>
    <row r="5656" customFormat="false" ht="12.8" hidden="false" customHeight="false" outlineLevel="0" collapsed="false">
      <c r="B5656" s="0" t="s">
        <v>41</v>
      </c>
    </row>
    <row r="5658" customFormat="false" ht="12.8" hidden="false" customHeight="false" outlineLevel="0" collapsed="false">
      <c r="A5658" s="0" t="s">
        <v>2590</v>
      </c>
      <c r="B5658" s="0" t="str">
        <f aca="false">HYPERLINK("https://lindat.mff.cuni.cz/services/teitok/pdtc10/index.php?action=vallex&amp;frame=v-w772f1", "dotýkat se (v-w772f1)")</f>
        <v>dotýkat se (v-w772f1)</v>
      </c>
    </row>
    <row r="5659" customFormat="false" ht="12.8" hidden="false" customHeight="false" outlineLevel="0" collapsed="false">
      <c r="B5659" s="0" t="s">
        <v>7</v>
      </c>
      <c r="C5659" s="0" t="s">
        <v>2591</v>
      </c>
      <c r="D5659" s="0" t="s">
        <v>2592</v>
      </c>
      <c r="E5659" s="0" t="s">
        <v>2592</v>
      </c>
      <c r="F5659" s="0" t="s">
        <v>2593</v>
      </c>
    </row>
    <row r="5660" customFormat="false" ht="12.8" hidden="false" customHeight="false" outlineLevel="0" collapsed="false">
      <c r="B5660" s="0" t="s">
        <v>1087</v>
      </c>
      <c r="C5660" s="0" t="s">
        <v>2594</v>
      </c>
      <c r="D5660" s="0" t="s">
        <v>2595</v>
      </c>
      <c r="E5660" s="0" t="s">
        <v>2595</v>
      </c>
      <c r="F5660" s="0" t="s">
        <v>2596</v>
      </c>
    </row>
    <row r="5662" customFormat="false" ht="12.8" hidden="false" customHeight="false" outlineLevel="0" collapsed="false">
      <c r="A5662" s="0" t="s">
        <v>2597</v>
      </c>
      <c r="B5662" s="0" t="str">
        <f aca="false">HYPERLINK("https://lindat.mff.cuni.cz/services/teitok/pdtc10/index.php?action=vallex&amp;frame=v-w772f3", "dotýkat se (v-w772f3)")</f>
        <v>dotýkat se (v-w772f3)</v>
      </c>
    </row>
    <row r="5663" customFormat="false" ht="12.8" hidden="false" customHeight="false" outlineLevel="0" collapsed="false">
      <c r="B5663" s="0" t="s">
        <v>7</v>
      </c>
      <c r="D5663" s="0" t="s">
        <v>569</v>
      </c>
      <c r="E5663" s="0" t="s">
        <v>569</v>
      </c>
      <c r="F5663" s="0" t="s">
        <v>569</v>
      </c>
    </row>
    <row r="5664" customFormat="false" ht="12.8" hidden="false" customHeight="false" outlineLevel="0" collapsed="false">
      <c r="B5664" s="0" t="s">
        <v>1087</v>
      </c>
      <c r="D5664" s="0" t="s">
        <v>461</v>
      </c>
      <c r="E5664" s="0" t="s">
        <v>461</v>
      </c>
      <c r="F5664" s="0" t="s">
        <v>461</v>
      </c>
    </row>
    <row r="5666" customFormat="false" ht="12.8" hidden="false" customHeight="false" outlineLevel="0" collapsed="false">
      <c r="A5666" s="0" t="s">
        <v>2598</v>
      </c>
      <c r="B5666" s="0" t="str">
        <f aca="false">HYPERLINK("https://lindat.mff.cuni.cz/services/teitok/pdtc10/index.php?action=vallex&amp;frame=v-w772f2", "dotýkat se (v-w772f2)")</f>
        <v>dotýkat se (v-w772f2)</v>
      </c>
    </row>
    <row r="5667" customFormat="false" ht="12.8" hidden="false" customHeight="false" outlineLevel="0" collapsed="false">
      <c r="B5667" s="0" t="s">
        <v>7</v>
      </c>
    </row>
    <row r="5668" customFormat="false" ht="12.8" hidden="false" customHeight="false" outlineLevel="0" collapsed="false">
      <c r="B5668" s="0" t="s">
        <v>1087</v>
      </c>
    </row>
    <row r="5670" customFormat="false" ht="12.8" hidden="false" customHeight="false" outlineLevel="0" collapsed="false">
      <c r="A5670" s="0" t="s">
        <v>2599</v>
      </c>
      <c r="B5670" s="0" t="str">
        <f aca="false">HYPERLINK("https://lindat.mff.cuni.cz/services/teitok/pdtc10/index.php?action=vallex&amp;frame=v-w774f4_MM", "doufat (v-w774f4_MM)")</f>
        <v>doufat (v-w774f4_MM)</v>
      </c>
    </row>
    <row r="5671" customFormat="false" ht="12.8" hidden="false" customHeight="false" outlineLevel="0" collapsed="false">
      <c r="B5671" s="0" t="s">
        <v>7</v>
      </c>
    </row>
    <row r="5672" customFormat="false" ht="12.8" hidden="false" customHeight="false" outlineLevel="0" collapsed="false">
      <c r="B5672" s="0" t="s">
        <v>2600</v>
      </c>
    </row>
    <row r="5674" customFormat="false" ht="12.8" hidden="false" customHeight="false" outlineLevel="0" collapsed="false">
      <c r="A5674" s="0" t="s">
        <v>2599</v>
      </c>
      <c r="B5674" s="0" t="str">
        <f aca="false">HYPERLINK("https://lindat.mff.cuni.cz/services/teitok/pdtc10/index.php?action=vallex&amp;frame=v-w774f1", "doufat (v-w774f1) - substituted with v-w774f4_MM")</f>
        <v>doufat (v-w774f1) - substituted with v-w774f4_MM</v>
      </c>
    </row>
    <row r="5675" customFormat="false" ht="12.8" hidden="false" customHeight="false" outlineLevel="0" collapsed="false">
      <c r="B5675" s="0" t="s">
        <v>7</v>
      </c>
      <c r="C5675" s="0" t="s">
        <v>2601</v>
      </c>
    </row>
    <row r="5676" customFormat="false" ht="12.8" hidden="false" customHeight="false" outlineLevel="0" collapsed="false">
      <c r="B5676" s="0" t="s">
        <v>2600</v>
      </c>
      <c r="C5676" s="0" t="s">
        <v>2602</v>
      </c>
    </row>
    <row r="5678" customFormat="false" ht="12.8" hidden="false" customHeight="false" outlineLevel="0" collapsed="false">
      <c r="A5678" s="0" t="s">
        <v>2599</v>
      </c>
      <c r="B5678" s="0" t="str">
        <f aca="false">HYPERLINK("https://lindat.mff.cuni.cz/services/teitok/pdtc10/index.php?action=vallex&amp;frame=v-w774f3_ZU", "doufat (v-w774f3_ZU) - substituted with v-w774f4_MM")</f>
        <v>doufat (v-w774f3_ZU) - substituted with v-w774f4_MM</v>
      </c>
    </row>
    <row r="5679" customFormat="false" ht="12.8" hidden="false" customHeight="false" outlineLevel="0" collapsed="false">
      <c r="B5679" s="0" t="s">
        <v>7</v>
      </c>
      <c r="D5679" s="0" t="s">
        <v>2603</v>
      </c>
      <c r="E5679" s="0" t="s">
        <v>2603</v>
      </c>
      <c r="F5679" s="0" t="s">
        <v>2603</v>
      </c>
    </row>
    <row r="5680" customFormat="false" ht="12.8" hidden="false" customHeight="false" outlineLevel="0" collapsed="false">
      <c r="B5680" s="0" t="s">
        <v>2600</v>
      </c>
      <c r="C5680" s="0" t="s">
        <v>2604</v>
      </c>
      <c r="D5680" s="0" t="s">
        <v>2605</v>
      </c>
      <c r="E5680" s="0" t="s">
        <v>2605</v>
      </c>
      <c r="F5680" s="0" t="s">
        <v>2605</v>
      </c>
    </row>
    <row r="5682" customFormat="false" ht="12.8" hidden="false" customHeight="false" outlineLevel="0" collapsed="false">
      <c r="A5682" s="0" t="s">
        <v>2606</v>
      </c>
      <c r="B5682" s="0" t="str">
        <f aca="false">HYPERLINK("https://lindat.mff.cuni.cz/services/teitok/pdtc10/index.php?action=vallex&amp;frame=v-w774f2_ZU", "doufat (v-w774f2_ZU)")</f>
        <v>doufat (v-w774f2_ZU)</v>
      </c>
    </row>
    <row r="5683" customFormat="false" ht="12.8" hidden="false" customHeight="false" outlineLevel="0" collapsed="false">
      <c r="B5683" s="0" t="s">
        <v>7</v>
      </c>
    </row>
    <row r="5684" customFormat="false" ht="12.8" hidden="false" customHeight="false" outlineLevel="0" collapsed="false">
      <c r="B5684" s="0" t="s">
        <v>2607</v>
      </c>
      <c r="C5684" s="0" t="s">
        <v>2608</v>
      </c>
    </row>
    <row r="5685" customFormat="false" ht="12.8" hidden="false" customHeight="false" outlineLevel="0" collapsed="false">
      <c r="B5685" s="0" t="s">
        <v>363</v>
      </c>
      <c r="C5685" s="0" t="s">
        <v>2609</v>
      </c>
    </row>
    <row r="5687" customFormat="false" ht="12.8" hidden="false" customHeight="false" outlineLevel="0" collapsed="false">
      <c r="A5687" s="0" t="s">
        <v>2606</v>
      </c>
      <c r="B5687" s="0" t="str">
        <f aca="false">HYPERLINK("https://lindat.mff.cuni.cz/services/teitok/pdtc10/index.php?action=vallex&amp;frame=v-w774hsa_603", "doufat (v-w774hsa_603) - substituted with v-w774f2_ZU")</f>
        <v>doufat (v-w774hsa_603) - substituted with v-w774f2_ZU</v>
      </c>
    </row>
    <row r="5688" customFormat="false" ht="12.8" hidden="false" customHeight="false" outlineLevel="0" collapsed="false">
      <c r="B5688" s="0" t="s">
        <v>7</v>
      </c>
    </row>
    <row r="5689" customFormat="false" ht="12.8" hidden="false" customHeight="false" outlineLevel="0" collapsed="false">
      <c r="B5689" s="0" t="s">
        <v>2607</v>
      </c>
    </row>
    <row r="5690" customFormat="false" ht="12.8" hidden="false" customHeight="false" outlineLevel="0" collapsed="false">
      <c r="B5690" s="0" t="s">
        <v>363</v>
      </c>
    </row>
    <row r="5692" customFormat="false" ht="12.8" hidden="false" customHeight="false" outlineLevel="0" collapsed="false">
      <c r="A5692" s="0" t="s">
        <v>2610</v>
      </c>
      <c r="B5692" s="0" t="str">
        <f aca="false">HYPERLINK("https://lindat.mff.cuni.cz/services/teitok/pdtc10/index.php?action=vallex&amp;frame=v-w10254f2", "doutnat (v-w10254f2)")</f>
        <v>doutnat (v-w10254f2)</v>
      </c>
    </row>
    <row r="5693" customFormat="false" ht="12.8" hidden="false" customHeight="false" outlineLevel="0" collapsed="false">
      <c r="B5693" s="0" t="s">
        <v>7</v>
      </c>
      <c r="C5693" s="0" t="s">
        <v>2611</v>
      </c>
      <c r="D5693" s="0" t="s">
        <v>2612</v>
      </c>
      <c r="E5693" s="0" t="s">
        <v>2612</v>
      </c>
      <c r="F5693" s="0" t="s">
        <v>2612</v>
      </c>
    </row>
    <row r="5695" customFormat="false" ht="12.8" hidden="false" customHeight="false" outlineLevel="0" collapsed="false">
      <c r="A5695" s="0" t="s">
        <v>2613</v>
      </c>
      <c r="B5695" s="0" t="str">
        <f aca="false">HYPERLINK("https://lindat.mff.cuni.cz/services/teitok/pdtc10/index.php?action=vallex&amp;frame=v-w10254hsa_316", "doutnat (v-w10254hsa_316)")</f>
        <v>doutnat (v-w10254hsa_316)</v>
      </c>
    </row>
    <row r="5696" customFormat="false" ht="12.8" hidden="false" customHeight="false" outlineLevel="0" collapsed="false">
      <c r="B5696" s="0" t="s">
        <v>7</v>
      </c>
      <c r="C5696" s="0" t="s">
        <v>46</v>
      </c>
    </row>
    <row r="5698" customFormat="false" ht="12.8" hidden="false" customHeight="false" outlineLevel="0" collapsed="false">
      <c r="A5698" s="0" t="s">
        <v>2614</v>
      </c>
      <c r="B5698" s="0" t="str">
        <f aca="false">HYPERLINK("https://lindat.mff.cuni.cz/services/teitok/pdtc10/index.php?action=vallex&amp;frame=v-whsa_1113hsa_1114", "doučit se (v-whsa_1113hsa_1114)")</f>
        <v>doučit se (v-whsa_1113hsa_1114)</v>
      </c>
    </row>
    <row r="5699" customFormat="false" ht="12.8" hidden="false" customHeight="false" outlineLevel="0" collapsed="false">
      <c r="B5699" s="0" t="s">
        <v>7</v>
      </c>
    </row>
    <row r="5700" customFormat="false" ht="12.8" hidden="false" customHeight="false" outlineLevel="0" collapsed="false">
      <c r="B5700" s="0" t="s">
        <v>2615</v>
      </c>
    </row>
    <row r="5702" customFormat="false" ht="12.8" hidden="false" customHeight="false" outlineLevel="0" collapsed="false">
      <c r="A5702" s="0" t="s">
        <v>2616</v>
      </c>
      <c r="B5702" s="0" t="str">
        <f aca="false">HYPERLINK("https://lindat.mff.cuni.cz/services/teitok/pdtc10/index.php?action=vallex&amp;frame=v-w11750_ZUf2_ZU", "doučovat (v-w11750_ZUf2_ZU)")</f>
        <v>doučovat (v-w11750_ZUf2_ZU)</v>
      </c>
    </row>
    <row r="5703" customFormat="false" ht="12.8" hidden="false" customHeight="false" outlineLevel="0" collapsed="false">
      <c r="B5703" s="0" t="s">
        <v>7</v>
      </c>
    </row>
    <row r="5704" customFormat="false" ht="12.8" hidden="false" customHeight="false" outlineLevel="0" collapsed="false">
      <c r="B5704" s="0" t="s">
        <v>297</v>
      </c>
    </row>
    <row r="5705" customFormat="false" ht="12.8" hidden="false" customHeight="false" outlineLevel="0" collapsed="false">
      <c r="B5705" s="0" t="s">
        <v>2617</v>
      </c>
    </row>
    <row r="5707" customFormat="false" ht="12.8" hidden="false" customHeight="false" outlineLevel="0" collapsed="false">
      <c r="A5707" s="0" t="s">
        <v>2616</v>
      </c>
      <c r="B5707" s="0" t="str">
        <f aca="false">HYPERLINK("https://lindat.mff.cuni.cz/services/teitok/pdtc10/index.php?action=vallex&amp;frame=v-w11750_ZUf1_ZU", "doučovat (v-w11750_ZUf1_ZU) - substituted with v-w11750_ZUf2_ZU")</f>
        <v>doučovat (v-w11750_ZUf1_ZU) - substituted with v-w11750_ZUf2_ZU</v>
      </c>
    </row>
    <row r="5708" customFormat="false" ht="12.8" hidden="false" customHeight="false" outlineLevel="0" collapsed="false">
      <c r="B5708" s="0" t="s">
        <v>7</v>
      </c>
    </row>
    <row r="5709" customFormat="false" ht="12.8" hidden="false" customHeight="false" outlineLevel="0" collapsed="false">
      <c r="B5709" s="0" t="s">
        <v>297</v>
      </c>
    </row>
    <row r="5710" customFormat="false" ht="12.8" hidden="false" customHeight="false" outlineLevel="0" collapsed="false">
      <c r="B5710" s="0" t="s">
        <v>2617</v>
      </c>
    </row>
    <row r="5712" customFormat="false" ht="12.8" hidden="false" customHeight="false" outlineLevel="0" collapsed="false">
      <c r="A5712" s="0" t="s">
        <v>2618</v>
      </c>
      <c r="B5712" s="0" t="str">
        <f aca="false">HYPERLINK("https://lindat.mff.cuni.cz/services/teitok/pdtc10/index.php?action=vallex&amp;frame=v-whsa_1832hsa_1833", "doučovat se (v-whsa_1832hsa_1833)")</f>
        <v>doučovat se (v-whsa_1832hsa_1833)</v>
      </c>
    </row>
    <row r="5713" customFormat="false" ht="12.8" hidden="false" customHeight="false" outlineLevel="0" collapsed="false">
      <c r="B5713" s="0" t="s">
        <v>7</v>
      </c>
    </row>
    <row r="5714" customFormat="false" ht="12.8" hidden="false" customHeight="false" outlineLevel="0" collapsed="false">
      <c r="B5714" s="0" t="s">
        <v>2619</v>
      </c>
    </row>
    <row r="5715" customFormat="false" ht="12.8" hidden="false" customHeight="false" outlineLevel="0" collapsed="false">
      <c r="B5715" s="0" t="s">
        <v>1349</v>
      </c>
    </row>
    <row r="5717" customFormat="false" ht="12.8" hidden="false" customHeight="false" outlineLevel="0" collapsed="false">
      <c r="A5717" s="0" t="s">
        <v>2620</v>
      </c>
      <c r="B5717" s="0" t="str">
        <f aca="false">HYPERLINK("https://lindat.mff.cuni.cz/services/teitok/pdtc10/index.php?action=vallex&amp;frame=v-w776f2", "dovařit (v-w776f2)")</f>
        <v>dovařit (v-w776f2)</v>
      </c>
    </row>
    <row r="5718" customFormat="false" ht="12.8" hidden="false" customHeight="false" outlineLevel="0" collapsed="false">
      <c r="B5718" s="0" t="s">
        <v>7</v>
      </c>
    </row>
    <row r="5719" customFormat="false" ht="12.8" hidden="false" customHeight="false" outlineLevel="0" collapsed="false">
      <c r="B5719" s="0" t="s">
        <v>14</v>
      </c>
    </row>
    <row r="5720" customFormat="false" ht="12.8" hidden="false" customHeight="false" outlineLevel="0" collapsed="false">
      <c r="B5720" s="0" t="s">
        <v>35</v>
      </c>
    </row>
    <row r="5721" customFormat="false" ht="12.8" hidden="false" customHeight="false" outlineLevel="0" collapsed="false">
      <c r="B5721" s="0" t="s">
        <v>2571</v>
      </c>
    </row>
    <row r="5723" customFormat="false" ht="12.8" hidden="false" customHeight="false" outlineLevel="0" collapsed="false">
      <c r="A5723" s="0" t="s">
        <v>2621</v>
      </c>
      <c r="B5723" s="0" t="str">
        <f aca="false">HYPERLINK("https://lindat.mff.cuni.cz/services/teitok/pdtc10/index.php?action=vallex&amp;frame=v-w776f1", "dovařit (v-w776f1)")</f>
        <v>dovařit (v-w776f1)</v>
      </c>
    </row>
    <row r="5724" customFormat="false" ht="12.8" hidden="false" customHeight="false" outlineLevel="0" collapsed="false">
      <c r="B5724" s="0" t="s">
        <v>7</v>
      </c>
    </row>
    <row r="5725" customFormat="false" ht="12.8" hidden="false" customHeight="false" outlineLevel="0" collapsed="false">
      <c r="B5725" s="0" t="s">
        <v>14</v>
      </c>
    </row>
    <row r="5727" customFormat="false" ht="12.8" hidden="false" customHeight="false" outlineLevel="0" collapsed="false">
      <c r="A5727" s="0" t="s">
        <v>2622</v>
      </c>
      <c r="B5727" s="0" t="str">
        <f aca="false">HYPERLINK("https://lindat.mff.cuni.cz/services/teitok/pdtc10/index.php?action=vallex&amp;frame=v-w779f1", "dovažovat (v-w779f1)")</f>
        <v>dovažovat (v-w779f1)</v>
      </c>
    </row>
    <row r="5728" customFormat="false" ht="12.8" hidden="false" customHeight="false" outlineLevel="0" collapsed="false">
      <c r="B5728" s="0" t="s">
        <v>7</v>
      </c>
    </row>
    <row r="5729" customFormat="false" ht="12.8" hidden="false" customHeight="false" outlineLevel="0" collapsed="false">
      <c r="B5729" s="0" t="s">
        <v>1693</v>
      </c>
    </row>
    <row r="5731" customFormat="false" ht="12.8" hidden="false" customHeight="false" outlineLevel="0" collapsed="false">
      <c r="A5731" s="0" t="s">
        <v>2623</v>
      </c>
      <c r="B5731" s="0" t="str">
        <f aca="false">HYPERLINK("https://lindat.mff.cuni.cz/services/teitok/pdtc10/index.php?action=vallex&amp;frame=v-w785f1", "dovodit (v-w785f1)")</f>
        <v>dovodit (v-w785f1)</v>
      </c>
    </row>
    <row r="5732" customFormat="false" ht="12.8" hidden="false" customHeight="false" outlineLevel="0" collapsed="false">
      <c r="B5732" s="0" t="s">
        <v>7</v>
      </c>
    </row>
    <row r="5733" customFormat="false" ht="12.8" hidden="false" customHeight="false" outlineLevel="0" collapsed="false">
      <c r="B5733" s="0" t="s">
        <v>54</v>
      </c>
    </row>
    <row r="5734" customFormat="false" ht="12.8" hidden="false" customHeight="false" outlineLevel="0" collapsed="false">
      <c r="B5734" s="0" t="s">
        <v>35</v>
      </c>
    </row>
    <row r="5736" customFormat="false" ht="12.8" hidden="false" customHeight="false" outlineLevel="0" collapsed="false">
      <c r="A5736" s="0" t="s">
        <v>2624</v>
      </c>
      <c r="B5736" s="0" t="str">
        <f aca="false">HYPERLINK("https://lindat.mff.cuni.cz/services/teitok/pdtc10/index.php?action=vallex&amp;frame=v-w786f2", "dovolat se (v-w786f2)")</f>
        <v>dovolat se (v-w786f2)</v>
      </c>
    </row>
    <row r="5737" customFormat="false" ht="12.8" hidden="false" customHeight="false" outlineLevel="0" collapsed="false">
      <c r="B5737" s="0" t="s">
        <v>7</v>
      </c>
    </row>
    <row r="5738" customFormat="false" ht="12.8" hidden="false" customHeight="false" outlineLevel="0" collapsed="false">
      <c r="B5738" s="0" t="s">
        <v>1087</v>
      </c>
    </row>
    <row r="5740" customFormat="false" ht="12.8" hidden="false" customHeight="false" outlineLevel="0" collapsed="false">
      <c r="A5740" s="0" t="s">
        <v>2625</v>
      </c>
      <c r="B5740" s="0" t="str">
        <f aca="false">HYPERLINK("https://lindat.mff.cuni.cz/services/teitok/pdtc10/index.php?action=vallex&amp;frame=v-w786f1", "dovolat se (v-w786f1)")</f>
        <v>dovolat se (v-w786f1)</v>
      </c>
    </row>
    <row r="5741" customFormat="false" ht="12.8" hidden="false" customHeight="false" outlineLevel="0" collapsed="false">
      <c r="B5741" s="0" t="s">
        <v>7</v>
      </c>
    </row>
    <row r="5742" customFormat="false" ht="12.8" hidden="false" customHeight="false" outlineLevel="0" collapsed="false">
      <c r="B5742" s="0" t="s">
        <v>124</v>
      </c>
    </row>
    <row r="5744" customFormat="false" ht="12.8" hidden="false" customHeight="false" outlineLevel="0" collapsed="false">
      <c r="A5744" s="0" t="s">
        <v>2626</v>
      </c>
      <c r="B5744" s="0" t="str">
        <f aca="false">HYPERLINK("https://lindat.mff.cuni.cz/services/teitok/pdtc10/index.php?action=vallex&amp;frame=v-w786f4_ZU", "dovolat se (v-w786f4_ZU)")</f>
        <v>dovolat se (v-w786f4_ZU)</v>
      </c>
    </row>
    <row r="5745" customFormat="false" ht="12.8" hidden="false" customHeight="false" outlineLevel="0" collapsed="false">
      <c r="B5745" s="0" t="s">
        <v>7</v>
      </c>
    </row>
    <row r="5746" customFormat="false" ht="12.8" hidden="false" customHeight="false" outlineLevel="0" collapsed="false">
      <c r="B5746" s="0" t="s">
        <v>142</v>
      </c>
    </row>
    <row r="5748" customFormat="false" ht="12.8" hidden="false" customHeight="false" outlineLevel="0" collapsed="false">
      <c r="A5748" s="0" t="s">
        <v>2626</v>
      </c>
      <c r="B5748" s="0" t="str">
        <f aca="false">HYPERLINK("https://lindat.mff.cuni.cz/services/teitok/pdtc10/index.php?action=vallex&amp;frame=v-w786f3_ZU", "dovolat se (v-w786f3_ZU) - substituted with v-w786f4_ZU")</f>
        <v>dovolat se (v-w786f3_ZU) - substituted with v-w786f4_ZU</v>
      </c>
    </row>
    <row r="5749" customFormat="false" ht="12.8" hidden="false" customHeight="false" outlineLevel="0" collapsed="false">
      <c r="B5749" s="0" t="s">
        <v>7</v>
      </c>
    </row>
    <row r="5750" customFormat="false" ht="12.8" hidden="false" customHeight="false" outlineLevel="0" collapsed="false">
      <c r="B5750" s="0" t="s">
        <v>142</v>
      </c>
    </row>
    <row r="5752" customFormat="false" ht="12.8" hidden="false" customHeight="false" outlineLevel="0" collapsed="false">
      <c r="A5752" s="0" t="s">
        <v>2627</v>
      </c>
      <c r="B5752" s="0" t="str">
        <f aca="false">HYPERLINK("https://lindat.mff.cuni.cz/services/teitok/pdtc10/index.php?action=vallex&amp;frame=v-w788f1", "dovolit (v-w788f1)")</f>
        <v>dovolit (v-w788f1)</v>
      </c>
    </row>
    <row r="5753" customFormat="false" ht="12.8" hidden="false" customHeight="false" outlineLevel="0" collapsed="false">
      <c r="B5753" s="0" t="s">
        <v>7</v>
      </c>
      <c r="C5753" s="0" t="s">
        <v>2628</v>
      </c>
      <c r="D5753" s="0" t="s">
        <v>2629</v>
      </c>
      <c r="E5753" s="0" t="s">
        <v>2629</v>
      </c>
      <c r="F5753" s="0" t="s">
        <v>2629</v>
      </c>
    </row>
    <row r="5754" customFormat="false" ht="12.8" hidden="false" customHeight="false" outlineLevel="0" collapsed="false">
      <c r="B5754" s="0" t="s">
        <v>2630</v>
      </c>
      <c r="C5754" s="0" t="s">
        <v>2631</v>
      </c>
      <c r="D5754" s="0" t="s">
        <v>2632</v>
      </c>
      <c r="E5754" s="0" t="s">
        <v>2632</v>
      </c>
      <c r="F5754" s="0" t="s">
        <v>2632</v>
      </c>
    </row>
    <row r="5755" customFormat="false" ht="12.8" hidden="false" customHeight="false" outlineLevel="0" collapsed="false">
      <c r="B5755" s="0" t="s">
        <v>48</v>
      </c>
      <c r="C5755" s="0" t="s">
        <v>2633</v>
      </c>
      <c r="D5755" s="0" t="s">
        <v>2634</v>
      </c>
      <c r="E5755" s="0" t="s">
        <v>2634</v>
      </c>
      <c r="F5755" s="0" t="s">
        <v>2634</v>
      </c>
    </row>
    <row r="5757" customFormat="false" ht="12.8" hidden="false" customHeight="false" outlineLevel="0" collapsed="false">
      <c r="A5757" s="0" t="s">
        <v>2635</v>
      </c>
      <c r="B5757" s="0" t="str">
        <f aca="false">HYPERLINK("https://lindat.mff.cuni.cz/services/teitok/pdtc10/index.php?action=vallex&amp;frame=v-w789f1", "dovolit se (v-w789f1)")</f>
        <v>dovolit se (v-w789f1)</v>
      </c>
    </row>
    <row r="5758" customFormat="false" ht="12.8" hidden="false" customHeight="false" outlineLevel="0" collapsed="false">
      <c r="B5758" s="0" t="s">
        <v>7</v>
      </c>
      <c r="E5758" s="0" t="s">
        <v>1243</v>
      </c>
      <c r="F5758" s="0" t="s">
        <v>1243</v>
      </c>
    </row>
    <row r="5759" customFormat="false" ht="12.8" hidden="false" customHeight="false" outlineLevel="0" collapsed="false">
      <c r="B5759" s="0" t="s">
        <v>1087</v>
      </c>
      <c r="E5759" s="0" t="s">
        <v>2636</v>
      </c>
      <c r="F5759" s="0" t="s">
        <v>2636</v>
      </c>
    </row>
    <row r="5760" customFormat="false" ht="12.8" hidden="false" customHeight="false" outlineLevel="0" collapsed="false">
      <c r="B5760" s="0" t="s">
        <v>2637</v>
      </c>
      <c r="E5760" s="0" t="s">
        <v>2638</v>
      </c>
      <c r="F5760" s="0" t="s">
        <v>2638</v>
      </c>
    </row>
    <row r="5762" customFormat="false" ht="12.8" hidden="false" customHeight="false" outlineLevel="0" collapsed="false">
      <c r="A5762" s="0" t="s">
        <v>2639</v>
      </c>
      <c r="B5762" s="0" t="str">
        <f aca="false">HYPERLINK("https://lindat.mff.cuni.cz/services/teitok/pdtc10/index.php?action=vallex&amp;frame=v-w790f3_ZU", "dovolit si (v-w790f3_ZU)")</f>
        <v>dovolit si (v-w790f3_ZU)</v>
      </c>
    </row>
    <row r="5763" customFormat="false" ht="12.8" hidden="false" customHeight="false" outlineLevel="0" collapsed="false">
      <c r="B5763" s="0" t="s">
        <v>7</v>
      </c>
      <c r="C5763" s="0" t="s">
        <v>465</v>
      </c>
      <c r="D5763" s="0" t="s">
        <v>309</v>
      </c>
      <c r="E5763" s="0" t="s">
        <v>309</v>
      </c>
      <c r="F5763" s="0" t="s">
        <v>309</v>
      </c>
    </row>
    <row r="5764" customFormat="false" ht="12.8" hidden="false" customHeight="false" outlineLevel="0" collapsed="false">
      <c r="B5764" s="0" t="s">
        <v>2640</v>
      </c>
      <c r="C5764" s="0" t="s">
        <v>2641</v>
      </c>
      <c r="D5764" s="0" t="s">
        <v>2642</v>
      </c>
      <c r="E5764" s="0" t="s">
        <v>2642</v>
      </c>
      <c r="F5764" s="0" t="s">
        <v>2642</v>
      </c>
    </row>
    <row r="5766" customFormat="false" ht="12.8" hidden="false" customHeight="false" outlineLevel="0" collapsed="false">
      <c r="A5766" s="0" t="s">
        <v>2639</v>
      </c>
      <c r="B5766" s="0" t="str">
        <f aca="false">HYPERLINK("https://lindat.mff.cuni.cz/services/teitok/pdtc10/index.php?action=vallex&amp;frame=v-w790f2", "dovolit si (v-w790f2) - substituted with v-w790f3_ZU")</f>
        <v>dovolit si (v-w790f2) - substituted with v-w790f3_ZU</v>
      </c>
    </row>
    <row r="5767" customFormat="false" ht="12.8" hidden="false" customHeight="false" outlineLevel="0" collapsed="false">
      <c r="B5767" s="0" t="s">
        <v>7</v>
      </c>
      <c r="C5767" s="0" t="s">
        <v>2643</v>
      </c>
    </row>
    <row r="5768" customFormat="false" ht="12.8" hidden="false" customHeight="false" outlineLevel="0" collapsed="false">
      <c r="B5768" s="0" t="s">
        <v>2640</v>
      </c>
      <c r="C5768" s="0" t="s">
        <v>1824</v>
      </c>
    </row>
    <row r="5770" customFormat="false" ht="12.8" hidden="false" customHeight="false" outlineLevel="0" collapsed="false">
      <c r="A5770" s="0" t="s">
        <v>2639</v>
      </c>
      <c r="B5770" s="0" t="str">
        <f aca="false">HYPERLINK("https://lindat.mff.cuni.cz/services/teitok/pdtc10/index.php?action=vallex&amp;frame=v-w790hsa_115", "dovolit si (v-w790hsa_115) - substituted with v-w790f3_ZU")</f>
        <v>dovolit si (v-w790hsa_115) - substituted with v-w790f3_ZU</v>
      </c>
    </row>
    <row r="5771" customFormat="false" ht="12.8" hidden="false" customHeight="false" outlineLevel="0" collapsed="false">
      <c r="B5771" s="0" t="s">
        <v>7</v>
      </c>
    </row>
    <row r="5772" customFormat="false" ht="12.8" hidden="false" customHeight="false" outlineLevel="0" collapsed="false">
      <c r="B5772" s="0" t="s">
        <v>2640</v>
      </c>
    </row>
    <row r="5774" customFormat="false" ht="12.8" hidden="false" customHeight="false" outlineLevel="0" collapsed="false">
      <c r="A5774" s="0" t="s">
        <v>2644</v>
      </c>
      <c r="B5774" s="0" t="str">
        <f aca="false">HYPERLINK("https://lindat.mff.cuni.cz/services/teitok/pdtc10/index.php?action=vallex&amp;frame=v-w790f1", "dovolit si (v-w790f1)")</f>
        <v>dovolit si (v-w790f1)</v>
      </c>
    </row>
    <row r="5775" customFormat="false" ht="12.8" hidden="false" customHeight="false" outlineLevel="0" collapsed="false">
      <c r="B5775" s="0" t="s">
        <v>7</v>
      </c>
      <c r="C5775" s="0" t="s">
        <v>1261</v>
      </c>
    </row>
    <row r="5776" customFormat="false" ht="12.8" hidden="false" customHeight="false" outlineLevel="0" collapsed="false">
      <c r="B5776" s="0" t="s">
        <v>14</v>
      </c>
      <c r="C5776" s="0" t="s">
        <v>2641</v>
      </c>
    </row>
    <row r="5778" customFormat="false" ht="12.8" hidden="false" customHeight="false" outlineLevel="0" collapsed="false">
      <c r="A5778" s="0" t="s">
        <v>2645</v>
      </c>
      <c r="B5778" s="0" t="str">
        <f aca="false">HYPERLINK("https://lindat.mff.cuni.cz/services/teitok/pdtc10/index.php?action=vallex&amp;frame=v-w791f1", "dovolovat (v-w791f1)")</f>
        <v>dovolovat (v-w791f1)</v>
      </c>
    </row>
    <row r="5779" customFormat="false" ht="12.8" hidden="false" customHeight="false" outlineLevel="0" collapsed="false">
      <c r="B5779" s="0" t="s">
        <v>7</v>
      </c>
      <c r="C5779" s="0" t="s">
        <v>2646</v>
      </c>
      <c r="D5779" s="0" t="s">
        <v>2629</v>
      </c>
      <c r="E5779" s="0" t="s">
        <v>2629</v>
      </c>
      <c r="F5779" s="0" t="s">
        <v>2629</v>
      </c>
    </row>
    <row r="5780" customFormat="false" ht="12.8" hidden="false" customHeight="false" outlineLevel="0" collapsed="false">
      <c r="B5780" s="0" t="s">
        <v>2647</v>
      </c>
      <c r="C5780" s="0" t="s">
        <v>2648</v>
      </c>
      <c r="D5780" s="0" t="s">
        <v>2632</v>
      </c>
      <c r="E5780" s="0" t="s">
        <v>2632</v>
      </c>
      <c r="F5780" s="0" t="s">
        <v>2632</v>
      </c>
    </row>
    <row r="5781" customFormat="false" ht="12.8" hidden="false" customHeight="false" outlineLevel="0" collapsed="false">
      <c r="B5781" s="0" t="s">
        <v>48</v>
      </c>
      <c r="C5781" s="0" t="s">
        <v>2649</v>
      </c>
      <c r="D5781" s="0" t="s">
        <v>2634</v>
      </c>
      <c r="E5781" s="0" t="s">
        <v>2634</v>
      </c>
      <c r="F5781" s="0" t="s">
        <v>2634</v>
      </c>
    </row>
    <row r="5783" customFormat="false" ht="12.8" hidden="false" customHeight="false" outlineLevel="0" collapsed="false">
      <c r="A5783" s="0" t="s">
        <v>2650</v>
      </c>
      <c r="B5783" s="0" t="str">
        <f aca="false">HYPERLINK("https://lindat.mff.cuni.cz/services/teitok/pdtc10/index.php?action=vallex&amp;frame=v-w792f1", "dovolovat se (v-w792f1)")</f>
        <v>dovolovat se (v-w792f1)</v>
      </c>
    </row>
    <row r="5784" customFormat="false" ht="12.8" hidden="false" customHeight="false" outlineLevel="0" collapsed="false">
      <c r="B5784" s="0" t="s">
        <v>7</v>
      </c>
      <c r="E5784" s="0" t="s">
        <v>1243</v>
      </c>
      <c r="F5784" s="0" t="s">
        <v>1243</v>
      </c>
    </row>
    <row r="5785" customFormat="false" ht="12.8" hidden="false" customHeight="false" outlineLevel="0" collapsed="false">
      <c r="B5785" s="0" t="s">
        <v>1087</v>
      </c>
      <c r="E5785" s="0" t="s">
        <v>2636</v>
      </c>
      <c r="F5785" s="0" t="s">
        <v>2636</v>
      </c>
    </row>
    <row r="5786" customFormat="false" ht="12.8" hidden="false" customHeight="false" outlineLevel="0" collapsed="false">
      <c r="B5786" s="0" t="s">
        <v>2637</v>
      </c>
      <c r="E5786" s="0" t="s">
        <v>2638</v>
      </c>
      <c r="F5786" s="0" t="s">
        <v>2638</v>
      </c>
    </row>
    <row r="5788" customFormat="false" ht="12.8" hidden="false" customHeight="false" outlineLevel="0" collapsed="false">
      <c r="A5788" s="0" t="s">
        <v>2651</v>
      </c>
      <c r="B5788" s="0" t="str">
        <f aca="false">HYPERLINK("https://lindat.mff.cuni.cz/services/teitok/pdtc10/index.php?action=vallex&amp;frame=v-w793f1", "dovolovat si (v-w793f1)")</f>
        <v>dovolovat si (v-w793f1)</v>
      </c>
    </row>
    <row r="5789" customFormat="false" ht="12.8" hidden="false" customHeight="false" outlineLevel="0" collapsed="false">
      <c r="B5789" s="0" t="s">
        <v>7</v>
      </c>
      <c r="D5789" s="0" t="s">
        <v>309</v>
      </c>
      <c r="E5789" s="0" t="s">
        <v>309</v>
      </c>
      <c r="F5789" s="0" t="s">
        <v>309</v>
      </c>
    </row>
    <row r="5790" customFormat="false" ht="12.8" hidden="false" customHeight="false" outlineLevel="0" collapsed="false">
      <c r="B5790" s="0" t="s">
        <v>147</v>
      </c>
      <c r="D5790" s="0" t="s">
        <v>2642</v>
      </c>
      <c r="E5790" s="0" t="s">
        <v>2642</v>
      </c>
      <c r="F5790" s="0" t="s">
        <v>2642</v>
      </c>
    </row>
    <row r="5792" customFormat="false" ht="12.8" hidden="false" customHeight="false" outlineLevel="0" collapsed="false">
      <c r="A5792" s="0" t="s">
        <v>2652</v>
      </c>
      <c r="B5792" s="0" t="str">
        <f aca="false">HYPERLINK("https://lindat.mff.cuni.cz/services/teitok/pdtc10/index.php?action=vallex&amp;frame=v-w787f1", "dovolávat se (v-w787f1)")</f>
        <v>dovolávat se (v-w787f1)</v>
      </c>
    </row>
    <row r="5793" customFormat="false" ht="12.8" hidden="false" customHeight="false" outlineLevel="0" collapsed="false">
      <c r="B5793" s="0" t="s">
        <v>7</v>
      </c>
      <c r="C5793" s="0" t="s">
        <v>335</v>
      </c>
      <c r="D5793" s="0" t="s">
        <v>1243</v>
      </c>
      <c r="E5793" s="0" t="s">
        <v>1243</v>
      </c>
      <c r="F5793" s="0" t="s">
        <v>1243</v>
      </c>
    </row>
    <row r="5794" customFormat="false" ht="12.8" hidden="false" customHeight="false" outlineLevel="0" collapsed="false">
      <c r="B5794" s="0" t="s">
        <v>1087</v>
      </c>
      <c r="C5794" s="0" t="s">
        <v>33</v>
      </c>
      <c r="D5794" s="0" t="s">
        <v>1246</v>
      </c>
      <c r="E5794" s="0" t="s">
        <v>1246</v>
      </c>
      <c r="F5794" s="0" t="s">
        <v>1246</v>
      </c>
    </row>
    <row r="5796" customFormat="false" ht="12.8" hidden="false" customHeight="false" outlineLevel="0" collapsed="false">
      <c r="A5796" s="0" t="s">
        <v>2653</v>
      </c>
      <c r="B5796" s="0" t="str">
        <f aca="false">HYPERLINK("https://lindat.mff.cuni.cz/services/teitok/pdtc10/index.php?action=vallex&amp;frame=v-w796f1", "dovozovat (v-w796f1)")</f>
        <v>dovozovat (v-w796f1)</v>
      </c>
    </row>
    <row r="5797" customFormat="false" ht="12.8" hidden="false" customHeight="false" outlineLevel="0" collapsed="false">
      <c r="B5797" s="0" t="s">
        <v>7</v>
      </c>
    </row>
    <row r="5798" customFormat="false" ht="12.8" hidden="false" customHeight="false" outlineLevel="0" collapsed="false">
      <c r="B5798" s="0" t="s">
        <v>54</v>
      </c>
    </row>
    <row r="5799" customFormat="false" ht="12.8" hidden="false" customHeight="false" outlineLevel="0" collapsed="false">
      <c r="B5799" s="0" t="s">
        <v>35</v>
      </c>
    </row>
    <row r="5801" customFormat="false" ht="12.8" hidden="false" customHeight="false" outlineLevel="0" collapsed="false">
      <c r="A5801" s="0" t="s">
        <v>2654</v>
      </c>
      <c r="B5801" s="0" t="str">
        <f aca="false">HYPERLINK("https://lindat.mff.cuni.cz/services/teitok/pdtc10/index.php?action=vallex&amp;frame=v-w798f2", "dovršit (v-w798f2)")</f>
        <v>dovršit (v-w798f2)</v>
      </c>
    </row>
    <row r="5802" customFormat="false" ht="12.8" hidden="false" customHeight="false" outlineLevel="0" collapsed="false">
      <c r="B5802" s="0" t="s">
        <v>7</v>
      </c>
    </row>
    <row r="5803" customFormat="false" ht="12.8" hidden="false" customHeight="false" outlineLevel="0" collapsed="false">
      <c r="B5803" s="0" t="s">
        <v>1087</v>
      </c>
    </row>
    <row r="5805" customFormat="false" ht="12.8" hidden="false" customHeight="false" outlineLevel="0" collapsed="false">
      <c r="A5805" s="0" t="s">
        <v>2655</v>
      </c>
      <c r="B5805" s="0" t="str">
        <f aca="false">HYPERLINK("https://lindat.mff.cuni.cz/services/teitok/pdtc10/index.php?action=vallex&amp;frame=v-w798f1", "dovršit (v-w798f1)")</f>
        <v>dovršit (v-w798f1)</v>
      </c>
    </row>
    <row r="5806" customFormat="false" ht="12.8" hidden="false" customHeight="false" outlineLevel="0" collapsed="false">
      <c r="B5806" s="0" t="s">
        <v>7</v>
      </c>
      <c r="C5806" s="0" t="s">
        <v>2656</v>
      </c>
      <c r="D5806" s="0" t="s">
        <v>1943</v>
      </c>
      <c r="E5806" s="0" t="s">
        <v>2657</v>
      </c>
      <c r="F5806" s="0" t="s">
        <v>2657</v>
      </c>
    </row>
    <row r="5807" customFormat="false" ht="12.8" hidden="false" customHeight="false" outlineLevel="0" collapsed="false">
      <c r="B5807" s="0" t="s">
        <v>14</v>
      </c>
      <c r="C5807" s="0" t="s">
        <v>2658</v>
      </c>
      <c r="D5807" s="0" t="s">
        <v>1946</v>
      </c>
      <c r="E5807" s="0" t="s">
        <v>2659</v>
      </c>
      <c r="F5807" s="0" t="s">
        <v>2659</v>
      </c>
    </row>
    <row r="5809" customFormat="false" ht="12.8" hidden="false" customHeight="false" outlineLevel="0" collapsed="false">
      <c r="A5809" s="0" t="s">
        <v>2660</v>
      </c>
      <c r="B5809" s="0" t="str">
        <f aca="false">HYPERLINK("https://lindat.mff.cuni.cz/services/teitok/pdtc10/index.php?action=vallex&amp;frame=v-whsa_320f1_ZU", "dovtípit se (v-whsa_320f1_ZU)")</f>
        <v>dovtípit se (v-whsa_320f1_ZU)</v>
      </c>
    </row>
    <row r="5810" customFormat="false" ht="12.8" hidden="false" customHeight="false" outlineLevel="0" collapsed="false">
      <c r="B5810" s="0" t="s">
        <v>7</v>
      </c>
    </row>
    <row r="5811" customFormat="false" ht="12.8" hidden="false" customHeight="false" outlineLevel="0" collapsed="false">
      <c r="B5811" s="0" t="s">
        <v>2661</v>
      </c>
    </row>
    <row r="5813" customFormat="false" ht="12.8" hidden="false" customHeight="false" outlineLevel="0" collapsed="false">
      <c r="A5813" s="0" t="s">
        <v>2660</v>
      </c>
      <c r="B5813" s="0" t="str">
        <f aca="false">HYPERLINK("https://lindat.mff.cuni.cz/services/teitok/pdtc10/index.php?action=vallex&amp;frame=v-whsa_320hsa_321", "dovtípit se (v-whsa_320hsa_321) - substituted with v-whsa_320f1_ZU")</f>
        <v>dovtípit se (v-whsa_320hsa_321) - substituted with v-whsa_320f1_ZU</v>
      </c>
    </row>
    <row r="5814" customFormat="false" ht="12.8" hidden="false" customHeight="false" outlineLevel="0" collapsed="false">
      <c r="B5814" s="0" t="s">
        <v>7</v>
      </c>
    </row>
    <row r="5815" customFormat="false" ht="12.8" hidden="false" customHeight="false" outlineLevel="0" collapsed="false">
      <c r="B5815" s="0" t="s">
        <v>2661</v>
      </c>
    </row>
    <row r="5817" customFormat="false" ht="12.8" hidden="false" customHeight="false" outlineLevel="0" collapsed="false">
      <c r="A5817" s="0" t="s">
        <v>2662</v>
      </c>
      <c r="B5817" s="0" t="str">
        <f aca="false">HYPERLINK("https://lindat.mff.cuni.cz/services/teitok/pdtc10/index.php?action=vallex&amp;frame=v-w12342_MMf1_MM", "dovyprávět (v-w12342_MMf1_MM)")</f>
        <v>dovyprávět (v-w12342_MMf1_MM)</v>
      </c>
    </row>
    <row r="5818" customFormat="false" ht="12.8" hidden="false" customHeight="false" outlineLevel="0" collapsed="false">
      <c r="B5818" s="0" t="s">
        <v>7</v>
      </c>
    </row>
    <row r="5819" customFormat="false" ht="12.8" hidden="false" customHeight="false" outlineLevel="0" collapsed="false">
      <c r="B5819" s="0" t="s">
        <v>48</v>
      </c>
    </row>
    <row r="5820" customFormat="false" ht="12.8" hidden="false" customHeight="false" outlineLevel="0" collapsed="false">
      <c r="B5820" s="0" t="s">
        <v>1925</v>
      </c>
    </row>
    <row r="5821" customFormat="false" ht="12.8" hidden="false" customHeight="false" outlineLevel="0" collapsed="false">
      <c r="B5821" s="0" t="s">
        <v>363</v>
      </c>
    </row>
    <row r="5823" customFormat="false" ht="12.8" hidden="false" customHeight="false" outlineLevel="0" collapsed="false">
      <c r="A5823" s="0" t="s">
        <v>2663</v>
      </c>
      <c r="B5823" s="0" t="str">
        <f aca="false">HYPERLINK("https://lindat.mff.cuni.cz/services/teitok/pdtc10/index.php?action=vallex&amp;frame=v-whsa_459hsa_460", "dovádět (v-whsa_459hsa_460)")</f>
        <v>dovádět (v-whsa_459hsa_460)</v>
      </c>
    </row>
    <row r="5824" customFormat="false" ht="12.8" hidden="false" customHeight="false" outlineLevel="0" collapsed="false">
      <c r="B5824" s="0" t="s">
        <v>7</v>
      </c>
    </row>
    <row r="5826" customFormat="false" ht="12.8" hidden="false" customHeight="false" outlineLevel="0" collapsed="false">
      <c r="A5826" s="0" t="s">
        <v>2664</v>
      </c>
      <c r="B5826" s="0" t="str">
        <f aca="false">HYPERLINK("https://lindat.mff.cuni.cz/services/teitok/pdtc10/index.php?action=vallex&amp;frame=v-whsa_459f1_ZU", "dovádět (v-whsa_459f1_ZU)")</f>
        <v>dovádět (v-whsa_459f1_ZU)</v>
      </c>
    </row>
    <row r="5827" customFormat="false" ht="12.8" hidden="false" customHeight="false" outlineLevel="0" collapsed="false">
      <c r="B5827" s="0" t="s">
        <v>7</v>
      </c>
    </row>
    <row r="5828" customFormat="false" ht="12.8" hidden="false" customHeight="false" outlineLevel="0" collapsed="false">
      <c r="B5828" s="0" t="s">
        <v>14</v>
      </c>
    </row>
    <row r="5829" customFormat="false" ht="12.8" hidden="false" customHeight="false" outlineLevel="0" collapsed="false">
      <c r="B5829" s="0" t="s">
        <v>124</v>
      </c>
    </row>
    <row r="5831" customFormat="false" ht="12.8" hidden="false" customHeight="false" outlineLevel="0" collapsed="false">
      <c r="A5831" s="0" t="s">
        <v>2665</v>
      </c>
      <c r="B5831" s="0" t="str">
        <f aca="false">HYPERLINK("https://lindat.mff.cuni.cz/services/teitok/pdtc10/index.php?action=vallex&amp;frame=v-w777f2", "dovážet (v-w777f2)")</f>
        <v>dovážet (v-w777f2)</v>
      </c>
    </row>
    <row r="5832" customFormat="false" ht="12.8" hidden="false" customHeight="false" outlineLevel="0" collapsed="false">
      <c r="B5832" s="0" t="s">
        <v>7</v>
      </c>
      <c r="C5832" s="0" t="s">
        <v>157</v>
      </c>
      <c r="D5832" s="0" t="s">
        <v>1758</v>
      </c>
      <c r="E5832" s="0" t="s">
        <v>1758</v>
      </c>
      <c r="F5832" s="0" t="s">
        <v>1758</v>
      </c>
    </row>
    <row r="5833" customFormat="false" ht="12.8" hidden="false" customHeight="false" outlineLevel="0" collapsed="false">
      <c r="B5833" s="0" t="s">
        <v>14</v>
      </c>
      <c r="C5833" s="0" t="s">
        <v>2666</v>
      </c>
      <c r="D5833" s="0" t="s">
        <v>1760</v>
      </c>
      <c r="E5833" s="0" t="s">
        <v>1760</v>
      </c>
      <c r="F5833" s="0" t="s">
        <v>1760</v>
      </c>
    </row>
    <row r="5834" customFormat="false" ht="12.8" hidden="false" customHeight="false" outlineLevel="0" collapsed="false">
      <c r="B5834" s="0" t="s">
        <v>48</v>
      </c>
      <c r="D5834" s="0" t="s">
        <v>1851</v>
      </c>
      <c r="E5834" s="0" t="s">
        <v>1851</v>
      </c>
      <c r="F5834" s="0" t="s">
        <v>1851</v>
      </c>
    </row>
    <row r="5836" customFormat="false" ht="12.8" hidden="false" customHeight="false" outlineLevel="0" collapsed="false">
      <c r="A5836" s="0" t="s">
        <v>2667</v>
      </c>
      <c r="B5836" s="0" t="str">
        <f aca="false">HYPERLINK("https://lindat.mff.cuni.cz/services/teitok/pdtc10/index.php?action=vallex&amp;frame=v-w777f1", "dovážet (v-w777f1)")</f>
        <v>dovážet (v-w777f1)</v>
      </c>
    </row>
    <row r="5837" customFormat="false" ht="12.8" hidden="false" customHeight="false" outlineLevel="0" collapsed="false">
      <c r="B5837" s="0" t="s">
        <v>7</v>
      </c>
      <c r="C5837" s="0" t="s">
        <v>2668</v>
      </c>
      <c r="D5837" s="0" t="s">
        <v>1758</v>
      </c>
      <c r="E5837" s="0" t="s">
        <v>1758</v>
      </c>
      <c r="F5837" s="0" t="s">
        <v>1758</v>
      </c>
    </row>
    <row r="5838" customFormat="false" ht="12.8" hidden="false" customHeight="false" outlineLevel="0" collapsed="false">
      <c r="B5838" s="0" t="s">
        <v>14</v>
      </c>
      <c r="C5838" s="0" t="s">
        <v>413</v>
      </c>
      <c r="D5838" s="0" t="s">
        <v>1760</v>
      </c>
      <c r="E5838" s="0" t="s">
        <v>1760</v>
      </c>
      <c r="F5838" s="0" t="s">
        <v>1760</v>
      </c>
    </row>
    <row r="5839" customFormat="false" ht="12.8" hidden="false" customHeight="false" outlineLevel="0" collapsed="false">
      <c r="B5839" s="0" t="s">
        <v>124</v>
      </c>
      <c r="D5839" s="0" t="s">
        <v>1761</v>
      </c>
      <c r="E5839" s="0" t="s">
        <v>1761</v>
      </c>
      <c r="F5839" s="0" t="s">
        <v>1761</v>
      </c>
    </row>
    <row r="5841" customFormat="false" ht="12.8" hidden="false" customHeight="false" outlineLevel="0" collapsed="false">
      <c r="A5841" s="0" t="s">
        <v>2669</v>
      </c>
      <c r="B5841" s="0" t="str">
        <f aca="false">HYPERLINK("https://lindat.mff.cuni.cz/services/teitok/pdtc10/index.php?action=vallex&amp;frame=v-w778f1", "dovážit (v-w778f1)")</f>
        <v>dovážit (v-w778f1)</v>
      </c>
    </row>
    <row r="5842" customFormat="false" ht="12.8" hidden="false" customHeight="false" outlineLevel="0" collapsed="false">
      <c r="B5842" s="0" t="s">
        <v>7</v>
      </c>
      <c r="C5842" s="0" t="s">
        <v>623</v>
      </c>
    </row>
    <row r="5843" customFormat="false" ht="12.8" hidden="false" customHeight="false" outlineLevel="0" collapsed="false">
      <c r="B5843" s="0" t="s">
        <v>14</v>
      </c>
      <c r="C5843" s="0" t="s">
        <v>624</v>
      </c>
    </row>
    <row r="5845" customFormat="false" ht="12.8" hidden="false" customHeight="false" outlineLevel="0" collapsed="false">
      <c r="A5845" s="0" t="s">
        <v>2670</v>
      </c>
      <c r="B5845" s="0" t="str">
        <f aca="false">HYPERLINK("https://lindat.mff.cuni.cz/services/teitok/pdtc10/index.php?action=vallex&amp;frame=v-w782f1", "dovést (v-w782f1)")</f>
        <v>dovést (v-w782f1)</v>
      </c>
    </row>
    <row r="5846" customFormat="false" ht="12.8" hidden="false" customHeight="false" outlineLevel="0" collapsed="false">
      <c r="B5846" s="0" t="s">
        <v>7</v>
      </c>
      <c r="C5846" s="0" t="s">
        <v>2671</v>
      </c>
      <c r="D5846" s="0" t="s">
        <v>2323</v>
      </c>
      <c r="E5846" s="0" t="s">
        <v>2323</v>
      </c>
      <c r="F5846" s="0" t="s">
        <v>2323</v>
      </c>
    </row>
    <row r="5847" customFormat="false" ht="12.8" hidden="false" customHeight="false" outlineLevel="0" collapsed="false">
      <c r="B5847" s="0" t="s">
        <v>14</v>
      </c>
      <c r="C5847" s="0" t="s">
        <v>2672</v>
      </c>
      <c r="D5847" s="0" t="s">
        <v>1918</v>
      </c>
      <c r="E5847" s="0" t="s">
        <v>1918</v>
      </c>
      <c r="F5847" s="0" t="s">
        <v>1918</v>
      </c>
    </row>
    <row r="5848" customFormat="false" ht="12.8" hidden="false" customHeight="false" outlineLevel="0" collapsed="false">
      <c r="B5848" s="0" t="s">
        <v>279</v>
      </c>
      <c r="C5848" s="0" t="s">
        <v>2673</v>
      </c>
      <c r="D5848" s="0" t="s">
        <v>2325</v>
      </c>
      <c r="E5848" s="0" t="s">
        <v>2325</v>
      </c>
      <c r="F5848" s="0" t="s">
        <v>2325</v>
      </c>
    </row>
    <row r="5850" customFormat="false" ht="12.8" hidden="false" customHeight="false" outlineLevel="0" collapsed="false">
      <c r="A5850" s="0" t="s">
        <v>2674</v>
      </c>
      <c r="B5850" s="0" t="str">
        <f aca="false">HYPERLINK("https://lindat.mff.cuni.cz/services/teitok/pdtc10/index.php?action=vallex&amp;frame=v-w782f2", "dovést (v-w782f2)")</f>
        <v>dovést (v-w782f2)</v>
      </c>
    </row>
    <row r="5851" customFormat="false" ht="12.8" hidden="false" customHeight="false" outlineLevel="0" collapsed="false">
      <c r="B5851" s="0" t="s">
        <v>7</v>
      </c>
      <c r="D5851" s="0" t="s">
        <v>2051</v>
      </c>
      <c r="E5851" s="0" t="s">
        <v>2675</v>
      </c>
      <c r="F5851" s="0" t="s">
        <v>2675</v>
      </c>
    </row>
    <row r="5852" customFormat="false" ht="12.8" hidden="false" customHeight="false" outlineLevel="0" collapsed="false">
      <c r="B5852" s="0" t="s">
        <v>14</v>
      </c>
      <c r="D5852" s="0" t="s">
        <v>2676</v>
      </c>
      <c r="E5852" s="0" t="s">
        <v>2677</v>
      </c>
      <c r="F5852" s="0" t="s">
        <v>2677</v>
      </c>
    </row>
    <row r="5853" customFormat="false" ht="12.8" hidden="false" customHeight="false" outlineLevel="0" collapsed="false">
      <c r="B5853" s="0" t="s">
        <v>124</v>
      </c>
      <c r="D5853" s="0" t="s">
        <v>1761</v>
      </c>
      <c r="E5853" s="0" t="s">
        <v>1761</v>
      </c>
      <c r="F5853" s="0" t="s">
        <v>1761</v>
      </c>
    </row>
    <row r="5855" customFormat="false" ht="12.8" hidden="false" customHeight="false" outlineLevel="0" collapsed="false">
      <c r="A5855" s="0" t="s">
        <v>2678</v>
      </c>
      <c r="B5855" s="0" t="str">
        <f aca="false">HYPERLINK("https://lindat.mff.cuni.cz/services/teitok/pdtc10/index.php?action=vallex&amp;frame=v-w782f3", "dovést (v-w782f3)")</f>
        <v>dovést (v-w782f3)</v>
      </c>
    </row>
    <row r="5856" customFormat="false" ht="12.8" hidden="false" customHeight="false" outlineLevel="0" collapsed="false">
      <c r="B5856" s="0" t="s">
        <v>7</v>
      </c>
      <c r="D5856" s="0" t="s">
        <v>714</v>
      </c>
      <c r="E5856" s="0" t="s">
        <v>714</v>
      </c>
      <c r="F5856" s="0" t="s">
        <v>714</v>
      </c>
    </row>
    <row r="5857" customFormat="false" ht="12.8" hidden="false" customHeight="false" outlineLevel="0" collapsed="false">
      <c r="B5857" s="0" t="s">
        <v>306</v>
      </c>
      <c r="D5857" s="0" t="s">
        <v>716</v>
      </c>
      <c r="E5857" s="0" t="s">
        <v>716</v>
      </c>
      <c r="F5857" s="0" t="s">
        <v>716</v>
      </c>
    </row>
    <row r="5859" customFormat="false" ht="12.8" hidden="false" customHeight="false" outlineLevel="0" collapsed="false">
      <c r="A5859" s="0" t="s">
        <v>2679</v>
      </c>
      <c r="B5859" s="0" t="str">
        <f aca="false">HYPERLINK("https://lindat.mff.cuni.cz/services/teitok/pdtc10/index.php?action=vallex&amp;frame=v-w782f4_ZU", "dovést (v-w782f4_ZU)")</f>
        <v>dovést (v-w782f4_ZU)</v>
      </c>
    </row>
    <row r="5860" customFormat="false" ht="12.8" hidden="false" customHeight="false" outlineLevel="0" collapsed="false">
      <c r="B5860" s="0" t="s">
        <v>7</v>
      </c>
    </row>
    <row r="5861" customFormat="false" ht="12.8" hidden="false" customHeight="false" outlineLevel="0" collapsed="false">
      <c r="B5861" s="0" t="s">
        <v>237</v>
      </c>
    </row>
    <row r="5862" customFormat="false" ht="12.8" hidden="false" customHeight="false" outlineLevel="0" collapsed="false">
      <c r="B5862" s="0" t="s">
        <v>81</v>
      </c>
    </row>
    <row r="5864" customFormat="false" ht="12.8" hidden="false" customHeight="false" outlineLevel="0" collapsed="false">
      <c r="A5864" s="0" t="s">
        <v>2680</v>
      </c>
      <c r="B5864" s="0" t="str">
        <f aca="false">HYPERLINK("https://lindat.mff.cuni.cz/services/teitok/pdtc10/index.php?action=vallex&amp;frame=v-w783f2", "dovézt (v-w783f2)")</f>
        <v>dovézt (v-w783f2)</v>
      </c>
    </row>
    <row r="5865" customFormat="false" ht="12.8" hidden="false" customHeight="false" outlineLevel="0" collapsed="false">
      <c r="B5865" s="0" t="s">
        <v>7</v>
      </c>
      <c r="D5865" s="0" t="s">
        <v>1758</v>
      </c>
      <c r="E5865" s="0" t="s">
        <v>1758</v>
      </c>
      <c r="F5865" s="0" t="s">
        <v>1758</v>
      </c>
    </row>
    <row r="5866" customFormat="false" ht="12.8" hidden="false" customHeight="false" outlineLevel="0" collapsed="false">
      <c r="B5866" s="0" t="s">
        <v>14</v>
      </c>
      <c r="D5866" s="0" t="s">
        <v>1760</v>
      </c>
      <c r="E5866" s="0" t="s">
        <v>1760</v>
      </c>
      <c r="F5866" s="0" t="s">
        <v>1760</v>
      </c>
    </row>
    <row r="5867" customFormat="false" ht="12.8" hidden="false" customHeight="false" outlineLevel="0" collapsed="false">
      <c r="B5867" s="0" t="s">
        <v>48</v>
      </c>
      <c r="D5867" s="0" t="s">
        <v>1851</v>
      </c>
      <c r="E5867" s="0" t="s">
        <v>1851</v>
      </c>
      <c r="F5867" s="0" t="s">
        <v>1851</v>
      </c>
    </row>
    <row r="5869" customFormat="false" ht="12.8" hidden="false" customHeight="false" outlineLevel="0" collapsed="false">
      <c r="A5869" s="0" t="s">
        <v>2681</v>
      </c>
      <c r="B5869" s="0" t="str">
        <f aca="false">HYPERLINK("https://lindat.mff.cuni.cz/services/teitok/pdtc10/index.php?action=vallex&amp;frame=v-w783f1", "dovézt (v-w783f1)")</f>
        <v>dovézt (v-w783f1)</v>
      </c>
    </row>
    <row r="5870" customFormat="false" ht="12.8" hidden="false" customHeight="false" outlineLevel="0" collapsed="false">
      <c r="B5870" s="0" t="s">
        <v>7</v>
      </c>
      <c r="C5870" s="0" t="s">
        <v>428</v>
      </c>
      <c r="D5870" s="0" t="s">
        <v>2220</v>
      </c>
      <c r="E5870" s="0" t="s">
        <v>2220</v>
      </c>
      <c r="F5870" s="0" t="s">
        <v>2220</v>
      </c>
    </row>
    <row r="5871" customFormat="false" ht="12.8" hidden="false" customHeight="false" outlineLevel="0" collapsed="false">
      <c r="B5871" s="0" t="s">
        <v>14</v>
      </c>
      <c r="C5871" s="0" t="s">
        <v>2682</v>
      </c>
      <c r="D5871" s="0" t="s">
        <v>2222</v>
      </c>
      <c r="E5871" s="0" t="s">
        <v>2222</v>
      </c>
      <c r="F5871" s="0" t="s">
        <v>2222</v>
      </c>
    </row>
    <row r="5872" customFormat="false" ht="12.8" hidden="false" customHeight="false" outlineLevel="0" collapsed="false">
      <c r="B5872" s="0" t="s">
        <v>124</v>
      </c>
      <c r="D5872" s="0" t="s">
        <v>2224</v>
      </c>
      <c r="E5872" s="0" t="s">
        <v>2224</v>
      </c>
      <c r="F5872" s="0" t="s">
        <v>2224</v>
      </c>
    </row>
    <row r="5874" customFormat="false" ht="12.8" hidden="false" customHeight="false" outlineLevel="0" collapsed="false">
      <c r="A5874" s="0" t="s">
        <v>2683</v>
      </c>
      <c r="B5874" s="0" t="str">
        <f aca="false">HYPERLINK("https://lindat.mff.cuni.cz/services/teitok/pdtc10/index.php?action=vallex&amp;frame=v-w784f2", "dovídat se (v-w784f2)")</f>
        <v>dovídat se (v-w784f2)</v>
      </c>
    </row>
    <row r="5875" customFormat="false" ht="12.8" hidden="false" customHeight="false" outlineLevel="0" collapsed="false">
      <c r="B5875" s="0" t="s">
        <v>7</v>
      </c>
      <c r="D5875" s="0" t="s">
        <v>2256</v>
      </c>
      <c r="E5875" s="0" t="s">
        <v>2256</v>
      </c>
      <c r="F5875" s="0" t="s">
        <v>2256</v>
      </c>
    </row>
    <row r="5876" customFormat="false" ht="12.8" hidden="false" customHeight="false" outlineLevel="0" collapsed="false">
      <c r="B5876" s="0" t="s">
        <v>2253</v>
      </c>
      <c r="D5876" s="0" t="s">
        <v>2259</v>
      </c>
      <c r="E5876" s="0" t="s">
        <v>2259</v>
      </c>
      <c r="F5876" s="0" t="s">
        <v>2259</v>
      </c>
    </row>
    <row r="5877" customFormat="false" ht="12.8" hidden="false" customHeight="false" outlineLevel="0" collapsed="false">
      <c r="B5877" s="0" t="s">
        <v>441</v>
      </c>
      <c r="D5877" s="0" t="s">
        <v>2260</v>
      </c>
      <c r="E5877" s="0" t="s">
        <v>2260</v>
      </c>
      <c r="F5877" s="0" t="s">
        <v>2260</v>
      </c>
    </row>
    <row r="5879" customFormat="false" ht="12.8" hidden="false" customHeight="false" outlineLevel="0" collapsed="false">
      <c r="A5879" s="0" t="s">
        <v>2684</v>
      </c>
      <c r="B5879" s="0" t="str">
        <f aca="false">HYPERLINK("https://lindat.mff.cuni.cz/services/teitok/pdtc10/index.php?action=vallex&amp;frame=v-w784f1", "dovídat se (v-w784f1)")</f>
        <v>dovídat se (v-w784f1)</v>
      </c>
    </row>
    <row r="5880" customFormat="false" ht="12.8" hidden="false" customHeight="false" outlineLevel="0" collapsed="false">
      <c r="B5880" s="0" t="s">
        <v>7</v>
      </c>
      <c r="C5880" s="0" t="s">
        <v>316</v>
      </c>
      <c r="D5880" s="0" t="s">
        <v>2256</v>
      </c>
      <c r="E5880" s="0" t="s">
        <v>2256</v>
      </c>
      <c r="F5880" s="0" t="s">
        <v>2256</v>
      </c>
    </row>
    <row r="5881" customFormat="false" ht="12.8" hidden="false" customHeight="false" outlineLevel="0" collapsed="false">
      <c r="B5881" s="0" t="s">
        <v>2257</v>
      </c>
      <c r="D5881" s="0" t="s">
        <v>2258</v>
      </c>
      <c r="E5881" s="0" t="s">
        <v>2258</v>
      </c>
      <c r="F5881" s="0" t="s">
        <v>2258</v>
      </c>
    </row>
    <row r="5882" customFormat="false" ht="12.8" hidden="false" customHeight="false" outlineLevel="0" collapsed="false">
      <c r="B5882" s="0" t="s">
        <v>363</v>
      </c>
      <c r="C5882" s="0" t="s">
        <v>2685</v>
      </c>
      <c r="D5882" s="0" t="s">
        <v>2259</v>
      </c>
      <c r="E5882" s="0" t="s">
        <v>2259</v>
      </c>
      <c r="F5882" s="0" t="s">
        <v>2259</v>
      </c>
    </row>
    <row r="5883" customFormat="false" ht="12.8" hidden="false" customHeight="false" outlineLevel="0" collapsed="false">
      <c r="B5883" s="0" t="s">
        <v>441</v>
      </c>
      <c r="D5883" s="0" t="s">
        <v>2260</v>
      </c>
      <c r="E5883" s="0" t="s">
        <v>2260</v>
      </c>
      <c r="F5883" s="0" t="s">
        <v>2260</v>
      </c>
    </row>
    <row r="5885" customFormat="false" ht="12.8" hidden="false" customHeight="false" outlineLevel="0" collapsed="false">
      <c r="A5885" s="0" t="s">
        <v>2686</v>
      </c>
      <c r="B5885" s="0" t="str">
        <f aca="false">HYPERLINK("https://lindat.mff.cuni.cz/services/teitok/pdtc10/index.php?action=vallex&amp;frame=v-w780f2", "dovědět se (v-w780f2)")</f>
        <v>dovědět se (v-w780f2)</v>
      </c>
    </row>
    <row r="5886" customFormat="false" ht="12.8" hidden="false" customHeight="false" outlineLevel="0" collapsed="false">
      <c r="B5886" s="0" t="s">
        <v>7</v>
      </c>
      <c r="C5886" s="0" t="s">
        <v>2687</v>
      </c>
      <c r="D5886" s="0" t="s">
        <v>2256</v>
      </c>
      <c r="E5886" s="0" t="s">
        <v>2256</v>
      </c>
      <c r="F5886" s="0" t="s">
        <v>2256</v>
      </c>
    </row>
    <row r="5887" customFormat="false" ht="12.8" hidden="false" customHeight="false" outlineLevel="0" collapsed="false">
      <c r="B5887" s="0" t="s">
        <v>2253</v>
      </c>
      <c r="C5887" s="0" t="s">
        <v>2685</v>
      </c>
      <c r="D5887" s="0" t="s">
        <v>2259</v>
      </c>
      <c r="E5887" s="0" t="s">
        <v>2259</v>
      </c>
      <c r="F5887" s="0" t="s">
        <v>2259</v>
      </c>
    </row>
    <row r="5888" customFormat="false" ht="12.8" hidden="false" customHeight="false" outlineLevel="0" collapsed="false">
      <c r="B5888" s="0" t="s">
        <v>1349</v>
      </c>
      <c r="D5888" s="0" t="s">
        <v>2260</v>
      </c>
      <c r="E5888" s="0" t="s">
        <v>2260</v>
      </c>
      <c r="F5888" s="0" t="s">
        <v>2260</v>
      </c>
    </row>
    <row r="5890" customFormat="false" ht="12.8" hidden="false" customHeight="false" outlineLevel="0" collapsed="false">
      <c r="A5890" s="0" t="s">
        <v>2688</v>
      </c>
      <c r="B5890" s="0" t="str">
        <f aca="false">HYPERLINK("https://lindat.mff.cuni.cz/services/teitok/pdtc10/index.php?action=vallex&amp;frame=v-w780f1", "dovědět se (v-w780f1)")</f>
        <v>dovědět se (v-w780f1)</v>
      </c>
    </row>
    <row r="5891" customFormat="false" ht="12.8" hidden="false" customHeight="false" outlineLevel="0" collapsed="false">
      <c r="B5891" s="0" t="s">
        <v>7</v>
      </c>
      <c r="C5891" s="0" t="s">
        <v>2689</v>
      </c>
      <c r="D5891" s="0" t="s">
        <v>2256</v>
      </c>
      <c r="E5891" s="0" t="s">
        <v>2256</v>
      </c>
      <c r="F5891" s="0" t="s">
        <v>2256</v>
      </c>
    </row>
    <row r="5892" customFormat="false" ht="12.8" hidden="false" customHeight="false" outlineLevel="0" collapsed="false">
      <c r="B5892" s="0" t="s">
        <v>2257</v>
      </c>
      <c r="C5892" s="0" t="s">
        <v>2690</v>
      </c>
      <c r="D5892" s="0" t="s">
        <v>2258</v>
      </c>
      <c r="E5892" s="0" t="s">
        <v>2258</v>
      </c>
      <c r="F5892" s="0" t="s">
        <v>2258</v>
      </c>
    </row>
    <row r="5893" customFormat="false" ht="12.8" hidden="false" customHeight="false" outlineLevel="0" collapsed="false">
      <c r="B5893" s="0" t="s">
        <v>363</v>
      </c>
      <c r="C5893" s="0" t="s">
        <v>624</v>
      </c>
      <c r="D5893" s="0" t="s">
        <v>2259</v>
      </c>
      <c r="E5893" s="0" t="s">
        <v>2259</v>
      </c>
      <c r="F5893" s="0" t="s">
        <v>2259</v>
      </c>
    </row>
    <row r="5894" customFormat="false" ht="12.8" hidden="false" customHeight="false" outlineLevel="0" collapsed="false">
      <c r="B5894" s="0" t="s">
        <v>1349</v>
      </c>
      <c r="C5894" s="0" t="s">
        <v>2691</v>
      </c>
      <c r="D5894" s="0" t="s">
        <v>2260</v>
      </c>
      <c r="E5894" s="0" t="s">
        <v>2260</v>
      </c>
      <c r="F5894" s="0" t="s">
        <v>2260</v>
      </c>
    </row>
    <row r="5896" customFormat="false" ht="12.8" hidden="false" customHeight="false" outlineLevel="0" collapsed="false">
      <c r="A5896" s="0" t="s">
        <v>2692</v>
      </c>
      <c r="B5896" s="0" t="str">
        <f aca="false">HYPERLINK("https://lindat.mff.cuni.cz/services/teitok/pdtc10/index.php?action=vallex&amp;frame=v-w11923_ZUf1_ZU", "dozdívat (v-w11923_ZUf1_ZU)")</f>
        <v>dozdívat (v-w11923_ZUf1_ZU)</v>
      </c>
    </row>
    <row r="5897" customFormat="false" ht="12.8" hidden="false" customHeight="false" outlineLevel="0" collapsed="false">
      <c r="B5897" s="0" t="s">
        <v>7</v>
      </c>
    </row>
    <row r="5898" customFormat="false" ht="12.8" hidden="false" customHeight="false" outlineLevel="0" collapsed="false">
      <c r="B5898" s="0" t="s">
        <v>14</v>
      </c>
    </row>
    <row r="5900" customFormat="false" ht="12.8" hidden="false" customHeight="false" outlineLevel="0" collapsed="false">
      <c r="A5900" s="0" t="s">
        <v>2693</v>
      </c>
      <c r="B5900" s="0" t="str">
        <f aca="false">HYPERLINK("https://lindat.mff.cuni.cz/services/teitok/pdtc10/index.php?action=vallex&amp;frame=v-w801f1", "doznat (v-w801f1)")</f>
        <v>doznat (v-w801f1)</v>
      </c>
    </row>
    <row r="5901" customFormat="false" ht="12.8" hidden="false" customHeight="false" outlineLevel="0" collapsed="false">
      <c r="B5901" s="0" t="s">
        <v>7</v>
      </c>
      <c r="C5901" s="0" t="s">
        <v>2170</v>
      </c>
    </row>
    <row r="5902" customFormat="false" ht="12.8" hidden="false" customHeight="false" outlineLevel="0" collapsed="false">
      <c r="B5902" s="0" t="s">
        <v>1145</v>
      </c>
      <c r="C5902" s="0" t="s">
        <v>2694</v>
      </c>
    </row>
    <row r="5904" customFormat="false" ht="12.8" hidden="false" customHeight="false" outlineLevel="0" collapsed="false">
      <c r="A5904" s="0" t="s">
        <v>2695</v>
      </c>
      <c r="B5904" s="0" t="str">
        <f aca="false">HYPERLINK("https://lindat.mff.cuni.cz/services/teitok/pdtc10/index.php?action=vallex&amp;frame=v-w802f1", "doznat se (v-w802f1)")</f>
        <v>doznat se (v-w802f1)</v>
      </c>
    </row>
    <row r="5905" customFormat="false" ht="12.8" hidden="false" customHeight="false" outlineLevel="0" collapsed="false">
      <c r="B5905" s="0" t="s">
        <v>7</v>
      </c>
      <c r="C5905" s="0" t="s">
        <v>358</v>
      </c>
      <c r="D5905" s="0" t="s">
        <v>2534</v>
      </c>
      <c r="E5905" s="0" t="s">
        <v>2696</v>
      </c>
      <c r="F5905" s="0" t="s">
        <v>2696</v>
      </c>
    </row>
    <row r="5906" customFormat="false" ht="12.8" hidden="false" customHeight="false" outlineLevel="0" collapsed="false">
      <c r="B5906" s="0" t="s">
        <v>2697</v>
      </c>
      <c r="C5906" s="0" t="s">
        <v>2698</v>
      </c>
      <c r="D5906" s="0" t="s">
        <v>2699</v>
      </c>
      <c r="E5906" s="0" t="s">
        <v>2700</v>
      </c>
      <c r="F5906" s="0" t="s">
        <v>2700</v>
      </c>
    </row>
    <row r="5907" customFormat="false" ht="12.8" hidden="false" customHeight="false" outlineLevel="0" collapsed="false">
      <c r="B5907" s="0" t="s">
        <v>106</v>
      </c>
      <c r="D5907" s="0" t="s">
        <v>1843</v>
      </c>
      <c r="E5907" s="0" t="s">
        <v>1843</v>
      </c>
      <c r="F5907" s="0" t="s">
        <v>1843</v>
      </c>
    </row>
    <row r="5909" customFormat="false" ht="12.8" hidden="false" customHeight="false" outlineLevel="0" collapsed="false">
      <c r="A5909" s="0" t="s">
        <v>2701</v>
      </c>
      <c r="B5909" s="0" t="str">
        <f aca="false">HYPERLINK("https://lindat.mff.cuni.cz/services/teitok/pdtc10/index.php?action=vallex&amp;frame=v-w803f1", "doznávat (v-w803f1)")</f>
        <v>doznávat (v-w803f1)</v>
      </c>
    </row>
    <row r="5910" customFormat="false" ht="12.8" hidden="false" customHeight="false" outlineLevel="0" collapsed="false">
      <c r="B5910" s="0" t="s">
        <v>7</v>
      </c>
    </row>
    <row r="5911" customFormat="false" ht="12.8" hidden="false" customHeight="false" outlineLevel="0" collapsed="false">
      <c r="B5911" s="0" t="s">
        <v>1145</v>
      </c>
    </row>
    <row r="5913" customFormat="false" ht="12.8" hidden="false" customHeight="false" outlineLevel="0" collapsed="false">
      <c r="A5913" s="0" t="s">
        <v>2702</v>
      </c>
      <c r="B5913" s="0" t="str">
        <f aca="false">HYPERLINK("https://lindat.mff.cuni.cz/services/teitok/pdtc10/index.php?action=vallex&amp;frame=v-w804f1", "doznít (v-w804f1)")</f>
        <v>doznít (v-w804f1)</v>
      </c>
    </row>
    <row r="5914" customFormat="false" ht="12.8" hidden="false" customHeight="false" outlineLevel="0" collapsed="false">
      <c r="B5914" s="0" t="s">
        <v>7</v>
      </c>
    </row>
    <row r="5916" customFormat="false" ht="12.8" hidden="false" customHeight="false" outlineLevel="0" collapsed="false">
      <c r="A5916" s="0" t="s">
        <v>2703</v>
      </c>
      <c r="B5916" s="0" t="str">
        <f aca="false">HYPERLINK("https://lindat.mff.cuni.cz/services/teitok/pdtc10/index.php?action=vallex&amp;frame=v-w806f1", "doznívat (v-w806f1)")</f>
        <v>doznívat (v-w806f1)</v>
      </c>
    </row>
    <row r="5917" customFormat="false" ht="12.8" hidden="false" customHeight="false" outlineLevel="0" collapsed="false">
      <c r="B5917" s="0" t="s">
        <v>7</v>
      </c>
      <c r="C5917" s="0" t="s">
        <v>200</v>
      </c>
      <c r="D5917" s="0" t="s">
        <v>1689</v>
      </c>
      <c r="E5917" s="0" t="s">
        <v>1689</v>
      </c>
      <c r="F5917" s="0" t="s">
        <v>1689</v>
      </c>
    </row>
    <row r="5919" customFormat="false" ht="12.8" hidden="false" customHeight="false" outlineLevel="0" collapsed="false">
      <c r="A5919" s="0" t="s">
        <v>2704</v>
      </c>
      <c r="B5919" s="0" t="str">
        <f aca="false">HYPERLINK("https://lindat.mff.cuni.cz/services/teitok/pdtc10/index.php?action=vallex&amp;frame=v-w808f1", "dozrát (v-w808f1)")</f>
        <v>dozrát (v-w808f1)</v>
      </c>
    </row>
    <row r="5920" customFormat="false" ht="12.8" hidden="false" customHeight="false" outlineLevel="0" collapsed="false">
      <c r="B5920" s="0" t="s">
        <v>7</v>
      </c>
      <c r="C5920" s="0" t="s">
        <v>247</v>
      </c>
      <c r="D5920" s="0" t="s">
        <v>16</v>
      </c>
      <c r="E5920" s="0" t="s">
        <v>16</v>
      </c>
      <c r="F5920" s="0" t="s">
        <v>16</v>
      </c>
    </row>
    <row r="5922" customFormat="false" ht="12.8" hidden="false" customHeight="false" outlineLevel="0" collapsed="false">
      <c r="A5922" s="0" t="s">
        <v>2705</v>
      </c>
      <c r="B5922" s="0" t="str">
        <f aca="false">HYPERLINK("https://lindat.mff.cuni.cz/services/teitok/pdtc10/index.php?action=vallex&amp;frame=v-w808f2", "dozrát (v-w808f2)")</f>
        <v>dozrát (v-w808f2)</v>
      </c>
    </row>
    <row r="5923" customFormat="false" ht="12.8" hidden="false" customHeight="false" outlineLevel="0" collapsed="false">
      <c r="B5923" s="0" t="s">
        <v>7</v>
      </c>
      <c r="D5923" s="0" t="s">
        <v>16</v>
      </c>
      <c r="E5923" s="0" t="s">
        <v>16</v>
      </c>
      <c r="F5923" s="0" t="s">
        <v>16</v>
      </c>
    </row>
    <row r="5925" customFormat="false" ht="12.8" hidden="false" customHeight="false" outlineLevel="0" collapsed="false">
      <c r="A5925" s="0" t="s">
        <v>2706</v>
      </c>
      <c r="B5925" s="0" t="str">
        <f aca="false">HYPERLINK("https://lindat.mff.cuni.cz/services/teitok/pdtc10/index.php?action=vallex&amp;frame=v-w810f1", "dozrávat (v-w810f1)")</f>
        <v>dozrávat (v-w810f1)</v>
      </c>
    </row>
    <row r="5926" customFormat="false" ht="12.8" hidden="false" customHeight="false" outlineLevel="0" collapsed="false">
      <c r="B5926" s="0" t="s">
        <v>7</v>
      </c>
      <c r="D5926" s="0" t="s">
        <v>16</v>
      </c>
      <c r="E5926" s="0" t="s">
        <v>16</v>
      </c>
      <c r="F5926" s="0" t="s">
        <v>16</v>
      </c>
    </row>
    <row r="5928" customFormat="false" ht="12.8" hidden="false" customHeight="false" outlineLevel="0" collapsed="false">
      <c r="A5928" s="0" t="s">
        <v>2707</v>
      </c>
      <c r="B5928" s="0" t="str">
        <f aca="false">HYPERLINK("https://lindat.mff.cuni.cz/services/teitok/pdtc10/index.php?action=vallex&amp;frame=v-w810f2", "dozrávat (v-w810f2)")</f>
        <v>dozrávat (v-w810f2)</v>
      </c>
    </row>
    <row r="5929" customFormat="false" ht="12.8" hidden="false" customHeight="false" outlineLevel="0" collapsed="false">
      <c r="B5929" s="0" t="s">
        <v>7</v>
      </c>
      <c r="C5929" s="0" t="s">
        <v>200</v>
      </c>
      <c r="D5929" s="0" t="s">
        <v>16</v>
      </c>
      <c r="E5929" s="0" t="s">
        <v>16</v>
      </c>
      <c r="F5929" s="0" t="s">
        <v>16</v>
      </c>
    </row>
    <row r="5931" customFormat="false" ht="12.8" hidden="false" customHeight="false" outlineLevel="0" collapsed="false">
      <c r="A5931" s="0" t="s">
        <v>2708</v>
      </c>
      <c r="B5931" s="0" t="str">
        <f aca="false">HYPERLINK("https://lindat.mff.cuni.cz/services/teitok/pdtc10/index.php?action=vallex&amp;frame=v-w812f2", "dozvídat se (v-w812f2)")</f>
        <v>dozvídat se (v-w812f2)</v>
      </c>
    </row>
    <row r="5932" customFormat="false" ht="12.8" hidden="false" customHeight="false" outlineLevel="0" collapsed="false">
      <c r="B5932" s="0" t="s">
        <v>7</v>
      </c>
      <c r="C5932" s="0" t="s">
        <v>316</v>
      </c>
      <c r="D5932" s="0" t="s">
        <v>2256</v>
      </c>
      <c r="E5932" s="0" t="s">
        <v>2256</v>
      </c>
      <c r="F5932" s="0" t="s">
        <v>2256</v>
      </c>
    </row>
    <row r="5933" customFormat="false" ht="12.8" hidden="false" customHeight="false" outlineLevel="0" collapsed="false">
      <c r="B5933" s="0" t="s">
        <v>2253</v>
      </c>
      <c r="C5933" s="0" t="s">
        <v>2685</v>
      </c>
      <c r="D5933" s="0" t="s">
        <v>2259</v>
      </c>
      <c r="E5933" s="0" t="s">
        <v>2259</v>
      </c>
      <c r="F5933" s="0" t="s">
        <v>2259</v>
      </c>
    </row>
    <row r="5934" customFormat="false" ht="12.8" hidden="false" customHeight="false" outlineLevel="0" collapsed="false">
      <c r="B5934" s="0" t="s">
        <v>2254</v>
      </c>
      <c r="C5934" s="0" t="s">
        <v>2480</v>
      </c>
      <c r="D5934" s="0" t="s">
        <v>2260</v>
      </c>
      <c r="E5934" s="0" t="s">
        <v>2260</v>
      </c>
      <c r="F5934" s="0" t="s">
        <v>2260</v>
      </c>
    </row>
    <row r="5936" customFormat="false" ht="12.8" hidden="false" customHeight="false" outlineLevel="0" collapsed="false">
      <c r="A5936" s="0" t="s">
        <v>2709</v>
      </c>
      <c r="B5936" s="0" t="str">
        <f aca="false">HYPERLINK("https://lindat.mff.cuni.cz/services/teitok/pdtc10/index.php?action=vallex&amp;frame=v-w812f1", "dozvídat se (v-w812f1)")</f>
        <v>dozvídat se (v-w812f1)</v>
      </c>
    </row>
    <row r="5937" customFormat="false" ht="12.8" hidden="false" customHeight="false" outlineLevel="0" collapsed="false">
      <c r="B5937" s="0" t="s">
        <v>7</v>
      </c>
      <c r="C5937" s="0" t="s">
        <v>2668</v>
      </c>
    </row>
    <row r="5938" customFormat="false" ht="12.8" hidden="false" customHeight="false" outlineLevel="0" collapsed="false">
      <c r="B5938" s="0" t="s">
        <v>2257</v>
      </c>
      <c r="C5938" s="0" t="s">
        <v>2710</v>
      </c>
    </row>
    <row r="5939" customFormat="false" ht="12.8" hidden="false" customHeight="false" outlineLevel="0" collapsed="false">
      <c r="B5939" s="0" t="s">
        <v>363</v>
      </c>
    </row>
    <row r="5940" customFormat="false" ht="12.8" hidden="false" customHeight="false" outlineLevel="0" collapsed="false">
      <c r="B5940" s="0" t="s">
        <v>2254</v>
      </c>
    </row>
    <row r="5942" customFormat="false" ht="12.8" hidden="false" customHeight="false" outlineLevel="0" collapsed="false">
      <c r="A5942" s="0" t="s">
        <v>2711</v>
      </c>
      <c r="B5942" s="0" t="str">
        <f aca="false">HYPERLINK("https://lindat.mff.cuni.cz/services/teitok/pdtc10/index.php?action=vallex&amp;frame=v-w811f1", "dozvědět se (v-w811f1)")</f>
        <v>dozvědět se (v-w811f1)</v>
      </c>
    </row>
    <row r="5943" customFormat="false" ht="12.8" hidden="false" customHeight="false" outlineLevel="0" collapsed="false">
      <c r="B5943" s="0" t="s">
        <v>7</v>
      </c>
      <c r="C5943" s="0" t="s">
        <v>2712</v>
      </c>
      <c r="D5943" s="0" t="s">
        <v>2266</v>
      </c>
      <c r="E5943" s="0" t="s">
        <v>2266</v>
      </c>
      <c r="F5943" s="0" t="s">
        <v>2266</v>
      </c>
    </row>
    <row r="5944" customFormat="false" ht="12.8" hidden="false" customHeight="false" outlineLevel="0" collapsed="false">
      <c r="B5944" s="0" t="s">
        <v>2253</v>
      </c>
      <c r="C5944" s="0" t="s">
        <v>2713</v>
      </c>
      <c r="D5944" s="0" t="s">
        <v>2270</v>
      </c>
      <c r="E5944" s="0" t="s">
        <v>2270</v>
      </c>
      <c r="F5944" s="0" t="s">
        <v>2270</v>
      </c>
    </row>
    <row r="5945" customFormat="false" ht="12.8" hidden="false" customHeight="false" outlineLevel="0" collapsed="false">
      <c r="B5945" s="0" t="s">
        <v>2254</v>
      </c>
      <c r="C5945" s="0" t="s">
        <v>2714</v>
      </c>
      <c r="D5945" s="0" t="s">
        <v>2273</v>
      </c>
      <c r="E5945" s="0" t="s">
        <v>2273</v>
      </c>
      <c r="F5945" s="0" t="s">
        <v>2273</v>
      </c>
    </row>
    <row r="5947" customFormat="false" ht="12.8" hidden="false" customHeight="false" outlineLevel="0" collapsed="false">
      <c r="A5947" s="0" t="s">
        <v>2715</v>
      </c>
      <c r="B5947" s="0" t="str">
        <f aca="false">HYPERLINK("https://lindat.mff.cuni.cz/services/teitok/pdtc10/index.php?action=vallex&amp;frame=v-w811f2", "dozvědět se (v-w811f2)")</f>
        <v>dozvědět se (v-w811f2)</v>
      </c>
    </row>
    <row r="5948" customFormat="false" ht="12.8" hidden="false" customHeight="false" outlineLevel="0" collapsed="false">
      <c r="B5948" s="0" t="s">
        <v>7</v>
      </c>
      <c r="C5948" s="0" t="s">
        <v>2716</v>
      </c>
      <c r="D5948" s="0" t="s">
        <v>2256</v>
      </c>
      <c r="E5948" s="0" t="s">
        <v>2256</v>
      </c>
      <c r="F5948" s="0" t="s">
        <v>2256</v>
      </c>
    </row>
    <row r="5949" customFormat="false" ht="12.8" hidden="false" customHeight="false" outlineLevel="0" collapsed="false">
      <c r="B5949" s="0" t="s">
        <v>2257</v>
      </c>
      <c r="C5949" s="0" t="s">
        <v>2717</v>
      </c>
      <c r="D5949" s="0" t="s">
        <v>2258</v>
      </c>
      <c r="E5949" s="0" t="s">
        <v>2258</v>
      </c>
      <c r="F5949" s="0" t="s">
        <v>2258</v>
      </c>
    </row>
    <row r="5950" customFormat="false" ht="12.8" hidden="false" customHeight="false" outlineLevel="0" collapsed="false">
      <c r="B5950" s="0" t="s">
        <v>363</v>
      </c>
      <c r="C5950" s="0" t="s">
        <v>2718</v>
      </c>
      <c r="D5950" s="0" t="s">
        <v>2259</v>
      </c>
      <c r="E5950" s="0" t="s">
        <v>2259</v>
      </c>
      <c r="F5950" s="0" t="s">
        <v>2259</v>
      </c>
    </row>
    <row r="5951" customFormat="false" ht="12.8" hidden="false" customHeight="false" outlineLevel="0" collapsed="false">
      <c r="B5951" s="0" t="s">
        <v>2254</v>
      </c>
      <c r="C5951" s="0" t="s">
        <v>2719</v>
      </c>
      <c r="D5951" s="0" t="s">
        <v>2260</v>
      </c>
      <c r="E5951" s="0" t="s">
        <v>2260</v>
      </c>
      <c r="F5951" s="0" t="s">
        <v>2260</v>
      </c>
    </row>
    <row r="5953" customFormat="false" ht="12.8" hidden="false" customHeight="false" outlineLevel="0" collapsed="false">
      <c r="A5953" s="0" t="s">
        <v>2720</v>
      </c>
      <c r="B5953" s="0" t="str">
        <f aca="false">HYPERLINK("https://lindat.mff.cuni.cz/services/teitok/pdtc10/index.php?action=vallex&amp;frame=v-w10070f2", "dozávodit (v-w10070f2)")</f>
        <v>dozávodit (v-w10070f2)</v>
      </c>
    </row>
    <row r="5954" customFormat="false" ht="12.8" hidden="false" customHeight="false" outlineLevel="0" collapsed="false">
      <c r="B5954" s="0" t="s">
        <v>7</v>
      </c>
    </row>
    <row r="5955" customFormat="false" ht="12.8" hidden="false" customHeight="false" outlineLevel="0" collapsed="false">
      <c r="B5955" s="0" t="s">
        <v>2721</v>
      </c>
    </row>
    <row r="5956" customFormat="false" ht="12.8" hidden="false" customHeight="false" outlineLevel="0" collapsed="false">
      <c r="B5956" s="0" t="s">
        <v>2722</v>
      </c>
    </row>
    <row r="5958" customFormat="false" ht="12.8" hidden="false" customHeight="false" outlineLevel="0" collapsed="false">
      <c r="A5958" s="0" t="s">
        <v>2723</v>
      </c>
      <c r="B5958" s="0" t="str">
        <f aca="false">HYPERLINK("https://lindat.mff.cuni.cz/services/teitok/pdtc10/index.php?action=vallex&amp;frame=v-w11049f3", "dozírat (v-w11049f3)")</f>
        <v>dozírat (v-w11049f3)</v>
      </c>
    </row>
    <row r="5959" customFormat="false" ht="12.8" hidden="false" customHeight="false" outlineLevel="0" collapsed="false">
      <c r="B5959" s="0" t="s">
        <v>7</v>
      </c>
      <c r="C5959" s="0" t="s">
        <v>22</v>
      </c>
      <c r="D5959" s="0" t="s">
        <v>315</v>
      </c>
      <c r="E5959" s="0" t="s">
        <v>315</v>
      </c>
      <c r="F5959" s="0" t="s">
        <v>315</v>
      </c>
    </row>
    <row r="5960" customFormat="false" ht="12.8" hidden="false" customHeight="false" outlineLevel="0" collapsed="false">
      <c r="B5960" s="0" t="s">
        <v>1823</v>
      </c>
      <c r="C5960" s="0" t="s">
        <v>1210</v>
      </c>
      <c r="D5960" s="0" t="s">
        <v>1818</v>
      </c>
      <c r="E5960" s="0" t="s">
        <v>1818</v>
      </c>
      <c r="F5960" s="0" t="s">
        <v>1818</v>
      </c>
    </row>
    <row r="5962" customFormat="false" ht="12.8" hidden="false" customHeight="false" outlineLevel="0" collapsed="false">
      <c r="A5962" s="0" t="s">
        <v>2724</v>
      </c>
      <c r="B5962" s="0" t="str">
        <f aca="false">HYPERLINK("https://lindat.mff.cuni.cz/services/teitok/pdtc10/index.php?action=vallex&amp;frame=v-w527f6_ZU", "dočkat se (v-w527f6_ZU)")</f>
        <v>dočkat se (v-w527f6_ZU)</v>
      </c>
    </row>
    <row r="5963" customFormat="false" ht="12.8" hidden="false" customHeight="false" outlineLevel="0" collapsed="false">
      <c r="B5963" s="0" t="s">
        <v>7</v>
      </c>
    </row>
    <row r="5964" customFormat="false" ht="12.8" hidden="false" customHeight="false" outlineLevel="0" collapsed="false">
      <c r="B5964" s="0" t="s">
        <v>2661</v>
      </c>
    </row>
    <row r="5965" customFormat="false" ht="12.8" hidden="false" customHeight="false" outlineLevel="0" collapsed="false">
      <c r="B5965" s="0" t="s">
        <v>441</v>
      </c>
    </row>
    <row r="5967" customFormat="false" ht="12.8" hidden="false" customHeight="false" outlineLevel="0" collapsed="false">
      <c r="A5967" s="0" t="s">
        <v>2724</v>
      </c>
      <c r="B5967" s="0" t="str">
        <f aca="false">HYPERLINK("https://lindat.mff.cuni.cz/services/teitok/pdtc10/index.php?action=vallex&amp;frame=v-w527f2", "dočkat se (v-w527f2) - substituted with v-w527f6_ZU")</f>
        <v>dočkat se (v-w527f2) - substituted with v-w527f6_ZU</v>
      </c>
    </row>
    <row r="5968" customFormat="false" ht="12.8" hidden="false" customHeight="false" outlineLevel="0" collapsed="false">
      <c r="B5968" s="0" t="s">
        <v>7</v>
      </c>
      <c r="C5968" s="0" t="s">
        <v>68</v>
      </c>
    </row>
    <row r="5969" customFormat="false" ht="12.8" hidden="false" customHeight="false" outlineLevel="0" collapsed="false">
      <c r="B5969" s="0" t="s">
        <v>2661</v>
      </c>
      <c r="C5969" s="0" t="s">
        <v>2517</v>
      </c>
    </row>
    <row r="5970" customFormat="false" ht="12.8" hidden="false" customHeight="false" outlineLevel="0" collapsed="false">
      <c r="B5970" s="0" t="s">
        <v>441</v>
      </c>
    </row>
    <row r="5972" customFormat="false" ht="12.8" hidden="false" customHeight="false" outlineLevel="0" collapsed="false">
      <c r="A5972" s="0" t="s">
        <v>2724</v>
      </c>
      <c r="B5972" s="0" t="str">
        <f aca="false">HYPERLINK("https://lindat.mff.cuni.cz/services/teitok/pdtc10/index.php?action=vallex&amp;frame=v-w527f3_ZU", "dočkat se (v-w527f3_ZU) - substituted with v-w527f6_ZU")</f>
        <v>dočkat se (v-w527f3_ZU) - substituted with v-w527f6_ZU</v>
      </c>
    </row>
    <row r="5973" customFormat="false" ht="12.8" hidden="false" customHeight="false" outlineLevel="0" collapsed="false">
      <c r="B5973" s="0" t="s">
        <v>7</v>
      </c>
    </row>
    <row r="5974" customFormat="false" ht="12.8" hidden="false" customHeight="false" outlineLevel="0" collapsed="false">
      <c r="B5974" s="0" t="s">
        <v>2661</v>
      </c>
    </row>
    <row r="5975" customFormat="false" ht="12.8" hidden="false" customHeight="false" outlineLevel="0" collapsed="false">
      <c r="B5975" s="0" t="s">
        <v>441</v>
      </c>
    </row>
    <row r="5977" customFormat="false" ht="12.8" hidden="false" customHeight="false" outlineLevel="0" collapsed="false">
      <c r="A5977" s="0" t="s">
        <v>2724</v>
      </c>
      <c r="B5977" s="0" t="str">
        <f aca="false">HYPERLINK("https://lindat.mff.cuni.cz/services/teitok/pdtc10/index.php?action=vallex&amp;frame=v-w527hsa_177", "dočkat se (v-w527hsa_177) - substituted with v-w527f6_ZU")</f>
        <v>dočkat se (v-w527hsa_177) - substituted with v-w527f6_ZU</v>
      </c>
    </row>
    <row r="5978" customFormat="false" ht="12.8" hidden="false" customHeight="false" outlineLevel="0" collapsed="false">
      <c r="B5978" s="0" t="s">
        <v>7</v>
      </c>
    </row>
    <row r="5979" customFormat="false" ht="12.8" hidden="false" customHeight="false" outlineLevel="0" collapsed="false">
      <c r="B5979" s="0" t="s">
        <v>2661</v>
      </c>
    </row>
    <row r="5980" customFormat="false" ht="12.8" hidden="false" customHeight="false" outlineLevel="0" collapsed="false">
      <c r="B5980" s="0" t="s">
        <v>441</v>
      </c>
    </row>
    <row r="5982" customFormat="false" ht="12.8" hidden="false" customHeight="false" outlineLevel="0" collapsed="false">
      <c r="A5982" s="0" t="s">
        <v>2725</v>
      </c>
      <c r="B5982" s="0" t="str">
        <f aca="false">HYPERLINK("https://lindat.mff.cuni.cz/services/teitok/pdtc10/index.php?action=vallex&amp;frame=v-w527f7_ZU", "dočkat se (v-w527f7_ZU)")</f>
        <v>dočkat se (v-w527f7_ZU)</v>
      </c>
    </row>
    <row r="5983" customFormat="false" ht="12.8" hidden="false" customHeight="false" outlineLevel="0" collapsed="false">
      <c r="B5983" s="0" t="s">
        <v>7</v>
      </c>
    </row>
    <row r="5984" customFormat="false" ht="12.8" hidden="false" customHeight="false" outlineLevel="0" collapsed="false">
      <c r="B5984" s="0" t="s">
        <v>1087</v>
      </c>
    </row>
    <row r="5986" customFormat="false" ht="12.8" hidden="false" customHeight="false" outlineLevel="0" collapsed="false">
      <c r="A5986" s="0" t="s">
        <v>2725</v>
      </c>
      <c r="B5986" s="0" t="str">
        <f aca="false">HYPERLINK("https://lindat.mff.cuni.cz/services/teitok/pdtc10/index.php?action=vallex&amp;frame=v-w527f1", "dočkat se (v-w527f1) - substituted with v-w527f7_ZU")</f>
        <v>dočkat se (v-w527f1) - substituted with v-w527f7_ZU</v>
      </c>
    </row>
    <row r="5987" customFormat="false" ht="12.8" hidden="false" customHeight="false" outlineLevel="0" collapsed="false">
      <c r="B5987" s="0" t="s">
        <v>7</v>
      </c>
      <c r="C5987" s="0" t="s">
        <v>845</v>
      </c>
    </row>
    <row r="5988" customFormat="false" ht="12.8" hidden="false" customHeight="false" outlineLevel="0" collapsed="false">
      <c r="B5988" s="0" t="s">
        <v>1087</v>
      </c>
      <c r="C5988" s="0" t="s">
        <v>2726</v>
      </c>
    </row>
    <row r="5990" customFormat="false" ht="12.8" hidden="false" customHeight="false" outlineLevel="0" collapsed="false">
      <c r="A5990" s="0" t="s">
        <v>2727</v>
      </c>
      <c r="B5990" s="0" t="str">
        <f aca="false">HYPERLINK("https://lindat.mff.cuni.cz/services/teitok/pdtc10/index.php?action=vallex&amp;frame=v-w527f5_ZU", "dočkat se (v-w527f5_ZU)")</f>
        <v>dočkat se (v-w527f5_ZU)</v>
      </c>
    </row>
    <row r="5991" customFormat="false" ht="12.8" hidden="false" customHeight="false" outlineLevel="0" collapsed="false">
      <c r="B5991" s="0" t="s">
        <v>7</v>
      </c>
    </row>
    <row r="5992" customFormat="false" ht="12.8" hidden="false" customHeight="false" outlineLevel="0" collapsed="false">
      <c r="B5992" s="0" t="s">
        <v>2728</v>
      </c>
    </row>
    <row r="5994" customFormat="false" ht="12.8" hidden="false" customHeight="false" outlineLevel="0" collapsed="false">
      <c r="A5994" s="0" t="s">
        <v>2727</v>
      </c>
      <c r="B5994" s="0" t="str">
        <f aca="false">HYPERLINK("https://lindat.mff.cuni.cz/services/teitok/pdtc10/index.php?action=vallex&amp;frame=v-w527f4_ZU", "dočkat se (v-w527f4_ZU) - substituted with v-w527f5_ZU")</f>
        <v>dočkat se (v-w527f4_ZU) - substituted with v-w527f5_ZU</v>
      </c>
    </row>
    <row r="5995" customFormat="false" ht="12.8" hidden="false" customHeight="false" outlineLevel="0" collapsed="false">
      <c r="B5995" s="0" t="s">
        <v>7</v>
      </c>
    </row>
    <row r="5996" customFormat="false" ht="12.8" hidden="false" customHeight="false" outlineLevel="0" collapsed="false">
      <c r="B5996" s="0" t="s">
        <v>2728</v>
      </c>
    </row>
    <row r="5998" customFormat="false" ht="12.8" hidden="false" customHeight="false" outlineLevel="0" collapsed="false">
      <c r="A5998" s="0" t="s">
        <v>2729</v>
      </c>
      <c r="B5998" s="0" t="str">
        <f aca="false">HYPERLINK("https://lindat.mff.cuni.cz/services/teitok/pdtc10/index.php?action=vallex&amp;frame=v-w525f2", "dočíst se (v-w525f2)")</f>
        <v>dočíst se (v-w525f2)</v>
      </c>
    </row>
    <row r="5999" customFormat="false" ht="12.8" hidden="false" customHeight="false" outlineLevel="0" collapsed="false">
      <c r="B5999" s="0" t="s">
        <v>7</v>
      </c>
    </row>
    <row r="6000" customFormat="false" ht="12.8" hidden="false" customHeight="false" outlineLevel="0" collapsed="false">
      <c r="B6000" s="0" t="s">
        <v>244</v>
      </c>
    </row>
    <row r="6002" customFormat="false" ht="12.8" hidden="false" customHeight="false" outlineLevel="0" collapsed="false">
      <c r="A6002" s="0" t="s">
        <v>2730</v>
      </c>
      <c r="B6002" s="0" t="str">
        <f aca="false">HYPERLINK("https://lindat.mff.cuni.cz/services/teitok/pdtc10/index.php?action=vallex&amp;frame=v-w525f1", "dočíst se (v-w525f1)")</f>
        <v>dočíst se (v-w525f1)</v>
      </c>
    </row>
    <row r="6003" customFormat="false" ht="12.8" hidden="false" customHeight="false" outlineLevel="0" collapsed="false">
      <c r="B6003" s="0" t="s">
        <v>7</v>
      </c>
      <c r="C6003" s="0" t="s">
        <v>2668</v>
      </c>
    </row>
    <row r="6004" customFormat="false" ht="12.8" hidden="false" customHeight="false" outlineLevel="0" collapsed="false">
      <c r="B6004" s="0" t="s">
        <v>2257</v>
      </c>
      <c r="C6004" s="0" t="s">
        <v>2731</v>
      </c>
    </row>
    <row r="6005" customFormat="false" ht="12.8" hidden="false" customHeight="false" outlineLevel="0" collapsed="false">
      <c r="B6005" s="0" t="s">
        <v>363</v>
      </c>
    </row>
    <row r="6007" customFormat="false" ht="12.8" hidden="false" customHeight="false" outlineLevel="0" collapsed="false">
      <c r="A6007" s="0" t="s">
        <v>2732</v>
      </c>
      <c r="B6007" s="0" t="str">
        <f aca="false">HYPERLINK("https://lindat.mff.cuni.cz/services/teitok/pdtc10/index.php?action=vallex&amp;frame=v-w526f1", "dočítat se (v-w526f1)")</f>
        <v>dočítat se (v-w526f1)</v>
      </c>
    </row>
    <row r="6008" customFormat="false" ht="12.8" hidden="false" customHeight="false" outlineLevel="0" collapsed="false">
      <c r="B6008" s="0" t="s">
        <v>7</v>
      </c>
    </row>
    <row r="6009" customFormat="false" ht="12.8" hidden="false" customHeight="false" outlineLevel="0" collapsed="false">
      <c r="B6009" s="0" t="s">
        <v>2257</v>
      </c>
    </row>
    <row r="6010" customFormat="false" ht="12.8" hidden="false" customHeight="false" outlineLevel="0" collapsed="false">
      <c r="B6010" s="0" t="s">
        <v>363</v>
      </c>
    </row>
    <row r="6012" customFormat="false" ht="12.8" hidden="false" customHeight="false" outlineLevel="0" collapsed="false">
      <c r="A6012" s="0" t="s">
        <v>2733</v>
      </c>
      <c r="B6012" s="0" t="str">
        <f aca="false">HYPERLINK("https://lindat.mff.cuni.cz/services/teitok/pdtc10/index.php?action=vallex&amp;frame=v-w11844_ZUf1_ZU", "dořezat se (v-w11844_ZUf1_ZU)")</f>
        <v>dořezat se (v-w11844_ZUf1_ZU)</v>
      </c>
    </row>
    <row r="6013" customFormat="false" ht="12.8" hidden="false" customHeight="false" outlineLevel="0" collapsed="false">
      <c r="B6013" s="0" t="s">
        <v>7</v>
      </c>
    </row>
    <row r="6014" customFormat="false" ht="12.8" hidden="false" customHeight="false" outlineLevel="0" collapsed="false">
      <c r="B6014" s="0" t="s">
        <v>2734</v>
      </c>
    </row>
    <row r="6015" customFormat="false" ht="12.8" hidden="false" customHeight="false" outlineLevel="0" collapsed="false">
      <c r="B6015" s="0" t="s">
        <v>387</v>
      </c>
    </row>
    <row r="6016" customFormat="false" ht="12.8" hidden="false" customHeight="false" outlineLevel="0" collapsed="false">
      <c r="B6016" s="0" t="s">
        <v>666</v>
      </c>
    </row>
    <row r="6018" customFormat="false" ht="12.8" hidden="false" customHeight="false" outlineLevel="0" collapsed="false">
      <c r="A6018" s="0" t="s">
        <v>2735</v>
      </c>
      <c r="B6018" s="0" t="str">
        <f aca="false">HYPERLINK("https://lindat.mff.cuni.cz/services/teitok/pdtc10/index.php?action=vallex&amp;frame=v-w710f1", "dořešit (v-w710f1)")</f>
        <v>dořešit (v-w710f1)</v>
      </c>
    </row>
    <row r="6019" customFormat="false" ht="12.8" hidden="false" customHeight="false" outlineLevel="0" collapsed="false">
      <c r="B6019" s="0" t="s">
        <v>7</v>
      </c>
      <c r="C6019" s="0" t="s">
        <v>2736</v>
      </c>
      <c r="D6019" s="0" t="s">
        <v>2737</v>
      </c>
      <c r="E6019" s="0" t="s">
        <v>2737</v>
      </c>
      <c r="F6019" s="0" t="s">
        <v>2737</v>
      </c>
    </row>
    <row r="6020" customFormat="false" ht="12.8" hidden="false" customHeight="false" outlineLevel="0" collapsed="false">
      <c r="B6020" s="0" t="s">
        <v>2738</v>
      </c>
      <c r="C6020" s="0" t="s">
        <v>2739</v>
      </c>
      <c r="D6020" s="0" t="s">
        <v>2740</v>
      </c>
      <c r="E6020" s="0" t="s">
        <v>2740</v>
      </c>
      <c r="F6020" s="0" t="s">
        <v>2740</v>
      </c>
    </row>
    <row r="6022" customFormat="false" ht="12.8" hidden="false" customHeight="false" outlineLevel="0" collapsed="false">
      <c r="A6022" s="0" t="s">
        <v>2741</v>
      </c>
      <c r="B6022" s="0" t="str">
        <f aca="false">HYPERLINK("https://lindat.mff.cuni.cz/services/teitok/pdtc10/index.php?action=vallex&amp;frame=v-w11840_ZUf1_ZU", "dořvat (v-w11840_ZUf1_ZU)")</f>
        <v>dořvat (v-w11840_ZUf1_ZU)</v>
      </c>
    </row>
    <row r="6023" customFormat="false" ht="12.8" hidden="false" customHeight="false" outlineLevel="0" collapsed="false">
      <c r="B6023" s="0" t="s">
        <v>7</v>
      </c>
    </row>
    <row r="6024" customFormat="false" ht="12.8" hidden="false" customHeight="false" outlineLevel="0" collapsed="false">
      <c r="B6024" s="0" t="s">
        <v>14</v>
      </c>
    </row>
    <row r="6026" customFormat="false" ht="12.8" hidden="false" customHeight="false" outlineLevel="0" collapsed="false">
      <c r="A6026" s="0" t="s">
        <v>2742</v>
      </c>
      <c r="B6026" s="0" t="str">
        <f aca="false">HYPERLINK("https://lindat.mff.cuni.cz/services/teitok/pdtc10/index.php?action=vallex&amp;frame=v-w711f1", "doříci (v-w711f1)")</f>
        <v>doříci (v-w711f1)</v>
      </c>
    </row>
    <row r="6027" customFormat="false" ht="12.8" hidden="false" customHeight="false" outlineLevel="0" collapsed="false">
      <c r="B6027" s="0" t="s">
        <v>7</v>
      </c>
    </row>
    <row r="6028" customFormat="false" ht="12.8" hidden="false" customHeight="false" outlineLevel="0" collapsed="false">
      <c r="B6028" s="0" t="s">
        <v>14</v>
      </c>
    </row>
    <row r="6030" customFormat="false" ht="12.8" hidden="false" customHeight="false" outlineLevel="0" collapsed="false">
      <c r="A6030" s="0" t="s">
        <v>2743</v>
      </c>
      <c r="B6030" s="0" t="str">
        <f aca="false">HYPERLINK("https://lindat.mff.cuni.cz/services/teitok/pdtc10/index.php?action=vallex&amp;frame=v-w11800_ZUf1_ZU", "doškolovat (v-w11800_ZUf1_ZU)")</f>
        <v>doškolovat (v-w11800_ZUf1_ZU)</v>
      </c>
    </row>
    <row r="6031" customFormat="false" ht="12.8" hidden="false" customHeight="false" outlineLevel="0" collapsed="false">
      <c r="B6031" s="0" t="s">
        <v>7</v>
      </c>
    </row>
    <row r="6032" customFormat="false" ht="12.8" hidden="false" customHeight="false" outlineLevel="0" collapsed="false">
      <c r="B6032" s="0" t="s">
        <v>14</v>
      </c>
    </row>
    <row r="6034" customFormat="false" ht="12.8" hidden="false" customHeight="false" outlineLevel="0" collapsed="false">
      <c r="A6034" s="0" t="s">
        <v>2744</v>
      </c>
      <c r="B6034" s="0" t="str">
        <f aca="false">HYPERLINK("https://lindat.mff.cuni.cz/services/teitok/pdtc10/index.php?action=vallex&amp;frame=v-w11779_ZUf1_ZU", "došlápnout (v-w11779_ZUf1_ZU)")</f>
        <v>došlápnout (v-w11779_ZUf1_ZU)</v>
      </c>
    </row>
    <row r="6035" customFormat="false" ht="12.8" hidden="false" customHeight="false" outlineLevel="0" collapsed="false">
      <c r="B6035" s="0" t="s">
        <v>7</v>
      </c>
    </row>
    <row r="6036" customFormat="false" ht="12.8" hidden="false" customHeight="false" outlineLevel="0" collapsed="false">
      <c r="B6036" s="0" t="s">
        <v>338</v>
      </c>
    </row>
    <row r="6038" customFormat="false" ht="12.8" hidden="false" customHeight="false" outlineLevel="0" collapsed="false">
      <c r="A6038" s="0" t="s">
        <v>2745</v>
      </c>
      <c r="B6038" s="0" t="str">
        <f aca="false">HYPERLINK("https://lindat.mff.cuni.cz/services/teitok/pdtc10/index.php?action=vallex&amp;frame=v-w748f1", "došlápnout si (v-w748f1)")</f>
        <v>došlápnout si (v-w748f1)</v>
      </c>
    </row>
    <row r="6039" customFormat="false" ht="12.8" hidden="false" customHeight="false" outlineLevel="0" collapsed="false">
      <c r="B6039" s="0" t="s">
        <v>7</v>
      </c>
    </row>
    <row r="6040" customFormat="false" ht="12.8" hidden="false" customHeight="false" outlineLevel="0" collapsed="false">
      <c r="B6040" s="0" t="s">
        <v>41</v>
      </c>
    </row>
    <row r="6042" customFormat="false" ht="12.8" hidden="false" customHeight="false" outlineLevel="0" collapsed="false">
      <c r="A6042" s="0" t="s">
        <v>2746</v>
      </c>
      <c r="B6042" s="0" t="str">
        <f aca="false">HYPERLINK("https://lindat.mff.cuni.cz/services/teitok/pdtc10/index.php?action=vallex&amp;frame=v-w12091_ZUf1_ZU", "došplhat se (v-w12091_ZUf1_ZU)")</f>
        <v>došplhat se (v-w12091_ZUf1_ZU)</v>
      </c>
    </row>
    <row r="6043" customFormat="false" ht="12.8" hidden="false" customHeight="false" outlineLevel="0" collapsed="false">
      <c r="B6043" s="0" t="s">
        <v>7</v>
      </c>
    </row>
    <row r="6044" customFormat="false" ht="12.8" hidden="false" customHeight="false" outlineLevel="0" collapsed="false">
      <c r="B6044" s="0" t="s">
        <v>338</v>
      </c>
    </row>
    <row r="6046" customFormat="false" ht="12.8" hidden="false" customHeight="false" outlineLevel="0" collapsed="false">
      <c r="A6046" s="0" t="s">
        <v>2747</v>
      </c>
      <c r="B6046" s="0" t="str">
        <f aca="false">HYPERLINK("https://lindat.mff.cuni.cz/services/teitok/pdtc10/index.php?action=vallex&amp;frame=v-whsa_1934hsa_1935", "doštráchat se (v-whsa_1934hsa_1935)")</f>
        <v>doštráchat se (v-whsa_1934hsa_1935)</v>
      </c>
    </row>
    <row r="6047" customFormat="false" ht="12.8" hidden="false" customHeight="false" outlineLevel="0" collapsed="false">
      <c r="B6047" s="0" t="s">
        <v>7</v>
      </c>
    </row>
    <row r="6048" customFormat="false" ht="12.8" hidden="false" customHeight="false" outlineLevel="0" collapsed="false">
      <c r="B6048" s="0" t="s">
        <v>124</v>
      </c>
    </row>
    <row r="6050" customFormat="false" ht="12.8" hidden="false" customHeight="false" outlineLevel="0" collapsed="false">
      <c r="A6050" s="0" t="s">
        <v>2748</v>
      </c>
      <c r="B6050" s="0" t="str">
        <f aca="false">HYPERLINK("https://lindat.mff.cuni.cz/services/teitok/pdtc10/index.php?action=vallex&amp;frame=v-w813f1", "dožadovat se (v-w813f1)")</f>
        <v>dožadovat se (v-w813f1)</v>
      </c>
    </row>
    <row r="6051" customFormat="false" ht="12.8" hidden="false" customHeight="false" outlineLevel="0" collapsed="false">
      <c r="B6051" s="0" t="s">
        <v>7</v>
      </c>
      <c r="C6051" s="0" t="s">
        <v>2749</v>
      </c>
      <c r="D6051" s="0" t="s">
        <v>1243</v>
      </c>
      <c r="E6051" s="0" t="s">
        <v>1243</v>
      </c>
      <c r="F6051" s="0" t="s">
        <v>1243</v>
      </c>
    </row>
    <row r="6052" customFormat="false" ht="12.8" hidden="false" customHeight="false" outlineLevel="0" collapsed="false">
      <c r="B6052" s="0" t="s">
        <v>2750</v>
      </c>
      <c r="C6052" s="0" t="s">
        <v>2751</v>
      </c>
      <c r="D6052" s="0" t="s">
        <v>1246</v>
      </c>
      <c r="E6052" s="0" t="s">
        <v>1246</v>
      </c>
      <c r="F6052" s="0" t="s">
        <v>1246</v>
      </c>
    </row>
    <row r="6053" customFormat="false" ht="12.8" hidden="false" customHeight="false" outlineLevel="0" collapsed="false">
      <c r="B6053" s="0" t="s">
        <v>1668</v>
      </c>
      <c r="C6053" s="0" t="s">
        <v>2034</v>
      </c>
      <c r="D6053" s="0" t="s">
        <v>1248</v>
      </c>
      <c r="E6053" s="0" t="s">
        <v>1248</v>
      </c>
      <c r="F6053" s="0" t="s">
        <v>1248</v>
      </c>
    </row>
    <row r="6055" customFormat="false" ht="12.8" hidden="false" customHeight="false" outlineLevel="0" collapsed="false">
      <c r="A6055" s="0" t="s">
        <v>2752</v>
      </c>
      <c r="B6055" s="0" t="str">
        <f aca="false">HYPERLINK("https://lindat.mff.cuni.cz/services/teitok/pdtc10/index.php?action=vallex&amp;frame=v-whsa_1104hsa_1105", "dožít (v-whsa_1104hsa_1105)")</f>
        <v>dožít (v-whsa_1104hsa_1105)</v>
      </c>
    </row>
    <row r="6056" customFormat="false" ht="12.8" hidden="false" customHeight="false" outlineLevel="0" collapsed="false">
      <c r="B6056" s="0" t="s">
        <v>7</v>
      </c>
    </row>
    <row r="6058" customFormat="false" ht="12.8" hidden="false" customHeight="false" outlineLevel="0" collapsed="false">
      <c r="A6058" s="0" t="s">
        <v>2753</v>
      </c>
      <c r="B6058" s="0" t="str">
        <f aca="false">HYPERLINK("https://lindat.mff.cuni.cz/services/teitok/pdtc10/index.php?action=vallex&amp;frame=v-whsa_1104hsa_1106", "dožít (v-whsa_1104hsa_1106)")</f>
        <v>dožít (v-whsa_1104hsa_1106)</v>
      </c>
    </row>
    <row r="6059" customFormat="false" ht="12.8" hidden="false" customHeight="false" outlineLevel="0" collapsed="false">
      <c r="B6059" s="0" t="s">
        <v>7</v>
      </c>
    </row>
    <row r="6060" customFormat="false" ht="12.8" hidden="false" customHeight="false" outlineLevel="0" collapsed="false">
      <c r="B6060" s="0" t="s">
        <v>14</v>
      </c>
    </row>
    <row r="6062" customFormat="false" ht="12.8" hidden="false" customHeight="false" outlineLevel="0" collapsed="false">
      <c r="A6062" s="0" t="s">
        <v>2754</v>
      </c>
      <c r="B6062" s="0" t="str">
        <f aca="false">HYPERLINK("https://lindat.mff.cuni.cz/services/teitok/pdtc10/index.php?action=vallex&amp;frame=v-w815f1", "dožít se (v-w815f1)")</f>
        <v>dožít se (v-w815f1)</v>
      </c>
    </row>
    <row r="6063" customFormat="false" ht="12.8" hidden="false" customHeight="false" outlineLevel="0" collapsed="false">
      <c r="B6063" s="0" t="s">
        <v>7</v>
      </c>
    </row>
    <row r="6064" customFormat="false" ht="12.8" hidden="false" customHeight="false" outlineLevel="0" collapsed="false">
      <c r="B6064" s="0" t="s">
        <v>1087</v>
      </c>
    </row>
    <row r="6066" customFormat="false" ht="12.8" hidden="false" customHeight="false" outlineLevel="0" collapsed="false">
      <c r="A6066" s="0" t="s">
        <v>2755</v>
      </c>
      <c r="B6066" s="0" t="str">
        <f aca="false">HYPERLINK("https://lindat.mff.cuni.cz/services/teitok/pdtc10/index.php?action=vallex&amp;frame=v-w816f1", "dožívat se (v-w816f1)")</f>
        <v>dožívat se (v-w816f1)</v>
      </c>
    </row>
    <row r="6067" customFormat="false" ht="12.8" hidden="false" customHeight="false" outlineLevel="0" collapsed="false">
      <c r="B6067" s="0" t="s">
        <v>7</v>
      </c>
    </row>
    <row r="6068" customFormat="false" ht="12.8" hidden="false" customHeight="false" outlineLevel="0" collapsed="false">
      <c r="B6068" s="0" t="s">
        <v>1087</v>
      </c>
    </row>
    <row r="6070" customFormat="false" ht="12.8" hidden="false" customHeight="false" outlineLevel="0" collapsed="false">
      <c r="A6070" s="0" t="s">
        <v>2756</v>
      </c>
      <c r="B6070" s="0" t="str">
        <f aca="false">HYPERLINK("https://lindat.mff.cuni.cz/services/teitok/pdtc10/index.php?action=vallex&amp;frame=v-w821f1", "dramatizovat (v-w821f1)")</f>
        <v>dramatizovat (v-w821f1)</v>
      </c>
    </row>
    <row r="6071" customFormat="false" ht="12.8" hidden="false" customHeight="false" outlineLevel="0" collapsed="false">
      <c r="B6071" s="0" t="s">
        <v>7</v>
      </c>
    </row>
    <row r="6072" customFormat="false" ht="12.8" hidden="false" customHeight="false" outlineLevel="0" collapsed="false">
      <c r="B6072" s="0" t="s">
        <v>14</v>
      </c>
    </row>
    <row r="6074" customFormat="false" ht="12.8" hidden="false" customHeight="false" outlineLevel="0" collapsed="false">
      <c r="A6074" s="0" t="s">
        <v>2757</v>
      </c>
      <c r="B6074" s="0" t="str">
        <f aca="false">HYPERLINK("https://lindat.mff.cuni.cz/services/teitok/pdtc10/index.php?action=vallex&amp;frame=v-w821f2", "dramatizovat (v-w821f2)")</f>
        <v>dramatizovat (v-w821f2)</v>
      </c>
    </row>
    <row r="6075" customFormat="false" ht="12.8" hidden="false" customHeight="false" outlineLevel="0" collapsed="false">
      <c r="B6075" s="0" t="s">
        <v>7</v>
      </c>
    </row>
    <row r="6076" customFormat="false" ht="12.8" hidden="false" customHeight="false" outlineLevel="0" collapsed="false">
      <c r="B6076" s="0" t="s">
        <v>14</v>
      </c>
    </row>
    <row r="6078" customFormat="false" ht="12.8" hidden="false" customHeight="false" outlineLevel="0" collapsed="false">
      <c r="A6078" s="0" t="s">
        <v>2758</v>
      </c>
      <c r="B6078" s="0" t="str">
        <f aca="false">HYPERLINK("https://lindat.mff.cuni.cz/services/teitok/pdtc10/index.php?action=vallex&amp;frame=v-w823f1", "drancovat (v-w823f1)")</f>
        <v>drancovat (v-w823f1)</v>
      </c>
    </row>
    <row r="6079" customFormat="false" ht="12.8" hidden="false" customHeight="false" outlineLevel="0" collapsed="false">
      <c r="B6079" s="0" t="s">
        <v>7</v>
      </c>
      <c r="D6079" s="0" t="s">
        <v>2759</v>
      </c>
      <c r="E6079" s="0" t="s">
        <v>2760</v>
      </c>
      <c r="F6079" s="0" t="s">
        <v>2760</v>
      </c>
    </row>
    <row r="6080" customFormat="false" ht="12.8" hidden="false" customHeight="false" outlineLevel="0" collapsed="false">
      <c r="B6080" s="0" t="s">
        <v>14</v>
      </c>
      <c r="D6080" s="0" t="s">
        <v>2761</v>
      </c>
      <c r="E6080" s="0" t="s">
        <v>2762</v>
      </c>
      <c r="F6080" s="0" t="s">
        <v>2762</v>
      </c>
    </row>
    <row r="6082" customFormat="false" ht="12.8" hidden="false" customHeight="false" outlineLevel="0" collapsed="false">
      <c r="A6082" s="0" t="s">
        <v>2763</v>
      </c>
      <c r="B6082" s="0" t="str">
        <f aca="false">HYPERLINK("https://lindat.mff.cuni.cz/services/teitok/pdtc10/index.php?action=vallex&amp;frame=v-whsa_1876hsa_1877", "drandit (v-whsa_1876hsa_1877)")</f>
        <v>drandit (v-whsa_1876hsa_1877)</v>
      </c>
    </row>
    <row r="6083" customFormat="false" ht="12.8" hidden="false" customHeight="false" outlineLevel="0" collapsed="false">
      <c r="B6083" s="0" t="s">
        <v>7</v>
      </c>
    </row>
    <row r="6085" customFormat="false" ht="12.8" hidden="false" customHeight="false" outlineLevel="0" collapsed="false">
      <c r="A6085" s="0" t="s">
        <v>2764</v>
      </c>
      <c r="B6085" s="0" t="str">
        <f aca="false">HYPERLINK("https://lindat.mff.cuni.cz/services/teitok/pdtc10/index.php?action=vallex&amp;frame=v-w827f1", "dražit (v-w827f1)")</f>
        <v>dražit (v-w827f1)</v>
      </c>
    </row>
    <row r="6086" customFormat="false" ht="12.8" hidden="false" customHeight="false" outlineLevel="0" collapsed="false">
      <c r="B6086" s="0" t="s">
        <v>7</v>
      </c>
      <c r="C6086" s="0" t="s">
        <v>31</v>
      </c>
      <c r="D6086" s="0" t="s">
        <v>623</v>
      </c>
      <c r="E6086" s="0" t="s">
        <v>623</v>
      </c>
      <c r="F6086" s="0" t="s">
        <v>623</v>
      </c>
    </row>
    <row r="6087" customFormat="false" ht="12.8" hidden="false" customHeight="false" outlineLevel="0" collapsed="false">
      <c r="B6087" s="0" t="s">
        <v>14</v>
      </c>
      <c r="C6087" s="0" t="s">
        <v>487</v>
      </c>
      <c r="D6087" s="0" t="s">
        <v>625</v>
      </c>
      <c r="E6087" s="0" t="s">
        <v>625</v>
      </c>
      <c r="F6087" s="0" t="s">
        <v>625</v>
      </c>
    </row>
    <row r="6089" customFormat="false" ht="12.8" hidden="false" customHeight="false" outlineLevel="0" collapsed="false">
      <c r="A6089" s="0" t="s">
        <v>2765</v>
      </c>
      <c r="B6089" s="0" t="str">
        <f aca="false">HYPERLINK("https://lindat.mff.cuni.cz/services/teitok/pdtc10/index.php?action=vallex&amp;frame=v-w11932_ZUf1_ZU", "drbat (v-w11932_ZUf1_ZU)")</f>
        <v>drbat (v-w11932_ZUf1_ZU)</v>
      </c>
    </row>
    <row r="6090" customFormat="false" ht="12.8" hidden="false" customHeight="false" outlineLevel="0" collapsed="false">
      <c r="B6090" s="0" t="s">
        <v>7</v>
      </c>
    </row>
    <row r="6091" customFormat="false" ht="12.8" hidden="false" customHeight="false" outlineLevel="0" collapsed="false">
      <c r="B6091" s="0" t="s">
        <v>2766</v>
      </c>
    </row>
    <row r="6092" customFormat="false" ht="12.8" hidden="false" customHeight="false" outlineLevel="0" collapsed="false">
      <c r="B6092" s="0" t="s">
        <v>2767</v>
      </c>
    </row>
    <row r="6094" customFormat="false" ht="12.8" hidden="false" customHeight="false" outlineLevel="0" collapsed="false">
      <c r="A6094" s="0" t="s">
        <v>2768</v>
      </c>
      <c r="B6094" s="0" t="str">
        <f aca="false">HYPERLINK("https://lindat.mff.cuni.cz/services/teitok/pdtc10/index.php?action=vallex&amp;frame=v-w11932_ZUf2_ZU", "drbat (v-w11932_ZUf2_ZU)")</f>
        <v>drbat (v-w11932_ZUf2_ZU)</v>
      </c>
    </row>
    <row r="6095" customFormat="false" ht="12.8" hidden="false" customHeight="false" outlineLevel="0" collapsed="false">
      <c r="B6095" s="0" t="s">
        <v>7</v>
      </c>
    </row>
    <row r="6096" customFormat="false" ht="12.8" hidden="false" customHeight="false" outlineLevel="0" collapsed="false">
      <c r="B6096" s="0" t="s">
        <v>14</v>
      </c>
    </row>
    <row r="6098" customFormat="false" ht="12.8" hidden="false" customHeight="false" outlineLevel="0" collapsed="false">
      <c r="A6098" s="0" t="s">
        <v>2769</v>
      </c>
      <c r="B6098" s="0" t="str">
        <f aca="false">HYPERLINK("https://lindat.mff.cuni.cz/services/teitok/pdtc10/index.php?action=vallex&amp;frame=v-w10165f2", "drhnout (v-w10165f2)")</f>
        <v>drhnout (v-w10165f2)</v>
      </c>
    </row>
    <row r="6099" customFormat="false" ht="12.8" hidden="false" customHeight="false" outlineLevel="0" collapsed="false">
      <c r="B6099" s="0" t="s">
        <v>7</v>
      </c>
    </row>
    <row r="6101" customFormat="false" ht="12.8" hidden="false" customHeight="false" outlineLevel="0" collapsed="false">
      <c r="A6101" s="0" t="s">
        <v>2770</v>
      </c>
      <c r="B6101" s="0" t="str">
        <f aca="false">HYPERLINK("https://lindat.mff.cuni.cz/services/teitok/pdtc10/index.php?action=vallex&amp;frame=v-w10165f5_ZU", "drhnout (v-w10165f5_ZU)")</f>
        <v>drhnout (v-w10165f5_ZU)</v>
      </c>
    </row>
    <row r="6102" customFormat="false" ht="12.8" hidden="false" customHeight="false" outlineLevel="0" collapsed="false">
      <c r="B6102" s="0" t="s">
        <v>7</v>
      </c>
    </row>
    <row r="6103" customFormat="false" ht="12.8" hidden="false" customHeight="false" outlineLevel="0" collapsed="false">
      <c r="B6103" s="0" t="s">
        <v>14</v>
      </c>
    </row>
    <row r="6105" customFormat="false" ht="12.8" hidden="false" customHeight="false" outlineLevel="0" collapsed="false">
      <c r="A6105" s="0" t="s">
        <v>2770</v>
      </c>
      <c r="B6105" s="0" t="str">
        <f aca="false">HYPERLINK("https://lindat.mff.cuni.cz/services/teitok/pdtc10/index.php?action=vallex&amp;frame=v-w10165f3_ZU", "drhnout (v-w10165f3_ZU) - substituted with v-w10165f5_ZU")</f>
        <v>drhnout (v-w10165f3_ZU) - substituted with v-w10165f5_ZU</v>
      </c>
    </row>
    <row r="6106" customFormat="false" ht="12.8" hidden="false" customHeight="false" outlineLevel="0" collapsed="false">
      <c r="B6106" s="0" t="s">
        <v>7</v>
      </c>
    </row>
    <row r="6107" customFormat="false" ht="12.8" hidden="false" customHeight="false" outlineLevel="0" collapsed="false">
      <c r="B6107" s="0" t="s">
        <v>14</v>
      </c>
    </row>
    <row r="6109" customFormat="false" ht="12.8" hidden="false" customHeight="false" outlineLevel="0" collapsed="false">
      <c r="A6109" s="0" t="s">
        <v>2770</v>
      </c>
      <c r="B6109" s="0" t="str">
        <f aca="false">HYPERLINK("https://lindat.mff.cuni.cz/services/teitok/pdtc10/index.php?action=vallex&amp;frame=v-w10165f4_ZU", "drhnout (v-w10165f4_ZU) - substituted with v-w10165f5_ZU")</f>
        <v>drhnout (v-w10165f4_ZU) - substituted with v-w10165f5_ZU</v>
      </c>
    </row>
    <row r="6110" customFormat="false" ht="12.8" hidden="false" customHeight="false" outlineLevel="0" collapsed="false">
      <c r="B6110" s="0" t="s">
        <v>7</v>
      </c>
    </row>
    <row r="6111" customFormat="false" ht="12.8" hidden="false" customHeight="false" outlineLevel="0" collapsed="false">
      <c r="B6111" s="0" t="s">
        <v>14</v>
      </c>
    </row>
    <row r="6113" customFormat="false" ht="12.8" hidden="false" customHeight="false" outlineLevel="0" collapsed="false">
      <c r="A6113" s="0" t="s">
        <v>2771</v>
      </c>
      <c r="B6113" s="0" t="str">
        <f aca="false">HYPERLINK("https://lindat.mff.cuni.cz/services/teitok/pdtc10/index.php?action=vallex&amp;frame=v-whsa_869hsa_870", "drncat (v-whsa_869hsa_870)")</f>
        <v>drncat (v-whsa_869hsa_870)</v>
      </c>
    </row>
    <row r="6114" customFormat="false" ht="12.8" hidden="false" customHeight="false" outlineLevel="0" collapsed="false">
      <c r="B6114" s="0" t="s">
        <v>7</v>
      </c>
    </row>
    <row r="6116" customFormat="false" ht="12.8" hidden="false" customHeight="false" outlineLevel="0" collapsed="false">
      <c r="A6116" s="0" t="s">
        <v>2772</v>
      </c>
      <c r="B6116" s="0" t="str">
        <f aca="false">HYPERLINK("https://lindat.mff.cuni.cz/services/teitok/pdtc10/index.php?action=vallex&amp;frame=v-w10448f2", "drobit (v-w10448f2)")</f>
        <v>drobit (v-w10448f2)</v>
      </c>
    </row>
    <row r="6117" customFormat="false" ht="12.8" hidden="false" customHeight="false" outlineLevel="0" collapsed="false">
      <c r="B6117" s="0" t="s">
        <v>7</v>
      </c>
    </row>
    <row r="6118" customFormat="false" ht="12.8" hidden="false" customHeight="false" outlineLevel="0" collapsed="false">
      <c r="B6118" s="0" t="s">
        <v>14</v>
      </c>
    </row>
    <row r="6119" customFormat="false" ht="12.8" hidden="false" customHeight="false" outlineLevel="0" collapsed="false">
      <c r="B6119" s="0" t="s">
        <v>2773</v>
      </c>
    </row>
    <row r="6121" customFormat="false" ht="12.8" hidden="false" customHeight="false" outlineLevel="0" collapsed="false">
      <c r="A6121" s="0" t="s">
        <v>2774</v>
      </c>
      <c r="B6121" s="0" t="str">
        <f aca="false">HYPERLINK("https://lindat.mff.cuni.cz/services/teitok/pdtc10/index.php?action=vallex&amp;frame=v-w11325f1", "drolit se (v-w11325f1)")</f>
        <v>drolit se (v-w11325f1)</v>
      </c>
    </row>
    <row r="6122" customFormat="false" ht="12.8" hidden="false" customHeight="false" outlineLevel="0" collapsed="false">
      <c r="B6122" s="0" t="s">
        <v>7</v>
      </c>
      <c r="C6122" s="0" t="s">
        <v>272</v>
      </c>
      <c r="D6122" s="0" t="s">
        <v>1619</v>
      </c>
      <c r="E6122" s="0" t="s">
        <v>1619</v>
      </c>
      <c r="F6122" s="0" t="s">
        <v>1619</v>
      </c>
    </row>
    <row r="6123" customFormat="false" ht="12.8" hidden="false" customHeight="false" outlineLevel="0" collapsed="false">
      <c r="B6123" s="0" t="s">
        <v>2775</v>
      </c>
      <c r="D6123" s="0" t="s">
        <v>1620</v>
      </c>
      <c r="E6123" s="0" t="s">
        <v>1620</v>
      </c>
      <c r="F6123" s="0" t="s">
        <v>1620</v>
      </c>
    </row>
    <row r="6125" customFormat="false" ht="12.8" hidden="false" customHeight="false" outlineLevel="0" collapsed="false">
      <c r="A6125" s="0" t="s">
        <v>2776</v>
      </c>
      <c r="B6125" s="0" t="str">
        <f aca="false">HYPERLINK("https://lindat.mff.cuni.cz/services/teitok/pdtc10/index.php?action=vallex&amp;frame=v-w831f1", "drožkařit (v-w831f1)")</f>
        <v>drožkařit (v-w831f1)</v>
      </c>
    </row>
    <row r="6126" customFormat="false" ht="12.8" hidden="false" customHeight="false" outlineLevel="0" collapsed="false">
      <c r="B6126" s="0" t="s">
        <v>7</v>
      </c>
    </row>
    <row r="6128" customFormat="false" ht="12.8" hidden="false" customHeight="false" outlineLevel="0" collapsed="false">
      <c r="A6128" s="0" t="s">
        <v>2777</v>
      </c>
      <c r="B6128" s="0" t="str">
        <f aca="false">HYPERLINK("https://lindat.mff.cuni.cz/services/teitok/pdtc10/index.php?action=vallex&amp;frame=v-w832f1", "drtit (v-w832f1)")</f>
        <v>drtit (v-w832f1)</v>
      </c>
    </row>
    <row r="6129" customFormat="false" ht="12.8" hidden="false" customHeight="false" outlineLevel="0" collapsed="false">
      <c r="B6129" s="0" t="s">
        <v>7</v>
      </c>
    </row>
    <row r="6130" customFormat="false" ht="12.8" hidden="false" customHeight="false" outlineLevel="0" collapsed="false">
      <c r="B6130" s="0" t="s">
        <v>14</v>
      </c>
    </row>
    <row r="6132" customFormat="false" ht="12.8" hidden="false" customHeight="false" outlineLevel="0" collapsed="false">
      <c r="A6132" s="0" t="s">
        <v>2778</v>
      </c>
      <c r="B6132" s="0" t="str">
        <f aca="false">HYPERLINK("https://lindat.mff.cuni.cz/services/teitok/pdtc10/index.php?action=vallex&amp;frame=v-w834f2", "družit se (v-w834f2)")</f>
        <v>družit se (v-w834f2)</v>
      </c>
    </row>
    <row r="6133" customFormat="false" ht="12.8" hidden="false" customHeight="false" outlineLevel="0" collapsed="false">
      <c r="B6133" s="0" t="s">
        <v>7</v>
      </c>
    </row>
    <row r="6134" customFormat="false" ht="12.8" hidden="false" customHeight="false" outlineLevel="0" collapsed="false">
      <c r="B6134" s="0" t="s">
        <v>548</v>
      </c>
    </row>
    <row r="6135" customFormat="false" ht="12.8" hidden="false" customHeight="false" outlineLevel="0" collapsed="false">
      <c r="B6135" s="0" t="s">
        <v>2571</v>
      </c>
    </row>
    <row r="6137" customFormat="false" ht="12.8" hidden="false" customHeight="false" outlineLevel="0" collapsed="false">
      <c r="A6137" s="0" t="s">
        <v>2779</v>
      </c>
      <c r="B6137" s="0" t="str">
        <f aca="false">HYPERLINK("https://lindat.mff.cuni.cz/services/teitok/pdtc10/index.php?action=vallex&amp;frame=v-w834f1", "družit se (v-w834f1)")</f>
        <v>družit se (v-w834f1)</v>
      </c>
    </row>
    <row r="6138" customFormat="false" ht="12.8" hidden="false" customHeight="false" outlineLevel="0" collapsed="false">
      <c r="B6138" s="0" t="s">
        <v>7</v>
      </c>
      <c r="D6138" s="0" t="s">
        <v>2780</v>
      </c>
      <c r="E6138" s="0" t="s">
        <v>2780</v>
      </c>
      <c r="F6138" s="0" t="s">
        <v>2780</v>
      </c>
    </row>
    <row r="6139" customFormat="false" ht="12.8" hidden="false" customHeight="false" outlineLevel="0" collapsed="false">
      <c r="B6139" s="0" t="s">
        <v>237</v>
      </c>
      <c r="D6139" s="0" t="s">
        <v>2781</v>
      </c>
      <c r="E6139" s="0" t="s">
        <v>2781</v>
      </c>
      <c r="F6139" s="0" t="s">
        <v>2781</v>
      </c>
    </row>
    <row r="6141" customFormat="false" ht="12.8" hidden="false" customHeight="false" outlineLevel="0" collapsed="false">
      <c r="A6141" s="0" t="s">
        <v>2782</v>
      </c>
      <c r="B6141" s="0" t="str">
        <f aca="false">HYPERLINK("https://lindat.mff.cuni.cz/services/teitok/pdtc10/index.php?action=vallex&amp;frame=v-w834f3", "družit se (v-w834f3)")</f>
        <v>družit se (v-w834f3)</v>
      </c>
    </row>
    <row r="6142" customFormat="false" ht="12.8" hidden="false" customHeight="false" outlineLevel="0" collapsed="false">
      <c r="B6142" s="0" t="s">
        <v>7</v>
      </c>
    </row>
    <row r="6143" customFormat="false" ht="12.8" hidden="false" customHeight="false" outlineLevel="0" collapsed="false">
      <c r="B6143" s="0" t="s">
        <v>548</v>
      </c>
    </row>
    <row r="6145" customFormat="false" ht="12.8" hidden="false" customHeight="false" outlineLevel="0" collapsed="false">
      <c r="A6145" s="0" t="s">
        <v>2783</v>
      </c>
      <c r="B6145" s="0" t="str">
        <f aca="false">HYPERLINK("https://lindat.mff.cuni.cz/services/teitok/pdtc10/index.php?action=vallex&amp;frame=v-w11510_ZUf2_ZU", "drápat se (v-w11510_ZUf2_ZU)")</f>
        <v>drápat se (v-w11510_ZUf2_ZU)</v>
      </c>
    </row>
    <row r="6146" customFormat="false" ht="12.8" hidden="false" customHeight="false" outlineLevel="0" collapsed="false">
      <c r="B6146" s="0" t="s">
        <v>7</v>
      </c>
      <c r="C6146" s="0" t="s">
        <v>191</v>
      </c>
      <c r="D6146" s="0" t="s">
        <v>2784</v>
      </c>
      <c r="E6146" s="0" t="s">
        <v>2785</v>
      </c>
      <c r="F6146" s="0" t="s">
        <v>2785</v>
      </c>
    </row>
    <row r="6147" customFormat="false" ht="12.8" hidden="false" customHeight="false" outlineLevel="0" collapsed="false">
      <c r="B6147" s="0" t="s">
        <v>338</v>
      </c>
      <c r="D6147" s="0" t="s">
        <v>2786</v>
      </c>
      <c r="E6147" s="0" t="s">
        <v>2786</v>
      </c>
      <c r="F6147" s="0" t="s">
        <v>2786</v>
      </c>
    </row>
    <row r="6149" customFormat="false" ht="12.8" hidden="false" customHeight="false" outlineLevel="0" collapsed="false">
      <c r="A6149" s="0" t="s">
        <v>2783</v>
      </c>
      <c r="B6149" s="0" t="str">
        <f aca="false">HYPERLINK("https://lindat.mff.cuni.cz/services/teitok/pdtc10/index.php?action=vallex&amp;frame=v-w11510_ZUf1_ZU", "drápat se (v-w11510_ZUf1_ZU) - substituted with v-w11510_ZUf2_ZU")</f>
        <v>drápat se (v-w11510_ZUf1_ZU) - substituted with v-w11510_ZUf2_ZU</v>
      </c>
    </row>
    <row r="6150" customFormat="false" ht="12.8" hidden="false" customHeight="false" outlineLevel="0" collapsed="false">
      <c r="B6150" s="0" t="s">
        <v>7</v>
      </c>
    </row>
    <row r="6151" customFormat="false" ht="12.8" hidden="false" customHeight="false" outlineLevel="0" collapsed="false">
      <c r="B6151" s="0" t="s">
        <v>338</v>
      </c>
    </row>
    <row r="6153" customFormat="false" ht="12.8" hidden="false" customHeight="false" outlineLevel="0" collapsed="false">
      <c r="A6153" s="0" t="s">
        <v>2787</v>
      </c>
      <c r="B6153" s="0" t="str">
        <f aca="false">HYPERLINK("https://lindat.mff.cuni.cz/services/teitok/pdtc10/index.php?action=vallex&amp;frame=v-w824f2", "drát se (v-w824f2)")</f>
        <v>drát se (v-w824f2)</v>
      </c>
    </row>
    <row r="6154" customFormat="false" ht="12.8" hidden="false" customHeight="false" outlineLevel="0" collapsed="false">
      <c r="B6154" s="0" t="s">
        <v>7</v>
      </c>
      <c r="C6154" s="0" t="s">
        <v>465</v>
      </c>
      <c r="D6154" s="0" t="s">
        <v>316</v>
      </c>
      <c r="E6154" s="0" t="s">
        <v>316</v>
      </c>
      <c r="F6154" s="0" t="s">
        <v>316</v>
      </c>
    </row>
    <row r="6155" customFormat="false" ht="12.8" hidden="false" customHeight="false" outlineLevel="0" collapsed="false">
      <c r="B6155" s="0" t="s">
        <v>207</v>
      </c>
      <c r="D6155" s="0" t="s">
        <v>319</v>
      </c>
      <c r="E6155" s="0" t="s">
        <v>319</v>
      </c>
      <c r="F6155" s="0" t="s">
        <v>319</v>
      </c>
    </row>
    <row r="6156" customFormat="false" ht="12.8" hidden="false" customHeight="false" outlineLevel="0" collapsed="false">
      <c r="B6156" s="0" t="s">
        <v>2721</v>
      </c>
      <c r="C6156" s="0" t="s">
        <v>2788</v>
      </c>
      <c r="D6156" s="0" t="s">
        <v>322</v>
      </c>
      <c r="E6156" s="0" t="s">
        <v>322</v>
      </c>
      <c r="F6156" s="0" t="s">
        <v>322</v>
      </c>
    </row>
    <row r="6158" customFormat="false" ht="12.8" hidden="false" customHeight="false" outlineLevel="0" collapsed="false">
      <c r="A6158" s="0" t="s">
        <v>2789</v>
      </c>
      <c r="B6158" s="0" t="str">
        <f aca="false">HYPERLINK("https://lindat.mff.cuni.cz/services/teitok/pdtc10/index.php?action=vallex&amp;frame=v-w824f1", "drát se (v-w824f1)")</f>
        <v>drát se (v-w824f1)</v>
      </c>
    </row>
    <row r="6159" customFormat="false" ht="12.8" hidden="false" customHeight="false" outlineLevel="0" collapsed="false">
      <c r="B6159" s="0" t="s">
        <v>7</v>
      </c>
    </row>
    <row r="6160" customFormat="false" ht="12.8" hidden="false" customHeight="false" outlineLevel="0" collapsed="false">
      <c r="B6160" s="0" t="s">
        <v>124</v>
      </c>
    </row>
    <row r="6162" customFormat="false" ht="12.8" hidden="false" customHeight="false" outlineLevel="0" collapsed="false">
      <c r="A6162" s="0" t="s">
        <v>2790</v>
      </c>
      <c r="B6162" s="0" t="str">
        <f aca="false">HYPERLINK("https://lindat.mff.cuni.cz/services/teitok/pdtc10/index.php?action=vallex&amp;frame=v-w826f2", "dráždit (v-w826f2)")</f>
        <v>dráždit (v-w826f2)</v>
      </c>
    </row>
    <row r="6163" customFormat="false" ht="12.8" hidden="false" customHeight="false" outlineLevel="0" collapsed="false">
      <c r="B6163" s="0" t="s">
        <v>7</v>
      </c>
      <c r="C6163" s="0" t="s">
        <v>2791</v>
      </c>
      <c r="D6163" s="0" t="s">
        <v>465</v>
      </c>
      <c r="E6163" s="0" t="s">
        <v>465</v>
      </c>
      <c r="F6163" s="0" t="s">
        <v>465</v>
      </c>
    </row>
    <row r="6164" customFormat="false" ht="12.8" hidden="false" customHeight="false" outlineLevel="0" collapsed="false">
      <c r="B6164" s="0" t="s">
        <v>14</v>
      </c>
      <c r="C6164" s="0" t="s">
        <v>2792</v>
      </c>
      <c r="D6164" s="0" t="s">
        <v>1571</v>
      </c>
      <c r="E6164" s="0" t="s">
        <v>1571</v>
      </c>
      <c r="F6164" s="0" t="s">
        <v>1571</v>
      </c>
    </row>
    <row r="6166" customFormat="false" ht="12.8" hidden="false" customHeight="false" outlineLevel="0" collapsed="false">
      <c r="A6166" s="0" t="s">
        <v>2793</v>
      </c>
      <c r="B6166" s="0" t="str">
        <f aca="false">HYPERLINK("https://lindat.mff.cuni.cz/services/teitok/pdtc10/index.php?action=vallex&amp;frame=v-w826f3", "dráždit (v-w826f3)")</f>
        <v>dráždit (v-w826f3)</v>
      </c>
    </row>
    <row r="6167" customFormat="false" ht="12.8" hidden="false" customHeight="false" outlineLevel="0" collapsed="false">
      <c r="B6167" s="0" t="s">
        <v>7</v>
      </c>
    </row>
    <row r="6168" customFormat="false" ht="12.8" hidden="false" customHeight="false" outlineLevel="0" collapsed="false">
      <c r="B6168" s="0" t="s">
        <v>14</v>
      </c>
    </row>
    <row r="6170" customFormat="false" ht="12.8" hidden="false" customHeight="false" outlineLevel="0" collapsed="false">
      <c r="A6170" s="0" t="s">
        <v>2794</v>
      </c>
      <c r="B6170" s="0" t="str">
        <f aca="false">HYPERLINK("https://lindat.mff.cuni.cz/services/teitok/pdtc10/index.php?action=vallex&amp;frame=v-w826f4_ZU", "dráždit (v-w826f4_ZU)")</f>
        <v>dráždit (v-w826f4_ZU)</v>
      </c>
    </row>
    <row r="6171" customFormat="false" ht="12.8" hidden="false" customHeight="false" outlineLevel="0" collapsed="false">
      <c r="B6171" s="0" t="s">
        <v>7</v>
      </c>
    </row>
    <row r="6172" customFormat="false" ht="12.8" hidden="false" customHeight="false" outlineLevel="0" collapsed="false">
      <c r="B6172" s="0" t="s">
        <v>81</v>
      </c>
    </row>
    <row r="6173" customFormat="false" ht="12.8" hidden="false" customHeight="false" outlineLevel="0" collapsed="false">
      <c r="B6173" s="0" t="s">
        <v>2795</v>
      </c>
    </row>
    <row r="6175" customFormat="false" ht="12.8" hidden="false" customHeight="false" outlineLevel="0" collapsed="false">
      <c r="A6175" s="0" t="s">
        <v>2794</v>
      </c>
      <c r="B6175" s="0" t="str">
        <f aca="false">HYPERLINK("https://lindat.mff.cuni.cz/services/teitok/pdtc10/index.php?action=vallex&amp;frame=v-w826f1", "dráždit (v-w826f1) - substituted with v-w826f4_ZU")</f>
        <v>dráždit (v-w826f1) - substituted with v-w826f4_ZU</v>
      </c>
    </row>
    <row r="6176" customFormat="false" ht="12.8" hidden="false" customHeight="false" outlineLevel="0" collapsed="false">
      <c r="B6176" s="0" t="s">
        <v>7</v>
      </c>
    </row>
    <row r="6177" customFormat="false" ht="12.8" hidden="false" customHeight="false" outlineLevel="0" collapsed="false">
      <c r="B6177" s="0" t="s">
        <v>81</v>
      </c>
    </row>
    <row r="6178" customFormat="false" ht="12.8" hidden="false" customHeight="false" outlineLevel="0" collapsed="false">
      <c r="B6178" s="0" t="s">
        <v>2795</v>
      </c>
    </row>
    <row r="6180" customFormat="false" ht="12.8" hidden="false" customHeight="false" outlineLevel="0" collapsed="false">
      <c r="A6180" s="0" t="s">
        <v>2794</v>
      </c>
      <c r="B6180" s="0" t="str">
        <f aca="false">HYPERLINK("https://lindat.mff.cuni.cz/services/teitok/pdtc10/index.php?action=vallex&amp;frame=v-w826hsa_260", "dráždit (v-w826hsa_260) - substituted with v-w826f4_ZU")</f>
        <v>dráždit (v-w826hsa_260) - substituted with v-w826f4_ZU</v>
      </c>
    </row>
    <row r="6181" customFormat="false" ht="12.8" hidden="false" customHeight="false" outlineLevel="0" collapsed="false">
      <c r="B6181" s="0" t="s">
        <v>7</v>
      </c>
    </row>
    <row r="6182" customFormat="false" ht="12.8" hidden="false" customHeight="false" outlineLevel="0" collapsed="false">
      <c r="B6182" s="0" t="s">
        <v>81</v>
      </c>
    </row>
    <row r="6183" customFormat="false" ht="12.8" hidden="false" customHeight="false" outlineLevel="0" collapsed="false">
      <c r="B6183" s="0" t="s">
        <v>2795</v>
      </c>
    </row>
    <row r="6185" customFormat="false" ht="12.8" hidden="false" customHeight="false" outlineLevel="0" collapsed="false">
      <c r="A6185" s="0" t="s">
        <v>2796</v>
      </c>
      <c r="B6185" s="0" t="str">
        <f aca="false">HYPERLINK("https://lindat.mff.cuni.cz/services/teitok/pdtc10/index.php?action=vallex&amp;frame=v-w839f17_ZU", "držet (v-w839f17_ZU)")</f>
        <v>držet (v-w839f17_ZU)</v>
      </c>
    </row>
    <row r="6186" customFormat="false" ht="12.8" hidden="false" customHeight="false" outlineLevel="0" collapsed="false">
      <c r="B6186" s="0" t="s">
        <v>7</v>
      </c>
      <c r="C6186" s="0" t="s">
        <v>2797</v>
      </c>
    </row>
    <row r="6187" customFormat="false" ht="12.8" hidden="false" customHeight="false" outlineLevel="0" collapsed="false">
      <c r="B6187" s="0" t="s">
        <v>14</v>
      </c>
      <c r="C6187" s="0" t="s">
        <v>2798</v>
      </c>
    </row>
    <row r="6188" customFormat="false" ht="12.8" hidden="false" customHeight="false" outlineLevel="0" collapsed="false">
      <c r="B6188" s="0" t="s">
        <v>2799</v>
      </c>
      <c r="C6188" s="0" t="s">
        <v>2800</v>
      </c>
    </row>
    <row r="6190" customFormat="false" ht="12.8" hidden="false" customHeight="false" outlineLevel="0" collapsed="false">
      <c r="A6190" s="0" t="s">
        <v>2801</v>
      </c>
      <c r="B6190" s="0" t="str">
        <f aca="false">HYPERLINK("https://lindat.mff.cuni.cz/services/teitok/pdtc10/index.php?action=vallex&amp;frame=v-w839f5", "držet (v-w839f5)")</f>
        <v>držet (v-w839f5)</v>
      </c>
    </row>
    <row r="6191" customFormat="false" ht="12.8" hidden="false" customHeight="false" outlineLevel="0" collapsed="false">
      <c r="B6191" s="0" t="s">
        <v>7</v>
      </c>
      <c r="C6191" s="0" t="s">
        <v>2802</v>
      </c>
      <c r="D6191" s="0" t="s">
        <v>2797</v>
      </c>
      <c r="E6191" s="0" t="s">
        <v>2797</v>
      </c>
      <c r="F6191" s="0" t="s">
        <v>2797</v>
      </c>
    </row>
    <row r="6192" customFormat="false" ht="12.8" hidden="false" customHeight="false" outlineLevel="0" collapsed="false">
      <c r="B6192" s="0" t="s">
        <v>14</v>
      </c>
      <c r="C6192" s="0" t="s">
        <v>2803</v>
      </c>
      <c r="D6192" s="0" t="s">
        <v>2798</v>
      </c>
      <c r="E6192" s="0" t="s">
        <v>2798</v>
      </c>
      <c r="F6192" s="0" t="s">
        <v>2798</v>
      </c>
    </row>
    <row r="6193" customFormat="false" ht="12.8" hidden="false" customHeight="false" outlineLevel="0" collapsed="false">
      <c r="B6193" s="0" t="s">
        <v>2804</v>
      </c>
      <c r="C6193" s="0" t="s">
        <v>2805</v>
      </c>
      <c r="D6193" s="0" t="s">
        <v>2806</v>
      </c>
      <c r="E6193" s="0" t="s">
        <v>2806</v>
      </c>
      <c r="F6193" s="0" t="s">
        <v>2806</v>
      </c>
    </row>
    <row r="6195" customFormat="false" ht="12.8" hidden="false" customHeight="false" outlineLevel="0" collapsed="false">
      <c r="A6195" s="0" t="s">
        <v>2807</v>
      </c>
      <c r="B6195" s="0" t="str">
        <f aca="false">HYPERLINK("https://lindat.mff.cuni.cz/services/teitok/pdtc10/index.php?action=vallex&amp;frame=v-w839f2", "držet (v-w839f2)")</f>
        <v>držet (v-w839f2)</v>
      </c>
    </row>
    <row r="6196" customFormat="false" ht="12.8" hidden="false" customHeight="false" outlineLevel="0" collapsed="false">
      <c r="B6196" s="0" t="s">
        <v>7</v>
      </c>
      <c r="C6196" s="0" t="s">
        <v>2808</v>
      </c>
      <c r="D6196" s="0" t="s">
        <v>184</v>
      </c>
      <c r="E6196" s="0" t="s">
        <v>184</v>
      </c>
      <c r="F6196" s="0" t="s">
        <v>184</v>
      </c>
    </row>
    <row r="6197" customFormat="false" ht="12.8" hidden="false" customHeight="false" outlineLevel="0" collapsed="false">
      <c r="B6197" s="0" t="s">
        <v>14</v>
      </c>
      <c r="C6197" s="0" t="s">
        <v>2809</v>
      </c>
      <c r="D6197" s="0" t="s">
        <v>1170</v>
      </c>
      <c r="E6197" s="0" t="s">
        <v>1170</v>
      </c>
      <c r="F6197" s="0" t="s">
        <v>1170</v>
      </c>
    </row>
    <row r="6198" customFormat="false" ht="12.8" hidden="false" customHeight="false" outlineLevel="0" collapsed="false">
      <c r="B6198" s="0" t="s">
        <v>11</v>
      </c>
      <c r="C6198" s="0" t="s">
        <v>2810</v>
      </c>
    </row>
    <row r="6200" customFormat="false" ht="12.8" hidden="false" customHeight="false" outlineLevel="0" collapsed="false">
      <c r="A6200" s="0" t="s">
        <v>2811</v>
      </c>
      <c r="B6200" s="0" t="str">
        <f aca="false">HYPERLINK("https://lindat.mff.cuni.cz/services/teitok/pdtc10/index.php?action=vallex&amp;frame=v-w839f33_ZU", "držet (v-w839f33_ZU)")</f>
        <v>držet (v-w839f33_ZU)</v>
      </c>
    </row>
    <row r="6201" customFormat="false" ht="12.8" hidden="false" customHeight="false" outlineLevel="0" collapsed="false">
      <c r="B6201" s="0" t="s">
        <v>7</v>
      </c>
    </row>
    <row r="6202" customFormat="false" ht="12.8" hidden="false" customHeight="false" outlineLevel="0" collapsed="false">
      <c r="B6202" s="0" t="s">
        <v>14</v>
      </c>
    </row>
    <row r="6204" customFormat="false" ht="12.8" hidden="false" customHeight="false" outlineLevel="0" collapsed="false">
      <c r="A6204" s="0" t="s">
        <v>2811</v>
      </c>
      <c r="B6204" s="0" t="str">
        <f aca="false">HYPERLINK("https://lindat.mff.cuni.cz/services/teitok/pdtc10/index.php?action=vallex&amp;frame=v-w839f1", "držet (v-w839f1) - substituted with v-w839f33_ZU")</f>
        <v>držet (v-w839f1) - substituted with v-w839f33_ZU</v>
      </c>
    </row>
    <row r="6205" customFormat="false" ht="12.8" hidden="false" customHeight="false" outlineLevel="0" collapsed="false">
      <c r="B6205" s="0" t="s">
        <v>7</v>
      </c>
      <c r="C6205" s="0" t="s">
        <v>2812</v>
      </c>
      <c r="D6205" s="0" t="s">
        <v>1307</v>
      </c>
      <c r="E6205" s="0" t="s">
        <v>1307</v>
      </c>
      <c r="F6205" s="0" t="s">
        <v>1307</v>
      </c>
    </row>
    <row r="6206" customFormat="false" ht="12.8" hidden="false" customHeight="false" outlineLevel="0" collapsed="false">
      <c r="B6206" s="0" t="s">
        <v>14</v>
      </c>
      <c r="C6206" s="0" t="s">
        <v>2813</v>
      </c>
      <c r="D6206" s="0" t="s">
        <v>1308</v>
      </c>
      <c r="E6206" s="0" t="s">
        <v>1308</v>
      </c>
      <c r="F6206" s="0" t="s">
        <v>1308</v>
      </c>
    </row>
    <row r="6208" customFormat="false" ht="12.8" hidden="false" customHeight="false" outlineLevel="0" collapsed="false">
      <c r="A6208" s="0" t="s">
        <v>2814</v>
      </c>
      <c r="B6208" s="0" t="str">
        <f aca="false">HYPERLINK("https://lindat.mff.cuni.cz/services/teitok/pdtc10/index.php?action=vallex&amp;frame=v-w839f3", "držet (v-w839f3)")</f>
        <v>držet (v-w839f3)</v>
      </c>
    </row>
    <row r="6209" customFormat="false" ht="12.8" hidden="false" customHeight="false" outlineLevel="0" collapsed="false">
      <c r="B6209" s="0" t="s">
        <v>7</v>
      </c>
      <c r="C6209" s="0" t="s">
        <v>2815</v>
      </c>
      <c r="D6209" s="0" t="s">
        <v>2816</v>
      </c>
      <c r="E6209" s="0" t="s">
        <v>2816</v>
      </c>
      <c r="F6209" s="0" t="s">
        <v>2816</v>
      </c>
    </row>
    <row r="6210" customFormat="false" ht="12.8" hidden="false" customHeight="false" outlineLevel="0" collapsed="false">
      <c r="B6210" s="0" t="s">
        <v>14</v>
      </c>
      <c r="C6210" s="0" t="s">
        <v>2817</v>
      </c>
      <c r="D6210" s="0" t="s">
        <v>2818</v>
      </c>
      <c r="E6210" s="0" t="s">
        <v>2818</v>
      </c>
      <c r="F6210" s="0" t="s">
        <v>2818</v>
      </c>
    </row>
    <row r="6212" customFormat="false" ht="12.8" hidden="false" customHeight="false" outlineLevel="0" collapsed="false">
      <c r="A6212" s="0" t="s">
        <v>2819</v>
      </c>
      <c r="B6212" s="0" t="str">
        <f aca="false">HYPERLINK("https://lindat.mff.cuni.cz/services/teitok/pdtc10/index.php?action=vallex&amp;frame=v-w839f9", "držet (v-w839f9)")</f>
        <v>držet (v-w839f9)</v>
      </c>
    </row>
    <row r="6213" customFormat="false" ht="12.8" hidden="false" customHeight="false" outlineLevel="0" collapsed="false">
      <c r="B6213" s="0" t="s">
        <v>7</v>
      </c>
      <c r="C6213" s="0" t="s">
        <v>2820</v>
      </c>
    </row>
    <row r="6214" customFormat="false" ht="12.8" hidden="false" customHeight="false" outlineLevel="0" collapsed="false">
      <c r="B6214" s="0" t="s">
        <v>14</v>
      </c>
      <c r="C6214" s="0" t="s">
        <v>1294</v>
      </c>
    </row>
    <row r="6216" customFormat="false" ht="12.8" hidden="false" customHeight="false" outlineLevel="0" collapsed="false">
      <c r="A6216" s="0" t="s">
        <v>2821</v>
      </c>
      <c r="B6216" s="0" t="str">
        <f aca="false">HYPERLINK("https://lindat.mff.cuni.cz/services/teitok/pdtc10/index.php?action=vallex&amp;frame=v-w839f15", "držet (v-w839f15)")</f>
        <v>držet (v-w839f15)</v>
      </c>
    </row>
    <row r="6217" customFormat="false" ht="12.8" hidden="false" customHeight="false" outlineLevel="0" collapsed="false">
      <c r="B6217" s="0" t="s">
        <v>7</v>
      </c>
      <c r="C6217" s="0" t="s">
        <v>2822</v>
      </c>
    </row>
    <row r="6218" customFormat="false" ht="12.8" hidden="false" customHeight="false" outlineLevel="0" collapsed="false">
      <c r="B6218" s="0" t="s">
        <v>14</v>
      </c>
      <c r="C6218" s="0" t="s">
        <v>2823</v>
      </c>
    </row>
    <row r="6220" customFormat="false" ht="12.8" hidden="false" customHeight="false" outlineLevel="0" collapsed="false">
      <c r="A6220" s="0" t="s">
        <v>2824</v>
      </c>
      <c r="B6220" s="0" t="str">
        <f aca="false">HYPERLINK("https://lindat.mff.cuni.cz/services/teitok/pdtc10/index.php?action=vallex&amp;frame=v-w839f16", "držet (v-w839f16)")</f>
        <v>držet (v-w839f16)</v>
      </c>
    </row>
    <row r="6221" customFormat="false" ht="12.8" hidden="false" customHeight="false" outlineLevel="0" collapsed="false">
      <c r="B6221" s="0" t="s">
        <v>7</v>
      </c>
      <c r="C6221" s="0" t="s">
        <v>2825</v>
      </c>
      <c r="D6221" s="0" t="s">
        <v>2826</v>
      </c>
      <c r="E6221" s="0" t="s">
        <v>2826</v>
      </c>
      <c r="F6221" s="0" t="s">
        <v>2826</v>
      </c>
    </row>
    <row r="6222" customFormat="false" ht="12.8" hidden="false" customHeight="false" outlineLevel="0" collapsed="false">
      <c r="B6222" s="0" t="s">
        <v>14</v>
      </c>
      <c r="C6222" s="0" t="s">
        <v>2827</v>
      </c>
      <c r="D6222" s="0" t="s">
        <v>2828</v>
      </c>
      <c r="E6222" s="0" t="s">
        <v>2828</v>
      </c>
      <c r="F6222" s="0" t="s">
        <v>2828</v>
      </c>
    </row>
    <row r="6224" customFormat="false" ht="12.8" hidden="false" customHeight="false" outlineLevel="0" collapsed="false">
      <c r="A6224" s="0" t="s">
        <v>2829</v>
      </c>
      <c r="B6224" s="0" t="str">
        <f aca="false">HYPERLINK("https://lindat.mff.cuni.cz/services/teitok/pdtc10/index.php?action=vallex&amp;frame=v-w839f19_ZU", "držet (v-w839f19_ZU)")</f>
        <v>držet (v-w839f19_ZU)</v>
      </c>
    </row>
    <row r="6225" customFormat="false" ht="12.8" hidden="false" customHeight="false" outlineLevel="0" collapsed="false">
      <c r="B6225" s="0" t="s">
        <v>7</v>
      </c>
      <c r="C6225" s="0" t="s">
        <v>335</v>
      </c>
    </row>
    <row r="6226" customFormat="false" ht="12.8" hidden="false" customHeight="false" outlineLevel="0" collapsed="false">
      <c r="B6226" s="0" t="s">
        <v>14</v>
      </c>
      <c r="C6226" s="0" t="s">
        <v>1264</v>
      </c>
    </row>
    <row r="6228" customFormat="false" ht="12.8" hidden="false" customHeight="false" outlineLevel="0" collapsed="false">
      <c r="A6228" s="0" t="s">
        <v>2829</v>
      </c>
      <c r="B6228" s="0" t="str">
        <f aca="false">HYPERLINK("https://lindat.mff.cuni.cz/services/teitok/pdtc10/index.php?action=vallex&amp;frame=v-w839f18_ZU", "držet (v-w839f18_ZU) - substituted with v-w839f19_ZU")</f>
        <v>držet (v-w839f18_ZU) - substituted with v-w839f19_ZU</v>
      </c>
    </row>
    <row r="6229" customFormat="false" ht="12.8" hidden="false" customHeight="false" outlineLevel="0" collapsed="false">
      <c r="B6229" s="0" t="s">
        <v>7</v>
      </c>
    </row>
    <row r="6230" customFormat="false" ht="12.8" hidden="false" customHeight="false" outlineLevel="0" collapsed="false">
      <c r="B6230" s="0" t="s">
        <v>14</v>
      </c>
    </row>
    <row r="6232" customFormat="false" ht="12.8" hidden="false" customHeight="false" outlineLevel="0" collapsed="false">
      <c r="A6232" s="0" t="s">
        <v>2830</v>
      </c>
      <c r="B6232" s="0" t="str">
        <f aca="false">HYPERLINK("https://lindat.mff.cuni.cz/services/teitok/pdtc10/index.php?action=vallex&amp;frame=v-w839f11", "držet (v-w839f11)")</f>
        <v>držet (v-w839f11)</v>
      </c>
    </row>
    <row r="6233" customFormat="false" ht="12.8" hidden="false" customHeight="false" outlineLevel="0" collapsed="false">
      <c r="B6233" s="0" t="s">
        <v>7</v>
      </c>
      <c r="C6233" s="0" t="s">
        <v>2831</v>
      </c>
    </row>
    <row r="6235" customFormat="false" ht="12.8" hidden="false" customHeight="false" outlineLevel="0" collapsed="false">
      <c r="A6235" s="0" t="s">
        <v>2832</v>
      </c>
      <c r="B6235" s="0" t="str">
        <f aca="false">HYPERLINK("https://lindat.mff.cuni.cz/services/teitok/pdtc10/index.php?action=vallex&amp;frame=v-w839f14", "držet (v-w839f14)")</f>
        <v>držet (v-w839f14)</v>
      </c>
    </row>
    <row r="6236" customFormat="false" ht="12.8" hidden="false" customHeight="false" outlineLevel="0" collapsed="false">
      <c r="B6236" s="0" t="s">
        <v>457</v>
      </c>
    </row>
    <row r="6237" customFormat="false" ht="12.8" hidden="false" customHeight="false" outlineLevel="0" collapsed="false">
      <c r="B6237" s="0" t="s">
        <v>2833</v>
      </c>
    </row>
    <row r="6238" customFormat="false" ht="12.8" hidden="false" customHeight="false" outlineLevel="0" collapsed="false">
      <c r="B6238" s="0" t="s">
        <v>14</v>
      </c>
    </row>
    <row r="6240" customFormat="false" ht="12.8" hidden="false" customHeight="false" outlineLevel="0" collapsed="false">
      <c r="A6240" s="0" t="s">
        <v>2834</v>
      </c>
      <c r="B6240" s="0" t="str">
        <f aca="false">HYPERLINK("https://lindat.mff.cuni.cz/services/teitok/pdtc10/index.php?action=vallex&amp;frame=v-w839f10", "držet (v-w839f10)")</f>
        <v>držet (v-w839f10)</v>
      </c>
    </row>
    <row r="6241" customFormat="false" ht="12.8" hidden="false" customHeight="false" outlineLevel="0" collapsed="false">
      <c r="B6241" s="0" t="s">
        <v>7</v>
      </c>
      <c r="C6241" s="0" t="s">
        <v>2835</v>
      </c>
      <c r="D6241" s="0" t="s">
        <v>2736</v>
      </c>
      <c r="E6241" s="0" t="s">
        <v>2736</v>
      </c>
      <c r="F6241" s="0" t="s">
        <v>2736</v>
      </c>
    </row>
    <row r="6242" customFormat="false" ht="12.8" hidden="false" customHeight="false" outlineLevel="0" collapsed="false">
      <c r="B6242" s="0" t="s">
        <v>2836</v>
      </c>
      <c r="C6242" s="0" t="s">
        <v>2837</v>
      </c>
    </row>
    <row r="6243" customFormat="false" ht="12.8" hidden="false" customHeight="false" outlineLevel="0" collapsed="false">
      <c r="B6243" s="0" t="s">
        <v>548</v>
      </c>
      <c r="C6243" s="0" t="s">
        <v>2838</v>
      </c>
      <c r="D6243" s="0" t="s">
        <v>2838</v>
      </c>
      <c r="E6243" s="0" t="s">
        <v>2838</v>
      </c>
      <c r="F6243" s="0" t="s">
        <v>2838</v>
      </c>
    </row>
    <row r="6245" customFormat="false" ht="12.8" hidden="false" customHeight="false" outlineLevel="0" collapsed="false">
      <c r="A6245" s="0" t="s">
        <v>2839</v>
      </c>
      <c r="B6245" s="0" t="str">
        <f aca="false">HYPERLINK("https://lindat.mff.cuni.cz/services/teitok/pdtc10/index.php?action=vallex&amp;frame=v-w839f13", "držet (v-w839f13)")</f>
        <v>držet (v-w839f13)</v>
      </c>
    </row>
    <row r="6246" customFormat="false" ht="12.8" hidden="false" customHeight="false" outlineLevel="0" collapsed="false">
      <c r="B6246" s="0" t="s">
        <v>7</v>
      </c>
    </row>
    <row r="6247" customFormat="false" ht="12.8" hidden="false" customHeight="false" outlineLevel="0" collapsed="false">
      <c r="B6247" s="0" t="s">
        <v>2840</v>
      </c>
    </row>
    <row r="6248" customFormat="false" ht="12.8" hidden="false" customHeight="false" outlineLevel="0" collapsed="false">
      <c r="B6248" s="0" t="s">
        <v>14</v>
      </c>
    </row>
    <row r="6250" customFormat="false" ht="12.8" hidden="false" customHeight="false" outlineLevel="0" collapsed="false">
      <c r="A6250" s="0" t="s">
        <v>2841</v>
      </c>
      <c r="B6250" s="0" t="str">
        <f aca="false">HYPERLINK("https://lindat.mff.cuni.cz/services/teitok/pdtc10/index.php?action=vallex&amp;frame=v-w839f6", "držet (v-w839f6)")</f>
        <v>držet (v-w839f6)</v>
      </c>
    </row>
    <row r="6251" customFormat="false" ht="12.8" hidden="false" customHeight="false" outlineLevel="0" collapsed="false">
      <c r="B6251" s="0" t="s">
        <v>7</v>
      </c>
      <c r="C6251" s="0" t="s">
        <v>191</v>
      </c>
      <c r="D6251" s="0" t="s">
        <v>2797</v>
      </c>
      <c r="E6251" s="0" t="s">
        <v>2797</v>
      </c>
      <c r="F6251" s="0" t="s">
        <v>2797</v>
      </c>
    </row>
    <row r="6252" customFormat="false" ht="12.8" hidden="false" customHeight="false" outlineLevel="0" collapsed="false">
      <c r="B6252" s="0" t="s">
        <v>2842</v>
      </c>
      <c r="C6252" s="0" t="s">
        <v>532</v>
      </c>
      <c r="D6252" s="0" t="s">
        <v>2843</v>
      </c>
      <c r="E6252" s="0" t="s">
        <v>2843</v>
      </c>
      <c r="F6252" s="0" t="s">
        <v>2843</v>
      </c>
    </row>
    <row r="6253" customFormat="false" ht="12.8" hidden="false" customHeight="false" outlineLevel="0" collapsed="false">
      <c r="B6253" s="0" t="s">
        <v>14</v>
      </c>
      <c r="D6253" s="0" t="s">
        <v>2798</v>
      </c>
      <c r="E6253" s="0" t="s">
        <v>2798</v>
      </c>
      <c r="F6253" s="0" t="s">
        <v>2798</v>
      </c>
    </row>
    <row r="6255" customFormat="false" ht="12.8" hidden="false" customHeight="false" outlineLevel="0" collapsed="false">
      <c r="A6255" s="0" t="s">
        <v>2844</v>
      </c>
      <c r="B6255" s="0" t="str">
        <f aca="false">HYPERLINK("https://lindat.mff.cuni.cz/services/teitok/pdtc10/index.php?action=vallex&amp;frame=v-w839f8", "držet (v-w839f8)")</f>
        <v>držet (v-w839f8)</v>
      </c>
    </row>
    <row r="6256" customFormat="false" ht="12.8" hidden="false" customHeight="false" outlineLevel="0" collapsed="false">
      <c r="B6256" s="0" t="s">
        <v>7</v>
      </c>
    </row>
    <row r="6257" customFormat="false" ht="12.8" hidden="false" customHeight="false" outlineLevel="0" collapsed="false">
      <c r="B6257" s="0" t="s">
        <v>2845</v>
      </c>
    </row>
    <row r="6258" customFormat="false" ht="12.8" hidden="false" customHeight="false" outlineLevel="0" collapsed="false">
      <c r="B6258" s="0" t="s">
        <v>14</v>
      </c>
    </row>
    <row r="6260" customFormat="false" ht="12.8" hidden="false" customHeight="false" outlineLevel="0" collapsed="false">
      <c r="A6260" s="0" t="s">
        <v>2846</v>
      </c>
      <c r="B6260" s="0" t="str">
        <f aca="false">HYPERLINK("https://lindat.mff.cuni.cz/services/teitok/pdtc10/index.php?action=vallex&amp;frame=v-w839f12", "držet (v-w839f12)")</f>
        <v>držet (v-w839f12)</v>
      </c>
    </row>
    <row r="6261" customFormat="false" ht="12.8" hidden="false" customHeight="false" outlineLevel="0" collapsed="false">
      <c r="B6261" s="0" t="s">
        <v>7</v>
      </c>
    </row>
    <row r="6262" customFormat="false" ht="12.8" hidden="false" customHeight="false" outlineLevel="0" collapsed="false">
      <c r="B6262" s="0" t="s">
        <v>2847</v>
      </c>
    </row>
    <row r="6263" customFormat="false" ht="12.8" hidden="false" customHeight="false" outlineLevel="0" collapsed="false">
      <c r="B6263" s="0" t="s">
        <v>14</v>
      </c>
    </row>
    <row r="6265" customFormat="false" ht="12.8" hidden="false" customHeight="false" outlineLevel="0" collapsed="false">
      <c r="A6265" s="0" t="s">
        <v>2848</v>
      </c>
      <c r="B6265" s="0" t="str">
        <f aca="false">HYPERLINK("https://lindat.mff.cuni.cz/services/teitok/pdtc10/index.php?action=vallex&amp;frame=v-w839f7", "držet (v-w839f7)")</f>
        <v>držet (v-w839f7)</v>
      </c>
    </row>
    <row r="6266" customFormat="false" ht="12.8" hidden="false" customHeight="false" outlineLevel="0" collapsed="false">
      <c r="B6266" s="0" t="s">
        <v>7</v>
      </c>
      <c r="C6266" s="0" t="s">
        <v>2199</v>
      </c>
    </row>
    <row r="6267" customFormat="false" ht="12.8" hidden="false" customHeight="false" outlineLevel="0" collapsed="false">
      <c r="B6267" s="0" t="s">
        <v>2849</v>
      </c>
    </row>
    <row r="6268" customFormat="false" ht="12.8" hidden="false" customHeight="false" outlineLevel="0" collapsed="false">
      <c r="B6268" s="0" t="s">
        <v>172</v>
      </c>
      <c r="C6268" s="0" t="s">
        <v>2850</v>
      </c>
    </row>
    <row r="6270" customFormat="false" ht="12.8" hidden="false" customHeight="false" outlineLevel="0" collapsed="false">
      <c r="A6270" s="0" t="s">
        <v>2851</v>
      </c>
      <c r="B6270" s="0" t="str">
        <f aca="false">HYPERLINK("https://lindat.mff.cuni.cz/services/teitok/pdtc10/index.php?action=vallex&amp;frame=v-w839f4", "držet (v-w839f4)")</f>
        <v>držet (v-w839f4)</v>
      </c>
    </row>
    <row r="6271" customFormat="false" ht="12.8" hidden="false" customHeight="false" outlineLevel="0" collapsed="false">
      <c r="B6271" s="0" t="s">
        <v>7</v>
      </c>
      <c r="C6271" s="0" t="s">
        <v>2820</v>
      </c>
    </row>
    <row r="6272" customFormat="false" ht="12.8" hidden="false" customHeight="false" outlineLevel="0" collapsed="false">
      <c r="B6272" s="0" t="s">
        <v>2852</v>
      </c>
      <c r="C6272" s="0" t="s">
        <v>2853</v>
      </c>
    </row>
    <row r="6274" customFormat="false" ht="12.8" hidden="false" customHeight="false" outlineLevel="0" collapsed="false">
      <c r="A6274" s="0" t="s">
        <v>2854</v>
      </c>
      <c r="B6274" s="0" t="str">
        <f aca="false">HYPERLINK("https://lindat.mff.cuni.cz/services/teitok/pdtc10/index.php?action=vallex&amp;frame=v-w839f21_ZU", "držet (v-w839f21_ZU)")</f>
        <v>držet (v-w839f21_ZU)</v>
      </c>
    </row>
    <row r="6275" customFormat="false" ht="12.8" hidden="false" customHeight="false" outlineLevel="0" collapsed="false">
      <c r="B6275" s="0" t="s">
        <v>7</v>
      </c>
      <c r="C6275" s="0" t="s">
        <v>623</v>
      </c>
    </row>
    <row r="6276" customFormat="false" ht="12.8" hidden="false" customHeight="false" outlineLevel="0" collapsed="false">
      <c r="B6276" s="0" t="s">
        <v>14</v>
      </c>
      <c r="C6276" s="0" t="s">
        <v>33</v>
      </c>
    </row>
    <row r="6277" customFormat="false" ht="12.8" hidden="false" customHeight="false" outlineLevel="0" collapsed="false">
      <c r="B6277" s="0" t="s">
        <v>207</v>
      </c>
      <c r="C6277" s="0" t="s">
        <v>2855</v>
      </c>
    </row>
    <row r="6279" customFormat="false" ht="12.8" hidden="false" customHeight="false" outlineLevel="0" collapsed="false">
      <c r="A6279" s="0" t="s">
        <v>2854</v>
      </c>
      <c r="B6279" s="0" t="str">
        <f aca="false">HYPERLINK("https://lindat.mff.cuni.cz/services/teitok/pdtc10/index.php?action=vallex&amp;frame=v-w839hsa_466", "držet (v-w839hsa_466) - substituted with v-w839f21_ZU")</f>
        <v>držet (v-w839hsa_466) - substituted with v-w839f21_ZU</v>
      </c>
    </row>
    <row r="6280" customFormat="false" ht="12.8" hidden="false" customHeight="false" outlineLevel="0" collapsed="false">
      <c r="B6280" s="0" t="s">
        <v>7</v>
      </c>
    </row>
    <row r="6281" customFormat="false" ht="12.8" hidden="false" customHeight="false" outlineLevel="0" collapsed="false">
      <c r="B6281" s="0" t="s">
        <v>14</v>
      </c>
    </row>
    <row r="6282" customFormat="false" ht="12.8" hidden="false" customHeight="false" outlineLevel="0" collapsed="false">
      <c r="B6282" s="0" t="s">
        <v>207</v>
      </c>
    </row>
    <row r="6284" customFormat="false" ht="12.8" hidden="false" customHeight="false" outlineLevel="0" collapsed="false">
      <c r="A6284" s="0" t="s">
        <v>2856</v>
      </c>
      <c r="B6284" s="0" t="str">
        <f aca="false">HYPERLINK("https://lindat.mff.cuni.cz/services/teitok/pdtc10/index.php?action=vallex&amp;frame=v-w839f20_ZU", "držet (v-w839f20_ZU)")</f>
        <v>držet (v-w839f20_ZU)</v>
      </c>
    </row>
    <row r="6285" customFormat="false" ht="12.8" hidden="false" customHeight="false" outlineLevel="0" collapsed="false">
      <c r="B6285" s="0" t="s">
        <v>7</v>
      </c>
      <c r="C6285" s="0" t="s">
        <v>2857</v>
      </c>
    </row>
    <row r="6286" customFormat="false" ht="12.8" hidden="false" customHeight="false" outlineLevel="0" collapsed="false">
      <c r="B6286" s="0" t="s">
        <v>2858</v>
      </c>
      <c r="C6286" s="0" t="s">
        <v>2859</v>
      </c>
    </row>
    <row r="6287" customFormat="false" ht="12.8" hidden="false" customHeight="false" outlineLevel="0" collapsed="false">
      <c r="B6287" s="0" t="s">
        <v>14</v>
      </c>
      <c r="C6287" s="0" t="s">
        <v>2860</v>
      </c>
    </row>
    <row r="6289" customFormat="false" ht="12.8" hidden="false" customHeight="false" outlineLevel="0" collapsed="false">
      <c r="A6289" s="0" t="s">
        <v>2856</v>
      </c>
      <c r="B6289" s="0" t="str">
        <f aca="false">HYPERLINK("https://lindat.mff.cuni.cz/services/teitok/pdtc10/index.php?action=vallex&amp;frame=v-w839hsa_467", "držet (v-w839hsa_467) - substituted with v-w839f20_ZU")</f>
        <v>držet (v-w839hsa_467) - substituted with v-w839f20_ZU</v>
      </c>
    </row>
    <row r="6290" customFormat="false" ht="12.8" hidden="false" customHeight="false" outlineLevel="0" collapsed="false">
      <c r="B6290" s="0" t="s">
        <v>7</v>
      </c>
    </row>
    <row r="6291" customFormat="false" ht="12.8" hidden="false" customHeight="false" outlineLevel="0" collapsed="false">
      <c r="B6291" s="0" t="s">
        <v>2858</v>
      </c>
    </row>
    <row r="6292" customFormat="false" ht="12.8" hidden="false" customHeight="false" outlineLevel="0" collapsed="false">
      <c r="B6292" s="0" t="s">
        <v>14</v>
      </c>
    </row>
    <row r="6294" customFormat="false" ht="12.8" hidden="false" customHeight="false" outlineLevel="0" collapsed="false">
      <c r="A6294" s="0" t="s">
        <v>2861</v>
      </c>
      <c r="B6294" s="0" t="str">
        <f aca="false">HYPERLINK("https://lindat.mff.cuni.cz/services/teitok/pdtc10/index.php?action=vallex&amp;frame=v-w839f23_ZU", "držet (v-w839f23_ZU)")</f>
        <v>držet (v-w839f23_ZU)</v>
      </c>
    </row>
    <row r="6295" customFormat="false" ht="12.8" hidden="false" customHeight="false" outlineLevel="0" collapsed="false">
      <c r="B6295" s="0" t="s">
        <v>7</v>
      </c>
    </row>
    <row r="6296" customFormat="false" ht="12.8" hidden="false" customHeight="false" outlineLevel="0" collapsed="false">
      <c r="B6296" s="0" t="s">
        <v>2862</v>
      </c>
    </row>
    <row r="6298" customFormat="false" ht="12.8" hidden="false" customHeight="false" outlineLevel="0" collapsed="false">
      <c r="A6298" s="0" t="s">
        <v>2861</v>
      </c>
      <c r="B6298" s="0" t="str">
        <f aca="false">HYPERLINK("https://lindat.mff.cuni.cz/services/teitok/pdtc10/index.php?action=vallex&amp;frame=v-w839hsa_380", "držet (v-w839hsa_380) - substituted with v-w839f23_ZU")</f>
        <v>držet (v-w839hsa_380) - substituted with v-w839f23_ZU</v>
      </c>
    </row>
    <row r="6299" customFormat="false" ht="12.8" hidden="false" customHeight="false" outlineLevel="0" collapsed="false">
      <c r="B6299" s="0" t="s">
        <v>7</v>
      </c>
    </row>
    <row r="6300" customFormat="false" ht="12.8" hidden="false" customHeight="false" outlineLevel="0" collapsed="false">
      <c r="B6300" s="0" t="s">
        <v>2862</v>
      </c>
    </row>
    <row r="6302" customFormat="false" ht="12.8" hidden="false" customHeight="false" outlineLevel="0" collapsed="false">
      <c r="A6302" s="0" t="s">
        <v>2863</v>
      </c>
      <c r="B6302" s="0" t="str">
        <f aca="false">HYPERLINK("https://lindat.mff.cuni.cz/services/teitok/pdtc10/index.php?action=vallex&amp;frame=v-w839f24_ZU", "držet (v-w839f24_ZU)")</f>
        <v>držet (v-w839f24_ZU)</v>
      </c>
    </row>
    <row r="6303" customFormat="false" ht="12.8" hidden="false" customHeight="false" outlineLevel="0" collapsed="false">
      <c r="B6303" s="0" t="s">
        <v>7</v>
      </c>
    </row>
    <row r="6304" customFormat="false" ht="12.8" hidden="false" customHeight="false" outlineLevel="0" collapsed="false">
      <c r="B6304" s="0" t="s">
        <v>2864</v>
      </c>
    </row>
    <row r="6305" customFormat="false" ht="12.8" hidden="false" customHeight="false" outlineLevel="0" collapsed="false">
      <c r="B6305" s="0" t="s">
        <v>142</v>
      </c>
    </row>
    <row r="6307" customFormat="false" ht="12.8" hidden="false" customHeight="false" outlineLevel="0" collapsed="false">
      <c r="A6307" s="0" t="s">
        <v>2863</v>
      </c>
      <c r="B6307" s="0" t="str">
        <f aca="false">HYPERLINK("https://lindat.mff.cuni.cz/services/teitok/pdtc10/index.php?action=vallex&amp;frame=v-w839hsa_381", "držet (v-w839hsa_381) - substituted with v-w839f24_ZU")</f>
        <v>držet (v-w839hsa_381) - substituted with v-w839f24_ZU</v>
      </c>
    </row>
    <row r="6308" customFormat="false" ht="12.8" hidden="false" customHeight="false" outlineLevel="0" collapsed="false">
      <c r="B6308" s="0" t="s">
        <v>7</v>
      </c>
    </row>
    <row r="6309" customFormat="false" ht="12.8" hidden="false" customHeight="false" outlineLevel="0" collapsed="false">
      <c r="B6309" s="0" t="s">
        <v>2864</v>
      </c>
    </row>
    <row r="6310" customFormat="false" ht="12.8" hidden="false" customHeight="false" outlineLevel="0" collapsed="false">
      <c r="B6310" s="0" t="s">
        <v>142</v>
      </c>
    </row>
    <row r="6312" customFormat="false" ht="12.8" hidden="false" customHeight="false" outlineLevel="0" collapsed="false">
      <c r="A6312" s="0" t="s">
        <v>2865</v>
      </c>
      <c r="B6312" s="0" t="str">
        <f aca="false">HYPERLINK("https://lindat.mff.cuni.cz/services/teitok/pdtc10/index.php?action=vallex&amp;frame=v-w839f25_ZU", "držet (v-w839f25_ZU)")</f>
        <v>držet (v-w839f25_ZU)</v>
      </c>
    </row>
    <row r="6313" customFormat="false" ht="12.8" hidden="false" customHeight="false" outlineLevel="0" collapsed="false">
      <c r="B6313" s="0" t="s">
        <v>7</v>
      </c>
    </row>
    <row r="6314" customFormat="false" ht="12.8" hidden="false" customHeight="false" outlineLevel="0" collapsed="false">
      <c r="B6314" s="0" t="s">
        <v>2866</v>
      </c>
    </row>
    <row r="6316" customFormat="false" ht="12.8" hidden="false" customHeight="false" outlineLevel="0" collapsed="false">
      <c r="A6316" s="0" t="s">
        <v>2865</v>
      </c>
      <c r="B6316" s="0" t="str">
        <f aca="false">HYPERLINK("https://lindat.mff.cuni.cz/services/teitok/pdtc10/index.php?action=vallex&amp;frame=v-w839hsa_382", "držet (v-w839hsa_382) - substituted with v-w839f25_ZU")</f>
        <v>držet (v-w839hsa_382) - substituted with v-w839f25_ZU</v>
      </c>
    </row>
    <row r="6317" customFormat="false" ht="12.8" hidden="false" customHeight="false" outlineLevel="0" collapsed="false">
      <c r="B6317" s="0" t="s">
        <v>7</v>
      </c>
    </row>
    <row r="6318" customFormat="false" ht="12.8" hidden="false" customHeight="false" outlineLevel="0" collapsed="false">
      <c r="B6318" s="0" t="s">
        <v>2866</v>
      </c>
    </row>
    <row r="6320" customFormat="false" ht="12.8" hidden="false" customHeight="false" outlineLevel="0" collapsed="false">
      <c r="A6320" s="0" t="s">
        <v>2867</v>
      </c>
      <c r="B6320" s="0" t="str">
        <f aca="false">HYPERLINK("https://lindat.mff.cuni.cz/services/teitok/pdtc10/index.php?action=vallex&amp;frame=v-w839f26_ZU", "držet (v-w839f26_ZU)")</f>
        <v>držet (v-w839f26_ZU)</v>
      </c>
    </row>
    <row r="6321" customFormat="false" ht="12.8" hidden="false" customHeight="false" outlineLevel="0" collapsed="false">
      <c r="B6321" s="0" t="s">
        <v>7</v>
      </c>
    </row>
    <row r="6322" customFormat="false" ht="12.8" hidden="false" customHeight="false" outlineLevel="0" collapsed="false">
      <c r="B6322" s="0" t="s">
        <v>2868</v>
      </c>
    </row>
    <row r="6323" customFormat="false" ht="12.8" hidden="false" customHeight="false" outlineLevel="0" collapsed="false">
      <c r="B6323" s="0" t="s">
        <v>223</v>
      </c>
    </row>
    <row r="6325" customFormat="false" ht="12.8" hidden="false" customHeight="false" outlineLevel="0" collapsed="false">
      <c r="A6325" s="0" t="s">
        <v>2867</v>
      </c>
      <c r="B6325" s="0" t="str">
        <f aca="false">HYPERLINK("https://lindat.mff.cuni.cz/services/teitok/pdtc10/index.php?action=vallex&amp;frame=v-w839hsa_386", "držet (v-w839hsa_386) - substituted with v-w839f26_ZU")</f>
        <v>držet (v-w839hsa_386) - substituted with v-w839f26_ZU</v>
      </c>
    </row>
    <row r="6326" customFormat="false" ht="12.8" hidden="false" customHeight="false" outlineLevel="0" collapsed="false">
      <c r="B6326" s="0" t="s">
        <v>7</v>
      </c>
    </row>
    <row r="6327" customFormat="false" ht="12.8" hidden="false" customHeight="false" outlineLevel="0" collapsed="false">
      <c r="B6327" s="0" t="s">
        <v>2868</v>
      </c>
    </row>
    <row r="6328" customFormat="false" ht="12.8" hidden="false" customHeight="false" outlineLevel="0" collapsed="false">
      <c r="B6328" s="0" t="s">
        <v>223</v>
      </c>
    </row>
    <row r="6330" customFormat="false" ht="12.8" hidden="false" customHeight="false" outlineLevel="0" collapsed="false">
      <c r="A6330" s="0" t="s">
        <v>2869</v>
      </c>
      <c r="B6330" s="0" t="str">
        <f aca="false">HYPERLINK("https://lindat.mff.cuni.cz/services/teitok/pdtc10/index.php?action=vallex&amp;frame=v-w839f27_ZU", "držet (v-w839f27_ZU)")</f>
        <v>držet (v-w839f27_ZU)</v>
      </c>
    </row>
    <row r="6331" customFormat="false" ht="12.8" hidden="false" customHeight="false" outlineLevel="0" collapsed="false">
      <c r="B6331" s="0" t="s">
        <v>7</v>
      </c>
    </row>
    <row r="6332" customFormat="false" ht="12.8" hidden="false" customHeight="false" outlineLevel="0" collapsed="false">
      <c r="B6332" s="0" t="s">
        <v>2870</v>
      </c>
    </row>
    <row r="6333" customFormat="false" ht="12.8" hidden="false" customHeight="false" outlineLevel="0" collapsed="false">
      <c r="B6333" s="0" t="s">
        <v>2871</v>
      </c>
    </row>
    <row r="6335" customFormat="false" ht="12.8" hidden="false" customHeight="false" outlineLevel="0" collapsed="false">
      <c r="A6335" s="0" t="s">
        <v>2869</v>
      </c>
      <c r="B6335" s="0" t="str">
        <f aca="false">HYPERLINK("https://lindat.mff.cuni.cz/services/teitok/pdtc10/index.php?action=vallex&amp;frame=v-w839hsa_383", "držet (v-w839hsa_383) - substituted with v-w839f27_ZU")</f>
        <v>držet (v-w839hsa_383) - substituted with v-w839f27_ZU</v>
      </c>
    </row>
    <row r="6336" customFormat="false" ht="12.8" hidden="false" customHeight="false" outlineLevel="0" collapsed="false">
      <c r="B6336" s="0" t="s">
        <v>7</v>
      </c>
    </row>
    <row r="6337" customFormat="false" ht="12.8" hidden="false" customHeight="false" outlineLevel="0" collapsed="false">
      <c r="B6337" s="0" t="s">
        <v>2870</v>
      </c>
    </row>
    <row r="6338" customFormat="false" ht="12.8" hidden="false" customHeight="false" outlineLevel="0" collapsed="false">
      <c r="B6338" s="0" t="s">
        <v>2871</v>
      </c>
    </row>
    <row r="6340" customFormat="false" ht="12.8" hidden="false" customHeight="false" outlineLevel="0" collapsed="false">
      <c r="A6340" s="0" t="s">
        <v>2872</v>
      </c>
      <c r="B6340" s="0" t="str">
        <f aca="false">HYPERLINK("https://lindat.mff.cuni.cz/services/teitok/pdtc10/index.php?action=vallex&amp;frame=v-w839f28_ZU", "držet (v-w839f28_ZU)")</f>
        <v>držet (v-w839f28_ZU)</v>
      </c>
    </row>
    <row r="6341" customFormat="false" ht="12.8" hidden="false" customHeight="false" outlineLevel="0" collapsed="false">
      <c r="B6341" s="0" t="s">
        <v>7</v>
      </c>
    </row>
    <row r="6342" customFormat="false" ht="12.8" hidden="false" customHeight="false" outlineLevel="0" collapsed="false">
      <c r="B6342" s="0" t="s">
        <v>2873</v>
      </c>
    </row>
    <row r="6343" customFormat="false" ht="12.8" hidden="false" customHeight="false" outlineLevel="0" collapsed="false">
      <c r="B6343" s="0" t="s">
        <v>2871</v>
      </c>
    </row>
    <row r="6345" customFormat="false" ht="12.8" hidden="false" customHeight="false" outlineLevel="0" collapsed="false">
      <c r="A6345" s="0" t="s">
        <v>2872</v>
      </c>
      <c r="B6345" s="0" t="str">
        <f aca="false">HYPERLINK("https://lindat.mff.cuni.cz/services/teitok/pdtc10/index.php?action=vallex&amp;frame=v-w839hsa_384", "držet (v-w839hsa_384) - substituted with v-w839f28_ZU")</f>
        <v>držet (v-w839hsa_384) - substituted with v-w839f28_ZU</v>
      </c>
    </row>
    <row r="6346" customFormat="false" ht="12.8" hidden="false" customHeight="false" outlineLevel="0" collapsed="false">
      <c r="B6346" s="0" t="s">
        <v>7</v>
      </c>
    </row>
    <row r="6347" customFormat="false" ht="12.8" hidden="false" customHeight="false" outlineLevel="0" collapsed="false">
      <c r="B6347" s="0" t="s">
        <v>2873</v>
      </c>
    </row>
    <row r="6348" customFormat="false" ht="12.8" hidden="false" customHeight="false" outlineLevel="0" collapsed="false">
      <c r="B6348" s="0" t="s">
        <v>2871</v>
      </c>
    </row>
    <row r="6350" customFormat="false" ht="12.8" hidden="false" customHeight="false" outlineLevel="0" collapsed="false">
      <c r="A6350" s="0" t="s">
        <v>2874</v>
      </c>
      <c r="B6350" s="0" t="str">
        <f aca="false">HYPERLINK("https://lindat.mff.cuni.cz/services/teitok/pdtc10/index.php?action=vallex&amp;frame=v-w839f29_ZU", "držet (v-w839f29_ZU)")</f>
        <v>držet (v-w839f29_ZU)</v>
      </c>
    </row>
    <row r="6351" customFormat="false" ht="12.8" hidden="false" customHeight="false" outlineLevel="0" collapsed="false">
      <c r="B6351" s="0" t="s">
        <v>7</v>
      </c>
    </row>
    <row r="6352" customFormat="false" ht="12.8" hidden="false" customHeight="false" outlineLevel="0" collapsed="false">
      <c r="B6352" s="0" t="s">
        <v>2875</v>
      </c>
    </row>
    <row r="6353" customFormat="false" ht="12.8" hidden="false" customHeight="false" outlineLevel="0" collapsed="false">
      <c r="B6353" s="0" t="s">
        <v>14</v>
      </c>
    </row>
    <row r="6355" customFormat="false" ht="12.8" hidden="false" customHeight="false" outlineLevel="0" collapsed="false">
      <c r="A6355" s="0" t="s">
        <v>2874</v>
      </c>
      <c r="B6355" s="0" t="str">
        <f aca="false">HYPERLINK("https://lindat.mff.cuni.cz/services/teitok/pdtc10/index.php?action=vallex&amp;frame=v-w839hsa_385", "držet (v-w839hsa_385) - substituted with v-w839f29_ZU")</f>
        <v>držet (v-w839hsa_385) - substituted with v-w839f29_ZU</v>
      </c>
    </row>
    <row r="6356" customFormat="false" ht="12.8" hidden="false" customHeight="false" outlineLevel="0" collapsed="false">
      <c r="B6356" s="0" t="s">
        <v>7</v>
      </c>
    </row>
    <row r="6357" customFormat="false" ht="12.8" hidden="false" customHeight="false" outlineLevel="0" collapsed="false">
      <c r="B6357" s="0" t="s">
        <v>2875</v>
      </c>
    </row>
    <row r="6358" customFormat="false" ht="12.8" hidden="false" customHeight="false" outlineLevel="0" collapsed="false">
      <c r="B6358" s="0" t="s">
        <v>14</v>
      </c>
    </row>
    <row r="6360" customFormat="false" ht="12.8" hidden="false" customHeight="false" outlineLevel="0" collapsed="false">
      <c r="A6360" s="0" t="s">
        <v>2876</v>
      </c>
      <c r="B6360" s="0" t="str">
        <f aca="false">HYPERLINK("https://lindat.mff.cuni.cz/services/teitok/pdtc10/index.php?action=vallex&amp;frame=v-w839f31_ZU", "držet (v-w839f31_ZU)")</f>
        <v>držet (v-w839f31_ZU)</v>
      </c>
    </row>
    <row r="6361" customFormat="false" ht="12.8" hidden="false" customHeight="false" outlineLevel="0" collapsed="false">
      <c r="B6361" s="0" t="s">
        <v>7</v>
      </c>
    </row>
    <row r="6362" customFormat="false" ht="12.8" hidden="false" customHeight="false" outlineLevel="0" collapsed="false">
      <c r="B6362" s="0" t="s">
        <v>14</v>
      </c>
    </row>
    <row r="6364" customFormat="false" ht="12.8" hidden="false" customHeight="false" outlineLevel="0" collapsed="false">
      <c r="A6364" s="0" t="s">
        <v>2877</v>
      </c>
      <c r="B6364" s="0" t="str">
        <f aca="false">HYPERLINK("https://lindat.mff.cuni.cz/services/teitok/pdtc10/index.php?action=vallex&amp;frame=v-w839f32_ZU", "držet (v-w839f32_ZU)")</f>
        <v>držet (v-w839f32_ZU)</v>
      </c>
    </row>
    <row r="6365" customFormat="false" ht="12.8" hidden="false" customHeight="false" outlineLevel="0" collapsed="false">
      <c r="B6365" s="0" t="s">
        <v>7</v>
      </c>
    </row>
    <row r="6366" customFormat="false" ht="12.8" hidden="false" customHeight="false" outlineLevel="0" collapsed="false">
      <c r="B6366" s="0" t="s">
        <v>14</v>
      </c>
    </row>
    <row r="6368" customFormat="false" ht="12.8" hidden="false" customHeight="false" outlineLevel="0" collapsed="false">
      <c r="A6368" s="0" t="s">
        <v>2878</v>
      </c>
      <c r="B6368" s="0" t="str">
        <f aca="false">HYPERLINK("https://lindat.mff.cuni.cz/services/teitok/pdtc10/index.php?action=vallex&amp;frame=v-w839f34_ZU", "držet (v-w839f34_ZU)")</f>
        <v>držet (v-w839f34_ZU)</v>
      </c>
    </row>
    <row r="6369" customFormat="false" ht="12.8" hidden="false" customHeight="false" outlineLevel="0" collapsed="false">
      <c r="B6369" s="0" t="s">
        <v>7</v>
      </c>
    </row>
    <row r="6370" customFormat="false" ht="12.8" hidden="false" customHeight="false" outlineLevel="0" collapsed="false">
      <c r="B6370" s="0" t="s">
        <v>2879</v>
      </c>
    </row>
    <row r="6372" customFormat="false" ht="12.8" hidden="false" customHeight="false" outlineLevel="0" collapsed="false">
      <c r="A6372" s="0" t="s">
        <v>2880</v>
      </c>
      <c r="B6372" s="0" t="str">
        <f aca="false">HYPERLINK("https://lindat.mff.cuni.cz/services/teitok/pdtc10/index.php?action=vallex&amp;frame=v-w839f35_ZU", "držet (v-w839f35_ZU)")</f>
        <v>držet (v-w839f35_ZU)</v>
      </c>
    </row>
    <row r="6373" customFormat="false" ht="12.8" hidden="false" customHeight="false" outlineLevel="0" collapsed="false">
      <c r="B6373" s="0" t="s">
        <v>199</v>
      </c>
    </row>
    <row r="6374" customFormat="false" ht="12.8" hidden="false" customHeight="false" outlineLevel="0" collapsed="false">
      <c r="B6374" s="0" t="s">
        <v>328</v>
      </c>
    </row>
    <row r="6376" customFormat="false" ht="12.8" hidden="false" customHeight="false" outlineLevel="0" collapsed="false">
      <c r="A6376" s="0" t="s">
        <v>2880</v>
      </c>
      <c r="B6376" s="0" t="str">
        <f aca="false">HYPERLINK("https://lindat.mff.cuni.cz/services/teitok/pdtc10/index.php?action=vallex&amp;frame=v-w839f30_ZU", "držet (v-w839f30_ZU) - substituted with v-w839f35_ZU")</f>
        <v>držet (v-w839f30_ZU) - substituted with v-w839f35_ZU</v>
      </c>
    </row>
    <row r="6377" customFormat="false" ht="12.8" hidden="false" customHeight="false" outlineLevel="0" collapsed="false">
      <c r="B6377" s="0" t="s">
        <v>199</v>
      </c>
    </row>
    <row r="6378" customFormat="false" ht="12.8" hidden="false" customHeight="false" outlineLevel="0" collapsed="false">
      <c r="B6378" s="0" t="s">
        <v>328</v>
      </c>
    </row>
    <row r="6380" customFormat="false" ht="12.8" hidden="false" customHeight="false" outlineLevel="0" collapsed="false">
      <c r="A6380" s="0" t="s">
        <v>2881</v>
      </c>
      <c r="B6380" s="0" t="str">
        <f aca="false">HYPERLINK("https://lindat.mff.cuni.cz/services/teitok/pdtc10/index.php?action=vallex&amp;frame=v-w839f36_ZU", "držet (v-w839f36_ZU)")</f>
        <v>držet (v-w839f36_ZU)</v>
      </c>
    </row>
    <row r="6381" customFormat="false" ht="12.8" hidden="false" customHeight="false" outlineLevel="0" collapsed="false">
      <c r="B6381" s="0" t="s">
        <v>7</v>
      </c>
    </row>
    <row r="6382" customFormat="false" ht="12.8" hidden="false" customHeight="false" outlineLevel="0" collapsed="false">
      <c r="B6382" s="0" t="s">
        <v>2882</v>
      </c>
    </row>
    <row r="6384" customFormat="false" ht="12.8" hidden="false" customHeight="false" outlineLevel="0" collapsed="false">
      <c r="A6384" s="0" t="s">
        <v>2881</v>
      </c>
      <c r="B6384" s="0" t="str">
        <f aca="false">HYPERLINK("https://lindat.mff.cuni.cz/services/teitok/pdtc10/index.php?action=vallex&amp;frame=v-w839f22_ZU", "držet (v-w839f22_ZU) - substituted with v-w839f36_ZU")</f>
        <v>držet (v-w839f22_ZU) - substituted with v-w839f36_ZU</v>
      </c>
    </row>
    <row r="6385" customFormat="false" ht="12.8" hidden="false" customHeight="false" outlineLevel="0" collapsed="false">
      <c r="B6385" s="0" t="s">
        <v>7</v>
      </c>
    </row>
    <row r="6386" customFormat="false" ht="12.8" hidden="false" customHeight="false" outlineLevel="0" collapsed="false">
      <c r="B6386" s="0" t="s">
        <v>2882</v>
      </c>
    </row>
    <row r="6388" customFormat="false" ht="12.8" hidden="false" customHeight="false" outlineLevel="0" collapsed="false">
      <c r="A6388" s="0" t="s">
        <v>2881</v>
      </c>
      <c r="B6388" s="0" t="str">
        <f aca="false">HYPERLINK("https://lindat.mff.cuni.cz/services/teitok/pdtc10/index.php?action=vallex&amp;frame=v-w839hsa_379", "držet (v-w839hsa_379) - substituted with v-w839f36_ZU")</f>
        <v>držet (v-w839hsa_379) - substituted with v-w839f36_ZU</v>
      </c>
    </row>
    <row r="6389" customFormat="false" ht="12.8" hidden="false" customHeight="false" outlineLevel="0" collapsed="false">
      <c r="B6389" s="0" t="s">
        <v>7</v>
      </c>
    </row>
    <row r="6390" customFormat="false" ht="12.8" hidden="false" customHeight="false" outlineLevel="0" collapsed="false">
      <c r="B6390" s="0" t="s">
        <v>2882</v>
      </c>
    </row>
    <row r="6392" customFormat="false" ht="12.8" hidden="false" customHeight="false" outlineLevel="0" collapsed="false">
      <c r="A6392" s="0" t="s">
        <v>2883</v>
      </c>
      <c r="B6392" s="0" t="str">
        <f aca="false">HYPERLINK("https://lindat.mff.cuni.cz/services/teitok/pdtc10/index.php?action=vallex&amp;frame=v-w839hsa_378", "držet (v-w839hsa_378)")</f>
        <v>držet (v-w839hsa_378)</v>
      </c>
    </row>
    <row r="6393" customFormat="false" ht="12.8" hidden="false" customHeight="false" outlineLevel="0" collapsed="false">
      <c r="B6393" s="0" t="s">
        <v>7</v>
      </c>
    </row>
    <row r="6394" customFormat="false" ht="12.8" hidden="false" customHeight="false" outlineLevel="0" collapsed="false">
      <c r="B6394" s="0" t="s">
        <v>14</v>
      </c>
    </row>
    <row r="6396" customFormat="false" ht="12.8" hidden="false" customHeight="false" outlineLevel="0" collapsed="false">
      <c r="A6396" s="0" t="s">
        <v>2884</v>
      </c>
      <c r="B6396" s="0" t="str">
        <f aca="false">HYPERLINK("https://lindat.mff.cuni.cz/services/teitok/pdtc10/index.php?action=vallex&amp;frame=v-w839hsa_387", "držet (v-w839hsa_387)")</f>
        <v>držet (v-w839hsa_387)</v>
      </c>
    </row>
    <row r="6397" customFormat="false" ht="12.8" hidden="false" customHeight="false" outlineLevel="0" collapsed="false">
      <c r="B6397" s="0" t="s">
        <v>7</v>
      </c>
    </row>
    <row r="6398" customFormat="false" ht="12.8" hidden="false" customHeight="false" outlineLevel="0" collapsed="false">
      <c r="B6398" s="0" t="s">
        <v>41</v>
      </c>
    </row>
    <row r="6400" customFormat="false" ht="12.8" hidden="false" customHeight="false" outlineLevel="0" collapsed="false">
      <c r="A6400" s="0" t="s">
        <v>2885</v>
      </c>
      <c r="B6400" s="0" t="str">
        <f aca="false">HYPERLINK("https://lindat.mff.cuni.cz/services/teitok/pdtc10/index.php?action=vallex&amp;frame=v-w840f1", "držet se (v-w840f1)")</f>
        <v>držet se (v-w840f1)</v>
      </c>
    </row>
    <row r="6401" customFormat="false" ht="12.8" hidden="false" customHeight="false" outlineLevel="0" collapsed="false">
      <c r="B6401" s="0" t="s">
        <v>7</v>
      </c>
      <c r="C6401" s="0" t="s">
        <v>2886</v>
      </c>
      <c r="D6401" s="0" t="s">
        <v>1307</v>
      </c>
      <c r="E6401" s="0" t="s">
        <v>1307</v>
      </c>
      <c r="F6401" s="0" t="s">
        <v>1307</v>
      </c>
    </row>
    <row r="6402" customFormat="false" ht="12.8" hidden="false" customHeight="false" outlineLevel="0" collapsed="false">
      <c r="B6402" s="0" t="s">
        <v>1087</v>
      </c>
      <c r="C6402" s="0" t="s">
        <v>2887</v>
      </c>
      <c r="D6402" s="0" t="s">
        <v>1308</v>
      </c>
      <c r="E6402" s="0" t="s">
        <v>1308</v>
      </c>
      <c r="F6402" s="0" t="s">
        <v>1308</v>
      </c>
    </row>
    <row r="6404" customFormat="false" ht="12.8" hidden="false" customHeight="false" outlineLevel="0" collapsed="false">
      <c r="A6404" s="0" t="s">
        <v>2888</v>
      </c>
      <c r="B6404" s="0" t="str">
        <f aca="false">HYPERLINK("https://lindat.mff.cuni.cz/services/teitok/pdtc10/index.php?action=vallex&amp;frame=v-w840f3", "držet se (v-w840f3)")</f>
        <v>držet se (v-w840f3)</v>
      </c>
    </row>
    <row r="6405" customFormat="false" ht="12.8" hidden="false" customHeight="false" outlineLevel="0" collapsed="false">
      <c r="B6405" s="0" t="s">
        <v>7</v>
      </c>
      <c r="C6405" s="0" t="s">
        <v>2889</v>
      </c>
      <c r="D6405" s="0" t="s">
        <v>1419</v>
      </c>
      <c r="E6405" s="0" t="s">
        <v>2890</v>
      </c>
      <c r="F6405" s="0" t="s">
        <v>2890</v>
      </c>
    </row>
    <row r="6406" customFormat="false" ht="12.8" hidden="false" customHeight="false" outlineLevel="0" collapsed="false">
      <c r="B6406" s="0" t="s">
        <v>1087</v>
      </c>
      <c r="C6406" s="0" t="s">
        <v>2891</v>
      </c>
      <c r="D6406" s="0" t="s">
        <v>1420</v>
      </c>
      <c r="E6406" s="0" t="s">
        <v>2892</v>
      </c>
      <c r="F6406" s="0" t="s">
        <v>2892</v>
      </c>
    </row>
    <row r="6408" customFormat="false" ht="12.8" hidden="false" customHeight="false" outlineLevel="0" collapsed="false">
      <c r="A6408" s="0" t="s">
        <v>2893</v>
      </c>
      <c r="B6408" s="0" t="str">
        <f aca="false">HYPERLINK("https://lindat.mff.cuni.cz/services/teitok/pdtc10/index.php?action=vallex&amp;frame=v-w840f8_ZU", "držet se (v-w840f8_ZU)")</f>
        <v>držet se (v-w840f8_ZU)</v>
      </c>
    </row>
    <row r="6409" customFormat="false" ht="12.8" hidden="false" customHeight="false" outlineLevel="0" collapsed="false">
      <c r="B6409" s="0" t="s">
        <v>7</v>
      </c>
      <c r="C6409" s="0" t="s">
        <v>2894</v>
      </c>
      <c r="D6409" s="0" t="s">
        <v>2895</v>
      </c>
      <c r="E6409" s="0" t="s">
        <v>2895</v>
      </c>
      <c r="F6409" s="0" t="s">
        <v>2895</v>
      </c>
    </row>
    <row r="6410" customFormat="false" ht="12.8" hidden="false" customHeight="false" outlineLevel="0" collapsed="false">
      <c r="B6410" s="0" t="s">
        <v>2804</v>
      </c>
      <c r="D6410" s="0" t="s">
        <v>2896</v>
      </c>
      <c r="E6410" s="0" t="s">
        <v>2896</v>
      </c>
      <c r="F6410" s="0" t="s">
        <v>2896</v>
      </c>
    </row>
    <row r="6412" customFormat="false" ht="12.8" hidden="false" customHeight="false" outlineLevel="0" collapsed="false">
      <c r="A6412" s="0" t="s">
        <v>2893</v>
      </c>
      <c r="B6412" s="0" t="str">
        <f aca="false">HYPERLINK("https://lindat.mff.cuni.cz/services/teitok/pdtc10/index.php?action=vallex&amp;frame=v-w840f5", "držet se (v-w840f5) - substituted with v-w840f8_ZU")</f>
        <v>držet se (v-w840f5) - substituted with v-w840f8_ZU</v>
      </c>
    </row>
    <row r="6413" customFormat="false" ht="12.8" hidden="false" customHeight="false" outlineLevel="0" collapsed="false">
      <c r="B6413" s="0" t="s">
        <v>7</v>
      </c>
      <c r="C6413" s="0" t="s">
        <v>2897</v>
      </c>
    </row>
    <row r="6414" customFormat="false" ht="12.8" hidden="false" customHeight="false" outlineLevel="0" collapsed="false">
      <c r="B6414" s="0" t="s">
        <v>2804</v>
      </c>
      <c r="C6414" s="0" t="s">
        <v>2898</v>
      </c>
    </row>
    <row r="6416" customFormat="false" ht="12.8" hidden="false" customHeight="false" outlineLevel="0" collapsed="false">
      <c r="A6416" s="0" t="s">
        <v>2899</v>
      </c>
      <c r="B6416" s="0" t="str">
        <f aca="false">HYPERLINK("https://lindat.mff.cuni.cz/services/teitok/pdtc10/index.php?action=vallex&amp;frame=v-w840f2", "držet se (v-w840f2)")</f>
        <v>držet se (v-w840f2)</v>
      </c>
    </row>
    <row r="6417" customFormat="false" ht="12.8" hidden="false" customHeight="false" outlineLevel="0" collapsed="false">
      <c r="B6417" s="0" t="s">
        <v>7</v>
      </c>
      <c r="C6417" s="0" t="s">
        <v>2900</v>
      </c>
      <c r="D6417" s="0" t="s">
        <v>2901</v>
      </c>
      <c r="E6417" s="0" t="s">
        <v>2901</v>
      </c>
      <c r="F6417" s="0" t="s">
        <v>2901</v>
      </c>
    </row>
    <row r="6418" customFormat="false" ht="12.8" hidden="false" customHeight="false" outlineLevel="0" collapsed="false">
      <c r="B6418" s="0" t="s">
        <v>11</v>
      </c>
      <c r="C6418" s="0" t="s">
        <v>2902</v>
      </c>
      <c r="D6418" s="0" t="s">
        <v>2903</v>
      </c>
      <c r="E6418" s="0" t="s">
        <v>2903</v>
      </c>
      <c r="F6418" s="0" t="s">
        <v>2903</v>
      </c>
    </row>
    <row r="6420" customFormat="false" ht="12.8" hidden="false" customHeight="false" outlineLevel="0" collapsed="false">
      <c r="A6420" s="0" t="s">
        <v>2904</v>
      </c>
      <c r="B6420" s="0" t="str">
        <f aca="false">HYPERLINK("https://lindat.mff.cuni.cz/services/teitok/pdtc10/index.php?action=vallex&amp;frame=v-w840f4", "držet se (v-w840f4)")</f>
        <v>držet se (v-w840f4)</v>
      </c>
    </row>
    <row r="6421" customFormat="false" ht="12.8" hidden="false" customHeight="false" outlineLevel="0" collapsed="false">
      <c r="B6421" s="0" t="s">
        <v>7</v>
      </c>
      <c r="C6421" s="0" t="s">
        <v>2905</v>
      </c>
      <c r="D6421" s="0" t="s">
        <v>1048</v>
      </c>
      <c r="E6421" s="0" t="s">
        <v>1048</v>
      </c>
      <c r="F6421" s="0" t="s">
        <v>1048</v>
      </c>
    </row>
    <row r="6423" customFormat="false" ht="12.8" hidden="false" customHeight="false" outlineLevel="0" collapsed="false">
      <c r="A6423" s="0" t="s">
        <v>2906</v>
      </c>
      <c r="B6423" s="0" t="str">
        <f aca="false">HYPERLINK("https://lindat.mff.cuni.cz/services/teitok/pdtc10/index.php?action=vallex&amp;frame=v-w840f6_ZU", "držet se (v-w840f6_ZU)")</f>
        <v>držet se (v-w840f6_ZU)</v>
      </c>
    </row>
    <row r="6424" customFormat="false" ht="12.8" hidden="false" customHeight="false" outlineLevel="0" collapsed="false">
      <c r="B6424" s="0" t="s">
        <v>7</v>
      </c>
      <c r="C6424" s="0" t="s">
        <v>2907</v>
      </c>
    </row>
    <row r="6425" customFormat="false" ht="12.8" hidden="false" customHeight="false" outlineLevel="0" collapsed="false">
      <c r="B6425" s="0" t="s">
        <v>2908</v>
      </c>
      <c r="C6425" s="0" t="s">
        <v>2843</v>
      </c>
    </row>
    <row r="6427" customFormat="false" ht="12.8" hidden="false" customHeight="false" outlineLevel="0" collapsed="false">
      <c r="A6427" s="0" t="s">
        <v>2906</v>
      </c>
      <c r="B6427" s="0" t="str">
        <f aca="false">HYPERLINK("https://lindat.mff.cuni.cz/services/teitok/pdtc10/index.php?action=vallex&amp;frame=v-w840hsa_32", "držet se (v-w840hsa_32) - substituted with v-w840f6_ZU")</f>
        <v>držet se (v-w840hsa_32) - substituted with v-w840f6_ZU</v>
      </c>
    </row>
    <row r="6428" customFormat="false" ht="12.8" hidden="false" customHeight="false" outlineLevel="0" collapsed="false">
      <c r="B6428" s="0" t="s">
        <v>7</v>
      </c>
    </row>
    <row r="6429" customFormat="false" ht="12.8" hidden="false" customHeight="false" outlineLevel="0" collapsed="false">
      <c r="B6429" s="0" t="s">
        <v>2908</v>
      </c>
    </row>
    <row r="6431" customFormat="false" ht="12.8" hidden="false" customHeight="false" outlineLevel="0" collapsed="false">
      <c r="A6431" s="0" t="s">
        <v>2909</v>
      </c>
      <c r="B6431" s="0" t="str">
        <f aca="false">HYPERLINK("https://lindat.mff.cuni.cz/services/teitok/pdtc10/index.php?action=vallex&amp;frame=v-w840f11_ZU", "držet se (v-w840f11_ZU)")</f>
        <v>držet se (v-w840f11_ZU)</v>
      </c>
    </row>
    <row r="6432" customFormat="false" ht="12.8" hidden="false" customHeight="false" outlineLevel="0" collapsed="false">
      <c r="B6432" s="0" t="s">
        <v>7</v>
      </c>
    </row>
    <row r="6433" customFormat="false" ht="12.8" hidden="false" customHeight="false" outlineLevel="0" collapsed="false">
      <c r="B6433" s="0" t="s">
        <v>2910</v>
      </c>
    </row>
    <row r="6434" customFormat="false" ht="12.8" hidden="false" customHeight="false" outlineLevel="0" collapsed="false">
      <c r="B6434" s="0" t="s">
        <v>333</v>
      </c>
    </row>
    <row r="6436" customFormat="false" ht="12.8" hidden="false" customHeight="false" outlineLevel="0" collapsed="false">
      <c r="A6436" s="0" t="s">
        <v>2909</v>
      </c>
      <c r="B6436" s="0" t="str">
        <f aca="false">HYPERLINK("https://lindat.mff.cuni.cz/services/teitok/pdtc10/index.php?action=vallex&amp;frame=v-w840f7_ZU", "držet se (v-w840f7_ZU) - substituted with v-w840f11_ZU")</f>
        <v>držet se (v-w840f7_ZU) - substituted with v-w840f11_ZU</v>
      </c>
    </row>
    <row r="6437" customFormat="false" ht="12.8" hidden="false" customHeight="false" outlineLevel="0" collapsed="false">
      <c r="B6437" s="0" t="s">
        <v>7</v>
      </c>
      <c r="C6437" s="0" t="s">
        <v>2911</v>
      </c>
    </row>
    <row r="6438" customFormat="false" ht="12.8" hidden="false" customHeight="false" outlineLevel="0" collapsed="false">
      <c r="B6438" s="0" t="s">
        <v>2910</v>
      </c>
      <c r="C6438" s="0" t="s">
        <v>2912</v>
      </c>
    </row>
    <row r="6439" customFormat="false" ht="12.8" hidden="false" customHeight="false" outlineLevel="0" collapsed="false">
      <c r="B6439" s="0" t="s">
        <v>333</v>
      </c>
    </row>
    <row r="6441" customFormat="false" ht="12.8" hidden="false" customHeight="false" outlineLevel="0" collapsed="false">
      <c r="A6441" s="0" t="s">
        <v>2909</v>
      </c>
      <c r="B6441" s="0" t="str">
        <f aca="false">HYPERLINK("https://lindat.mff.cuni.cz/services/teitok/pdtc10/index.php?action=vallex&amp;frame=v-w840hsa_33", "držet se (v-w840hsa_33) - substituted with v-w840f11_ZU")</f>
        <v>držet se (v-w840hsa_33) - substituted with v-w840f11_ZU</v>
      </c>
    </row>
    <row r="6442" customFormat="false" ht="12.8" hidden="false" customHeight="false" outlineLevel="0" collapsed="false">
      <c r="B6442" s="0" t="s">
        <v>7</v>
      </c>
    </row>
    <row r="6443" customFormat="false" ht="12.8" hidden="false" customHeight="false" outlineLevel="0" collapsed="false">
      <c r="B6443" s="0" t="s">
        <v>2910</v>
      </c>
    </row>
    <row r="6444" customFormat="false" ht="12.8" hidden="false" customHeight="false" outlineLevel="0" collapsed="false">
      <c r="B6444" s="0" t="s">
        <v>333</v>
      </c>
    </row>
    <row r="6446" customFormat="false" ht="12.8" hidden="false" customHeight="false" outlineLevel="0" collapsed="false">
      <c r="A6446" s="0" t="s">
        <v>2913</v>
      </c>
      <c r="B6446" s="0" t="str">
        <f aca="false">HYPERLINK("https://lindat.mff.cuni.cz/services/teitok/pdtc10/index.php?action=vallex&amp;frame=v-w840f9_ZU", "držet se (v-w840f9_ZU)")</f>
        <v>držet se (v-w840f9_ZU)</v>
      </c>
    </row>
    <row r="6447" customFormat="false" ht="12.8" hidden="false" customHeight="false" outlineLevel="0" collapsed="false">
      <c r="B6447" s="0" t="s">
        <v>7</v>
      </c>
    </row>
    <row r="6448" customFormat="false" ht="12.8" hidden="false" customHeight="false" outlineLevel="0" collapsed="false">
      <c r="B6448" s="0" t="s">
        <v>2914</v>
      </c>
    </row>
    <row r="6450" customFormat="false" ht="12.8" hidden="false" customHeight="false" outlineLevel="0" collapsed="false">
      <c r="A6450" s="0" t="s">
        <v>2913</v>
      </c>
      <c r="B6450" s="0" t="str">
        <f aca="false">HYPERLINK("https://lindat.mff.cuni.cz/services/teitok/pdtc10/index.php?action=vallex&amp;frame=v-w840hsa_36", "držet se (v-w840hsa_36) - substituted with v-w840f9_ZU")</f>
        <v>držet se (v-w840hsa_36) - substituted with v-w840f9_ZU</v>
      </c>
    </row>
    <row r="6451" customFormat="false" ht="12.8" hidden="false" customHeight="false" outlineLevel="0" collapsed="false">
      <c r="B6451" s="0" t="s">
        <v>7</v>
      </c>
    </row>
    <row r="6452" customFormat="false" ht="12.8" hidden="false" customHeight="false" outlineLevel="0" collapsed="false">
      <c r="B6452" s="0" t="s">
        <v>2914</v>
      </c>
    </row>
    <row r="6454" customFormat="false" ht="12.8" hidden="false" customHeight="false" outlineLevel="0" collapsed="false">
      <c r="A6454" s="0" t="s">
        <v>2915</v>
      </c>
      <c r="B6454" s="0" t="str">
        <f aca="false">HYPERLINK("https://lindat.mff.cuni.cz/services/teitok/pdtc10/index.php?action=vallex&amp;frame=v-w840f10_ZU", "držet se (v-w840f10_ZU)")</f>
        <v>držet se (v-w840f10_ZU)</v>
      </c>
    </row>
    <row r="6455" customFormat="false" ht="12.8" hidden="false" customHeight="false" outlineLevel="0" collapsed="false">
      <c r="B6455" s="0" t="s">
        <v>7</v>
      </c>
    </row>
    <row r="6456" customFormat="false" ht="12.8" hidden="false" customHeight="false" outlineLevel="0" collapsed="false">
      <c r="B6456" s="0" t="s">
        <v>1087</v>
      </c>
    </row>
    <row r="6458" customFormat="false" ht="12.8" hidden="false" customHeight="false" outlineLevel="0" collapsed="false">
      <c r="A6458" s="0" t="s">
        <v>2916</v>
      </c>
      <c r="B6458" s="0" t="str">
        <f aca="false">HYPERLINK("https://lindat.mff.cuni.cz/services/teitok/pdtc10/index.php?action=vallex&amp;frame=v-w840hsa_34", "držet se (v-w840hsa_34)")</f>
        <v>držet se (v-w840hsa_34)</v>
      </c>
    </row>
    <row r="6459" customFormat="false" ht="12.8" hidden="false" customHeight="false" outlineLevel="0" collapsed="false">
      <c r="B6459" s="0" t="s">
        <v>7</v>
      </c>
    </row>
    <row r="6460" customFormat="false" ht="12.8" hidden="false" customHeight="false" outlineLevel="0" collapsed="false">
      <c r="B6460" s="0" t="s">
        <v>1087</v>
      </c>
    </row>
    <row r="6462" customFormat="false" ht="12.8" hidden="false" customHeight="false" outlineLevel="0" collapsed="false">
      <c r="A6462" s="0" t="s">
        <v>2917</v>
      </c>
      <c r="B6462" s="0" t="str">
        <f aca="false">HYPERLINK("https://lindat.mff.cuni.cz/services/teitok/pdtc10/index.php?action=vallex&amp;frame=v-w840hsa_35", "držet se (v-w840hsa_35)")</f>
        <v>držet se (v-w840hsa_35)</v>
      </c>
    </row>
    <row r="6463" customFormat="false" ht="12.8" hidden="false" customHeight="false" outlineLevel="0" collapsed="false">
      <c r="B6463" s="0" t="s">
        <v>7</v>
      </c>
    </row>
    <row r="6464" customFormat="false" ht="12.8" hidden="false" customHeight="false" outlineLevel="0" collapsed="false">
      <c r="B6464" s="0" t="s">
        <v>548</v>
      </c>
    </row>
    <row r="6466" customFormat="false" ht="12.8" hidden="false" customHeight="false" outlineLevel="0" collapsed="false">
      <c r="A6466" s="0" t="s">
        <v>2918</v>
      </c>
      <c r="B6466" s="0" t="str">
        <f aca="false">HYPERLINK("https://lindat.mff.cuni.cz/services/teitok/pdtc10/index.php?action=vallex&amp;frame=v-w12179_ZUf1_ZU", "držet si (v-w12179_ZUf1_ZU)")</f>
        <v>držet si (v-w12179_ZUf1_ZU)</v>
      </c>
    </row>
    <row r="6467" customFormat="false" ht="12.8" hidden="false" customHeight="false" outlineLevel="0" collapsed="false">
      <c r="B6467" s="0" t="s">
        <v>7</v>
      </c>
    </row>
    <row r="6468" customFormat="false" ht="12.8" hidden="false" customHeight="false" outlineLevel="0" collapsed="false">
      <c r="B6468" s="0" t="s">
        <v>2919</v>
      </c>
    </row>
    <row r="6470" customFormat="false" ht="12.8" hidden="false" customHeight="false" outlineLevel="0" collapsed="false">
      <c r="A6470" s="0" t="s">
        <v>2920</v>
      </c>
      <c r="B6470" s="0" t="str">
        <f aca="false">HYPERLINK("https://lindat.mff.cuni.cz/services/teitok/pdtc10/index.php?action=vallex&amp;frame=v-w10358f2", "dublovat (v-w10358f2)")</f>
        <v>dublovat (v-w10358f2)</v>
      </c>
    </row>
    <row r="6471" customFormat="false" ht="12.8" hidden="false" customHeight="false" outlineLevel="0" collapsed="false">
      <c r="B6471" s="0" t="s">
        <v>7</v>
      </c>
      <c r="C6471" s="0" t="s">
        <v>396</v>
      </c>
    </row>
    <row r="6472" customFormat="false" ht="12.8" hidden="false" customHeight="false" outlineLevel="0" collapsed="false">
      <c r="B6472" s="0" t="s">
        <v>14</v>
      </c>
    </row>
    <row r="6474" customFormat="false" ht="12.8" hidden="false" customHeight="false" outlineLevel="0" collapsed="false">
      <c r="A6474" s="0" t="s">
        <v>2921</v>
      </c>
      <c r="B6474" s="0" t="str">
        <f aca="false">HYPERLINK("https://lindat.mff.cuni.cz/services/teitok/pdtc10/index.php?action=vallex&amp;frame=v-w10208f2", "dumat (v-w10208f2)")</f>
        <v>dumat (v-w10208f2)</v>
      </c>
    </row>
    <row r="6475" customFormat="false" ht="12.8" hidden="false" customHeight="false" outlineLevel="0" collapsed="false">
      <c r="B6475" s="0" t="s">
        <v>7</v>
      </c>
      <c r="C6475" s="0" t="s">
        <v>46</v>
      </c>
      <c r="D6475" s="0" t="s">
        <v>46</v>
      </c>
      <c r="E6475" s="0" t="s">
        <v>46</v>
      </c>
      <c r="F6475" s="0" t="s">
        <v>46</v>
      </c>
    </row>
    <row r="6476" customFormat="false" ht="12.8" hidden="false" customHeight="false" outlineLevel="0" collapsed="false">
      <c r="B6476" s="0" t="s">
        <v>2922</v>
      </c>
      <c r="C6476" s="0" t="s">
        <v>384</v>
      </c>
      <c r="D6476" s="0" t="s">
        <v>384</v>
      </c>
      <c r="E6476" s="0" t="s">
        <v>384</v>
      </c>
      <c r="F6476" s="0" t="s">
        <v>384</v>
      </c>
    </row>
    <row r="6478" customFormat="false" ht="12.8" hidden="false" customHeight="false" outlineLevel="0" collapsed="false">
      <c r="A6478" s="0" t="s">
        <v>2923</v>
      </c>
      <c r="B6478" s="0" t="str">
        <f aca="false">HYPERLINK("https://lindat.mff.cuni.cz/services/teitok/pdtc10/index.php?action=vallex&amp;frame=v-w11863_ZUf1_ZU", "dunět (v-w11863_ZUf1_ZU)")</f>
        <v>dunět (v-w11863_ZUf1_ZU)</v>
      </c>
    </row>
    <row r="6479" customFormat="false" ht="12.8" hidden="false" customHeight="false" outlineLevel="0" collapsed="false">
      <c r="B6479" s="0" t="s">
        <v>7</v>
      </c>
    </row>
    <row r="6481" customFormat="false" ht="12.8" hidden="false" customHeight="false" outlineLevel="0" collapsed="false">
      <c r="A6481" s="0" t="s">
        <v>2924</v>
      </c>
      <c r="B6481" s="0" t="str">
        <f aca="false">HYPERLINK("https://lindat.mff.cuni.cz/services/teitok/pdtc10/index.php?action=vallex&amp;frame=v-w11247f1", "dupnout si (v-w11247f1)")</f>
        <v>dupnout si (v-w11247f1)</v>
      </c>
    </row>
    <row r="6482" customFormat="false" ht="12.8" hidden="false" customHeight="false" outlineLevel="0" collapsed="false">
      <c r="B6482" s="0" t="s">
        <v>7</v>
      </c>
      <c r="C6482" s="0" t="s">
        <v>191</v>
      </c>
    </row>
    <row r="6484" customFormat="false" ht="12.8" hidden="false" customHeight="false" outlineLevel="0" collapsed="false">
      <c r="A6484" s="0" t="s">
        <v>2925</v>
      </c>
      <c r="B6484" s="0" t="str">
        <f aca="false">HYPERLINK("https://lindat.mff.cuni.cz/services/teitok/pdtc10/index.php?action=vallex&amp;frame=v-w851f1", "dusat (v-w851f1)")</f>
        <v>dusat (v-w851f1)</v>
      </c>
    </row>
    <row r="6485" customFormat="false" ht="12.8" hidden="false" customHeight="false" outlineLevel="0" collapsed="false">
      <c r="B6485" s="0" t="s">
        <v>7</v>
      </c>
    </row>
    <row r="6487" customFormat="false" ht="12.8" hidden="false" customHeight="false" outlineLevel="0" collapsed="false">
      <c r="A6487" s="0" t="s">
        <v>2926</v>
      </c>
      <c r="B6487" s="0" t="str">
        <f aca="false">HYPERLINK("https://lindat.mff.cuni.cz/services/teitok/pdtc10/index.php?action=vallex&amp;frame=v-w11399f2", "dusit (v-w11399f2)")</f>
        <v>dusit (v-w11399f2)</v>
      </c>
    </row>
    <row r="6488" customFormat="false" ht="12.8" hidden="false" customHeight="false" outlineLevel="0" collapsed="false">
      <c r="B6488" s="0" t="s">
        <v>7</v>
      </c>
    </row>
    <row r="6489" customFormat="false" ht="12.8" hidden="false" customHeight="false" outlineLevel="0" collapsed="false">
      <c r="B6489" s="0" t="s">
        <v>14</v>
      </c>
    </row>
    <row r="6491" customFormat="false" ht="12.8" hidden="false" customHeight="false" outlineLevel="0" collapsed="false">
      <c r="A6491" s="0" t="s">
        <v>2927</v>
      </c>
      <c r="B6491" s="0" t="str">
        <f aca="false">HYPERLINK("https://lindat.mff.cuni.cz/services/teitok/pdtc10/index.php?action=vallex&amp;frame=v-w11399f4", "dusit (v-w11399f4)")</f>
        <v>dusit (v-w11399f4)</v>
      </c>
    </row>
    <row r="6492" customFormat="false" ht="12.8" hidden="false" customHeight="false" outlineLevel="0" collapsed="false">
      <c r="B6492" s="0" t="s">
        <v>7</v>
      </c>
      <c r="C6492" s="0" t="s">
        <v>46</v>
      </c>
      <c r="D6492" s="0" t="s">
        <v>46</v>
      </c>
      <c r="E6492" s="0" t="s">
        <v>46</v>
      </c>
      <c r="F6492" s="0" t="s">
        <v>46</v>
      </c>
    </row>
    <row r="6493" customFormat="false" ht="12.8" hidden="false" customHeight="false" outlineLevel="0" collapsed="false">
      <c r="B6493" s="0" t="s">
        <v>14</v>
      </c>
      <c r="C6493" s="0" t="s">
        <v>47</v>
      </c>
      <c r="D6493" s="0" t="s">
        <v>47</v>
      </c>
      <c r="E6493" s="0" t="s">
        <v>47</v>
      </c>
      <c r="F6493" s="0" t="s">
        <v>47</v>
      </c>
    </row>
    <row r="6495" customFormat="false" ht="12.8" hidden="false" customHeight="false" outlineLevel="0" collapsed="false">
      <c r="A6495" s="0" t="s">
        <v>2928</v>
      </c>
      <c r="B6495" s="0" t="str">
        <f aca="false">HYPERLINK("https://lindat.mff.cuni.cz/services/teitok/pdtc10/index.php?action=vallex&amp;frame=v-w11399f3", "dusit (v-w11399f3)")</f>
        <v>dusit (v-w11399f3)</v>
      </c>
    </row>
    <row r="6496" customFormat="false" ht="12.8" hidden="false" customHeight="false" outlineLevel="0" collapsed="false">
      <c r="B6496" s="0" t="s">
        <v>7</v>
      </c>
      <c r="C6496" s="0" t="s">
        <v>569</v>
      </c>
      <c r="D6496" s="0" t="s">
        <v>2170</v>
      </c>
      <c r="E6496" s="0" t="s">
        <v>2170</v>
      </c>
      <c r="F6496" s="0" t="s">
        <v>2170</v>
      </c>
    </row>
    <row r="6497" customFormat="false" ht="12.8" hidden="false" customHeight="false" outlineLevel="0" collapsed="false">
      <c r="B6497" s="0" t="s">
        <v>14</v>
      </c>
      <c r="C6497" s="0" t="s">
        <v>74</v>
      </c>
      <c r="D6497" s="0" t="s">
        <v>1168</v>
      </c>
      <c r="E6497" s="0" t="s">
        <v>1168</v>
      </c>
      <c r="F6497" s="0" t="s">
        <v>1168</v>
      </c>
    </row>
    <row r="6499" customFormat="false" ht="12.8" hidden="false" customHeight="false" outlineLevel="0" collapsed="false">
      <c r="A6499" s="0" t="s">
        <v>2929</v>
      </c>
      <c r="B6499" s="0" t="str">
        <f aca="false">HYPERLINK("https://lindat.mff.cuni.cz/services/teitok/pdtc10/index.php?action=vallex&amp;frame=v-w11399f5_ZU", "dusit (v-w11399f5_ZU)")</f>
        <v>dusit (v-w11399f5_ZU)</v>
      </c>
    </row>
    <row r="6500" customFormat="false" ht="12.8" hidden="false" customHeight="false" outlineLevel="0" collapsed="false">
      <c r="B6500" s="0" t="s">
        <v>7</v>
      </c>
    </row>
    <row r="6501" customFormat="false" ht="12.8" hidden="false" customHeight="false" outlineLevel="0" collapsed="false">
      <c r="B6501" s="0" t="s">
        <v>14</v>
      </c>
    </row>
    <row r="6503" customFormat="false" ht="12.8" hidden="false" customHeight="false" outlineLevel="0" collapsed="false">
      <c r="A6503" s="0" t="s">
        <v>2930</v>
      </c>
      <c r="B6503" s="0" t="str">
        <f aca="false">HYPERLINK("https://lindat.mff.cuni.cz/services/teitok/pdtc10/index.php?action=vallex&amp;frame=v-w852f1", "dusit se (v-w852f1)")</f>
        <v>dusit se (v-w852f1)</v>
      </c>
    </row>
    <row r="6504" customFormat="false" ht="12.8" hidden="false" customHeight="false" outlineLevel="0" collapsed="false">
      <c r="B6504" s="0" t="s">
        <v>7</v>
      </c>
    </row>
    <row r="6506" customFormat="false" ht="12.8" hidden="false" customHeight="false" outlineLevel="0" collapsed="false">
      <c r="A6506" s="0" t="s">
        <v>2931</v>
      </c>
      <c r="B6506" s="0" t="str">
        <f aca="false">HYPERLINK("https://lindat.mff.cuni.cz/services/teitok/pdtc10/index.php?action=vallex&amp;frame=v-w11876_ZUf1_ZU", "dutat (v-w11876_ZUf1_ZU)")</f>
        <v>dutat (v-w11876_ZUf1_ZU)</v>
      </c>
    </row>
    <row r="6507" customFormat="false" ht="12.8" hidden="false" customHeight="false" outlineLevel="0" collapsed="false">
      <c r="B6507" s="0" t="s">
        <v>7</v>
      </c>
    </row>
    <row r="6508" customFormat="false" ht="12.8" hidden="false" customHeight="false" outlineLevel="0" collapsed="false">
      <c r="B6508" s="0" t="s">
        <v>363</v>
      </c>
    </row>
    <row r="6509" customFormat="false" ht="12.8" hidden="false" customHeight="false" outlineLevel="0" collapsed="false">
      <c r="B6509" s="0" t="s">
        <v>666</v>
      </c>
    </row>
    <row r="6511" customFormat="false" ht="12.8" hidden="false" customHeight="false" outlineLevel="0" collapsed="false">
      <c r="A6511" s="0" t="s">
        <v>2932</v>
      </c>
      <c r="B6511" s="0" t="str">
        <f aca="false">HYPERLINK("https://lindat.mff.cuni.cz/services/teitok/pdtc10/index.php?action=vallex&amp;frame=v-w855f1", "dušovat se (v-w855f1)")</f>
        <v>dušovat se (v-w855f1)</v>
      </c>
    </row>
    <row r="6512" customFormat="false" ht="12.8" hidden="false" customHeight="false" outlineLevel="0" collapsed="false">
      <c r="B6512" s="0" t="s">
        <v>7</v>
      </c>
      <c r="C6512" s="0" t="s">
        <v>191</v>
      </c>
    </row>
    <row r="6513" customFormat="false" ht="12.8" hidden="false" customHeight="false" outlineLevel="0" collapsed="false">
      <c r="B6513" s="0" t="s">
        <v>2933</v>
      </c>
      <c r="C6513" s="0" t="s">
        <v>47</v>
      </c>
    </row>
    <row r="6515" customFormat="false" ht="12.8" hidden="false" customHeight="false" outlineLevel="0" collapsed="false">
      <c r="A6515" s="0" t="s">
        <v>2934</v>
      </c>
      <c r="B6515" s="0" t="str">
        <f aca="false">HYPERLINK("https://lindat.mff.cuni.cz/services/teitok/pdtc10/index.php?action=vallex&amp;frame=v-w11314f2", "dvořit se (v-w11314f2)")</f>
        <v>dvořit se (v-w11314f2)</v>
      </c>
    </row>
    <row r="6516" customFormat="false" ht="12.8" hidden="false" customHeight="false" outlineLevel="0" collapsed="false">
      <c r="B6516" s="0" t="s">
        <v>7</v>
      </c>
      <c r="C6516" s="0" t="s">
        <v>569</v>
      </c>
      <c r="D6516" s="0" t="s">
        <v>1332</v>
      </c>
      <c r="E6516" s="0" t="s">
        <v>1332</v>
      </c>
      <c r="F6516" s="0" t="s">
        <v>1332</v>
      </c>
    </row>
    <row r="6517" customFormat="false" ht="12.8" hidden="false" customHeight="false" outlineLevel="0" collapsed="false">
      <c r="B6517" s="0" t="s">
        <v>142</v>
      </c>
      <c r="C6517" s="0" t="s">
        <v>74</v>
      </c>
      <c r="D6517" s="0" t="s">
        <v>2935</v>
      </c>
      <c r="E6517" s="0" t="s">
        <v>2935</v>
      </c>
      <c r="F6517" s="0" t="s">
        <v>2935</v>
      </c>
    </row>
    <row r="6519" customFormat="false" ht="12.8" hidden="false" customHeight="false" outlineLevel="0" collapsed="false">
      <c r="A6519" s="0" t="s">
        <v>2936</v>
      </c>
      <c r="B6519" s="0" t="str">
        <f aca="false">HYPERLINK("https://lindat.mff.cuni.cz/services/teitok/pdtc10/index.php?action=vallex&amp;frame=v-w11150f4_ZU", "dychtit (v-w11150f4_ZU)")</f>
        <v>dychtit (v-w11150f4_ZU)</v>
      </c>
    </row>
    <row r="6520" customFormat="false" ht="12.8" hidden="false" customHeight="false" outlineLevel="0" collapsed="false">
      <c r="B6520" s="0" t="s">
        <v>7</v>
      </c>
    </row>
    <row r="6521" customFormat="false" ht="12.8" hidden="false" customHeight="false" outlineLevel="0" collapsed="false">
      <c r="B6521" s="0" t="s">
        <v>2937</v>
      </c>
    </row>
    <row r="6523" customFormat="false" ht="12.8" hidden="false" customHeight="false" outlineLevel="0" collapsed="false">
      <c r="A6523" s="0" t="s">
        <v>2936</v>
      </c>
      <c r="B6523" s="0" t="str">
        <f aca="false">HYPERLINK("https://lindat.mff.cuni.cz/services/teitok/pdtc10/index.php?action=vallex&amp;frame=v-w11150f2", "dychtit (v-w11150f2) - substituted with v-w11150f4_ZU")</f>
        <v>dychtit (v-w11150f2) - substituted with v-w11150f4_ZU</v>
      </c>
    </row>
    <row r="6524" customFormat="false" ht="12.8" hidden="false" customHeight="false" outlineLevel="0" collapsed="false">
      <c r="B6524" s="0" t="s">
        <v>7</v>
      </c>
    </row>
    <row r="6525" customFormat="false" ht="12.8" hidden="false" customHeight="false" outlineLevel="0" collapsed="false">
      <c r="B6525" s="0" t="s">
        <v>2937</v>
      </c>
    </row>
    <row r="6527" customFormat="false" ht="12.8" hidden="false" customHeight="false" outlineLevel="0" collapsed="false">
      <c r="A6527" s="0" t="s">
        <v>2938</v>
      </c>
      <c r="B6527" s="0" t="str">
        <f aca="false">HYPERLINK("https://lindat.mff.cuni.cz/services/teitok/pdtc10/index.php?action=vallex&amp;frame=v-w11150f3_ZU", "dychtit (v-w11150f3_ZU)")</f>
        <v>dychtit (v-w11150f3_ZU)</v>
      </c>
    </row>
    <row r="6528" customFormat="false" ht="12.8" hidden="false" customHeight="false" outlineLevel="0" collapsed="false">
      <c r="B6528" s="0" t="s">
        <v>7</v>
      </c>
    </row>
    <row r="6529" customFormat="false" ht="12.8" hidden="false" customHeight="false" outlineLevel="0" collapsed="false">
      <c r="B6529" s="0" t="s">
        <v>2937</v>
      </c>
    </row>
    <row r="6531" customFormat="false" ht="12.8" hidden="false" customHeight="false" outlineLevel="0" collapsed="false">
      <c r="A6531" s="0" t="s">
        <v>2939</v>
      </c>
      <c r="B6531" s="0" t="str">
        <f aca="false">HYPERLINK("https://lindat.mff.cuni.cz/services/teitok/pdtc10/index.php?action=vallex&amp;frame=v-w369f13", "dát (v-w369f13)")</f>
        <v>dát (v-w369f13)</v>
      </c>
    </row>
    <row r="6532" customFormat="false" ht="12.8" hidden="false" customHeight="false" outlineLevel="0" collapsed="false">
      <c r="B6532" s="0" t="s">
        <v>7</v>
      </c>
      <c r="C6532" s="0" t="s">
        <v>2940</v>
      </c>
      <c r="D6532" s="0" t="s">
        <v>2940</v>
      </c>
      <c r="E6532" s="0" t="s">
        <v>2940</v>
      </c>
      <c r="F6532" s="0" t="s">
        <v>2940</v>
      </c>
    </row>
    <row r="6533" customFormat="false" ht="12.8" hidden="false" customHeight="false" outlineLevel="0" collapsed="false">
      <c r="B6533" s="0" t="s">
        <v>2313</v>
      </c>
      <c r="C6533" s="0" t="s">
        <v>2941</v>
      </c>
      <c r="D6533" s="0" t="s">
        <v>2941</v>
      </c>
      <c r="E6533" s="0" t="s">
        <v>2941</v>
      </c>
      <c r="F6533" s="0" t="s">
        <v>2941</v>
      </c>
    </row>
    <row r="6534" customFormat="false" ht="12.8" hidden="false" customHeight="false" outlineLevel="0" collapsed="false">
      <c r="B6534" s="0" t="s">
        <v>48</v>
      </c>
      <c r="C6534" s="0" t="s">
        <v>2942</v>
      </c>
      <c r="D6534" s="0" t="s">
        <v>2942</v>
      </c>
      <c r="E6534" s="0" t="s">
        <v>2942</v>
      </c>
      <c r="F6534" s="0" t="s">
        <v>2942</v>
      </c>
    </row>
    <row r="6535" customFormat="false" ht="12.8" hidden="false" customHeight="false" outlineLevel="0" collapsed="false">
      <c r="B6535" s="0" t="s">
        <v>2943</v>
      </c>
      <c r="D6535" s="0" t="s">
        <v>2944</v>
      </c>
      <c r="E6535" s="0" t="s">
        <v>2944</v>
      </c>
      <c r="F6535" s="0" t="s">
        <v>2944</v>
      </c>
    </row>
    <row r="6537" customFormat="false" ht="12.8" hidden="false" customHeight="false" outlineLevel="0" collapsed="false">
      <c r="A6537" s="0" t="s">
        <v>2945</v>
      </c>
      <c r="B6537" s="0" t="str">
        <f aca="false">HYPERLINK("https://lindat.mff.cuni.cz/services/teitok/pdtc10/index.php?action=vallex&amp;frame=v-w369f28", "dát (v-w369f28)")</f>
        <v>dát (v-w369f28)</v>
      </c>
    </row>
    <row r="6538" customFormat="false" ht="12.8" hidden="false" customHeight="false" outlineLevel="0" collapsed="false">
      <c r="B6538" s="0" t="s">
        <v>7</v>
      </c>
      <c r="D6538" s="0" t="s">
        <v>2940</v>
      </c>
      <c r="E6538" s="0" t="s">
        <v>2940</v>
      </c>
      <c r="F6538" s="0" t="s">
        <v>2940</v>
      </c>
    </row>
    <row r="6539" customFormat="false" ht="12.8" hidden="false" customHeight="false" outlineLevel="0" collapsed="false">
      <c r="B6539" s="0" t="s">
        <v>306</v>
      </c>
      <c r="D6539" s="0" t="s">
        <v>2941</v>
      </c>
      <c r="E6539" s="0" t="s">
        <v>2941</v>
      </c>
      <c r="F6539" s="0" t="s">
        <v>2941</v>
      </c>
    </row>
    <row r="6540" customFormat="false" ht="12.8" hidden="false" customHeight="false" outlineLevel="0" collapsed="false">
      <c r="B6540" s="0" t="s">
        <v>106</v>
      </c>
      <c r="D6540" s="0" t="s">
        <v>2942</v>
      </c>
      <c r="E6540" s="0" t="s">
        <v>2942</v>
      </c>
      <c r="F6540" s="0" t="s">
        <v>2942</v>
      </c>
    </row>
    <row r="6541" customFormat="false" ht="12.8" hidden="false" customHeight="false" outlineLevel="0" collapsed="false">
      <c r="B6541" s="0" t="s">
        <v>2946</v>
      </c>
      <c r="D6541" s="0" t="s">
        <v>2944</v>
      </c>
      <c r="E6541" s="0" t="s">
        <v>2944</v>
      </c>
      <c r="F6541" s="0" t="s">
        <v>2944</v>
      </c>
    </row>
    <row r="6543" customFormat="false" ht="12.8" hidden="false" customHeight="false" outlineLevel="0" collapsed="false">
      <c r="A6543" s="0" t="s">
        <v>2947</v>
      </c>
      <c r="B6543" s="0" t="str">
        <f aca="false">HYPERLINK("https://lindat.mff.cuni.cz/services/teitok/pdtc10/index.php?action=vallex&amp;frame=v-w369f10", "dát (v-w369f10)")</f>
        <v>dát (v-w369f10)</v>
      </c>
    </row>
    <row r="6544" customFormat="false" ht="12.8" hidden="false" customHeight="false" outlineLevel="0" collapsed="false">
      <c r="B6544" s="0" t="s">
        <v>7</v>
      </c>
      <c r="C6544" s="0" t="s">
        <v>2948</v>
      </c>
      <c r="D6544" s="0" t="s">
        <v>2949</v>
      </c>
      <c r="E6544" s="0" t="s">
        <v>2949</v>
      </c>
      <c r="F6544" s="0" t="s">
        <v>2949</v>
      </c>
    </row>
    <row r="6545" customFormat="false" ht="12.8" hidden="false" customHeight="false" outlineLevel="0" collapsed="false">
      <c r="B6545" s="0" t="s">
        <v>14</v>
      </c>
      <c r="C6545" s="0" t="s">
        <v>2950</v>
      </c>
      <c r="D6545" s="0" t="s">
        <v>2951</v>
      </c>
      <c r="E6545" s="0" t="s">
        <v>2951</v>
      </c>
      <c r="F6545" s="0" t="s">
        <v>2951</v>
      </c>
    </row>
    <row r="6546" customFormat="false" ht="12.8" hidden="false" customHeight="false" outlineLevel="0" collapsed="false">
      <c r="B6546" s="0" t="s">
        <v>106</v>
      </c>
      <c r="C6546" s="0" t="s">
        <v>1165</v>
      </c>
      <c r="D6546" s="0" t="s">
        <v>2952</v>
      </c>
      <c r="E6546" s="0" t="s">
        <v>2952</v>
      </c>
      <c r="F6546" s="0" t="s">
        <v>2952</v>
      </c>
    </row>
    <row r="6547" customFormat="false" ht="12.8" hidden="false" customHeight="false" outlineLevel="0" collapsed="false">
      <c r="B6547" s="0" t="s">
        <v>550</v>
      </c>
      <c r="C6547" s="0" t="s">
        <v>2953</v>
      </c>
      <c r="D6547" s="0" t="s">
        <v>2954</v>
      </c>
      <c r="E6547" s="0" t="s">
        <v>2954</v>
      </c>
      <c r="F6547" s="0" t="s">
        <v>2954</v>
      </c>
    </row>
    <row r="6549" customFormat="false" ht="12.8" hidden="false" customHeight="false" outlineLevel="0" collapsed="false">
      <c r="A6549" s="0" t="s">
        <v>2955</v>
      </c>
      <c r="B6549" s="0" t="str">
        <f aca="false">HYPERLINK("https://lindat.mff.cuni.cz/services/teitok/pdtc10/index.php?action=vallex&amp;frame=v-w369f94_ZU", "dát (v-w369f94_ZU)")</f>
        <v>dát (v-w369f94_ZU)</v>
      </c>
    </row>
    <row r="6550" customFormat="false" ht="12.8" hidden="false" customHeight="false" outlineLevel="0" collapsed="false">
      <c r="B6550" s="0" t="s">
        <v>7</v>
      </c>
    </row>
    <row r="6551" customFormat="false" ht="12.8" hidden="false" customHeight="false" outlineLevel="0" collapsed="false">
      <c r="B6551" s="0" t="s">
        <v>2956</v>
      </c>
    </row>
    <row r="6552" customFormat="false" ht="12.8" hidden="false" customHeight="false" outlineLevel="0" collapsed="false">
      <c r="B6552" s="0" t="s">
        <v>48</v>
      </c>
    </row>
    <row r="6554" customFormat="false" ht="12.8" hidden="false" customHeight="false" outlineLevel="0" collapsed="false">
      <c r="A6554" s="0" t="s">
        <v>2955</v>
      </c>
      <c r="B6554" s="0" t="str">
        <f aca="false">HYPERLINK("https://lindat.mff.cuni.cz/services/teitok/pdtc10/index.php?action=vallex&amp;frame=v-w369f42", "dát (v-w369f42) - substituted with v-w369f94_ZU")</f>
        <v>dát (v-w369f42) - substituted with v-w369f94_ZU</v>
      </c>
    </row>
    <row r="6555" customFormat="false" ht="12.8" hidden="false" customHeight="false" outlineLevel="0" collapsed="false">
      <c r="B6555" s="0" t="s">
        <v>7</v>
      </c>
    </row>
    <row r="6556" customFormat="false" ht="12.8" hidden="false" customHeight="false" outlineLevel="0" collapsed="false">
      <c r="B6556" s="0" t="s">
        <v>2956</v>
      </c>
    </row>
    <row r="6557" customFormat="false" ht="12.8" hidden="false" customHeight="false" outlineLevel="0" collapsed="false">
      <c r="B6557" s="0" t="s">
        <v>48</v>
      </c>
    </row>
    <row r="6559" customFormat="false" ht="12.8" hidden="false" customHeight="false" outlineLevel="0" collapsed="false">
      <c r="A6559" s="0" t="s">
        <v>2957</v>
      </c>
      <c r="B6559" s="0" t="str">
        <f aca="false">HYPERLINK("https://lindat.mff.cuni.cz/services/teitok/pdtc10/index.php?action=vallex&amp;frame=v-w369f107_ZU", "dát (v-w369f107_ZU)")</f>
        <v>dát (v-w369f107_ZU)</v>
      </c>
    </row>
    <row r="6560" customFormat="false" ht="12.8" hidden="false" customHeight="false" outlineLevel="0" collapsed="false">
      <c r="B6560" s="0" t="s">
        <v>7</v>
      </c>
    </row>
    <row r="6561" customFormat="false" ht="12.8" hidden="false" customHeight="false" outlineLevel="0" collapsed="false">
      <c r="B6561" s="0" t="s">
        <v>306</v>
      </c>
    </row>
    <row r="6562" customFormat="false" ht="12.8" hidden="false" customHeight="false" outlineLevel="0" collapsed="false">
      <c r="B6562" s="0" t="s">
        <v>48</v>
      </c>
    </row>
    <row r="6564" customFormat="false" ht="12.8" hidden="false" customHeight="false" outlineLevel="0" collapsed="false">
      <c r="A6564" s="0" t="s">
        <v>2957</v>
      </c>
      <c r="B6564" s="0" t="str">
        <f aca="false">HYPERLINK("https://lindat.mff.cuni.cz/services/teitok/pdtc10/index.php?action=vallex&amp;frame=v-w369f1", "dát (v-w369f1) - substituted with v-w369f107_ZU")</f>
        <v>dát (v-w369f1) - substituted with v-w369f107_ZU</v>
      </c>
    </row>
    <row r="6565" customFormat="false" ht="12.8" hidden="false" customHeight="false" outlineLevel="0" collapsed="false">
      <c r="B6565" s="0" t="s">
        <v>7</v>
      </c>
      <c r="C6565" s="0" t="s">
        <v>2958</v>
      </c>
      <c r="D6565" s="0" t="s">
        <v>2959</v>
      </c>
      <c r="E6565" s="0" t="s">
        <v>2959</v>
      </c>
      <c r="F6565" s="0" t="s">
        <v>2959</v>
      </c>
    </row>
    <row r="6566" customFormat="false" ht="12.8" hidden="false" customHeight="false" outlineLevel="0" collapsed="false">
      <c r="B6566" s="0" t="s">
        <v>306</v>
      </c>
      <c r="C6566" s="0" t="s">
        <v>2960</v>
      </c>
      <c r="D6566" s="0" t="s">
        <v>2961</v>
      </c>
      <c r="E6566" s="0" t="s">
        <v>2961</v>
      </c>
      <c r="F6566" s="0" t="s">
        <v>2961</v>
      </c>
    </row>
    <row r="6567" customFormat="false" ht="12.8" hidden="false" customHeight="false" outlineLevel="0" collapsed="false">
      <c r="B6567" s="0" t="s">
        <v>48</v>
      </c>
      <c r="C6567" s="0" t="s">
        <v>2962</v>
      </c>
      <c r="D6567" s="0" t="s">
        <v>2963</v>
      </c>
      <c r="E6567" s="0" t="s">
        <v>2963</v>
      </c>
      <c r="F6567" s="0" t="s">
        <v>2963</v>
      </c>
    </row>
    <row r="6569" customFormat="false" ht="12.8" hidden="false" customHeight="false" outlineLevel="0" collapsed="false">
      <c r="A6569" s="0" t="s">
        <v>2957</v>
      </c>
      <c r="B6569" s="0" t="str">
        <f aca="false">HYPERLINK("https://lindat.mff.cuni.cz/services/teitok/pdtc10/index.php?action=vallex&amp;frame=v-w369f79_ZU", "dát (v-w369f79_ZU) - substituted with v-w369f107_ZU")</f>
        <v>dát (v-w369f79_ZU) - substituted with v-w369f107_ZU</v>
      </c>
    </row>
    <row r="6570" customFormat="false" ht="12.8" hidden="false" customHeight="false" outlineLevel="0" collapsed="false">
      <c r="B6570" s="0" t="s">
        <v>7</v>
      </c>
    </row>
    <row r="6571" customFormat="false" ht="12.8" hidden="false" customHeight="false" outlineLevel="0" collapsed="false">
      <c r="B6571" s="0" t="s">
        <v>306</v>
      </c>
    </row>
    <row r="6572" customFormat="false" ht="12.8" hidden="false" customHeight="false" outlineLevel="0" collapsed="false">
      <c r="B6572" s="0" t="s">
        <v>48</v>
      </c>
    </row>
    <row r="6574" customFormat="false" ht="12.8" hidden="false" customHeight="false" outlineLevel="0" collapsed="false">
      <c r="A6574" s="0" t="s">
        <v>2964</v>
      </c>
      <c r="B6574" s="0" t="str">
        <f aca="false">HYPERLINK("https://lindat.mff.cuni.cz/services/teitok/pdtc10/index.php?action=vallex&amp;frame=v-w369f30", "dát (v-w369f30)")</f>
        <v>dát (v-w369f30)</v>
      </c>
    </row>
    <row r="6575" customFormat="false" ht="12.8" hidden="false" customHeight="false" outlineLevel="0" collapsed="false">
      <c r="B6575" s="0" t="s">
        <v>7</v>
      </c>
      <c r="C6575" s="0" t="s">
        <v>2965</v>
      </c>
      <c r="D6575" s="0" t="s">
        <v>1484</v>
      </c>
      <c r="E6575" s="0" t="s">
        <v>1484</v>
      </c>
      <c r="F6575" s="0" t="s">
        <v>1484</v>
      </c>
    </row>
    <row r="6576" customFormat="false" ht="12.8" hidden="false" customHeight="false" outlineLevel="0" collapsed="false">
      <c r="B6576" s="0" t="s">
        <v>14</v>
      </c>
      <c r="C6576" s="0" t="s">
        <v>2966</v>
      </c>
      <c r="D6576" s="0" t="s">
        <v>1485</v>
      </c>
      <c r="E6576" s="0" t="s">
        <v>1485</v>
      </c>
      <c r="F6576" s="0" t="s">
        <v>1485</v>
      </c>
    </row>
    <row r="6577" customFormat="false" ht="12.8" hidden="false" customHeight="false" outlineLevel="0" collapsed="false">
      <c r="B6577" s="0" t="s">
        <v>48</v>
      </c>
      <c r="C6577" s="0" t="s">
        <v>2967</v>
      </c>
      <c r="D6577" s="0" t="s">
        <v>1487</v>
      </c>
      <c r="E6577" s="0" t="s">
        <v>1487</v>
      </c>
      <c r="F6577" s="0" t="s">
        <v>1487</v>
      </c>
    </row>
    <row r="6579" customFormat="false" ht="12.8" hidden="false" customHeight="false" outlineLevel="0" collapsed="false">
      <c r="A6579" s="0" t="s">
        <v>2968</v>
      </c>
      <c r="B6579" s="0" t="str">
        <f aca="false">HYPERLINK("https://lindat.mff.cuni.cz/services/teitok/pdtc10/index.php?action=vallex&amp;frame=v-w369f90_ZU", "dát (v-w369f90_ZU)")</f>
        <v>dát (v-w369f90_ZU)</v>
      </c>
    </row>
    <row r="6580" customFormat="false" ht="12.8" hidden="false" customHeight="false" outlineLevel="0" collapsed="false">
      <c r="B6580" s="0" t="s">
        <v>7</v>
      </c>
    </row>
    <row r="6581" customFormat="false" ht="12.8" hidden="false" customHeight="false" outlineLevel="0" collapsed="false">
      <c r="B6581" s="0" t="s">
        <v>232</v>
      </c>
    </row>
    <row r="6582" customFormat="false" ht="12.8" hidden="false" customHeight="false" outlineLevel="0" collapsed="false">
      <c r="B6582" s="0" t="s">
        <v>48</v>
      </c>
    </row>
    <row r="6584" customFormat="false" ht="12.8" hidden="false" customHeight="false" outlineLevel="0" collapsed="false">
      <c r="A6584" s="0" t="s">
        <v>2968</v>
      </c>
      <c r="B6584" s="0" t="str">
        <f aca="false">HYPERLINK("https://lindat.mff.cuni.cz/services/teitok/pdtc10/index.php?action=vallex&amp;frame=v-w369f31", "dát (v-w369f31) - substituted with v-w369f90_ZU")</f>
        <v>dát (v-w369f31) - substituted with v-w369f90_ZU</v>
      </c>
    </row>
    <row r="6585" customFormat="false" ht="12.8" hidden="false" customHeight="false" outlineLevel="0" collapsed="false">
      <c r="B6585" s="0" t="s">
        <v>7</v>
      </c>
      <c r="C6585" s="0" t="s">
        <v>2969</v>
      </c>
      <c r="D6585" s="0" t="s">
        <v>2970</v>
      </c>
      <c r="E6585" s="0" t="s">
        <v>2970</v>
      </c>
      <c r="F6585" s="0" t="s">
        <v>2970</v>
      </c>
    </row>
    <row r="6586" customFormat="false" ht="12.8" hidden="false" customHeight="false" outlineLevel="0" collapsed="false">
      <c r="B6586" s="0" t="s">
        <v>232</v>
      </c>
      <c r="C6586" s="0" t="s">
        <v>2971</v>
      </c>
      <c r="D6586" s="0" t="s">
        <v>2972</v>
      </c>
      <c r="E6586" s="0" t="s">
        <v>2972</v>
      </c>
      <c r="F6586" s="0" t="s">
        <v>2972</v>
      </c>
    </row>
    <row r="6587" customFormat="false" ht="12.8" hidden="false" customHeight="false" outlineLevel="0" collapsed="false">
      <c r="B6587" s="0" t="s">
        <v>48</v>
      </c>
      <c r="C6587" s="0" t="s">
        <v>2973</v>
      </c>
      <c r="D6587" s="0" t="s">
        <v>2974</v>
      </c>
      <c r="E6587" s="0" t="s">
        <v>2974</v>
      </c>
      <c r="F6587" s="0" t="s">
        <v>2974</v>
      </c>
    </row>
    <row r="6589" customFormat="false" ht="12.8" hidden="false" customHeight="false" outlineLevel="0" collapsed="false">
      <c r="A6589" s="0" t="s">
        <v>2975</v>
      </c>
      <c r="B6589" s="0" t="str">
        <f aca="false">HYPERLINK("https://lindat.mff.cuni.cz/services/teitok/pdtc10/index.php?action=vallex&amp;frame=v-w369f101_ZU", "dát (v-w369f101_ZU)")</f>
        <v>dát (v-w369f101_ZU)</v>
      </c>
    </row>
    <row r="6590" customFormat="false" ht="12.8" hidden="false" customHeight="false" outlineLevel="0" collapsed="false">
      <c r="B6590" s="0" t="s">
        <v>2976</v>
      </c>
    </row>
    <row r="6591" customFormat="false" ht="12.8" hidden="false" customHeight="false" outlineLevel="0" collapsed="false">
      <c r="B6591" s="0" t="s">
        <v>14</v>
      </c>
    </row>
    <row r="6592" customFormat="false" ht="12.8" hidden="false" customHeight="false" outlineLevel="0" collapsed="false">
      <c r="B6592" s="0" t="s">
        <v>106</v>
      </c>
    </row>
    <row r="6594" customFormat="false" ht="12.8" hidden="false" customHeight="false" outlineLevel="0" collapsed="false">
      <c r="A6594" s="0" t="s">
        <v>2975</v>
      </c>
      <c r="B6594" s="0" t="str">
        <f aca="false">HYPERLINK("https://lindat.mff.cuni.cz/services/teitok/pdtc10/index.php?action=vallex&amp;frame=v-w369f33", "dát (v-w369f33) - substituted with v-w369f101_ZU")</f>
        <v>dát (v-w369f33) - substituted with v-w369f101_ZU</v>
      </c>
    </row>
    <row r="6595" customFormat="false" ht="12.8" hidden="false" customHeight="false" outlineLevel="0" collapsed="false">
      <c r="B6595" s="0" t="s">
        <v>2976</v>
      </c>
    </row>
    <row r="6596" customFormat="false" ht="12.8" hidden="false" customHeight="false" outlineLevel="0" collapsed="false">
      <c r="B6596" s="0" t="s">
        <v>14</v>
      </c>
    </row>
    <row r="6597" customFormat="false" ht="12.8" hidden="false" customHeight="false" outlineLevel="0" collapsed="false">
      <c r="B6597" s="0" t="s">
        <v>106</v>
      </c>
    </row>
    <row r="6599" customFormat="false" ht="12.8" hidden="false" customHeight="false" outlineLevel="0" collapsed="false">
      <c r="A6599" s="0" t="s">
        <v>2975</v>
      </c>
      <c r="B6599" s="0" t="str">
        <f aca="false">HYPERLINK("https://lindat.mff.cuni.cz/services/teitok/pdtc10/index.php?action=vallex&amp;frame=v-w369hsa_837", "dát (v-w369hsa_837) - substituted with v-w369f101_ZU")</f>
        <v>dát (v-w369hsa_837) - substituted with v-w369f101_ZU</v>
      </c>
    </row>
    <row r="6600" customFormat="false" ht="12.8" hidden="false" customHeight="false" outlineLevel="0" collapsed="false">
      <c r="B6600" s="0" t="s">
        <v>2976</v>
      </c>
    </row>
    <row r="6601" customFormat="false" ht="12.8" hidden="false" customHeight="false" outlineLevel="0" collapsed="false">
      <c r="B6601" s="0" t="s">
        <v>14</v>
      </c>
    </row>
    <row r="6602" customFormat="false" ht="12.8" hidden="false" customHeight="false" outlineLevel="0" collapsed="false">
      <c r="B6602" s="0" t="s">
        <v>106</v>
      </c>
    </row>
    <row r="6604" customFormat="false" ht="12.8" hidden="false" customHeight="false" outlineLevel="0" collapsed="false">
      <c r="A6604" s="0" t="s">
        <v>2977</v>
      </c>
      <c r="B6604" s="0" t="str">
        <f aca="false">HYPERLINK("https://lindat.mff.cuni.cz/services/teitok/pdtc10/index.php?action=vallex&amp;frame=v-w369f11", "dát (v-w369f11)")</f>
        <v>dát (v-w369f11)</v>
      </c>
    </row>
    <row r="6605" customFormat="false" ht="12.8" hidden="false" customHeight="false" outlineLevel="0" collapsed="false">
      <c r="B6605" s="0" t="s">
        <v>7</v>
      </c>
      <c r="D6605" s="0" t="s">
        <v>208</v>
      </c>
      <c r="E6605" s="0" t="s">
        <v>208</v>
      </c>
      <c r="F6605" s="0" t="s">
        <v>208</v>
      </c>
    </row>
    <row r="6606" customFormat="false" ht="12.8" hidden="false" customHeight="false" outlineLevel="0" collapsed="false">
      <c r="B6606" s="0" t="s">
        <v>142</v>
      </c>
      <c r="D6606" s="0" t="s">
        <v>2978</v>
      </c>
      <c r="E6606" s="0" t="s">
        <v>2978</v>
      </c>
      <c r="F6606" s="0" t="s">
        <v>2978</v>
      </c>
    </row>
    <row r="6607" customFormat="false" ht="12.8" hidden="false" customHeight="false" outlineLevel="0" collapsed="false">
      <c r="B6607" s="0" t="s">
        <v>1284</v>
      </c>
      <c r="D6607" s="0" t="s">
        <v>2979</v>
      </c>
      <c r="E6607" s="0" t="s">
        <v>2979</v>
      </c>
      <c r="F6607" s="0" t="s">
        <v>2979</v>
      </c>
    </row>
    <row r="6609" customFormat="false" ht="12.8" hidden="false" customHeight="false" outlineLevel="0" collapsed="false">
      <c r="A6609" s="0" t="s">
        <v>2980</v>
      </c>
      <c r="B6609" s="0" t="str">
        <f aca="false">HYPERLINK("https://lindat.mff.cuni.cz/services/teitok/pdtc10/index.php?action=vallex&amp;frame=v-w369f32", "dát (v-w369f32)")</f>
        <v>dát (v-w369f32)</v>
      </c>
    </row>
    <row r="6610" customFormat="false" ht="12.8" hidden="false" customHeight="false" outlineLevel="0" collapsed="false">
      <c r="B6610" s="0" t="s">
        <v>7</v>
      </c>
    </row>
    <row r="6611" customFormat="false" ht="12.8" hidden="false" customHeight="false" outlineLevel="0" collapsed="false">
      <c r="B6611" s="0" t="s">
        <v>14</v>
      </c>
    </row>
    <row r="6612" customFormat="false" ht="12.8" hidden="false" customHeight="false" outlineLevel="0" collapsed="false">
      <c r="B6612" s="0" t="s">
        <v>1284</v>
      </c>
    </row>
    <row r="6614" customFormat="false" ht="12.8" hidden="false" customHeight="false" outlineLevel="0" collapsed="false">
      <c r="A6614" s="0" t="s">
        <v>2981</v>
      </c>
      <c r="B6614" s="0" t="str">
        <f aca="false">HYPERLINK("https://lindat.mff.cuni.cz/services/teitok/pdtc10/index.php?action=vallex&amp;frame=v-w369f50", "dát (v-w369f50)")</f>
        <v>dát (v-w369f50)</v>
      </c>
    </row>
    <row r="6615" customFormat="false" ht="12.8" hidden="false" customHeight="false" outlineLevel="0" collapsed="false">
      <c r="B6615" s="0" t="s">
        <v>7</v>
      </c>
    </row>
    <row r="6616" customFormat="false" ht="12.8" hidden="false" customHeight="false" outlineLevel="0" collapsed="false">
      <c r="B6616" s="0" t="s">
        <v>14</v>
      </c>
    </row>
    <row r="6617" customFormat="false" ht="12.8" hidden="false" customHeight="false" outlineLevel="0" collapsed="false">
      <c r="B6617" s="0" t="s">
        <v>11</v>
      </c>
    </row>
    <row r="6619" customFormat="false" ht="12.8" hidden="false" customHeight="false" outlineLevel="0" collapsed="false">
      <c r="A6619" s="0" t="s">
        <v>2982</v>
      </c>
      <c r="B6619" s="0" t="str">
        <f aca="false">HYPERLINK("https://lindat.mff.cuni.cz/services/teitok/pdtc10/index.php?action=vallex&amp;frame=v-w369f93_ZU", "dát (v-w369f93_ZU)")</f>
        <v>dát (v-w369f93_ZU)</v>
      </c>
    </row>
    <row r="6620" customFormat="false" ht="12.8" hidden="false" customHeight="false" outlineLevel="0" collapsed="false">
      <c r="B6620" s="0" t="s">
        <v>7</v>
      </c>
    </row>
    <row r="6621" customFormat="false" ht="12.8" hidden="false" customHeight="false" outlineLevel="0" collapsed="false">
      <c r="B6621" s="0" t="s">
        <v>14</v>
      </c>
    </row>
    <row r="6622" customFormat="false" ht="12.8" hidden="false" customHeight="false" outlineLevel="0" collapsed="false">
      <c r="B6622" s="0" t="s">
        <v>279</v>
      </c>
    </row>
    <row r="6623" customFormat="false" ht="12.8" hidden="false" customHeight="false" outlineLevel="0" collapsed="false">
      <c r="B6623" s="0" t="s">
        <v>35</v>
      </c>
    </row>
    <row r="6625" customFormat="false" ht="12.8" hidden="false" customHeight="false" outlineLevel="0" collapsed="false">
      <c r="A6625" s="0" t="s">
        <v>2982</v>
      </c>
      <c r="B6625" s="0" t="str">
        <f aca="false">HYPERLINK("https://lindat.mff.cuni.cz/services/teitok/pdtc10/index.php?action=vallex&amp;frame=v-w369f21", "dát (v-w369f21) - substituted with v-w369f93_ZU")</f>
        <v>dát (v-w369f21) - substituted with v-w369f93_ZU</v>
      </c>
    </row>
    <row r="6626" customFormat="false" ht="12.8" hidden="false" customHeight="false" outlineLevel="0" collapsed="false">
      <c r="B6626" s="0" t="s">
        <v>7</v>
      </c>
      <c r="C6626" s="0" t="s">
        <v>1154</v>
      </c>
      <c r="D6626" s="0" t="s">
        <v>2323</v>
      </c>
      <c r="E6626" s="0" t="s">
        <v>2323</v>
      </c>
      <c r="F6626" s="0" t="s">
        <v>2323</v>
      </c>
    </row>
    <row r="6627" customFormat="false" ht="12.8" hidden="false" customHeight="false" outlineLevel="0" collapsed="false">
      <c r="B6627" s="0" t="s">
        <v>14</v>
      </c>
      <c r="C6627" s="0" t="s">
        <v>128</v>
      </c>
      <c r="D6627" s="0" t="s">
        <v>1918</v>
      </c>
      <c r="E6627" s="0" t="s">
        <v>1918</v>
      </c>
      <c r="F6627" s="0" t="s">
        <v>1918</v>
      </c>
    </row>
    <row r="6628" customFormat="false" ht="12.8" hidden="false" customHeight="false" outlineLevel="0" collapsed="false">
      <c r="B6628" s="0" t="s">
        <v>279</v>
      </c>
      <c r="C6628" s="0" t="s">
        <v>2983</v>
      </c>
      <c r="D6628" s="0" t="s">
        <v>2325</v>
      </c>
      <c r="E6628" s="0" t="s">
        <v>2325</v>
      </c>
      <c r="F6628" s="0" t="s">
        <v>2325</v>
      </c>
    </row>
    <row r="6629" customFormat="false" ht="12.8" hidden="false" customHeight="false" outlineLevel="0" collapsed="false">
      <c r="B6629" s="0" t="s">
        <v>35</v>
      </c>
    </row>
    <row r="6631" customFormat="false" ht="12.8" hidden="false" customHeight="false" outlineLevel="0" collapsed="false">
      <c r="A6631" s="0" t="s">
        <v>2984</v>
      </c>
      <c r="B6631" s="0" t="str">
        <f aca="false">HYPERLINK("https://lindat.mff.cuni.cz/services/teitok/pdtc10/index.php?action=vallex&amp;frame=v-w369f106_ZU", "dát (v-w369f106_ZU)")</f>
        <v>dát (v-w369f106_ZU)</v>
      </c>
    </row>
    <row r="6632" customFormat="false" ht="12.8" hidden="false" customHeight="false" outlineLevel="0" collapsed="false">
      <c r="B6632" s="0" t="s">
        <v>7</v>
      </c>
    </row>
    <row r="6633" customFormat="false" ht="12.8" hidden="false" customHeight="false" outlineLevel="0" collapsed="false">
      <c r="B6633" s="0" t="s">
        <v>14</v>
      </c>
    </row>
    <row r="6634" customFormat="false" ht="12.8" hidden="false" customHeight="false" outlineLevel="0" collapsed="false">
      <c r="B6634" s="0" t="s">
        <v>124</v>
      </c>
    </row>
    <row r="6636" customFormat="false" ht="12.8" hidden="false" customHeight="false" outlineLevel="0" collapsed="false">
      <c r="A6636" s="0" t="s">
        <v>2984</v>
      </c>
      <c r="B6636" s="0" t="str">
        <f aca="false">HYPERLINK("https://lindat.mff.cuni.cz/services/teitok/pdtc10/index.php?action=vallex&amp;frame=v-w369f6", "dát (v-w369f6) - substituted with v-w369f106_ZU")</f>
        <v>dát (v-w369f6) - substituted with v-w369f106_ZU</v>
      </c>
    </row>
    <row r="6637" customFormat="false" ht="12.8" hidden="false" customHeight="false" outlineLevel="0" collapsed="false">
      <c r="B6637" s="0" t="s">
        <v>7</v>
      </c>
      <c r="C6637" s="0" t="s">
        <v>1785</v>
      </c>
      <c r="D6637" s="0" t="s">
        <v>2235</v>
      </c>
      <c r="E6637" s="0" t="s">
        <v>2235</v>
      </c>
      <c r="F6637" s="0" t="s">
        <v>2235</v>
      </c>
    </row>
    <row r="6638" customFormat="false" ht="12.8" hidden="false" customHeight="false" outlineLevel="0" collapsed="false">
      <c r="B6638" s="0" t="s">
        <v>14</v>
      </c>
      <c r="C6638" s="0" t="s">
        <v>2985</v>
      </c>
      <c r="D6638" s="0" t="s">
        <v>2237</v>
      </c>
      <c r="E6638" s="0" t="s">
        <v>2237</v>
      </c>
      <c r="F6638" s="0" t="s">
        <v>2237</v>
      </c>
    </row>
    <row r="6639" customFormat="false" ht="12.8" hidden="false" customHeight="false" outlineLevel="0" collapsed="false">
      <c r="B6639" s="0" t="s">
        <v>124</v>
      </c>
      <c r="C6639" s="0" t="s">
        <v>2986</v>
      </c>
      <c r="D6639" s="0" t="s">
        <v>2238</v>
      </c>
      <c r="E6639" s="0" t="s">
        <v>2238</v>
      </c>
      <c r="F6639" s="0" t="s">
        <v>2238</v>
      </c>
    </row>
    <row r="6641" customFormat="false" ht="12.8" hidden="false" customHeight="false" outlineLevel="0" collapsed="false">
      <c r="A6641" s="0" t="s">
        <v>2987</v>
      </c>
      <c r="B6641" s="0" t="str">
        <f aca="false">HYPERLINK("https://lindat.mff.cuni.cz/services/teitok/pdtc10/index.php?action=vallex&amp;frame=v-w369f27", "dát (v-w369f27)")</f>
        <v>dát (v-w369f27)</v>
      </c>
    </row>
    <row r="6642" customFormat="false" ht="12.8" hidden="false" customHeight="false" outlineLevel="0" collapsed="false">
      <c r="B6642" s="0" t="s">
        <v>7</v>
      </c>
      <c r="C6642" s="0" t="s">
        <v>2988</v>
      </c>
      <c r="D6642" s="0" t="s">
        <v>2235</v>
      </c>
      <c r="E6642" s="0" t="s">
        <v>2235</v>
      </c>
      <c r="F6642" s="0" t="s">
        <v>2235</v>
      </c>
    </row>
    <row r="6643" customFormat="false" ht="12.8" hidden="false" customHeight="false" outlineLevel="0" collapsed="false">
      <c r="B6643" s="0" t="s">
        <v>14</v>
      </c>
      <c r="C6643" s="0" t="s">
        <v>2989</v>
      </c>
      <c r="D6643" s="0" t="s">
        <v>2237</v>
      </c>
      <c r="E6643" s="0" t="s">
        <v>2237</v>
      </c>
      <c r="F6643" s="0" t="s">
        <v>2237</v>
      </c>
    </row>
    <row r="6644" customFormat="false" ht="12.8" hidden="false" customHeight="false" outlineLevel="0" collapsed="false">
      <c r="B6644" s="0" t="s">
        <v>124</v>
      </c>
      <c r="C6644" s="0" t="s">
        <v>2990</v>
      </c>
      <c r="D6644" s="0" t="s">
        <v>2238</v>
      </c>
      <c r="E6644" s="0" t="s">
        <v>2238</v>
      </c>
      <c r="F6644" s="0" t="s">
        <v>2238</v>
      </c>
    </row>
    <row r="6646" customFormat="false" ht="12.8" hidden="false" customHeight="false" outlineLevel="0" collapsed="false">
      <c r="A6646" s="0" t="s">
        <v>2991</v>
      </c>
      <c r="B6646" s="0" t="str">
        <f aca="false">HYPERLINK("https://lindat.mff.cuni.cz/services/teitok/pdtc10/index.php?action=vallex&amp;frame=v-w369f17", "dát (v-w369f17)")</f>
        <v>dát (v-w369f17)</v>
      </c>
    </row>
    <row r="6647" customFormat="false" ht="12.8" hidden="false" customHeight="false" outlineLevel="0" collapsed="false">
      <c r="B6647" s="0" t="s">
        <v>7</v>
      </c>
    </row>
    <row r="6648" customFormat="false" ht="12.8" hidden="false" customHeight="false" outlineLevel="0" collapsed="false">
      <c r="B6648" s="0" t="s">
        <v>14</v>
      </c>
    </row>
    <row r="6650" customFormat="false" ht="12.8" hidden="false" customHeight="false" outlineLevel="0" collapsed="false">
      <c r="A6650" s="0" t="s">
        <v>2992</v>
      </c>
      <c r="B6650" s="0" t="str">
        <f aca="false">HYPERLINK("https://lindat.mff.cuni.cz/services/teitok/pdtc10/index.php?action=vallex&amp;frame=v-w369f7", "dát (v-w369f7)")</f>
        <v>dát (v-w369f7)</v>
      </c>
    </row>
    <row r="6651" customFormat="false" ht="12.8" hidden="false" customHeight="false" outlineLevel="0" collapsed="false">
      <c r="B6651" s="0" t="s">
        <v>7</v>
      </c>
      <c r="D6651" s="0" t="s">
        <v>208</v>
      </c>
      <c r="E6651" s="0" t="s">
        <v>208</v>
      </c>
      <c r="F6651" s="0" t="s">
        <v>208</v>
      </c>
    </row>
    <row r="6652" customFormat="false" ht="12.8" hidden="false" customHeight="false" outlineLevel="0" collapsed="false">
      <c r="B6652" s="0" t="s">
        <v>712</v>
      </c>
      <c r="D6652" s="0" t="s">
        <v>2993</v>
      </c>
      <c r="E6652" s="0" t="s">
        <v>2993</v>
      </c>
      <c r="F6652" s="0" t="s">
        <v>2993</v>
      </c>
    </row>
    <row r="6654" customFormat="false" ht="12.8" hidden="false" customHeight="false" outlineLevel="0" collapsed="false">
      <c r="A6654" s="0" t="s">
        <v>2994</v>
      </c>
      <c r="B6654" s="0" t="str">
        <f aca="false">HYPERLINK("https://lindat.mff.cuni.cz/services/teitok/pdtc10/index.php?action=vallex&amp;frame=v-w369f43", "dát (v-w369f43)")</f>
        <v>dát (v-w369f43)</v>
      </c>
    </row>
    <row r="6655" customFormat="false" ht="12.8" hidden="false" customHeight="false" outlineLevel="0" collapsed="false">
      <c r="B6655" s="0" t="s">
        <v>7</v>
      </c>
    </row>
    <row r="6656" customFormat="false" ht="12.8" hidden="false" customHeight="false" outlineLevel="0" collapsed="false">
      <c r="B6656" s="0" t="s">
        <v>2995</v>
      </c>
    </row>
    <row r="6658" customFormat="false" ht="12.8" hidden="false" customHeight="false" outlineLevel="0" collapsed="false">
      <c r="A6658" s="0" t="s">
        <v>2996</v>
      </c>
      <c r="B6658" s="0" t="str">
        <f aca="false">HYPERLINK("https://lindat.mff.cuni.cz/services/teitok/pdtc10/index.php?action=vallex&amp;frame=v-w369f12", "dát (v-w369f12)")</f>
        <v>dát (v-w369f12)</v>
      </c>
    </row>
    <row r="6659" customFormat="false" ht="12.8" hidden="false" customHeight="false" outlineLevel="0" collapsed="false">
      <c r="B6659" s="0" t="s">
        <v>7</v>
      </c>
    </row>
    <row r="6660" customFormat="false" ht="12.8" hidden="false" customHeight="false" outlineLevel="0" collapsed="false">
      <c r="B6660" s="0" t="s">
        <v>41</v>
      </c>
    </row>
    <row r="6662" customFormat="false" ht="12.8" hidden="false" customHeight="false" outlineLevel="0" collapsed="false">
      <c r="A6662" s="0" t="s">
        <v>2997</v>
      </c>
      <c r="B6662" s="0" t="str">
        <f aca="false">HYPERLINK("https://lindat.mff.cuni.cz/services/teitok/pdtc10/index.php?action=vallex&amp;frame=v-w369f51_ZU", "dát (v-w369f51_ZU)")</f>
        <v>dát (v-w369f51_ZU)</v>
      </c>
    </row>
    <row r="6663" customFormat="false" ht="12.8" hidden="false" customHeight="false" outlineLevel="0" collapsed="false">
      <c r="B6663" s="0" t="s">
        <v>7</v>
      </c>
      <c r="C6663" s="0" t="s">
        <v>1386</v>
      </c>
      <c r="D6663" s="0" t="s">
        <v>2998</v>
      </c>
      <c r="E6663" s="0" t="s">
        <v>2998</v>
      </c>
      <c r="F6663" s="0" t="s">
        <v>2998</v>
      </c>
    </row>
    <row r="6664" customFormat="false" ht="12.8" hidden="false" customHeight="false" outlineLevel="0" collapsed="false">
      <c r="B6664" s="0" t="s">
        <v>2999</v>
      </c>
      <c r="C6664" s="0" t="s">
        <v>3000</v>
      </c>
      <c r="D6664" s="0" t="s">
        <v>3001</v>
      </c>
      <c r="E6664" s="0" t="s">
        <v>3001</v>
      </c>
      <c r="F6664" s="0" t="s">
        <v>3001</v>
      </c>
    </row>
    <row r="6666" customFormat="false" ht="12.8" hidden="false" customHeight="false" outlineLevel="0" collapsed="false">
      <c r="A6666" s="0" t="s">
        <v>2997</v>
      </c>
      <c r="B6666" s="0" t="str">
        <f aca="false">HYPERLINK("https://lindat.mff.cuni.cz/services/teitok/pdtc10/index.php?action=vallex&amp;frame=v-w369f4", "dát (v-w369f4) - substituted with v-w369f51_ZU")</f>
        <v>dát (v-w369f4) - substituted with v-w369f51_ZU</v>
      </c>
    </row>
    <row r="6667" customFormat="false" ht="12.8" hidden="false" customHeight="false" outlineLevel="0" collapsed="false">
      <c r="B6667" s="0" t="s">
        <v>7</v>
      </c>
      <c r="C6667" s="0" t="s">
        <v>354</v>
      </c>
    </row>
    <row r="6668" customFormat="false" ht="12.8" hidden="false" customHeight="false" outlineLevel="0" collapsed="false">
      <c r="B6668" s="0" t="s">
        <v>2999</v>
      </c>
      <c r="C6668" s="0" t="s">
        <v>3002</v>
      </c>
    </row>
    <row r="6670" customFormat="false" ht="12.8" hidden="false" customHeight="false" outlineLevel="0" collapsed="false">
      <c r="A6670" s="0" t="s">
        <v>3003</v>
      </c>
      <c r="B6670" s="0" t="str">
        <f aca="false">HYPERLINK("https://lindat.mff.cuni.cz/services/teitok/pdtc10/index.php?action=vallex&amp;frame=v-w369f41", "dát (v-w369f41)")</f>
        <v>dát (v-w369f41)</v>
      </c>
    </row>
    <row r="6671" customFormat="false" ht="12.8" hidden="false" customHeight="false" outlineLevel="0" collapsed="false">
      <c r="B6671" s="0" t="s">
        <v>7</v>
      </c>
      <c r="C6671" s="0" t="s">
        <v>2940</v>
      </c>
    </row>
    <row r="6672" customFormat="false" ht="12.8" hidden="false" customHeight="false" outlineLevel="0" collapsed="false">
      <c r="B6672" s="0" t="s">
        <v>679</v>
      </c>
      <c r="C6672" s="0" t="s">
        <v>3004</v>
      </c>
    </row>
    <row r="6673" customFormat="false" ht="12.8" hidden="false" customHeight="false" outlineLevel="0" collapsed="false">
      <c r="B6673" s="0" t="s">
        <v>1654</v>
      </c>
    </row>
    <row r="6674" customFormat="false" ht="12.8" hidden="false" customHeight="false" outlineLevel="0" collapsed="false">
      <c r="B6674" s="0" t="s">
        <v>106</v>
      </c>
      <c r="C6674" s="0" t="s">
        <v>2942</v>
      </c>
    </row>
    <row r="6676" customFormat="false" ht="12.8" hidden="false" customHeight="false" outlineLevel="0" collapsed="false">
      <c r="A6676" s="0" t="s">
        <v>3005</v>
      </c>
      <c r="B6676" s="0" t="str">
        <f aca="false">HYPERLINK("https://lindat.mff.cuni.cz/services/teitok/pdtc10/index.php?action=vallex&amp;frame=v-w369f103_ZU", "dát (v-w369f103_ZU)")</f>
        <v>dát (v-w369f103_ZU)</v>
      </c>
    </row>
    <row r="6677" customFormat="false" ht="12.8" hidden="false" customHeight="false" outlineLevel="0" collapsed="false">
      <c r="B6677" s="0" t="s">
        <v>7</v>
      </c>
    </row>
    <row r="6678" customFormat="false" ht="12.8" hidden="false" customHeight="false" outlineLevel="0" collapsed="false">
      <c r="B6678" s="0" t="s">
        <v>3006</v>
      </c>
    </row>
    <row r="6679" customFormat="false" ht="12.8" hidden="false" customHeight="false" outlineLevel="0" collapsed="false">
      <c r="B6679" s="0" t="s">
        <v>48</v>
      </c>
    </row>
    <row r="6681" customFormat="false" ht="12.8" hidden="false" customHeight="false" outlineLevel="0" collapsed="false">
      <c r="A6681" s="0" t="s">
        <v>3005</v>
      </c>
      <c r="B6681" s="0" t="str">
        <f aca="false">HYPERLINK("https://lindat.mff.cuni.cz/services/teitok/pdtc10/index.php?action=vallex&amp;frame=v-w369f2", "dát (v-w369f2) - substituted with v-w369f103_ZU")</f>
        <v>dát (v-w369f2) - substituted with v-w369f103_ZU</v>
      </c>
    </row>
    <row r="6682" customFormat="false" ht="12.8" hidden="false" customHeight="false" outlineLevel="0" collapsed="false">
      <c r="B6682" s="0" t="s">
        <v>7</v>
      </c>
      <c r="C6682" s="0" t="s">
        <v>2940</v>
      </c>
    </row>
    <row r="6683" customFormat="false" ht="12.8" hidden="false" customHeight="false" outlineLevel="0" collapsed="false">
      <c r="B6683" s="0" t="s">
        <v>3006</v>
      </c>
      <c r="C6683" s="0" t="s">
        <v>3007</v>
      </c>
    </row>
    <row r="6684" customFormat="false" ht="12.8" hidden="false" customHeight="false" outlineLevel="0" collapsed="false">
      <c r="B6684" s="0" t="s">
        <v>48</v>
      </c>
      <c r="C6684" s="0" t="s">
        <v>2942</v>
      </c>
    </row>
    <row r="6686" customFormat="false" ht="12.8" hidden="false" customHeight="false" outlineLevel="0" collapsed="false">
      <c r="A6686" s="0" t="s">
        <v>3005</v>
      </c>
      <c r="B6686" s="0" t="str">
        <f aca="false">HYPERLINK("https://lindat.mff.cuni.cz/services/teitok/pdtc10/index.php?action=vallex&amp;frame=v-w369hsa_838", "dát (v-w369hsa_838) - substituted with v-w369f103_ZU")</f>
        <v>dát (v-w369hsa_838) - substituted with v-w369f103_ZU</v>
      </c>
    </row>
    <row r="6687" customFormat="false" ht="12.8" hidden="false" customHeight="false" outlineLevel="0" collapsed="false">
      <c r="B6687" s="0" t="s">
        <v>7</v>
      </c>
    </row>
    <row r="6688" customFormat="false" ht="12.8" hidden="false" customHeight="false" outlineLevel="0" collapsed="false">
      <c r="B6688" s="0" t="s">
        <v>3006</v>
      </c>
    </row>
    <row r="6689" customFormat="false" ht="12.8" hidden="false" customHeight="false" outlineLevel="0" collapsed="false">
      <c r="B6689" s="0" t="s">
        <v>48</v>
      </c>
    </row>
    <row r="6691" customFormat="false" ht="12.8" hidden="false" customHeight="false" outlineLevel="0" collapsed="false">
      <c r="A6691" s="0" t="s">
        <v>3008</v>
      </c>
      <c r="B6691" s="0" t="str">
        <f aca="false">HYPERLINK("https://lindat.mff.cuni.cz/services/teitok/pdtc10/index.php?action=vallex&amp;frame=v-w369f15", "dát (v-w369f15)")</f>
        <v>dát (v-w369f15)</v>
      </c>
    </row>
    <row r="6692" customFormat="false" ht="12.8" hidden="false" customHeight="false" outlineLevel="0" collapsed="false">
      <c r="B6692" s="0" t="s">
        <v>7</v>
      </c>
      <c r="C6692" s="0" t="s">
        <v>2940</v>
      </c>
      <c r="D6692" s="0" t="s">
        <v>3009</v>
      </c>
      <c r="E6692" s="0" t="s">
        <v>3009</v>
      </c>
      <c r="F6692" s="0" t="s">
        <v>3009</v>
      </c>
    </row>
    <row r="6693" customFormat="false" ht="12.8" hidden="false" customHeight="false" outlineLevel="0" collapsed="false">
      <c r="B6693" s="0" t="s">
        <v>3010</v>
      </c>
      <c r="C6693" s="0" t="s">
        <v>3007</v>
      </c>
      <c r="D6693" s="0" t="s">
        <v>3011</v>
      </c>
      <c r="E6693" s="0" t="s">
        <v>3011</v>
      </c>
      <c r="F6693" s="0" t="s">
        <v>3011</v>
      </c>
    </row>
    <row r="6694" customFormat="false" ht="12.8" hidden="false" customHeight="false" outlineLevel="0" collapsed="false">
      <c r="B6694" s="0" t="s">
        <v>3012</v>
      </c>
      <c r="C6694" s="0" t="s">
        <v>2942</v>
      </c>
      <c r="D6694" s="0" t="s">
        <v>2952</v>
      </c>
      <c r="E6694" s="0" t="s">
        <v>2952</v>
      </c>
      <c r="F6694" s="0" t="s">
        <v>2952</v>
      </c>
    </row>
    <row r="6696" customFormat="false" ht="12.8" hidden="false" customHeight="false" outlineLevel="0" collapsed="false">
      <c r="A6696" s="0" t="s">
        <v>3013</v>
      </c>
      <c r="B6696" s="0" t="str">
        <f aca="false">HYPERLINK("https://lindat.mff.cuni.cz/services/teitok/pdtc10/index.php?action=vallex&amp;frame=v-w369f20", "dát (v-w369f20)")</f>
        <v>dát (v-w369f20)</v>
      </c>
    </row>
    <row r="6697" customFormat="false" ht="12.8" hidden="false" customHeight="false" outlineLevel="0" collapsed="false">
      <c r="B6697" s="0" t="s">
        <v>7</v>
      </c>
      <c r="C6697" s="0" t="s">
        <v>1386</v>
      </c>
      <c r="D6697" s="0" t="s">
        <v>3014</v>
      </c>
      <c r="E6697" s="0" t="s">
        <v>3014</v>
      </c>
      <c r="F6697" s="0" t="s">
        <v>3014</v>
      </c>
    </row>
    <row r="6698" customFormat="false" ht="12.8" hidden="false" customHeight="false" outlineLevel="0" collapsed="false">
      <c r="B6698" s="0" t="s">
        <v>3015</v>
      </c>
      <c r="C6698" s="0" t="s">
        <v>3016</v>
      </c>
      <c r="D6698" s="0" t="s">
        <v>3017</v>
      </c>
      <c r="E6698" s="0" t="s">
        <v>3017</v>
      </c>
      <c r="F6698" s="0" t="s">
        <v>3017</v>
      </c>
    </row>
    <row r="6699" customFormat="false" ht="12.8" hidden="false" customHeight="false" outlineLevel="0" collapsed="false">
      <c r="B6699" s="0" t="s">
        <v>48</v>
      </c>
      <c r="C6699" s="0" t="s">
        <v>3018</v>
      </c>
      <c r="D6699" s="0" t="s">
        <v>3019</v>
      </c>
      <c r="E6699" s="0" t="s">
        <v>3019</v>
      </c>
      <c r="F6699" s="0" t="s">
        <v>3019</v>
      </c>
    </row>
    <row r="6701" customFormat="false" ht="12.8" hidden="false" customHeight="false" outlineLevel="0" collapsed="false">
      <c r="A6701" s="0" t="s">
        <v>3020</v>
      </c>
      <c r="B6701" s="0" t="str">
        <f aca="false">HYPERLINK("https://lindat.mff.cuni.cz/services/teitok/pdtc10/index.php?action=vallex&amp;frame=v-w369f98_ZU", "dát (v-w369f98_ZU)")</f>
        <v>dát (v-w369f98_ZU)</v>
      </c>
    </row>
    <row r="6702" customFormat="false" ht="12.8" hidden="false" customHeight="false" outlineLevel="0" collapsed="false">
      <c r="B6702" s="0" t="s">
        <v>7</v>
      </c>
    </row>
    <row r="6703" customFormat="false" ht="12.8" hidden="false" customHeight="false" outlineLevel="0" collapsed="false">
      <c r="B6703" s="0" t="s">
        <v>3021</v>
      </c>
    </row>
    <row r="6704" customFormat="false" ht="12.8" hidden="false" customHeight="false" outlineLevel="0" collapsed="false">
      <c r="B6704" s="0" t="s">
        <v>48</v>
      </c>
    </row>
    <row r="6706" customFormat="false" ht="12.8" hidden="false" customHeight="false" outlineLevel="0" collapsed="false">
      <c r="A6706" s="0" t="s">
        <v>3020</v>
      </c>
      <c r="B6706" s="0" t="str">
        <f aca="false">HYPERLINK("https://lindat.mff.cuni.cz/services/teitok/pdtc10/index.php?action=vallex&amp;frame=v-w369f16", "dát (v-w369f16) - substituted with v-w369f98_ZU")</f>
        <v>dát (v-w369f16) - substituted with v-w369f98_ZU</v>
      </c>
    </row>
    <row r="6707" customFormat="false" ht="12.8" hidden="false" customHeight="false" outlineLevel="0" collapsed="false">
      <c r="B6707" s="0" t="s">
        <v>7</v>
      </c>
      <c r="C6707" s="0" t="s">
        <v>3022</v>
      </c>
    </row>
    <row r="6708" customFormat="false" ht="12.8" hidden="false" customHeight="false" outlineLevel="0" collapsed="false">
      <c r="B6708" s="0" t="s">
        <v>3021</v>
      </c>
      <c r="C6708" s="0" t="s">
        <v>3023</v>
      </c>
    </row>
    <row r="6709" customFormat="false" ht="12.8" hidden="false" customHeight="false" outlineLevel="0" collapsed="false">
      <c r="B6709" s="0" t="s">
        <v>48</v>
      </c>
      <c r="C6709" s="0" t="s">
        <v>3024</v>
      </c>
    </row>
    <row r="6711" customFormat="false" ht="12.8" hidden="false" customHeight="false" outlineLevel="0" collapsed="false">
      <c r="A6711" s="0" t="s">
        <v>3020</v>
      </c>
      <c r="B6711" s="0" t="str">
        <f aca="false">HYPERLINK("https://lindat.mff.cuni.cz/services/teitok/pdtc10/index.php?action=vallex&amp;frame=v-w369f53_ZU", "dát (v-w369f53_ZU) - substituted with v-w369f98_ZU")</f>
        <v>dát (v-w369f53_ZU) - substituted with v-w369f98_ZU</v>
      </c>
    </row>
    <row r="6712" customFormat="false" ht="12.8" hidden="false" customHeight="false" outlineLevel="0" collapsed="false">
      <c r="B6712" s="0" t="s">
        <v>7</v>
      </c>
    </row>
    <row r="6713" customFormat="false" ht="12.8" hidden="false" customHeight="false" outlineLevel="0" collapsed="false">
      <c r="B6713" s="0" t="s">
        <v>3021</v>
      </c>
    </row>
    <row r="6714" customFormat="false" ht="12.8" hidden="false" customHeight="false" outlineLevel="0" collapsed="false">
      <c r="B6714" s="0" t="s">
        <v>48</v>
      </c>
    </row>
    <row r="6716" customFormat="false" ht="12.8" hidden="false" customHeight="false" outlineLevel="0" collapsed="false">
      <c r="A6716" s="0" t="s">
        <v>3020</v>
      </c>
      <c r="B6716" s="0" t="str">
        <f aca="false">HYPERLINK("https://lindat.mff.cuni.cz/services/teitok/pdtc10/index.php?action=vallex&amp;frame=v-w369f57_ZU", "dát (v-w369f57_ZU) - substituted with v-w369f98_ZU")</f>
        <v>dát (v-w369f57_ZU) - substituted with v-w369f98_ZU</v>
      </c>
    </row>
    <row r="6717" customFormat="false" ht="12.8" hidden="false" customHeight="false" outlineLevel="0" collapsed="false">
      <c r="B6717" s="0" t="s">
        <v>7</v>
      </c>
      <c r="C6717" s="0" t="s">
        <v>3025</v>
      </c>
    </row>
    <row r="6718" customFormat="false" ht="12.8" hidden="false" customHeight="false" outlineLevel="0" collapsed="false">
      <c r="B6718" s="0" t="s">
        <v>3021</v>
      </c>
      <c r="C6718" s="0" t="s">
        <v>3026</v>
      </c>
    </row>
    <row r="6719" customFormat="false" ht="12.8" hidden="false" customHeight="false" outlineLevel="0" collapsed="false">
      <c r="B6719" s="0" t="s">
        <v>48</v>
      </c>
      <c r="C6719" s="0" t="s">
        <v>3027</v>
      </c>
    </row>
    <row r="6721" customFormat="false" ht="12.8" hidden="false" customHeight="false" outlineLevel="0" collapsed="false">
      <c r="A6721" s="0" t="s">
        <v>3020</v>
      </c>
      <c r="B6721" s="0" t="str">
        <f aca="false">HYPERLINK("https://lindat.mff.cuni.cz/services/teitok/pdtc10/index.php?action=vallex&amp;frame=v-w369f69_ZU", "dát (v-w369f69_ZU) - substituted with v-w369f98_ZU")</f>
        <v>dát (v-w369f69_ZU) - substituted with v-w369f98_ZU</v>
      </c>
    </row>
    <row r="6722" customFormat="false" ht="12.8" hidden="false" customHeight="false" outlineLevel="0" collapsed="false">
      <c r="B6722" s="0" t="s">
        <v>7</v>
      </c>
      <c r="C6722" s="0" t="s">
        <v>3028</v>
      </c>
    </row>
    <row r="6723" customFormat="false" ht="12.8" hidden="false" customHeight="false" outlineLevel="0" collapsed="false">
      <c r="B6723" s="0" t="s">
        <v>3021</v>
      </c>
      <c r="C6723" s="0" t="s">
        <v>3029</v>
      </c>
    </row>
    <row r="6724" customFormat="false" ht="12.8" hidden="false" customHeight="false" outlineLevel="0" collapsed="false">
      <c r="B6724" s="0" t="s">
        <v>48</v>
      </c>
    </row>
    <row r="6726" customFormat="false" ht="12.8" hidden="false" customHeight="false" outlineLevel="0" collapsed="false">
      <c r="A6726" s="0" t="s">
        <v>3020</v>
      </c>
      <c r="B6726" s="0" t="str">
        <f aca="false">HYPERLINK("https://lindat.mff.cuni.cz/services/teitok/pdtc10/index.php?action=vallex&amp;frame=v-w369f74_ZU", "dát (v-w369f74_ZU) - substituted with v-w369f98_ZU")</f>
        <v>dát (v-w369f74_ZU) - substituted with v-w369f98_ZU</v>
      </c>
    </row>
    <row r="6727" customFormat="false" ht="12.8" hidden="false" customHeight="false" outlineLevel="0" collapsed="false">
      <c r="B6727" s="0" t="s">
        <v>7</v>
      </c>
      <c r="C6727" s="0" t="s">
        <v>2940</v>
      </c>
    </row>
    <row r="6728" customFormat="false" ht="12.8" hidden="false" customHeight="false" outlineLevel="0" collapsed="false">
      <c r="B6728" s="0" t="s">
        <v>3021</v>
      </c>
      <c r="C6728" s="0" t="s">
        <v>3007</v>
      </c>
    </row>
    <row r="6729" customFormat="false" ht="12.8" hidden="false" customHeight="false" outlineLevel="0" collapsed="false">
      <c r="B6729" s="0" t="s">
        <v>48</v>
      </c>
      <c r="C6729" s="0" t="s">
        <v>2942</v>
      </c>
    </row>
    <row r="6731" customFormat="false" ht="12.8" hidden="false" customHeight="false" outlineLevel="0" collapsed="false">
      <c r="A6731" s="0" t="s">
        <v>3020</v>
      </c>
      <c r="B6731" s="0" t="str">
        <f aca="false">HYPERLINK("https://lindat.mff.cuni.cz/services/teitok/pdtc10/index.php?action=vallex&amp;frame=v-w369f75_ZU", "dát (v-w369f75_ZU) - substituted with v-w369f98_ZU")</f>
        <v>dát (v-w369f75_ZU) - substituted with v-w369f98_ZU</v>
      </c>
    </row>
    <row r="6732" customFormat="false" ht="12.8" hidden="false" customHeight="false" outlineLevel="0" collapsed="false">
      <c r="B6732" s="0" t="s">
        <v>7</v>
      </c>
      <c r="C6732" s="0" t="s">
        <v>1386</v>
      </c>
      <c r="D6732" s="0" t="s">
        <v>3030</v>
      </c>
      <c r="E6732" s="0" t="s">
        <v>3030</v>
      </c>
      <c r="F6732" s="0" t="s">
        <v>3030</v>
      </c>
    </row>
    <row r="6733" customFormat="false" ht="12.8" hidden="false" customHeight="false" outlineLevel="0" collapsed="false">
      <c r="B6733" s="0" t="s">
        <v>3021</v>
      </c>
      <c r="C6733" s="0" t="s">
        <v>3016</v>
      </c>
      <c r="D6733" s="0" t="s">
        <v>3031</v>
      </c>
      <c r="E6733" s="0" t="s">
        <v>3031</v>
      </c>
      <c r="F6733" s="0" t="s">
        <v>3031</v>
      </c>
    </row>
    <row r="6734" customFormat="false" ht="12.8" hidden="false" customHeight="false" outlineLevel="0" collapsed="false">
      <c r="B6734" s="0" t="s">
        <v>48</v>
      </c>
      <c r="C6734" s="0" t="s">
        <v>3018</v>
      </c>
      <c r="D6734" s="0" t="s">
        <v>3032</v>
      </c>
      <c r="E6734" s="0" t="s">
        <v>3032</v>
      </c>
      <c r="F6734" s="0" t="s">
        <v>3032</v>
      </c>
    </row>
    <row r="6736" customFormat="false" ht="12.8" hidden="false" customHeight="false" outlineLevel="0" collapsed="false">
      <c r="A6736" s="0" t="s">
        <v>3020</v>
      </c>
      <c r="B6736" s="0" t="str">
        <f aca="false">HYPERLINK("https://lindat.mff.cuni.cz/services/teitok/pdtc10/index.php?action=vallex&amp;frame=v-w369f80_ZU", "dát (v-w369f80_ZU) - substituted with v-w369f98_ZU")</f>
        <v>dát (v-w369f80_ZU) - substituted with v-w369f98_ZU</v>
      </c>
    </row>
    <row r="6737" customFormat="false" ht="12.8" hidden="false" customHeight="false" outlineLevel="0" collapsed="false">
      <c r="B6737" s="0" t="s">
        <v>7</v>
      </c>
    </row>
    <row r="6738" customFormat="false" ht="12.8" hidden="false" customHeight="false" outlineLevel="0" collapsed="false">
      <c r="B6738" s="0" t="s">
        <v>3021</v>
      </c>
    </row>
    <row r="6739" customFormat="false" ht="12.8" hidden="false" customHeight="false" outlineLevel="0" collapsed="false">
      <c r="B6739" s="0" t="s">
        <v>48</v>
      </c>
    </row>
    <row r="6741" customFormat="false" ht="12.8" hidden="false" customHeight="false" outlineLevel="0" collapsed="false">
      <c r="A6741" s="0" t="s">
        <v>3033</v>
      </c>
      <c r="B6741" s="0" t="str">
        <f aca="false">HYPERLINK("https://lindat.mff.cuni.cz/services/teitok/pdtc10/index.php?action=vallex&amp;frame=v-w369f54_ZU", "dát (v-w369f54_ZU)")</f>
        <v>dát (v-w369f54_ZU)</v>
      </c>
    </row>
    <row r="6742" customFormat="false" ht="12.8" hidden="false" customHeight="false" outlineLevel="0" collapsed="false">
      <c r="B6742" s="0" t="s">
        <v>7</v>
      </c>
      <c r="C6742" s="0" t="s">
        <v>2940</v>
      </c>
    </row>
    <row r="6743" customFormat="false" ht="12.8" hidden="false" customHeight="false" outlineLevel="0" collapsed="false">
      <c r="B6743" s="0" t="s">
        <v>3034</v>
      </c>
      <c r="C6743" s="0" t="s">
        <v>3007</v>
      </c>
    </row>
    <row r="6744" customFormat="false" ht="12.8" hidden="false" customHeight="false" outlineLevel="0" collapsed="false">
      <c r="B6744" s="0" t="s">
        <v>48</v>
      </c>
      <c r="C6744" s="0" t="s">
        <v>2942</v>
      </c>
    </row>
    <row r="6746" customFormat="false" ht="12.8" hidden="false" customHeight="false" outlineLevel="0" collapsed="false">
      <c r="A6746" s="0" t="s">
        <v>3035</v>
      </c>
      <c r="B6746" s="0" t="str">
        <f aca="false">HYPERLINK("https://lindat.mff.cuni.cz/services/teitok/pdtc10/index.php?action=vallex&amp;frame=v-w369f109_MM", "dát (v-w369f109_MM)")</f>
        <v>dát (v-w369f109_MM)</v>
      </c>
    </row>
    <row r="6747" customFormat="false" ht="12.8" hidden="false" customHeight="false" outlineLevel="0" collapsed="false">
      <c r="B6747" s="0" t="s">
        <v>7</v>
      </c>
    </row>
    <row r="6748" customFormat="false" ht="12.8" hidden="false" customHeight="false" outlineLevel="0" collapsed="false">
      <c r="B6748" s="0" t="s">
        <v>3036</v>
      </c>
    </row>
    <row r="6749" customFormat="false" ht="12.8" hidden="false" customHeight="false" outlineLevel="0" collapsed="false">
      <c r="B6749" s="0" t="s">
        <v>48</v>
      </c>
    </row>
    <row r="6751" customFormat="false" ht="12.8" hidden="false" customHeight="false" outlineLevel="0" collapsed="false">
      <c r="A6751" s="0" t="s">
        <v>3035</v>
      </c>
      <c r="B6751" s="0" t="str">
        <f aca="false">HYPERLINK("https://lindat.mff.cuni.cz/services/teitok/pdtc10/index.php?action=vallex&amp;frame=v-w369f102_ZU", "dát (v-w369f102_ZU) - substituted with v-w369f109_MM")</f>
        <v>dát (v-w369f102_ZU) - substituted with v-w369f109_MM</v>
      </c>
    </row>
    <row r="6752" customFormat="false" ht="12.8" hidden="false" customHeight="false" outlineLevel="0" collapsed="false">
      <c r="B6752" s="0" t="s">
        <v>7</v>
      </c>
    </row>
    <row r="6753" customFormat="false" ht="12.8" hidden="false" customHeight="false" outlineLevel="0" collapsed="false">
      <c r="B6753" s="0" t="s">
        <v>3036</v>
      </c>
    </row>
    <row r="6754" customFormat="false" ht="12.8" hidden="false" customHeight="false" outlineLevel="0" collapsed="false">
      <c r="B6754" s="0" t="s">
        <v>48</v>
      </c>
    </row>
    <row r="6756" customFormat="false" ht="12.8" hidden="false" customHeight="false" outlineLevel="0" collapsed="false">
      <c r="A6756" s="0" t="s">
        <v>3035</v>
      </c>
      <c r="B6756" s="0" t="str">
        <f aca="false">HYPERLINK("https://lindat.mff.cuni.cz/services/teitok/pdtc10/index.php?action=vallex&amp;frame=v-w369f3", "dát (v-w369f3) - substituted with v-w369f109_MM")</f>
        <v>dát (v-w369f3) - substituted with v-w369f109_MM</v>
      </c>
    </row>
    <row r="6757" customFormat="false" ht="12.8" hidden="false" customHeight="false" outlineLevel="0" collapsed="false">
      <c r="B6757" s="0" t="s">
        <v>7</v>
      </c>
      <c r="C6757" s="0" t="s">
        <v>3037</v>
      </c>
    </row>
    <row r="6758" customFormat="false" ht="12.8" hidden="false" customHeight="false" outlineLevel="0" collapsed="false">
      <c r="B6758" s="0" t="s">
        <v>3036</v>
      </c>
      <c r="C6758" s="0" t="s">
        <v>3038</v>
      </c>
    </row>
    <row r="6759" customFormat="false" ht="12.8" hidden="false" customHeight="false" outlineLevel="0" collapsed="false">
      <c r="B6759" s="0" t="s">
        <v>48</v>
      </c>
      <c r="C6759" s="0" t="s">
        <v>3039</v>
      </c>
    </row>
    <row r="6761" customFormat="false" ht="12.8" hidden="false" customHeight="false" outlineLevel="0" collapsed="false">
      <c r="A6761" s="0" t="s">
        <v>3035</v>
      </c>
      <c r="B6761" s="0" t="str">
        <f aca="false">HYPERLINK("https://lindat.mff.cuni.cz/services/teitok/pdtc10/index.php?action=vallex&amp;frame=v-w369f56_ZU", "dát (v-w369f56_ZU) - substituted with v-w369f109_MM")</f>
        <v>dát (v-w369f56_ZU) - substituted with v-w369f109_MM</v>
      </c>
    </row>
    <row r="6762" customFormat="false" ht="12.8" hidden="false" customHeight="false" outlineLevel="0" collapsed="false">
      <c r="B6762" s="0" t="s">
        <v>7</v>
      </c>
      <c r="C6762" s="0" t="s">
        <v>3040</v>
      </c>
    </row>
    <row r="6763" customFormat="false" ht="12.8" hidden="false" customHeight="false" outlineLevel="0" collapsed="false">
      <c r="B6763" s="0" t="s">
        <v>3036</v>
      </c>
      <c r="C6763" s="0" t="s">
        <v>3041</v>
      </c>
    </row>
    <row r="6764" customFormat="false" ht="12.8" hidden="false" customHeight="false" outlineLevel="0" collapsed="false">
      <c r="B6764" s="0" t="s">
        <v>48</v>
      </c>
      <c r="C6764" s="0" t="s">
        <v>2942</v>
      </c>
    </row>
    <row r="6766" customFormat="false" ht="12.8" hidden="false" customHeight="false" outlineLevel="0" collapsed="false">
      <c r="A6766" s="0" t="s">
        <v>3035</v>
      </c>
      <c r="B6766" s="0" t="str">
        <f aca="false">HYPERLINK("https://lindat.mff.cuni.cz/services/teitok/pdtc10/index.php?action=vallex&amp;frame=v-w369f71_ZU", "dát (v-w369f71_ZU) - substituted with v-w369f109_MM")</f>
        <v>dát (v-w369f71_ZU) - substituted with v-w369f109_MM</v>
      </c>
    </row>
    <row r="6767" customFormat="false" ht="12.8" hidden="false" customHeight="false" outlineLevel="0" collapsed="false">
      <c r="B6767" s="0" t="s">
        <v>7</v>
      </c>
      <c r="C6767" s="0" t="s">
        <v>2988</v>
      </c>
    </row>
    <row r="6768" customFormat="false" ht="12.8" hidden="false" customHeight="false" outlineLevel="0" collapsed="false">
      <c r="B6768" s="0" t="s">
        <v>3036</v>
      </c>
      <c r="C6768" s="0" t="s">
        <v>3041</v>
      </c>
    </row>
    <row r="6769" customFormat="false" ht="12.8" hidden="false" customHeight="false" outlineLevel="0" collapsed="false">
      <c r="B6769" s="0" t="s">
        <v>48</v>
      </c>
      <c r="C6769" s="0" t="s">
        <v>3039</v>
      </c>
    </row>
    <row r="6771" customFormat="false" ht="12.8" hidden="false" customHeight="false" outlineLevel="0" collapsed="false">
      <c r="A6771" s="0" t="s">
        <v>3035</v>
      </c>
      <c r="B6771" s="0" t="str">
        <f aca="false">HYPERLINK("https://lindat.mff.cuni.cz/services/teitok/pdtc10/index.php?action=vallex&amp;frame=v-w369f72_ZU", "dát (v-w369f72_ZU) - substituted with v-w369f109_MM")</f>
        <v>dát (v-w369f72_ZU) - substituted with v-w369f109_MM</v>
      </c>
    </row>
    <row r="6772" customFormat="false" ht="12.8" hidden="false" customHeight="false" outlineLevel="0" collapsed="false">
      <c r="B6772" s="0" t="s">
        <v>7</v>
      </c>
      <c r="C6772" s="0" t="s">
        <v>2940</v>
      </c>
    </row>
    <row r="6773" customFormat="false" ht="12.8" hidden="false" customHeight="false" outlineLevel="0" collapsed="false">
      <c r="B6773" s="0" t="s">
        <v>3036</v>
      </c>
      <c r="C6773" s="0" t="s">
        <v>3007</v>
      </c>
    </row>
    <row r="6774" customFormat="false" ht="12.8" hidden="false" customHeight="false" outlineLevel="0" collapsed="false">
      <c r="B6774" s="0" t="s">
        <v>48</v>
      </c>
      <c r="C6774" s="0" t="s">
        <v>2942</v>
      </c>
    </row>
    <row r="6776" customFormat="false" ht="12.8" hidden="false" customHeight="false" outlineLevel="0" collapsed="false">
      <c r="A6776" s="0" t="s">
        <v>3035</v>
      </c>
      <c r="B6776" s="0" t="str">
        <f aca="false">HYPERLINK("https://lindat.mff.cuni.cz/services/teitok/pdtc10/index.php?action=vallex&amp;frame=v-w369f73_ZU", "dát (v-w369f73_ZU) - substituted with v-w369f109_MM")</f>
        <v>dát (v-w369f73_ZU) - substituted with v-w369f109_MM</v>
      </c>
    </row>
    <row r="6777" customFormat="false" ht="12.8" hidden="false" customHeight="false" outlineLevel="0" collapsed="false">
      <c r="B6777" s="0" t="s">
        <v>7</v>
      </c>
      <c r="C6777" s="0" t="s">
        <v>3042</v>
      </c>
    </row>
    <row r="6778" customFormat="false" ht="12.8" hidden="false" customHeight="false" outlineLevel="0" collapsed="false">
      <c r="B6778" s="0" t="s">
        <v>3036</v>
      </c>
      <c r="C6778" s="0" t="s">
        <v>3043</v>
      </c>
    </row>
    <row r="6779" customFormat="false" ht="12.8" hidden="false" customHeight="false" outlineLevel="0" collapsed="false">
      <c r="B6779" s="0" t="s">
        <v>48</v>
      </c>
      <c r="C6779" s="0" t="s">
        <v>3044</v>
      </c>
    </row>
    <row r="6781" customFormat="false" ht="12.8" hidden="false" customHeight="false" outlineLevel="0" collapsed="false">
      <c r="A6781" s="0" t="s">
        <v>3035</v>
      </c>
      <c r="B6781" s="0" t="str">
        <f aca="false">HYPERLINK("https://lindat.mff.cuni.cz/services/teitok/pdtc10/index.php?action=vallex&amp;frame=v-w369f76_ZU", "dát (v-w369f76_ZU) - substituted with v-w369f109_MM")</f>
        <v>dát (v-w369f76_ZU) - substituted with v-w369f109_MM</v>
      </c>
    </row>
    <row r="6782" customFormat="false" ht="12.8" hidden="false" customHeight="false" outlineLevel="0" collapsed="false">
      <c r="B6782" s="0" t="s">
        <v>7</v>
      </c>
      <c r="D6782" s="0" t="s">
        <v>3045</v>
      </c>
      <c r="E6782" s="0" t="s">
        <v>3045</v>
      </c>
      <c r="F6782" s="0" t="s">
        <v>3045</v>
      </c>
    </row>
    <row r="6783" customFormat="false" ht="12.8" hidden="false" customHeight="false" outlineLevel="0" collapsed="false">
      <c r="B6783" s="0" t="s">
        <v>3036</v>
      </c>
      <c r="D6783" s="0" t="s">
        <v>3046</v>
      </c>
      <c r="E6783" s="0" t="s">
        <v>3046</v>
      </c>
      <c r="F6783" s="0" t="s">
        <v>3046</v>
      </c>
    </row>
    <row r="6784" customFormat="false" ht="12.8" hidden="false" customHeight="false" outlineLevel="0" collapsed="false">
      <c r="B6784" s="0" t="s">
        <v>48</v>
      </c>
      <c r="D6784" s="0" t="s">
        <v>3047</v>
      </c>
      <c r="E6784" s="0" t="s">
        <v>3047</v>
      </c>
      <c r="F6784" s="0" t="s">
        <v>3047</v>
      </c>
    </row>
    <row r="6786" customFormat="false" ht="12.8" hidden="false" customHeight="false" outlineLevel="0" collapsed="false">
      <c r="A6786" s="0" t="s">
        <v>3035</v>
      </c>
      <c r="B6786" s="0" t="str">
        <f aca="false">HYPERLINK("https://lindat.mff.cuni.cz/services/teitok/pdtc10/index.php?action=vallex&amp;frame=v-w369f81_ZU", "dát (v-w369f81_ZU) - substituted with v-w369f109_MM")</f>
        <v>dát (v-w369f81_ZU) - substituted with v-w369f109_MM</v>
      </c>
    </row>
    <row r="6787" customFormat="false" ht="12.8" hidden="false" customHeight="false" outlineLevel="0" collapsed="false">
      <c r="B6787" s="0" t="s">
        <v>7</v>
      </c>
    </row>
    <row r="6788" customFormat="false" ht="12.8" hidden="false" customHeight="false" outlineLevel="0" collapsed="false">
      <c r="B6788" s="0" t="s">
        <v>3036</v>
      </c>
    </row>
    <row r="6789" customFormat="false" ht="12.8" hidden="false" customHeight="false" outlineLevel="0" collapsed="false">
      <c r="B6789" s="0" t="s">
        <v>48</v>
      </c>
    </row>
    <row r="6791" customFormat="false" ht="12.8" hidden="false" customHeight="false" outlineLevel="0" collapsed="false">
      <c r="A6791" s="0" t="s">
        <v>3035</v>
      </c>
      <c r="B6791" s="0" t="str">
        <f aca="false">HYPERLINK("https://lindat.mff.cuni.cz/services/teitok/pdtc10/index.php?action=vallex&amp;frame=v-w369f82_ZU", "dát (v-w369f82_ZU) - substituted with v-w369f109_MM")</f>
        <v>dát (v-w369f82_ZU) - substituted with v-w369f109_MM</v>
      </c>
    </row>
    <row r="6792" customFormat="false" ht="12.8" hidden="false" customHeight="false" outlineLevel="0" collapsed="false">
      <c r="B6792" s="0" t="s">
        <v>7</v>
      </c>
    </row>
    <row r="6793" customFormat="false" ht="12.8" hidden="false" customHeight="false" outlineLevel="0" collapsed="false">
      <c r="B6793" s="0" t="s">
        <v>3036</v>
      </c>
    </row>
    <row r="6794" customFormat="false" ht="12.8" hidden="false" customHeight="false" outlineLevel="0" collapsed="false">
      <c r="B6794" s="0" t="s">
        <v>48</v>
      </c>
    </row>
    <row r="6796" customFormat="false" ht="12.8" hidden="false" customHeight="false" outlineLevel="0" collapsed="false">
      <c r="A6796" s="0" t="s">
        <v>3035</v>
      </c>
      <c r="B6796" s="0" t="str">
        <f aca="false">HYPERLINK("https://lindat.mff.cuni.cz/services/teitok/pdtc10/index.php?action=vallex&amp;frame=v-w369hsa_839", "dát (v-w369hsa_839) - substituted with v-w369f109_MM")</f>
        <v>dát (v-w369hsa_839) - substituted with v-w369f109_MM</v>
      </c>
    </row>
    <row r="6797" customFormat="false" ht="12.8" hidden="false" customHeight="false" outlineLevel="0" collapsed="false">
      <c r="B6797" s="0" t="s">
        <v>7</v>
      </c>
    </row>
    <row r="6798" customFormat="false" ht="12.8" hidden="false" customHeight="false" outlineLevel="0" collapsed="false">
      <c r="B6798" s="0" t="s">
        <v>3036</v>
      </c>
    </row>
    <row r="6799" customFormat="false" ht="12.8" hidden="false" customHeight="false" outlineLevel="0" collapsed="false">
      <c r="B6799" s="0" t="s">
        <v>48</v>
      </c>
    </row>
    <row r="6801" customFormat="false" ht="12.8" hidden="false" customHeight="false" outlineLevel="0" collapsed="false">
      <c r="A6801" s="0" t="s">
        <v>3048</v>
      </c>
      <c r="B6801" s="0" t="str">
        <f aca="false">HYPERLINK("https://lindat.mff.cuni.cz/services/teitok/pdtc10/index.php?action=vallex&amp;frame=v-w369f61_ZU", "dát (v-w369f61_ZU)")</f>
        <v>dát (v-w369f61_ZU)</v>
      </c>
    </row>
    <row r="6802" customFormat="false" ht="12.8" hidden="false" customHeight="false" outlineLevel="0" collapsed="false">
      <c r="B6802" s="0" t="s">
        <v>7</v>
      </c>
      <c r="C6802" s="0" t="s">
        <v>1386</v>
      </c>
      <c r="D6802" s="0" t="s">
        <v>3049</v>
      </c>
      <c r="E6802" s="0" t="s">
        <v>3049</v>
      </c>
      <c r="F6802" s="0" t="s">
        <v>3049</v>
      </c>
    </row>
    <row r="6803" customFormat="false" ht="12.8" hidden="false" customHeight="false" outlineLevel="0" collapsed="false">
      <c r="B6803" s="0" t="s">
        <v>3050</v>
      </c>
      <c r="C6803" s="0" t="s">
        <v>3016</v>
      </c>
      <c r="D6803" s="0" t="s">
        <v>3017</v>
      </c>
      <c r="E6803" s="0" t="s">
        <v>3017</v>
      </c>
      <c r="F6803" s="0" t="s">
        <v>3017</v>
      </c>
    </row>
    <row r="6804" customFormat="false" ht="12.8" hidden="false" customHeight="false" outlineLevel="0" collapsed="false">
      <c r="B6804" s="0" t="s">
        <v>48</v>
      </c>
      <c r="C6804" s="0" t="s">
        <v>3018</v>
      </c>
      <c r="D6804" s="0" t="s">
        <v>2974</v>
      </c>
      <c r="E6804" s="0" t="s">
        <v>2974</v>
      </c>
      <c r="F6804" s="0" t="s">
        <v>2974</v>
      </c>
    </row>
    <row r="6806" customFormat="false" ht="12.8" hidden="false" customHeight="false" outlineLevel="0" collapsed="false">
      <c r="A6806" s="0" t="s">
        <v>3048</v>
      </c>
      <c r="B6806" s="0" t="str">
        <f aca="false">HYPERLINK("https://lindat.mff.cuni.cz/services/teitok/pdtc10/index.php?action=vallex&amp;frame=v-w369f47", "dát (v-w369f47) - substituted with v-w369f61_ZU")</f>
        <v>dát (v-w369f47) - substituted with v-w369f61_ZU</v>
      </c>
    </row>
    <row r="6807" customFormat="false" ht="12.8" hidden="false" customHeight="false" outlineLevel="0" collapsed="false">
      <c r="B6807" s="0" t="s">
        <v>7</v>
      </c>
      <c r="C6807" s="0" t="s">
        <v>3051</v>
      </c>
    </row>
    <row r="6808" customFormat="false" ht="12.8" hidden="false" customHeight="false" outlineLevel="0" collapsed="false">
      <c r="B6808" s="0" t="s">
        <v>3050</v>
      </c>
      <c r="C6808" s="0" t="s">
        <v>1462</v>
      </c>
    </row>
    <row r="6809" customFormat="false" ht="12.8" hidden="false" customHeight="false" outlineLevel="0" collapsed="false">
      <c r="B6809" s="0" t="s">
        <v>48</v>
      </c>
      <c r="C6809" s="0" t="s">
        <v>3052</v>
      </c>
    </row>
    <row r="6811" customFormat="false" ht="12.8" hidden="false" customHeight="false" outlineLevel="0" collapsed="false">
      <c r="A6811" s="0" t="s">
        <v>3048</v>
      </c>
      <c r="B6811" s="0" t="str">
        <f aca="false">HYPERLINK("https://lindat.mff.cuni.cz/services/teitok/pdtc10/index.php?action=vallex&amp;frame=v-w369f58_ZU", "dát (v-w369f58_ZU) - substituted with v-w369f61_ZU")</f>
        <v>dát (v-w369f58_ZU) - substituted with v-w369f61_ZU</v>
      </c>
    </row>
    <row r="6812" customFormat="false" ht="12.8" hidden="false" customHeight="false" outlineLevel="0" collapsed="false">
      <c r="B6812" s="0" t="s">
        <v>7</v>
      </c>
    </row>
    <row r="6813" customFormat="false" ht="12.8" hidden="false" customHeight="false" outlineLevel="0" collapsed="false">
      <c r="B6813" s="0" t="s">
        <v>3050</v>
      </c>
    </row>
    <row r="6814" customFormat="false" ht="12.8" hidden="false" customHeight="false" outlineLevel="0" collapsed="false">
      <c r="B6814" s="0" t="s">
        <v>48</v>
      </c>
    </row>
    <row r="6816" customFormat="false" ht="12.8" hidden="false" customHeight="false" outlineLevel="0" collapsed="false">
      <c r="A6816" s="0" t="s">
        <v>3053</v>
      </c>
      <c r="B6816" s="0" t="str">
        <f aca="false">HYPERLINK("https://lindat.mff.cuni.cz/services/teitok/pdtc10/index.php?action=vallex&amp;frame=v-w369f55_ZU", "dát (v-w369f55_ZU)")</f>
        <v>dát (v-w369f55_ZU)</v>
      </c>
    </row>
    <row r="6817" customFormat="false" ht="12.8" hidden="false" customHeight="false" outlineLevel="0" collapsed="false">
      <c r="B6817" s="0" t="s">
        <v>7</v>
      </c>
      <c r="D6817" s="0" t="s">
        <v>3054</v>
      </c>
      <c r="E6817" s="0" t="s">
        <v>3054</v>
      </c>
      <c r="F6817" s="0" t="s">
        <v>3054</v>
      </c>
    </row>
    <row r="6818" customFormat="false" ht="12.8" hidden="false" customHeight="false" outlineLevel="0" collapsed="false">
      <c r="B6818" s="0" t="s">
        <v>3055</v>
      </c>
    </row>
    <row r="6819" customFormat="false" ht="12.8" hidden="false" customHeight="false" outlineLevel="0" collapsed="false">
      <c r="B6819" s="0" t="s">
        <v>3056</v>
      </c>
      <c r="D6819" s="0" t="s">
        <v>3057</v>
      </c>
      <c r="E6819" s="0" t="s">
        <v>3057</v>
      </c>
      <c r="F6819" s="0" t="s">
        <v>3057</v>
      </c>
    </row>
    <row r="6821" customFormat="false" ht="12.8" hidden="false" customHeight="false" outlineLevel="0" collapsed="false">
      <c r="A6821" s="0" t="s">
        <v>3053</v>
      </c>
      <c r="B6821" s="0" t="str">
        <f aca="false">HYPERLINK("https://lindat.mff.cuni.cz/services/teitok/pdtc10/index.php?action=vallex&amp;frame=v-w369f5", "dát (v-w369f5) - substituted with v-w369f55_ZU")</f>
        <v>dát (v-w369f5) - substituted with v-w369f55_ZU</v>
      </c>
    </row>
    <row r="6822" customFormat="false" ht="12.8" hidden="false" customHeight="false" outlineLevel="0" collapsed="false">
      <c r="B6822" s="0" t="s">
        <v>7</v>
      </c>
      <c r="C6822" s="0" t="s">
        <v>1386</v>
      </c>
    </row>
    <row r="6823" customFormat="false" ht="12.8" hidden="false" customHeight="false" outlineLevel="0" collapsed="false">
      <c r="B6823" s="0" t="s">
        <v>3055</v>
      </c>
      <c r="C6823" s="0" t="s">
        <v>3016</v>
      </c>
    </row>
    <row r="6824" customFormat="false" ht="12.8" hidden="false" customHeight="false" outlineLevel="0" collapsed="false">
      <c r="B6824" s="0" t="s">
        <v>3056</v>
      </c>
      <c r="C6824" s="0" t="s">
        <v>3018</v>
      </c>
    </row>
    <row r="6826" customFormat="false" ht="12.8" hidden="false" customHeight="false" outlineLevel="0" collapsed="false">
      <c r="A6826" s="0" t="s">
        <v>3058</v>
      </c>
      <c r="B6826" s="0" t="str">
        <f aca="false">HYPERLINK("https://lindat.mff.cuni.cz/services/teitok/pdtc10/index.php?action=vallex&amp;frame=v-w369f46", "dát (v-w369f46)")</f>
        <v>dát (v-w369f46)</v>
      </c>
    </row>
    <row r="6827" customFormat="false" ht="12.8" hidden="false" customHeight="false" outlineLevel="0" collapsed="false">
      <c r="B6827" s="0" t="s">
        <v>7</v>
      </c>
    </row>
    <row r="6828" customFormat="false" ht="12.8" hidden="false" customHeight="false" outlineLevel="0" collapsed="false">
      <c r="B6828" s="0" t="s">
        <v>3059</v>
      </c>
    </row>
    <row r="6829" customFormat="false" ht="12.8" hidden="false" customHeight="false" outlineLevel="0" collapsed="false">
      <c r="B6829" s="0" t="s">
        <v>11</v>
      </c>
    </row>
    <row r="6831" customFormat="false" ht="12.8" hidden="false" customHeight="false" outlineLevel="0" collapsed="false">
      <c r="A6831" s="0" t="s">
        <v>3060</v>
      </c>
      <c r="B6831" s="0" t="str">
        <f aca="false">HYPERLINK("https://lindat.mff.cuni.cz/services/teitok/pdtc10/index.php?action=vallex&amp;frame=v-w369f68_ZU", "dát (v-w369f68_ZU)")</f>
        <v>dát (v-w369f68_ZU)</v>
      </c>
    </row>
    <row r="6832" customFormat="false" ht="12.8" hidden="false" customHeight="false" outlineLevel="0" collapsed="false">
      <c r="B6832" s="0" t="s">
        <v>7</v>
      </c>
    </row>
    <row r="6833" customFormat="false" ht="12.8" hidden="false" customHeight="false" outlineLevel="0" collapsed="false">
      <c r="B6833" s="0" t="s">
        <v>3061</v>
      </c>
    </row>
    <row r="6834" customFormat="false" ht="12.8" hidden="false" customHeight="false" outlineLevel="0" collapsed="false">
      <c r="B6834" s="0" t="s">
        <v>124</v>
      </c>
    </row>
    <row r="6836" customFormat="false" ht="12.8" hidden="false" customHeight="false" outlineLevel="0" collapsed="false">
      <c r="A6836" s="0" t="s">
        <v>3060</v>
      </c>
      <c r="B6836" s="0" t="str">
        <f aca="false">HYPERLINK("https://lindat.mff.cuni.cz/services/teitok/pdtc10/index.php?action=vallex&amp;frame=v-w369f45", "dát (v-w369f45) - substituted with v-w369f68_ZU")</f>
        <v>dát (v-w369f45) - substituted with v-w369f68_ZU</v>
      </c>
    </row>
    <row r="6837" customFormat="false" ht="12.8" hidden="false" customHeight="false" outlineLevel="0" collapsed="false">
      <c r="B6837" s="0" t="s">
        <v>7</v>
      </c>
    </row>
    <row r="6838" customFormat="false" ht="12.8" hidden="false" customHeight="false" outlineLevel="0" collapsed="false">
      <c r="B6838" s="0" t="s">
        <v>3061</v>
      </c>
    </row>
    <row r="6839" customFormat="false" ht="12.8" hidden="false" customHeight="false" outlineLevel="0" collapsed="false">
      <c r="B6839" s="0" t="s">
        <v>124</v>
      </c>
    </row>
    <row r="6841" customFormat="false" ht="12.8" hidden="false" customHeight="false" outlineLevel="0" collapsed="false">
      <c r="A6841" s="0" t="s">
        <v>3062</v>
      </c>
      <c r="B6841" s="0" t="str">
        <f aca="false">HYPERLINK("https://lindat.mff.cuni.cz/services/teitok/pdtc10/index.php?action=vallex&amp;frame=v-w369f48", "dát (v-w369f48)")</f>
        <v>dát (v-w369f48)</v>
      </c>
    </row>
    <row r="6842" customFormat="false" ht="12.8" hidden="false" customHeight="false" outlineLevel="0" collapsed="false">
      <c r="B6842" s="0" t="s">
        <v>7</v>
      </c>
    </row>
    <row r="6843" customFormat="false" ht="12.8" hidden="false" customHeight="false" outlineLevel="0" collapsed="false">
      <c r="B6843" s="0" t="s">
        <v>3063</v>
      </c>
    </row>
    <row r="6845" customFormat="false" ht="12.8" hidden="false" customHeight="false" outlineLevel="0" collapsed="false">
      <c r="A6845" s="0" t="s">
        <v>3064</v>
      </c>
      <c r="B6845" s="0" t="str">
        <f aca="false">HYPERLINK("https://lindat.mff.cuni.cz/services/teitok/pdtc10/index.php?action=vallex&amp;frame=v-w369f19", "dát (v-w369f19)")</f>
        <v>dát (v-w369f19)</v>
      </c>
    </row>
    <row r="6846" customFormat="false" ht="12.8" hidden="false" customHeight="false" outlineLevel="0" collapsed="false">
      <c r="B6846" s="0" t="s">
        <v>7</v>
      </c>
    </row>
    <row r="6847" customFormat="false" ht="12.8" hidden="false" customHeight="false" outlineLevel="0" collapsed="false">
      <c r="B6847" s="0" t="s">
        <v>3065</v>
      </c>
    </row>
    <row r="6849" customFormat="false" ht="12.8" hidden="false" customHeight="false" outlineLevel="0" collapsed="false">
      <c r="A6849" s="0" t="s">
        <v>3066</v>
      </c>
      <c r="B6849" s="0" t="str">
        <f aca="false">HYPERLINK("https://lindat.mff.cuni.cz/services/teitok/pdtc10/index.php?action=vallex&amp;frame=v-w369f18", "dát (v-w369f18)")</f>
        <v>dát (v-w369f18)</v>
      </c>
    </row>
    <row r="6850" customFormat="false" ht="12.8" hidden="false" customHeight="false" outlineLevel="0" collapsed="false">
      <c r="B6850" s="0" t="s">
        <v>7</v>
      </c>
      <c r="C6850" s="0" t="s">
        <v>3067</v>
      </c>
      <c r="D6850" s="0" t="s">
        <v>3009</v>
      </c>
      <c r="E6850" s="0" t="s">
        <v>3009</v>
      </c>
      <c r="F6850" s="0" t="s">
        <v>3009</v>
      </c>
    </row>
    <row r="6851" customFormat="false" ht="12.8" hidden="false" customHeight="false" outlineLevel="0" collapsed="false">
      <c r="B6851" s="0" t="s">
        <v>777</v>
      </c>
      <c r="C6851" s="0" t="s">
        <v>3068</v>
      </c>
    </row>
    <row r="6852" customFormat="false" ht="12.8" hidden="false" customHeight="false" outlineLevel="0" collapsed="false">
      <c r="B6852" s="0" t="s">
        <v>14</v>
      </c>
      <c r="C6852" s="0" t="s">
        <v>3069</v>
      </c>
      <c r="D6852" s="0" t="s">
        <v>3070</v>
      </c>
      <c r="E6852" s="0" t="s">
        <v>3070</v>
      </c>
      <c r="F6852" s="0" t="s">
        <v>3070</v>
      </c>
    </row>
    <row r="6853" customFormat="false" ht="12.8" hidden="false" customHeight="false" outlineLevel="0" collapsed="false">
      <c r="B6853" s="0" t="s">
        <v>48</v>
      </c>
      <c r="C6853" s="0" t="s">
        <v>2942</v>
      </c>
      <c r="D6853" s="0" t="s">
        <v>2952</v>
      </c>
      <c r="E6853" s="0" t="s">
        <v>2952</v>
      </c>
      <c r="F6853" s="0" t="s">
        <v>2952</v>
      </c>
    </row>
    <row r="6855" customFormat="false" ht="12.8" hidden="false" customHeight="false" outlineLevel="0" collapsed="false">
      <c r="A6855" s="0" t="s">
        <v>3071</v>
      </c>
      <c r="B6855" s="0" t="str">
        <f aca="false">HYPERLINK("https://lindat.mff.cuni.cz/services/teitok/pdtc10/index.php?action=vallex&amp;frame=v-w369hsa_974", "dát (v-w369hsa_974)")</f>
        <v>dát (v-w369hsa_974)</v>
      </c>
    </row>
    <row r="6856" customFormat="false" ht="12.8" hidden="false" customHeight="false" outlineLevel="0" collapsed="false">
      <c r="B6856" s="0" t="s">
        <v>7</v>
      </c>
    </row>
    <row r="6857" customFormat="false" ht="12.8" hidden="false" customHeight="false" outlineLevel="0" collapsed="false">
      <c r="B6857" s="0" t="s">
        <v>3072</v>
      </c>
    </row>
    <row r="6858" customFormat="false" ht="12.8" hidden="false" customHeight="false" outlineLevel="0" collapsed="false">
      <c r="B6858" s="0" t="s">
        <v>54</v>
      </c>
    </row>
    <row r="6859" customFormat="false" ht="12.8" hidden="false" customHeight="false" outlineLevel="0" collapsed="false">
      <c r="B6859" s="0" t="s">
        <v>48</v>
      </c>
    </row>
    <row r="6861" customFormat="false" ht="12.8" hidden="false" customHeight="false" outlineLevel="0" collapsed="false">
      <c r="A6861" s="0" t="s">
        <v>3071</v>
      </c>
      <c r="B6861" s="0" t="str">
        <f aca="false">HYPERLINK("https://lindat.mff.cuni.cz/services/teitok/pdtc10/index.php?action=vallex&amp;frame=v-w369f22", "dát (v-w369f22) - substituted with v-w369hsa_974")</f>
        <v>dát (v-w369f22) - substituted with v-w369hsa_974</v>
      </c>
    </row>
    <row r="6862" customFormat="false" ht="12.8" hidden="false" customHeight="false" outlineLevel="0" collapsed="false">
      <c r="B6862" s="0" t="s">
        <v>7</v>
      </c>
    </row>
    <row r="6863" customFormat="false" ht="12.8" hidden="false" customHeight="false" outlineLevel="0" collapsed="false">
      <c r="B6863" s="0" t="s">
        <v>3072</v>
      </c>
    </row>
    <row r="6864" customFormat="false" ht="12.8" hidden="false" customHeight="false" outlineLevel="0" collapsed="false">
      <c r="B6864" s="0" t="s">
        <v>54</v>
      </c>
    </row>
    <row r="6865" customFormat="false" ht="12.8" hidden="false" customHeight="false" outlineLevel="0" collapsed="false">
      <c r="B6865" s="0" t="s">
        <v>48</v>
      </c>
    </row>
    <row r="6867" customFormat="false" ht="12.8" hidden="false" customHeight="false" outlineLevel="0" collapsed="false">
      <c r="A6867" s="0" t="s">
        <v>3073</v>
      </c>
      <c r="B6867" s="0" t="str">
        <f aca="false">HYPERLINK("https://lindat.mff.cuni.cz/services/teitok/pdtc10/index.php?action=vallex&amp;frame=v-w369f36", "dát (v-w369f36)")</f>
        <v>dát (v-w369f36)</v>
      </c>
    </row>
    <row r="6868" customFormat="false" ht="12.8" hidden="false" customHeight="false" outlineLevel="0" collapsed="false">
      <c r="B6868" s="0" t="s">
        <v>7</v>
      </c>
    </row>
    <row r="6869" customFormat="false" ht="12.8" hidden="false" customHeight="false" outlineLevel="0" collapsed="false">
      <c r="B6869" s="0" t="s">
        <v>3074</v>
      </c>
    </row>
    <row r="6870" customFormat="false" ht="12.8" hidden="false" customHeight="false" outlineLevel="0" collapsed="false">
      <c r="B6870" s="0" t="s">
        <v>54</v>
      </c>
    </row>
    <row r="6871" customFormat="false" ht="12.8" hidden="false" customHeight="false" outlineLevel="0" collapsed="false">
      <c r="B6871" s="0" t="s">
        <v>48</v>
      </c>
    </row>
    <row r="6873" customFormat="false" ht="12.8" hidden="false" customHeight="false" outlineLevel="0" collapsed="false">
      <c r="A6873" s="0" t="s">
        <v>3075</v>
      </c>
      <c r="B6873" s="0" t="str">
        <f aca="false">HYPERLINK("https://lindat.mff.cuni.cz/services/teitok/pdtc10/index.php?action=vallex&amp;frame=v-w369f8", "dát (v-w369f8)")</f>
        <v>dát (v-w369f8)</v>
      </c>
    </row>
    <row r="6874" customFormat="false" ht="12.8" hidden="false" customHeight="false" outlineLevel="0" collapsed="false">
      <c r="B6874" s="0" t="s">
        <v>7</v>
      </c>
      <c r="C6874" s="0" t="s">
        <v>3076</v>
      </c>
      <c r="D6874" s="0" t="s">
        <v>164</v>
      </c>
      <c r="E6874" s="0" t="s">
        <v>164</v>
      </c>
      <c r="F6874" s="0" t="s">
        <v>164</v>
      </c>
    </row>
    <row r="6875" customFormat="false" ht="12.8" hidden="false" customHeight="false" outlineLevel="0" collapsed="false">
      <c r="B6875" s="0" t="s">
        <v>3077</v>
      </c>
      <c r="C6875" s="0" t="s">
        <v>3078</v>
      </c>
    </row>
    <row r="6876" customFormat="false" ht="12.8" hidden="false" customHeight="false" outlineLevel="0" collapsed="false">
      <c r="B6876" s="0" t="s">
        <v>3079</v>
      </c>
      <c r="C6876" s="0" t="s">
        <v>3080</v>
      </c>
      <c r="D6876" s="0" t="s">
        <v>167</v>
      </c>
      <c r="E6876" s="0" t="s">
        <v>167</v>
      </c>
      <c r="F6876" s="0" t="s">
        <v>167</v>
      </c>
    </row>
    <row r="6877" customFormat="false" ht="12.8" hidden="false" customHeight="false" outlineLevel="0" collapsed="false">
      <c r="B6877" s="0" t="s">
        <v>48</v>
      </c>
      <c r="C6877" s="0" t="s">
        <v>3081</v>
      </c>
      <c r="D6877" s="0" t="s">
        <v>168</v>
      </c>
      <c r="E6877" s="0" t="s">
        <v>168</v>
      </c>
      <c r="F6877" s="0" t="s">
        <v>168</v>
      </c>
    </row>
    <row r="6879" customFormat="false" ht="12.8" hidden="false" customHeight="false" outlineLevel="0" collapsed="false">
      <c r="A6879" s="0" t="s">
        <v>3082</v>
      </c>
      <c r="B6879" s="0" t="str">
        <f aca="false">HYPERLINK("https://lindat.mff.cuni.cz/services/teitok/pdtc10/index.php?action=vallex&amp;frame=v-w369f60_ZU", "dát (v-w369f60_ZU)")</f>
        <v>dát (v-w369f60_ZU)</v>
      </c>
    </row>
    <row r="6880" customFormat="false" ht="12.8" hidden="false" customHeight="false" outlineLevel="0" collapsed="false">
      <c r="B6880" s="0" t="s">
        <v>7</v>
      </c>
      <c r="C6880" s="0" t="s">
        <v>31</v>
      </c>
    </row>
    <row r="6881" customFormat="false" ht="12.8" hidden="false" customHeight="false" outlineLevel="0" collapsed="false">
      <c r="B6881" s="0" t="s">
        <v>3083</v>
      </c>
    </row>
    <row r="6882" customFormat="false" ht="12.8" hidden="false" customHeight="false" outlineLevel="0" collapsed="false">
      <c r="B6882" s="0" t="s">
        <v>14</v>
      </c>
    </row>
    <row r="6883" customFormat="false" ht="12.8" hidden="false" customHeight="false" outlineLevel="0" collapsed="false">
      <c r="B6883" s="0" t="s">
        <v>48</v>
      </c>
      <c r="C6883" s="0" t="s">
        <v>1861</v>
      </c>
    </row>
    <row r="6885" customFormat="false" ht="12.8" hidden="false" customHeight="false" outlineLevel="0" collapsed="false">
      <c r="A6885" s="0" t="s">
        <v>3084</v>
      </c>
      <c r="B6885" s="0" t="str">
        <f aca="false">HYPERLINK("https://lindat.mff.cuni.cz/services/teitok/pdtc10/index.php?action=vallex&amp;frame=v-w369f39", "dát (v-w369f39)")</f>
        <v>dát (v-w369f39)</v>
      </c>
    </row>
    <row r="6886" customFormat="false" ht="12.8" hidden="false" customHeight="false" outlineLevel="0" collapsed="false">
      <c r="B6886" s="0" t="s">
        <v>7</v>
      </c>
    </row>
    <row r="6887" customFormat="false" ht="12.8" hidden="false" customHeight="false" outlineLevel="0" collapsed="false">
      <c r="B6887" s="0" t="s">
        <v>3085</v>
      </c>
    </row>
    <row r="6888" customFormat="false" ht="12.8" hidden="false" customHeight="false" outlineLevel="0" collapsed="false">
      <c r="B6888" s="0" t="s">
        <v>14</v>
      </c>
    </row>
    <row r="6889" customFormat="false" ht="12.8" hidden="false" customHeight="false" outlineLevel="0" collapsed="false">
      <c r="B6889" s="0" t="s">
        <v>3086</v>
      </c>
    </row>
    <row r="6891" customFormat="false" ht="12.8" hidden="false" customHeight="false" outlineLevel="0" collapsed="false">
      <c r="A6891" s="0" t="s">
        <v>3087</v>
      </c>
      <c r="B6891" s="0" t="str">
        <f aca="false">HYPERLINK("https://lindat.mff.cuni.cz/services/teitok/pdtc10/index.php?action=vallex&amp;frame=v-w369f104_ZU", "dát (v-w369f104_ZU)")</f>
        <v>dát (v-w369f104_ZU)</v>
      </c>
    </row>
    <row r="6892" customFormat="false" ht="12.8" hidden="false" customHeight="false" outlineLevel="0" collapsed="false">
      <c r="B6892" s="0" t="s">
        <v>7</v>
      </c>
    </row>
    <row r="6893" customFormat="false" ht="12.8" hidden="false" customHeight="false" outlineLevel="0" collapsed="false">
      <c r="B6893" s="0" t="s">
        <v>3088</v>
      </c>
    </row>
    <row r="6894" customFormat="false" ht="12.8" hidden="false" customHeight="false" outlineLevel="0" collapsed="false">
      <c r="B6894" s="0" t="s">
        <v>14</v>
      </c>
    </row>
    <row r="6896" customFormat="false" ht="12.8" hidden="false" customHeight="false" outlineLevel="0" collapsed="false">
      <c r="A6896" s="0" t="s">
        <v>3087</v>
      </c>
      <c r="B6896" s="0" t="str">
        <f aca="false">HYPERLINK("https://lindat.mff.cuni.cz/services/teitok/pdtc10/index.php?action=vallex&amp;frame=v-w369f9", "dát (v-w369f9) - substituted with v-w369f104_ZU")</f>
        <v>dát (v-w369f9) - substituted with v-w369f104_ZU</v>
      </c>
    </row>
    <row r="6897" customFormat="false" ht="12.8" hidden="false" customHeight="false" outlineLevel="0" collapsed="false">
      <c r="B6897" s="0" t="s">
        <v>7</v>
      </c>
      <c r="C6897" s="0" t="s">
        <v>3089</v>
      </c>
      <c r="D6897" s="0" t="s">
        <v>77</v>
      </c>
      <c r="E6897" s="0" t="s">
        <v>77</v>
      </c>
      <c r="F6897" s="0" t="s">
        <v>77</v>
      </c>
    </row>
    <row r="6898" customFormat="false" ht="12.8" hidden="false" customHeight="false" outlineLevel="0" collapsed="false">
      <c r="B6898" s="0" t="s">
        <v>3088</v>
      </c>
      <c r="C6898" s="0" t="s">
        <v>3090</v>
      </c>
    </row>
    <row r="6899" customFormat="false" ht="12.8" hidden="false" customHeight="false" outlineLevel="0" collapsed="false">
      <c r="B6899" s="0" t="s">
        <v>14</v>
      </c>
      <c r="C6899" s="0" t="s">
        <v>3091</v>
      </c>
      <c r="D6899" s="0" t="s">
        <v>79</v>
      </c>
      <c r="E6899" s="0" t="s">
        <v>79</v>
      </c>
      <c r="F6899" s="0" t="s">
        <v>79</v>
      </c>
    </row>
    <row r="6901" customFormat="false" ht="12.8" hidden="false" customHeight="false" outlineLevel="0" collapsed="false">
      <c r="A6901" s="0" t="s">
        <v>3092</v>
      </c>
      <c r="B6901" s="0" t="str">
        <f aca="false">HYPERLINK("https://lindat.mff.cuni.cz/services/teitok/pdtc10/index.php?action=vallex&amp;frame=v-w369f44", "dát (v-w369f44)")</f>
        <v>dát (v-w369f44)</v>
      </c>
    </row>
    <row r="6902" customFormat="false" ht="12.8" hidden="false" customHeight="false" outlineLevel="0" collapsed="false">
      <c r="B6902" s="0" t="s">
        <v>7</v>
      </c>
      <c r="C6902" s="0" t="s">
        <v>442</v>
      </c>
      <c r="D6902" s="0" t="s">
        <v>108</v>
      </c>
      <c r="E6902" s="0" t="s">
        <v>108</v>
      </c>
      <c r="F6902" s="0" t="s">
        <v>108</v>
      </c>
    </row>
    <row r="6903" customFormat="false" ht="12.8" hidden="false" customHeight="false" outlineLevel="0" collapsed="false">
      <c r="B6903" s="0" t="s">
        <v>3093</v>
      </c>
      <c r="C6903" s="0" t="s">
        <v>3094</v>
      </c>
    </row>
    <row r="6904" customFormat="false" ht="12.8" hidden="false" customHeight="false" outlineLevel="0" collapsed="false">
      <c r="B6904" s="0" t="s">
        <v>3095</v>
      </c>
      <c r="C6904" s="0" t="s">
        <v>444</v>
      </c>
      <c r="D6904" s="0" t="s">
        <v>3096</v>
      </c>
      <c r="E6904" s="0" t="s">
        <v>3096</v>
      </c>
      <c r="F6904" s="0" t="s">
        <v>3096</v>
      </c>
    </row>
    <row r="6906" customFormat="false" ht="12.8" hidden="false" customHeight="false" outlineLevel="0" collapsed="false">
      <c r="A6906" s="0" t="s">
        <v>3097</v>
      </c>
      <c r="B6906" s="0" t="str">
        <f aca="false">HYPERLINK("https://lindat.mff.cuni.cz/services/teitok/pdtc10/index.php?action=vallex&amp;frame=v-w369f24", "dát (v-w369f24)")</f>
        <v>dát (v-w369f24)</v>
      </c>
    </row>
    <row r="6907" customFormat="false" ht="12.8" hidden="false" customHeight="false" outlineLevel="0" collapsed="false">
      <c r="B6907" s="0" t="s">
        <v>7</v>
      </c>
    </row>
    <row r="6908" customFormat="false" ht="12.8" hidden="false" customHeight="false" outlineLevel="0" collapsed="false">
      <c r="B6908" s="0" t="s">
        <v>3098</v>
      </c>
    </row>
    <row r="6909" customFormat="false" ht="12.8" hidden="false" customHeight="false" outlineLevel="0" collapsed="false">
      <c r="B6909" s="0" t="s">
        <v>2933</v>
      </c>
    </row>
    <row r="6911" customFormat="false" ht="12.8" hidden="false" customHeight="false" outlineLevel="0" collapsed="false">
      <c r="A6911" s="0" t="s">
        <v>3099</v>
      </c>
      <c r="B6911" s="0" t="str">
        <f aca="false">HYPERLINK("https://lindat.mff.cuni.cz/services/teitok/pdtc10/index.php?action=vallex&amp;frame=v-w369f92_ZU", "dát (v-w369f92_ZU)")</f>
        <v>dát (v-w369f92_ZU)</v>
      </c>
    </row>
    <row r="6912" customFormat="false" ht="12.8" hidden="false" customHeight="false" outlineLevel="0" collapsed="false">
      <c r="B6912" s="0" t="s">
        <v>7</v>
      </c>
    </row>
    <row r="6913" customFormat="false" ht="12.8" hidden="false" customHeight="false" outlineLevel="0" collapsed="false">
      <c r="B6913" s="0" t="s">
        <v>3100</v>
      </c>
    </row>
    <row r="6914" customFormat="false" ht="12.8" hidden="false" customHeight="false" outlineLevel="0" collapsed="false">
      <c r="B6914" s="0" t="s">
        <v>14</v>
      </c>
    </row>
    <row r="6916" customFormat="false" ht="12.8" hidden="false" customHeight="false" outlineLevel="0" collapsed="false">
      <c r="A6916" s="0" t="s">
        <v>3099</v>
      </c>
      <c r="B6916" s="0" t="str">
        <f aca="false">HYPERLINK("https://lindat.mff.cuni.cz/services/teitok/pdtc10/index.php?action=vallex&amp;frame=v-w369f34", "dát (v-w369f34) - substituted with v-w369f92_ZU")</f>
        <v>dát (v-w369f34) - substituted with v-w369f92_ZU</v>
      </c>
    </row>
    <row r="6917" customFormat="false" ht="12.8" hidden="false" customHeight="false" outlineLevel="0" collapsed="false">
      <c r="B6917" s="0" t="s">
        <v>7</v>
      </c>
    </row>
    <row r="6918" customFormat="false" ht="12.8" hidden="false" customHeight="false" outlineLevel="0" collapsed="false">
      <c r="B6918" s="0" t="s">
        <v>3100</v>
      </c>
    </row>
    <row r="6919" customFormat="false" ht="12.8" hidden="false" customHeight="false" outlineLevel="0" collapsed="false">
      <c r="B6919" s="0" t="s">
        <v>14</v>
      </c>
    </row>
    <row r="6921" customFormat="false" ht="12.8" hidden="false" customHeight="false" outlineLevel="0" collapsed="false">
      <c r="A6921" s="0" t="s">
        <v>3101</v>
      </c>
      <c r="B6921" s="0" t="str">
        <f aca="false">HYPERLINK("https://lindat.mff.cuni.cz/services/teitok/pdtc10/index.php?action=vallex&amp;frame=v-w369f40", "dát (v-w369f40)")</f>
        <v>dát (v-w369f40)</v>
      </c>
    </row>
    <row r="6922" customFormat="false" ht="12.8" hidden="false" customHeight="false" outlineLevel="0" collapsed="false">
      <c r="B6922" s="0" t="s">
        <v>7</v>
      </c>
    </row>
    <row r="6923" customFormat="false" ht="12.8" hidden="false" customHeight="false" outlineLevel="0" collapsed="false">
      <c r="B6923" s="0" t="s">
        <v>3102</v>
      </c>
    </row>
    <row r="6924" customFormat="false" ht="12.8" hidden="false" customHeight="false" outlineLevel="0" collapsed="false">
      <c r="B6924" s="0" t="s">
        <v>142</v>
      </c>
    </row>
    <row r="6926" customFormat="false" ht="12.8" hidden="false" customHeight="false" outlineLevel="0" collapsed="false">
      <c r="A6926" s="0" t="s">
        <v>3103</v>
      </c>
      <c r="B6926" s="0" t="str">
        <f aca="false">HYPERLINK("https://lindat.mff.cuni.cz/services/teitok/pdtc10/index.php?action=vallex&amp;frame=v-w369f35", "dát (v-w369f35)")</f>
        <v>dát (v-w369f35)</v>
      </c>
    </row>
    <row r="6927" customFormat="false" ht="12.8" hidden="false" customHeight="false" outlineLevel="0" collapsed="false">
      <c r="B6927" s="0" t="s">
        <v>7</v>
      </c>
      <c r="C6927" s="0" t="s">
        <v>2940</v>
      </c>
    </row>
    <row r="6928" customFormat="false" ht="12.8" hidden="false" customHeight="false" outlineLevel="0" collapsed="false">
      <c r="B6928" s="0" t="s">
        <v>2382</v>
      </c>
      <c r="C6928" s="0" t="s">
        <v>3104</v>
      </c>
    </row>
    <row r="6929" customFormat="false" ht="12.8" hidden="false" customHeight="false" outlineLevel="0" collapsed="false">
      <c r="B6929" s="0" t="s">
        <v>142</v>
      </c>
      <c r="C6929" s="0" t="s">
        <v>3105</v>
      </c>
    </row>
    <row r="6931" customFormat="false" ht="12.8" hidden="false" customHeight="false" outlineLevel="0" collapsed="false">
      <c r="A6931" s="0" t="s">
        <v>3106</v>
      </c>
      <c r="B6931" s="0" t="str">
        <f aca="false">HYPERLINK("https://lindat.mff.cuni.cz/services/teitok/pdtc10/index.php?action=vallex&amp;frame=v-w369f29", "dát (v-w369f29)")</f>
        <v>dát (v-w369f29)</v>
      </c>
    </row>
    <row r="6932" customFormat="false" ht="12.8" hidden="false" customHeight="false" outlineLevel="0" collapsed="false">
      <c r="B6932" s="0" t="s">
        <v>603</v>
      </c>
    </row>
    <row r="6933" customFormat="false" ht="12.8" hidden="false" customHeight="false" outlineLevel="0" collapsed="false">
      <c r="B6933" s="0" t="s">
        <v>3107</v>
      </c>
    </row>
    <row r="6934" customFormat="false" ht="12.8" hidden="false" customHeight="false" outlineLevel="0" collapsed="false">
      <c r="B6934" s="0" t="s">
        <v>3108</v>
      </c>
    </row>
    <row r="6936" customFormat="false" ht="12.8" hidden="false" customHeight="false" outlineLevel="0" collapsed="false">
      <c r="A6936" s="0" t="s">
        <v>3109</v>
      </c>
      <c r="B6936" s="0" t="str">
        <f aca="false">HYPERLINK("https://lindat.mff.cuni.cz/services/teitok/pdtc10/index.php?action=vallex&amp;frame=v-w369f38", "dát (v-w369f38)")</f>
        <v>dát (v-w369f38)</v>
      </c>
    </row>
    <row r="6937" customFormat="false" ht="12.8" hidden="false" customHeight="false" outlineLevel="0" collapsed="false">
      <c r="B6937" s="0" t="s">
        <v>603</v>
      </c>
    </row>
    <row r="6938" customFormat="false" ht="12.8" hidden="false" customHeight="false" outlineLevel="0" collapsed="false">
      <c r="B6938" s="0" t="s">
        <v>3110</v>
      </c>
    </row>
    <row r="6939" customFormat="false" ht="12.8" hidden="false" customHeight="false" outlineLevel="0" collapsed="false">
      <c r="B6939" s="0" t="s">
        <v>54</v>
      </c>
    </row>
    <row r="6941" customFormat="false" ht="12.8" hidden="false" customHeight="false" outlineLevel="0" collapsed="false">
      <c r="A6941" s="0" t="s">
        <v>3111</v>
      </c>
      <c r="B6941" s="0" t="str">
        <f aca="false">HYPERLINK("https://lindat.mff.cuni.cz/services/teitok/pdtc10/index.php?action=vallex&amp;frame=v-w369f59_ZU", "dát (v-w369f59_ZU)")</f>
        <v>dát (v-w369f59_ZU)</v>
      </c>
    </row>
    <row r="6942" customFormat="false" ht="12.8" hidden="false" customHeight="false" outlineLevel="0" collapsed="false">
      <c r="B6942" s="0" t="s">
        <v>7</v>
      </c>
    </row>
    <row r="6943" customFormat="false" ht="12.8" hidden="false" customHeight="false" outlineLevel="0" collapsed="false">
      <c r="B6943" s="0" t="s">
        <v>3112</v>
      </c>
    </row>
    <row r="6944" customFormat="false" ht="12.8" hidden="false" customHeight="false" outlineLevel="0" collapsed="false">
      <c r="B6944" s="0" t="s">
        <v>142</v>
      </c>
    </row>
    <row r="6946" customFormat="false" ht="12.8" hidden="false" customHeight="false" outlineLevel="0" collapsed="false">
      <c r="A6946" s="0" t="s">
        <v>3113</v>
      </c>
      <c r="B6946" s="0" t="str">
        <f aca="false">HYPERLINK("https://lindat.mff.cuni.cz/services/teitok/pdtc10/index.php?action=vallex&amp;frame=v-w369f65_ZU", "dát (v-w369f65_ZU)")</f>
        <v>dát (v-w369f65_ZU)</v>
      </c>
    </row>
    <row r="6947" customFormat="false" ht="12.8" hidden="false" customHeight="false" outlineLevel="0" collapsed="false">
      <c r="B6947" s="0" t="s">
        <v>7</v>
      </c>
    </row>
    <row r="6948" customFormat="false" ht="12.8" hidden="false" customHeight="false" outlineLevel="0" collapsed="false">
      <c r="B6948" s="0" t="s">
        <v>3114</v>
      </c>
    </row>
    <row r="6949" customFormat="false" ht="12.8" hidden="false" customHeight="false" outlineLevel="0" collapsed="false">
      <c r="B6949" s="0" t="s">
        <v>142</v>
      </c>
    </row>
    <row r="6951" customFormat="false" ht="12.8" hidden="false" customHeight="false" outlineLevel="0" collapsed="false">
      <c r="A6951" s="0" t="s">
        <v>3113</v>
      </c>
      <c r="B6951" s="0" t="str">
        <f aca="false">HYPERLINK("https://lindat.mff.cuni.cz/services/teitok/pdtc10/index.php?action=vallex&amp;frame=v-w369f52_ZU", "dát (v-w369f52_ZU) - substituted with v-w369f65_ZU")</f>
        <v>dát (v-w369f52_ZU) - substituted with v-w369f65_ZU</v>
      </c>
    </row>
    <row r="6952" customFormat="false" ht="12.8" hidden="false" customHeight="false" outlineLevel="0" collapsed="false">
      <c r="B6952" s="0" t="s">
        <v>7</v>
      </c>
      <c r="C6952" s="0" t="s">
        <v>2940</v>
      </c>
    </row>
    <row r="6953" customFormat="false" ht="12.8" hidden="false" customHeight="false" outlineLevel="0" collapsed="false">
      <c r="B6953" s="0" t="s">
        <v>3114</v>
      </c>
      <c r="C6953" s="0" t="s">
        <v>3104</v>
      </c>
    </row>
    <row r="6954" customFormat="false" ht="12.8" hidden="false" customHeight="false" outlineLevel="0" collapsed="false">
      <c r="B6954" s="0" t="s">
        <v>142</v>
      </c>
      <c r="C6954" s="0" t="s">
        <v>3105</v>
      </c>
    </row>
    <row r="6956" customFormat="false" ht="12.8" hidden="false" customHeight="false" outlineLevel="0" collapsed="false">
      <c r="A6956" s="0" t="s">
        <v>3115</v>
      </c>
      <c r="B6956" s="0" t="str">
        <f aca="false">HYPERLINK("https://lindat.mff.cuni.cz/services/teitok/pdtc10/index.php?action=vallex&amp;frame=v-w369f99_ZU", "dát (v-w369f99_ZU)")</f>
        <v>dát (v-w369f99_ZU)</v>
      </c>
    </row>
    <row r="6957" customFormat="false" ht="12.8" hidden="false" customHeight="false" outlineLevel="0" collapsed="false">
      <c r="B6957" s="0" t="s">
        <v>7</v>
      </c>
    </row>
    <row r="6958" customFormat="false" ht="12.8" hidden="false" customHeight="false" outlineLevel="0" collapsed="false">
      <c r="B6958" s="0" t="s">
        <v>3116</v>
      </c>
    </row>
    <row r="6959" customFormat="false" ht="12.8" hidden="false" customHeight="false" outlineLevel="0" collapsed="false">
      <c r="B6959" s="0" t="s">
        <v>119</v>
      </c>
    </row>
    <row r="6961" customFormat="false" ht="12.8" hidden="false" customHeight="false" outlineLevel="0" collapsed="false">
      <c r="A6961" s="0" t="s">
        <v>3115</v>
      </c>
      <c r="B6961" s="0" t="str">
        <f aca="false">HYPERLINK("https://lindat.mff.cuni.cz/services/teitok/pdtc10/index.php?action=vallex&amp;frame=v-w369f37", "dát (v-w369f37) - substituted with v-w369f99_ZU")</f>
        <v>dát (v-w369f37) - substituted with v-w369f99_ZU</v>
      </c>
    </row>
    <row r="6962" customFormat="false" ht="12.8" hidden="false" customHeight="false" outlineLevel="0" collapsed="false">
      <c r="B6962" s="0" t="s">
        <v>7</v>
      </c>
      <c r="C6962" s="0" t="s">
        <v>2940</v>
      </c>
    </row>
    <row r="6963" customFormat="false" ht="12.8" hidden="false" customHeight="false" outlineLevel="0" collapsed="false">
      <c r="B6963" s="0" t="s">
        <v>3116</v>
      </c>
      <c r="C6963" s="0" t="s">
        <v>3104</v>
      </c>
    </row>
    <row r="6964" customFormat="false" ht="12.8" hidden="false" customHeight="false" outlineLevel="0" collapsed="false">
      <c r="B6964" s="0" t="s">
        <v>119</v>
      </c>
      <c r="C6964" s="0" t="s">
        <v>3105</v>
      </c>
    </row>
    <row r="6966" customFormat="false" ht="12.8" hidden="false" customHeight="false" outlineLevel="0" collapsed="false">
      <c r="A6966" s="0" t="s">
        <v>3117</v>
      </c>
      <c r="B6966" s="0" t="str">
        <f aca="false">HYPERLINK("https://lindat.mff.cuni.cz/services/teitok/pdtc10/index.php?action=vallex&amp;frame=v-w369f23", "dát (v-w369f23)")</f>
        <v>dát (v-w369f23)</v>
      </c>
    </row>
    <row r="6967" customFormat="false" ht="12.8" hidden="false" customHeight="false" outlineLevel="0" collapsed="false">
      <c r="B6967" s="0" t="s">
        <v>7</v>
      </c>
    </row>
    <row r="6968" customFormat="false" ht="12.8" hidden="false" customHeight="false" outlineLevel="0" collapsed="false">
      <c r="B6968" s="0" t="s">
        <v>3118</v>
      </c>
    </row>
    <row r="6969" customFormat="false" ht="12.8" hidden="false" customHeight="false" outlineLevel="0" collapsed="false">
      <c r="B6969" s="0" t="s">
        <v>745</v>
      </c>
    </row>
    <row r="6971" customFormat="false" ht="12.8" hidden="false" customHeight="false" outlineLevel="0" collapsed="false">
      <c r="A6971" s="0" t="s">
        <v>3119</v>
      </c>
      <c r="B6971" s="0" t="str">
        <f aca="false">HYPERLINK("https://lindat.mff.cuni.cz/services/teitok/pdtc10/index.php?action=vallex&amp;frame=v-w369f14", "dát (v-w369f14)")</f>
        <v>dát (v-w369f14)</v>
      </c>
    </row>
    <row r="6972" customFormat="false" ht="12.8" hidden="false" customHeight="false" outlineLevel="0" collapsed="false">
      <c r="B6972" s="0" t="s">
        <v>7</v>
      </c>
    </row>
    <row r="6973" customFormat="false" ht="12.8" hidden="false" customHeight="false" outlineLevel="0" collapsed="false">
      <c r="B6973" s="0" t="s">
        <v>3120</v>
      </c>
    </row>
    <row r="6974" customFormat="false" ht="12.8" hidden="false" customHeight="false" outlineLevel="0" collapsed="false">
      <c r="B6974" s="0" t="s">
        <v>48</v>
      </c>
    </row>
    <row r="6975" customFormat="false" ht="12.8" hidden="false" customHeight="false" outlineLevel="0" collapsed="false">
      <c r="B6975" s="0" t="s">
        <v>3121</v>
      </c>
    </row>
    <row r="6977" customFormat="false" ht="12.8" hidden="false" customHeight="false" outlineLevel="0" collapsed="false">
      <c r="A6977" s="0" t="s">
        <v>3122</v>
      </c>
      <c r="B6977" s="0" t="str">
        <f aca="false">HYPERLINK("https://lindat.mff.cuni.cz/services/teitok/pdtc10/index.php?action=vallex&amp;frame=v-w369f78_ZU", "dát (v-w369f78_ZU)")</f>
        <v>dát (v-w369f78_ZU)</v>
      </c>
    </row>
    <row r="6978" customFormat="false" ht="12.8" hidden="false" customHeight="false" outlineLevel="0" collapsed="false">
      <c r="B6978" s="0" t="s">
        <v>7</v>
      </c>
    </row>
    <row r="6979" customFormat="false" ht="12.8" hidden="false" customHeight="false" outlineLevel="0" collapsed="false">
      <c r="B6979" s="0" t="s">
        <v>3123</v>
      </c>
    </row>
    <row r="6980" customFormat="false" ht="12.8" hidden="false" customHeight="false" outlineLevel="0" collapsed="false">
      <c r="B6980" s="0" t="s">
        <v>48</v>
      </c>
    </row>
    <row r="6981" customFormat="false" ht="12.8" hidden="false" customHeight="false" outlineLevel="0" collapsed="false">
      <c r="B6981" s="0" t="s">
        <v>3124</v>
      </c>
    </row>
    <row r="6982" customFormat="false" ht="12.8" hidden="false" customHeight="false" outlineLevel="0" collapsed="false">
      <c r="B6982" s="0" t="s">
        <v>363</v>
      </c>
    </row>
    <row r="6984" customFormat="false" ht="12.8" hidden="false" customHeight="false" outlineLevel="0" collapsed="false">
      <c r="A6984" s="0" t="s">
        <v>3122</v>
      </c>
      <c r="B6984" s="0" t="str">
        <f aca="false">HYPERLINK("https://lindat.mff.cuni.cz/services/teitok/pdtc10/index.php?action=vallex&amp;frame=v-w369f25", "dát (v-w369f25) - substituted with v-w369f78_ZU")</f>
        <v>dát (v-w369f25) - substituted with v-w369f78_ZU</v>
      </c>
    </row>
    <row r="6985" customFormat="false" ht="12.8" hidden="false" customHeight="false" outlineLevel="0" collapsed="false">
      <c r="B6985" s="0" t="s">
        <v>7</v>
      </c>
      <c r="C6985" s="0" t="s">
        <v>411</v>
      </c>
    </row>
    <row r="6986" customFormat="false" ht="12.8" hidden="false" customHeight="false" outlineLevel="0" collapsed="false">
      <c r="B6986" s="0" t="s">
        <v>3123</v>
      </c>
      <c r="C6986" s="0" t="s">
        <v>3125</v>
      </c>
    </row>
    <row r="6987" customFormat="false" ht="12.8" hidden="false" customHeight="false" outlineLevel="0" collapsed="false">
      <c r="B6987" s="0" t="s">
        <v>48</v>
      </c>
      <c r="C6987" s="0" t="s">
        <v>3126</v>
      </c>
    </row>
    <row r="6988" customFormat="false" ht="12.8" hidden="false" customHeight="false" outlineLevel="0" collapsed="false">
      <c r="B6988" s="0" t="s">
        <v>3124</v>
      </c>
    </row>
    <row r="6989" customFormat="false" ht="12.8" hidden="false" customHeight="false" outlineLevel="0" collapsed="false">
      <c r="B6989" s="0" t="s">
        <v>363</v>
      </c>
    </row>
    <row r="6991" customFormat="false" ht="12.8" hidden="false" customHeight="false" outlineLevel="0" collapsed="false">
      <c r="A6991" s="0" t="s">
        <v>3122</v>
      </c>
      <c r="B6991" s="0" t="str">
        <f aca="false">HYPERLINK("https://lindat.mff.cuni.cz/services/teitok/pdtc10/index.php?action=vallex&amp;frame=v-w369f70_ZU", "dát (v-w369f70_ZU) - substituted with v-w369f78_ZU")</f>
        <v>dát (v-w369f70_ZU) - substituted with v-w369f78_ZU</v>
      </c>
    </row>
    <row r="6992" customFormat="false" ht="12.8" hidden="false" customHeight="false" outlineLevel="0" collapsed="false">
      <c r="B6992" s="0" t="s">
        <v>7</v>
      </c>
      <c r="D6992" s="0" t="s">
        <v>164</v>
      </c>
      <c r="E6992" s="0" t="s">
        <v>164</v>
      </c>
      <c r="F6992" s="0" t="s">
        <v>164</v>
      </c>
    </row>
    <row r="6993" customFormat="false" ht="12.8" hidden="false" customHeight="false" outlineLevel="0" collapsed="false">
      <c r="B6993" s="0" t="s">
        <v>3123</v>
      </c>
    </row>
    <row r="6994" customFormat="false" ht="12.8" hidden="false" customHeight="false" outlineLevel="0" collapsed="false">
      <c r="B6994" s="0" t="s">
        <v>48</v>
      </c>
      <c r="D6994" s="0" t="s">
        <v>168</v>
      </c>
      <c r="E6994" s="0" t="s">
        <v>168</v>
      </c>
      <c r="F6994" s="0" t="s">
        <v>168</v>
      </c>
    </row>
    <row r="6995" customFormat="false" ht="12.8" hidden="false" customHeight="false" outlineLevel="0" collapsed="false">
      <c r="B6995" s="0" t="s">
        <v>3124</v>
      </c>
      <c r="D6995" s="0" t="s">
        <v>1766</v>
      </c>
      <c r="E6995" s="0" t="s">
        <v>1766</v>
      </c>
      <c r="F6995" s="0" t="s">
        <v>1766</v>
      </c>
    </row>
    <row r="6996" customFormat="false" ht="12.8" hidden="false" customHeight="false" outlineLevel="0" collapsed="false">
      <c r="B6996" s="0" t="s">
        <v>363</v>
      </c>
      <c r="D6996" s="0" t="s">
        <v>167</v>
      </c>
      <c r="E6996" s="0" t="s">
        <v>167</v>
      </c>
      <c r="F6996" s="0" t="s">
        <v>167</v>
      </c>
    </row>
    <row r="6998" customFormat="false" ht="12.8" hidden="false" customHeight="false" outlineLevel="0" collapsed="false">
      <c r="A6998" s="0" t="s">
        <v>3122</v>
      </c>
      <c r="B6998" s="0" t="str">
        <f aca="false">HYPERLINK("https://lindat.mff.cuni.cz/services/teitok/pdtc10/index.php?action=vallex&amp;frame=v-w369hsa_978", "dát (v-w369hsa_978) - substituted with v-w369f78_ZU")</f>
        <v>dát (v-w369hsa_978) - substituted with v-w369f78_ZU</v>
      </c>
    </row>
    <row r="6999" customFormat="false" ht="12.8" hidden="false" customHeight="false" outlineLevel="0" collapsed="false">
      <c r="B6999" s="0" t="s">
        <v>7</v>
      </c>
    </row>
    <row r="7000" customFormat="false" ht="12.8" hidden="false" customHeight="false" outlineLevel="0" collapsed="false">
      <c r="B7000" s="0" t="s">
        <v>3123</v>
      </c>
    </row>
    <row r="7001" customFormat="false" ht="12.8" hidden="false" customHeight="false" outlineLevel="0" collapsed="false">
      <c r="B7001" s="0" t="s">
        <v>48</v>
      </c>
    </row>
    <row r="7002" customFormat="false" ht="12.8" hidden="false" customHeight="false" outlineLevel="0" collapsed="false">
      <c r="B7002" s="0" t="s">
        <v>3124</v>
      </c>
    </row>
    <row r="7003" customFormat="false" ht="12.8" hidden="false" customHeight="false" outlineLevel="0" collapsed="false">
      <c r="B7003" s="0" t="s">
        <v>363</v>
      </c>
    </row>
    <row r="7005" customFormat="false" ht="12.8" hidden="false" customHeight="false" outlineLevel="0" collapsed="false">
      <c r="A7005" s="0" t="s">
        <v>3127</v>
      </c>
      <c r="B7005" s="0" t="str">
        <f aca="false">HYPERLINK("https://lindat.mff.cuni.cz/services/teitok/pdtc10/index.php?action=vallex&amp;frame=v-w369f26", "dát (v-w369f26)")</f>
        <v>dát (v-w369f26)</v>
      </c>
    </row>
    <row r="7006" customFormat="false" ht="12.8" hidden="false" customHeight="false" outlineLevel="0" collapsed="false">
      <c r="B7006" s="0" t="s">
        <v>7</v>
      </c>
    </row>
    <row r="7007" customFormat="false" ht="12.8" hidden="false" customHeight="false" outlineLevel="0" collapsed="false">
      <c r="B7007" s="0" t="s">
        <v>3128</v>
      </c>
    </row>
    <row r="7009" customFormat="false" ht="12.8" hidden="false" customHeight="false" outlineLevel="0" collapsed="false">
      <c r="A7009" s="0" t="s">
        <v>3129</v>
      </c>
      <c r="B7009" s="0" t="str">
        <f aca="false">HYPERLINK("https://lindat.mff.cuni.cz/services/teitok/pdtc10/index.php?action=vallex&amp;frame=v-w369f49", "dát (v-w369f49)")</f>
        <v>dát (v-w369f49)</v>
      </c>
    </row>
    <row r="7010" customFormat="false" ht="12.8" hidden="false" customHeight="false" outlineLevel="0" collapsed="false">
      <c r="B7010" s="0" t="s">
        <v>3130</v>
      </c>
    </row>
    <row r="7012" customFormat="false" ht="12.8" hidden="false" customHeight="false" outlineLevel="0" collapsed="false">
      <c r="A7012" s="0" t="s">
        <v>3131</v>
      </c>
      <c r="B7012" s="0" t="str">
        <f aca="false">HYPERLINK("https://lindat.mff.cuni.cz/services/teitok/pdtc10/index.php?action=vallex&amp;frame=v-w369f108_ZU", "dát (v-w369f108_ZU)")</f>
        <v>dát (v-w369f108_ZU)</v>
      </c>
    </row>
    <row r="7013" customFormat="false" ht="12.8" hidden="false" customHeight="false" outlineLevel="0" collapsed="false">
      <c r="B7013" s="0" t="s">
        <v>7</v>
      </c>
    </row>
    <row r="7014" customFormat="false" ht="12.8" hidden="false" customHeight="false" outlineLevel="0" collapsed="false">
      <c r="B7014" s="0" t="s">
        <v>14</v>
      </c>
    </row>
    <row r="7015" customFormat="false" ht="12.8" hidden="false" customHeight="false" outlineLevel="0" collapsed="false">
      <c r="B7015" s="0" t="s">
        <v>124</v>
      </c>
    </row>
    <row r="7017" customFormat="false" ht="12.8" hidden="false" customHeight="false" outlineLevel="0" collapsed="false">
      <c r="A7017" s="0" t="s">
        <v>3131</v>
      </c>
      <c r="B7017" s="0" t="str">
        <f aca="false">HYPERLINK("https://lindat.mff.cuni.cz/services/teitok/pdtc10/index.php?action=vallex&amp;frame=v-w369f105_ZU", "dát (v-w369f105_ZU) - substituted with v-w369f108_ZU")</f>
        <v>dát (v-w369f105_ZU) - substituted with v-w369f108_ZU</v>
      </c>
    </row>
    <row r="7018" customFormat="false" ht="12.8" hidden="false" customHeight="false" outlineLevel="0" collapsed="false">
      <c r="B7018" s="0" t="s">
        <v>7</v>
      </c>
    </row>
    <row r="7019" customFormat="false" ht="12.8" hidden="false" customHeight="false" outlineLevel="0" collapsed="false">
      <c r="B7019" s="0" t="s">
        <v>14</v>
      </c>
    </row>
    <row r="7020" customFormat="false" ht="12.8" hidden="false" customHeight="false" outlineLevel="0" collapsed="false">
      <c r="B7020" s="0" t="s">
        <v>124</v>
      </c>
    </row>
    <row r="7022" customFormat="false" ht="12.8" hidden="false" customHeight="false" outlineLevel="0" collapsed="false">
      <c r="A7022" s="0" t="s">
        <v>3131</v>
      </c>
      <c r="B7022" s="0" t="str">
        <f aca="false">HYPERLINK("https://lindat.mff.cuni.cz/services/teitok/pdtc10/index.php?action=vallex&amp;frame=v-w369hsa_970", "dát (v-w369hsa_970) - substituted with v-w369f108_ZU")</f>
        <v>dát (v-w369hsa_970) - substituted with v-w369f108_ZU</v>
      </c>
    </row>
    <row r="7023" customFormat="false" ht="12.8" hidden="false" customHeight="false" outlineLevel="0" collapsed="false">
      <c r="B7023" s="0" t="s">
        <v>7</v>
      </c>
      <c r="D7023" s="0" t="s">
        <v>2235</v>
      </c>
      <c r="E7023" s="0" t="s">
        <v>2235</v>
      </c>
      <c r="F7023" s="0" t="s">
        <v>2235</v>
      </c>
    </row>
    <row r="7024" customFormat="false" ht="12.8" hidden="false" customHeight="false" outlineLevel="0" collapsed="false">
      <c r="B7024" s="0" t="s">
        <v>14</v>
      </c>
      <c r="D7024" s="0" t="s">
        <v>2237</v>
      </c>
      <c r="E7024" s="0" t="s">
        <v>2237</v>
      </c>
      <c r="F7024" s="0" t="s">
        <v>2237</v>
      </c>
    </row>
    <row r="7025" customFormat="false" ht="12.8" hidden="false" customHeight="false" outlineLevel="0" collapsed="false">
      <c r="B7025" s="0" t="s">
        <v>124</v>
      </c>
      <c r="D7025" s="0" t="s">
        <v>2238</v>
      </c>
      <c r="E7025" s="0" t="s">
        <v>2238</v>
      </c>
      <c r="F7025" s="0" t="s">
        <v>2238</v>
      </c>
    </row>
    <row r="7027" customFormat="false" ht="12.8" hidden="false" customHeight="false" outlineLevel="0" collapsed="false">
      <c r="A7027" s="0" t="s">
        <v>3132</v>
      </c>
      <c r="B7027" s="0" t="str">
        <f aca="false">HYPERLINK("https://lindat.mff.cuni.cz/services/teitok/pdtc10/index.php?action=vallex&amp;frame=v-w369hsa_971", "dát (v-w369hsa_971)")</f>
        <v>dát (v-w369hsa_971)</v>
      </c>
    </row>
    <row r="7028" customFormat="false" ht="12.8" hidden="false" customHeight="false" outlineLevel="0" collapsed="false">
      <c r="B7028" s="0" t="s">
        <v>7</v>
      </c>
    </row>
    <row r="7029" customFormat="false" ht="12.8" hidden="false" customHeight="false" outlineLevel="0" collapsed="false">
      <c r="B7029" s="0" t="s">
        <v>3133</v>
      </c>
    </row>
    <row r="7030" customFormat="false" ht="12.8" hidden="false" customHeight="false" outlineLevel="0" collapsed="false">
      <c r="B7030" s="0" t="s">
        <v>48</v>
      </c>
      <c r="C7030" s="0" t="s">
        <v>397</v>
      </c>
    </row>
    <row r="7032" customFormat="false" ht="12.8" hidden="false" customHeight="false" outlineLevel="0" collapsed="false">
      <c r="A7032" s="0" t="s">
        <v>3134</v>
      </c>
      <c r="B7032" s="0" t="str">
        <f aca="false">HYPERLINK("https://lindat.mff.cuni.cz/services/teitok/pdtc10/index.php?action=vallex&amp;frame=v-w369hsa_972", "dát (v-w369hsa_972)")</f>
        <v>dát (v-w369hsa_972)</v>
      </c>
    </row>
    <row r="7033" customFormat="false" ht="12.8" hidden="false" customHeight="false" outlineLevel="0" collapsed="false">
      <c r="B7033" s="0" t="s">
        <v>7</v>
      </c>
    </row>
    <row r="7034" customFormat="false" ht="12.8" hidden="false" customHeight="false" outlineLevel="0" collapsed="false">
      <c r="B7034" s="0" t="s">
        <v>3135</v>
      </c>
    </row>
    <row r="7035" customFormat="false" ht="12.8" hidden="false" customHeight="false" outlineLevel="0" collapsed="false">
      <c r="B7035" s="0" t="s">
        <v>48</v>
      </c>
    </row>
    <row r="7037" customFormat="false" ht="12.8" hidden="false" customHeight="false" outlineLevel="0" collapsed="false">
      <c r="A7037" s="0" t="s">
        <v>3136</v>
      </c>
      <c r="B7037" s="0" t="str">
        <f aca="false">HYPERLINK("https://lindat.mff.cuni.cz/services/teitok/pdtc10/index.php?action=vallex&amp;frame=v-w369f62_ZU", "dát (v-w369f62_ZU)")</f>
        <v>dát (v-w369f62_ZU)</v>
      </c>
    </row>
    <row r="7038" customFormat="false" ht="12.8" hidden="false" customHeight="false" outlineLevel="0" collapsed="false">
      <c r="B7038" s="0" t="s">
        <v>7</v>
      </c>
    </row>
    <row r="7039" customFormat="false" ht="12.8" hidden="false" customHeight="false" outlineLevel="0" collapsed="false">
      <c r="B7039" s="0" t="s">
        <v>2362</v>
      </c>
    </row>
    <row r="7040" customFormat="false" ht="12.8" hidden="false" customHeight="false" outlineLevel="0" collapsed="false">
      <c r="B7040" s="0" t="s">
        <v>14</v>
      </c>
    </row>
    <row r="7041" customFormat="false" ht="12.8" hidden="false" customHeight="false" outlineLevel="0" collapsed="false">
      <c r="B7041" s="0" t="s">
        <v>48</v>
      </c>
    </row>
    <row r="7043" customFormat="false" ht="12.8" hidden="false" customHeight="false" outlineLevel="0" collapsed="false">
      <c r="A7043" s="0" t="s">
        <v>3136</v>
      </c>
      <c r="B7043" s="0" t="str">
        <f aca="false">HYPERLINK("https://lindat.mff.cuni.cz/services/teitok/pdtc10/index.php?action=vallex&amp;frame=v-w369hsa_973", "dát (v-w369hsa_973) - substituted with v-w369f62_ZU")</f>
        <v>dát (v-w369hsa_973) - substituted with v-w369f62_ZU</v>
      </c>
    </row>
    <row r="7044" customFormat="false" ht="12.8" hidden="false" customHeight="false" outlineLevel="0" collapsed="false">
      <c r="B7044" s="0" t="s">
        <v>7</v>
      </c>
    </row>
    <row r="7045" customFormat="false" ht="12.8" hidden="false" customHeight="false" outlineLevel="0" collapsed="false">
      <c r="B7045" s="0" t="s">
        <v>2362</v>
      </c>
    </row>
    <row r="7046" customFormat="false" ht="12.8" hidden="false" customHeight="false" outlineLevel="0" collapsed="false">
      <c r="B7046" s="0" t="s">
        <v>14</v>
      </c>
    </row>
    <row r="7047" customFormat="false" ht="12.8" hidden="false" customHeight="false" outlineLevel="0" collapsed="false">
      <c r="B7047" s="0" t="s">
        <v>48</v>
      </c>
    </row>
    <row r="7049" customFormat="false" ht="12.8" hidden="false" customHeight="false" outlineLevel="0" collapsed="false">
      <c r="A7049" s="0" t="s">
        <v>3137</v>
      </c>
      <c r="B7049" s="0" t="str">
        <f aca="false">HYPERLINK("https://lindat.mff.cuni.cz/services/teitok/pdtc10/index.php?action=vallex&amp;frame=v-w369f63_ZU", "dát (v-w369f63_ZU)")</f>
        <v>dát (v-w369f63_ZU)</v>
      </c>
    </row>
    <row r="7050" customFormat="false" ht="12.8" hidden="false" customHeight="false" outlineLevel="0" collapsed="false">
      <c r="B7050" s="0" t="s">
        <v>7</v>
      </c>
      <c r="C7050" s="0" t="s">
        <v>3138</v>
      </c>
    </row>
    <row r="7051" customFormat="false" ht="12.8" hidden="false" customHeight="false" outlineLevel="0" collapsed="false">
      <c r="B7051" s="0" t="s">
        <v>2370</v>
      </c>
      <c r="C7051" s="0" t="s">
        <v>3139</v>
      </c>
    </row>
    <row r="7052" customFormat="false" ht="12.8" hidden="false" customHeight="false" outlineLevel="0" collapsed="false">
      <c r="B7052" s="0" t="s">
        <v>142</v>
      </c>
      <c r="C7052" s="0" t="s">
        <v>3140</v>
      </c>
    </row>
    <row r="7054" customFormat="false" ht="12.8" hidden="false" customHeight="false" outlineLevel="0" collapsed="false">
      <c r="A7054" s="0" t="s">
        <v>3137</v>
      </c>
      <c r="B7054" s="0" t="str">
        <f aca="false">HYPERLINK("https://lindat.mff.cuni.cz/services/teitok/pdtc10/index.php?action=vallex&amp;frame=v-w369hsa_975", "dát (v-w369hsa_975) - substituted with v-w369f63_ZU")</f>
        <v>dát (v-w369hsa_975) - substituted with v-w369f63_ZU</v>
      </c>
    </row>
    <row r="7055" customFormat="false" ht="12.8" hidden="false" customHeight="false" outlineLevel="0" collapsed="false">
      <c r="B7055" s="0" t="s">
        <v>7</v>
      </c>
    </row>
    <row r="7056" customFormat="false" ht="12.8" hidden="false" customHeight="false" outlineLevel="0" collapsed="false">
      <c r="B7056" s="0" t="s">
        <v>2370</v>
      </c>
    </row>
    <row r="7057" customFormat="false" ht="12.8" hidden="false" customHeight="false" outlineLevel="0" collapsed="false">
      <c r="B7057" s="0" t="s">
        <v>142</v>
      </c>
    </row>
    <row r="7059" customFormat="false" ht="12.8" hidden="false" customHeight="false" outlineLevel="0" collapsed="false">
      <c r="A7059" s="0" t="s">
        <v>3141</v>
      </c>
      <c r="B7059" s="0" t="str">
        <f aca="false">HYPERLINK("https://lindat.mff.cuni.cz/services/teitok/pdtc10/index.php?action=vallex&amp;frame=v-w369f64_ZU", "dát (v-w369f64_ZU)")</f>
        <v>dát (v-w369f64_ZU)</v>
      </c>
    </row>
    <row r="7060" customFormat="false" ht="12.8" hidden="false" customHeight="false" outlineLevel="0" collapsed="false">
      <c r="B7060" s="0" t="s">
        <v>7</v>
      </c>
    </row>
    <row r="7061" customFormat="false" ht="12.8" hidden="false" customHeight="false" outlineLevel="0" collapsed="false">
      <c r="B7061" s="0" t="s">
        <v>3142</v>
      </c>
    </row>
    <row r="7062" customFormat="false" ht="12.8" hidden="false" customHeight="false" outlineLevel="0" collapsed="false">
      <c r="B7062" s="0" t="s">
        <v>142</v>
      </c>
    </row>
    <row r="7064" customFormat="false" ht="12.8" hidden="false" customHeight="false" outlineLevel="0" collapsed="false">
      <c r="A7064" s="0" t="s">
        <v>3141</v>
      </c>
      <c r="B7064" s="0" t="str">
        <f aca="false">HYPERLINK("https://lindat.mff.cuni.cz/services/teitok/pdtc10/index.php?action=vallex&amp;frame=v-w369hsa_976", "dát (v-w369hsa_976) - substituted with v-w369f64_ZU")</f>
        <v>dát (v-w369hsa_976) - substituted with v-w369f64_ZU</v>
      </c>
    </row>
    <row r="7065" customFormat="false" ht="12.8" hidden="false" customHeight="false" outlineLevel="0" collapsed="false">
      <c r="B7065" s="0" t="s">
        <v>7</v>
      </c>
    </row>
    <row r="7066" customFormat="false" ht="12.8" hidden="false" customHeight="false" outlineLevel="0" collapsed="false">
      <c r="B7066" s="0" t="s">
        <v>3142</v>
      </c>
    </row>
    <row r="7067" customFormat="false" ht="12.8" hidden="false" customHeight="false" outlineLevel="0" collapsed="false">
      <c r="B7067" s="0" t="s">
        <v>142</v>
      </c>
    </row>
    <row r="7069" customFormat="false" ht="12.8" hidden="false" customHeight="false" outlineLevel="0" collapsed="false">
      <c r="A7069" s="0" t="s">
        <v>3143</v>
      </c>
      <c r="B7069" s="0" t="str">
        <f aca="false">HYPERLINK("https://lindat.mff.cuni.cz/services/teitok/pdtc10/index.php?action=vallex&amp;frame=v-w369f66_ZU", "dát (v-w369f66_ZU)")</f>
        <v>dát (v-w369f66_ZU)</v>
      </c>
    </row>
    <row r="7070" customFormat="false" ht="12.8" hidden="false" customHeight="false" outlineLevel="0" collapsed="false">
      <c r="B7070" s="0" t="s">
        <v>7</v>
      </c>
    </row>
    <row r="7071" customFormat="false" ht="12.8" hidden="false" customHeight="false" outlineLevel="0" collapsed="false">
      <c r="B7071" s="0" t="s">
        <v>3144</v>
      </c>
    </row>
    <row r="7072" customFormat="false" ht="12.8" hidden="false" customHeight="false" outlineLevel="0" collapsed="false">
      <c r="B7072" s="0" t="s">
        <v>142</v>
      </c>
    </row>
    <row r="7074" customFormat="false" ht="12.8" hidden="false" customHeight="false" outlineLevel="0" collapsed="false">
      <c r="A7074" s="0" t="s">
        <v>3143</v>
      </c>
      <c r="B7074" s="0" t="str">
        <f aca="false">HYPERLINK("https://lindat.mff.cuni.cz/services/teitok/pdtc10/index.php?action=vallex&amp;frame=v-w369hsa_977", "dát (v-w369hsa_977) - substituted with v-w369f66_ZU")</f>
        <v>dát (v-w369hsa_977) - substituted with v-w369f66_ZU</v>
      </c>
    </row>
    <row r="7075" customFormat="false" ht="12.8" hidden="false" customHeight="false" outlineLevel="0" collapsed="false">
      <c r="B7075" s="0" t="s">
        <v>7</v>
      </c>
    </row>
    <row r="7076" customFormat="false" ht="12.8" hidden="false" customHeight="false" outlineLevel="0" collapsed="false">
      <c r="B7076" s="0" t="s">
        <v>3144</v>
      </c>
    </row>
    <row r="7077" customFormat="false" ht="12.8" hidden="false" customHeight="false" outlineLevel="0" collapsed="false">
      <c r="B7077" s="0" t="s">
        <v>142</v>
      </c>
    </row>
    <row r="7079" customFormat="false" ht="12.8" hidden="false" customHeight="false" outlineLevel="0" collapsed="false">
      <c r="A7079" s="0" t="s">
        <v>3145</v>
      </c>
      <c r="B7079" s="0" t="str">
        <f aca="false">HYPERLINK("https://lindat.mff.cuni.cz/services/teitok/pdtc10/index.php?action=vallex&amp;frame=v-w369f67_ZU", "dát (v-w369f67_ZU)")</f>
        <v>dát (v-w369f67_ZU)</v>
      </c>
    </row>
    <row r="7080" customFormat="false" ht="12.8" hidden="false" customHeight="false" outlineLevel="0" collapsed="false">
      <c r="B7080" s="0" t="s">
        <v>7</v>
      </c>
    </row>
    <row r="7081" customFormat="false" ht="12.8" hidden="false" customHeight="false" outlineLevel="0" collapsed="false">
      <c r="B7081" s="0" t="s">
        <v>3146</v>
      </c>
      <c r="C7081" s="0" t="s">
        <v>3147</v>
      </c>
    </row>
    <row r="7082" customFormat="false" ht="12.8" hidden="false" customHeight="false" outlineLevel="0" collapsed="false">
      <c r="B7082" s="0" t="s">
        <v>14</v>
      </c>
      <c r="C7082" s="0" t="s">
        <v>3148</v>
      </c>
    </row>
    <row r="7084" customFormat="false" ht="12.8" hidden="false" customHeight="false" outlineLevel="0" collapsed="false">
      <c r="A7084" s="0" t="s">
        <v>3145</v>
      </c>
      <c r="B7084" s="0" t="str">
        <f aca="false">HYPERLINK("https://lindat.mff.cuni.cz/services/teitok/pdtc10/index.php?action=vallex&amp;frame=v-w369hsa_979", "dát (v-w369hsa_979) - substituted with v-w369f67_ZU")</f>
        <v>dát (v-w369hsa_979) - substituted with v-w369f67_ZU</v>
      </c>
    </row>
    <row r="7085" customFormat="false" ht="12.8" hidden="false" customHeight="false" outlineLevel="0" collapsed="false">
      <c r="B7085" s="0" t="s">
        <v>7</v>
      </c>
    </row>
    <row r="7086" customFormat="false" ht="12.8" hidden="false" customHeight="false" outlineLevel="0" collapsed="false">
      <c r="B7086" s="0" t="s">
        <v>3146</v>
      </c>
    </row>
    <row r="7087" customFormat="false" ht="12.8" hidden="false" customHeight="false" outlineLevel="0" collapsed="false">
      <c r="B7087" s="0" t="s">
        <v>14</v>
      </c>
    </row>
    <row r="7089" customFormat="false" ht="12.8" hidden="false" customHeight="false" outlineLevel="0" collapsed="false">
      <c r="A7089" s="0" t="s">
        <v>3149</v>
      </c>
      <c r="B7089" s="0" t="str">
        <f aca="false">HYPERLINK("https://lindat.mff.cuni.cz/services/teitok/pdtc10/index.php?action=vallex&amp;frame=v-w369f77_ZU", "dát (v-w369f77_ZU)")</f>
        <v>dát (v-w369f77_ZU)</v>
      </c>
    </row>
    <row r="7090" customFormat="false" ht="12.8" hidden="false" customHeight="false" outlineLevel="0" collapsed="false">
      <c r="B7090" s="0" t="s">
        <v>7</v>
      </c>
    </row>
    <row r="7091" customFormat="false" ht="12.8" hidden="false" customHeight="false" outlineLevel="0" collapsed="false">
      <c r="B7091" s="0" t="s">
        <v>14</v>
      </c>
    </row>
    <row r="7092" customFormat="false" ht="12.8" hidden="false" customHeight="false" outlineLevel="0" collapsed="false">
      <c r="B7092" s="0" t="s">
        <v>106</v>
      </c>
    </row>
    <row r="7094" customFormat="false" ht="12.8" hidden="false" customHeight="false" outlineLevel="0" collapsed="false">
      <c r="A7094" s="0" t="s">
        <v>3149</v>
      </c>
      <c r="B7094" s="0" t="str">
        <f aca="false">HYPERLINK("https://lindat.mff.cuni.cz/services/teitok/pdtc10/index.php?action=vallex&amp;frame=v-w369hsa_835", "dát (v-w369hsa_835) - substituted with v-w369f77_ZU")</f>
        <v>dát (v-w369hsa_835) - substituted with v-w369f77_ZU</v>
      </c>
    </row>
    <row r="7095" customFormat="false" ht="12.8" hidden="false" customHeight="false" outlineLevel="0" collapsed="false">
      <c r="B7095" s="0" t="s">
        <v>7</v>
      </c>
    </row>
    <row r="7096" customFormat="false" ht="12.8" hidden="false" customHeight="false" outlineLevel="0" collapsed="false">
      <c r="B7096" s="0" t="s">
        <v>14</v>
      </c>
    </row>
    <row r="7097" customFormat="false" ht="12.8" hidden="false" customHeight="false" outlineLevel="0" collapsed="false">
      <c r="B7097" s="0" t="s">
        <v>106</v>
      </c>
    </row>
    <row r="7099" customFormat="false" ht="12.8" hidden="false" customHeight="false" outlineLevel="0" collapsed="false">
      <c r="A7099" s="0" t="s">
        <v>3150</v>
      </c>
      <c r="B7099" s="0" t="str">
        <f aca="false">HYPERLINK("https://lindat.mff.cuni.cz/services/teitok/pdtc10/index.php?action=vallex&amp;frame=v-w369f83_ZU", "dát (v-w369f83_ZU)")</f>
        <v>dát (v-w369f83_ZU)</v>
      </c>
    </row>
    <row r="7100" customFormat="false" ht="12.8" hidden="false" customHeight="false" outlineLevel="0" collapsed="false">
      <c r="B7100" s="0" t="s">
        <v>7</v>
      </c>
    </row>
    <row r="7101" customFormat="false" ht="12.8" hidden="false" customHeight="false" outlineLevel="0" collapsed="false">
      <c r="B7101" s="0" t="s">
        <v>142</v>
      </c>
    </row>
    <row r="7102" customFormat="false" ht="12.8" hidden="false" customHeight="false" outlineLevel="0" collapsed="false">
      <c r="B7102" s="0" t="s">
        <v>3151</v>
      </c>
    </row>
    <row r="7104" customFormat="false" ht="12.8" hidden="false" customHeight="false" outlineLevel="0" collapsed="false">
      <c r="A7104" s="0" t="s">
        <v>3150</v>
      </c>
      <c r="B7104" s="0" t="str">
        <f aca="false">HYPERLINK("https://lindat.mff.cuni.cz/services/teitok/pdtc10/index.php?action=vallex&amp;frame=v-w369hsa_840", "dát (v-w369hsa_840) - substituted with v-w369f83_ZU")</f>
        <v>dát (v-w369hsa_840) - substituted with v-w369f83_ZU</v>
      </c>
    </row>
    <row r="7105" customFormat="false" ht="12.8" hidden="false" customHeight="false" outlineLevel="0" collapsed="false">
      <c r="B7105" s="0" t="s">
        <v>7</v>
      </c>
    </row>
    <row r="7106" customFormat="false" ht="12.8" hidden="false" customHeight="false" outlineLevel="0" collapsed="false">
      <c r="B7106" s="0" t="s">
        <v>142</v>
      </c>
    </row>
    <row r="7107" customFormat="false" ht="12.8" hidden="false" customHeight="false" outlineLevel="0" collapsed="false">
      <c r="B7107" s="0" t="s">
        <v>3151</v>
      </c>
    </row>
    <row r="7109" customFormat="false" ht="12.8" hidden="false" customHeight="false" outlineLevel="0" collapsed="false">
      <c r="A7109" s="0" t="s">
        <v>3152</v>
      </c>
      <c r="B7109" s="0" t="str">
        <f aca="false">HYPERLINK("https://lindat.mff.cuni.cz/services/teitok/pdtc10/index.php?action=vallex&amp;frame=v-w369f84_ZU", "dát (v-w369f84_ZU)")</f>
        <v>dát (v-w369f84_ZU)</v>
      </c>
    </row>
    <row r="7110" customFormat="false" ht="12.8" hidden="false" customHeight="false" outlineLevel="0" collapsed="false">
      <c r="B7110" s="0" t="s">
        <v>7</v>
      </c>
    </row>
    <row r="7111" customFormat="false" ht="12.8" hidden="false" customHeight="false" outlineLevel="0" collapsed="false">
      <c r="B7111" s="0" t="s">
        <v>3153</v>
      </c>
    </row>
    <row r="7112" customFormat="false" ht="12.8" hidden="false" customHeight="false" outlineLevel="0" collapsed="false">
      <c r="B7112" s="0" t="s">
        <v>41</v>
      </c>
    </row>
    <row r="7113" customFormat="false" ht="12.8" hidden="false" customHeight="false" outlineLevel="0" collapsed="false">
      <c r="B7113" s="0" t="s">
        <v>666</v>
      </c>
    </row>
    <row r="7115" customFormat="false" ht="12.8" hidden="false" customHeight="false" outlineLevel="0" collapsed="false">
      <c r="A7115" s="0" t="s">
        <v>3152</v>
      </c>
      <c r="B7115" s="0" t="str">
        <f aca="false">HYPERLINK("https://lindat.mff.cuni.cz/services/teitok/pdtc10/index.php?action=vallex&amp;frame=v-w369hsa_841", "dát (v-w369hsa_841) - substituted with v-w369f84_ZU")</f>
        <v>dát (v-w369hsa_841) - substituted with v-w369f84_ZU</v>
      </c>
    </row>
    <row r="7116" customFormat="false" ht="12.8" hidden="false" customHeight="false" outlineLevel="0" collapsed="false">
      <c r="B7116" s="0" t="s">
        <v>7</v>
      </c>
    </row>
    <row r="7117" customFormat="false" ht="12.8" hidden="false" customHeight="false" outlineLevel="0" collapsed="false">
      <c r="B7117" s="0" t="s">
        <v>3153</v>
      </c>
    </row>
    <row r="7118" customFormat="false" ht="12.8" hidden="false" customHeight="false" outlineLevel="0" collapsed="false">
      <c r="B7118" s="0" t="s">
        <v>41</v>
      </c>
    </row>
    <row r="7119" customFormat="false" ht="12.8" hidden="false" customHeight="false" outlineLevel="0" collapsed="false">
      <c r="B7119" s="0" t="s">
        <v>666</v>
      </c>
    </row>
    <row r="7121" customFormat="false" ht="12.8" hidden="false" customHeight="false" outlineLevel="0" collapsed="false">
      <c r="A7121" s="0" t="s">
        <v>3154</v>
      </c>
      <c r="B7121" s="0" t="str">
        <f aca="false">HYPERLINK("https://lindat.mff.cuni.cz/services/teitok/pdtc10/index.php?action=vallex&amp;frame=v-w369f85_ZU", "dát (v-w369f85_ZU)")</f>
        <v>dát (v-w369f85_ZU)</v>
      </c>
    </row>
    <row r="7122" customFormat="false" ht="12.8" hidden="false" customHeight="false" outlineLevel="0" collapsed="false">
      <c r="B7122" s="0" t="s">
        <v>7</v>
      </c>
    </row>
    <row r="7123" customFormat="false" ht="12.8" hidden="false" customHeight="false" outlineLevel="0" collapsed="false">
      <c r="B7123" s="0" t="s">
        <v>48</v>
      </c>
    </row>
    <row r="7124" customFormat="false" ht="12.8" hidden="false" customHeight="false" outlineLevel="0" collapsed="false">
      <c r="B7124" s="0" t="s">
        <v>919</v>
      </c>
    </row>
    <row r="7125" customFormat="false" ht="12.8" hidden="false" customHeight="false" outlineLevel="0" collapsed="false">
      <c r="B7125" s="0" t="s">
        <v>3155</v>
      </c>
    </row>
    <row r="7127" customFormat="false" ht="12.8" hidden="false" customHeight="false" outlineLevel="0" collapsed="false">
      <c r="A7127" s="0" t="s">
        <v>3154</v>
      </c>
      <c r="B7127" s="0" t="str">
        <f aca="false">HYPERLINK("https://lindat.mff.cuni.cz/services/teitok/pdtc10/index.php?action=vallex&amp;frame=v-w369hsa_842", "dát (v-w369hsa_842) - substituted with v-w369f85_ZU")</f>
        <v>dát (v-w369hsa_842) - substituted with v-w369f85_ZU</v>
      </c>
    </row>
    <row r="7128" customFormat="false" ht="12.8" hidden="false" customHeight="false" outlineLevel="0" collapsed="false">
      <c r="B7128" s="0" t="s">
        <v>7</v>
      </c>
    </row>
    <row r="7129" customFormat="false" ht="12.8" hidden="false" customHeight="false" outlineLevel="0" collapsed="false">
      <c r="B7129" s="0" t="s">
        <v>48</v>
      </c>
    </row>
    <row r="7130" customFormat="false" ht="12.8" hidden="false" customHeight="false" outlineLevel="0" collapsed="false">
      <c r="B7130" s="0" t="s">
        <v>919</v>
      </c>
    </row>
    <row r="7131" customFormat="false" ht="12.8" hidden="false" customHeight="false" outlineLevel="0" collapsed="false">
      <c r="B7131" s="0" t="s">
        <v>3155</v>
      </c>
    </row>
    <row r="7133" customFormat="false" ht="12.8" hidden="false" customHeight="false" outlineLevel="0" collapsed="false">
      <c r="A7133" s="0" t="s">
        <v>3156</v>
      </c>
      <c r="B7133" s="0" t="str">
        <f aca="false">HYPERLINK("https://lindat.mff.cuni.cz/services/teitok/pdtc10/index.php?action=vallex&amp;frame=v-w369f86_ZU", "dát (v-w369f86_ZU)")</f>
        <v>dát (v-w369f86_ZU)</v>
      </c>
    </row>
    <row r="7134" customFormat="false" ht="12.8" hidden="false" customHeight="false" outlineLevel="0" collapsed="false">
      <c r="B7134" s="0" t="s">
        <v>3157</v>
      </c>
    </row>
    <row r="7135" customFormat="false" ht="12.8" hidden="false" customHeight="false" outlineLevel="0" collapsed="false">
      <c r="B7135" s="0" t="s">
        <v>199</v>
      </c>
    </row>
    <row r="7136" customFormat="false" ht="12.8" hidden="false" customHeight="false" outlineLevel="0" collapsed="false">
      <c r="B7136" s="0" t="s">
        <v>142</v>
      </c>
    </row>
    <row r="7138" customFormat="false" ht="12.8" hidden="false" customHeight="false" outlineLevel="0" collapsed="false">
      <c r="A7138" s="0" t="s">
        <v>3156</v>
      </c>
      <c r="B7138" s="0" t="str">
        <f aca="false">HYPERLINK("https://lindat.mff.cuni.cz/services/teitok/pdtc10/index.php?action=vallex&amp;frame=v-w369hsa_843", "dát (v-w369hsa_843) - substituted with v-w369f86_ZU")</f>
        <v>dát (v-w369hsa_843) - substituted with v-w369f86_ZU</v>
      </c>
    </row>
    <row r="7139" customFormat="false" ht="12.8" hidden="false" customHeight="false" outlineLevel="0" collapsed="false">
      <c r="B7139" s="0" t="s">
        <v>3157</v>
      </c>
    </row>
    <row r="7140" customFormat="false" ht="12.8" hidden="false" customHeight="false" outlineLevel="0" collapsed="false">
      <c r="B7140" s="0" t="s">
        <v>199</v>
      </c>
    </row>
    <row r="7141" customFormat="false" ht="12.8" hidden="false" customHeight="false" outlineLevel="0" collapsed="false">
      <c r="B7141" s="0" t="s">
        <v>142</v>
      </c>
    </row>
    <row r="7143" customFormat="false" ht="12.8" hidden="false" customHeight="false" outlineLevel="0" collapsed="false">
      <c r="A7143" s="0" t="s">
        <v>3158</v>
      </c>
      <c r="B7143" s="0" t="str">
        <f aca="false">HYPERLINK("https://lindat.mff.cuni.cz/services/teitok/pdtc10/index.php?action=vallex&amp;frame=v-w369f87_ZU", "dát (v-w369f87_ZU)")</f>
        <v>dát (v-w369f87_ZU)</v>
      </c>
    </row>
    <row r="7144" customFormat="false" ht="12.8" hidden="false" customHeight="false" outlineLevel="0" collapsed="false">
      <c r="B7144" s="0" t="s">
        <v>7</v>
      </c>
    </row>
    <row r="7145" customFormat="false" ht="12.8" hidden="false" customHeight="false" outlineLevel="0" collapsed="false">
      <c r="B7145" s="0" t="s">
        <v>3159</v>
      </c>
    </row>
    <row r="7146" customFormat="false" ht="12.8" hidden="false" customHeight="false" outlineLevel="0" collapsed="false">
      <c r="B7146" s="0" t="s">
        <v>491</v>
      </c>
    </row>
    <row r="7148" customFormat="false" ht="12.8" hidden="false" customHeight="false" outlineLevel="0" collapsed="false">
      <c r="A7148" s="0" t="s">
        <v>3158</v>
      </c>
      <c r="B7148" s="0" t="str">
        <f aca="false">HYPERLINK("https://lindat.mff.cuni.cz/services/teitok/pdtc10/index.php?action=vallex&amp;frame=v-w369hsa_844", "dát (v-w369hsa_844) - substituted with v-w369f87_ZU")</f>
        <v>dát (v-w369hsa_844) - substituted with v-w369f87_ZU</v>
      </c>
    </row>
    <row r="7149" customFormat="false" ht="12.8" hidden="false" customHeight="false" outlineLevel="0" collapsed="false">
      <c r="B7149" s="0" t="s">
        <v>7</v>
      </c>
    </row>
    <row r="7150" customFormat="false" ht="12.8" hidden="false" customHeight="false" outlineLevel="0" collapsed="false">
      <c r="B7150" s="0" t="s">
        <v>3159</v>
      </c>
    </row>
    <row r="7151" customFormat="false" ht="12.8" hidden="false" customHeight="false" outlineLevel="0" collapsed="false">
      <c r="B7151" s="0" t="s">
        <v>491</v>
      </c>
    </row>
    <row r="7153" customFormat="false" ht="12.8" hidden="false" customHeight="false" outlineLevel="0" collapsed="false">
      <c r="A7153" s="0" t="s">
        <v>3160</v>
      </c>
      <c r="B7153" s="0" t="str">
        <f aca="false">HYPERLINK("https://lindat.mff.cuni.cz/services/teitok/pdtc10/index.php?action=vallex&amp;frame=v-w369f88_ZU", "dát (v-w369f88_ZU)")</f>
        <v>dát (v-w369f88_ZU)</v>
      </c>
    </row>
    <row r="7154" customFormat="false" ht="12.8" hidden="false" customHeight="false" outlineLevel="0" collapsed="false">
      <c r="B7154" s="0" t="s">
        <v>603</v>
      </c>
    </row>
    <row r="7155" customFormat="false" ht="12.8" hidden="false" customHeight="false" outlineLevel="0" collapsed="false">
      <c r="B7155" s="0" t="s">
        <v>1193</v>
      </c>
    </row>
    <row r="7157" customFormat="false" ht="12.8" hidden="false" customHeight="false" outlineLevel="0" collapsed="false">
      <c r="A7157" s="0" t="s">
        <v>3160</v>
      </c>
      <c r="B7157" s="0" t="str">
        <f aca="false">HYPERLINK("https://lindat.mff.cuni.cz/services/teitok/pdtc10/index.php?action=vallex&amp;frame=v-w369hsa_845", "dát (v-w369hsa_845) - substituted with v-w369f88_ZU")</f>
        <v>dát (v-w369hsa_845) - substituted with v-w369f88_ZU</v>
      </c>
    </row>
    <row r="7158" customFormat="false" ht="12.8" hidden="false" customHeight="false" outlineLevel="0" collapsed="false">
      <c r="B7158" s="0" t="s">
        <v>603</v>
      </c>
    </row>
    <row r="7159" customFormat="false" ht="12.8" hidden="false" customHeight="false" outlineLevel="0" collapsed="false">
      <c r="B7159" s="0" t="s">
        <v>1193</v>
      </c>
    </row>
    <row r="7161" customFormat="false" ht="12.8" hidden="false" customHeight="false" outlineLevel="0" collapsed="false">
      <c r="A7161" s="0" t="s">
        <v>3161</v>
      </c>
      <c r="B7161" s="0" t="str">
        <f aca="false">HYPERLINK("https://lindat.mff.cuni.cz/services/teitok/pdtc10/index.php?action=vallex&amp;frame=v-w369f89_ZU", "dát (v-w369f89_ZU)")</f>
        <v>dát (v-w369f89_ZU)</v>
      </c>
    </row>
    <row r="7162" customFormat="false" ht="12.8" hidden="false" customHeight="false" outlineLevel="0" collapsed="false">
      <c r="B7162" s="0" t="s">
        <v>7</v>
      </c>
    </row>
    <row r="7163" customFormat="false" ht="12.8" hidden="false" customHeight="false" outlineLevel="0" collapsed="false">
      <c r="B7163" s="0" t="s">
        <v>3118</v>
      </c>
    </row>
    <row r="7165" customFormat="false" ht="12.8" hidden="false" customHeight="false" outlineLevel="0" collapsed="false">
      <c r="A7165" s="0" t="s">
        <v>3161</v>
      </c>
      <c r="B7165" s="0" t="str">
        <f aca="false">HYPERLINK("https://lindat.mff.cuni.cz/services/teitok/pdtc10/index.php?action=vallex&amp;frame=v-w369hsa_846", "dát (v-w369hsa_846) - substituted with v-w369f89_ZU")</f>
        <v>dát (v-w369hsa_846) - substituted with v-w369f89_ZU</v>
      </c>
    </row>
    <row r="7166" customFormat="false" ht="12.8" hidden="false" customHeight="false" outlineLevel="0" collapsed="false">
      <c r="B7166" s="0" t="s">
        <v>7</v>
      </c>
    </row>
    <row r="7167" customFormat="false" ht="12.8" hidden="false" customHeight="false" outlineLevel="0" collapsed="false">
      <c r="B7167" s="0" t="s">
        <v>3118</v>
      </c>
    </row>
    <row r="7169" customFormat="false" ht="12.8" hidden="false" customHeight="false" outlineLevel="0" collapsed="false">
      <c r="A7169" s="0" t="s">
        <v>3162</v>
      </c>
      <c r="B7169" s="0" t="str">
        <f aca="false">HYPERLINK("https://lindat.mff.cuni.cz/services/teitok/pdtc10/index.php?action=vallex&amp;frame=v-w369f91_ZU", "dát (v-w369f91_ZU)")</f>
        <v>dát (v-w369f91_ZU)</v>
      </c>
    </row>
    <row r="7170" customFormat="false" ht="12.8" hidden="false" customHeight="false" outlineLevel="0" collapsed="false">
      <c r="B7170" s="0" t="s">
        <v>7</v>
      </c>
    </row>
    <row r="7171" customFormat="false" ht="12.8" hidden="false" customHeight="false" outlineLevel="0" collapsed="false">
      <c r="B7171" s="0" t="s">
        <v>142</v>
      </c>
    </row>
    <row r="7172" customFormat="false" ht="12.8" hidden="false" customHeight="false" outlineLevel="0" collapsed="false">
      <c r="B7172" s="0" t="s">
        <v>3163</v>
      </c>
    </row>
    <row r="7174" customFormat="false" ht="12.8" hidden="false" customHeight="false" outlineLevel="0" collapsed="false">
      <c r="A7174" s="0" t="s">
        <v>3164</v>
      </c>
      <c r="B7174" s="0" t="str">
        <f aca="false">HYPERLINK("https://lindat.mff.cuni.cz/services/teitok/pdtc10/index.php?action=vallex&amp;frame=v-w369f96_ZU", "dát (v-w369f96_ZU)")</f>
        <v>dát (v-w369f96_ZU)</v>
      </c>
    </row>
    <row r="7175" customFormat="false" ht="12.8" hidden="false" customHeight="false" outlineLevel="0" collapsed="false">
      <c r="B7175" s="0" t="s">
        <v>7</v>
      </c>
    </row>
    <row r="7176" customFormat="false" ht="12.8" hidden="false" customHeight="false" outlineLevel="0" collapsed="false">
      <c r="B7176" s="0" t="s">
        <v>48</v>
      </c>
    </row>
    <row r="7177" customFormat="false" ht="12.8" hidden="false" customHeight="false" outlineLevel="0" collapsed="false">
      <c r="B7177" s="0" t="s">
        <v>338</v>
      </c>
    </row>
    <row r="7178" customFormat="false" ht="12.8" hidden="false" customHeight="false" outlineLevel="0" collapsed="false">
      <c r="B7178" s="0" t="s">
        <v>297</v>
      </c>
    </row>
    <row r="7180" customFormat="false" ht="12.8" hidden="false" customHeight="false" outlineLevel="0" collapsed="false">
      <c r="A7180" s="0" t="s">
        <v>3164</v>
      </c>
      <c r="B7180" s="0" t="str">
        <f aca="false">HYPERLINK("https://lindat.mff.cuni.cz/services/teitok/pdtc10/index.php?action=vallex&amp;frame=v-w369f95_ZU", "dát (v-w369f95_ZU) - substituted with v-w369f96_ZU")</f>
        <v>dát (v-w369f95_ZU) - substituted with v-w369f96_ZU</v>
      </c>
    </row>
    <row r="7181" customFormat="false" ht="12.8" hidden="false" customHeight="false" outlineLevel="0" collapsed="false">
      <c r="B7181" s="0" t="s">
        <v>7</v>
      </c>
    </row>
    <row r="7182" customFormat="false" ht="12.8" hidden="false" customHeight="false" outlineLevel="0" collapsed="false">
      <c r="B7182" s="0" t="s">
        <v>48</v>
      </c>
    </row>
    <row r="7183" customFormat="false" ht="12.8" hidden="false" customHeight="false" outlineLevel="0" collapsed="false">
      <c r="B7183" s="0" t="s">
        <v>338</v>
      </c>
    </row>
    <row r="7184" customFormat="false" ht="12.8" hidden="false" customHeight="false" outlineLevel="0" collapsed="false">
      <c r="B7184" s="0" t="s">
        <v>297</v>
      </c>
    </row>
    <row r="7186" customFormat="false" ht="12.8" hidden="false" customHeight="false" outlineLevel="0" collapsed="false">
      <c r="A7186" s="0" t="s">
        <v>3165</v>
      </c>
      <c r="B7186" s="0" t="str">
        <f aca="false">HYPERLINK("https://lindat.mff.cuni.cz/services/teitok/pdtc10/index.php?action=vallex&amp;frame=v-w369f97_ZU", "dát (v-w369f97_ZU)")</f>
        <v>dát (v-w369f97_ZU)</v>
      </c>
    </row>
    <row r="7187" customFormat="false" ht="12.8" hidden="false" customHeight="false" outlineLevel="0" collapsed="false">
      <c r="B7187" s="0" t="s">
        <v>7</v>
      </c>
    </row>
    <row r="7188" customFormat="false" ht="12.8" hidden="false" customHeight="false" outlineLevel="0" collapsed="false">
      <c r="B7188" s="0" t="s">
        <v>14</v>
      </c>
    </row>
    <row r="7189" customFormat="false" ht="12.8" hidden="false" customHeight="false" outlineLevel="0" collapsed="false">
      <c r="B7189" s="0" t="s">
        <v>106</v>
      </c>
    </row>
    <row r="7191" customFormat="false" ht="12.8" hidden="false" customHeight="false" outlineLevel="0" collapsed="false">
      <c r="A7191" s="0" t="s">
        <v>3166</v>
      </c>
      <c r="B7191" s="0" t="str">
        <f aca="false">HYPERLINK("https://lindat.mff.cuni.cz/services/teitok/pdtc10/index.php?action=vallex&amp;frame=v-w369f100_ZU", "dát (v-w369f100_ZU)")</f>
        <v>dát (v-w369f100_ZU)</v>
      </c>
    </row>
    <row r="7192" customFormat="false" ht="12.8" hidden="false" customHeight="false" outlineLevel="0" collapsed="false">
      <c r="B7192" s="0" t="s">
        <v>3167</v>
      </c>
    </row>
    <row r="7194" customFormat="false" ht="12.8" hidden="false" customHeight="false" outlineLevel="0" collapsed="false">
      <c r="A7194" s="0" t="s">
        <v>3168</v>
      </c>
      <c r="B7194" s="0" t="str">
        <f aca="false">HYPERLINK("https://lindat.mff.cuni.cz/services/teitok/pdtc10/index.php?action=vallex&amp;frame=v-w369hsa_834", "dát (v-w369hsa_834)")</f>
        <v>dát (v-w369hsa_834)</v>
      </c>
    </row>
    <row r="7195" customFormat="false" ht="12.8" hidden="false" customHeight="false" outlineLevel="0" collapsed="false">
      <c r="B7195" s="0" t="s">
        <v>7</v>
      </c>
    </row>
    <row r="7196" customFormat="false" ht="12.8" hidden="false" customHeight="false" outlineLevel="0" collapsed="false">
      <c r="B7196" s="0" t="s">
        <v>14</v>
      </c>
    </row>
    <row r="7197" customFormat="false" ht="12.8" hidden="false" customHeight="false" outlineLevel="0" collapsed="false">
      <c r="B7197" s="0" t="s">
        <v>48</v>
      </c>
    </row>
    <row r="7199" customFormat="false" ht="12.8" hidden="false" customHeight="false" outlineLevel="0" collapsed="false">
      <c r="A7199" s="0" t="s">
        <v>3169</v>
      </c>
      <c r="B7199" s="0" t="str">
        <f aca="false">HYPERLINK("https://lindat.mff.cuni.cz/services/teitok/pdtc10/index.php?action=vallex&amp;frame=v-w369hsa_836", "dát (v-w369hsa_836)")</f>
        <v>dát (v-w369hsa_836)</v>
      </c>
    </row>
    <row r="7200" customFormat="false" ht="12.8" hidden="false" customHeight="false" outlineLevel="0" collapsed="false">
      <c r="B7200" s="0" t="s">
        <v>7</v>
      </c>
    </row>
    <row r="7201" customFormat="false" ht="12.8" hidden="false" customHeight="false" outlineLevel="0" collapsed="false">
      <c r="B7201" s="0" t="s">
        <v>14</v>
      </c>
    </row>
    <row r="7203" customFormat="false" ht="12.8" hidden="false" customHeight="false" outlineLevel="0" collapsed="false">
      <c r="A7203" s="0" t="s">
        <v>3170</v>
      </c>
      <c r="B7203" s="0" t="str">
        <f aca="false">HYPERLINK("https://lindat.mff.cuni.cz/services/teitok/pdtc10/index.php?action=vallex&amp;frame=v-w369hsa_847", "dát (v-w369hsa_847)")</f>
        <v>dát (v-w369hsa_847)</v>
      </c>
    </row>
    <row r="7204" customFormat="false" ht="12.8" hidden="false" customHeight="false" outlineLevel="0" collapsed="false">
      <c r="B7204" s="0" t="s">
        <v>7</v>
      </c>
    </row>
    <row r="7205" customFormat="false" ht="12.8" hidden="false" customHeight="false" outlineLevel="0" collapsed="false">
      <c r="B7205" s="0" t="s">
        <v>232</v>
      </c>
    </row>
    <row r="7206" customFormat="false" ht="12.8" hidden="false" customHeight="false" outlineLevel="0" collapsed="false">
      <c r="B7206" s="0" t="s">
        <v>3171</v>
      </c>
    </row>
    <row r="7208" customFormat="false" ht="12.8" hidden="false" customHeight="false" outlineLevel="0" collapsed="false">
      <c r="A7208" s="0" t="s">
        <v>3172</v>
      </c>
      <c r="B7208" s="0" t="str">
        <f aca="false">HYPERLINK("https://lindat.mff.cuni.cz/services/teitok/pdtc10/index.php?action=vallex&amp;frame=v-w369hsa_848", "dát (v-w369hsa_848)")</f>
        <v>dát (v-w369hsa_848)</v>
      </c>
    </row>
    <row r="7209" customFormat="false" ht="12.8" hidden="false" customHeight="false" outlineLevel="0" collapsed="false">
      <c r="B7209" s="0" t="s">
        <v>7</v>
      </c>
    </row>
    <row r="7210" customFormat="false" ht="12.8" hidden="false" customHeight="false" outlineLevel="0" collapsed="false">
      <c r="B7210" s="0" t="s">
        <v>14</v>
      </c>
    </row>
    <row r="7211" customFormat="false" ht="12.8" hidden="false" customHeight="false" outlineLevel="0" collapsed="false">
      <c r="B7211" s="0" t="s">
        <v>124</v>
      </c>
    </row>
    <row r="7213" customFormat="false" ht="12.8" hidden="false" customHeight="false" outlineLevel="0" collapsed="false">
      <c r="A7213" s="0" t="s">
        <v>3173</v>
      </c>
      <c r="B7213" s="0" t="str">
        <f aca="false">HYPERLINK("https://lindat.mff.cuni.cz/services/teitok/pdtc10/index.php?action=vallex&amp;frame=v-w371f4", "dát se (v-w371f4)")</f>
        <v>dát se (v-w371f4)</v>
      </c>
    </row>
    <row r="7214" customFormat="false" ht="12.8" hidden="false" customHeight="false" outlineLevel="0" collapsed="false">
      <c r="B7214" s="0" t="s">
        <v>7</v>
      </c>
      <c r="C7214" s="0" t="s">
        <v>1378</v>
      </c>
      <c r="D7214" s="0" t="s">
        <v>3174</v>
      </c>
      <c r="E7214" s="0" t="s">
        <v>3174</v>
      </c>
      <c r="F7214" s="0" t="s">
        <v>3174</v>
      </c>
    </row>
    <row r="7215" customFormat="false" ht="12.8" hidden="false" customHeight="false" outlineLevel="0" collapsed="false">
      <c r="B7215" s="0" t="s">
        <v>985</v>
      </c>
      <c r="C7215" s="0" t="s">
        <v>18</v>
      </c>
      <c r="D7215" s="0" t="s">
        <v>3175</v>
      </c>
      <c r="E7215" s="0" t="s">
        <v>3175</v>
      </c>
      <c r="F7215" s="0" t="s">
        <v>3175</v>
      </c>
    </row>
    <row r="7217" customFormat="false" ht="12.8" hidden="false" customHeight="false" outlineLevel="0" collapsed="false">
      <c r="A7217" s="0" t="s">
        <v>3176</v>
      </c>
      <c r="B7217" s="0" t="str">
        <f aca="false">HYPERLINK("https://lindat.mff.cuni.cz/services/teitok/pdtc10/index.php?action=vallex&amp;frame=v-w371f2", "dát se (v-w371f2)")</f>
        <v>dát se (v-w371f2)</v>
      </c>
    </row>
    <row r="7218" customFormat="false" ht="12.8" hidden="false" customHeight="false" outlineLevel="0" collapsed="false">
      <c r="B7218" s="0" t="s">
        <v>7</v>
      </c>
      <c r="D7218" s="0" t="s">
        <v>215</v>
      </c>
      <c r="E7218" s="0" t="s">
        <v>215</v>
      </c>
      <c r="F7218" s="0" t="s">
        <v>215</v>
      </c>
    </row>
    <row r="7219" customFormat="false" ht="12.8" hidden="false" customHeight="false" outlineLevel="0" collapsed="false">
      <c r="B7219" s="0" t="s">
        <v>41</v>
      </c>
      <c r="D7219" s="0" t="s">
        <v>217</v>
      </c>
      <c r="E7219" s="0" t="s">
        <v>217</v>
      </c>
      <c r="F7219" s="0" t="s">
        <v>217</v>
      </c>
    </row>
    <row r="7221" customFormat="false" ht="12.8" hidden="false" customHeight="false" outlineLevel="0" collapsed="false">
      <c r="A7221" s="0" t="s">
        <v>3177</v>
      </c>
      <c r="B7221" s="0" t="str">
        <f aca="false">HYPERLINK("https://lindat.mff.cuni.cz/services/teitok/pdtc10/index.php?action=vallex&amp;frame=v-w371f3", "dát se (v-w371f3)")</f>
        <v>dát se (v-w371f3)</v>
      </c>
    </row>
    <row r="7222" customFormat="false" ht="12.8" hidden="false" customHeight="false" outlineLevel="0" collapsed="false">
      <c r="B7222" s="0" t="s">
        <v>7</v>
      </c>
      <c r="C7222" s="0" t="s">
        <v>184</v>
      </c>
    </row>
    <row r="7223" customFormat="false" ht="12.8" hidden="false" customHeight="false" outlineLevel="0" collapsed="false">
      <c r="B7223" s="0" t="s">
        <v>124</v>
      </c>
    </row>
    <row r="7225" customFormat="false" ht="12.8" hidden="false" customHeight="false" outlineLevel="0" collapsed="false">
      <c r="A7225" s="0" t="s">
        <v>3178</v>
      </c>
      <c r="B7225" s="0" t="str">
        <f aca="false">HYPERLINK("https://lindat.mff.cuni.cz/services/teitok/pdtc10/index.php?action=vallex&amp;frame=v-w371f9_ZU", "dát se (v-w371f9_ZU)")</f>
        <v>dát se (v-w371f9_ZU)</v>
      </c>
    </row>
    <row r="7226" customFormat="false" ht="12.8" hidden="false" customHeight="false" outlineLevel="0" collapsed="false">
      <c r="B7226" s="0" t="s">
        <v>7</v>
      </c>
    </row>
    <row r="7227" customFormat="false" ht="12.8" hidden="false" customHeight="false" outlineLevel="0" collapsed="false">
      <c r="B7227" s="0" t="s">
        <v>3179</v>
      </c>
    </row>
    <row r="7229" customFormat="false" ht="12.8" hidden="false" customHeight="false" outlineLevel="0" collapsed="false">
      <c r="A7229" s="0" t="s">
        <v>3178</v>
      </c>
      <c r="B7229" s="0" t="str">
        <f aca="false">HYPERLINK("https://lindat.mff.cuni.cz/services/teitok/pdtc10/index.php?action=vallex&amp;frame=v-w371f1", "dát se (v-w371f1) - substituted with v-w371f9_ZU")</f>
        <v>dát se (v-w371f1) - substituted with v-w371f9_ZU</v>
      </c>
    </row>
    <row r="7230" customFormat="false" ht="12.8" hidden="false" customHeight="false" outlineLevel="0" collapsed="false">
      <c r="B7230" s="0" t="s">
        <v>7</v>
      </c>
      <c r="C7230" s="0" t="s">
        <v>335</v>
      </c>
      <c r="F7230" s="0" t="s">
        <v>3180</v>
      </c>
    </row>
    <row r="7231" customFormat="false" ht="12.8" hidden="false" customHeight="false" outlineLevel="0" collapsed="false">
      <c r="B7231" s="0" t="s">
        <v>3179</v>
      </c>
      <c r="C7231" s="0" t="s">
        <v>3181</v>
      </c>
      <c r="F7231" s="0" t="s">
        <v>3182</v>
      </c>
    </row>
    <row r="7233" customFormat="false" ht="12.8" hidden="false" customHeight="false" outlineLevel="0" collapsed="false">
      <c r="A7233" s="0" t="s">
        <v>3183</v>
      </c>
      <c r="B7233" s="0" t="str">
        <f aca="false">HYPERLINK("https://lindat.mff.cuni.cz/services/teitok/pdtc10/index.php?action=vallex&amp;frame=v-w371f6_ZU", "dát se (v-w371f6_ZU)")</f>
        <v>dát se (v-w371f6_ZU)</v>
      </c>
    </row>
    <row r="7234" customFormat="false" ht="12.8" hidden="false" customHeight="false" outlineLevel="0" collapsed="false">
      <c r="B7234" s="0" t="s">
        <v>7</v>
      </c>
      <c r="C7234" s="0" t="s">
        <v>248</v>
      </c>
      <c r="D7234" s="0" t="s">
        <v>3184</v>
      </c>
      <c r="E7234" s="0" t="s">
        <v>3185</v>
      </c>
      <c r="F7234" s="0" t="s">
        <v>3185</v>
      </c>
    </row>
    <row r="7235" customFormat="false" ht="12.8" hidden="false" customHeight="false" outlineLevel="0" collapsed="false">
      <c r="B7235" s="0" t="s">
        <v>3088</v>
      </c>
    </row>
    <row r="7236" customFormat="false" ht="12.8" hidden="false" customHeight="false" outlineLevel="0" collapsed="false">
      <c r="B7236" s="0" t="s">
        <v>548</v>
      </c>
      <c r="D7236" s="0" t="s">
        <v>3186</v>
      </c>
      <c r="E7236" s="0" t="s">
        <v>3186</v>
      </c>
      <c r="F7236" s="0" t="s">
        <v>3186</v>
      </c>
    </row>
    <row r="7238" customFormat="false" ht="12.8" hidden="false" customHeight="false" outlineLevel="0" collapsed="false">
      <c r="A7238" s="0" t="s">
        <v>3187</v>
      </c>
      <c r="B7238" s="0" t="str">
        <f aca="false">HYPERLINK("https://lindat.mff.cuni.cz/services/teitok/pdtc10/index.php?action=vallex&amp;frame=v-w371f5", "dát se (v-w371f5)")</f>
        <v>dát se (v-w371f5)</v>
      </c>
    </row>
    <row r="7239" customFormat="false" ht="12.8" hidden="false" customHeight="false" outlineLevel="0" collapsed="false">
      <c r="B7239" s="0" t="s">
        <v>7</v>
      </c>
    </row>
    <row r="7240" customFormat="false" ht="12.8" hidden="false" customHeight="false" outlineLevel="0" collapsed="false">
      <c r="B7240" s="0" t="s">
        <v>3188</v>
      </c>
    </row>
    <row r="7242" customFormat="false" ht="12.8" hidden="false" customHeight="false" outlineLevel="0" collapsed="false">
      <c r="A7242" s="0" t="s">
        <v>3189</v>
      </c>
      <c r="B7242" s="0" t="str">
        <f aca="false">HYPERLINK("https://lindat.mff.cuni.cz/services/teitok/pdtc10/index.php?action=vallex&amp;frame=v-w371f8_ZU", "dát se (v-w371f8_ZU)")</f>
        <v>dát se (v-w371f8_ZU)</v>
      </c>
    </row>
    <row r="7243" customFormat="false" ht="12.8" hidden="false" customHeight="false" outlineLevel="0" collapsed="false">
      <c r="B7243" s="0" t="s">
        <v>7</v>
      </c>
      <c r="C7243" s="0" t="s">
        <v>3190</v>
      </c>
      <c r="D7243" s="0" t="s">
        <v>1582</v>
      </c>
      <c r="E7243" s="0" t="s">
        <v>1582</v>
      </c>
      <c r="F7243" s="0" t="s">
        <v>1582</v>
      </c>
    </row>
    <row r="7244" customFormat="false" ht="12.8" hidden="false" customHeight="false" outlineLevel="0" collapsed="false">
      <c r="B7244" s="0" t="s">
        <v>3191</v>
      </c>
    </row>
    <row r="7246" customFormat="false" ht="12.8" hidden="false" customHeight="false" outlineLevel="0" collapsed="false">
      <c r="A7246" s="0" t="s">
        <v>3189</v>
      </c>
      <c r="B7246" s="0" t="str">
        <f aca="false">HYPERLINK("https://lindat.mff.cuni.cz/services/teitok/pdtc10/index.php?action=vallex&amp;frame=v-w371f7_ZU", "dát se (v-w371f7_ZU) - substituted with v-w371f8_ZU")</f>
        <v>dát se (v-w371f7_ZU) - substituted with v-w371f8_ZU</v>
      </c>
    </row>
    <row r="7247" customFormat="false" ht="12.8" hidden="false" customHeight="false" outlineLevel="0" collapsed="false">
      <c r="B7247" s="0" t="s">
        <v>7</v>
      </c>
    </row>
    <row r="7248" customFormat="false" ht="12.8" hidden="false" customHeight="false" outlineLevel="0" collapsed="false">
      <c r="B7248" s="0" t="s">
        <v>3191</v>
      </c>
    </row>
    <row r="7250" customFormat="false" ht="12.8" hidden="false" customHeight="false" outlineLevel="0" collapsed="false">
      <c r="A7250" s="0" t="s">
        <v>3189</v>
      </c>
      <c r="B7250" s="0" t="str">
        <f aca="false">HYPERLINK("https://lindat.mff.cuni.cz/services/teitok/pdtc10/index.php?action=vallex&amp;frame=v-w371hsa_35", "dát se (v-w371hsa_35) - substituted with v-w371f8_ZU")</f>
        <v>dát se (v-w371hsa_35) - substituted with v-w371f8_ZU</v>
      </c>
    </row>
    <row r="7251" customFormat="false" ht="12.8" hidden="false" customHeight="false" outlineLevel="0" collapsed="false">
      <c r="B7251" s="0" t="s">
        <v>7</v>
      </c>
    </row>
    <row r="7252" customFormat="false" ht="12.8" hidden="false" customHeight="false" outlineLevel="0" collapsed="false">
      <c r="B7252" s="0" t="s">
        <v>3191</v>
      </c>
    </row>
    <row r="7254" customFormat="false" ht="12.8" hidden="false" customHeight="false" outlineLevel="0" collapsed="false">
      <c r="A7254" s="0" t="s">
        <v>3192</v>
      </c>
      <c r="B7254" s="0" t="str">
        <f aca="false">HYPERLINK("https://lindat.mff.cuni.cz/services/teitok/pdtc10/index.php?action=vallex&amp;frame=v-w371f10_ZU", "dát se (v-w371f10_ZU)")</f>
        <v>dát se (v-w371f10_ZU)</v>
      </c>
    </row>
    <row r="7255" customFormat="false" ht="12.8" hidden="false" customHeight="false" outlineLevel="0" collapsed="false">
      <c r="B7255" s="0" t="s">
        <v>7</v>
      </c>
    </row>
    <row r="7256" customFormat="false" ht="12.8" hidden="false" customHeight="false" outlineLevel="0" collapsed="false">
      <c r="B7256" s="0" t="s">
        <v>3193</v>
      </c>
    </row>
    <row r="7257" customFormat="false" ht="12.8" hidden="false" customHeight="false" outlineLevel="0" collapsed="false">
      <c r="B7257" s="0" t="s">
        <v>548</v>
      </c>
    </row>
    <row r="7259" customFormat="false" ht="12.8" hidden="false" customHeight="false" outlineLevel="0" collapsed="false">
      <c r="A7259" s="0" t="s">
        <v>3192</v>
      </c>
      <c r="B7259" s="0" t="str">
        <f aca="false">HYPERLINK("https://lindat.mff.cuni.cz/services/teitok/pdtc10/index.php?action=vallex&amp;frame=v-w371hsa_38", "dát se (v-w371hsa_38) - substituted with v-w371f10_ZU")</f>
        <v>dát se (v-w371hsa_38) - substituted with v-w371f10_ZU</v>
      </c>
    </row>
    <row r="7260" customFormat="false" ht="12.8" hidden="false" customHeight="false" outlineLevel="0" collapsed="false">
      <c r="B7260" s="0" t="s">
        <v>7</v>
      </c>
    </row>
    <row r="7261" customFormat="false" ht="12.8" hidden="false" customHeight="false" outlineLevel="0" collapsed="false">
      <c r="B7261" s="0" t="s">
        <v>3193</v>
      </c>
    </row>
    <row r="7262" customFormat="false" ht="12.8" hidden="false" customHeight="false" outlineLevel="0" collapsed="false">
      <c r="B7262" s="0" t="s">
        <v>548</v>
      </c>
    </row>
    <row r="7264" customFormat="false" ht="12.8" hidden="false" customHeight="false" outlineLevel="0" collapsed="false">
      <c r="A7264" s="0" t="s">
        <v>3194</v>
      </c>
      <c r="B7264" s="0" t="str">
        <f aca="false">HYPERLINK("https://lindat.mff.cuni.cz/services/teitok/pdtc10/index.php?action=vallex&amp;frame=v-w371f12_ZU", "dát se (v-w371f12_ZU)")</f>
        <v>dát se (v-w371f12_ZU)</v>
      </c>
    </row>
    <row r="7265" customFormat="false" ht="12.8" hidden="false" customHeight="false" outlineLevel="0" collapsed="false">
      <c r="B7265" s="0" t="s">
        <v>7</v>
      </c>
    </row>
    <row r="7266" customFormat="false" ht="12.8" hidden="false" customHeight="false" outlineLevel="0" collapsed="false">
      <c r="B7266" s="0" t="s">
        <v>237</v>
      </c>
    </row>
    <row r="7268" customFormat="false" ht="12.8" hidden="false" customHeight="false" outlineLevel="0" collapsed="false">
      <c r="A7268" s="0" t="s">
        <v>3194</v>
      </c>
      <c r="B7268" s="0" t="str">
        <f aca="false">HYPERLINK("https://lindat.mff.cuni.cz/services/teitok/pdtc10/index.php?action=vallex&amp;frame=v-w371f11_ZU", "dát se (v-w371f11_ZU) - substituted with v-w371f12_ZU")</f>
        <v>dát se (v-w371f11_ZU) - substituted with v-w371f12_ZU</v>
      </c>
    </row>
    <row r="7269" customFormat="false" ht="12.8" hidden="false" customHeight="false" outlineLevel="0" collapsed="false">
      <c r="B7269" s="0" t="s">
        <v>7</v>
      </c>
    </row>
    <row r="7270" customFormat="false" ht="12.8" hidden="false" customHeight="false" outlineLevel="0" collapsed="false">
      <c r="B7270" s="0" t="s">
        <v>237</v>
      </c>
    </row>
    <row r="7272" customFormat="false" ht="12.8" hidden="false" customHeight="false" outlineLevel="0" collapsed="false">
      <c r="A7272" s="0" t="s">
        <v>3195</v>
      </c>
      <c r="B7272" s="0" t="str">
        <f aca="false">HYPERLINK("https://lindat.mff.cuni.cz/services/teitok/pdtc10/index.php?action=vallex&amp;frame=v-w372f1", "dát si (v-w372f1)")</f>
        <v>dát si (v-w372f1)</v>
      </c>
    </row>
    <row r="7273" customFormat="false" ht="12.8" hidden="false" customHeight="false" outlineLevel="0" collapsed="false">
      <c r="B7273" s="0" t="s">
        <v>7</v>
      </c>
    </row>
    <row r="7274" customFormat="false" ht="12.8" hidden="false" customHeight="false" outlineLevel="0" collapsed="false">
      <c r="B7274" s="0" t="s">
        <v>14</v>
      </c>
    </row>
    <row r="7276" customFormat="false" ht="12.8" hidden="false" customHeight="false" outlineLevel="0" collapsed="false">
      <c r="A7276" s="0" t="s">
        <v>3196</v>
      </c>
      <c r="B7276" s="0" t="str">
        <f aca="false">HYPERLINK("https://lindat.mff.cuni.cz/services/teitok/pdtc10/index.php?action=vallex&amp;frame=v-w372f6", "dát si (v-w372f6)")</f>
        <v>dát si (v-w372f6)</v>
      </c>
    </row>
    <row r="7277" customFormat="false" ht="12.8" hidden="false" customHeight="false" outlineLevel="0" collapsed="false">
      <c r="B7277" s="0" t="s">
        <v>7</v>
      </c>
      <c r="C7277" s="0" t="s">
        <v>465</v>
      </c>
    </row>
    <row r="7278" customFormat="false" ht="12.8" hidden="false" customHeight="false" outlineLevel="0" collapsed="false">
      <c r="B7278" s="0" t="s">
        <v>14</v>
      </c>
      <c r="C7278" s="0" t="s">
        <v>466</v>
      </c>
    </row>
    <row r="7280" customFormat="false" ht="12.8" hidden="false" customHeight="false" outlineLevel="0" collapsed="false">
      <c r="A7280" s="0" t="s">
        <v>3197</v>
      </c>
      <c r="B7280" s="0" t="str">
        <f aca="false">HYPERLINK("https://lindat.mff.cuni.cz/services/teitok/pdtc10/index.php?action=vallex&amp;frame=v-w372f3", "dát si (v-w372f3)")</f>
        <v>dát si (v-w372f3)</v>
      </c>
    </row>
    <row r="7281" customFormat="false" ht="12.8" hidden="false" customHeight="false" outlineLevel="0" collapsed="false">
      <c r="B7281" s="0" t="s">
        <v>7</v>
      </c>
    </row>
    <row r="7282" customFormat="false" ht="12.8" hidden="false" customHeight="false" outlineLevel="0" collapsed="false">
      <c r="B7282" s="0" t="s">
        <v>3107</v>
      </c>
    </row>
    <row r="7283" customFormat="false" ht="12.8" hidden="false" customHeight="false" outlineLevel="0" collapsed="false">
      <c r="B7283" s="0" t="s">
        <v>548</v>
      </c>
    </row>
    <row r="7285" customFormat="false" ht="12.8" hidden="false" customHeight="false" outlineLevel="0" collapsed="false">
      <c r="A7285" s="0" t="s">
        <v>3198</v>
      </c>
      <c r="B7285" s="0" t="str">
        <f aca="false">HYPERLINK("https://lindat.mff.cuni.cz/services/teitok/pdtc10/index.php?action=vallex&amp;frame=v-w372f7", "dát si (v-w372f7)")</f>
        <v>dát si (v-w372f7)</v>
      </c>
    </row>
    <row r="7286" customFormat="false" ht="12.8" hidden="false" customHeight="false" outlineLevel="0" collapsed="false">
      <c r="B7286" s="0" t="s">
        <v>7</v>
      </c>
    </row>
    <row r="7287" customFormat="false" ht="12.8" hidden="false" customHeight="false" outlineLevel="0" collapsed="false">
      <c r="B7287" s="0" t="s">
        <v>3199</v>
      </c>
    </row>
    <row r="7288" customFormat="false" ht="12.8" hidden="false" customHeight="false" outlineLevel="0" collapsed="false">
      <c r="B7288" s="0" t="s">
        <v>3200</v>
      </c>
    </row>
    <row r="7290" customFormat="false" ht="12.8" hidden="false" customHeight="false" outlineLevel="0" collapsed="false">
      <c r="A7290" s="0" t="s">
        <v>3201</v>
      </c>
      <c r="B7290" s="0" t="str">
        <f aca="false">HYPERLINK("https://lindat.mff.cuni.cz/services/teitok/pdtc10/index.php?action=vallex&amp;frame=v-w372f9_ZU", "dát si (v-w372f9_ZU)")</f>
        <v>dát si (v-w372f9_ZU)</v>
      </c>
    </row>
    <row r="7291" customFormat="false" ht="12.8" hidden="false" customHeight="false" outlineLevel="0" collapsed="false">
      <c r="B7291" s="0" t="s">
        <v>7</v>
      </c>
      <c r="C7291" s="0" t="s">
        <v>191</v>
      </c>
      <c r="D7291" s="0" t="s">
        <v>108</v>
      </c>
      <c r="E7291" s="0" t="s">
        <v>108</v>
      </c>
      <c r="F7291" s="0" t="s">
        <v>108</v>
      </c>
    </row>
    <row r="7292" customFormat="false" ht="12.8" hidden="false" customHeight="false" outlineLevel="0" collapsed="false">
      <c r="B7292" s="0" t="s">
        <v>3093</v>
      </c>
    </row>
    <row r="7293" customFormat="false" ht="12.8" hidden="false" customHeight="false" outlineLevel="0" collapsed="false">
      <c r="B7293" s="0" t="s">
        <v>63</v>
      </c>
      <c r="C7293" s="0" t="s">
        <v>47</v>
      </c>
      <c r="D7293" s="0" t="s">
        <v>3096</v>
      </c>
      <c r="E7293" s="0" t="s">
        <v>3096</v>
      </c>
      <c r="F7293" s="0" t="s">
        <v>3096</v>
      </c>
    </row>
    <row r="7295" customFormat="false" ht="12.8" hidden="false" customHeight="false" outlineLevel="0" collapsed="false">
      <c r="A7295" s="0" t="s">
        <v>3201</v>
      </c>
      <c r="B7295" s="0" t="str">
        <f aca="false">HYPERLINK("https://lindat.mff.cuni.cz/services/teitok/pdtc10/index.php?action=vallex&amp;frame=v-w372f2", "dát si (v-w372f2) - substituted with v-w372f9_ZU")</f>
        <v>dát si (v-w372f2) - substituted with v-w372f9_ZU</v>
      </c>
    </row>
    <row r="7296" customFormat="false" ht="12.8" hidden="false" customHeight="false" outlineLevel="0" collapsed="false">
      <c r="B7296" s="0" t="s">
        <v>7</v>
      </c>
    </row>
    <row r="7297" customFormat="false" ht="12.8" hidden="false" customHeight="false" outlineLevel="0" collapsed="false">
      <c r="B7297" s="0" t="s">
        <v>3093</v>
      </c>
    </row>
    <row r="7298" customFormat="false" ht="12.8" hidden="false" customHeight="false" outlineLevel="0" collapsed="false">
      <c r="B7298" s="0" t="s">
        <v>63</v>
      </c>
    </row>
    <row r="7300" customFormat="false" ht="12.8" hidden="false" customHeight="false" outlineLevel="0" collapsed="false">
      <c r="A7300" s="0" t="s">
        <v>3202</v>
      </c>
      <c r="B7300" s="0" t="str">
        <f aca="false">HYPERLINK("https://lindat.mff.cuni.cz/services/teitok/pdtc10/index.php?action=vallex&amp;frame=v-w372f8", "dát si (v-w372f8)")</f>
        <v>dát si (v-w372f8)</v>
      </c>
    </row>
    <row r="7301" customFormat="false" ht="12.8" hidden="false" customHeight="false" outlineLevel="0" collapsed="false">
      <c r="B7301" s="0" t="s">
        <v>7</v>
      </c>
    </row>
    <row r="7302" customFormat="false" ht="12.8" hidden="false" customHeight="false" outlineLevel="0" collapsed="false">
      <c r="B7302" s="0" t="s">
        <v>3203</v>
      </c>
    </row>
    <row r="7304" customFormat="false" ht="12.8" hidden="false" customHeight="false" outlineLevel="0" collapsed="false">
      <c r="A7304" s="0" t="s">
        <v>3204</v>
      </c>
      <c r="B7304" s="0" t="str">
        <f aca="false">HYPERLINK("https://lindat.mff.cuni.cz/services/teitok/pdtc10/index.php?action=vallex&amp;frame=v-w372f11_ZU", "dát si (v-w372f11_ZU)")</f>
        <v>dát si (v-w372f11_ZU)</v>
      </c>
    </row>
    <row r="7305" customFormat="false" ht="12.8" hidden="false" customHeight="false" outlineLevel="0" collapsed="false">
      <c r="B7305" s="0" t="s">
        <v>7</v>
      </c>
      <c r="C7305" s="0" t="s">
        <v>3205</v>
      </c>
    </row>
    <row r="7306" customFormat="false" ht="12.8" hidden="false" customHeight="false" outlineLevel="0" collapsed="false">
      <c r="B7306" s="0" t="s">
        <v>3206</v>
      </c>
      <c r="C7306" s="0" t="s">
        <v>3207</v>
      </c>
    </row>
    <row r="7307" customFormat="false" ht="12.8" hidden="false" customHeight="false" outlineLevel="0" collapsed="false">
      <c r="B7307" s="0" t="s">
        <v>548</v>
      </c>
    </row>
    <row r="7309" customFormat="false" ht="12.8" hidden="false" customHeight="false" outlineLevel="0" collapsed="false">
      <c r="A7309" s="0" t="s">
        <v>3204</v>
      </c>
      <c r="B7309" s="0" t="str">
        <f aca="false">HYPERLINK("https://lindat.mff.cuni.cz/services/teitok/pdtc10/index.php?action=vallex&amp;frame=v-w372f10_ZU", "dát si (v-w372f10_ZU) - substituted with v-w372f11_ZU")</f>
        <v>dát si (v-w372f10_ZU) - substituted with v-w372f11_ZU</v>
      </c>
    </row>
    <row r="7310" customFormat="false" ht="12.8" hidden="false" customHeight="false" outlineLevel="0" collapsed="false">
      <c r="B7310" s="0" t="s">
        <v>7</v>
      </c>
    </row>
    <row r="7311" customFormat="false" ht="12.8" hidden="false" customHeight="false" outlineLevel="0" collapsed="false">
      <c r="B7311" s="0" t="s">
        <v>3206</v>
      </c>
    </row>
    <row r="7312" customFormat="false" ht="12.8" hidden="false" customHeight="false" outlineLevel="0" collapsed="false">
      <c r="B7312" s="0" t="s">
        <v>548</v>
      </c>
    </row>
    <row r="7314" customFormat="false" ht="12.8" hidden="false" customHeight="false" outlineLevel="0" collapsed="false">
      <c r="A7314" s="0" t="s">
        <v>3204</v>
      </c>
      <c r="B7314" s="0" t="str">
        <f aca="false">HYPERLINK("https://lindat.mff.cuni.cz/services/teitok/pdtc10/index.php?action=vallex&amp;frame=v-w372f5", "dát si (v-w372f5) - substituted with v-w372f11_ZU")</f>
        <v>dát si (v-w372f5) - substituted with v-w372f11_ZU</v>
      </c>
    </row>
    <row r="7315" customFormat="false" ht="12.8" hidden="false" customHeight="false" outlineLevel="0" collapsed="false">
      <c r="B7315" s="0" t="s">
        <v>7</v>
      </c>
    </row>
    <row r="7316" customFormat="false" ht="12.8" hidden="false" customHeight="false" outlineLevel="0" collapsed="false">
      <c r="B7316" s="0" t="s">
        <v>3206</v>
      </c>
    </row>
    <row r="7317" customFormat="false" ht="12.8" hidden="false" customHeight="false" outlineLevel="0" collapsed="false">
      <c r="B7317" s="0" t="s">
        <v>548</v>
      </c>
    </row>
    <row r="7319" customFormat="false" ht="12.8" hidden="false" customHeight="false" outlineLevel="0" collapsed="false">
      <c r="A7319" s="0" t="s">
        <v>3208</v>
      </c>
      <c r="B7319" s="0" t="str">
        <f aca="false">HYPERLINK("https://lindat.mff.cuni.cz/services/teitok/pdtc10/index.php?action=vallex&amp;frame=v-w372f4", "dát si (v-w372f4)")</f>
        <v>dát si (v-w372f4)</v>
      </c>
    </row>
    <row r="7320" customFormat="false" ht="12.8" hidden="false" customHeight="false" outlineLevel="0" collapsed="false">
      <c r="B7320" s="0" t="s">
        <v>7</v>
      </c>
    </row>
    <row r="7321" customFormat="false" ht="12.8" hidden="false" customHeight="false" outlineLevel="0" collapsed="false">
      <c r="B7321" s="0" t="s">
        <v>3209</v>
      </c>
    </row>
    <row r="7323" customFormat="false" ht="12.8" hidden="false" customHeight="false" outlineLevel="0" collapsed="false">
      <c r="A7323" s="0" t="s">
        <v>3210</v>
      </c>
      <c r="B7323" s="0" t="str">
        <f aca="false">HYPERLINK("https://lindat.mff.cuni.cz/services/teitok/pdtc10/index.php?action=vallex&amp;frame=v-w372f12_ZU", "dát si (v-w372f12_ZU)")</f>
        <v>dát si (v-w372f12_ZU)</v>
      </c>
    </row>
    <row r="7324" customFormat="false" ht="12.8" hidden="false" customHeight="false" outlineLevel="0" collapsed="false">
      <c r="B7324" s="0" t="s">
        <v>7</v>
      </c>
    </row>
    <row r="7325" customFormat="false" ht="12.8" hidden="false" customHeight="false" outlineLevel="0" collapsed="false">
      <c r="B7325" s="0" t="s">
        <v>3211</v>
      </c>
    </row>
    <row r="7326" customFormat="false" ht="12.8" hidden="false" customHeight="false" outlineLevel="0" collapsed="false">
      <c r="B7326" s="0" t="s">
        <v>3212</v>
      </c>
    </row>
    <row r="7327" customFormat="false" ht="12.8" hidden="false" customHeight="false" outlineLevel="0" collapsed="false">
      <c r="B7327" s="0" t="s">
        <v>441</v>
      </c>
    </row>
    <row r="7329" customFormat="false" ht="12.8" hidden="false" customHeight="false" outlineLevel="0" collapsed="false">
      <c r="A7329" s="0" t="s">
        <v>3213</v>
      </c>
      <c r="B7329" s="0" t="str">
        <f aca="false">HYPERLINK("https://lindat.mff.cuni.cz/services/teitok/pdtc10/index.php?action=vallex&amp;frame=v-w372f13_ZU", "dát si (v-w372f13_ZU)")</f>
        <v>dát si (v-w372f13_ZU)</v>
      </c>
    </row>
    <row r="7330" customFormat="false" ht="12.8" hidden="false" customHeight="false" outlineLevel="0" collapsed="false">
      <c r="B7330" s="0" t="s">
        <v>7</v>
      </c>
    </row>
    <row r="7331" customFormat="false" ht="12.8" hidden="false" customHeight="false" outlineLevel="0" collapsed="false">
      <c r="B7331" s="0" t="s">
        <v>14</v>
      </c>
    </row>
    <row r="7333" customFormat="false" ht="12.8" hidden="false" customHeight="false" outlineLevel="0" collapsed="false">
      <c r="A7333" s="0" t="s">
        <v>3214</v>
      </c>
      <c r="B7333" s="0" t="str">
        <f aca="false">HYPERLINK("https://lindat.mff.cuni.cz/services/teitok/pdtc10/index.php?action=vallex&amp;frame=v-w374f85_ZU", "dávat (v-w374f85_ZU)")</f>
        <v>dávat (v-w374f85_ZU)</v>
      </c>
    </row>
    <row r="7334" customFormat="false" ht="12.8" hidden="false" customHeight="false" outlineLevel="0" collapsed="false">
      <c r="B7334" s="0" t="s">
        <v>7</v>
      </c>
    </row>
    <row r="7335" customFormat="false" ht="12.8" hidden="false" customHeight="false" outlineLevel="0" collapsed="false">
      <c r="B7335" s="0" t="s">
        <v>2313</v>
      </c>
    </row>
    <row r="7336" customFormat="false" ht="12.8" hidden="false" customHeight="false" outlineLevel="0" collapsed="false">
      <c r="B7336" s="0" t="s">
        <v>48</v>
      </c>
    </row>
    <row r="7337" customFormat="false" ht="12.8" hidden="false" customHeight="false" outlineLevel="0" collapsed="false">
      <c r="B7337" s="0" t="s">
        <v>2943</v>
      </c>
    </row>
    <row r="7339" customFormat="false" ht="12.8" hidden="false" customHeight="false" outlineLevel="0" collapsed="false">
      <c r="A7339" s="0" t="s">
        <v>3214</v>
      </c>
      <c r="B7339" s="0" t="str">
        <f aca="false">HYPERLINK("https://lindat.mff.cuni.cz/services/teitok/pdtc10/index.php?action=vallex&amp;frame=v-w374f10", "dávat (v-w374f10) - substituted with v-w374f85_ZU")</f>
        <v>dávat (v-w374f10) - substituted with v-w374f85_ZU</v>
      </c>
    </row>
    <row r="7340" customFormat="false" ht="12.8" hidden="false" customHeight="false" outlineLevel="0" collapsed="false">
      <c r="B7340" s="0" t="s">
        <v>7</v>
      </c>
    </row>
    <row r="7341" customFormat="false" ht="12.8" hidden="false" customHeight="false" outlineLevel="0" collapsed="false">
      <c r="B7341" s="0" t="s">
        <v>2313</v>
      </c>
    </row>
    <row r="7342" customFormat="false" ht="12.8" hidden="false" customHeight="false" outlineLevel="0" collapsed="false">
      <c r="B7342" s="0" t="s">
        <v>48</v>
      </c>
    </row>
    <row r="7343" customFormat="false" ht="12.8" hidden="false" customHeight="false" outlineLevel="0" collapsed="false">
      <c r="B7343" s="0" t="s">
        <v>2943</v>
      </c>
    </row>
    <row r="7345" customFormat="false" ht="12.8" hidden="false" customHeight="false" outlineLevel="0" collapsed="false">
      <c r="A7345" s="0" t="s">
        <v>3215</v>
      </c>
      <c r="B7345" s="0" t="str">
        <f aca="false">HYPERLINK("https://lindat.mff.cuni.cz/services/teitok/pdtc10/index.php?action=vallex&amp;frame=v-w374f29", "dávat (v-w374f29)")</f>
        <v>dávat (v-w374f29)</v>
      </c>
    </row>
    <row r="7346" customFormat="false" ht="12.8" hidden="false" customHeight="false" outlineLevel="0" collapsed="false">
      <c r="B7346" s="0" t="s">
        <v>7</v>
      </c>
      <c r="D7346" s="0" t="s">
        <v>3009</v>
      </c>
      <c r="E7346" s="0" t="s">
        <v>3009</v>
      </c>
      <c r="F7346" s="0" t="s">
        <v>3009</v>
      </c>
    </row>
    <row r="7347" customFormat="false" ht="12.8" hidden="false" customHeight="false" outlineLevel="0" collapsed="false">
      <c r="B7347" s="0" t="s">
        <v>14</v>
      </c>
      <c r="D7347" s="0" t="s">
        <v>3070</v>
      </c>
      <c r="E7347" s="0" t="s">
        <v>3070</v>
      </c>
      <c r="F7347" s="0" t="s">
        <v>3070</v>
      </c>
    </row>
    <row r="7348" customFormat="false" ht="12.8" hidden="false" customHeight="false" outlineLevel="0" collapsed="false">
      <c r="B7348" s="0" t="s">
        <v>106</v>
      </c>
      <c r="D7348" s="0" t="s">
        <v>2952</v>
      </c>
      <c r="E7348" s="0" t="s">
        <v>2952</v>
      </c>
      <c r="F7348" s="0" t="s">
        <v>2952</v>
      </c>
    </row>
    <row r="7349" customFormat="false" ht="12.8" hidden="false" customHeight="false" outlineLevel="0" collapsed="false">
      <c r="B7349" s="0" t="s">
        <v>550</v>
      </c>
    </row>
    <row r="7351" customFormat="false" ht="12.8" hidden="false" customHeight="false" outlineLevel="0" collapsed="false">
      <c r="A7351" s="0" t="s">
        <v>3216</v>
      </c>
      <c r="B7351" s="0" t="str">
        <f aca="false">HYPERLINK("https://lindat.mff.cuni.cz/services/teitok/pdtc10/index.php?action=vallex&amp;frame=v-w374f4", "dávat (v-w374f4)")</f>
        <v>dávat (v-w374f4)</v>
      </c>
    </row>
    <row r="7352" customFormat="false" ht="12.8" hidden="false" customHeight="false" outlineLevel="0" collapsed="false">
      <c r="B7352" s="0" t="s">
        <v>7</v>
      </c>
      <c r="C7352" s="0" t="s">
        <v>3217</v>
      </c>
      <c r="D7352" s="0" t="s">
        <v>3218</v>
      </c>
      <c r="E7352" s="0" t="s">
        <v>3218</v>
      </c>
      <c r="F7352" s="0" t="s">
        <v>3218</v>
      </c>
    </row>
    <row r="7353" customFormat="false" ht="12.8" hidden="false" customHeight="false" outlineLevel="0" collapsed="false">
      <c r="B7353" s="0" t="s">
        <v>14</v>
      </c>
      <c r="C7353" s="0" t="s">
        <v>3219</v>
      </c>
      <c r="D7353" s="0" t="s">
        <v>3220</v>
      </c>
      <c r="E7353" s="0" t="s">
        <v>3220</v>
      </c>
      <c r="F7353" s="0" t="s">
        <v>3220</v>
      </c>
    </row>
    <row r="7354" customFormat="false" ht="12.8" hidden="false" customHeight="false" outlineLevel="0" collapsed="false">
      <c r="B7354" s="0" t="s">
        <v>48</v>
      </c>
      <c r="C7354" s="0" t="s">
        <v>3221</v>
      </c>
      <c r="D7354" s="0" t="s">
        <v>3222</v>
      </c>
      <c r="E7354" s="0" t="s">
        <v>3222</v>
      </c>
      <c r="F7354" s="0" t="s">
        <v>3222</v>
      </c>
    </row>
    <row r="7356" customFormat="false" ht="12.8" hidden="false" customHeight="false" outlineLevel="0" collapsed="false">
      <c r="A7356" s="0" t="s">
        <v>3223</v>
      </c>
      <c r="B7356" s="0" t="str">
        <f aca="false">HYPERLINK("https://lindat.mff.cuni.cz/services/teitok/pdtc10/index.php?action=vallex&amp;frame=v-w374f7", "dávat (v-w374f7)")</f>
        <v>dávat (v-w374f7)</v>
      </c>
    </row>
    <row r="7357" customFormat="false" ht="12.8" hidden="false" customHeight="false" outlineLevel="0" collapsed="false">
      <c r="B7357" s="0" t="s">
        <v>7</v>
      </c>
      <c r="C7357" s="0" t="s">
        <v>3224</v>
      </c>
      <c r="D7357" s="0" t="s">
        <v>3049</v>
      </c>
      <c r="E7357" s="0" t="s">
        <v>3049</v>
      </c>
      <c r="F7357" s="0" t="s">
        <v>3049</v>
      </c>
    </row>
    <row r="7358" customFormat="false" ht="12.8" hidden="false" customHeight="false" outlineLevel="0" collapsed="false">
      <c r="B7358" s="0" t="s">
        <v>14</v>
      </c>
      <c r="C7358" s="0" t="s">
        <v>3225</v>
      </c>
      <c r="D7358" s="0" t="s">
        <v>3226</v>
      </c>
      <c r="E7358" s="0" t="s">
        <v>3226</v>
      </c>
      <c r="F7358" s="0" t="s">
        <v>3226</v>
      </c>
    </row>
    <row r="7359" customFormat="false" ht="12.8" hidden="false" customHeight="false" outlineLevel="0" collapsed="false">
      <c r="B7359" s="0" t="s">
        <v>48</v>
      </c>
      <c r="C7359" s="0" t="s">
        <v>3227</v>
      </c>
      <c r="D7359" s="0" t="s">
        <v>2974</v>
      </c>
      <c r="E7359" s="0" t="s">
        <v>2974</v>
      </c>
      <c r="F7359" s="0" t="s">
        <v>2974</v>
      </c>
    </row>
    <row r="7361" customFormat="false" ht="12.8" hidden="false" customHeight="false" outlineLevel="0" collapsed="false">
      <c r="A7361" s="0" t="s">
        <v>3228</v>
      </c>
      <c r="B7361" s="0" t="str">
        <f aca="false">HYPERLINK("https://lindat.mff.cuni.cz/services/teitok/pdtc10/index.php?action=vallex&amp;frame=v-w374f17", "dávat (v-w374f17)")</f>
        <v>dávat (v-w374f17)</v>
      </c>
    </row>
    <row r="7362" customFormat="false" ht="12.8" hidden="false" customHeight="false" outlineLevel="0" collapsed="false">
      <c r="B7362" s="0" t="s">
        <v>7</v>
      </c>
    </row>
    <row r="7363" customFormat="false" ht="12.8" hidden="false" customHeight="false" outlineLevel="0" collapsed="false">
      <c r="B7363" s="0" t="s">
        <v>14</v>
      </c>
    </row>
    <row r="7364" customFormat="false" ht="12.8" hidden="false" customHeight="false" outlineLevel="0" collapsed="false">
      <c r="B7364" s="0" t="s">
        <v>48</v>
      </c>
    </row>
    <row r="7366" customFormat="false" ht="12.8" hidden="false" customHeight="false" outlineLevel="0" collapsed="false">
      <c r="A7366" s="0" t="s">
        <v>3229</v>
      </c>
      <c r="B7366" s="0" t="str">
        <f aca="false">HYPERLINK("https://lindat.mff.cuni.cz/services/teitok/pdtc10/index.php?action=vallex&amp;frame=v-w374f38", "dávat (v-w374f38)")</f>
        <v>dávat (v-w374f38)</v>
      </c>
    </row>
    <row r="7367" customFormat="false" ht="12.8" hidden="false" customHeight="false" outlineLevel="0" collapsed="false">
      <c r="B7367" s="0" t="s">
        <v>7</v>
      </c>
    </row>
    <row r="7368" customFormat="false" ht="12.8" hidden="false" customHeight="false" outlineLevel="0" collapsed="false">
      <c r="B7368" s="0" t="s">
        <v>14</v>
      </c>
    </row>
    <row r="7369" customFormat="false" ht="12.8" hidden="false" customHeight="false" outlineLevel="0" collapsed="false">
      <c r="B7369" s="0" t="s">
        <v>48</v>
      </c>
    </row>
    <row r="7371" customFormat="false" ht="12.8" hidden="false" customHeight="false" outlineLevel="0" collapsed="false">
      <c r="A7371" s="0" t="s">
        <v>3230</v>
      </c>
      <c r="B7371" s="0" t="str">
        <f aca="false">HYPERLINK("https://lindat.mff.cuni.cz/services/teitok/pdtc10/index.php?action=vallex&amp;frame=v-w374f18", "dávat (v-w374f18)")</f>
        <v>dávat (v-w374f18)</v>
      </c>
    </row>
    <row r="7372" customFormat="false" ht="12.8" hidden="false" customHeight="false" outlineLevel="0" collapsed="false">
      <c r="B7372" s="0" t="s">
        <v>7</v>
      </c>
      <c r="C7372" s="0" t="s">
        <v>623</v>
      </c>
    </row>
    <row r="7373" customFormat="false" ht="12.8" hidden="false" customHeight="false" outlineLevel="0" collapsed="false">
      <c r="B7373" s="0" t="s">
        <v>712</v>
      </c>
      <c r="C7373" s="0" t="s">
        <v>461</v>
      </c>
    </row>
    <row r="7374" customFormat="false" ht="12.8" hidden="false" customHeight="false" outlineLevel="0" collapsed="false">
      <c r="B7374" s="0" t="s">
        <v>48</v>
      </c>
    </row>
    <row r="7376" customFormat="false" ht="12.8" hidden="false" customHeight="false" outlineLevel="0" collapsed="false">
      <c r="A7376" s="0" t="s">
        <v>3231</v>
      </c>
      <c r="B7376" s="0" t="str">
        <f aca="false">HYPERLINK("https://lindat.mff.cuni.cz/services/teitok/pdtc10/index.php?action=vallex&amp;frame=v-w374f3", "dávat (v-w374f3)")</f>
        <v>dávat (v-w374f3)</v>
      </c>
    </row>
    <row r="7377" customFormat="false" ht="12.8" hidden="false" customHeight="false" outlineLevel="0" collapsed="false">
      <c r="B7377" s="0" t="s">
        <v>7</v>
      </c>
      <c r="C7377" s="0" t="s">
        <v>2988</v>
      </c>
      <c r="D7377" s="0" t="s">
        <v>3009</v>
      </c>
      <c r="E7377" s="0" t="s">
        <v>3009</v>
      </c>
      <c r="F7377" s="0" t="s">
        <v>3009</v>
      </c>
    </row>
    <row r="7378" customFormat="false" ht="12.8" hidden="false" customHeight="false" outlineLevel="0" collapsed="false">
      <c r="B7378" s="0" t="s">
        <v>14</v>
      </c>
      <c r="C7378" s="0" t="s">
        <v>3232</v>
      </c>
      <c r="D7378" s="0" t="s">
        <v>3070</v>
      </c>
      <c r="E7378" s="0" t="s">
        <v>3070</v>
      </c>
      <c r="F7378" s="0" t="s">
        <v>3070</v>
      </c>
    </row>
    <row r="7379" customFormat="false" ht="12.8" hidden="false" customHeight="false" outlineLevel="0" collapsed="false">
      <c r="B7379" s="0" t="s">
        <v>106</v>
      </c>
      <c r="C7379" s="0" t="s">
        <v>3039</v>
      </c>
      <c r="D7379" s="0" t="s">
        <v>2952</v>
      </c>
      <c r="E7379" s="0" t="s">
        <v>2952</v>
      </c>
      <c r="F7379" s="0" t="s">
        <v>2952</v>
      </c>
    </row>
    <row r="7381" customFormat="false" ht="12.8" hidden="false" customHeight="false" outlineLevel="0" collapsed="false">
      <c r="A7381" s="0" t="s">
        <v>3233</v>
      </c>
      <c r="B7381" s="0" t="str">
        <f aca="false">HYPERLINK("https://lindat.mff.cuni.cz/services/teitok/pdtc10/index.php?action=vallex&amp;frame=v-w374f9", "dávat (v-w374f9)")</f>
        <v>dávat (v-w374f9)</v>
      </c>
    </row>
    <row r="7382" customFormat="false" ht="12.8" hidden="false" customHeight="false" outlineLevel="0" collapsed="false">
      <c r="B7382" s="0" t="s">
        <v>7</v>
      </c>
      <c r="C7382" s="0" t="s">
        <v>3234</v>
      </c>
      <c r="D7382" s="0" t="s">
        <v>3235</v>
      </c>
      <c r="E7382" s="0" t="s">
        <v>3235</v>
      </c>
      <c r="F7382" s="0" t="s">
        <v>3235</v>
      </c>
    </row>
    <row r="7383" customFormat="false" ht="12.8" hidden="false" customHeight="false" outlineLevel="0" collapsed="false">
      <c r="B7383" s="0" t="s">
        <v>14</v>
      </c>
      <c r="C7383" s="0" t="s">
        <v>3236</v>
      </c>
      <c r="D7383" s="0" t="s">
        <v>3237</v>
      </c>
      <c r="E7383" s="0" t="s">
        <v>3237</v>
      </c>
      <c r="F7383" s="0" t="s">
        <v>3237</v>
      </c>
    </row>
    <row r="7384" customFormat="false" ht="12.8" hidden="false" customHeight="false" outlineLevel="0" collapsed="false">
      <c r="B7384" s="0" t="s">
        <v>106</v>
      </c>
      <c r="C7384" s="0" t="s">
        <v>2942</v>
      </c>
      <c r="D7384" s="0" t="s">
        <v>3238</v>
      </c>
      <c r="E7384" s="0" t="s">
        <v>3238</v>
      </c>
      <c r="F7384" s="0" t="s">
        <v>3238</v>
      </c>
    </row>
    <row r="7386" customFormat="false" ht="12.8" hidden="false" customHeight="false" outlineLevel="0" collapsed="false">
      <c r="A7386" s="0" t="s">
        <v>3239</v>
      </c>
      <c r="B7386" s="0" t="str">
        <f aca="false">HYPERLINK("https://lindat.mff.cuni.cz/services/teitok/pdtc10/index.php?action=vallex&amp;frame=v-w374f28", "dávat (v-w374f28)")</f>
        <v>dávat (v-w374f28)</v>
      </c>
    </row>
    <row r="7387" customFormat="false" ht="12.8" hidden="false" customHeight="false" outlineLevel="0" collapsed="false">
      <c r="B7387" s="0" t="s">
        <v>7</v>
      </c>
    </row>
    <row r="7388" customFormat="false" ht="12.8" hidden="false" customHeight="false" outlineLevel="0" collapsed="false">
      <c r="B7388" s="0" t="s">
        <v>14</v>
      </c>
    </row>
    <row r="7389" customFormat="false" ht="12.8" hidden="false" customHeight="false" outlineLevel="0" collapsed="false">
      <c r="B7389" s="0" t="s">
        <v>1284</v>
      </c>
    </row>
    <row r="7391" customFormat="false" ht="12.8" hidden="false" customHeight="false" outlineLevel="0" collapsed="false">
      <c r="A7391" s="0" t="s">
        <v>3240</v>
      </c>
      <c r="B7391" s="0" t="str">
        <f aca="false">HYPERLINK("https://lindat.mff.cuni.cz/services/teitok/pdtc10/index.php?action=vallex&amp;frame=v-w374f37", "dávat (v-w374f37)")</f>
        <v>dávat (v-w374f37)</v>
      </c>
    </row>
    <row r="7392" customFormat="false" ht="12.8" hidden="false" customHeight="false" outlineLevel="0" collapsed="false">
      <c r="B7392" s="0" t="s">
        <v>7</v>
      </c>
    </row>
    <row r="7393" customFormat="false" ht="12.8" hidden="false" customHeight="false" outlineLevel="0" collapsed="false">
      <c r="B7393" s="0" t="s">
        <v>14</v>
      </c>
    </row>
    <row r="7394" customFormat="false" ht="12.8" hidden="false" customHeight="false" outlineLevel="0" collapsed="false">
      <c r="B7394" s="0" t="s">
        <v>11</v>
      </c>
    </row>
    <row r="7396" customFormat="false" ht="12.8" hidden="false" customHeight="false" outlineLevel="0" collapsed="false">
      <c r="A7396" s="0" t="s">
        <v>3241</v>
      </c>
      <c r="B7396" s="0" t="str">
        <f aca="false">HYPERLINK("https://lindat.mff.cuni.cz/services/teitok/pdtc10/index.php?action=vallex&amp;frame=v-w374f84_ZU", "dávat (v-w374f84_ZU)")</f>
        <v>dávat (v-w374f84_ZU)</v>
      </c>
    </row>
    <row r="7397" customFormat="false" ht="12.8" hidden="false" customHeight="false" outlineLevel="0" collapsed="false">
      <c r="B7397" s="0" t="s">
        <v>7</v>
      </c>
    </row>
    <row r="7398" customFormat="false" ht="12.8" hidden="false" customHeight="false" outlineLevel="0" collapsed="false">
      <c r="B7398" s="0" t="s">
        <v>14</v>
      </c>
    </row>
    <row r="7399" customFormat="false" ht="12.8" hidden="false" customHeight="false" outlineLevel="0" collapsed="false">
      <c r="B7399" s="0" t="s">
        <v>279</v>
      </c>
    </row>
    <row r="7401" customFormat="false" ht="12.8" hidden="false" customHeight="false" outlineLevel="0" collapsed="false">
      <c r="A7401" s="0" t="s">
        <v>3241</v>
      </c>
      <c r="B7401" s="0" t="str">
        <f aca="false">HYPERLINK("https://lindat.mff.cuni.cz/services/teitok/pdtc10/index.php?action=vallex&amp;frame=v-w374f8", "dávat (v-w374f8) - substituted with v-w374f84_ZU")</f>
        <v>dávat (v-w374f8) - substituted with v-w374f84_ZU</v>
      </c>
    </row>
    <row r="7402" customFormat="false" ht="12.8" hidden="false" customHeight="false" outlineLevel="0" collapsed="false">
      <c r="B7402" s="0" t="s">
        <v>7</v>
      </c>
      <c r="C7402" s="0" t="s">
        <v>3028</v>
      </c>
      <c r="D7402" s="0" t="s">
        <v>2323</v>
      </c>
      <c r="E7402" s="0" t="s">
        <v>2323</v>
      </c>
      <c r="F7402" s="0" t="s">
        <v>2323</v>
      </c>
    </row>
    <row r="7403" customFormat="false" ht="12.8" hidden="false" customHeight="false" outlineLevel="0" collapsed="false">
      <c r="B7403" s="0" t="s">
        <v>14</v>
      </c>
      <c r="C7403" s="0" t="s">
        <v>1168</v>
      </c>
      <c r="D7403" s="0" t="s">
        <v>1918</v>
      </c>
      <c r="E7403" s="0" t="s">
        <v>1918</v>
      </c>
      <c r="F7403" s="0" t="s">
        <v>1918</v>
      </c>
    </row>
    <row r="7404" customFormat="false" ht="12.8" hidden="false" customHeight="false" outlineLevel="0" collapsed="false">
      <c r="B7404" s="0" t="s">
        <v>279</v>
      </c>
      <c r="D7404" s="0" t="s">
        <v>2325</v>
      </c>
      <c r="E7404" s="0" t="s">
        <v>2325</v>
      </c>
      <c r="F7404" s="0" t="s">
        <v>2325</v>
      </c>
    </row>
    <row r="7406" customFormat="false" ht="12.8" hidden="false" customHeight="false" outlineLevel="0" collapsed="false">
      <c r="A7406" s="0" t="s">
        <v>3242</v>
      </c>
      <c r="B7406" s="0" t="str">
        <f aca="false">HYPERLINK("https://lindat.mff.cuni.cz/services/teitok/pdtc10/index.php?action=vallex&amp;frame=v-w374f5", "dávat (v-w374f5)")</f>
        <v>dávat (v-w374f5)</v>
      </c>
    </row>
    <row r="7407" customFormat="false" ht="12.8" hidden="false" customHeight="false" outlineLevel="0" collapsed="false">
      <c r="B7407" s="0" t="s">
        <v>7</v>
      </c>
      <c r="C7407" s="0" t="s">
        <v>3243</v>
      </c>
      <c r="D7407" s="0" t="s">
        <v>2235</v>
      </c>
      <c r="E7407" s="0" t="s">
        <v>2235</v>
      </c>
      <c r="F7407" s="0" t="s">
        <v>2235</v>
      </c>
    </row>
    <row r="7408" customFormat="false" ht="12.8" hidden="false" customHeight="false" outlineLevel="0" collapsed="false">
      <c r="B7408" s="0" t="s">
        <v>14</v>
      </c>
      <c r="C7408" s="0" t="s">
        <v>3244</v>
      </c>
      <c r="D7408" s="0" t="s">
        <v>2237</v>
      </c>
      <c r="E7408" s="0" t="s">
        <v>2237</v>
      </c>
      <c r="F7408" s="0" t="s">
        <v>2237</v>
      </c>
    </row>
    <row r="7409" customFormat="false" ht="12.8" hidden="false" customHeight="false" outlineLevel="0" collapsed="false">
      <c r="B7409" s="0" t="s">
        <v>124</v>
      </c>
      <c r="D7409" s="0" t="s">
        <v>2238</v>
      </c>
      <c r="E7409" s="0" t="s">
        <v>2238</v>
      </c>
      <c r="F7409" s="0" t="s">
        <v>2238</v>
      </c>
    </row>
    <row r="7411" customFormat="false" ht="12.8" hidden="false" customHeight="false" outlineLevel="0" collapsed="false">
      <c r="A7411" s="0" t="s">
        <v>3245</v>
      </c>
      <c r="B7411" s="0" t="str">
        <f aca="false">HYPERLINK("https://lindat.mff.cuni.cz/services/teitok/pdtc10/index.php?action=vallex&amp;frame=v-w374f34", "dávat (v-w374f34)")</f>
        <v>dávat (v-w374f34)</v>
      </c>
    </row>
    <row r="7412" customFormat="false" ht="12.8" hidden="false" customHeight="false" outlineLevel="0" collapsed="false">
      <c r="B7412" s="0" t="s">
        <v>7</v>
      </c>
      <c r="C7412" s="0" t="s">
        <v>3246</v>
      </c>
      <c r="D7412" s="0" t="s">
        <v>2235</v>
      </c>
      <c r="E7412" s="0" t="s">
        <v>2235</v>
      </c>
      <c r="F7412" s="0" t="s">
        <v>2235</v>
      </c>
    </row>
    <row r="7413" customFormat="false" ht="12.8" hidden="false" customHeight="false" outlineLevel="0" collapsed="false">
      <c r="B7413" s="0" t="s">
        <v>14</v>
      </c>
      <c r="C7413" s="0" t="s">
        <v>3247</v>
      </c>
      <c r="D7413" s="0" t="s">
        <v>2237</v>
      </c>
      <c r="E7413" s="0" t="s">
        <v>2237</v>
      </c>
      <c r="F7413" s="0" t="s">
        <v>2237</v>
      </c>
    </row>
    <row r="7414" customFormat="false" ht="12.8" hidden="false" customHeight="false" outlineLevel="0" collapsed="false">
      <c r="B7414" s="0" t="s">
        <v>124</v>
      </c>
      <c r="C7414" s="0" t="s">
        <v>2986</v>
      </c>
      <c r="D7414" s="0" t="s">
        <v>2238</v>
      </c>
      <c r="E7414" s="0" t="s">
        <v>2238</v>
      </c>
      <c r="F7414" s="0" t="s">
        <v>2238</v>
      </c>
    </row>
    <row r="7416" customFormat="false" ht="12.8" hidden="false" customHeight="false" outlineLevel="0" collapsed="false">
      <c r="A7416" s="0" t="s">
        <v>3248</v>
      </c>
      <c r="B7416" s="0" t="str">
        <f aca="false">HYPERLINK("https://lindat.mff.cuni.cz/services/teitok/pdtc10/index.php?action=vallex&amp;frame=v-w374f27", "dávat (v-w374f27)")</f>
        <v>dávat (v-w374f27)</v>
      </c>
    </row>
    <row r="7417" customFormat="false" ht="12.8" hidden="false" customHeight="false" outlineLevel="0" collapsed="false">
      <c r="B7417" s="0" t="s">
        <v>7</v>
      </c>
      <c r="C7417" s="0" t="s">
        <v>113</v>
      </c>
      <c r="D7417" s="0" t="s">
        <v>2998</v>
      </c>
      <c r="E7417" s="0" t="s">
        <v>2998</v>
      </c>
      <c r="F7417" s="0" t="s">
        <v>2998</v>
      </c>
    </row>
    <row r="7418" customFormat="false" ht="12.8" hidden="false" customHeight="false" outlineLevel="0" collapsed="false">
      <c r="B7418" s="0" t="s">
        <v>54</v>
      </c>
      <c r="C7418" s="0" t="s">
        <v>3249</v>
      </c>
      <c r="D7418" s="0" t="s">
        <v>3001</v>
      </c>
      <c r="E7418" s="0" t="s">
        <v>3001</v>
      </c>
      <c r="F7418" s="0" t="s">
        <v>3001</v>
      </c>
    </row>
    <row r="7420" customFormat="false" ht="12.8" hidden="false" customHeight="false" outlineLevel="0" collapsed="false">
      <c r="A7420" s="0" t="s">
        <v>3250</v>
      </c>
      <c r="B7420" s="0" t="str">
        <f aca="false">HYPERLINK("https://lindat.mff.cuni.cz/services/teitok/pdtc10/index.php?action=vallex&amp;frame=v-w374f30", "dávat (v-w374f30)")</f>
        <v>dávat (v-w374f30)</v>
      </c>
    </row>
    <row r="7421" customFormat="false" ht="12.8" hidden="false" customHeight="false" outlineLevel="0" collapsed="false">
      <c r="B7421" s="0" t="s">
        <v>7</v>
      </c>
    </row>
    <row r="7422" customFormat="false" ht="12.8" hidden="false" customHeight="false" outlineLevel="0" collapsed="false">
      <c r="B7422" s="0" t="s">
        <v>14</v>
      </c>
    </row>
    <row r="7424" customFormat="false" ht="12.8" hidden="false" customHeight="false" outlineLevel="0" collapsed="false">
      <c r="A7424" s="0" t="s">
        <v>3251</v>
      </c>
      <c r="B7424" s="0" t="str">
        <f aca="false">HYPERLINK("https://lindat.mff.cuni.cz/services/teitok/pdtc10/index.php?action=vallex&amp;frame=v-w374f12", "dávat (v-w374f12)")</f>
        <v>dávat (v-w374f12)</v>
      </c>
    </row>
    <row r="7425" customFormat="false" ht="12.8" hidden="false" customHeight="false" outlineLevel="0" collapsed="false">
      <c r="B7425" s="0" t="s">
        <v>7</v>
      </c>
      <c r="D7425" s="0" t="s">
        <v>208</v>
      </c>
      <c r="E7425" s="0" t="s">
        <v>208</v>
      </c>
      <c r="F7425" s="0" t="s">
        <v>208</v>
      </c>
    </row>
    <row r="7426" customFormat="false" ht="12.8" hidden="false" customHeight="false" outlineLevel="0" collapsed="false">
      <c r="B7426" s="0" t="s">
        <v>712</v>
      </c>
      <c r="D7426" s="0" t="s">
        <v>2993</v>
      </c>
      <c r="E7426" s="0" t="s">
        <v>2993</v>
      </c>
      <c r="F7426" s="0" t="s">
        <v>2993</v>
      </c>
    </row>
    <row r="7428" customFormat="false" ht="12.8" hidden="false" customHeight="false" outlineLevel="0" collapsed="false">
      <c r="A7428" s="0" t="s">
        <v>3252</v>
      </c>
      <c r="B7428" s="0" t="str">
        <f aca="false">HYPERLINK("https://lindat.mff.cuni.cz/services/teitok/pdtc10/index.php?action=vallex&amp;frame=v-w374f31", "dávat (v-w374f31)")</f>
        <v>dávat (v-w374f31)</v>
      </c>
    </row>
    <row r="7429" customFormat="false" ht="12.8" hidden="false" customHeight="false" outlineLevel="0" collapsed="false">
      <c r="B7429" s="0" t="s">
        <v>7</v>
      </c>
    </row>
    <row r="7430" customFormat="false" ht="12.8" hidden="false" customHeight="false" outlineLevel="0" collapsed="false">
      <c r="B7430" s="0" t="s">
        <v>41</v>
      </c>
    </row>
    <row r="7432" customFormat="false" ht="12.8" hidden="false" customHeight="false" outlineLevel="0" collapsed="false">
      <c r="A7432" s="0" t="s">
        <v>3253</v>
      </c>
      <c r="B7432" s="0" t="str">
        <f aca="false">HYPERLINK("https://lindat.mff.cuni.cz/services/teitok/pdtc10/index.php?action=vallex&amp;frame=v-w374f36", "dávat (v-w374f36)")</f>
        <v>dávat (v-w374f36)</v>
      </c>
    </row>
    <row r="7433" customFormat="false" ht="12.8" hidden="false" customHeight="false" outlineLevel="0" collapsed="false">
      <c r="B7433" s="0" t="s">
        <v>7</v>
      </c>
      <c r="C7433" s="0" t="s">
        <v>2940</v>
      </c>
    </row>
    <row r="7434" customFormat="false" ht="12.8" hidden="false" customHeight="false" outlineLevel="0" collapsed="false">
      <c r="B7434" s="0" t="s">
        <v>679</v>
      </c>
      <c r="C7434" s="0" t="s">
        <v>3004</v>
      </c>
    </row>
    <row r="7435" customFormat="false" ht="12.8" hidden="false" customHeight="false" outlineLevel="0" collapsed="false">
      <c r="B7435" s="0" t="s">
        <v>1654</v>
      </c>
    </row>
    <row r="7436" customFormat="false" ht="12.8" hidden="false" customHeight="false" outlineLevel="0" collapsed="false">
      <c r="B7436" s="0" t="s">
        <v>106</v>
      </c>
      <c r="C7436" s="0" t="s">
        <v>2942</v>
      </c>
    </row>
    <row r="7438" customFormat="false" ht="12.8" hidden="false" customHeight="false" outlineLevel="0" collapsed="false">
      <c r="A7438" s="0" t="s">
        <v>3254</v>
      </c>
      <c r="B7438" s="0" t="str">
        <f aca="false">HYPERLINK("https://lindat.mff.cuni.cz/services/teitok/pdtc10/index.php?action=vallex&amp;frame=v-w374f75_ZU", "dávat (v-w374f75_ZU)")</f>
        <v>dávat (v-w374f75_ZU)</v>
      </c>
    </row>
    <row r="7439" customFormat="false" ht="12.8" hidden="false" customHeight="false" outlineLevel="0" collapsed="false">
      <c r="B7439" s="0" t="s">
        <v>7</v>
      </c>
    </row>
    <row r="7440" customFormat="false" ht="12.8" hidden="false" customHeight="false" outlineLevel="0" collapsed="false">
      <c r="B7440" s="0" t="s">
        <v>3255</v>
      </c>
    </row>
    <row r="7441" customFormat="false" ht="12.8" hidden="false" customHeight="false" outlineLevel="0" collapsed="false">
      <c r="B7441" s="0" t="s">
        <v>48</v>
      </c>
    </row>
    <row r="7443" customFormat="false" ht="12.8" hidden="false" customHeight="false" outlineLevel="0" collapsed="false">
      <c r="A7443" s="0" t="s">
        <v>3254</v>
      </c>
      <c r="B7443" s="0" t="str">
        <f aca="false">HYPERLINK("https://lindat.mff.cuni.cz/services/teitok/pdtc10/index.php?action=vallex&amp;frame=v-w374f15", "dávat (v-w374f15) - substituted with v-w374f75_ZU")</f>
        <v>dávat (v-w374f15) - substituted with v-w374f75_ZU</v>
      </c>
    </row>
    <row r="7444" customFormat="false" ht="12.8" hidden="false" customHeight="false" outlineLevel="0" collapsed="false">
      <c r="B7444" s="0" t="s">
        <v>7</v>
      </c>
    </row>
    <row r="7445" customFormat="false" ht="12.8" hidden="false" customHeight="false" outlineLevel="0" collapsed="false">
      <c r="B7445" s="0" t="s">
        <v>3255</v>
      </c>
    </row>
    <row r="7446" customFormat="false" ht="12.8" hidden="false" customHeight="false" outlineLevel="0" collapsed="false">
      <c r="B7446" s="0" t="s">
        <v>48</v>
      </c>
    </row>
    <row r="7448" customFormat="false" ht="12.8" hidden="false" customHeight="false" outlineLevel="0" collapsed="false">
      <c r="A7448" s="0" t="s">
        <v>3254</v>
      </c>
      <c r="B7448" s="0" t="str">
        <f aca="false">HYPERLINK("https://lindat.mff.cuni.cz/services/teitok/pdtc10/index.php?action=vallex&amp;frame=v-w374f62_ZU", "dávat (v-w374f62_ZU) - substituted with v-w374f75_ZU")</f>
        <v>dávat (v-w374f62_ZU) - substituted with v-w374f75_ZU</v>
      </c>
    </row>
    <row r="7449" customFormat="false" ht="12.8" hidden="false" customHeight="false" outlineLevel="0" collapsed="false">
      <c r="B7449" s="0" t="s">
        <v>7</v>
      </c>
    </row>
    <row r="7450" customFormat="false" ht="12.8" hidden="false" customHeight="false" outlineLevel="0" collapsed="false">
      <c r="B7450" s="0" t="s">
        <v>3255</v>
      </c>
    </row>
    <row r="7451" customFormat="false" ht="12.8" hidden="false" customHeight="false" outlineLevel="0" collapsed="false">
      <c r="B7451" s="0" t="s">
        <v>48</v>
      </c>
    </row>
    <row r="7453" customFormat="false" ht="12.8" hidden="false" customHeight="false" outlineLevel="0" collapsed="false">
      <c r="A7453" s="0" t="s">
        <v>3256</v>
      </c>
      <c r="B7453" s="0" t="str">
        <f aca="false">HYPERLINK("https://lindat.mff.cuni.cz/services/teitok/pdtc10/index.php?action=vallex&amp;frame=v-w374f82_ZU", "dávat (v-w374f82_ZU)")</f>
        <v>dávat (v-w374f82_ZU)</v>
      </c>
    </row>
    <row r="7454" customFormat="false" ht="12.8" hidden="false" customHeight="false" outlineLevel="0" collapsed="false">
      <c r="B7454" s="0" t="s">
        <v>7</v>
      </c>
    </row>
    <row r="7455" customFormat="false" ht="12.8" hidden="false" customHeight="false" outlineLevel="0" collapsed="false">
      <c r="B7455" s="0" t="s">
        <v>3257</v>
      </c>
    </row>
    <row r="7456" customFormat="false" ht="12.8" hidden="false" customHeight="false" outlineLevel="0" collapsed="false">
      <c r="B7456" s="0" t="s">
        <v>48</v>
      </c>
    </row>
    <row r="7458" customFormat="false" ht="12.8" hidden="false" customHeight="false" outlineLevel="0" collapsed="false">
      <c r="A7458" s="0" t="s">
        <v>3256</v>
      </c>
      <c r="B7458" s="0" t="str">
        <f aca="false">HYPERLINK("https://lindat.mff.cuni.cz/services/teitok/pdtc10/index.php?action=vallex&amp;frame=v-w374f35", "dávat (v-w374f35) - substituted with v-w374f82_ZU")</f>
        <v>dávat (v-w374f35) - substituted with v-w374f82_ZU</v>
      </c>
    </row>
    <row r="7459" customFormat="false" ht="12.8" hidden="false" customHeight="false" outlineLevel="0" collapsed="false">
      <c r="B7459" s="0" t="s">
        <v>7</v>
      </c>
    </row>
    <row r="7460" customFormat="false" ht="12.8" hidden="false" customHeight="false" outlineLevel="0" collapsed="false">
      <c r="B7460" s="0" t="s">
        <v>3257</v>
      </c>
    </row>
    <row r="7461" customFormat="false" ht="12.8" hidden="false" customHeight="false" outlineLevel="0" collapsed="false">
      <c r="B7461" s="0" t="s">
        <v>48</v>
      </c>
    </row>
    <row r="7463" customFormat="false" ht="12.8" hidden="false" customHeight="false" outlineLevel="0" collapsed="false">
      <c r="A7463" s="0" t="s">
        <v>3256</v>
      </c>
      <c r="B7463" s="0" t="str">
        <f aca="false">HYPERLINK("https://lindat.mff.cuni.cz/services/teitok/pdtc10/index.php?action=vallex&amp;frame=v-w374f67_ZU", "dávat (v-w374f67_ZU) - substituted with v-w374f82_ZU")</f>
        <v>dávat (v-w374f67_ZU) - substituted with v-w374f82_ZU</v>
      </c>
    </row>
    <row r="7464" customFormat="false" ht="12.8" hidden="false" customHeight="false" outlineLevel="0" collapsed="false">
      <c r="B7464" s="0" t="s">
        <v>7</v>
      </c>
      <c r="C7464" s="0" t="s">
        <v>46</v>
      </c>
    </row>
    <row r="7465" customFormat="false" ht="12.8" hidden="false" customHeight="false" outlineLevel="0" collapsed="false">
      <c r="B7465" s="0" t="s">
        <v>3257</v>
      </c>
      <c r="C7465" s="0" t="s">
        <v>3258</v>
      </c>
    </row>
    <row r="7466" customFormat="false" ht="12.8" hidden="false" customHeight="false" outlineLevel="0" collapsed="false">
      <c r="B7466" s="0" t="s">
        <v>48</v>
      </c>
    </row>
    <row r="7468" customFormat="false" ht="12.8" hidden="false" customHeight="false" outlineLevel="0" collapsed="false">
      <c r="A7468" s="0" t="s">
        <v>3256</v>
      </c>
      <c r="B7468" s="0" t="str">
        <f aca="false">HYPERLINK("https://lindat.mff.cuni.cz/services/teitok/pdtc10/index.php?action=vallex&amp;frame=v-w374f69_ZU", "dávat (v-w374f69_ZU) - substituted with v-w374f82_ZU")</f>
        <v>dávat (v-w374f69_ZU) - substituted with v-w374f82_ZU</v>
      </c>
    </row>
    <row r="7469" customFormat="false" ht="12.8" hidden="false" customHeight="false" outlineLevel="0" collapsed="false">
      <c r="B7469" s="0" t="s">
        <v>7</v>
      </c>
      <c r="D7469" s="0" t="s">
        <v>3259</v>
      </c>
      <c r="E7469" s="0" t="s">
        <v>3259</v>
      </c>
      <c r="F7469" s="0" t="s">
        <v>3259</v>
      </c>
    </row>
    <row r="7470" customFormat="false" ht="12.8" hidden="false" customHeight="false" outlineLevel="0" collapsed="false">
      <c r="B7470" s="0" t="s">
        <v>3257</v>
      </c>
      <c r="D7470" s="0" t="s">
        <v>3260</v>
      </c>
      <c r="E7470" s="0" t="s">
        <v>3260</v>
      </c>
      <c r="F7470" s="0" t="s">
        <v>3260</v>
      </c>
    </row>
    <row r="7471" customFormat="false" ht="12.8" hidden="false" customHeight="false" outlineLevel="0" collapsed="false">
      <c r="B7471" s="0" t="s">
        <v>48</v>
      </c>
      <c r="D7471" s="0" t="s">
        <v>3261</v>
      </c>
      <c r="E7471" s="0" t="s">
        <v>3261</v>
      </c>
      <c r="F7471" s="0" t="s">
        <v>3261</v>
      </c>
    </row>
    <row r="7473" customFormat="false" ht="12.8" hidden="false" customHeight="false" outlineLevel="0" collapsed="false">
      <c r="A7473" s="0" t="s">
        <v>3262</v>
      </c>
      <c r="B7473" s="0" t="str">
        <f aca="false">HYPERLINK("https://lindat.mff.cuni.cz/services/teitok/pdtc10/index.php?action=vallex&amp;frame=v-w374hsa_21", "dávat (v-w374hsa_21)")</f>
        <v>dávat (v-w374hsa_21)</v>
      </c>
    </row>
    <row r="7474" customFormat="false" ht="12.8" hidden="false" customHeight="false" outlineLevel="0" collapsed="false">
      <c r="B7474" s="0" t="s">
        <v>7</v>
      </c>
    </row>
    <row r="7475" customFormat="false" ht="12.8" hidden="false" customHeight="false" outlineLevel="0" collapsed="false">
      <c r="B7475" s="0" t="s">
        <v>3263</v>
      </c>
    </row>
    <row r="7476" customFormat="false" ht="12.8" hidden="false" customHeight="false" outlineLevel="0" collapsed="false">
      <c r="B7476" s="0" t="s">
        <v>48</v>
      </c>
    </row>
    <row r="7478" customFormat="false" ht="12.8" hidden="false" customHeight="false" outlineLevel="0" collapsed="false">
      <c r="A7478" s="0" t="s">
        <v>3262</v>
      </c>
      <c r="B7478" s="0" t="str">
        <f aca="false">HYPERLINK("https://lindat.mff.cuni.cz/services/teitok/pdtc10/index.php?action=vallex&amp;frame=v-w374f23", "dávat (v-w374f23) - substituted with v-w374hsa_21")</f>
        <v>dávat (v-w374f23) - substituted with v-w374hsa_21</v>
      </c>
    </row>
    <row r="7479" customFormat="false" ht="12.8" hidden="false" customHeight="false" outlineLevel="0" collapsed="false">
      <c r="B7479" s="0" t="s">
        <v>7</v>
      </c>
    </row>
    <row r="7480" customFormat="false" ht="12.8" hidden="false" customHeight="false" outlineLevel="0" collapsed="false">
      <c r="B7480" s="0" t="s">
        <v>3263</v>
      </c>
    </row>
    <row r="7481" customFormat="false" ht="12.8" hidden="false" customHeight="false" outlineLevel="0" collapsed="false">
      <c r="B7481" s="0" t="s">
        <v>48</v>
      </c>
    </row>
    <row r="7483" customFormat="false" ht="12.8" hidden="false" customHeight="false" outlineLevel="0" collapsed="false">
      <c r="A7483" s="0" t="s">
        <v>3264</v>
      </c>
      <c r="B7483" s="0" t="str">
        <f aca="false">HYPERLINK("https://lindat.mff.cuni.cz/services/teitok/pdtc10/index.php?action=vallex&amp;frame=v-w374f65_ZU", "dávat (v-w374f65_ZU)")</f>
        <v>dávat (v-w374f65_ZU)</v>
      </c>
    </row>
    <row r="7484" customFormat="false" ht="12.8" hidden="false" customHeight="false" outlineLevel="0" collapsed="false">
      <c r="B7484" s="0" t="s">
        <v>7</v>
      </c>
      <c r="C7484" s="0" t="s">
        <v>2940</v>
      </c>
      <c r="D7484" s="0" t="s">
        <v>3265</v>
      </c>
      <c r="E7484" s="0" t="s">
        <v>3265</v>
      </c>
      <c r="F7484" s="0" t="s">
        <v>3265</v>
      </c>
    </row>
    <row r="7485" customFormat="false" ht="12.8" hidden="false" customHeight="false" outlineLevel="0" collapsed="false">
      <c r="B7485" s="0" t="s">
        <v>3266</v>
      </c>
      <c r="C7485" s="0" t="s">
        <v>3007</v>
      </c>
    </row>
    <row r="7486" customFormat="false" ht="12.8" hidden="false" customHeight="false" outlineLevel="0" collapsed="false">
      <c r="B7486" s="0" t="s">
        <v>48</v>
      </c>
      <c r="C7486" s="0" t="s">
        <v>2942</v>
      </c>
      <c r="D7486" s="0" t="s">
        <v>3267</v>
      </c>
      <c r="E7486" s="0" t="s">
        <v>3267</v>
      </c>
      <c r="F7486" s="0" t="s">
        <v>3267</v>
      </c>
    </row>
    <row r="7488" customFormat="false" ht="12.8" hidden="false" customHeight="false" outlineLevel="0" collapsed="false">
      <c r="A7488" s="0" t="s">
        <v>3264</v>
      </c>
      <c r="B7488" s="0" t="str">
        <f aca="false">HYPERLINK("https://lindat.mff.cuni.cz/services/teitok/pdtc10/index.php?action=vallex&amp;frame=v-w374f2", "dávat (v-w374f2) - substituted with v-w374f65_ZU")</f>
        <v>dávat (v-w374f2) - substituted with v-w374f65_ZU</v>
      </c>
    </row>
    <row r="7489" customFormat="false" ht="12.8" hidden="false" customHeight="false" outlineLevel="0" collapsed="false">
      <c r="B7489" s="0" t="s">
        <v>7</v>
      </c>
      <c r="C7489" s="0" t="s">
        <v>2199</v>
      </c>
    </row>
    <row r="7490" customFormat="false" ht="12.8" hidden="false" customHeight="false" outlineLevel="0" collapsed="false">
      <c r="B7490" s="0" t="s">
        <v>3266</v>
      </c>
    </row>
    <row r="7491" customFormat="false" ht="12.8" hidden="false" customHeight="false" outlineLevel="0" collapsed="false">
      <c r="B7491" s="0" t="s">
        <v>48</v>
      </c>
      <c r="C7491" s="0" t="s">
        <v>3268</v>
      </c>
    </row>
    <row r="7493" customFormat="false" ht="12.8" hidden="false" customHeight="false" outlineLevel="0" collapsed="false">
      <c r="A7493" s="0" t="s">
        <v>3269</v>
      </c>
      <c r="B7493" s="0" t="str">
        <f aca="false">HYPERLINK("https://lindat.mff.cuni.cz/services/teitok/pdtc10/index.php?action=vallex&amp;frame=v-w374f78_ZU", "dávat (v-w374f78_ZU)")</f>
        <v>dávat (v-w374f78_ZU)</v>
      </c>
    </row>
    <row r="7494" customFormat="false" ht="12.8" hidden="false" customHeight="false" outlineLevel="0" collapsed="false">
      <c r="B7494" s="0" t="s">
        <v>7</v>
      </c>
    </row>
    <row r="7495" customFormat="false" ht="12.8" hidden="false" customHeight="false" outlineLevel="0" collapsed="false">
      <c r="B7495" s="0" t="s">
        <v>3270</v>
      </c>
    </row>
    <row r="7496" customFormat="false" ht="12.8" hidden="false" customHeight="false" outlineLevel="0" collapsed="false">
      <c r="B7496" s="0" t="s">
        <v>48</v>
      </c>
    </row>
    <row r="7498" customFormat="false" ht="12.8" hidden="false" customHeight="false" outlineLevel="0" collapsed="false">
      <c r="A7498" s="0" t="s">
        <v>3269</v>
      </c>
      <c r="B7498" s="0" t="str">
        <f aca="false">HYPERLINK("https://lindat.mff.cuni.cz/services/teitok/pdtc10/index.php?action=vallex&amp;frame=v-w374f1", "dávat (v-w374f1) - substituted with v-w374f78_ZU")</f>
        <v>dávat (v-w374f1) - substituted with v-w374f78_ZU</v>
      </c>
    </row>
    <row r="7499" customFormat="false" ht="12.8" hidden="false" customHeight="false" outlineLevel="0" collapsed="false">
      <c r="B7499" s="0" t="s">
        <v>7</v>
      </c>
      <c r="C7499" s="0" t="s">
        <v>3271</v>
      </c>
    </row>
    <row r="7500" customFormat="false" ht="12.8" hidden="false" customHeight="false" outlineLevel="0" collapsed="false">
      <c r="B7500" s="0" t="s">
        <v>3270</v>
      </c>
      <c r="C7500" s="0" t="s">
        <v>3272</v>
      </c>
    </row>
    <row r="7501" customFormat="false" ht="12.8" hidden="false" customHeight="false" outlineLevel="0" collapsed="false">
      <c r="B7501" s="0" t="s">
        <v>48</v>
      </c>
      <c r="C7501" s="0" t="s">
        <v>3039</v>
      </c>
    </row>
    <row r="7503" customFormat="false" ht="12.8" hidden="false" customHeight="false" outlineLevel="0" collapsed="false">
      <c r="A7503" s="0" t="s">
        <v>3269</v>
      </c>
      <c r="B7503" s="0" t="str">
        <f aca="false">HYPERLINK("https://lindat.mff.cuni.cz/services/teitok/pdtc10/index.php?action=vallex&amp;frame=v-w374f40_ZU", "dávat (v-w374f40_ZU) - substituted with v-w374f78_ZU")</f>
        <v>dávat (v-w374f40_ZU) - substituted with v-w374f78_ZU</v>
      </c>
    </row>
    <row r="7504" customFormat="false" ht="12.8" hidden="false" customHeight="false" outlineLevel="0" collapsed="false">
      <c r="B7504" s="0" t="s">
        <v>7</v>
      </c>
      <c r="C7504" s="0" t="s">
        <v>2940</v>
      </c>
    </row>
    <row r="7505" customFormat="false" ht="12.8" hidden="false" customHeight="false" outlineLevel="0" collapsed="false">
      <c r="B7505" s="0" t="s">
        <v>3270</v>
      </c>
      <c r="C7505" s="0" t="s">
        <v>3007</v>
      </c>
    </row>
    <row r="7506" customFormat="false" ht="12.8" hidden="false" customHeight="false" outlineLevel="0" collapsed="false">
      <c r="B7506" s="0" t="s">
        <v>48</v>
      </c>
      <c r="C7506" s="0" t="s">
        <v>2942</v>
      </c>
    </row>
    <row r="7508" customFormat="false" ht="12.8" hidden="false" customHeight="false" outlineLevel="0" collapsed="false">
      <c r="A7508" s="0" t="s">
        <v>3269</v>
      </c>
      <c r="B7508" s="0" t="str">
        <f aca="false">HYPERLINK("https://lindat.mff.cuni.cz/services/teitok/pdtc10/index.php?action=vallex&amp;frame=v-w374f44_ZU", "dávat (v-w374f44_ZU) - substituted with v-w374f78_ZU")</f>
        <v>dávat (v-w374f44_ZU) - substituted with v-w374f78_ZU</v>
      </c>
    </row>
    <row r="7509" customFormat="false" ht="12.8" hidden="false" customHeight="false" outlineLevel="0" collapsed="false">
      <c r="B7509" s="0" t="s">
        <v>7</v>
      </c>
    </row>
    <row r="7510" customFormat="false" ht="12.8" hidden="false" customHeight="false" outlineLevel="0" collapsed="false">
      <c r="B7510" s="0" t="s">
        <v>3270</v>
      </c>
    </row>
    <row r="7511" customFormat="false" ht="12.8" hidden="false" customHeight="false" outlineLevel="0" collapsed="false">
      <c r="B7511" s="0" t="s">
        <v>48</v>
      </c>
    </row>
    <row r="7513" customFormat="false" ht="12.8" hidden="false" customHeight="false" outlineLevel="0" collapsed="false">
      <c r="A7513" s="0" t="s">
        <v>3269</v>
      </c>
      <c r="B7513" s="0" t="str">
        <f aca="false">HYPERLINK("https://lindat.mff.cuni.cz/services/teitok/pdtc10/index.php?action=vallex&amp;frame=v-w374f48_ZU", "dávat (v-w374f48_ZU) - substituted with v-w374f78_ZU")</f>
        <v>dávat (v-w374f48_ZU) - substituted with v-w374f78_ZU</v>
      </c>
    </row>
    <row r="7514" customFormat="false" ht="12.8" hidden="false" customHeight="false" outlineLevel="0" collapsed="false">
      <c r="B7514" s="0" t="s">
        <v>7</v>
      </c>
    </row>
    <row r="7515" customFormat="false" ht="12.8" hidden="false" customHeight="false" outlineLevel="0" collapsed="false">
      <c r="B7515" s="0" t="s">
        <v>3270</v>
      </c>
    </row>
    <row r="7516" customFormat="false" ht="12.8" hidden="false" customHeight="false" outlineLevel="0" collapsed="false">
      <c r="B7516" s="0" t="s">
        <v>48</v>
      </c>
    </row>
    <row r="7518" customFormat="false" ht="12.8" hidden="false" customHeight="false" outlineLevel="0" collapsed="false">
      <c r="A7518" s="0" t="s">
        <v>3269</v>
      </c>
      <c r="B7518" s="0" t="str">
        <f aca="false">HYPERLINK("https://lindat.mff.cuni.cz/services/teitok/pdtc10/index.php?action=vallex&amp;frame=v-w374f49_ZU", "dávat (v-w374f49_ZU) - substituted with v-w374f78_ZU")</f>
        <v>dávat (v-w374f49_ZU) - substituted with v-w374f78_ZU</v>
      </c>
    </row>
    <row r="7519" customFormat="false" ht="12.8" hidden="false" customHeight="false" outlineLevel="0" collapsed="false">
      <c r="B7519" s="0" t="s">
        <v>7</v>
      </c>
      <c r="C7519" s="0" t="s">
        <v>2940</v>
      </c>
    </row>
    <row r="7520" customFormat="false" ht="12.8" hidden="false" customHeight="false" outlineLevel="0" collapsed="false">
      <c r="B7520" s="0" t="s">
        <v>3270</v>
      </c>
      <c r="C7520" s="0" t="s">
        <v>3007</v>
      </c>
    </row>
    <row r="7521" customFormat="false" ht="12.8" hidden="false" customHeight="false" outlineLevel="0" collapsed="false">
      <c r="B7521" s="0" t="s">
        <v>48</v>
      </c>
      <c r="C7521" s="0" t="s">
        <v>2942</v>
      </c>
    </row>
    <row r="7523" customFormat="false" ht="12.8" hidden="false" customHeight="false" outlineLevel="0" collapsed="false">
      <c r="A7523" s="0" t="s">
        <v>3269</v>
      </c>
      <c r="B7523" s="0" t="str">
        <f aca="false">HYPERLINK("https://lindat.mff.cuni.cz/services/teitok/pdtc10/index.php?action=vallex&amp;frame=v-w374f52_ZU", "dávat (v-w374f52_ZU) - substituted with v-w374f78_ZU")</f>
        <v>dávat (v-w374f52_ZU) - substituted with v-w374f78_ZU</v>
      </c>
    </row>
    <row r="7524" customFormat="false" ht="12.8" hidden="false" customHeight="false" outlineLevel="0" collapsed="false">
      <c r="B7524" s="0" t="s">
        <v>7</v>
      </c>
      <c r="C7524" s="0" t="s">
        <v>3273</v>
      </c>
    </row>
    <row r="7525" customFormat="false" ht="12.8" hidden="false" customHeight="false" outlineLevel="0" collapsed="false">
      <c r="B7525" s="0" t="s">
        <v>3270</v>
      </c>
      <c r="C7525" s="0" t="s">
        <v>3274</v>
      </c>
    </row>
    <row r="7526" customFormat="false" ht="12.8" hidden="false" customHeight="false" outlineLevel="0" collapsed="false">
      <c r="B7526" s="0" t="s">
        <v>48</v>
      </c>
      <c r="C7526" s="0" t="s">
        <v>3275</v>
      </c>
    </row>
    <row r="7528" customFormat="false" ht="12.8" hidden="false" customHeight="false" outlineLevel="0" collapsed="false">
      <c r="A7528" s="0" t="s">
        <v>3269</v>
      </c>
      <c r="B7528" s="0" t="str">
        <f aca="false">HYPERLINK("https://lindat.mff.cuni.cz/services/teitok/pdtc10/index.php?action=vallex&amp;frame=v-w374f57_ZU", "dávat (v-w374f57_ZU) - substituted with v-w374f78_ZU")</f>
        <v>dávat (v-w374f57_ZU) - substituted with v-w374f78_ZU</v>
      </c>
    </row>
    <row r="7529" customFormat="false" ht="12.8" hidden="false" customHeight="false" outlineLevel="0" collapsed="false">
      <c r="B7529" s="0" t="s">
        <v>7</v>
      </c>
    </row>
    <row r="7530" customFormat="false" ht="12.8" hidden="false" customHeight="false" outlineLevel="0" collapsed="false">
      <c r="B7530" s="0" t="s">
        <v>3270</v>
      </c>
    </row>
    <row r="7531" customFormat="false" ht="12.8" hidden="false" customHeight="false" outlineLevel="0" collapsed="false">
      <c r="B7531" s="0" t="s">
        <v>48</v>
      </c>
    </row>
    <row r="7533" customFormat="false" ht="12.8" hidden="false" customHeight="false" outlineLevel="0" collapsed="false">
      <c r="A7533" s="0" t="s">
        <v>3269</v>
      </c>
      <c r="B7533" s="0" t="str">
        <f aca="false">HYPERLINK("https://lindat.mff.cuni.cz/services/teitok/pdtc10/index.php?action=vallex&amp;frame=v-w374f58_ZU", "dávat (v-w374f58_ZU) - substituted with v-w374f78_ZU")</f>
        <v>dávat (v-w374f58_ZU) - substituted with v-w374f78_ZU</v>
      </c>
    </row>
    <row r="7534" customFormat="false" ht="12.8" hidden="false" customHeight="false" outlineLevel="0" collapsed="false">
      <c r="B7534" s="0" t="s">
        <v>7</v>
      </c>
    </row>
    <row r="7535" customFormat="false" ht="12.8" hidden="false" customHeight="false" outlineLevel="0" collapsed="false">
      <c r="B7535" s="0" t="s">
        <v>3270</v>
      </c>
    </row>
    <row r="7536" customFormat="false" ht="12.8" hidden="false" customHeight="false" outlineLevel="0" collapsed="false">
      <c r="B7536" s="0" t="s">
        <v>48</v>
      </c>
    </row>
    <row r="7538" customFormat="false" ht="12.8" hidden="false" customHeight="false" outlineLevel="0" collapsed="false">
      <c r="A7538" s="0" t="s">
        <v>3269</v>
      </c>
      <c r="B7538" s="0" t="str">
        <f aca="false">HYPERLINK("https://lindat.mff.cuni.cz/services/teitok/pdtc10/index.php?action=vallex&amp;frame=v-w374f59_ZU", "dávat (v-w374f59_ZU) - substituted with v-w374f78_ZU")</f>
        <v>dávat (v-w374f59_ZU) - substituted with v-w374f78_ZU</v>
      </c>
    </row>
    <row r="7539" customFormat="false" ht="12.8" hidden="false" customHeight="false" outlineLevel="0" collapsed="false">
      <c r="B7539" s="0" t="s">
        <v>7</v>
      </c>
      <c r="C7539" s="0" t="s">
        <v>1386</v>
      </c>
    </row>
    <row r="7540" customFormat="false" ht="12.8" hidden="false" customHeight="false" outlineLevel="0" collapsed="false">
      <c r="B7540" s="0" t="s">
        <v>3270</v>
      </c>
      <c r="C7540" s="0" t="s">
        <v>3016</v>
      </c>
    </row>
    <row r="7541" customFormat="false" ht="12.8" hidden="false" customHeight="false" outlineLevel="0" collapsed="false">
      <c r="B7541" s="0" t="s">
        <v>48</v>
      </c>
      <c r="C7541" s="0" t="s">
        <v>3018</v>
      </c>
    </row>
    <row r="7543" customFormat="false" ht="12.8" hidden="false" customHeight="false" outlineLevel="0" collapsed="false">
      <c r="A7543" s="0" t="s">
        <v>3269</v>
      </c>
      <c r="B7543" s="0" t="str">
        <f aca="false">HYPERLINK("https://lindat.mff.cuni.cz/services/teitok/pdtc10/index.php?action=vallex&amp;frame=v-w374f60_ZU", "dávat (v-w374f60_ZU) - substituted with v-w374f78_ZU")</f>
        <v>dávat (v-w374f60_ZU) - substituted with v-w374f78_ZU</v>
      </c>
    </row>
    <row r="7544" customFormat="false" ht="12.8" hidden="false" customHeight="false" outlineLevel="0" collapsed="false">
      <c r="B7544" s="0" t="s">
        <v>7</v>
      </c>
      <c r="C7544" s="0" t="s">
        <v>1386</v>
      </c>
    </row>
    <row r="7545" customFormat="false" ht="12.8" hidden="false" customHeight="false" outlineLevel="0" collapsed="false">
      <c r="B7545" s="0" t="s">
        <v>3270</v>
      </c>
      <c r="C7545" s="0" t="s">
        <v>3016</v>
      </c>
    </row>
    <row r="7546" customFormat="false" ht="12.8" hidden="false" customHeight="false" outlineLevel="0" collapsed="false">
      <c r="B7546" s="0" t="s">
        <v>48</v>
      </c>
      <c r="C7546" s="0" t="s">
        <v>3018</v>
      </c>
    </row>
    <row r="7548" customFormat="false" ht="12.8" hidden="false" customHeight="false" outlineLevel="0" collapsed="false">
      <c r="A7548" s="0" t="s">
        <v>3269</v>
      </c>
      <c r="B7548" s="0" t="str">
        <f aca="false">HYPERLINK("https://lindat.mff.cuni.cz/services/teitok/pdtc10/index.php?action=vallex&amp;frame=v-w374f61_ZU", "dávat (v-w374f61_ZU) - substituted with v-w374f78_ZU")</f>
        <v>dávat (v-w374f61_ZU) - substituted with v-w374f78_ZU</v>
      </c>
    </row>
    <row r="7549" customFormat="false" ht="12.8" hidden="false" customHeight="false" outlineLevel="0" collapsed="false">
      <c r="B7549" s="0" t="s">
        <v>7</v>
      </c>
      <c r="C7549" s="0" t="s">
        <v>1386</v>
      </c>
    </row>
    <row r="7550" customFormat="false" ht="12.8" hidden="false" customHeight="false" outlineLevel="0" collapsed="false">
      <c r="B7550" s="0" t="s">
        <v>3270</v>
      </c>
      <c r="C7550" s="0" t="s">
        <v>3016</v>
      </c>
    </row>
    <row r="7551" customFormat="false" ht="12.8" hidden="false" customHeight="false" outlineLevel="0" collapsed="false">
      <c r="B7551" s="0" t="s">
        <v>48</v>
      </c>
      <c r="C7551" s="0" t="s">
        <v>3018</v>
      </c>
    </row>
    <row r="7553" customFormat="false" ht="12.8" hidden="false" customHeight="false" outlineLevel="0" collapsed="false">
      <c r="A7553" s="0" t="s">
        <v>3269</v>
      </c>
      <c r="B7553" s="0" t="str">
        <f aca="false">HYPERLINK("https://lindat.mff.cuni.cz/services/teitok/pdtc10/index.php?action=vallex&amp;frame=v-w374f66_ZU", "dávat (v-w374f66_ZU) - substituted with v-w374f78_ZU")</f>
        <v>dávat (v-w374f66_ZU) - substituted with v-w374f78_ZU</v>
      </c>
    </row>
    <row r="7554" customFormat="false" ht="12.8" hidden="false" customHeight="false" outlineLevel="0" collapsed="false">
      <c r="B7554" s="0" t="s">
        <v>7</v>
      </c>
    </row>
    <row r="7555" customFormat="false" ht="12.8" hidden="false" customHeight="false" outlineLevel="0" collapsed="false">
      <c r="B7555" s="0" t="s">
        <v>3270</v>
      </c>
    </row>
    <row r="7556" customFormat="false" ht="12.8" hidden="false" customHeight="false" outlineLevel="0" collapsed="false">
      <c r="B7556" s="0" t="s">
        <v>48</v>
      </c>
    </row>
    <row r="7558" customFormat="false" ht="12.8" hidden="false" customHeight="false" outlineLevel="0" collapsed="false">
      <c r="A7558" s="0" t="s">
        <v>3269</v>
      </c>
      <c r="B7558" s="0" t="str">
        <f aca="false">HYPERLINK("https://lindat.mff.cuni.cz/services/teitok/pdtc10/index.php?action=vallex&amp;frame=v-w374f68_ZU", "dávat (v-w374f68_ZU) - substituted with v-w374f78_ZU")</f>
        <v>dávat (v-w374f68_ZU) - substituted with v-w374f78_ZU</v>
      </c>
    </row>
    <row r="7559" customFormat="false" ht="12.8" hidden="false" customHeight="false" outlineLevel="0" collapsed="false">
      <c r="B7559" s="0" t="s">
        <v>7</v>
      </c>
      <c r="C7559" s="0" t="s">
        <v>2988</v>
      </c>
      <c r="D7559" s="0" t="s">
        <v>3276</v>
      </c>
      <c r="E7559" s="0" t="s">
        <v>3276</v>
      </c>
      <c r="F7559" s="0" t="s">
        <v>3276</v>
      </c>
    </row>
    <row r="7560" customFormat="false" ht="12.8" hidden="false" customHeight="false" outlineLevel="0" collapsed="false">
      <c r="B7560" s="0" t="s">
        <v>3270</v>
      </c>
      <c r="C7560" s="0" t="s">
        <v>3041</v>
      </c>
      <c r="D7560" s="0" t="s">
        <v>3277</v>
      </c>
      <c r="E7560" s="0" t="s">
        <v>3277</v>
      </c>
      <c r="F7560" s="0" t="s">
        <v>3277</v>
      </c>
    </row>
    <row r="7561" customFormat="false" ht="12.8" hidden="false" customHeight="false" outlineLevel="0" collapsed="false">
      <c r="B7561" s="0" t="s">
        <v>48</v>
      </c>
      <c r="C7561" s="0" t="s">
        <v>3039</v>
      </c>
      <c r="D7561" s="0" t="s">
        <v>3278</v>
      </c>
      <c r="E7561" s="0" t="s">
        <v>3278</v>
      </c>
      <c r="F7561" s="0" t="s">
        <v>3278</v>
      </c>
    </row>
    <row r="7563" customFormat="false" ht="12.8" hidden="false" customHeight="false" outlineLevel="0" collapsed="false">
      <c r="A7563" s="0" t="s">
        <v>3269</v>
      </c>
      <c r="B7563" s="0" t="str">
        <f aca="false">HYPERLINK("https://lindat.mff.cuni.cz/services/teitok/pdtc10/index.php?action=vallex&amp;frame=v-w374f71_ZU", "dávat (v-w374f71_ZU) - substituted with v-w374f78_ZU")</f>
        <v>dávat (v-w374f71_ZU) - substituted with v-w374f78_ZU</v>
      </c>
    </row>
    <row r="7564" customFormat="false" ht="12.8" hidden="false" customHeight="false" outlineLevel="0" collapsed="false">
      <c r="B7564" s="0" t="s">
        <v>7</v>
      </c>
    </row>
    <row r="7565" customFormat="false" ht="12.8" hidden="false" customHeight="false" outlineLevel="0" collapsed="false">
      <c r="B7565" s="0" t="s">
        <v>3270</v>
      </c>
    </row>
    <row r="7566" customFormat="false" ht="12.8" hidden="false" customHeight="false" outlineLevel="0" collapsed="false">
      <c r="B7566" s="0" t="s">
        <v>48</v>
      </c>
    </row>
    <row r="7568" customFormat="false" ht="12.8" hidden="false" customHeight="false" outlineLevel="0" collapsed="false">
      <c r="A7568" s="0" t="s">
        <v>3269</v>
      </c>
      <c r="B7568" s="0" t="str">
        <f aca="false">HYPERLINK("https://lindat.mff.cuni.cz/services/teitok/pdtc10/index.php?action=vallex&amp;frame=v-w374hsa_12", "dávat (v-w374hsa_12) - substituted with v-w374f78_ZU")</f>
        <v>dávat (v-w374hsa_12) - substituted with v-w374f78_ZU</v>
      </c>
    </row>
    <row r="7569" customFormat="false" ht="12.8" hidden="false" customHeight="false" outlineLevel="0" collapsed="false">
      <c r="B7569" s="0" t="s">
        <v>7</v>
      </c>
    </row>
    <row r="7570" customFormat="false" ht="12.8" hidden="false" customHeight="false" outlineLevel="0" collapsed="false">
      <c r="B7570" s="0" t="s">
        <v>3270</v>
      </c>
    </row>
    <row r="7571" customFormat="false" ht="12.8" hidden="false" customHeight="false" outlineLevel="0" collapsed="false">
      <c r="B7571" s="0" t="s">
        <v>48</v>
      </c>
    </row>
    <row r="7573" customFormat="false" ht="12.8" hidden="false" customHeight="false" outlineLevel="0" collapsed="false">
      <c r="A7573" s="0" t="s">
        <v>3269</v>
      </c>
      <c r="B7573" s="0" t="str">
        <f aca="false">HYPERLINK("https://lindat.mff.cuni.cz/services/teitok/pdtc10/index.php?action=vallex&amp;frame=v-w374hsa_13", "dávat (v-w374hsa_13) - substituted with v-w374f78_ZU")</f>
        <v>dávat (v-w374hsa_13) - substituted with v-w374f78_ZU</v>
      </c>
    </row>
    <row r="7574" customFormat="false" ht="12.8" hidden="false" customHeight="false" outlineLevel="0" collapsed="false">
      <c r="B7574" s="0" t="s">
        <v>7</v>
      </c>
      <c r="C7574" s="0" t="s">
        <v>3279</v>
      </c>
    </row>
    <row r="7575" customFormat="false" ht="12.8" hidden="false" customHeight="false" outlineLevel="0" collapsed="false">
      <c r="B7575" s="0" t="s">
        <v>3270</v>
      </c>
      <c r="C7575" s="0" t="s">
        <v>3280</v>
      </c>
    </row>
    <row r="7576" customFormat="false" ht="12.8" hidden="false" customHeight="false" outlineLevel="0" collapsed="false">
      <c r="B7576" s="0" t="s">
        <v>48</v>
      </c>
    </row>
    <row r="7578" customFormat="false" ht="12.8" hidden="false" customHeight="false" outlineLevel="0" collapsed="false">
      <c r="A7578" s="0" t="s">
        <v>3269</v>
      </c>
      <c r="B7578" s="0" t="str">
        <f aca="false">HYPERLINK("https://lindat.mff.cuni.cz/services/teitok/pdtc10/index.php?action=vallex&amp;frame=v-w374hsa_20", "dávat (v-w374hsa_20) - substituted with v-w374f78_ZU")</f>
        <v>dávat (v-w374hsa_20) - substituted with v-w374f78_ZU</v>
      </c>
    </row>
    <row r="7579" customFormat="false" ht="12.8" hidden="false" customHeight="false" outlineLevel="0" collapsed="false">
      <c r="B7579" s="0" t="s">
        <v>7</v>
      </c>
    </row>
    <row r="7580" customFormat="false" ht="12.8" hidden="false" customHeight="false" outlineLevel="0" collapsed="false">
      <c r="B7580" s="0" t="s">
        <v>3270</v>
      </c>
    </row>
    <row r="7581" customFormat="false" ht="12.8" hidden="false" customHeight="false" outlineLevel="0" collapsed="false">
      <c r="B7581" s="0" t="s">
        <v>48</v>
      </c>
    </row>
    <row r="7583" customFormat="false" ht="12.8" hidden="false" customHeight="false" outlineLevel="0" collapsed="false">
      <c r="A7583" s="0" t="s">
        <v>3281</v>
      </c>
      <c r="B7583" s="0" t="str">
        <f aca="false">HYPERLINK("https://lindat.mff.cuni.cz/services/teitok/pdtc10/index.php?action=vallex&amp;frame=v-w374f47_ZU", "dávat (v-w374f47_ZU)")</f>
        <v>dávat (v-w374f47_ZU)</v>
      </c>
    </row>
    <row r="7584" customFormat="false" ht="12.8" hidden="false" customHeight="false" outlineLevel="0" collapsed="false">
      <c r="B7584" s="0" t="s">
        <v>7</v>
      </c>
      <c r="D7584" s="0" t="s">
        <v>3282</v>
      </c>
      <c r="E7584" s="0" t="s">
        <v>3282</v>
      </c>
      <c r="F7584" s="0" t="s">
        <v>3282</v>
      </c>
    </row>
    <row r="7585" customFormat="false" ht="12.8" hidden="false" customHeight="false" outlineLevel="0" collapsed="false">
      <c r="B7585" s="0" t="s">
        <v>3283</v>
      </c>
    </row>
    <row r="7586" customFormat="false" ht="12.8" hidden="false" customHeight="false" outlineLevel="0" collapsed="false">
      <c r="B7586" s="0" t="s">
        <v>48</v>
      </c>
      <c r="D7586" s="0" t="s">
        <v>3284</v>
      </c>
      <c r="E7586" s="0" t="s">
        <v>3284</v>
      </c>
      <c r="F7586" s="0" t="s">
        <v>3284</v>
      </c>
    </row>
    <row r="7588" customFormat="false" ht="12.8" hidden="false" customHeight="false" outlineLevel="0" collapsed="false">
      <c r="A7588" s="0" t="s">
        <v>3285</v>
      </c>
      <c r="B7588" s="0" t="str">
        <f aca="false">HYPERLINK("https://lindat.mff.cuni.cz/services/teitok/pdtc10/index.php?action=vallex&amp;frame=v-w374f42_ZU", "dávat (v-w374f42_ZU)")</f>
        <v>dávat (v-w374f42_ZU)</v>
      </c>
    </row>
    <row r="7589" customFormat="false" ht="12.8" hidden="false" customHeight="false" outlineLevel="0" collapsed="false">
      <c r="B7589" s="0" t="s">
        <v>7</v>
      </c>
      <c r="D7589" s="0" t="s">
        <v>428</v>
      </c>
      <c r="E7589" s="0" t="s">
        <v>428</v>
      </c>
      <c r="F7589" s="0" t="s">
        <v>428</v>
      </c>
    </row>
    <row r="7590" customFormat="false" ht="12.8" hidden="false" customHeight="false" outlineLevel="0" collapsed="false">
      <c r="B7590" s="0" t="s">
        <v>3286</v>
      </c>
      <c r="D7590" s="0" t="s">
        <v>3287</v>
      </c>
      <c r="E7590" s="0" t="s">
        <v>3287</v>
      </c>
      <c r="F7590" s="0" t="s">
        <v>3287</v>
      </c>
    </row>
    <row r="7591" customFormat="false" ht="12.8" hidden="false" customHeight="false" outlineLevel="0" collapsed="false">
      <c r="B7591" s="0" t="s">
        <v>48</v>
      </c>
      <c r="D7591" s="0" t="s">
        <v>3288</v>
      </c>
      <c r="E7591" s="0" t="s">
        <v>3288</v>
      </c>
      <c r="F7591" s="0" t="s">
        <v>3288</v>
      </c>
    </row>
    <row r="7593" customFormat="false" ht="12.8" hidden="false" customHeight="false" outlineLevel="0" collapsed="false">
      <c r="A7593" s="0" t="s">
        <v>3289</v>
      </c>
      <c r="B7593" s="0" t="str">
        <f aca="false">HYPERLINK("https://lindat.mff.cuni.cz/services/teitok/pdtc10/index.php?action=vallex&amp;frame=v-w374f32", "dávat (v-w374f32)")</f>
        <v>dávat (v-w374f32)</v>
      </c>
    </row>
    <row r="7594" customFormat="false" ht="12.8" hidden="false" customHeight="false" outlineLevel="0" collapsed="false">
      <c r="B7594" s="0" t="s">
        <v>7</v>
      </c>
    </row>
    <row r="7595" customFormat="false" ht="12.8" hidden="false" customHeight="false" outlineLevel="0" collapsed="false">
      <c r="B7595" s="0" t="s">
        <v>3059</v>
      </c>
    </row>
    <row r="7596" customFormat="false" ht="12.8" hidden="false" customHeight="false" outlineLevel="0" collapsed="false">
      <c r="B7596" s="0" t="s">
        <v>11</v>
      </c>
    </row>
    <row r="7598" customFormat="false" ht="12.8" hidden="false" customHeight="false" outlineLevel="0" collapsed="false">
      <c r="A7598" s="0" t="s">
        <v>3290</v>
      </c>
      <c r="B7598" s="0" t="str">
        <f aca="false">HYPERLINK("https://lindat.mff.cuni.cz/services/teitok/pdtc10/index.php?action=vallex&amp;frame=v-w374f33", "dávat (v-w374f33)")</f>
        <v>dávat (v-w374f33)</v>
      </c>
    </row>
    <row r="7599" customFormat="false" ht="12.8" hidden="false" customHeight="false" outlineLevel="0" collapsed="false">
      <c r="B7599" s="0" t="s">
        <v>7</v>
      </c>
    </row>
    <row r="7600" customFormat="false" ht="12.8" hidden="false" customHeight="false" outlineLevel="0" collapsed="false">
      <c r="B7600" s="0" t="s">
        <v>3059</v>
      </c>
    </row>
    <row r="7601" customFormat="false" ht="12.8" hidden="false" customHeight="false" outlineLevel="0" collapsed="false">
      <c r="B7601" s="0" t="s">
        <v>124</v>
      </c>
    </row>
    <row r="7603" customFormat="false" ht="12.8" hidden="false" customHeight="false" outlineLevel="0" collapsed="false">
      <c r="A7603" s="0" t="s">
        <v>3291</v>
      </c>
      <c r="B7603" s="0" t="str">
        <f aca="false">HYPERLINK("https://lindat.mff.cuni.cz/services/teitok/pdtc10/index.php?action=vallex&amp;frame=v-w374f19", "dávat (v-w374f19)")</f>
        <v>dávat (v-w374f19)</v>
      </c>
    </row>
    <row r="7604" customFormat="false" ht="12.8" hidden="false" customHeight="false" outlineLevel="0" collapsed="false">
      <c r="B7604" s="0" t="s">
        <v>7</v>
      </c>
    </row>
    <row r="7605" customFormat="false" ht="12.8" hidden="false" customHeight="false" outlineLevel="0" collapsed="false">
      <c r="B7605" s="0" t="s">
        <v>3063</v>
      </c>
    </row>
    <row r="7607" customFormat="false" ht="12.8" hidden="false" customHeight="false" outlineLevel="0" collapsed="false">
      <c r="A7607" s="0" t="s">
        <v>3292</v>
      </c>
      <c r="B7607" s="0" t="str">
        <f aca="false">HYPERLINK("https://lindat.mff.cuni.cz/services/teitok/pdtc10/index.php?action=vallex&amp;frame=v-w374f24", "dávat (v-w374f24)")</f>
        <v>dávat (v-w374f24)</v>
      </c>
    </row>
    <row r="7608" customFormat="false" ht="12.8" hidden="false" customHeight="false" outlineLevel="0" collapsed="false">
      <c r="B7608" s="0" t="s">
        <v>7</v>
      </c>
      <c r="C7608" s="0" t="s">
        <v>3293</v>
      </c>
      <c r="D7608" s="0" t="s">
        <v>3294</v>
      </c>
      <c r="E7608" s="0" t="s">
        <v>3294</v>
      </c>
      <c r="F7608" s="0" t="s">
        <v>3294</v>
      </c>
    </row>
    <row r="7609" customFormat="false" ht="12.8" hidden="false" customHeight="false" outlineLevel="0" collapsed="false">
      <c r="B7609" s="0" t="s">
        <v>777</v>
      </c>
      <c r="C7609" s="0" t="s">
        <v>3068</v>
      </c>
    </row>
    <row r="7610" customFormat="false" ht="12.8" hidden="false" customHeight="false" outlineLevel="0" collapsed="false">
      <c r="B7610" s="0" t="s">
        <v>14</v>
      </c>
      <c r="C7610" s="0" t="s">
        <v>3295</v>
      </c>
      <c r="D7610" s="0" t="s">
        <v>3296</v>
      </c>
      <c r="E7610" s="0" t="s">
        <v>3296</v>
      </c>
      <c r="F7610" s="0" t="s">
        <v>3296</v>
      </c>
    </row>
    <row r="7611" customFormat="false" ht="12.8" hidden="false" customHeight="false" outlineLevel="0" collapsed="false">
      <c r="B7611" s="0" t="s">
        <v>48</v>
      </c>
      <c r="D7611" s="0" t="s">
        <v>3297</v>
      </c>
      <c r="E7611" s="0" t="s">
        <v>3297</v>
      </c>
      <c r="F7611" s="0" t="s">
        <v>3297</v>
      </c>
    </row>
    <row r="7613" customFormat="false" ht="12.8" hidden="false" customHeight="false" outlineLevel="0" collapsed="false">
      <c r="A7613" s="0" t="s">
        <v>3298</v>
      </c>
      <c r="B7613" s="0" t="str">
        <f aca="false">HYPERLINK("https://lindat.mff.cuni.cz/services/teitok/pdtc10/index.php?action=vallex&amp;frame=v-w374f20", "dávat (v-w374f20)")</f>
        <v>dávat (v-w374f20)</v>
      </c>
    </row>
    <row r="7614" customFormat="false" ht="12.8" hidden="false" customHeight="false" outlineLevel="0" collapsed="false">
      <c r="B7614" s="0" t="s">
        <v>7</v>
      </c>
    </row>
    <row r="7615" customFormat="false" ht="12.8" hidden="false" customHeight="false" outlineLevel="0" collapsed="false">
      <c r="B7615" s="0" t="s">
        <v>3072</v>
      </c>
    </row>
    <row r="7616" customFormat="false" ht="12.8" hidden="false" customHeight="false" outlineLevel="0" collapsed="false">
      <c r="B7616" s="0" t="s">
        <v>54</v>
      </c>
    </row>
    <row r="7617" customFormat="false" ht="12.8" hidden="false" customHeight="false" outlineLevel="0" collapsed="false">
      <c r="B7617" s="0" t="s">
        <v>48</v>
      </c>
    </row>
    <row r="7619" customFormat="false" ht="12.8" hidden="false" customHeight="false" outlineLevel="0" collapsed="false">
      <c r="A7619" s="0" t="s">
        <v>3299</v>
      </c>
      <c r="B7619" s="0" t="str">
        <f aca="false">HYPERLINK("https://lindat.mff.cuni.cz/services/teitok/pdtc10/index.php?action=vallex&amp;frame=v-w374f14", "dávat (v-w374f14)")</f>
        <v>dávat (v-w374f14)</v>
      </c>
    </row>
    <row r="7620" customFormat="false" ht="12.8" hidden="false" customHeight="false" outlineLevel="0" collapsed="false">
      <c r="B7620" s="0" t="s">
        <v>7</v>
      </c>
    </row>
    <row r="7621" customFormat="false" ht="12.8" hidden="false" customHeight="false" outlineLevel="0" collapsed="false">
      <c r="B7621" s="0" t="s">
        <v>510</v>
      </c>
    </row>
    <row r="7622" customFormat="false" ht="12.8" hidden="false" customHeight="false" outlineLevel="0" collapsed="false">
      <c r="B7622" s="0" t="s">
        <v>54</v>
      </c>
    </row>
    <row r="7623" customFormat="false" ht="12.8" hidden="false" customHeight="false" outlineLevel="0" collapsed="false">
      <c r="B7623" s="0" t="s">
        <v>48</v>
      </c>
    </row>
    <row r="7625" customFormat="false" ht="12.8" hidden="false" customHeight="false" outlineLevel="0" collapsed="false">
      <c r="A7625" s="0" t="s">
        <v>3300</v>
      </c>
      <c r="B7625" s="0" t="str">
        <f aca="false">HYPERLINK("https://lindat.mff.cuni.cz/services/teitok/pdtc10/index.php?action=vallex&amp;frame=v-w374f6", "dávat (v-w374f6)")</f>
        <v>dávat (v-w374f6)</v>
      </c>
    </row>
    <row r="7626" customFormat="false" ht="12.8" hidden="false" customHeight="false" outlineLevel="0" collapsed="false">
      <c r="B7626" s="0" t="s">
        <v>7</v>
      </c>
      <c r="D7626" s="0" t="s">
        <v>164</v>
      </c>
      <c r="E7626" s="0" t="s">
        <v>164</v>
      </c>
      <c r="F7626" s="0" t="s">
        <v>164</v>
      </c>
    </row>
    <row r="7627" customFormat="false" ht="12.8" hidden="false" customHeight="false" outlineLevel="0" collapsed="false">
      <c r="B7627" s="0" t="s">
        <v>3077</v>
      </c>
    </row>
    <row r="7628" customFormat="false" ht="12.8" hidden="false" customHeight="false" outlineLevel="0" collapsed="false">
      <c r="B7628" s="0" t="s">
        <v>3079</v>
      </c>
      <c r="D7628" s="0" t="s">
        <v>167</v>
      </c>
      <c r="E7628" s="0" t="s">
        <v>167</v>
      </c>
      <c r="F7628" s="0" t="s">
        <v>167</v>
      </c>
    </row>
    <row r="7629" customFormat="false" ht="12.8" hidden="false" customHeight="false" outlineLevel="0" collapsed="false">
      <c r="B7629" s="0" t="s">
        <v>48</v>
      </c>
      <c r="D7629" s="0" t="s">
        <v>168</v>
      </c>
      <c r="E7629" s="0" t="s">
        <v>168</v>
      </c>
      <c r="F7629" s="0" t="s">
        <v>168</v>
      </c>
    </row>
    <row r="7631" customFormat="false" ht="12.8" hidden="false" customHeight="false" outlineLevel="0" collapsed="false">
      <c r="A7631" s="0" t="s">
        <v>3301</v>
      </c>
      <c r="B7631" s="0" t="str">
        <f aca="false">HYPERLINK("https://lindat.mff.cuni.cz/services/teitok/pdtc10/index.php?action=vallex&amp;frame=v-w374f25", "dávat (v-w374f25)")</f>
        <v>dávat (v-w374f25)</v>
      </c>
    </row>
    <row r="7632" customFormat="false" ht="12.8" hidden="false" customHeight="false" outlineLevel="0" collapsed="false">
      <c r="B7632" s="0" t="s">
        <v>7</v>
      </c>
    </row>
    <row r="7633" customFormat="false" ht="12.8" hidden="false" customHeight="false" outlineLevel="0" collapsed="false">
      <c r="B7633" s="0" t="s">
        <v>3123</v>
      </c>
    </row>
    <row r="7634" customFormat="false" ht="12.8" hidden="false" customHeight="false" outlineLevel="0" collapsed="false">
      <c r="B7634" s="0" t="s">
        <v>244</v>
      </c>
    </row>
    <row r="7635" customFormat="false" ht="12.8" hidden="false" customHeight="false" outlineLevel="0" collapsed="false">
      <c r="B7635" s="0" t="s">
        <v>48</v>
      </c>
    </row>
    <row r="7637" customFormat="false" ht="12.8" hidden="false" customHeight="false" outlineLevel="0" collapsed="false">
      <c r="A7637" s="0" t="s">
        <v>3302</v>
      </c>
      <c r="B7637" s="0" t="str">
        <f aca="false">HYPERLINK("https://lindat.mff.cuni.cz/services/teitok/pdtc10/index.php?action=vallex&amp;frame=v-w374f46_ZU", "dávat (v-w374f46_ZU)")</f>
        <v>dávat (v-w374f46_ZU)</v>
      </c>
    </row>
    <row r="7638" customFormat="false" ht="12.8" hidden="false" customHeight="false" outlineLevel="0" collapsed="false">
      <c r="B7638" s="0" t="s">
        <v>7</v>
      </c>
      <c r="C7638" s="0" t="s">
        <v>1874</v>
      </c>
      <c r="D7638" s="0" t="s">
        <v>3303</v>
      </c>
      <c r="E7638" s="0" t="s">
        <v>3303</v>
      </c>
      <c r="F7638" s="0" t="s">
        <v>3303</v>
      </c>
    </row>
    <row r="7639" customFormat="false" ht="12.8" hidden="false" customHeight="false" outlineLevel="0" collapsed="false">
      <c r="B7639" s="0" t="s">
        <v>3304</v>
      </c>
    </row>
    <row r="7640" customFormat="false" ht="12.8" hidden="false" customHeight="false" outlineLevel="0" collapsed="false">
      <c r="B7640" s="0" t="s">
        <v>54</v>
      </c>
      <c r="C7640" s="0" t="s">
        <v>3305</v>
      </c>
      <c r="D7640" s="0" t="s">
        <v>3306</v>
      </c>
      <c r="E7640" s="0" t="s">
        <v>3306</v>
      </c>
      <c r="F7640" s="0" t="s">
        <v>3306</v>
      </c>
    </row>
    <row r="7641" customFormat="false" ht="12.8" hidden="false" customHeight="false" outlineLevel="0" collapsed="false">
      <c r="B7641" s="0" t="s">
        <v>48</v>
      </c>
      <c r="C7641" s="0" t="s">
        <v>3307</v>
      </c>
      <c r="D7641" s="0" t="s">
        <v>3308</v>
      </c>
      <c r="E7641" s="0" t="s">
        <v>3308</v>
      </c>
      <c r="F7641" s="0" t="s">
        <v>3308</v>
      </c>
    </row>
    <row r="7643" customFormat="false" ht="12.8" hidden="false" customHeight="false" outlineLevel="0" collapsed="false">
      <c r="A7643" s="0" t="s">
        <v>3309</v>
      </c>
      <c r="B7643" s="0" t="str">
        <f aca="false">HYPERLINK("https://lindat.mff.cuni.cz/services/teitok/pdtc10/index.php?action=vallex&amp;frame=v-w374f22", "dávat (v-w374f22)")</f>
        <v>dávat (v-w374f22)</v>
      </c>
    </row>
    <row r="7644" customFormat="false" ht="12.8" hidden="false" customHeight="false" outlineLevel="0" collapsed="false">
      <c r="B7644" s="0" t="s">
        <v>7</v>
      </c>
      <c r="D7644" s="0" t="s">
        <v>77</v>
      </c>
      <c r="E7644" s="0" t="s">
        <v>77</v>
      </c>
      <c r="F7644" s="0" t="s">
        <v>77</v>
      </c>
    </row>
    <row r="7645" customFormat="false" ht="12.8" hidden="false" customHeight="false" outlineLevel="0" collapsed="false">
      <c r="B7645" s="0" t="s">
        <v>3088</v>
      </c>
    </row>
    <row r="7646" customFormat="false" ht="12.8" hidden="false" customHeight="false" outlineLevel="0" collapsed="false">
      <c r="B7646" s="0" t="s">
        <v>14</v>
      </c>
      <c r="D7646" s="0" t="s">
        <v>79</v>
      </c>
      <c r="E7646" s="0" t="s">
        <v>79</v>
      </c>
      <c r="F7646" s="0" t="s">
        <v>79</v>
      </c>
    </row>
    <row r="7648" customFormat="false" ht="12.8" hidden="false" customHeight="false" outlineLevel="0" collapsed="false">
      <c r="A7648" s="0" t="s">
        <v>3310</v>
      </c>
      <c r="B7648" s="0" t="str">
        <f aca="false">HYPERLINK("https://lindat.mff.cuni.cz/services/teitok/pdtc10/index.php?action=vallex&amp;frame=v-w374f64_ZU", "dávat (v-w374f64_ZU)")</f>
        <v>dávat (v-w374f64_ZU)</v>
      </c>
    </row>
    <row r="7649" customFormat="false" ht="12.8" hidden="false" customHeight="false" outlineLevel="0" collapsed="false">
      <c r="B7649" s="0" t="s">
        <v>7</v>
      </c>
      <c r="D7649" s="0" t="s">
        <v>108</v>
      </c>
      <c r="E7649" s="0" t="s">
        <v>108</v>
      </c>
      <c r="F7649" s="0" t="s">
        <v>108</v>
      </c>
    </row>
    <row r="7650" customFormat="false" ht="12.8" hidden="false" customHeight="false" outlineLevel="0" collapsed="false">
      <c r="B7650" s="0" t="s">
        <v>3093</v>
      </c>
    </row>
    <row r="7651" customFormat="false" ht="12.8" hidden="false" customHeight="false" outlineLevel="0" collapsed="false">
      <c r="B7651" s="0" t="s">
        <v>3311</v>
      </c>
      <c r="D7651" s="0" t="s">
        <v>3096</v>
      </c>
      <c r="E7651" s="0" t="s">
        <v>3096</v>
      </c>
      <c r="F7651" s="0" t="s">
        <v>3096</v>
      </c>
    </row>
    <row r="7653" customFormat="false" ht="12.8" hidden="false" customHeight="false" outlineLevel="0" collapsed="false">
      <c r="A7653" s="0" t="s">
        <v>3310</v>
      </c>
      <c r="B7653" s="0" t="str">
        <f aca="false">HYPERLINK("https://lindat.mff.cuni.cz/services/teitok/pdtc10/index.php?action=vallex&amp;frame=v-w374f13", "dávat (v-w374f13) - substituted with v-w374f64_ZU")</f>
        <v>dávat (v-w374f13) - substituted with v-w374f64_ZU</v>
      </c>
    </row>
    <row r="7654" customFormat="false" ht="12.8" hidden="false" customHeight="false" outlineLevel="0" collapsed="false">
      <c r="B7654" s="0" t="s">
        <v>7</v>
      </c>
      <c r="C7654" s="0" t="s">
        <v>88</v>
      </c>
    </row>
    <row r="7655" customFormat="false" ht="12.8" hidden="false" customHeight="false" outlineLevel="0" collapsed="false">
      <c r="B7655" s="0" t="s">
        <v>3093</v>
      </c>
      <c r="C7655" s="0" t="s">
        <v>3312</v>
      </c>
    </row>
    <row r="7656" customFormat="false" ht="12.8" hidden="false" customHeight="false" outlineLevel="0" collapsed="false">
      <c r="B7656" s="0" t="s">
        <v>3311</v>
      </c>
      <c r="C7656" s="0" t="s">
        <v>3313</v>
      </c>
    </row>
    <row r="7658" customFormat="false" ht="12.8" hidden="false" customHeight="false" outlineLevel="0" collapsed="false">
      <c r="A7658" s="0" t="s">
        <v>3310</v>
      </c>
      <c r="B7658" s="0" t="str">
        <f aca="false">HYPERLINK("https://lindat.mff.cuni.cz/services/teitok/pdtc10/index.php?action=vallex&amp;frame=v-w374f63_ZU", "dávat (v-w374f63_ZU) - substituted with v-w374f64_ZU")</f>
        <v>dávat (v-w374f63_ZU) - substituted with v-w374f64_ZU</v>
      </c>
    </row>
    <row r="7659" customFormat="false" ht="12.8" hidden="false" customHeight="false" outlineLevel="0" collapsed="false">
      <c r="B7659" s="0" t="s">
        <v>7</v>
      </c>
    </row>
    <row r="7660" customFormat="false" ht="12.8" hidden="false" customHeight="false" outlineLevel="0" collapsed="false">
      <c r="B7660" s="0" t="s">
        <v>3093</v>
      </c>
    </row>
    <row r="7661" customFormat="false" ht="12.8" hidden="false" customHeight="false" outlineLevel="0" collapsed="false">
      <c r="B7661" s="0" t="s">
        <v>3311</v>
      </c>
    </row>
    <row r="7663" customFormat="false" ht="12.8" hidden="false" customHeight="false" outlineLevel="0" collapsed="false">
      <c r="A7663" s="0" t="s">
        <v>3314</v>
      </c>
      <c r="B7663" s="0" t="str">
        <f aca="false">HYPERLINK("https://lindat.mff.cuni.cz/services/teitok/pdtc10/index.php?action=vallex&amp;frame=v-w374f39", "dávat (v-w374f39)")</f>
        <v>dávat (v-w374f39)</v>
      </c>
    </row>
    <row r="7664" customFormat="false" ht="12.8" hidden="false" customHeight="false" outlineLevel="0" collapsed="false">
      <c r="B7664" s="0" t="s">
        <v>7</v>
      </c>
    </row>
    <row r="7665" customFormat="false" ht="12.8" hidden="false" customHeight="false" outlineLevel="0" collapsed="false">
      <c r="B7665" s="0" t="s">
        <v>3315</v>
      </c>
    </row>
    <row r="7666" customFormat="false" ht="12.8" hidden="false" customHeight="false" outlineLevel="0" collapsed="false">
      <c r="B7666" s="0" t="s">
        <v>142</v>
      </c>
    </row>
    <row r="7668" customFormat="false" ht="12.8" hidden="false" customHeight="false" outlineLevel="0" collapsed="false">
      <c r="A7668" s="0" t="s">
        <v>3316</v>
      </c>
      <c r="B7668" s="0" t="str">
        <f aca="false">HYPERLINK("https://lindat.mff.cuni.cz/services/teitok/pdtc10/index.php?action=vallex&amp;frame=v-w374f21", "dávat (v-w374f21)")</f>
        <v>dávat (v-w374f21)</v>
      </c>
    </row>
    <row r="7669" customFormat="false" ht="12.8" hidden="false" customHeight="false" outlineLevel="0" collapsed="false">
      <c r="B7669" s="0" t="s">
        <v>7</v>
      </c>
    </row>
    <row r="7670" customFormat="false" ht="12.8" hidden="false" customHeight="false" outlineLevel="0" collapsed="false">
      <c r="B7670" s="0" t="s">
        <v>3317</v>
      </c>
    </row>
    <row r="7671" customFormat="false" ht="12.8" hidden="false" customHeight="false" outlineLevel="0" collapsed="false">
      <c r="B7671" s="0" t="s">
        <v>142</v>
      </c>
    </row>
    <row r="7673" customFormat="false" ht="12.8" hidden="false" customHeight="false" outlineLevel="0" collapsed="false">
      <c r="A7673" s="0" t="s">
        <v>3318</v>
      </c>
      <c r="B7673" s="0" t="str">
        <f aca="false">HYPERLINK("https://lindat.mff.cuni.cz/services/teitok/pdtc10/index.php?action=vallex&amp;frame=v-w374f26", "dávat (v-w374f26)")</f>
        <v>dávat (v-w374f26)</v>
      </c>
    </row>
    <row r="7674" customFormat="false" ht="12.8" hidden="false" customHeight="false" outlineLevel="0" collapsed="false">
      <c r="B7674" s="0" t="s">
        <v>7</v>
      </c>
    </row>
    <row r="7675" customFormat="false" ht="12.8" hidden="false" customHeight="false" outlineLevel="0" collapsed="false">
      <c r="B7675" s="0" t="s">
        <v>3319</v>
      </c>
    </row>
    <row r="7676" customFormat="false" ht="12.8" hidden="false" customHeight="false" outlineLevel="0" collapsed="false">
      <c r="B7676" s="0" t="s">
        <v>142</v>
      </c>
    </row>
    <row r="7678" customFormat="false" ht="12.8" hidden="false" customHeight="false" outlineLevel="0" collapsed="false">
      <c r="A7678" s="0" t="s">
        <v>3320</v>
      </c>
      <c r="B7678" s="0" t="str">
        <f aca="false">HYPERLINK("https://lindat.mff.cuni.cz/services/teitok/pdtc10/index.php?action=vallex&amp;frame=v-w374f45_ZU", "dávat (v-w374f45_ZU)")</f>
        <v>dávat (v-w374f45_ZU)</v>
      </c>
    </row>
    <row r="7679" customFormat="false" ht="12.8" hidden="false" customHeight="false" outlineLevel="0" collapsed="false">
      <c r="B7679" s="0" t="s">
        <v>7</v>
      </c>
    </row>
    <row r="7680" customFormat="false" ht="12.8" hidden="false" customHeight="false" outlineLevel="0" collapsed="false">
      <c r="B7680" s="0" t="s">
        <v>2370</v>
      </c>
    </row>
    <row r="7681" customFormat="false" ht="12.8" hidden="false" customHeight="false" outlineLevel="0" collapsed="false">
      <c r="B7681" s="0" t="s">
        <v>142</v>
      </c>
    </row>
    <row r="7683" customFormat="false" ht="12.8" hidden="false" customHeight="false" outlineLevel="0" collapsed="false">
      <c r="A7683" s="0" t="s">
        <v>3321</v>
      </c>
      <c r="B7683" s="0" t="str">
        <f aca="false">HYPERLINK("https://lindat.mff.cuni.cz/services/teitok/pdtc10/index.php?action=vallex&amp;frame=v-w374f11", "dávat (v-w374f11)")</f>
        <v>dávat (v-w374f11)</v>
      </c>
    </row>
    <row r="7684" customFormat="false" ht="12.8" hidden="false" customHeight="false" outlineLevel="0" collapsed="false">
      <c r="B7684" s="0" t="s">
        <v>7</v>
      </c>
      <c r="C7684" s="0" t="s">
        <v>191</v>
      </c>
      <c r="D7684" s="0" t="s">
        <v>3322</v>
      </c>
      <c r="E7684" s="0" t="s">
        <v>3322</v>
      </c>
      <c r="F7684" s="0" t="s">
        <v>3322</v>
      </c>
    </row>
    <row r="7685" customFormat="false" ht="12.8" hidden="false" customHeight="false" outlineLevel="0" collapsed="false">
      <c r="B7685" s="0" t="s">
        <v>3120</v>
      </c>
    </row>
    <row r="7686" customFormat="false" ht="12.8" hidden="false" customHeight="false" outlineLevel="0" collapsed="false">
      <c r="B7686" s="0" t="s">
        <v>48</v>
      </c>
      <c r="C7686" s="0" t="s">
        <v>3323</v>
      </c>
      <c r="D7686" s="0" t="s">
        <v>3324</v>
      </c>
      <c r="E7686" s="0" t="s">
        <v>3324</v>
      </c>
      <c r="F7686" s="0" t="s">
        <v>3324</v>
      </c>
    </row>
    <row r="7687" customFormat="false" ht="12.8" hidden="false" customHeight="false" outlineLevel="0" collapsed="false">
      <c r="B7687" s="0" t="s">
        <v>745</v>
      </c>
      <c r="D7687" s="0" t="s">
        <v>3325</v>
      </c>
      <c r="E7687" s="0" t="s">
        <v>3325</v>
      </c>
      <c r="F7687" s="0" t="s">
        <v>3325</v>
      </c>
    </row>
    <row r="7689" customFormat="false" ht="12.8" hidden="false" customHeight="false" outlineLevel="0" collapsed="false">
      <c r="A7689" s="0" t="s">
        <v>3326</v>
      </c>
      <c r="B7689" s="0" t="str">
        <f aca="false">HYPERLINK("https://lindat.mff.cuni.cz/services/teitok/pdtc10/index.php?action=vallex&amp;frame=v-w374f16", "dávat (v-w374f16)")</f>
        <v>dávat (v-w374f16)</v>
      </c>
    </row>
    <row r="7690" customFormat="false" ht="12.8" hidden="false" customHeight="false" outlineLevel="0" collapsed="false">
      <c r="B7690" s="0" t="s">
        <v>7</v>
      </c>
      <c r="D7690" s="0" t="s">
        <v>164</v>
      </c>
      <c r="E7690" s="0" t="s">
        <v>164</v>
      </c>
      <c r="F7690" s="0" t="s">
        <v>164</v>
      </c>
    </row>
    <row r="7691" customFormat="false" ht="12.8" hidden="false" customHeight="false" outlineLevel="0" collapsed="false">
      <c r="B7691" s="0" t="s">
        <v>3123</v>
      </c>
    </row>
    <row r="7692" customFormat="false" ht="12.8" hidden="false" customHeight="false" outlineLevel="0" collapsed="false">
      <c r="B7692" s="0" t="s">
        <v>48</v>
      </c>
      <c r="D7692" s="0" t="s">
        <v>168</v>
      </c>
      <c r="E7692" s="0" t="s">
        <v>168</v>
      </c>
      <c r="F7692" s="0" t="s">
        <v>168</v>
      </c>
    </row>
    <row r="7693" customFormat="false" ht="12.8" hidden="false" customHeight="false" outlineLevel="0" collapsed="false">
      <c r="B7693" s="0" t="s">
        <v>1925</v>
      </c>
      <c r="D7693" s="0" t="s">
        <v>1766</v>
      </c>
      <c r="E7693" s="0" t="s">
        <v>1766</v>
      </c>
      <c r="F7693" s="0" t="s">
        <v>1766</v>
      </c>
    </row>
    <row r="7694" customFormat="false" ht="12.8" hidden="false" customHeight="false" outlineLevel="0" collapsed="false">
      <c r="B7694" s="0" t="s">
        <v>363</v>
      </c>
      <c r="D7694" s="0" t="s">
        <v>167</v>
      </c>
      <c r="E7694" s="0" t="s">
        <v>167</v>
      </c>
      <c r="F7694" s="0" t="s">
        <v>167</v>
      </c>
    </row>
    <row r="7696" customFormat="false" ht="12.8" hidden="false" customHeight="false" outlineLevel="0" collapsed="false">
      <c r="A7696" s="0" t="s">
        <v>3327</v>
      </c>
      <c r="B7696" s="0" t="str">
        <f aca="false">HYPERLINK("https://lindat.mff.cuni.cz/services/teitok/pdtc10/index.php?action=vallex&amp;frame=v-w374f51_ZU", "dávat (v-w374f51_ZU)")</f>
        <v>dávat (v-w374f51_ZU)</v>
      </c>
    </row>
    <row r="7697" customFormat="false" ht="12.8" hidden="false" customHeight="false" outlineLevel="0" collapsed="false">
      <c r="B7697" s="0" t="s">
        <v>265</v>
      </c>
      <c r="C7697" s="0" t="s">
        <v>3328</v>
      </c>
    </row>
    <row r="7698" customFormat="false" ht="12.8" hidden="false" customHeight="false" outlineLevel="0" collapsed="false">
      <c r="B7698" s="0" t="s">
        <v>3329</v>
      </c>
      <c r="C7698" s="0" t="s">
        <v>3330</v>
      </c>
    </row>
    <row r="7700" customFormat="false" ht="12.8" hidden="false" customHeight="false" outlineLevel="0" collapsed="false">
      <c r="A7700" s="0" t="s">
        <v>3327</v>
      </c>
      <c r="B7700" s="0" t="str">
        <f aca="false">HYPERLINK("https://lindat.mff.cuni.cz/services/teitok/pdtc10/index.php?action=vallex&amp;frame=v-w374f41_ZU", "dávat (v-w374f41_ZU) - substituted with v-w374f51_ZU")</f>
        <v>dávat (v-w374f41_ZU) - substituted with v-w374f51_ZU</v>
      </c>
    </row>
    <row r="7701" customFormat="false" ht="12.8" hidden="false" customHeight="false" outlineLevel="0" collapsed="false">
      <c r="B7701" s="0" t="s">
        <v>265</v>
      </c>
    </row>
    <row r="7702" customFormat="false" ht="12.8" hidden="false" customHeight="false" outlineLevel="0" collapsed="false">
      <c r="B7702" s="0" t="s">
        <v>3329</v>
      </c>
    </row>
    <row r="7704" customFormat="false" ht="12.8" hidden="false" customHeight="false" outlineLevel="0" collapsed="false">
      <c r="A7704" s="0" t="s">
        <v>3327</v>
      </c>
      <c r="B7704" s="0" t="str">
        <f aca="false">HYPERLINK("https://lindat.mff.cuni.cz/services/teitok/pdtc10/index.php?action=vallex&amp;frame=v-w374f43_ZU", "dávat (v-w374f43_ZU) - substituted with v-w374f51_ZU")</f>
        <v>dávat (v-w374f43_ZU) - substituted with v-w374f51_ZU</v>
      </c>
    </row>
    <row r="7705" customFormat="false" ht="12.8" hidden="false" customHeight="false" outlineLevel="0" collapsed="false">
      <c r="B7705" s="0" t="s">
        <v>265</v>
      </c>
    </row>
    <row r="7706" customFormat="false" ht="12.8" hidden="false" customHeight="false" outlineLevel="0" collapsed="false">
      <c r="B7706" s="0" t="s">
        <v>3329</v>
      </c>
    </row>
    <row r="7708" customFormat="false" ht="12.8" hidden="false" customHeight="false" outlineLevel="0" collapsed="false">
      <c r="A7708" s="0" t="s">
        <v>3327</v>
      </c>
      <c r="B7708" s="0" t="str">
        <f aca="false">HYPERLINK("https://lindat.mff.cuni.cz/services/teitok/pdtc10/index.php?action=vallex&amp;frame=v-w374f50_ZU", "dávat (v-w374f50_ZU) - substituted with v-w374f51_ZU")</f>
        <v>dávat (v-w374f50_ZU) - substituted with v-w374f51_ZU</v>
      </c>
    </row>
    <row r="7709" customFormat="false" ht="12.8" hidden="false" customHeight="false" outlineLevel="0" collapsed="false">
      <c r="B7709" s="0" t="s">
        <v>265</v>
      </c>
    </row>
    <row r="7710" customFormat="false" ht="12.8" hidden="false" customHeight="false" outlineLevel="0" collapsed="false">
      <c r="B7710" s="0" t="s">
        <v>3329</v>
      </c>
    </row>
    <row r="7712" customFormat="false" ht="12.8" hidden="false" customHeight="false" outlineLevel="0" collapsed="false">
      <c r="A7712" s="0" t="s">
        <v>3331</v>
      </c>
      <c r="B7712" s="0" t="str">
        <f aca="false">HYPERLINK("https://lindat.mff.cuni.cz/services/teitok/pdtc10/index.php?action=vallex&amp;frame=v-w374hsa_10", "dávat (v-w374hsa_10)")</f>
        <v>dávat (v-w374hsa_10)</v>
      </c>
    </row>
    <row r="7713" customFormat="false" ht="12.8" hidden="false" customHeight="false" outlineLevel="0" collapsed="false">
      <c r="B7713" s="0" t="s">
        <v>7</v>
      </c>
      <c r="C7713" s="0" t="s">
        <v>46</v>
      </c>
    </row>
    <row r="7714" customFormat="false" ht="12.8" hidden="false" customHeight="false" outlineLevel="0" collapsed="false">
      <c r="B7714" s="0" t="s">
        <v>14</v>
      </c>
      <c r="C7714" s="0" t="s">
        <v>1405</v>
      </c>
    </row>
    <row r="7715" customFormat="false" ht="12.8" hidden="false" customHeight="false" outlineLevel="0" collapsed="false">
      <c r="B7715" s="0" t="s">
        <v>48</v>
      </c>
      <c r="C7715" s="0" t="s">
        <v>3332</v>
      </c>
    </row>
    <row r="7717" customFormat="false" ht="12.8" hidden="false" customHeight="false" outlineLevel="0" collapsed="false">
      <c r="A7717" s="0" t="s">
        <v>3333</v>
      </c>
      <c r="B7717" s="0" t="str">
        <f aca="false">HYPERLINK("https://lindat.mff.cuni.cz/services/teitok/pdtc10/index.php?action=vallex&amp;frame=v-w374f56_ZU", "dávat (v-w374f56_ZU)")</f>
        <v>dávat (v-w374f56_ZU)</v>
      </c>
    </row>
    <row r="7718" customFormat="false" ht="12.8" hidden="false" customHeight="false" outlineLevel="0" collapsed="false">
      <c r="B7718" s="0" t="s">
        <v>7</v>
      </c>
      <c r="C7718" s="0" t="s">
        <v>3243</v>
      </c>
      <c r="D7718" s="0" t="s">
        <v>1410</v>
      </c>
      <c r="E7718" s="0" t="s">
        <v>1410</v>
      </c>
      <c r="F7718" s="0" t="s">
        <v>1410</v>
      </c>
    </row>
    <row r="7719" customFormat="false" ht="12.8" hidden="false" customHeight="false" outlineLevel="0" collapsed="false">
      <c r="B7719" s="0" t="s">
        <v>14</v>
      </c>
      <c r="C7719" s="0" t="s">
        <v>3244</v>
      </c>
      <c r="D7719" s="0" t="s">
        <v>1411</v>
      </c>
      <c r="E7719" s="0" t="s">
        <v>1411</v>
      </c>
      <c r="F7719" s="0" t="s">
        <v>1411</v>
      </c>
    </row>
    <row r="7720" customFormat="false" ht="12.8" hidden="false" customHeight="false" outlineLevel="0" collapsed="false">
      <c r="B7720" s="0" t="s">
        <v>639</v>
      </c>
      <c r="D7720" s="0" t="s">
        <v>2954</v>
      </c>
      <c r="E7720" s="0" t="s">
        <v>2954</v>
      </c>
      <c r="F7720" s="0" t="s">
        <v>2954</v>
      </c>
    </row>
    <row r="7722" customFormat="false" ht="12.8" hidden="false" customHeight="false" outlineLevel="0" collapsed="false">
      <c r="A7722" s="0" t="s">
        <v>3333</v>
      </c>
      <c r="B7722" s="0" t="str">
        <f aca="false">HYPERLINK("https://lindat.mff.cuni.cz/services/teitok/pdtc10/index.php?action=vallex&amp;frame=v-w374hsa_11", "dávat (v-w374hsa_11) - substituted with v-w374f56_ZU")</f>
        <v>dávat (v-w374hsa_11) - substituted with v-w374f56_ZU</v>
      </c>
    </row>
    <row r="7723" customFormat="false" ht="12.8" hidden="false" customHeight="false" outlineLevel="0" collapsed="false">
      <c r="B7723" s="0" t="s">
        <v>7</v>
      </c>
    </row>
    <row r="7724" customFormat="false" ht="12.8" hidden="false" customHeight="false" outlineLevel="0" collapsed="false">
      <c r="B7724" s="0" t="s">
        <v>14</v>
      </c>
    </row>
    <row r="7725" customFormat="false" ht="12.8" hidden="false" customHeight="false" outlineLevel="0" collapsed="false">
      <c r="B7725" s="0" t="s">
        <v>639</v>
      </c>
    </row>
    <row r="7727" customFormat="false" ht="12.8" hidden="false" customHeight="false" outlineLevel="0" collapsed="false">
      <c r="A7727" s="0" t="s">
        <v>3334</v>
      </c>
      <c r="B7727" s="0" t="str">
        <f aca="false">HYPERLINK("https://lindat.mff.cuni.cz/services/teitok/pdtc10/index.php?action=vallex&amp;frame=v-w374f53_ZU", "dávat (v-w374f53_ZU)")</f>
        <v>dávat (v-w374f53_ZU)</v>
      </c>
    </row>
    <row r="7728" customFormat="false" ht="12.8" hidden="false" customHeight="false" outlineLevel="0" collapsed="false">
      <c r="B7728" s="0" t="s">
        <v>7</v>
      </c>
    </row>
    <row r="7729" customFormat="false" ht="12.8" hidden="false" customHeight="false" outlineLevel="0" collapsed="false">
      <c r="B7729" s="0" t="s">
        <v>3335</v>
      </c>
    </row>
    <row r="7730" customFormat="false" ht="12.8" hidden="false" customHeight="false" outlineLevel="0" collapsed="false">
      <c r="B7730" s="0" t="s">
        <v>3336</v>
      </c>
    </row>
    <row r="7731" customFormat="false" ht="12.8" hidden="false" customHeight="false" outlineLevel="0" collapsed="false">
      <c r="B7731" s="0" t="s">
        <v>48</v>
      </c>
    </row>
    <row r="7733" customFormat="false" ht="12.8" hidden="false" customHeight="false" outlineLevel="0" collapsed="false">
      <c r="A7733" s="0" t="s">
        <v>3334</v>
      </c>
      <c r="B7733" s="0" t="str">
        <f aca="false">HYPERLINK("https://lindat.mff.cuni.cz/services/teitok/pdtc10/index.php?action=vallex&amp;frame=v-w374hsa_14", "dávat (v-w374hsa_14) - substituted with v-w374f53_ZU")</f>
        <v>dávat (v-w374hsa_14) - substituted with v-w374f53_ZU</v>
      </c>
    </row>
    <row r="7734" customFormat="false" ht="12.8" hidden="false" customHeight="false" outlineLevel="0" collapsed="false">
      <c r="B7734" s="0" t="s">
        <v>7</v>
      </c>
    </row>
    <row r="7735" customFormat="false" ht="12.8" hidden="false" customHeight="false" outlineLevel="0" collapsed="false">
      <c r="B7735" s="0" t="s">
        <v>3335</v>
      </c>
    </row>
    <row r="7736" customFormat="false" ht="12.8" hidden="false" customHeight="false" outlineLevel="0" collapsed="false">
      <c r="B7736" s="0" t="s">
        <v>3336</v>
      </c>
    </row>
    <row r="7737" customFormat="false" ht="12.8" hidden="false" customHeight="false" outlineLevel="0" collapsed="false">
      <c r="B7737" s="0" t="s">
        <v>48</v>
      </c>
    </row>
    <row r="7739" customFormat="false" ht="12.8" hidden="false" customHeight="false" outlineLevel="0" collapsed="false">
      <c r="A7739" s="0" t="s">
        <v>3337</v>
      </c>
      <c r="B7739" s="0" t="str">
        <f aca="false">HYPERLINK("https://lindat.mff.cuni.cz/services/teitok/pdtc10/index.php?action=vallex&amp;frame=v-w374f54_ZU", "dávat (v-w374f54_ZU)")</f>
        <v>dávat (v-w374f54_ZU)</v>
      </c>
    </row>
    <row r="7740" customFormat="false" ht="12.8" hidden="false" customHeight="false" outlineLevel="0" collapsed="false">
      <c r="B7740" s="0" t="s">
        <v>7</v>
      </c>
    </row>
    <row r="7741" customFormat="false" ht="12.8" hidden="false" customHeight="false" outlineLevel="0" collapsed="false">
      <c r="B7741" s="0" t="s">
        <v>3146</v>
      </c>
    </row>
    <row r="7742" customFormat="false" ht="12.8" hidden="false" customHeight="false" outlineLevel="0" collapsed="false">
      <c r="B7742" s="0" t="s">
        <v>14</v>
      </c>
    </row>
    <row r="7744" customFormat="false" ht="12.8" hidden="false" customHeight="false" outlineLevel="0" collapsed="false">
      <c r="A7744" s="0" t="s">
        <v>3337</v>
      </c>
      <c r="B7744" s="0" t="str">
        <f aca="false">HYPERLINK("https://lindat.mff.cuni.cz/services/teitok/pdtc10/index.php?action=vallex&amp;frame=v-w374hsa_15", "dávat (v-w374hsa_15) - substituted with v-w374f54_ZU")</f>
        <v>dávat (v-w374hsa_15) - substituted with v-w374f54_ZU</v>
      </c>
    </row>
    <row r="7745" customFormat="false" ht="12.8" hidden="false" customHeight="false" outlineLevel="0" collapsed="false">
      <c r="B7745" s="0" t="s">
        <v>7</v>
      </c>
    </row>
    <row r="7746" customFormat="false" ht="12.8" hidden="false" customHeight="false" outlineLevel="0" collapsed="false">
      <c r="B7746" s="0" t="s">
        <v>3146</v>
      </c>
    </row>
    <row r="7747" customFormat="false" ht="12.8" hidden="false" customHeight="false" outlineLevel="0" collapsed="false">
      <c r="B7747" s="0" t="s">
        <v>14</v>
      </c>
    </row>
    <row r="7749" customFormat="false" ht="12.8" hidden="false" customHeight="false" outlineLevel="0" collapsed="false">
      <c r="A7749" s="0" t="s">
        <v>3338</v>
      </c>
      <c r="B7749" s="0" t="str">
        <f aca="false">HYPERLINK("https://lindat.mff.cuni.cz/services/teitok/pdtc10/index.php?action=vallex&amp;frame=v-w374f55_ZU", "dávat (v-w374f55_ZU)")</f>
        <v>dávat (v-w374f55_ZU)</v>
      </c>
    </row>
    <row r="7750" customFormat="false" ht="12.8" hidden="false" customHeight="false" outlineLevel="0" collapsed="false">
      <c r="B7750" s="0" t="s">
        <v>7</v>
      </c>
      <c r="C7750" s="0" t="s">
        <v>1386</v>
      </c>
      <c r="D7750" s="0" t="s">
        <v>3049</v>
      </c>
      <c r="E7750" s="0" t="s">
        <v>3049</v>
      </c>
      <c r="F7750" s="0" t="s">
        <v>3049</v>
      </c>
    </row>
    <row r="7751" customFormat="false" ht="12.8" hidden="false" customHeight="false" outlineLevel="0" collapsed="false">
      <c r="B7751" s="0" t="s">
        <v>3339</v>
      </c>
      <c r="C7751" s="0" t="s">
        <v>3340</v>
      </c>
      <c r="D7751" s="0" t="s">
        <v>3341</v>
      </c>
      <c r="E7751" s="0" t="s">
        <v>3341</v>
      </c>
      <c r="F7751" s="0" t="s">
        <v>3341</v>
      </c>
    </row>
    <row r="7752" customFormat="false" ht="12.8" hidden="false" customHeight="false" outlineLevel="0" collapsed="false">
      <c r="B7752" s="0" t="s">
        <v>142</v>
      </c>
      <c r="C7752" s="0" t="s">
        <v>3342</v>
      </c>
      <c r="D7752" s="0" t="s">
        <v>3343</v>
      </c>
      <c r="E7752" s="0" t="s">
        <v>3343</v>
      </c>
      <c r="F7752" s="0" t="s">
        <v>3343</v>
      </c>
    </row>
    <row r="7754" customFormat="false" ht="12.8" hidden="false" customHeight="false" outlineLevel="0" collapsed="false">
      <c r="A7754" s="0" t="s">
        <v>3338</v>
      </c>
      <c r="B7754" s="0" t="str">
        <f aca="false">HYPERLINK("https://lindat.mff.cuni.cz/services/teitok/pdtc10/index.php?action=vallex&amp;frame=v-w374hsa_16", "dávat (v-w374hsa_16) - substituted with v-w374f55_ZU")</f>
        <v>dávat (v-w374hsa_16) - substituted with v-w374f55_ZU</v>
      </c>
    </row>
    <row r="7755" customFormat="false" ht="12.8" hidden="false" customHeight="false" outlineLevel="0" collapsed="false">
      <c r="B7755" s="0" t="s">
        <v>7</v>
      </c>
    </row>
    <row r="7756" customFormat="false" ht="12.8" hidden="false" customHeight="false" outlineLevel="0" collapsed="false">
      <c r="B7756" s="0" t="s">
        <v>3339</v>
      </c>
    </row>
    <row r="7757" customFormat="false" ht="12.8" hidden="false" customHeight="false" outlineLevel="0" collapsed="false">
      <c r="B7757" s="0" t="s">
        <v>142</v>
      </c>
    </row>
    <row r="7759" customFormat="false" ht="12.8" hidden="false" customHeight="false" outlineLevel="0" collapsed="false">
      <c r="A7759" s="0" t="s">
        <v>3344</v>
      </c>
      <c r="B7759" s="0" t="str">
        <f aca="false">HYPERLINK("https://lindat.mff.cuni.cz/services/teitok/pdtc10/index.php?action=vallex&amp;frame=v-w374hsa_19", "dávat (v-w374hsa_19)")</f>
        <v>dávat (v-w374hsa_19)</v>
      </c>
    </row>
    <row r="7760" customFormat="false" ht="12.8" hidden="false" customHeight="false" outlineLevel="0" collapsed="false">
      <c r="B7760" s="0" t="s">
        <v>7</v>
      </c>
    </row>
    <row r="7761" customFormat="false" ht="12.8" hidden="false" customHeight="false" outlineLevel="0" collapsed="false">
      <c r="B7761" s="0" t="s">
        <v>3345</v>
      </c>
    </row>
    <row r="7762" customFormat="false" ht="12.8" hidden="false" customHeight="false" outlineLevel="0" collapsed="false">
      <c r="B7762" s="0" t="s">
        <v>48</v>
      </c>
    </row>
    <row r="7764" customFormat="false" ht="12.8" hidden="false" customHeight="false" outlineLevel="0" collapsed="false">
      <c r="A7764" s="0" t="s">
        <v>3346</v>
      </c>
      <c r="B7764" s="0" t="str">
        <f aca="false">HYPERLINK("https://lindat.mff.cuni.cz/services/teitok/pdtc10/index.php?action=vallex&amp;frame=v-w374f70_ZU", "dávat (v-w374f70_ZU)")</f>
        <v>dávat (v-w374f70_ZU)</v>
      </c>
    </row>
    <row r="7765" customFormat="false" ht="12.8" hidden="false" customHeight="false" outlineLevel="0" collapsed="false">
      <c r="B7765" s="0" t="s">
        <v>7</v>
      </c>
    </row>
    <row r="7766" customFormat="false" ht="12.8" hidden="false" customHeight="false" outlineLevel="0" collapsed="false">
      <c r="B7766" s="0" t="s">
        <v>14</v>
      </c>
    </row>
    <row r="7767" customFormat="false" ht="12.8" hidden="false" customHeight="false" outlineLevel="0" collapsed="false">
      <c r="B7767" s="0" t="s">
        <v>124</v>
      </c>
    </row>
    <row r="7769" customFormat="false" ht="12.8" hidden="false" customHeight="false" outlineLevel="0" collapsed="false">
      <c r="A7769" s="0" t="s">
        <v>3346</v>
      </c>
      <c r="B7769" s="0" t="str">
        <f aca="false">HYPERLINK("https://lindat.mff.cuni.cz/services/teitok/pdtc10/index.php?action=vallex&amp;frame=v-w374hsa_18", "dávat (v-w374hsa_18) - substituted with v-w374f70_ZU")</f>
        <v>dávat (v-w374hsa_18) - substituted with v-w374f70_ZU</v>
      </c>
    </row>
    <row r="7770" customFormat="false" ht="12.8" hidden="false" customHeight="false" outlineLevel="0" collapsed="false">
      <c r="B7770" s="0" t="s">
        <v>7</v>
      </c>
    </row>
    <row r="7771" customFormat="false" ht="12.8" hidden="false" customHeight="false" outlineLevel="0" collapsed="false">
      <c r="B7771" s="0" t="s">
        <v>14</v>
      </c>
    </row>
    <row r="7772" customFormat="false" ht="12.8" hidden="false" customHeight="false" outlineLevel="0" collapsed="false">
      <c r="B7772" s="0" t="s">
        <v>124</v>
      </c>
    </row>
    <row r="7774" customFormat="false" ht="12.8" hidden="false" customHeight="false" outlineLevel="0" collapsed="false">
      <c r="A7774" s="0" t="s">
        <v>3347</v>
      </c>
      <c r="B7774" s="0" t="str">
        <f aca="false">HYPERLINK("https://lindat.mff.cuni.cz/services/teitok/pdtc10/index.php?action=vallex&amp;frame=v-w374f72_ZU", "dávat (v-w374f72_ZU)")</f>
        <v>dávat (v-w374f72_ZU)</v>
      </c>
    </row>
    <row r="7775" customFormat="false" ht="12.8" hidden="false" customHeight="false" outlineLevel="0" collapsed="false">
      <c r="B7775" s="0" t="s">
        <v>7</v>
      </c>
    </row>
    <row r="7776" customFormat="false" ht="12.8" hidden="false" customHeight="false" outlineLevel="0" collapsed="false">
      <c r="B7776" s="0" t="s">
        <v>3348</v>
      </c>
    </row>
    <row r="7777" customFormat="false" ht="12.8" hidden="false" customHeight="false" outlineLevel="0" collapsed="false">
      <c r="B7777" s="0" t="s">
        <v>54</v>
      </c>
    </row>
    <row r="7779" customFormat="false" ht="12.8" hidden="false" customHeight="false" outlineLevel="0" collapsed="false">
      <c r="A7779" s="0" t="s">
        <v>3347</v>
      </c>
      <c r="B7779" s="0" t="str">
        <f aca="false">HYPERLINK("https://lindat.mff.cuni.cz/services/teitok/pdtc10/index.php?action=vallex&amp;frame=v-w374hsa_22", "dávat (v-w374hsa_22) - substituted with v-w374f72_ZU")</f>
        <v>dávat (v-w374hsa_22) - substituted with v-w374f72_ZU</v>
      </c>
    </row>
    <row r="7780" customFormat="false" ht="12.8" hidden="false" customHeight="false" outlineLevel="0" collapsed="false">
      <c r="B7780" s="0" t="s">
        <v>7</v>
      </c>
    </row>
    <row r="7781" customFormat="false" ht="12.8" hidden="false" customHeight="false" outlineLevel="0" collapsed="false">
      <c r="B7781" s="0" t="s">
        <v>3348</v>
      </c>
    </row>
    <row r="7782" customFormat="false" ht="12.8" hidden="false" customHeight="false" outlineLevel="0" collapsed="false">
      <c r="B7782" s="0" t="s">
        <v>54</v>
      </c>
    </row>
    <row r="7784" customFormat="false" ht="12.8" hidden="false" customHeight="false" outlineLevel="0" collapsed="false">
      <c r="A7784" s="0" t="s">
        <v>3349</v>
      </c>
      <c r="B7784" s="0" t="str">
        <f aca="false">HYPERLINK("https://lindat.mff.cuni.cz/services/teitok/pdtc10/index.php?action=vallex&amp;frame=v-w374f73_ZU", "dávat (v-w374f73_ZU)")</f>
        <v>dávat (v-w374f73_ZU)</v>
      </c>
    </row>
    <row r="7785" customFormat="false" ht="12.8" hidden="false" customHeight="false" outlineLevel="0" collapsed="false">
      <c r="B7785" s="0" t="s">
        <v>603</v>
      </c>
    </row>
    <row r="7786" customFormat="false" ht="12.8" hidden="false" customHeight="false" outlineLevel="0" collapsed="false">
      <c r="B7786" s="0" t="s">
        <v>3350</v>
      </c>
    </row>
    <row r="7787" customFormat="false" ht="12.8" hidden="false" customHeight="false" outlineLevel="0" collapsed="false">
      <c r="B7787" s="0" t="s">
        <v>3351</v>
      </c>
    </row>
    <row r="7789" customFormat="false" ht="12.8" hidden="false" customHeight="false" outlineLevel="0" collapsed="false">
      <c r="A7789" s="0" t="s">
        <v>3349</v>
      </c>
      <c r="B7789" s="0" t="str">
        <f aca="false">HYPERLINK("https://lindat.mff.cuni.cz/services/teitok/pdtc10/index.php?action=vallex&amp;frame=v-w374hsa_23", "dávat (v-w374hsa_23) - substituted with v-w374f73_ZU")</f>
        <v>dávat (v-w374hsa_23) - substituted with v-w374f73_ZU</v>
      </c>
    </row>
    <row r="7790" customFormat="false" ht="12.8" hidden="false" customHeight="false" outlineLevel="0" collapsed="false">
      <c r="B7790" s="0" t="s">
        <v>603</v>
      </c>
    </row>
    <row r="7791" customFormat="false" ht="12.8" hidden="false" customHeight="false" outlineLevel="0" collapsed="false">
      <c r="B7791" s="0" t="s">
        <v>3350</v>
      </c>
    </row>
    <row r="7792" customFormat="false" ht="12.8" hidden="false" customHeight="false" outlineLevel="0" collapsed="false">
      <c r="B7792" s="0" t="s">
        <v>3351</v>
      </c>
    </row>
    <row r="7794" customFormat="false" ht="12.8" hidden="false" customHeight="false" outlineLevel="0" collapsed="false">
      <c r="A7794" s="0" t="s">
        <v>3352</v>
      </c>
      <c r="B7794" s="0" t="str">
        <f aca="false">HYPERLINK("https://lindat.mff.cuni.cz/services/teitok/pdtc10/index.php?action=vallex&amp;frame=v-w374f74_ZU", "dávat (v-w374f74_ZU)")</f>
        <v>dávat (v-w374f74_ZU)</v>
      </c>
    </row>
    <row r="7795" customFormat="false" ht="12.8" hidden="false" customHeight="false" outlineLevel="0" collapsed="false">
      <c r="B7795" s="0" t="s">
        <v>7</v>
      </c>
    </row>
    <row r="7796" customFormat="false" ht="12.8" hidden="false" customHeight="false" outlineLevel="0" collapsed="false">
      <c r="B7796" s="0" t="s">
        <v>14</v>
      </c>
    </row>
    <row r="7797" customFormat="false" ht="12.8" hidden="false" customHeight="false" outlineLevel="0" collapsed="false">
      <c r="B7797" s="0" t="s">
        <v>338</v>
      </c>
    </row>
    <row r="7799" customFormat="false" ht="12.8" hidden="false" customHeight="false" outlineLevel="0" collapsed="false">
      <c r="A7799" s="0" t="s">
        <v>3353</v>
      </c>
      <c r="B7799" s="0" t="str">
        <f aca="false">HYPERLINK("https://lindat.mff.cuni.cz/services/teitok/pdtc10/index.php?action=vallex&amp;frame=v-w374f77_ZU", "dávat (v-w374f77_ZU)")</f>
        <v>dávat (v-w374f77_ZU)</v>
      </c>
    </row>
    <row r="7800" customFormat="false" ht="12.8" hidden="false" customHeight="false" outlineLevel="0" collapsed="false">
      <c r="B7800" s="0" t="s">
        <v>7</v>
      </c>
    </row>
    <row r="7801" customFormat="false" ht="12.8" hidden="false" customHeight="false" outlineLevel="0" collapsed="false">
      <c r="B7801" s="0" t="s">
        <v>2380</v>
      </c>
    </row>
    <row r="7802" customFormat="false" ht="12.8" hidden="false" customHeight="false" outlineLevel="0" collapsed="false">
      <c r="B7802" s="0" t="s">
        <v>142</v>
      </c>
    </row>
    <row r="7804" customFormat="false" ht="12.8" hidden="false" customHeight="false" outlineLevel="0" collapsed="false">
      <c r="A7804" s="0" t="s">
        <v>3353</v>
      </c>
      <c r="B7804" s="0" t="str">
        <f aca="false">HYPERLINK("https://lindat.mff.cuni.cz/services/teitok/pdtc10/index.php?action=vallex&amp;frame=v-w374f76_ZU", "dávat (v-w374f76_ZU) - substituted with v-w374f77_ZU")</f>
        <v>dávat (v-w374f76_ZU) - substituted with v-w374f77_ZU</v>
      </c>
    </row>
    <row r="7805" customFormat="false" ht="12.8" hidden="false" customHeight="false" outlineLevel="0" collapsed="false">
      <c r="B7805" s="0" t="s">
        <v>7</v>
      </c>
    </row>
    <row r="7806" customFormat="false" ht="12.8" hidden="false" customHeight="false" outlineLevel="0" collapsed="false">
      <c r="B7806" s="0" t="s">
        <v>2380</v>
      </c>
    </row>
    <row r="7807" customFormat="false" ht="12.8" hidden="false" customHeight="false" outlineLevel="0" collapsed="false">
      <c r="B7807" s="0" t="s">
        <v>142</v>
      </c>
    </row>
    <row r="7809" customFormat="false" ht="12.8" hidden="false" customHeight="false" outlineLevel="0" collapsed="false">
      <c r="A7809" s="0" t="s">
        <v>3354</v>
      </c>
      <c r="B7809" s="0" t="str">
        <f aca="false">HYPERLINK("https://lindat.mff.cuni.cz/services/teitok/pdtc10/index.php?action=vallex&amp;frame=v-w374f79_ZU", "dávat (v-w374f79_ZU)")</f>
        <v>dávat (v-w374f79_ZU)</v>
      </c>
    </row>
    <row r="7810" customFormat="false" ht="12.8" hidden="false" customHeight="false" outlineLevel="0" collapsed="false">
      <c r="B7810" s="0" t="s">
        <v>3355</v>
      </c>
    </row>
    <row r="7812" customFormat="false" ht="12.8" hidden="false" customHeight="false" outlineLevel="0" collapsed="false">
      <c r="A7812" s="0" t="s">
        <v>3356</v>
      </c>
      <c r="B7812" s="0" t="str">
        <f aca="false">HYPERLINK("https://lindat.mff.cuni.cz/services/teitok/pdtc10/index.php?action=vallex&amp;frame=v-w374f81_ZU", "dávat (v-w374f81_ZU)")</f>
        <v>dávat (v-w374f81_ZU)</v>
      </c>
    </row>
    <row r="7813" customFormat="false" ht="12.8" hidden="false" customHeight="false" outlineLevel="0" collapsed="false">
      <c r="B7813" s="0" t="s">
        <v>7</v>
      </c>
    </row>
    <row r="7814" customFormat="false" ht="12.8" hidden="false" customHeight="false" outlineLevel="0" collapsed="false">
      <c r="B7814" s="0" t="s">
        <v>3357</v>
      </c>
    </row>
    <row r="7815" customFormat="false" ht="12.8" hidden="false" customHeight="false" outlineLevel="0" collapsed="false">
      <c r="B7815" s="0" t="s">
        <v>14</v>
      </c>
    </row>
    <row r="7817" customFormat="false" ht="12.8" hidden="false" customHeight="false" outlineLevel="0" collapsed="false">
      <c r="A7817" s="0" t="s">
        <v>3356</v>
      </c>
      <c r="B7817" s="0" t="str">
        <f aca="false">HYPERLINK("https://lindat.mff.cuni.cz/services/teitok/pdtc10/index.php?action=vallex&amp;frame=v-w374f80_ZU", "dávat (v-w374f80_ZU) - substituted with v-w374f81_ZU")</f>
        <v>dávat (v-w374f80_ZU) - substituted with v-w374f81_ZU</v>
      </c>
    </row>
    <row r="7818" customFormat="false" ht="12.8" hidden="false" customHeight="false" outlineLevel="0" collapsed="false">
      <c r="B7818" s="0" t="s">
        <v>7</v>
      </c>
    </row>
    <row r="7819" customFormat="false" ht="12.8" hidden="false" customHeight="false" outlineLevel="0" collapsed="false">
      <c r="B7819" s="0" t="s">
        <v>3357</v>
      </c>
    </row>
    <row r="7820" customFormat="false" ht="12.8" hidden="false" customHeight="false" outlineLevel="0" collapsed="false">
      <c r="B7820" s="0" t="s">
        <v>14</v>
      </c>
    </row>
    <row r="7822" customFormat="false" ht="12.8" hidden="false" customHeight="false" outlineLevel="0" collapsed="false">
      <c r="A7822" s="0" t="s">
        <v>3358</v>
      </c>
      <c r="B7822" s="0" t="str">
        <f aca="false">HYPERLINK("https://lindat.mff.cuni.cz/services/teitok/pdtc10/index.php?action=vallex&amp;frame=v-w374f83_ZU", "dávat (v-w374f83_ZU)")</f>
        <v>dávat (v-w374f83_ZU)</v>
      </c>
    </row>
    <row r="7823" customFormat="false" ht="12.8" hidden="false" customHeight="false" outlineLevel="0" collapsed="false">
      <c r="B7823" s="0" t="s">
        <v>7</v>
      </c>
    </row>
    <row r="7824" customFormat="false" ht="12.8" hidden="false" customHeight="false" outlineLevel="0" collapsed="false">
      <c r="B7824" s="0" t="s">
        <v>14</v>
      </c>
    </row>
    <row r="7825" customFormat="false" ht="12.8" hidden="false" customHeight="false" outlineLevel="0" collapsed="false">
      <c r="B7825" s="0" t="s">
        <v>48</v>
      </c>
    </row>
    <row r="7827" customFormat="false" ht="12.8" hidden="false" customHeight="false" outlineLevel="0" collapsed="false">
      <c r="A7827" s="0" t="s">
        <v>3359</v>
      </c>
      <c r="B7827" s="0" t="str">
        <f aca="false">HYPERLINK("https://lindat.mff.cuni.cz/services/teitok/pdtc10/index.php?action=vallex&amp;frame=v-w374f86_MM", "dávat (v-w374f86_MM)")</f>
        <v>dávat (v-w374f86_MM)</v>
      </c>
    </row>
    <row r="7828" customFormat="false" ht="12.8" hidden="false" customHeight="false" outlineLevel="0" collapsed="false">
      <c r="B7828" s="0" t="s">
        <v>7</v>
      </c>
    </row>
    <row r="7829" customFormat="false" ht="12.8" hidden="false" customHeight="false" outlineLevel="0" collapsed="false">
      <c r="B7829" s="0" t="s">
        <v>142</v>
      </c>
    </row>
    <row r="7830" customFormat="false" ht="12.8" hidden="false" customHeight="false" outlineLevel="0" collapsed="false">
      <c r="B7830" s="0" t="s">
        <v>3360</v>
      </c>
    </row>
    <row r="7832" customFormat="false" ht="12.8" hidden="false" customHeight="false" outlineLevel="0" collapsed="false">
      <c r="A7832" s="0" t="s">
        <v>3361</v>
      </c>
      <c r="B7832" s="0" t="str">
        <f aca="false">HYPERLINK("https://lindat.mff.cuni.cz/services/teitok/pdtc10/index.php?action=vallex&amp;frame=v-w375f5", "dávat se (v-w375f5)")</f>
        <v>dávat se (v-w375f5)</v>
      </c>
    </row>
    <row r="7833" customFormat="false" ht="12.8" hidden="false" customHeight="false" outlineLevel="0" collapsed="false">
      <c r="B7833" s="0" t="s">
        <v>7</v>
      </c>
      <c r="D7833" s="0" t="s">
        <v>3174</v>
      </c>
      <c r="E7833" s="0" t="s">
        <v>3174</v>
      </c>
      <c r="F7833" s="0" t="s">
        <v>3174</v>
      </c>
    </row>
    <row r="7834" customFormat="false" ht="12.8" hidden="false" customHeight="false" outlineLevel="0" collapsed="false">
      <c r="B7834" s="0" t="s">
        <v>985</v>
      </c>
      <c r="D7834" s="0" t="s">
        <v>3175</v>
      </c>
      <c r="E7834" s="0" t="s">
        <v>3175</v>
      </c>
      <c r="F7834" s="0" t="s">
        <v>3175</v>
      </c>
    </row>
    <row r="7836" customFormat="false" ht="12.8" hidden="false" customHeight="false" outlineLevel="0" collapsed="false">
      <c r="A7836" s="0" t="s">
        <v>3362</v>
      </c>
      <c r="B7836" s="0" t="str">
        <f aca="false">HYPERLINK("https://lindat.mff.cuni.cz/services/teitok/pdtc10/index.php?action=vallex&amp;frame=v-w375f4", "dávat se (v-w375f4)")</f>
        <v>dávat se (v-w375f4)</v>
      </c>
    </row>
    <row r="7837" customFormat="false" ht="12.8" hidden="false" customHeight="false" outlineLevel="0" collapsed="false">
      <c r="B7837" s="0" t="s">
        <v>7</v>
      </c>
    </row>
    <row r="7838" customFormat="false" ht="12.8" hidden="false" customHeight="false" outlineLevel="0" collapsed="false">
      <c r="B7838" s="0" t="s">
        <v>41</v>
      </c>
    </row>
    <row r="7840" customFormat="false" ht="12.8" hidden="false" customHeight="false" outlineLevel="0" collapsed="false">
      <c r="A7840" s="0" t="s">
        <v>3363</v>
      </c>
      <c r="B7840" s="0" t="str">
        <f aca="false">HYPERLINK("https://lindat.mff.cuni.cz/services/teitok/pdtc10/index.php?action=vallex&amp;frame=v-w375f3", "dávat se (v-w375f3)")</f>
        <v>dávat se (v-w375f3)</v>
      </c>
    </row>
    <row r="7841" customFormat="false" ht="12.8" hidden="false" customHeight="false" outlineLevel="0" collapsed="false">
      <c r="B7841" s="0" t="s">
        <v>7</v>
      </c>
    </row>
    <row r="7842" customFormat="false" ht="12.8" hidden="false" customHeight="false" outlineLevel="0" collapsed="false">
      <c r="B7842" s="0" t="s">
        <v>124</v>
      </c>
    </row>
    <row r="7844" customFormat="false" ht="12.8" hidden="false" customHeight="false" outlineLevel="0" collapsed="false">
      <c r="A7844" s="0" t="s">
        <v>3364</v>
      </c>
      <c r="B7844" s="0" t="str">
        <f aca="false">HYPERLINK("https://lindat.mff.cuni.cz/services/teitok/pdtc10/index.php?action=vallex&amp;frame=v-w375f2", "dávat se (v-w375f2)")</f>
        <v>dávat se (v-w375f2)</v>
      </c>
    </row>
    <row r="7845" customFormat="false" ht="12.8" hidden="false" customHeight="false" outlineLevel="0" collapsed="false">
      <c r="B7845" s="0" t="s">
        <v>7</v>
      </c>
    </row>
    <row r="7846" customFormat="false" ht="12.8" hidden="false" customHeight="false" outlineLevel="0" collapsed="false">
      <c r="B7846" s="0" t="s">
        <v>124</v>
      </c>
    </row>
    <row r="7848" customFormat="false" ht="12.8" hidden="false" customHeight="false" outlineLevel="0" collapsed="false">
      <c r="A7848" s="0" t="s">
        <v>3365</v>
      </c>
      <c r="B7848" s="0" t="str">
        <f aca="false">HYPERLINK("https://lindat.mff.cuni.cz/services/teitok/pdtc10/index.php?action=vallex&amp;frame=v-w375f1", "dávat se (v-w375f1)")</f>
        <v>dávat se (v-w375f1)</v>
      </c>
    </row>
    <row r="7849" customFormat="false" ht="12.8" hidden="false" customHeight="false" outlineLevel="0" collapsed="false">
      <c r="B7849" s="0" t="s">
        <v>7</v>
      </c>
      <c r="F7849" s="0" t="s">
        <v>3180</v>
      </c>
    </row>
    <row r="7850" customFormat="false" ht="12.8" hidden="false" customHeight="false" outlineLevel="0" collapsed="false">
      <c r="B7850" s="0" t="s">
        <v>3366</v>
      </c>
      <c r="F7850" s="0" t="s">
        <v>3182</v>
      </c>
    </row>
    <row r="7852" customFormat="false" ht="12.8" hidden="false" customHeight="false" outlineLevel="0" collapsed="false">
      <c r="A7852" s="0" t="s">
        <v>3367</v>
      </c>
      <c r="B7852" s="0" t="str">
        <f aca="false">HYPERLINK("https://lindat.mff.cuni.cz/services/teitok/pdtc10/index.php?action=vallex&amp;frame=v-w375f6_ZU", "dávat se (v-w375f6_ZU)")</f>
        <v>dávat se (v-w375f6_ZU)</v>
      </c>
    </row>
    <row r="7853" customFormat="false" ht="12.8" hidden="false" customHeight="false" outlineLevel="0" collapsed="false">
      <c r="B7853" s="0" t="s">
        <v>7</v>
      </c>
    </row>
    <row r="7854" customFormat="false" ht="12.8" hidden="false" customHeight="false" outlineLevel="0" collapsed="false">
      <c r="B7854" s="0" t="s">
        <v>3088</v>
      </c>
    </row>
    <row r="7855" customFormat="false" ht="12.8" hidden="false" customHeight="false" outlineLevel="0" collapsed="false">
      <c r="B7855" s="0" t="s">
        <v>548</v>
      </c>
    </row>
    <row r="7857" customFormat="false" ht="12.8" hidden="false" customHeight="false" outlineLevel="0" collapsed="false">
      <c r="A7857" s="0" t="s">
        <v>3368</v>
      </c>
      <c r="B7857" s="0" t="str">
        <f aca="false">HYPERLINK("https://lindat.mff.cuni.cz/services/teitok/pdtc10/index.php?action=vallex&amp;frame=v-w376f10_ZU", "dávat si (v-w376f10_ZU)")</f>
        <v>dávat si (v-w376f10_ZU)</v>
      </c>
    </row>
    <row r="7858" customFormat="false" ht="12.8" hidden="false" customHeight="false" outlineLevel="0" collapsed="false">
      <c r="B7858" s="0" t="s">
        <v>7</v>
      </c>
    </row>
    <row r="7859" customFormat="false" ht="12.8" hidden="false" customHeight="false" outlineLevel="0" collapsed="false">
      <c r="B7859" s="0" t="s">
        <v>3369</v>
      </c>
    </row>
    <row r="7861" customFormat="false" ht="12.8" hidden="false" customHeight="false" outlineLevel="0" collapsed="false">
      <c r="A7861" s="0" t="s">
        <v>3368</v>
      </c>
      <c r="B7861" s="0" t="str">
        <f aca="false">HYPERLINK("https://lindat.mff.cuni.cz/services/teitok/pdtc10/index.php?action=vallex&amp;frame=v-w376f5_ZU", "dávat si (v-w376f5_ZU) - substituted with v-w376f10_ZU")</f>
        <v>dávat si (v-w376f5_ZU) - substituted with v-w376f10_ZU</v>
      </c>
    </row>
    <row r="7862" customFormat="false" ht="12.8" hidden="false" customHeight="false" outlineLevel="0" collapsed="false">
      <c r="B7862" s="0" t="s">
        <v>7</v>
      </c>
    </row>
    <row r="7863" customFormat="false" ht="12.8" hidden="false" customHeight="false" outlineLevel="0" collapsed="false">
      <c r="B7863" s="0" t="s">
        <v>3369</v>
      </c>
    </row>
    <row r="7865" customFormat="false" ht="12.8" hidden="false" customHeight="false" outlineLevel="0" collapsed="false">
      <c r="A7865" s="0" t="s">
        <v>3368</v>
      </c>
      <c r="B7865" s="0" t="str">
        <f aca="false">HYPERLINK("https://lindat.mff.cuni.cz/services/teitok/pdtc10/index.php?action=vallex&amp;frame=v-w376f6_ZU", "dávat si (v-w376f6_ZU) - substituted with v-w376f10_ZU")</f>
        <v>dávat si (v-w376f6_ZU) - substituted with v-w376f10_ZU</v>
      </c>
    </row>
    <row r="7866" customFormat="false" ht="12.8" hidden="false" customHeight="false" outlineLevel="0" collapsed="false">
      <c r="B7866" s="0" t="s">
        <v>7</v>
      </c>
    </row>
    <row r="7867" customFormat="false" ht="12.8" hidden="false" customHeight="false" outlineLevel="0" collapsed="false">
      <c r="B7867" s="0" t="s">
        <v>3369</v>
      </c>
    </row>
    <row r="7869" customFormat="false" ht="12.8" hidden="false" customHeight="false" outlineLevel="0" collapsed="false">
      <c r="A7869" s="0" t="s">
        <v>3370</v>
      </c>
      <c r="B7869" s="0" t="str">
        <f aca="false">HYPERLINK("https://lindat.mff.cuni.cz/services/teitok/pdtc10/index.php?action=vallex&amp;frame=v-w376f2", "dávat si (v-w376f2)")</f>
        <v>dávat si (v-w376f2)</v>
      </c>
    </row>
    <row r="7870" customFormat="false" ht="12.8" hidden="false" customHeight="false" outlineLevel="0" collapsed="false">
      <c r="B7870" s="0" t="s">
        <v>7</v>
      </c>
    </row>
    <row r="7871" customFormat="false" ht="12.8" hidden="false" customHeight="false" outlineLevel="0" collapsed="false">
      <c r="B7871" s="0" t="s">
        <v>3371</v>
      </c>
    </row>
    <row r="7872" customFormat="false" ht="12.8" hidden="false" customHeight="false" outlineLevel="0" collapsed="false">
      <c r="B7872" s="0" t="s">
        <v>54</v>
      </c>
    </row>
    <row r="7874" customFormat="false" ht="12.8" hidden="false" customHeight="false" outlineLevel="0" collapsed="false">
      <c r="A7874" s="0" t="s">
        <v>3372</v>
      </c>
      <c r="B7874" s="0" t="str">
        <f aca="false">HYPERLINK("https://lindat.mff.cuni.cz/services/teitok/pdtc10/index.php?action=vallex&amp;frame=v-w376f3_ZU", "dávat si (v-w376f3_ZU)")</f>
        <v>dávat si (v-w376f3_ZU)</v>
      </c>
    </row>
    <row r="7875" customFormat="false" ht="12.8" hidden="false" customHeight="false" outlineLevel="0" collapsed="false">
      <c r="B7875" s="0" t="s">
        <v>7</v>
      </c>
      <c r="C7875" s="0" t="s">
        <v>498</v>
      </c>
      <c r="D7875" s="0" t="s">
        <v>108</v>
      </c>
      <c r="E7875" s="0" t="s">
        <v>108</v>
      </c>
      <c r="F7875" s="0" t="s">
        <v>108</v>
      </c>
    </row>
    <row r="7876" customFormat="false" ht="12.8" hidden="false" customHeight="false" outlineLevel="0" collapsed="false">
      <c r="B7876" s="0" t="s">
        <v>3093</v>
      </c>
      <c r="C7876" s="0" t="s">
        <v>707</v>
      </c>
    </row>
    <row r="7877" customFormat="false" ht="12.8" hidden="false" customHeight="false" outlineLevel="0" collapsed="false">
      <c r="B7877" s="0" t="s">
        <v>3095</v>
      </c>
      <c r="D7877" s="0" t="s">
        <v>3096</v>
      </c>
      <c r="E7877" s="0" t="s">
        <v>3096</v>
      </c>
      <c r="F7877" s="0" t="s">
        <v>3096</v>
      </c>
    </row>
    <row r="7879" customFormat="false" ht="12.8" hidden="false" customHeight="false" outlineLevel="0" collapsed="false">
      <c r="A7879" s="0" t="s">
        <v>3373</v>
      </c>
      <c r="B7879" s="0" t="str">
        <f aca="false">HYPERLINK("https://lindat.mff.cuni.cz/services/teitok/pdtc10/index.php?action=vallex&amp;frame=v-w376f1", "dávat si (v-w376f1)")</f>
        <v>dávat si (v-w376f1)</v>
      </c>
    </row>
    <row r="7880" customFormat="false" ht="12.8" hidden="false" customHeight="false" outlineLevel="0" collapsed="false">
      <c r="B7880" s="0" t="s">
        <v>7</v>
      </c>
    </row>
    <row r="7881" customFormat="false" ht="12.8" hidden="false" customHeight="false" outlineLevel="0" collapsed="false">
      <c r="B7881" s="0" t="s">
        <v>3374</v>
      </c>
    </row>
    <row r="7883" customFormat="false" ht="12.8" hidden="false" customHeight="false" outlineLevel="0" collapsed="false">
      <c r="A7883" s="0" t="s">
        <v>3375</v>
      </c>
      <c r="B7883" s="0" t="str">
        <f aca="false">HYPERLINK("https://lindat.mff.cuni.cz/services/teitok/pdtc10/index.php?action=vallex&amp;frame=v-w376f7_ZU", "dávat si (v-w376f7_ZU)")</f>
        <v>dávat si (v-w376f7_ZU)</v>
      </c>
    </row>
    <row r="7884" customFormat="false" ht="12.8" hidden="false" customHeight="false" outlineLevel="0" collapsed="false">
      <c r="B7884" s="0" t="s">
        <v>7</v>
      </c>
    </row>
    <row r="7885" customFormat="false" ht="12.8" hidden="false" customHeight="false" outlineLevel="0" collapsed="false">
      <c r="B7885" s="0" t="s">
        <v>3376</v>
      </c>
    </row>
    <row r="7887" customFormat="false" ht="12.8" hidden="false" customHeight="false" outlineLevel="0" collapsed="false">
      <c r="A7887" s="0" t="s">
        <v>3375</v>
      </c>
      <c r="B7887" s="0" t="str">
        <f aca="false">HYPERLINK("https://lindat.mff.cuni.cz/services/teitok/pdtc10/index.php?action=vallex&amp;frame=v-w376hsa_421", "dávat si (v-w376hsa_421) - substituted with v-w376f7_ZU")</f>
        <v>dávat si (v-w376hsa_421) - substituted with v-w376f7_ZU</v>
      </c>
    </row>
    <row r="7888" customFormat="false" ht="12.8" hidden="false" customHeight="false" outlineLevel="0" collapsed="false">
      <c r="B7888" s="0" t="s">
        <v>7</v>
      </c>
    </row>
    <row r="7889" customFormat="false" ht="12.8" hidden="false" customHeight="false" outlineLevel="0" collapsed="false">
      <c r="B7889" s="0" t="s">
        <v>3376</v>
      </c>
    </row>
    <row r="7891" customFormat="false" ht="12.8" hidden="false" customHeight="false" outlineLevel="0" collapsed="false">
      <c r="A7891" s="0" t="s">
        <v>3377</v>
      </c>
      <c r="B7891" s="0" t="str">
        <f aca="false">HYPERLINK("https://lindat.mff.cuni.cz/services/teitok/pdtc10/index.php?action=vallex&amp;frame=v-w376f8_ZU", "dávat si (v-w376f8_ZU)")</f>
        <v>dávat si (v-w376f8_ZU)</v>
      </c>
    </row>
    <row r="7892" customFormat="false" ht="12.8" hidden="false" customHeight="false" outlineLevel="0" collapsed="false">
      <c r="B7892" s="0" t="s">
        <v>7</v>
      </c>
    </row>
    <row r="7893" customFormat="false" ht="12.8" hidden="false" customHeight="false" outlineLevel="0" collapsed="false">
      <c r="B7893" s="0" t="s">
        <v>3378</v>
      </c>
    </row>
    <row r="7894" customFormat="false" ht="12.8" hidden="false" customHeight="false" outlineLevel="0" collapsed="false">
      <c r="B7894" s="0" t="s">
        <v>41</v>
      </c>
    </row>
    <row r="7896" customFormat="false" ht="12.8" hidden="false" customHeight="false" outlineLevel="0" collapsed="false">
      <c r="A7896" s="0" t="s">
        <v>3377</v>
      </c>
      <c r="B7896" s="0" t="str">
        <f aca="false">HYPERLINK("https://lindat.mff.cuni.cz/services/teitok/pdtc10/index.php?action=vallex&amp;frame=v-w376hsa_422", "dávat si (v-w376hsa_422) - substituted with v-w376f8_ZU")</f>
        <v>dávat si (v-w376hsa_422) - substituted with v-w376f8_ZU</v>
      </c>
    </row>
    <row r="7897" customFormat="false" ht="12.8" hidden="false" customHeight="false" outlineLevel="0" collapsed="false">
      <c r="B7897" s="0" t="s">
        <v>7</v>
      </c>
    </row>
    <row r="7898" customFormat="false" ht="12.8" hidden="false" customHeight="false" outlineLevel="0" collapsed="false">
      <c r="B7898" s="0" t="s">
        <v>3378</v>
      </c>
    </row>
    <row r="7899" customFormat="false" ht="12.8" hidden="false" customHeight="false" outlineLevel="0" collapsed="false">
      <c r="B7899" s="0" t="s">
        <v>41</v>
      </c>
    </row>
    <row r="7901" customFormat="false" ht="12.8" hidden="false" customHeight="false" outlineLevel="0" collapsed="false">
      <c r="A7901" s="0" t="s">
        <v>3379</v>
      </c>
      <c r="B7901" s="0" t="str">
        <f aca="false">HYPERLINK("https://lindat.mff.cuni.cz/services/teitok/pdtc10/index.php?action=vallex&amp;frame=v-w376hsa_1441", "dávat si (v-w376hsa_1441)")</f>
        <v>dávat si (v-w376hsa_1441)</v>
      </c>
    </row>
    <row r="7902" customFormat="false" ht="12.8" hidden="false" customHeight="false" outlineLevel="0" collapsed="false">
      <c r="B7902" s="0" t="s">
        <v>7</v>
      </c>
    </row>
    <row r="7903" customFormat="false" ht="12.8" hidden="false" customHeight="false" outlineLevel="0" collapsed="false">
      <c r="B7903" s="0" t="s">
        <v>14</v>
      </c>
    </row>
    <row r="7905" customFormat="false" ht="12.8" hidden="false" customHeight="false" outlineLevel="0" collapsed="false">
      <c r="A7905" s="0" t="s">
        <v>3380</v>
      </c>
      <c r="B7905" s="0" t="str">
        <f aca="false">HYPERLINK("https://lindat.mff.cuni.cz/services/teitok/pdtc10/index.php?action=vallex&amp;frame=v-w379f1", "dávkovat (v-w379f1)")</f>
        <v>dávkovat (v-w379f1)</v>
      </c>
    </row>
    <row r="7906" customFormat="false" ht="12.8" hidden="false" customHeight="false" outlineLevel="0" collapsed="false">
      <c r="B7906" s="0" t="s">
        <v>7</v>
      </c>
    </row>
    <row r="7907" customFormat="false" ht="12.8" hidden="false" customHeight="false" outlineLevel="0" collapsed="false">
      <c r="B7907" s="0" t="s">
        <v>14</v>
      </c>
    </row>
    <row r="7908" customFormat="false" ht="12.8" hidden="false" customHeight="false" outlineLevel="0" collapsed="false">
      <c r="B7908" s="0" t="s">
        <v>48</v>
      </c>
    </row>
    <row r="7910" customFormat="false" ht="12.8" hidden="false" customHeight="false" outlineLevel="0" collapsed="false">
      <c r="A7910" s="0" t="s">
        <v>3381</v>
      </c>
      <c r="B7910" s="0" t="str">
        <f aca="false">HYPERLINK("https://lindat.mff.cuni.cz/services/teitok/pdtc10/index.php?action=vallex&amp;frame=v-w428f1", "démonizovat (v-w428f1)")</f>
        <v>démonizovat (v-w428f1)</v>
      </c>
    </row>
    <row r="7911" customFormat="false" ht="12.8" hidden="false" customHeight="false" outlineLevel="0" collapsed="false">
      <c r="B7911" s="0" t="s">
        <v>7</v>
      </c>
    </row>
    <row r="7912" customFormat="false" ht="12.8" hidden="false" customHeight="false" outlineLevel="0" collapsed="false">
      <c r="B7912" s="0" t="s">
        <v>14</v>
      </c>
    </row>
    <row r="7914" customFormat="false" ht="12.8" hidden="false" customHeight="false" outlineLevel="0" collapsed="false">
      <c r="A7914" s="0" t="s">
        <v>3382</v>
      </c>
      <c r="B7914" s="0" t="str">
        <f aca="false">HYPERLINK("https://lindat.mff.cuni.cz/services/teitok/pdtc10/index.php?action=vallex&amp;frame=v-w491f1", "dít (v-w491f1)")</f>
        <v>dít (v-w491f1)</v>
      </c>
    </row>
    <row r="7915" customFormat="false" ht="12.8" hidden="false" customHeight="false" outlineLevel="0" collapsed="false">
      <c r="B7915" s="0" t="s">
        <v>7</v>
      </c>
      <c r="E7915" s="0" t="s">
        <v>164</v>
      </c>
      <c r="F7915" s="0" t="s">
        <v>164</v>
      </c>
    </row>
    <row r="7916" customFormat="false" ht="12.8" hidden="false" customHeight="false" outlineLevel="0" collapsed="false">
      <c r="B7916" s="0" t="s">
        <v>2023</v>
      </c>
      <c r="E7916" s="0" t="s">
        <v>1766</v>
      </c>
      <c r="F7916" s="0" t="s">
        <v>1766</v>
      </c>
    </row>
    <row r="7917" customFormat="false" ht="12.8" hidden="false" customHeight="false" outlineLevel="0" collapsed="false">
      <c r="B7917" s="0" t="s">
        <v>363</v>
      </c>
      <c r="E7917" s="0" t="s">
        <v>167</v>
      </c>
      <c r="F7917" s="0" t="s">
        <v>167</v>
      </c>
    </row>
    <row r="7919" customFormat="false" ht="12.8" hidden="false" customHeight="false" outlineLevel="0" collapsed="false">
      <c r="A7919" s="0" t="s">
        <v>3383</v>
      </c>
      <c r="B7919" s="0" t="str">
        <f aca="false">HYPERLINK("https://lindat.mff.cuni.cz/services/teitok/pdtc10/index.php?action=vallex&amp;frame=v-w492f2", "dít se (v-w492f2)")</f>
        <v>dít se (v-w492f2)</v>
      </c>
    </row>
    <row r="7920" customFormat="false" ht="12.8" hidden="false" customHeight="false" outlineLevel="0" collapsed="false">
      <c r="B7920" s="0" t="s">
        <v>7</v>
      </c>
      <c r="C7920" s="0" t="s">
        <v>3384</v>
      </c>
      <c r="D7920" s="0" t="s">
        <v>3385</v>
      </c>
      <c r="E7920" s="0" t="s">
        <v>3385</v>
      </c>
      <c r="F7920" s="0" t="s">
        <v>3385</v>
      </c>
    </row>
    <row r="7921" customFormat="false" ht="12.8" hidden="false" customHeight="false" outlineLevel="0" collapsed="false">
      <c r="B7921" s="0" t="s">
        <v>548</v>
      </c>
      <c r="C7921" s="0" t="s">
        <v>3386</v>
      </c>
      <c r="D7921" s="0" t="s">
        <v>3386</v>
      </c>
      <c r="E7921" s="0" t="s">
        <v>3386</v>
      </c>
      <c r="F7921" s="0" t="s">
        <v>3386</v>
      </c>
    </row>
    <row r="7923" customFormat="false" ht="12.8" hidden="false" customHeight="false" outlineLevel="0" collapsed="false">
      <c r="A7923" s="0" t="s">
        <v>3387</v>
      </c>
      <c r="B7923" s="0" t="str">
        <f aca="false">HYPERLINK("https://lindat.mff.cuni.cz/services/teitok/pdtc10/index.php?action=vallex&amp;frame=v-w492f3", "dít se (v-w492f3)")</f>
        <v>dít se (v-w492f3)</v>
      </c>
    </row>
    <row r="7924" customFormat="false" ht="12.8" hidden="false" customHeight="false" outlineLevel="0" collapsed="false">
      <c r="B7924" s="0" t="s">
        <v>641</v>
      </c>
      <c r="C7924" s="0" t="s">
        <v>1894</v>
      </c>
    </row>
    <row r="7925" customFormat="false" ht="12.8" hidden="false" customHeight="false" outlineLevel="0" collapsed="false">
      <c r="B7925" s="0" t="s">
        <v>119</v>
      </c>
    </row>
    <row r="7927" customFormat="false" ht="12.8" hidden="false" customHeight="false" outlineLevel="0" collapsed="false">
      <c r="A7927" s="0" t="s">
        <v>3388</v>
      </c>
      <c r="B7927" s="0" t="str">
        <f aca="false">HYPERLINK("https://lindat.mff.cuni.cz/services/teitok/pdtc10/index.php?action=vallex&amp;frame=v-w492f1", "dít se (v-w492f1)")</f>
        <v>dít se (v-w492f1)</v>
      </c>
    </row>
    <row r="7928" customFormat="false" ht="12.8" hidden="false" customHeight="false" outlineLevel="0" collapsed="false">
      <c r="B7928" s="0" t="s">
        <v>3389</v>
      </c>
      <c r="C7928" s="0" t="s">
        <v>3390</v>
      </c>
      <c r="D7928" s="0" t="s">
        <v>288</v>
      </c>
      <c r="E7928" s="0" t="s">
        <v>288</v>
      </c>
      <c r="F7928" s="0" t="s">
        <v>288</v>
      </c>
    </row>
    <row r="7930" customFormat="false" ht="12.8" hidden="false" customHeight="false" outlineLevel="0" collapsed="false">
      <c r="A7930" s="0" t="s">
        <v>3391</v>
      </c>
      <c r="B7930" s="0" t="str">
        <f aca="false">HYPERLINK("https://lindat.mff.cuni.cz/services/teitok/pdtc10/index.php?action=vallex&amp;frame=v-w494f11_ZU", "dívat se (v-w494f11_ZU)")</f>
        <v>dívat se (v-w494f11_ZU)</v>
      </c>
    </row>
    <row r="7931" customFormat="false" ht="12.8" hidden="false" customHeight="false" outlineLevel="0" collapsed="false">
      <c r="B7931" s="0" t="s">
        <v>7</v>
      </c>
    </row>
    <row r="7932" customFormat="false" ht="12.8" hidden="false" customHeight="false" outlineLevel="0" collapsed="false">
      <c r="B7932" s="0" t="s">
        <v>3392</v>
      </c>
    </row>
    <row r="7934" customFormat="false" ht="12.8" hidden="false" customHeight="false" outlineLevel="0" collapsed="false">
      <c r="A7934" s="0" t="s">
        <v>3391</v>
      </c>
      <c r="B7934" s="0" t="str">
        <f aca="false">HYPERLINK("https://lindat.mff.cuni.cz/services/teitok/pdtc10/index.php?action=vallex&amp;frame=v-w494f1", "dívat se (v-w494f1) - substituted with v-w494f11_ZU")</f>
        <v>dívat se (v-w494f1) - substituted with v-w494f11_ZU</v>
      </c>
    </row>
    <row r="7935" customFormat="false" ht="12.8" hidden="false" customHeight="false" outlineLevel="0" collapsed="false">
      <c r="B7935" s="0" t="s">
        <v>7</v>
      </c>
      <c r="C7935" s="0" t="s">
        <v>3393</v>
      </c>
      <c r="D7935" s="0" t="s">
        <v>1448</v>
      </c>
      <c r="E7935" s="0" t="s">
        <v>1448</v>
      </c>
      <c r="F7935" s="0" t="s">
        <v>1448</v>
      </c>
    </row>
    <row r="7936" customFormat="false" ht="12.8" hidden="false" customHeight="false" outlineLevel="0" collapsed="false">
      <c r="B7936" s="0" t="s">
        <v>3392</v>
      </c>
      <c r="C7936" s="0" t="s">
        <v>3394</v>
      </c>
      <c r="D7936" s="0" t="s">
        <v>414</v>
      </c>
      <c r="E7936" s="0" t="s">
        <v>414</v>
      </c>
      <c r="F7936" s="0" t="s">
        <v>414</v>
      </c>
    </row>
    <row r="7938" customFormat="false" ht="12.8" hidden="false" customHeight="false" outlineLevel="0" collapsed="false">
      <c r="A7938" s="0" t="s">
        <v>3391</v>
      </c>
      <c r="B7938" s="0" t="str">
        <f aca="false">HYPERLINK("https://lindat.mff.cuni.cz/services/teitok/pdtc10/index.php?action=vallex&amp;frame=v-w494f7_ZU", "dívat se (v-w494f7_ZU) - substituted with v-w494f11_ZU")</f>
        <v>dívat se (v-w494f7_ZU) - substituted with v-w494f11_ZU</v>
      </c>
    </row>
    <row r="7939" customFormat="false" ht="12.8" hidden="false" customHeight="false" outlineLevel="0" collapsed="false">
      <c r="B7939" s="0" t="s">
        <v>7</v>
      </c>
    </row>
    <row r="7940" customFormat="false" ht="12.8" hidden="false" customHeight="false" outlineLevel="0" collapsed="false">
      <c r="B7940" s="0" t="s">
        <v>3392</v>
      </c>
    </row>
    <row r="7942" customFormat="false" ht="12.8" hidden="false" customHeight="false" outlineLevel="0" collapsed="false">
      <c r="A7942" s="0" t="s">
        <v>3391</v>
      </c>
      <c r="B7942" s="0" t="str">
        <f aca="false">HYPERLINK("https://lindat.mff.cuni.cz/services/teitok/pdtc10/index.php?action=vallex&amp;frame=v-w494f8_ZU", "dívat se (v-w494f8_ZU) - substituted with v-w494f11_ZU")</f>
        <v>dívat se (v-w494f8_ZU) - substituted with v-w494f11_ZU</v>
      </c>
    </row>
    <row r="7943" customFormat="false" ht="12.8" hidden="false" customHeight="false" outlineLevel="0" collapsed="false">
      <c r="B7943" s="0" t="s">
        <v>7</v>
      </c>
    </row>
    <row r="7944" customFormat="false" ht="12.8" hidden="false" customHeight="false" outlineLevel="0" collapsed="false">
      <c r="B7944" s="0" t="s">
        <v>3392</v>
      </c>
    </row>
    <row r="7946" customFormat="false" ht="12.8" hidden="false" customHeight="false" outlineLevel="0" collapsed="false">
      <c r="A7946" s="0" t="s">
        <v>3391</v>
      </c>
      <c r="B7946" s="0" t="str">
        <f aca="false">HYPERLINK("https://lindat.mff.cuni.cz/services/teitok/pdtc10/index.php?action=vallex&amp;frame=v-w494f9_ZU", "dívat se (v-w494f9_ZU) - substituted with v-w494f11_ZU")</f>
        <v>dívat se (v-w494f9_ZU) - substituted with v-w494f11_ZU</v>
      </c>
    </row>
    <row r="7947" customFormat="false" ht="12.8" hidden="false" customHeight="false" outlineLevel="0" collapsed="false">
      <c r="B7947" s="0" t="s">
        <v>7</v>
      </c>
    </row>
    <row r="7948" customFormat="false" ht="12.8" hidden="false" customHeight="false" outlineLevel="0" collapsed="false">
      <c r="B7948" s="0" t="s">
        <v>3392</v>
      </c>
    </row>
    <row r="7950" customFormat="false" ht="12.8" hidden="false" customHeight="false" outlineLevel="0" collapsed="false">
      <c r="A7950" s="0" t="s">
        <v>3395</v>
      </c>
      <c r="B7950" s="0" t="str">
        <f aca="false">HYPERLINK("https://lindat.mff.cuni.cz/services/teitok/pdtc10/index.php?action=vallex&amp;frame=v-w494f2", "dívat se (v-w494f2)")</f>
        <v>dívat se (v-w494f2)</v>
      </c>
    </row>
    <row r="7951" customFormat="false" ht="12.8" hidden="false" customHeight="false" outlineLevel="0" collapsed="false">
      <c r="B7951" s="0" t="s">
        <v>7</v>
      </c>
      <c r="C7951" s="0" t="s">
        <v>3396</v>
      </c>
      <c r="D7951" s="0" t="s">
        <v>451</v>
      </c>
      <c r="E7951" s="0" t="s">
        <v>451</v>
      </c>
      <c r="F7951" s="0" t="s">
        <v>451</v>
      </c>
    </row>
    <row r="7952" customFormat="false" ht="12.8" hidden="false" customHeight="false" outlineLevel="0" collapsed="false">
      <c r="B7952" s="0" t="s">
        <v>41</v>
      </c>
      <c r="C7952" s="0" t="s">
        <v>3397</v>
      </c>
      <c r="D7952" s="0" t="s">
        <v>453</v>
      </c>
      <c r="E7952" s="0" t="s">
        <v>453</v>
      </c>
      <c r="F7952" s="0" t="s">
        <v>453</v>
      </c>
    </row>
    <row r="7953" customFormat="false" ht="12.8" hidden="false" customHeight="false" outlineLevel="0" collapsed="false">
      <c r="B7953" s="0" t="s">
        <v>3398</v>
      </c>
      <c r="D7953" s="0" t="s">
        <v>3399</v>
      </c>
      <c r="E7953" s="0" t="s">
        <v>3399</v>
      </c>
      <c r="F7953" s="0" t="s">
        <v>3399</v>
      </c>
    </row>
    <row r="7954" customFormat="false" ht="12.8" hidden="false" customHeight="false" outlineLevel="0" collapsed="false">
      <c r="B7954" s="0" t="s">
        <v>474</v>
      </c>
      <c r="C7954" s="0" t="s">
        <v>3400</v>
      </c>
      <c r="D7954" s="0" t="s">
        <v>3401</v>
      </c>
      <c r="E7954" s="0" t="s">
        <v>3401</v>
      </c>
      <c r="F7954" s="0" t="s">
        <v>3401</v>
      </c>
    </row>
    <row r="7955" customFormat="false" ht="12.8" hidden="false" customHeight="false" outlineLevel="0" collapsed="false">
      <c r="B7955" s="0" t="s">
        <v>479</v>
      </c>
      <c r="D7955" s="0" t="s">
        <v>3402</v>
      </c>
      <c r="E7955" s="0" t="s">
        <v>3402</v>
      </c>
      <c r="F7955" s="0" t="s">
        <v>3402</v>
      </c>
    </row>
    <row r="7956" customFormat="false" ht="12.8" hidden="false" customHeight="false" outlineLevel="0" collapsed="false">
      <c r="B7956" s="0" t="s">
        <v>481</v>
      </c>
      <c r="D7956" s="0" t="s">
        <v>3403</v>
      </c>
      <c r="E7956" s="0" t="s">
        <v>3403</v>
      </c>
      <c r="F7956" s="0" t="s">
        <v>3403</v>
      </c>
    </row>
    <row r="7957" customFormat="false" ht="12.8" hidden="false" customHeight="false" outlineLevel="0" collapsed="false">
      <c r="B7957" s="0" t="s">
        <v>483</v>
      </c>
      <c r="C7957" s="0" t="s">
        <v>3404</v>
      </c>
      <c r="D7957" s="0" t="s">
        <v>3405</v>
      </c>
      <c r="E7957" s="0" t="s">
        <v>3405</v>
      </c>
      <c r="F7957" s="0" t="s">
        <v>3405</v>
      </c>
    </row>
    <row r="7959" customFormat="false" ht="12.8" hidden="false" customHeight="false" outlineLevel="0" collapsed="false">
      <c r="A7959" s="0" t="s">
        <v>3406</v>
      </c>
      <c r="B7959" s="0" t="str">
        <f aca="false">HYPERLINK("https://lindat.mff.cuni.cz/services/teitok/pdtc10/index.php?action=vallex&amp;frame=v-w494f4", "dívat se (v-w494f4)")</f>
        <v>dívat se (v-w494f4)</v>
      </c>
    </row>
    <row r="7960" customFormat="false" ht="12.8" hidden="false" customHeight="false" outlineLevel="0" collapsed="false">
      <c r="B7960" s="0" t="s">
        <v>7</v>
      </c>
      <c r="C7960" s="0" t="s">
        <v>1154</v>
      </c>
    </row>
    <row r="7961" customFormat="false" ht="12.8" hidden="false" customHeight="false" outlineLevel="0" collapsed="false">
      <c r="B7961" s="0" t="s">
        <v>41</v>
      </c>
      <c r="C7961" s="0" t="s">
        <v>3407</v>
      </c>
    </row>
    <row r="7963" customFormat="false" ht="12.8" hidden="false" customHeight="false" outlineLevel="0" collapsed="false">
      <c r="A7963" s="0" t="s">
        <v>3408</v>
      </c>
      <c r="B7963" s="0" t="str">
        <f aca="false">HYPERLINK("https://lindat.mff.cuni.cz/services/teitok/pdtc10/index.php?action=vallex&amp;frame=v-w494f5_ZU", "dívat se (v-w494f5_ZU)")</f>
        <v>dívat se (v-w494f5_ZU)</v>
      </c>
    </row>
    <row r="7964" customFormat="false" ht="12.8" hidden="false" customHeight="false" outlineLevel="0" collapsed="false">
      <c r="B7964" s="0" t="s">
        <v>7</v>
      </c>
      <c r="C7964" s="0" t="s">
        <v>1263</v>
      </c>
      <c r="D7964" s="0" t="s">
        <v>1813</v>
      </c>
      <c r="E7964" s="0" t="s">
        <v>1813</v>
      </c>
      <c r="F7964" s="0" t="s">
        <v>1813</v>
      </c>
    </row>
    <row r="7965" customFormat="false" ht="12.8" hidden="false" customHeight="false" outlineLevel="0" collapsed="false">
      <c r="B7965" s="0" t="s">
        <v>1375</v>
      </c>
      <c r="C7965" s="0" t="s">
        <v>1289</v>
      </c>
      <c r="D7965" s="0" t="s">
        <v>1815</v>
      </c>
      <c r="E7965" s="0" t="s">
        <v>1815</v>
      </c>
      <c r="F7965" s="0" t="s">
        <v>1815</v>
      </c>
    </row>
    <row r="7967" customFormat="false" ht="12.8" hidden="false" customHeight="false" outlineLevel="0" collapsed="false">
      <c r="A7967" s="0" t="s">
        <v>3409</v>
      </c>
      <c r="B7967" s="0" t="str">
        <f aca="false">HYPERLINK("https://lindat.mff.cuni.cz/services/teitok/pdtc10/index.php?action=vallex&amp;frame=v-w494f13_ZU", "dívat se (v-w494f13_ZU)")</f>
        <v>dívat se (v-w494f13_ZU)</v>
      </c>
    </row>
    <row r="7968" customFormat="false" ht="12.8" hidden="false" customHeight="false" outlineLevel="0" collapsed="false">
      <c r="B7968" s="0" t="s">
        <v>7</v>
      </c>
    </row>
    <row r="7969" customFormat="false" ht="12.8" hidden="false" customHeight="false" outlineLevel="0" collapsed="false">
      <c r="B7969" s="0" t="s">
        <v>124</v>
      </c>
    </row>
    <row r="7971" customFormat="false" ht="12.8" hidden="false" customHeight="false" outlineLevel="0" collapsed="false">
      <c r="A7971" s="0" t="s">
        <v>3409</v>
      </c>
      <c r="B7971" s="0" t="str">
        <f aca="false">HYPERLINK("https://lindat.mff.cuni.cz/services/teitok/pdtc10/index.php?action=vallex&amp;frame=v-w494f3", "dívat se (v-w494f3) - substituted with v-w494f13_ZU")</f>
        <v>dívat se (v-w494f3) - substituted with v-w494f13_ZU</v>
      </c>
    </row>
    <row r="7972" customFormat="false" ht="12.8" hidden="false" customHeight="false" outlineLevel="0" collapsed="false">
      <c r="B7972" s="0" t="s">
        <v>7</v>
      </c>
      <c r="C7972" s="0" t="s">
        <v>91</v>
      </c>
      <c r="D7972" s="0" t="s">
        <v>428</v>
      </c>
      <c r="E7972" s="0" t="s">
        <v>3410</v>
      </c>
      <c r="F7972" s="0" t="s">
        <v>3410</v>
      </c>
    </row>
    <row r="7973" customFormat="false" ht="12.8" hidden="false" customHeight="false" outlineLevel="0" collapsed="false">
      <c r="B7973" s="0" t="s">
        <v>124</v>
      </c>
      <c r="C7973" s="0" t="s">
        <v>3411</v>
      </c>
      <c r="D7973" s="0" t="s">
        <v>3412</v>
      </c>
      <c r="E7973" s="0" t="s">
        <v>3413</v>
      </c>
      <c r="F7973" s="0" t="s">
        <v>3413</v>
      </c>
    </row>
    <row r="7975" customFormat="false" ht="12.8" hidden="false" customHeight="false" outlineLevel="0" collapsed="false">
      <c r="A7975" s="0" t="s">
        <v>3414</v>
      </c>
      <c r="B7975" s="0" t="str">
        <f aca="false">HYPERLINK("https://lindat.mff.cuni.cz/services/teitok/pdtc10/index.php?action=vallex&amp;frame=v-w494f6_ZU", "dívat se (v-w494f6_ZU)")</f>
        <v>dívat se (v-w494f6_ZU)</v>
      </c>
    </row>
    <row r="7976" customFormat="false" ht="12.8" hidden="false" customHeight="false" outlineLevel="0" collapsed="false">
      <c r="B7976" s="0" t="s">
        <v>7</v>
      </c>
      <c r="C7976" s="0" t="s">
        <v>2736</v>
      </c>
    </row>
    <row r="7977" customFormat="false" ht="12.8" hidden="false" customHeight="false" outlineLevel="0" collapsed="false">
      <c r="B7977" s="0" t="s">
        <v>142</v>
      </c>
    </row>
    <row r="7978" customFormat="false" ht="12.8" hidden="false" customHeight="false" outlineLevel="0" collapsed="false">
      <c r="B7978" s="0" t="s">
        <v>3415</v>
      </c>
    </row>
    <row r="7980" customFormat="false" ht="12.8" hidden="false" customHeight="false" outlineLevel="0" collapsed="false">
      <c r="A7980" s="0" t="s">
        <v>3414</v>
      </c>
      <c r="B7980" s="0" t="str">
        <f aca="false">HYPERLINK("https://lindat.mff.cuni.cz/services/teitok/pdtc10/index.php?action=vallex&amp;frame=v-w494hsa_1065", "dívat se (v-w494hsa_1065) - substituted with v-w494f6_ZU")</f>
        <v>dívat se (v-w494hsa_1065) - substituted with v-w494f6_ZU</v>
      </c>
    </row>
    <row r="7981" customFormat="false" ht="12.8" hidden="false" customHeight="false" outlineLevel="0" collapsed="false">
      <c r="B7981" s="0" t="s">
        <v>7</v>
      </c>
    </row>
    <row r="7982" customFormat="false" ht="12.8" hidden="false" customHeight="false" outlineLevel="0" collapsed="false">
      <c r="B7982" s="0" t="s">
        <v>142</v>
      </c>
    </row>
    <row r="7983" customFormat="false" ht="12.8" hidden="false" customHeight="false" outlineLevel="0" collapsed="false">
      <c r="B7983" s="0" t="s">
        <v>3415</v>
      </c>
    </row>
    <row r="7985" customFormat="false" ht="12.8" hidden="false" customHeight="false" outlineLevel="0" collapsed="false">
      <c r="A7985" s="0" t="s">
        <v>3416</v>
      </c>
      <c r="B7985" s="0" t="str">
        <f aca="false">HYPERLINK("https://lindat.mff.cuni.cz/services/teitok/pdtc10/index.php?action=vallex&amp;frame=v-w494f12_ZU", "dívat se (v-w494f12_ZU)")</f>
        <v>dívat se (v-w494f12_ZU)</v>
      </c>
    </row>
    <row r="7986" customFormat="false" ht="12.8" hidden="false" customHeight="false" outlineLevel="0" collapsed="false">
      <c r="B7986" s="0" t="s">
        <v>7</v>
      </c>
    </row>
    <row r="7987" customFormat="false" ht="12.8" hidden="false" customHeight="false" outlineLevel="0" collapsed="false">
      <c r="B7987" s="0" t="s">
        <v>41</v>
      </c>
    </row>
    <row r="7988" customFormat="false" ht="12.8" hidden="false" customHeight="false" outlineLevel="0" collapsed="false">
      <c r="B7988" s="0" t="s">
        <v>3417</v>
      </c>
    </row>
    <row r="7990" customFormat="false" ht="12.8" hidden="false" customHeight="false" outlineLevel="0" collapsed="false">
      <c r="A7990" s="0" t="s">
        <v>3416</v>
      </c>
      <c r="B7990" s="0" t="str">
        <f aca="false">HYPERLINK("https://lindat.mff.cuni.cz/services/teitok/pdtc10/index.php?action=vallex&amp;frame=v-w494f10_ZU", "dívat se (v-w494f10_ZU) - substituted with v-w494f12_ZU")</f>
        <v>dívat se (v-w494f10_ZU) - substituted with v-w494f12_ZU</v>
      </c>
    </row>
    <row r="7991" customFormat="false" ht="12.8" hidden="false" customHeight="false" outlineLevel="0" collapsed="false">
      <c r="B7991" s="0" t="s">
        <v>7</v>
      </c>
    </row>
    <row r="7992" customFormat="false" ht="12.8" hidden="false" customHeight="false" outlineLevel="0" collapsed="false">
      <c r="B7992" s="0" t="s">
        <v>41</v>
      </c>
    </row>
    <row r="7993" customFormat="false" ht="12.8" hidden="false" customHeight="false" outlineLevel="0" collapsed="false">
      <c r="B7993" s="0" t="s">
        <v>3417</v>
      </c>
    </row>
    <row r="7995" customFormat="false" ht="12.8" hidden="false" customHeight="false" outlineLevel="0" collapsed="false">
      <c r="A7995" s="0" t="s">
        <v>3418</v>
      </c>
      <c r="B7995" s="0" t="str">
        <f aca="false">HYPERLINK("https://lindat.mff.cuni.cz/services/teitok/pdtc10/index.php?action=vallex&amp;frame=v-w862f2", "dýchat (v-w862f2)")</f>
        <v>dýchat (v-w862f2)</v>
      </c>
    </row>
    <row r="7996" customFormat="false" ht="12.8" hidden="false" customHeight="false" outlineLevel="0" collapsed="false">
      <c r="B7996" s="0" t="s">
        <v>7</v>
      </c>
      <c r="F7996" s="0" t="s">
        <v>118</v>
      </c>
    </row>
    <row r="7997" customFormat="false" ht="12.8" hidden="false" customHeight="false" outlineLevel="0" collapsed="false">
      <c r="B7997" s="0" t="s">
        <v>14</v>
      </c>
      <c r="F7997" s="0" t="s">
        <v>159</v>
      </c>
    </row>
    <row r="7999" customFormat="false" ht="12.8" hidden="false" customHeight="false" outlineLevel="0" collapsed="false">
      <c r="A7999" s="0" t="s">
        <v>3419</v>
      </c>
      <c r="B7999" s="0" t="str">
        <f aca="false">HYPERLINK("https://lindat.mff.cuni.cz/services/teitok/pdtc10/index.php?action=vallex&amp;frame=v-w862f5_ZU", "dýchat (v-w862f5_ZU)")</f>
        <v>dýchat (v-w862f5_ZU)</v>
      </c>
    </row>
    <row r="8000" customFormat="false" ht="12.8" hidden="false" customHeight="false" outlineLevel="0" collapsed="false">
      <c r="B8000" s="0" t="s">
        <v>7</v>
      </c>
    </row>
    <row r="8002" customFormat="false" ht="12.8" hidden="false" customHeight="false" outlineLevel="0" collapsed="false">
      <c r="A8002" s="0" t="s">
        <v>3419</v>
      </c>
      <c r="B8002" s="0" t="str">
        <f aca="false">HYPERLINK("https://lindat.mff.cuni.cz/services/teitok/pdtc10/index.php?action=vallex&amp;frame=v-w862f1", "dýchat (v-w862f1) - substituted with v-w862f5_ZU")</f>
        <v>dýchat (v-w862f1) - substituted with v-w862f5_ZU</v>
      </c>
    </row>
    <row r="8003" customFormat="false" ht="12.8" hidden="false" customHeight="false" outlineLevel="0" collapsed="false">
      <c r="B8003" s="0" t="s">
        <v>7</v>
      </c>
      <c r="C8003" s="0" t="s">
        <v>569</v>
      </c>
      <c r="D8003" s="0" t="s">
        <v>569</v>
      </c>
      <c r="E8003" s="0" t="s">
        <v>569</v>
      </c>
      <c r="F8003" s="0" t="s">
        <v>569</v>
      </c>
    </row>
    <row r="8005" customFormat="false" ht="12.8" hidden="false" customHeight="false" outlineLevel="0" collapsed="false">
      <c r="A8005" s="0" t="s">
        <v>3419</v>
      </c>
      <c r="B8005" s="0" t="str">
        <f aca="false">HYPERLINK("https://lindat.mff.cuni.cz/services/teitok/pdtc10/index.php?action=vallex&amp;frame=v-w862f4_ZU", "dýchat (v-w862f4_ZU) - substituted with v-w862f5_ZU")</f>
        <v>dýchat (v-w862f4_ZU) - substituted with v-w862f5_ZU</v>
      </c>
    </row>
    <row r="8006" customFormat="false" ht="12.8" hidden="false" customHeight="false" outlineLevel="0" collapsed="false">
      <c r="B8006" s="0" t="s">
        <v>7</v>
      </c>
    </row>
    <row r="8008" customFormat="false" ht="12.8" hidden="false" customHeight="false" outlineLevel="0" collapsed="false">
      <c r="A8008" s="0" t="s">
        <v>3420</v>
      </c>
      <c r="B8008" s="0" t="str">
        <f aca="false">HYPERLINK("https://lindat.mff.cuni.cz/services/teitok/pdtc10/index.php?action=vallex&amp;frame=v-w862f3_ZU", "dýchat (v-w862f3_ZU)")</f>
        <v>dýchat (v-w862f3_ZU)</v>
      </c>
    </row>
    <row r="8009" customFormat="false" ht="12.8" hidden="false" customHeight="false" outlineLevel="0" collapsed="false">
      <c r="B8009" s="0" t="s">
        <v>7</v>
      </c>
      <c r="C8009" s="0" t="s">
        <v>569</v>
      </c>
    </row>
    <row r="8010" customFormat="false" ht="12.8" hidden="false" customHeight="false" outlineLevel="0" collapsed="false">
      <c r="B8010" s="0" t="s">
        <v>3421</v>
      </c>
    </row>
    <row r="8011" customFormat="false" ht="12.8" hidden="false" customHeight="false" outlineLevel="0" collapsed="false">
      <c r="B8011" s="0" t="s">
        <v>142</v>
      </c>
    </row>
    <row r="8013" customFormat="false" ht="12.8" hidden="false" customHeight="false" outlineLevel="0" collapsed="false">
      <c r="A8013" s="0" t="s">
        <v>3420</v>
      </c>
      <c r="B8013" s="0" t="str">
        <f aca="false">HYPERLINK("https://lindat.mff.cuni.cz/services/teitok/pdtc10/index.php?action=vallex&amp;frame=v-w862hsa_75", "dýchat (v-w862hsa_75) - substituted with v-w862f3_ZU")</f>
        <v>dýchat (v-w862hsa_75) - substituted with v-w862f3_ZU</v>
      </c>
    </row>
    <row r="8014" customFormat="false" ht="12.8" hidden="false" customHeight="false" outlineLevel="0" collapsed="false">
      <c r="B8014" s="0" t="s">
        <v>7</v>
      </c>
    </row>
    <row r="8015" customFormat="false" ht="12.8" hidden="false" customHeight="false" outlineLevel="0" collapsed="false">
      <c r="B8015" s="0" t="s">
        <v>3421</v>
      </c>
    </row>
    <row r="8016" customFormat="false" ht="12.8" hidden="false" customHeight="false" outlineLevel="0" collapsed="false">
      <c r="B8016" s="0" t="s">
        <v>142</v>
      </c>
    </row>
    <row r="8018" customFormat="false" ht="12.8" hidden="false" customHeight="false" outlineLevel="0" collapsed="false">
      <c r="A8018" s="0" t="s">
        <v>3422</v>
      </c>
      <c r="B8018" s="0" t="str">
        <f aca="false">HYPERLINK("https://lindat.mff.cuni.cz/services/teitok/pdtc10/index.php?action=vallex&amp;frame=v-w862hsa_1182", "dýchat (v-w862hsa_1182)")</f>
        <v>dýchat (v-w862hsa_1182)</v>
      </c>
    </row>
    <row r="8019" customFormat="false" ht="12.8" hidden="false" customHeight="false" outlineLevel="0" collapsed="false">
      <c r="B8019" s="0" t="s">
        <v>7</v>
      </c>
    </row>
    <row r="8020" customFormat="false" ht="12.8" hidden="false" customHeight="false" outlineLevel="0" collapsed="false">
      <c r="B8020" s="0" t="s">
        <v>41</v>
      </c>
    </row>
    <row r="8022" customFormat="false" ht="12.8" hidden="false" customHeight="false" outlineLevel="0" collapsed="false">
      <c r="A8022" s="0" t="s">
        <v>3423</v>
      </c>
      <c r="B8022" s="0" t="str">
        <f aca="false">HYPERLINK("https://lindat.mff.cuni.cz/services/teitok/pdtc10/index.php?action=vallex&amp;frame=v-w862hsa_1183", "dýchat (v-w862hsa_1183)")</f>
        <v>dýchat (v-w862hsa_1183)</v>
      </c>
    </row>
    <row r="8023" customFormat="false" ht="12.8" hidden="false" customHeight="false" outlineLevel="0" collapsed="false">
      <c r="B8023" s="0" t="s">
        <v>7</v>
      </c>
    </row>
    <row r="8024" customFormat="false" ht="12.8" hidden="false" customHeight="false" outlineLevel="0" collapsed="false">
      <c r="B8024" s="0" t="s">
        <v>216</v>
      </c>
    </row>
    <row r="8026" customFormat="false" ht="12.8" hidden="false" customHeight="false" outlineLevel="0" collapsed="false">
      <c r="A8026" s="0" t="s">
        <v>3424</v>
      </c>
      <c r="B8026" s="0" t="str">
        <f aca="false">HYPERLINK("https://lindat.mff.cuni.cz/services/teitok/pdtc10/index.php?action=vallex&amp;frame=v-w10147f3_ZU", "dědit (v-w10147f3_ZU)")</f>
        <v>dědit (v-w10147f3_ZU)</v>
      </c>
    </row>
    <row r="8027" customFormat="false" ht="12.8" hidden="false" customHeight="false" outlineLevel="0" collapsed="false">
      <c r="B8027" s="0" t="s">
        <v>7</v>
      </c>
      <c r="C8027" s="0" t="s">
        <v>623</v>
      </c>
      <c r="D8027" s="0" t="s">
        <v>623</v>
      </c>
      <c r="E8027" s="0" t="s">
        <v>623</v>
      </c>
      <c r="F8027" s="0" t="s">
        <v>623</v>
      </c>
    </row>
    <row r="8028" customFormat="false" ht="12.8" hidden="false" customHeight="false" outlineLevel="0" collapsed="false">
      <c r="B8028" s="0" t="s">
        <v>14</v>
      </c>
      <c r="C8028" s="0" t="s">
        <v>74</v>
      </c>
      <c r="D8028" s="0" t="s">
        <v>74</v>
      </c>
      <c r="E8028" s="0" t="s">
        <v>74</v>
      </c>
      <c r="F8028" s="0" t="s">
        <v>74</v>
      </c>
    </row>
    <row r="8030" customFormat="false" ht="12.8" hidden="false" customHeight="false" outlineLevel="0" collapsed="false">
      <c r="A8030" s="0" t="s">
        <v>3424</v>
      </c>
      <c r="B8030" s="0" t="str">
        <f aca="false">HYPERLINK("https://lindat.mff.cuni.cz/services/teitok/pdtc10/index.php?action=vallex&amp;frame=v-w10147f2", "dědit (v-w10147f2) - substituted with v-w10147f3_ZU")</f>
        <v>dědit (v-w10147f2) - substituted with v-w10147f3_ZU</v>
      </c>
    </row>
    <row r="8031" customFormat="false" ht="12.8" hidden="false" customHeight="false" outlineLevel="0" collapsed="false">
      <c r="B8031" s="0" t="s">
        <v>7</v>
      </c>
    </row>
    <row r="8032" customFormat="false" ht="12.8" hidden="false" customHeight="false" outlineLevel="0" collapsed="false">
      <c r="B8032" s="0" t="s">
        <v>14</v>
      </c>
    </row>
    <row r="8034" customFormat="false" ht="12.8" hidden="false" customHeight="false" outlineLevel="0" collapsed="false">
      <c r="A8034" s="0" t="s">
        <v>3425</v>
      </c>
      <c r="B8034" s="0" t="str">
        <f aca="false">HYPERLINK("https://lindat.mff.cuni.cz/services/teitok/pdtc10/index.php?action=vallex&amp;frame=v-w406f1", "děkovat (v-w406f1)")</f>
        <v>děkovat (v-w406f1)</v>
      </c>
    </row>
    <row r="8035" customFormat="false" ht="12.8" hidden="false" customHeight="false" outlineLevel="0" collapsed="false">
      <c r="B8035" s="0" t="s">
        <v>7</v>
      </c>
      <c r="C8035" s="0" t="s">
        <v>184</v>
      </c>
      <c r="D8035" s="0" t="s">
        <v>184</v>
      </c>
      <c r="E8035" s="0" t="s">
        <v>184</v>
      </c>
      <c r="F8035" s="0" t="s">
        <v>184</v>
      </c>
    </row>
    <row r="8036" customFormat="false" ht="12.8" hidden="false" customHeight="false" outlineLevel="0" collapsed="false">
      <c r="B8036" s="0" t="s">
        <v>48</v>
      </c>
      <c r="C8036" s="0" t="s">
        <v>3426</v>
      </c>
      <c r="D8036" s="0" t="s">
        <v>3426</v>
      </c>
      <c r="E8036" s="0" t="s">
        <v>3426</v>
      </c>
      <c r="F8036" s="0" t="s">
        <v>3426</v>
      </c>
    </row>
    <row r="8037" customFormat="false" ht="12.8" hidden="false" customHeight="false" outlineLevel="0" collapsed="false">
      <c r="B8037" s="0" t="s">
        <v>239</v>
      </c>
      <c r="C8037" s="0" t="s">
        <v>3427</v>
      </c>
      <c r="D8037" s="0" t="s">
        <v>3427</v>
      </c>
      <c r="E8037" s="0" t="s">
        <v>3427</v>
      </c>
      <c r="F8037" s="0" t="s">
        <v>3427</v>
      </c>
    </row>
    <row r="8039" customFormat="false" ht="12.8" hidden="false" customHeight="false" outlineLevel="0" collapsed="false">
      <c r="A8039" s="0" t="s">
        <v>3428</v>
      </c>
      <c r="B8039" s="0" t="str">
        <f aca="false">HYPERLINK("https://lindat.mff.cuni.cz/services/teitok/pdtc10/index.php?action=vallex&amp;frame=v-w409f11", "dělat (v-w409f11)")</f>
        <v>dělat (v-w409f11)</v>
      </c>
    </row>
    <row r="8040" customFormat="false" ht="12.8" hidden="false" customHeight="false" outlineLevel="0" collapsed="false">
      <c r="B8040" s="0" t="s">
        <v>265</v>
      </c>
      <c r="C8040" s="0" t="s">
        <v>3429</v>
      </c>
    </row>
    <row r="8041" customFormat="false" ht="12.8" hidden="false" customHeight="false" outlineLevel="0" collapsed="false">
      <c r="B8041" s="0" t="s">
        <v>14</v>
      </c>
      <c r="C8041" s="0" t="s">
        <v>3430</v>
      </c>
    </row>
    <row r="8042" customFormat="false" ht="12.8" hidden="false" customHeight="false" outlineLevel="0" collapsed="false">
      <c r="B8042" s="0" t="s">
        <v>48</v>
      </c>
      <c r="C8042" s="0" t="s">
        <v>3431</v>
      </c>
    </row>
    <row r="8044" customFormat="false" ht="12.8" hidden="false" customHeight="false" outlineLevel="0" collapsed="false">
      <c r="A8044" s="0" t="s">
        <v>3432</v>
      </c>
      <c r="B8044" s="0" t="str">
        <f aca="false">HYPERLINK("https://lindat.mff.cuni.cz/services/teitok/pdtc10/index.php?action=vallex&amp;frame=v-w409f6", "dělat (v-w409f6)")</f>
        <v>dělat (v-w409f6)</v>
      </c>
    </row>
    <row r="8045" customFormat="false" ht="12.8" hidden="false" customHeight="false" outlineLevel="0" collapsed="false">
      <c r="B8045" s="0" t="s">
        <v>7</v>
      </c>
    </row>
    <row r="8046" customFormat="false" ht="12.8" hidden="false" customHeight="false" outlineLevel="0" collapsed="false">
      <c r="B8046" s="0" t="s">
        <v>14</v>
      </c>
    </row>
    <row r="8047" customFormat="false" ht="12.8" hidden="false" customHeight="false" outlineLevel="0" collapsed="false">
      <c r="B8047" s="0" t="s">
        <v>48</v>
      </c>
    </row>
    <row r="8049" customFormat="false" ht="12.8" hidden="false" customHeight="false" outlineLevel="0" collapsed="false">
      <c r="A8049" s="0" t="s">
        <v>3433</v>
      </c>
      <c r="B8049" s="0" t="str">
        <f aca="false">HYPERLINK("https://lindat.mff.cuni.cz/services/teitok/pdtc10/index.php?action=vallex&amp;frame=v-w409f7", "dělat (v-w409f7)")</f>
        <v>dělat (v-w409f7)</v>
      </c>
    </row>
    <row r="8050" customFormat="false" ht="12.8" hidden="false" customHeight="false" outlineLevel="0" collapsed="false">
      <c r="B8050" s="0" t="s">
        <v>7</v>
      </c>
      <c r="C8050" s="0" t="s">
        <v>3434</v>
      </c>
    </row>
    <row r="8051" customFormat="false" ht="12.8" hidden="false" customHeight="false" outlineLevel="0" collapsed="false">
      <c r="B8051" s="0" t="s">
        <v>14</v>
      </c>
      <c r="C8051" s="0" t="s">
        <v>2569</v>
      </c>
    </row>
    <row r="8052" customFormat="false" ht="12.8" hidden="false" customHeight="false" outlineLevel="0" collapsed="false">
      <c r="B8052" s="0" t="s">
        <v>207</v>
      </c>
      <c r="C8052" s="0" t="s">
        <v>3435</v>
      </c>
    </row>
    <row r="8054" customFormat="false" ht="12.8" hidden="false" customHeight="false" outlineLevel="0" collapsed="false">
      <c r="A8054" s="0" t="s">
        <v>3436</v>
      </c>
      <c r="B8054" s="0" t="str">
        <f aca="false">HYPERLINK("https://lindat.mff.cuni.cz/services/teitok/pdtc10/index.php?action=vallex&amp;frame=v-w409f17", "dělat (v-w409f17)")</f>
        <v>dělat (v-w409f17)</v>
      </c>
    </row>
    <row r="8055" customFormat="false" ht="12.8" hidden="false" customHeight="false" outlineLevel="0" collapsed="false">
      <c r="B8055" s="0" t="s">
        <v>7</v>
      </c>
      <c r="C8055" s="0" t="s">
        <v>3437</v>
      </c>
    </row>
    <row r="8056" customFormat="false" ht="12.8" hidden="false" customHeight="false" outlineLevel="0" collapsed="false">
      <c r="B8056" s="0" t="s">
        <v>14</v>
      </c>
      <c r="C8056" s="0" t="s">
        <v>3438</v>
      </c>
    </row>
    <row r="8057" customFormat="false" ht="12.8" hidden="false" customHeight="false" outlineLevel="0" collapsed="false">
      <c r="B8057" s="0" t="s">
        <v>35</v>
      </c>
      <c r="C8057" s="0" t="s">
        <v>2260</v>
      </c>
    </row>
    <row r="8058" customFormat="false" ht="12.8" hidden="false" customHeight="false" outlineLevel="0" collapsed="false">
      <c r="B8058" s="0" t="s">
        <v>37</v>
      </c>
    </row>
    <row r="8060" customFormat="false" ht="12.8" hidden="false" customHeight="false" outlineLevel="0" collapsed="false">
      <c r="A8060" s="0" t="s">
        <v>3439</v>
      </c>
      <c r="B8060" s="0" t="str">
        <f aca="false">HYPERLINK("https://lindat.mff.cuni.cz/services/teitok/pdtc10/index.php?action=vallex&amp;frame=v-w409f10", "dělat (v-w409f10)")</f>
        <v>dělat (v-w409f10)</v>
      </c>
    </row>
    <row r="8061" customFormat="false" ht="12.8" hidden="false" customHeight="false" outlineLevel="0" collapsed="false">
      <c r="B8061" s="0" t="s">
        <v>7</v>
      </c>
      <c r="C8061" s="0" t="s">
        <v>3138</v>
      </c>
    </row>
    <row r="8062" customFormat="false" ht="12.8" hidden="false" customHeight="false" outlineLevel="0" collapsed="false">
      <c r="B8062" s="0" t="s">
        <v>14</v>
      </c>
      <c r="C8062" s="0" t="s">
        <v>3440</v>
      </c>
    </row>
    <row r="8063" customFormat="false" ht="12.8" hidden="false" customHeight="false" outlineLevel="0" collapsed="false">
      <c r="B8063" s="0" t="s">
        <v>3441</v>
      </c>
      <c r="C8063" s="0" t="s">
        <v>2260</v>
      </c>
    </row>
    <row r="8065" customFormat="false" ht="12.8" hidden="false" customHeight="false" outlineLevel="0" collapsed="false">
      <c r="A8065" s="0" t="s">
        <v>3442</v>
      </c>
      <c r="B8065" s="0" t="str">
        <f aca="false">HYPERLINK("https://lindat.mff.cuni.cz/services/teitok/pdtc10/index.php?action=vallex&amp;frame=v-w409f80_ZU", "dělat (v-w409f80_ZU)")</f>
        <v>dělat (v-w409f80_ZU)</v>
      </c>
    </row>
    <row r="8066" customFormat="false" ht="12.8" hidden="false" customHeight="false" outlineLevel="0" collapsed="false">
      <c r="B8066" s="0" t="s">
        <v>7</v>
      </c>
    </row>
    <row r="8067" customFormat="false" ht="12.8" hidden="false" customHeight="false" outlineLevel="0" collapsed="false">
      <c r="B8067" s="0" t="s">
        <v>54</v>
      </c>
    </row>
    <row r="8068" customFormat="false" ht="12.8" hidden="false" customHeight="false" outlineLevel="0" collapsed="false">
      <c r="B8068" s="0" t="s">
        <v>35</v>
      </c>
    </row>
    <row r="8070" customFormat="false" ht="12.8" hidden="false" customHeight="false" outlineLevel="0" collapsed="false">
      <c r="A8070" s="0" t="s">
        <v>3442</v>
      </c>
      <c r="B8070" s="0" t="str">
        <f aca="false">HYPERLINK("https://lindat.mff.cuni.cz/services/teitok/pdtc10/index.php?action=vallex&amp;frame=v-w409f2", "dělat (v-w409f2) - substituted with v-w409f80_ZU")</f>
        <v>dělat (v-w409f2) - substituted with v-w409f80_ZU</v>
      </c>
    </row>
    <row r="8071" customFormat="false" ht="12.8" hidden="false" customHeight="false" outlineLevel="0" collapsed="false">
      <c r="B8071" s="0" t="s">
        <v>7</v>
      </c>
      <c r="C8071" s="0" t="s">
        <v>3443</v>
      </c>
    </row>
    <row r="8072" customFormat="false" ht="12.8" hidden="false" customHeight="false" outlineLevel="0" collapsed="false">
      <c r="B8072" s="0" t="s">
        <v>54</v>
      </c>
      <c r="C8072" s="0" t="s">
        <v>3444</v>
      </c>
    </row>
    <row r="8073" customFormat="false" ht="12.8" hidden="false" customHeight="false" outlineLevel="0" collapsed="false">
      <c r="B8073" s="0" t="s">
        <v>35</v>
      </c>
      <c r="C8073" s="0" t="s">
        <v>3445</v>
      </c>
    </row>
    <row r="8075" customFormat="false" ht="12.8" hidden="false" customHeight="false" outlineLevel="0" collapsed="false">
      <c r="A8075" s="0" t="s">
        <v>3442</v>
      </c>
      <c r="B8075" s="0" t="str">
        <f aca="false">HYPERLINK("https://lindat.mff.cuni.cz/services/teitok/pdtc10/index.php?action=vallex&amp;frame=v-w409f70_ZU", "dělat (v-w409f70_ZU) - substituted with v-w409f80_ZU")</f>
        <v>dělat (v-w409f70_ZU) - substituted with v-w409f80_ZU</v>
      </c>
    </row>
    <row r="8076" customFormat="false" ht="12.8" hidden="false" customHeight="false" outlineLevel="0" collapsed="false">
      <c r="B8076" s="0" t="s">
        <v>7</v>
      </c>
    </row>
    <row r="8077" customFormat="false" ht="12.8" hidden="false" customHeight="false" outlineLevel="0" collapsed="false">
      <c r="B8077" s="0" t="s">
        <v>54</v>
      </c>
    </row>
    <row r="8078" customFormat="false" ht="12.8" hidden="false" customHeight="false" outlineLevel="0" collapsed="false">
      <c r="B8078" s="0" t="s">
        <v>35</v>
      </c>
    </row>
    <row r="8080" customFormat="false" ht="12.8" hidden="false" customHeight="false" outlineLevel="0" collapsed="false">
      <c r="A8080" s="0" t="s">
        <v>3446</v>
      </c>
      <c r="B8080" s="0" t="str">
        <f aca="false">HYPERLINK("https://lindat.mff.cuni.cz/services/teitok/pdtc10/index.php?action=vallex&amp;frame=v-w409f18", "dělat (v-w409f18)")</f>
        <v>dělat (v-w409f18)</v>
      </c>
    </row>
    <row r="8081" customFormat="false" ht="12.8" hidden="false" customHeight="false" outlineLevel="0" collapsed="false">
      <c r="B8081" s="0" t="s">
        <v>7</v>
      </c>
      <c r="C8081" s="0" t="s">
        <v>3293</v>
      </c>
    </row>
    <row r="8082" customFormat="false" ht="12.8" hidden="false" customHeight="false" outlineLevel="0" collapsed="false">
      <c r="B8082" s="0" t="s">
        <v>14</v>
      </c>
      <c r="C8082" s="0" t="s">
        <v>3295</v>
      </c>
    </row>
    <row r="8083" customFormat="false" ht="12.8" hidden="false" customHeight="false" outlineLevel="0" collapsed="false">
      <c r="B8083" s="0" t="s">
        <v>1408</v>
      </c>
      <c r="C8083" s="0" t="s">
        <v>3447</v>
      </c>
    </row>
    <row r="8084" customFormat="false" ht="12.8" hidden="false" customHeight="false" outlineLevel="0" collapsed="false">
      <c r="B8084" s="0" t="s">
        <v>35</v>
      </c>
    </row>
    <row r="8086" customFormat="false" ht="12.8" hidden="false" customHeight="false" outlineLevel="0" collapsed="false">
      <c r="A8086" s="0" t="s">
        <v>3448</v>
      </c>
      <c r="B8086" s="0" t="str">
        <f aca="false">HYPERLINK("https://lindat.mff.cuni.cz/services/teitok/pdtc10/index.php?action=vallex&amp;frame=v-w409f26", "dělat (v-w409f26)")</f>
        <v>dělat (v-w409f26)</v>
      </c>
    </row>
    <row r="8087" customFormat="false" ht="12.8" hidden="false" customHeight="false" outlineLevel="0" collapsed="false">
      <c r="B8087" s="0" t="s">
        <v>7</v>
      </c>
    </row>
    <row r="8088" customFormat="false" ht="12.8" hidden="false" customHeight="false" outlineLevel="0" collapsed="false">
      <c r="B8088" s="0" t="s">
        <v>14</v>
      </c>
      <c r="C8088" s="0" t="s">
        <v>3449</v>
      </c>
    </row>
    <row r="8089" customFormat="false" ht="12.8" hidden="false" customHeight="false" outlineLevel="0" collapsed="false">
      <c r="B8089" s="0" t="s">
        <v>3450</v>
      </c>
      <c r="C8089" s="0" t="s">
        <v>3447</v>
      </c>
    </row>
    <row r="8091" customFormat="false" ht="12.8" hidden="false" customHeight="false" outlineLevel="0" collapsed="false">
      <c r="A8091" s="0" t="s">
        <v>3451</v>
      </c>
      <c r="B8091" s="0" t="str">
        <f aca="false">HYPERLINK("https://lindat.mff.cuni.cz/services/teitok/pdtc10/index.php?action=vallex&amp;frame=v-w409f66_ZU", "dělat (v-w409f66_ZU)")</f>
        <v>dělat (v-w409f66_ZU)</v>
      </c>
    </row>
    <row r="8092" customFormat="false" ht="12.8" hidden="false" customHeight="false" outlineLevel="0" collapsed="false">
      <c r="B8092" s="0" t="s">
        <v>641</v>
      </c>
    </row>
    <row r="8093" customFormat="false" ht="12.8" hidden="false" customHeight="false" outlineLevel="0" collapsed="false">
      <c r="B8093" s="0" t="s">
        <v>142</v>
      </c>
    </row>
    <row r="8094" customFormat="false" ht="12.8" hidden="false" customHeight="false" outlineLevel="0" collapsed="false">
      <c r="B8094" s="0" t="s">
        <v>662</v>
      </c>
    </row>
    <row r="8096" customFormat="false" ht="12.8" hidden="false" customHeight="false" outlineLevel="0" collapsed="false">
      <c r="A8096" s="0" t="s">
        <v>3451</v>
      </c>
      <c r="B8096" s="0" t="str">
        <f aca="false">HYPERLINK("https://lindat.mff.cuni.cz/services/teitok/pdtc10/index.php?action=vallex&amp;frame=v-w409f14", "dělat (v-w409f14) - substituted with v-w409f66_ZU")</f>
        <v>dělat (v-w409f14) - substituted with v-w409f66_ZU</v>
      </c>
    </row>
    <row r="8097" customFormat="false" ht="12.8" hidden="false" customHeight="false" outlineLevel="0" collapsed="false">
      <c r="B8097" s="0" t="s">
        <v>641</v>
      </c>
      <c r="C8097" s="0" t="s">
        <v>410</v>
      </c>
    </row>
    <row r="8098" customFormat="false" ht="12.8" hidden="false" customHeight="false" outlineLevel="0" collapsed="false">
      <c r="B8098" s="0" t="s">
        <v>142</v>
      </c>
    </row>
    <row r="8099" customFormat="false" ht="12.8" hidden="false" customHeight="false" outlineLevel="0" collapsed="false">
      <c r="B8099" s="0" t="s">
        <v>662</v>
      </c>
      <c r="C8099" s="0" t="s">
        <v>3452</v>
      </c>
    </row>
    <row r="8101" customFormat="false" ht="12.8" hidden="false" customHeight="false" outlineLevel="0" collapsed="false">
      <c r="A8101" s="0" t="s">
        <v>3453</v>
      </c>
      <c r="B8101" s="0" t="str">
        <f aca="false">HYPERLINK("https://lindat.mff.cuni.cz/services/teitok/pdtc10/index.php?action=vallex&amp;frame=v-w409f77_ZU", "dělat (v-w409f77_ZU)")</f>
        <v>dělat (v-w409f77_ZU)</v>
      </c>
    </row>
    <row r="8102" customFormat="false" ht="12.8" hidden="false" customHeight="false" outlineLevel="0" collapsed="false">
      <c r="B8102" s="0" t="s">
        <v>7</v>
      </c>
    </row>
    <row r="8103" customFormat="false" ht="12.8" hidden="false" customHeight="false" outlineLevel="0" collapsed="false">
      <c r="B8103" s="0" t="s">
        <v>232</v>
      </c>
    </row>
    <row r="8105" customFormat="false" ht="12.8" hidden="false" customHeight="false" outlineLevel="0" collapsed="false">
      <c r="A8105" s="0" t="s">
        <v>3453</v>
      </c>
      <c r="B8105" s="0" t="str">
        <f aca="false">HYPERLINK("https://lindat.mff.cuni.cz/services/teitok/pdtc10/index.php?action=vallex&amp;frame=v-w409f1", "dělat (v-w409f1) - substituted with v-w409f77_ZU")</f>
        <v>dělat (v-w409f1) - substituted with v-w409f77_ZU</v>
      </c>
    </row>
    <row r="8106" customFormat="false" ht="12.8" hidden="false" customHeight="false" outlineLevel="0" collapsed="false">
      <c r="B8106" s="0" t="s">
        <v>7</v>
      </c>
      <c r="C8106" s="0" t="s">
        <v>3454</v>
      </c>
    </row>
    <row r="8107" customFormat="false" ht="12.8" hidden="false" customHeight="false" outlineLevel="0" collapsed="false">
      <c r="B8107" s="0" t="s">
        <v>232</v>
      </c>
      <c r="C8107" s="0" t="s">
        <v>3455</v>
      </c>
    </row>
    <row r="8109" customFormat="false" ht="12.8" hidden="false" customHeight="false" outlineLevel="0" collapsed="false">
      <c r="A8109" s="0" t="s">
        <v>3453</v>
      </c>
      <c r="B8109" s="0" t="str">
        <f aca="false">HYPERLINK("https://lindat.mff.cuni.cz/services/teitok/pdtc10/index.php?action=vallex&amp;frame=v-w409f53_ZU", "dělat (v-w409f53_ZU) - substituted with v-w409f77_ZU")</f>
        <v>dělat (v-w409f53_ZU) - substituted with v-w409f77_ZU</v>
      </c>
    </row>
    <row r="8110" customFormat="false" ht="12.8" hidden="false" customHeight="false" outlineLevel="0" collapsed="false">
      <c r="B8110" s="0" t="s">
        <v>7</v>
      </c>
    </row>
    <row r="8111" customFormat="false" ht="12.8" hidden="false" customHeight="false" outlineLevel="0" collapsed="false">
      <c r="B8111" s="0" t="s">
        <v>232</v>
      </c>
    </row>
    <row r="8113" customFormat="false" ht="12.8" hidden="false" customHeight="false" outlineLevel="0" collapsed="false">
      <c r="A8113" s="0" t="s">
        <v>3453</v>
      </c>
      <c r="B8113" s="0" t="str">
        <f aca="false">HYPERLINK("https://lindat.mff.cuni.cz/services/teitok/pdtc10/index.php?action=vallex&amp;frame=v-w409f63_ZU", "dělat (v-w409f63_ZU) - substituted with v-w409f77_ZU")</f>
        <v>dělat (v-w409f63_ZU) - substituted with v-w409f77_ZU</v>
      </c>
    </row>
    <row r="8114" customFormat="false" ht="12.8" hidden="false" customHeight="false" outlineLevel="0" collapsed="false">
      <c r="B8114" s="0" t="s">
        <v>7</v>
      </c>
    </row>
    <row r="8115" customFormat="false" ht="12.8" hidden="false" customHeight="false" outlineLevel="0" collapsed="false">
      <c r="B8115" s="0" t="s">
        <v>232</v>
      </c>
    </row>
    <row r="8117" customFormat="false" ht="12.8" hidden="false" customHeight="false" outlineLevel="0" collapsed="false">
      <c r="A8117" s="0" t="s">
        <v>3453</v>
      </c>
      <c r="B8117" s="0" t="str">
        <f aca="false">HYPERLINK("https://lindat.mff.cuni.cz/services/teitok/pdtc10/index.php?action=vallex&amp;frame=v-w409f72_ZU", "dělat (v-w409f72_ZU) - substituted with v-w409f77_ZU")</f>
        <v>dělat (v-w409f72_ZU) - substituted with v-w409f77_ZU</v>
      </c>
    </row>
    <row r="8118" customFormat="false" ht="12.8" hidden="false" customHeight="false" outlineLevel="0" collapsed="false">
      <c r="B8118" s="0" t="s">
        <v>7</v>
      </c>
    </row>
    <row r="8119" customFormat="false" ht="12.8" hidden="false" customHeight="false" outlineLevel="0" collapsed="false">
      <c r="B8119" s="0" t="s">
        <v>232</v>
      </c>
    </row>
    <row r="8121" customFormat="false" ht="12.8" hidden="false" customHeight="false" outlineLevel="0" collapsed="false">
      <c r="A8121" s="0" t="s">
        <v>3453</v>
      </c>
      <c r="B8121" s="0" t="str">
        <f aca="false">HYPERLINK("https://lindat.mff.cuni.cz/services/teitok/pdtc10/index.php?action=vallex&amp;frame=v-w409f76_ZU", "dělat (v-w409f76_ZU) - substituted with v-w409f77_ZU")</f>
        <v>dělat (v-w409f76_ZU) - substituted with v-w409f77_ZU</v>
      </c>
    </row>
    <row r="8122" customFormat="false" ht="12.8" hidden="false" customHeight="false" outlineLevel="0" collapsed="false">
      <c r="B8122" s="0" t="s">
        <v>7</v>
      </c>
    </row>
    <row r="8123" customFormat="false" ht="12.8" hidden="false" customHeight="false" outlineLevel="0" collapsed="false">
      <c r="B8123" s="0" t="s">
        <v>232</v>
      </c>
    </row>
    <row r="8125" customFormat="false" ht="12.8" hidden="false" customHeight="false" outlineLevel="0" collapsed="false">
      <c r="A8125" s="0" t="s">
        <v>3456</v>
      </c>
      <c r="B8125" s="0" t="str">
        <f aca="false">HYPERLINK("https://lindat.mff.cuni.cz/services/teitok/pdtc10/index.php?action=vallex&amp;frame=v-w409f75_ZU", "dělat (v-w409f75_ZU)")</f>
        <v>dělat (v-w409f75_ZU)</v>
      </c>
    </row>
    <row r="8126" customFormat="false" ht="12.8" hidden="false" customHeight="false" outlineLevel="0" collapsed="false">
      <c r="B8126" s="0" t="s">
        <v>7</v>
      </c>
    </row>
    <row r="8127" customFormat="false" ht="12.8" hidden="false" customHeight="false" outlineLevel="0" collapsed="false">
      <c r="B8127" s="0" t="s">
        <v>3457</v>
      </c>
    </row>
    <row r="8129" customFormat="false" ht="12.8" hidden="false" customHeight="false" outlineLevel="0" collapsed="false">
      <c r="A8129" s="0" t="s">
        <v>3456</v>
      </c>
      <c r="B8129" s="0" t="str">
        <f aca="false">HYPERLINK("https://lindat.mff.cuni.cz/services/teitok/pdtc10/index.php?action=vallex&amp;frame=v-w409f9", "dělat (v-w409f9) - substituted with v-w409f75_ZU")</f>
        <v>dělat (v-w409f9) - substituted with v-w409f75_ZU</v>
      </c>
    </row>
    <row r="8130" customFormat="false" ht="12.8" hidden="false" customHeight="false" outlineLevel="0" collapsed="false">
      <c r="B8130" s="0" t="s">
        <v>7</v>
      </c>
      <c r="C8130" s="0" t="s">
        <v>3458</v>
      </c>
    </row>
    <row r="8131" customFormat="false" ht="12.8" hidden="false" customHeight="false" outlineLevel="0" collapsed="false">
      <c r="B8131" s="0" t="s">
        <v>3457</v>
      </c>
      <c r="C8131" s="0" t="s">
        <v>3459</v>
      </c>
    </row>
    <row r="8133" customFormat="false" ht="12.8" hidden="false" customHeight="false" outlineLevel="0" collapsed="false">
      <c r="A8133" s="0" t="s">
        <v>3460</v>
      </c>
      <c r="B8133" s="0" t="str">
        <f aca="false">HYPERLINK("https://lindat.mff.cuni.cz/services/teitok/pdtc10/index.php?action=vallex&amp;frame=v-w409f88_JS", "dělat (v-w409f88_JS)")</f>
        <v>dělat (v-w409f88_JS)</v>
      </c>
    </row>
    <row r="8134" customFormat="false" ht="12.8" hidden="false" customHeight="false" outlineLevel="0" collapsed="false">
      <c r="B8134" s="0" t="s">
        <v>7</v>
      </c>
    </row>
    <row r="8135" customFormat="false" ht="12.8" hidden="false" customHeight="false" outlineLevel="0" collapsed="false">
      <c r="B8135" s="0" t="s">
        <v>3461</v>
      </c>
    </row>
    <row r="8137" customFormat="false" ht="12.8" hidden="false" customHeight="false" outlineLevel="0" collapsed="false">
      <c r="A8137" s="0" t="s">
        <v>3460</v>
      </c>
      <c r="B8137" s="0" t="str">
        <f aca="false">HYPERLINK("https://lindat.mff.cuni.cz/services/teitok/pdtc10/index.php?action=vallex&amp;frame=v-w409f8", "dělat (v-w409f8) - substituted with v-w409f88_JS")</f>
        <v>dělat (v-w409f8) - substituted with v-w409f88_JS</v>
      </c>
    </row>
    <row r="8138" customFormat="false" ht="12.8" hidden="false" customHeight="false" outlineLevel="0" collapsed="false">
      <c r="B8138" s="0" t="s">
        <v>7</v>
      </c>
    </row>
    <row r="8139" customFormat="false" ht="12.8" hidden="false" customHeight="false" outlineLevel="0" collapsed="false">
      <c r="B8139" s="0" t="s">
        <v>3461</v>
      </c>
    </row>
    <row r="8141" customFormat="false" ht="12.8" hidden="false" customHeight="false" outlineLevel="0" collapsed="false">
      <c r="A8141" s="0" t="s">
        <v>3460</v>
      </c>
      <c r="B8141" s="0" t="str">
        <f aca="false">HYPERLINK("https://lindat.mff.cuni.cz/services/teitok/pdtc10/index.php?action=vallex&amp;frame=v-w409hsa_951", "dělat (v-w409hsa_951) - substituted with v-w409f88_JS")</f>
        <v>dělat (v-w409hsa_951) - substituted with v-w409f88_JS</v>
      </c>
    </row>
    <row r="8142" customFormat="false" ht="12.8" hidden="false" customHeight="false" outlineLevel="0" collapsed="false">
      <c r="B8142" s="0" t="s">
        <v>7</v>
      </c>
    </row>
    <row r="8143" customFormat="false" ht="12.8" hidden="false" customHeight="false" outlineLevel="0" collapsed="false">
      <c r="B8143" s="0" t="s">
        <v>3461</v>
      </c>
    </row>
    <row r="8145" customFormat="false" ht="12.8" hidden="false" customHeight="false" outlineLevel="0" collapsed="false">
      <c r="A8145" s="0" t="s">
        <v>3462</v>
      </c>
      <c r="B8145" s="0" t="str">
        <f aca="false">HYPERLINK("https://lindat.mff.cuni.cz/services/teitok/pdtc10/index.php?action=vallex&amp;frame=v-w409f78_ZU", "dělat (v-w409f78_ZU)")</f>
        <v>dělat (v-w409f78_ZU)</v>
      </c>
    </row>
    <row r="8146" customFormat="false" ht="12.8" hidden="false" customHeight="false" outlineLevel="0" collapsed="false">
      <c r="B8146" s="0" t="s">
        <v>7</v>
      </c>
    </row>
    <row r="8147" customFormat="false" ht="12.8" hidden="false" customHeight="false" outlineLevel="0" collapsed="false">
      <c r="B8147" s="0" t="s">
        <v>14</v>
      </c>
    </row>
    <row r="8149" customFormat="false" ht="12.8" hidden="false" customHeight="false" outlineLevel="0" collapsed="false">
      <c r="A8149" s="0" t="s">
        <v>3462</v>
      </c>
      <c r="B8149" s="0" t="str">
        <f aca="false">HYPERLINK("https://lindat.mff.cuni.cz/services/teitok/pdtc10/index.php?action=vallex&amp;frame=v-w409f4", "dělat (v-w409f4) - substituted with v-w409f78_ZU")</f>
        <v>dělat (v-w409f4) - substituted with v-w409f78_ZU</v>
      </c>
    </row>
    <row r="8150" customFormat="false" ht="12.8" hidden="false" customHeight="false" outlineLevel="0" collapsed="false">
      <c r="B8150" s="0" t="s">
        <v>7</v>
      </c>
      <c r="C8150" s="0" t="s">
        <v>391</v>
      </c>
    </row>
    <row r="8151" customFormat="false" ht="12.8" hidden="false" customHeight="false" outlineLevel="0" collapsed="false">
      <c r="B8151" s="0" t="s">
        <v>14</v>
      </c>
      <c r="C8151" s="0" t="s">
        <v>2641</v>
      </c>
    </row>
    <row r="8153" customFormat="false" ht="12.8" hidden="false" customHeight="false" outlineLevel="0" collapsed="false">
      <c r="A8153" s="0" t="s">
        <v>3462</v>
      </c>
      <c r="B8153" s="0" t="str">
        <f aca="false">HYPERLINK("https://lindat.mff.cuni.cz/services/teitok/pdtc10/index.php?action=vallex&amp;frame=v-w409f57_ZU", "dělat (v-w409f57_ZU) - substituted with v-w409f78_ZU")</f>
        <v>dělat (v-w409f57_ZU) - substituted with v-w409f78_ZU</v>
      </c>
    </row>
    <row r="8154" customFormat="false" ht="12.8" hidden="false" customHeight="false" outlineLevel="0" collapsed="false">
      <c r="B8154" s="0" t="s">
        <v>7</v>
      </c>
    </row>
    <row r="8155" customFormat="false" ht="12.8" hidden="false" customHeight="false" outlineLevel="0" collapsed="false">
      <c r="B8155" s="0" t="s">
        <v>14</v>
      </c>
    </row>
    <row r="8157" customFormat="false" ht="12.8" hidden="false" customHeight="false" outlineLevel="0" collapsed="false">
      <c r="A8157" s="0" t="s">
        <v>3463</v>
      </c>
      <c r="B8157" s="0" t="str">
        <f aca="false">HYPERLINK("https://lindat.mff.cuni.cz/services/teitok/pdtc10/index.php?action=vallex&amp;frame=v-w409f23", "dělat (v-w409f23)")</f>
        <v>dělat (v-w409f23)</v>
      </c>
    </row>
    <row r="8158" customFormat="false" ht="12.8" hidden="false" customHeight="false" outlineLevel="0" collapsed="false">
      <c r="B8158" s="0" t="s">
        <v>7</v>
      </c>
    </row>
    <row r="8159" customFormat="false" ht="12.8" hidden="false" customHeight="false" outlineLevel="0" collapsed="false">
      <c r="B8159" s="0" t="s">
        <v>985</v>
      </c>
    </row>
    <row r="8161" customFormat="false" ht="12.8" hidden="false" customHeight="false" outlineLevel="0" collapsed="false">
      <c r="A8161" s="0" t="s">
        <v>3464</v>
      </c>
      <c r="B8161" s="0" t="str">
        <f aca="false">HYPERLINK("https://lindat.mff.cuni.cz/services/teitok/pdtc10/index.php?action=vallex&amp;frame=v-w409f24", "dělat (v-w409f24)")</f>
        <v>dělat (v-w409f24)</v>
      </c>
    </row>
    <row r="8162" customFormat="false" ht="12.8" hidden="false" customHeight="false" outlineLevel="0" collapsed="false">
      <c r="B8162" s="0" t="s">
        <v>7</v>
      </c>
    </row>
    <row r="8163" customFormat="false" ht="12.8" hidden="false" customHeight="false" outlineLevel="0" collapsed="false">
      <c r="B8163" s="0" t="s">
        <v>985</v>
      </c>
    </row>
    <row r="8165" customFormat="false" ht="12.8" hidden="false" customHeight="false" outlineLevel="0" collapsed="false">
      <c r="A8165" s="0" t="s">
        <v>3465</v>
      </c>
      <c r="B8165" s="0" t="str">
        <f aca="false">HYPERLINK("https://lindat.mff.cuni.cz/services/teitok/pdtc10/index.php?action=vallex&amp;frame=v-w409f12", "dělat (v-w409f12)")</f>
        <v>dělat (v-w409f12)</v>
      </c>
    </row>
    <row r="8166" customFormat="false" ht="12.8" hidden="false" customHeight="false" outlineLevel="0" collapsed="false">
      <c r="B8166" s="0" t="s">
        <v>7</v>
      </c>
    </row>
    <row r="8167" customFormat="false" ht="12.8" hidden="false" customHeight="false" outlineLevel="0" collapsed="false">
      <c r="B8167" s="0" t="s">
        <v>41</v>
      </c>
    </row>
    <row r="8169" customFormat="false" ht="12.8" hidden="false" customHeight="false" outlineLevel="0" collapsed="false">
      <c r="A8169" s="0" t="s">
        <v>3466</v>
      </c>
      <c r="B8169" s="0" t="str">
        <f aca="false">HYPERLINK("https://lindat.mff.cuni.cz/services/teitok/pdtc10/index.php?action=vallex&amp;frame=v-w409f25", "dělat (v-w409f25)")</f>
        <v>dělat (v-w409f25)</v>
      </c>
    </row>
    <row r="8170" customFormat="false" ht="12.8" hidden="false" customHeight="false" outlineLevel="0" collapsed="false">
      <c r="B8170" s="0" t="s">
        <v>7</v>
      </c>
    </row>
    <row r="8171" customFormat="false" ht="12.8" hidden="false" customHeight="false" outlineLevel="0" collapsed="false">
      <c r="B8171" s="0" t="s">
        <v>220</v>
      </c>
    </row>
    <row r="8173" customFormat="false" ht="12.8" hidden="false" customHeight="false" outlineLevel="0" collapsed="false">
      <c r="A8173" s="0" t="s">
        <v>3467</v>
      </c>
      <c r="B8173" s="0" t="str">
        <f aca="false">HYPERLINK("https://lindat.mff.cuni.cz/services/teitok/pdtc10/index.php?action=vallex&amp;frame=v-w409f15", "dělat (v-w409f15)")</f>
        <v>dělat (v-w409f15)</v>
      </c>
    </row>
    <row r="8174" customFormat="false" ht="12.8" hidden="false" customHeight="false" outlineLevel="0" collapsed="false">
      <c r="B8174" s="0" t="s">
        <v>7</v>
      </c>
    </row>
    <row r="8175" customFormat="false" ht="12.8" hidden="false" customHeight="false" outlineLevel="0" collapsed="false">
      <c r="B8175" s="0" t="s">
        <v>679</v>
      </c>
    </row>
    <row r="8177" customFormat="false" ht="12.8" hidden="false" customHeight="false" outlineLevel="0" collapsed="false">
      <c r="A8177" s="0" t="s">
        <v>3468</v>
      </c>
      <c r="B8177" s="0" t="str">
        <f aca="false">HYPERLINK("https://lindat.mff.cuni.cz/services/teitok/pdtc10/index.php?action=vallex&amp;frame=v-w409f5", "dělat (v-w409f5)")</f>
        <v>dělat (v-w409f5)</v>
      </c>
    </row>
    <row r="8178" customFormat="false" ht="12.8" hidden="false" customHeight="false" outlineLevel="0" collapsed="false">
      <c r="B8178" s="0" t="s">
        <v>7</v>
      </c>
      <c r="C8178" s="0" t="s">
        <v>3469</v>
      </c>
    </row>
    <row r="8180" customFormat="false" ht="12.8" hidden="false" customHeight="false" outlineLevel="0" collapsed="false">
      <c r="A8180" s="0" t="s">
        <v>3470</v>
      </c>
      <c r="B8180" s="0" t="str">
        <f aca="false">HYPERLINK("https://lindat.mff.cuni.cz/services/teitok/pdtc10/index.php?action=vallex&amp;frame=v-w409f22", "dělat (v-w409f22)")</f>
        <v>dělat (v-w409f22)</v>
      </c>
    </row>
    <row r="8181" customFormat="false" ht="12.8" hidden="false" customHeight="false" outlineLevel="0" collapsed="false">
      <c r="B8181" s="0" t="s">
        <v>7</v>
      </c>
    </row>
    <row r="8183" customFormat="false" ht="12.8" hidden="false" customHeight="false" outlineLevel="0" collapsed="false">
      <c r="A8183" s="0" t="s">
        <v>3471</v>
      </c>
      <c r="B8183" s="0" t="str">
        <f aca="false">HYPERLINK("https://lindat.mff.cuni.cz/services/teitok/pdtc10/index.php?action=vallex&amp;frame=v-w409f40_ZU", "dělat (v-w409f40_ZU)")</f>
        <v>dělat (v-w409f40_ZU)</v>
      </c>
    </row>
    <row r="8184" customFormat="false" ht="12.8" hidden="false" customHeight="false" outlineLevel="0" collapsed="false">
      <c r="B8184" s="0" t="s">
        <v>641</v>
      </c>
    </row>
    <row r="8185" customFormat="false" ht="12.8" hidden="false" customHeight="false" outlineLevel="0" collapsed="false">
      <c r="B8185" s="0" t="s">
        <v>3472</v>
      </c>
    </row>
    <row r="8186" customFormat="false" ht="12.8" hidden="false" customHeight="false" outlineLevel="0" collapsed="false">
      <c r="B8186" s="0" t="s">
        <v>122</v>
      </c>
    </row>
    <row r="8188" customFormat="false" ht="12.8" hidden="false" customHeight="false" outlineLevel="0" collapsed="false">
      <c r="A8188" s="0" t="s">
        <v>3471</v>
      </c>
      <c r="B8188" s="0" t="str">
        <f aca="false">HYPERLINK("https://lindat.mff.cuni.cz/services/teitok/pdtc10/index.php?action=vallex&amp;frame=v-w409f27", "dělat (v-w409f27) - substituted with v-w409f40_ZU")</f>
        <v>dělat (v-w409f27) - substituted with v-w409f40_ZU</v>
      </c>
    </row>
    <row r="8189" customFormat="false" ht="12.8" hidden="false" customHeight="false" outlineLevel="0" collapsed="false">
      <c r="B8189" s="0" t="s">
        <v>641</v>
      </c>
    </row>
    <row r="8190" customFormat="false" ht="12.8" hidden="false" customHeight="false" outlineLevel="0" collapsed="false">
      <c r="B8190" s="0" t="s">
        <v>3472</v>
      </c>
    </row>
    <row r="8191" customFormat="false" ht="12.8" hidden="false" customHeight="false" outlineLevel="0" collapsed="false">
      <c r="B8191" s="0" t="s">
        <v>122</v>
      </c>
    </row>
    <row r="8193" customFormat="false" ht="12.8" hidden="false" customHeight="false" outlineLevel="0" collapsed="false">
      <c r="A8193" s="0" t="s">
        <v>3473</v>
      </c>
      <c r="B8193" s="0" t="str">
        <f aca="false">HYPERLINK("https://lindat.mff.cuni.cz/services/teitok/pdtc10/index.php?action=vallex&amp;frame=v-w409f50_ZU", "dělat (v-w409f50_ZU)")</f>
        <v>dělat (v-w409f50_ZU)</v>
      </c>
    </row>
    <row r="8194" customFormat="false" ht="12.8" hidden="false" customHeight="false" outlineLevel="0" collapsed="false">
      <c r="B8194" s="0" t="s">
        <v>7</v>
      </c>
    </row>
    <row r="8195" customFormat="false" ht="12.8" hidden="false" customHeight="false" outlineLevel="0" collapsed="false">
      <c r="B8195" s="0" t="s">
        <v>3474</v>
      </c>
    </row>
    <row r="8196" customFormat="false" ht="12.8" hidden="false" customHeight="false" outlineLevel="0" collapsed="false">
      <c r="B8196" s="0" t="s">
        <v>3441</v>
      </c>
    </row>
    <row r="8198" customFormat="false" ht="12.8" hidden="false" customHeight="false" outlineLevel="0" collapsed="false">
      <c r="A8198" s="0" t="s">
        <v>3473</v>
      </c>
      <c r="B8198" s="0" t="str">
        <f aca="false">HYPERLINK("https://lindat.mff.cuni.cz/services/teitok/pdtc10/index.php?action=vallex&amp;frame=v-w409f20", "dělat (v-w409f20) - substituted with v-w409f50_ZU")</f>
        <v>dělat (v-w409f20) - substituted with v-w409f50_ZU</v>
      </c>
    </row>
    <row r="8199" customFormat="false" ht="12.8" hidden="false" customHeight="false" outlineLevel="0" collapsed="false">
      <c r="B8199" s="0" t="s">
        <v>7</v>
      </c>
    </row>
    <row r="8200" customFormat="false" ht="12.8" hidden="false" customHeight="false" outlineLevel="0" collapsed="false">
      <c r="B8200" s="0" t="s">
        <v>3474</v>
      </c>
    </row>
    <row r="8201" customFormat="false" ht="12.8" hidden="false" customHeight="false" outlineLevel="0" collapsed="false">
      <c r="B8201" s="0" t="s">
        <v>3441</v>
      </c>
    </row>
    <row r="8203" customFormat="false" ht="12.8" hidden="false" customHeight="false" outlineLevel="0" collapsed="false">
      <c r="A8203" s="0" t="s">
        <v>3473</v>
      </c>
      <c r="B8203" s="0" t="str">
        <f aca="false">HYPERLINK("https://lindat.mff.cuni.cz/services/teitok/pdtc10/index.php?action=vallex&amp;frame=v-w409hsa_1101", "dělat (v-w409hsa_1101) - substituted with v-w409f50_ZU")</f>
        <v>dělat (v-w409hsa_1101) - substituted with v-w409f50_ZU</v>
      </c>
    </row>
    <row r="8204" customFormat="false" ht="12.8" hidden="false" customHeight="false" outlineLevel="0" collapsed="false">
      <c r="B8204" s="0" t="s">
        <v>7</v>
      </c>
      <c r="C8204" s="0" t="s">
        <v>2431</v>
      </c>
    </row>
    <row r="8205" customFormat="false" ht="12.8" hidden="false" customHeight="false" outlineLevel="0" collapsed="false">
      <c r="B8205" s="0" t="s">
        <v>3474</v>
      </c>
      <c r="C8205" s="0" t="s">
        <v>3475</v>
      </c>
    </row>
    <row r="8206" customFormat="false" ht="12.8" hidden="false" customHeight="false" outlineLevel="0" collapsed="false">
      <c r="B8206" s="0" t="s">
        <v>3441</v>
      </c>
    </row>
    <row r="8208" customFormat="false" ht="12.8" hidden="false" customHeight="false" outlineLevel="0" collapsed="false">
      <c r="A8208" s="0" t="s">
        <v>3476</v>
      </c>
      <c r="B8208" s="0" t="str">
        <f aca="false">HYPERLINK("https://lindat.mff.cuni.cz/services/teitok/pdtc10/index.php?action=vallex&amp;frame=v-w409f89_MM", "dělat (v-w409f89_MM)")</f>
        <v>dělat (v-w409f89_MM)</v>
      </c>
    </row>
    <row r="8209" customFormat="false" ht="12.8" hidden="false" customHeight="false" outlineLevel="0" collapsed="false">
      <c r="B8209" s="0" t="s">
        <v>7</v>
      </c>
    </row>
    <row r="8210" customFormat="false" ht="12.8" hidden="false" customHeight="false" outlineLevel="0" collapsed="false">
      <c r="B8210" s="0" t="s">
        <v>3477</v>
      </c>
    </row>
    <row r="8212" customFormat="false" ht="12.8" hidden="false" customHeight="false" outlineLevel="0" collapsed="false">
      <c r="A8212" s="0" t="s">
        <v>3476</v>
      </c>
      <c r="B8212" s="0" t="str">
        <f aca="false">HYPERLINK("https://lindat.mff.cuni.cz/services/teitok/pdtc10/index.php?action=vallex&amp;frame=v-w409f28_ZU", "dělat (v-w409f28_ZU) - substituted with v-w409f89_MM")</f>
        <v>dělat (v-w409f28_ZU) - substituted with v-w409f89_MM</v>
      </c>
    </row>
    <row r="8213" customFormat="false" ht="12.8" hidden="false" customHeight="false" outlineLevel="0" collapsed="false">
      <c r="B8213" s="0" t="s">
        <v>7</v>
      </c>
      <c r="C8213" s="0" t="s">
        <v>1142</v>
      </c>
    </row>
    <row r="8214" customFormat="false" ht="12.8" hidden="false" customHeight="false" outlineLevel="0" collapsed="false">
      <c r="B8214" s="0" t="s">
        <v>3477</v>
      </c>
      <c r="C8214" s="0" t="s">
        <v>3478</v>
      </c>
    </row>
    <row r="8216" customFormat="false" ht="12.8" hidden="false" customHeight="false" outlineLevel="0" collapsed="false">
      <c r="A8216" s="0" t="s">
        <v>3476</v>
      </c>
      <c r="B8216" s="0" t="str">
        <f aca="false">HYPERLINK("https://lindat.mff.cuni.cz/services/teitok/pdtc10/index.php?action=vallex&amp;frame=v-w409f3", "dělat (v-w409f3) - substituted with v-w409f89_MM")</f>
        <v>dělat (v-w409f3) - substituted with v-w409f89_MM</v>
      </c>
    </row>
    <row r="8217" customFormat="false" ht="12.8" hidden="false" customHeight="false" outlineLevel="0" collapsed="false">
      <c r="B8217" s="0" t="s">
        <v>7</v>
      </c>
      <c r="C8217" s="0" t="s">
        <v>3479</v>
      </c>
    </row>
    <row r="8218" customFormat="false" ht="12.8" hidden="false" customHeight="false" outlineLevel="0" collapsed="false">
      <c r="B8218" s="0" t="s">
        <v>3477</v>
      </c>
      <c r="C8218" s="0" t="s">
        <v>3480</v>
      </c>
    </row>
    <row r="8220" customFormat="false" ht="12.8" hidden="false" customHeight="false" outlineLevel="0" collapsed="false">
      <c r="A8220" s="0" t="s">
        <v>3476</v>
      </c>
      <c r="B8220" s="0" t="str">
        <f aca="false">HYPERLINK("https://lindat.mff.cuni.cz/services/teitok/pdtc10/index.php?action=vallex&amp;frame=v-w409f31_ZU", "dělat (v-w409f31_ZU) - substituted with v-w409f89_MM")</f>
        <v>dělat (v-w409f31_ZU) - substituted with v-w409f89_MM</v>
      </c>
    </row>
    <row r="8221" customFormat="false" ht="12.8" hidden="false" customHeight="false" outlineLevel="0" collapsed="false">
      <c r="B8221" s="0" t="s">
        <v>7</v>
      </c>
      <c r="C8221" s="0" t="s">
        <v>3481</v>
      </c>
    </row>
    <row r="8222" customFormat="false" ht="12.8" hidden="false" customHeight="false" outlineLevel="0" collapsed="false">
      <c r="B8222" s="0" t="s">
        <v>3477</v>
      </c>
      <c r="C8222" s="0" t="s">
        <v>3482</v>
      </c>
    </row>
    <row r="8224" customFormat="false" ht="12.8" hidden="false" customHeight="false" outlineLevel="0" collapsed="false">
      <c r="A8224" s="0" t="s">
        <v>3476</v>
      </c>
      <c r="B8224" s="0" t="str">
        <f aca="false">HYPERLINK("https://lindat.mff.cuni.cz/services/teitok/pdtc10/index.php?action=vallex&amp;frame=v-w409f44_ZU", "dělat (v-w409f44_ZU) - substituted with v-w409f89_MM")</f>
        <v>dělat (v-w409f44_ZU) - substituted with v-w409f89_MM</v>
      </c>
    </row>
    <row r="8225" customFormat="false" ht="12.8" hidden="false" customHeight="false" outlineLevel="0" collapsed="false">
      <c r="B8225" s="0" t="s">
        <v>7</v>
      </c>
    </row>
    <row r="8226" customFormat="false" ht="12.8" hidden="false" customHeight="false" outlineLevel="0" collapsed="false">
      <c r="B8226" s="0" t="s">
        <v>3477</v>
      </c>
    </row>
    <row r="8228" customFormat="false" ht="12.8" hidden="false" customHeight="false" outlineLevel="0" collapsed="false">
      <c r="A8228" s="0" t="s">
        <v>3476</v>
      </c>
      <c r="B8228" s="0" t="str">
        <f aca="false">HYPERLINK("https://lindat.mff.cuni.cz/services/teitok/pdtc10/index.php?action=vallex&amp;frame=v-w409f47_ZU", "dělat (v-w409f47_ZU) - substituted with v-w409f89_MM")</f>
        <v>dělat (v-w409f47_ZU) - substituted with v-w409f89_MM</v>
      </c>
    </row>
    <row r="8229" customFormat="false" ht="12.8" hidden="false" customHeight="false" outlineLevel="0" collapsed="false">
      <c r="B8229" s="0" t="s">
        <v>7</v>
      </c>
    </row>
    <row r="8230" customFormat="false" ht="12.8" hidden="false" customHeight="false" outlineLevel="0" collapsed="false">
      <c r="B8230" s="0" t="s">
        <v>3477</v>
      </c>
    </row>
    <row r="8232" customFormat="false" ht="12.8" hidden="false" customHeight="false" outlineLevel="0" collapsed="false">
      <c r="A8232" s="0" t="s">
        <v>3476</v>
      </c>
      <c r="B8232" s="0" t="str">
        <f aca="false">HYPERLINK("https://lindat.mff.cuni.cz/services/teitok/pdtc10/index.php?action=vallex&amp;frame=v-w409f51_ZU", "dělat (v-w409f51_ZU) - substituted with v-w409f89_MM")</f>
        <v>dělat (v-w409f51_ZU) - substituted with v-w409f89_MM</v>
      </c>
    </row>
    <row r="8233" customFormat="false" ht="12.8" hidden="false" customHeight="false" outlineLevel="0" collapsed="false">
      <c r="B8233" s="0" t="s">
        <v>7</v>
      </c>
    </row>
    <row r="8234" customFormat="false" ht="12.8" hidden="false" customHeight="false" outlineLevel="0" collapsed="false">
      <c r="B8234" s="0" t="s">
        <v>3477</v>
      </c>
    </row>
    <row r="8236" customFormat="false" ht="12.8" hidden="false" customHeight="false" outlineLevel="0" collapsed="false">
      <c r="A8236" s="0" t="s">
        <v>3476</v>
      </c>
      <c r="B8236" s="0" t="str">
        <f aca="false">HYPERLINK("https://lindat.mff.cuni.cz/services/teitok/pdtc10/index.php?action=vallex&amp;frame=v-w409f52_ZU", "dělat (v-w409f52_ZU) - substituted with v-w409f89_MM")</f>
        <v>dělat (v-w409f52_ZU) - substituted with v-w409f89_MM</v>
      </c>
    </row>
    <row r="8237" customFormat="false" ht="12.8" hidden="false" customHeight="false" outlineLevel="0" collapsed="false">
      <c r="B8237" s="0" t="s">
        <v>7</v>
      </c>
    </row>
    <row r="8238" customFormat="false" ht="12.8" hidden="false" customHeight="false" outlineLevel="0" collapsed="false">
      <c r="B8238" s="0" t="s">
        <v>3477</v>
      </c>
    </row>
    <row r="8240" customFormat="false" ht="12.8" hidden="false" customHeight="false" outlineLevel="0" collapsed="false">
      <c r="A8240" s="0" t="s">
        <v>3476</v>
      </c>
      <c r="B8240" s="0" t="str">
        <f aca="false">HYPERLINK("https://lindat.mff.cuni.cz/services/teitok/pdtc10/index.php?action=vallex&amp;frame=v-w409f58_ZU", "dělat (v-w409f58_ZU) - substituted with v-w409f89_MM")</f>
        <v>dělat (v-w409f58_ZU) - substituted with v-w409f89_MM</v>
      </c>
    </row>
    <row r="8241" customFormat="false" ht="12.8" hidden="false" customHeight="false" outlineLevel="0" collapsed="false">
      <c r="B8241" s="0" t="s">
        <v>7</v>
      </c>
    </row>
    <row r="8242" customFormat="false" ht="12.8" hidden="false" customHeight="false" outlineLevel="0" collapsed="false">
      <c r="B8242" s="0" t="s">
        <v>3477</v>
      </c>
    </row>
    <row r="8244" customFormat="false" ht="12.8" hidden="false" customHeight="false" outlineLevel="0" collapsed="false">
      <c r="A8244" s="0" t="s">
        <v>3476</v>
      </c>
      <c r="B8244" s="0" t="str">
        <f aca="false">HYPERLINK("https://lindat.mff.cuni.cz/services/teitok/pdtc10/index.php?action=vallex&amp;frame=v-w409f59_ZU", "dělat (v-w409f59_ZU) - substituted with v-w409f89_MM")</f>
        <v>dělat (v-w409f59_ZU) - substituted with v-w409f89_MM</v>
      </c>
    </row>
    <row r="8245" customFormat="false" ht="12.8" hidden="false" customHeight="false" outlineLevel="0" collapsed="false">
      <c r="B8245" s="0" t="s">
        <v>7</v>
      </c>
    </row>
    <row r="8246" customFormat="false" ht="12.8" hidden="false" customHeight="false" outlineLevel="0" collapsed="false">
      <c r="B8246" s="0" t="s">
        <v>3477</v>
      </c>
    </row>
    <row r="8248" customFormat="false" ht="12.8" hidden="false" customHeight="false" outlineLevel="0" collapsed="false">
      <c r="A8248" s="0" t="s">
        <v>3476</v>
      </c>
      <c r="B8248" s="0" t="str">
        <f aca="false">HYPERLINK("https://lindat.mff.cuni.cz/services/teitok/pdtc10/index.php?action=vallex&amp;frame=v-w409f60_ZU", "dělat (v-w409f60_ZU) - substituted with v-w409f89_MM")</f>
        <v>dělat (v-w409f60_ZU) - substituted with v-w409f89_MM</v>
      </c>
    </row>
    <row r="8249" customFormat="false" ht="12.8" hidden="false" customHeight="false" outlineLevel="0" collapsed="false">
      <c r="B8249" s="0" t="s">
        <v>7</v>
      </c>
    </row>
    <row r="8250" customFormat="false" ht="12.8" hidden="false" customHeight="false" outlineLevel="0" collapsed="false">
      <c r="B8250" s="0" t="s">
        <v>3477</v>
      </c>
    </row>
    <row r="8252" customFormat="false" ht="12.8" hidden="false" customHeight="false" outlineLevel="0" collapsed="false">
      <c r="A8252" s="0" t="s">
        <v>3476</v>
      </c>
      <c r="B8252" s="0" t="str">
        <f aca="false">HYPERLINK("https://lindat.mff.cuni.cz/services/teitok/pdtc10/index.php?action=vallex&amp;frame=v-w409f61_ZU", "dělat (v-w409f61_ZU) - substituted with v-w409f89_MM")</f>
        <v>dělat (v-w409f61_ZU) - substituted with v-w409f89_MM</v>
      </c>
    </row>
    <row r="8253" customFormat="false" ht="12.8" hidden="false" customHeight="false" outlineLevel="0" collapsed="false">
      <c r="B8253" s="0" t="s">
        <v>7</v>
      </c>
    </row>
    <row r="8254" customFormat="false" ht="12.8" hidden="false" customHeight="false" outlineLevel="0" collapsed="false">
      <c r="B8254" s="0" t="s">
        <v>3477</v>
      </c>
    </row>
    <row r="8256" customFormat="false" ht="12.8" hidden="false" customHeight="false" outlineLevel="0" collapsed="false">
      <c r="A8256" s="0" t="s">
        <v>3476</v>
      </c>
      <c r="B8256" s="0" t="str">
        <f aca="false">HYPERLINK("https://lindat.mff.cuni.cz/services/teitok/pdtc10/index.php?action=vallex&amp;frame=v-w409f62_ZU", "dělat (v-w409f62_ZU) - substituted with v-w409f89_MM")</f>
        <v>dělat (v-w409f62_ZU) - substituted with v-w409f89_MM</v>
      </c>
    </row>
    <row r="8257" customFormat="false" ht="12.8" hidden="false" customHeight="false" outlineLevel="0" collapsed="false">
      <c r="B8257" s="0" t="s">
        <v>7</v>
      </c>
    </row>
    <row r="8258" customFormat="false" ht="12.8" hidden="false" customHeight="false" outlineLevel="0" collapsed="false">
      <c r="B8258" s="0" t="s">
        <v>3477</v>
      </c>
    </row>
    <row r="8260" customFormat="false" ht="12.8" hidden="false" customHeight="false" outlineLevel="0" collapsed="false">
      <c r="A8260" s="0" t="s">
        <v>3476</v>
      </c>
      <c r="B8260" s="0" t="str">
        <f aca="false">HYPERLINK("https://lindat.mff.cuni.cz/services/teitok/pdtc10/index.php?action=vallex&amp;frame=v-w409f65_ZU", "dělat (v-w409f65_ZU) - substituted with v-w409f89_MM")</f>
        <v>dělat (v-w409f65_ZU) - substituted with v-w409f89_MM</v>
      </c>
    </row>
    <row r="8261" customFormat="false" ht="12.8" hidden="false" customHeight="false" outlineLevel="0" collapsed="false">
      <c r="B8261" s="0" t="s">
        <v>7</v>
      </c>
    </row>
    <row r="8262" customFormat="false" ht="12.8" hidden="false" customHeight="false" outlineLevel="0" collapsed="false">
      <c r="B8262" s="0" t="s">
        <v>3477</v>
      </c>
    </row>
    <row r="8264" customFormat="false" ht="12.8" hidden="false" customHeight="false" outlineLevel="0" collapsed="false">
      <c r="A8264" s="0" t="s">
        <v>3476</v>
      </c>
      <c r="B8264" s="0" t="str">
        <f aca="false">HYPERLINK("https://lindat.mff.cuni.cz/services/teitok/pdtc10/index.php?action=vallex&amp;frame=v-w409f68_ZU", "dělat (v-w409f68_ZU) - substituted with v-w409f89_MM")</f>
        <v>dělat (v-w409f68_ZU) - substituted with v-w409f89_MM</v>
      </c>
    </row>
    <row r="8265" customFormat="false" ht="12.8" hidden="false" customHeight="false" outlineLevel="0" collapsed="false">
      <c r="B8265" s="0" t="s">
        <v>7</v>
      </c>
    </row>
    <row r="8266" customFormat="false" ht="12.8" hidden="false" customHeight="false" outlineLevel="0" collapsed="false">
      <c r="B8266" s="0" t="s">
        <v>3477</v>
      </c>
    </row>
    <row r="8268" customFormat="false" ht="12.8" hidden="false" customHeight="false" outlineLevel="0" collapsed="false">
      <c r="A8268" s="0" t="s">
        <v>3476</v>
      </c>
      <c r="B8268" s="0" t="str">
        <f aca="false">HYPERLINK("https://lindat.mff.cuni.cz/services/teitok/pdtc10/index.php?action=vallex&amp;frame=v-w409f69_ZU", "dělat (v-w409f69_ZU) - substituted with v-w409f89_MM")</f>
        <v>dělat (v-w409f69_ZU) - substituted with v-w409f89_MM</v>
      </c>
    </row>
    <row r="8269" customFormat="false" ht="12.8" hidden="false" customHeight="false" outlineLevel="0" collapsed="false">
      <c r="B8269" s="0" t="s">
        <v>7</v>
      </c>
    </row>
    <row r="8270" customFormat="false" ht="12.8" hidden="false" customHeight="false" outlineLevel="0" collapsed="false">
      <c r="B8270" s="0" t="s">
        <v>3477</v>
      </c>
    </row>
    <row r="8272" customFormat="false" ht="12.8" hidden="false" customHeight="false" outlineLevel="0" collapsed="false">
      <c r="A8272" s="0" t="s">
        <v>3476</v>
      </c>
      <c r="B8272" s="0" t="str">
        <f aca="false">HYPERLINK("https://lindat.mff.cuni.cz/services/teitok/pdtc10/index.php?action=vallex&amp;frame=v-w409f71_ZU", "dělat (v-w409f71_ZU) - substituted with v-w409f89_MM")</f>
        <v>dělat (v-w409f71_ZU) - substituted with v-w409f89_MM</v>
      </c>
    </row>
    <row r="8273" customFormat="false" ht="12.8" hidden="false" customHeight="false" outlineLevel="0" collapsed="false">
      <c r="B8273" s="0" t="s">
        <v>7</v>
      </c>
    </row>
    <row r="8274" customFormat="false" ht="12.8" hidden="false" customHeight="false" outlineLevel="0" collapsed="false">
      <c r="B8274" s="0" t="s">
        <v>3477</v>
      </c>
    </row>
    <row r="8276" customFormat="false" ht="12.8" hidden="false" customHeight="false" outlineLevel="0" collapsed="false">
      <c r="A8276" s="0" t="s">
        <v>3476</v>
      </c>
      <c r="B8276" s="0" t="str">
        <f aca="false">HYPERLINK("https://lindat.mff.cuni.cz/services/teitok/pdtc10/index.php?action=vallex&amp;frame=v-w409f73_ZU", "dělat (v-w409f73_ZU) - substituted with v-w409f89_MM")</f>
        <v>dělat (v-w409f73_ZU) - substituted with v-w409f89_MM</v>
      </c>
    </row>
    <row r="8277" customFormat="false" ht="12.8" hidden="false" customHeight="false" outlineLevel="0" collapsed="false">
      <c r="B8277" s="0" t="s">
        <v>7</v>
      </c>
    </row>
    <row r="8278" customFormat="false" ht="12.8" hidden="false" customHeight="false" outlineLevel="0" collapsed="false">
      <c r="B8278" s="0" t="s">
        <v>3477</v>
      </c>
    </row>
    <row r="8280" customFormat="false" ht="12.8" hidden="false" customHeight="false" outlineLevel="0" collapsed="false">
      <c r="A8280" s="0" t="s">
        <v>3476</v>
      </c>
      <c r="B8280" s="0" t="str">
        <f aca="false">HYPERLINK("https://lindat.mff.cuni.cz/services/teitok/pdtc10/index.php?action=vallex&amp;frame=v-w409f81_ZU", "dělat (v-w409f81_ZU) - substituted with v-w409f89_MM")</f>
        <v>dělat (v-w409f81_ZU) - substituted with v-w409f89_MM</v>
      </c>
    </row>
    <row r="8281" customFormat="false" ht="12.8" hidden="false" customHeight="false" outlineLevel="0" collapsed="false">
      <c r="B8281" s="0" t="s">
        <v>7</v>
      </c>
    </row>
    <row r="8282" customFormat="false" ht="12.8" hidden="false" customHeight="false" outlineLevel="0" collapsed="false">
      <c r="B8282" s="0" t="s">
        <v>3477</v>
      </c>
    </row>
    <row r="8284" customFormat="false" ht="12.8" hidden="false" customHeight="false" outlineLevel="0" collapsed="false">
      <c r="A8284" s="0" t="s">
        <v>3476</v>
      </c>
      <c r="B8284" s="0" t="str">
        <f aca="false">HYPERLINK("https://lindat.mff.cuni.cz/services/teitok/pdtc10/index.php?action=vallex&amp;frame=v-w409f82_ZU", "dělat (v-w409f82_ZU) - substituted with v-w409f89_MM")</f>
        <v>dělat (v-w409f82_ZU) - substituted with v-w409f89_MM</v>
      </c>
    </row>
    <row r="8285" customFormat="false" ht="12.8" hidden="false" customHeight="false" outlineLevel="0" collapsed="false">
      <c r="B8285" s="0" t="s">
        <v>7</v>
      </c>
    </row>
    <row r="8286" customFormat="false" ht="12.8" hidden="false" customHeight="false" outlineLevel="0" collapsed="false">
      <c r="B8286" s="0" t="s">
        <v>3477</v>
      </c>
    </row>
    <row r="8288" customFormat="false" ht="12.8" hidden="false" customHeight="false" outlineLevel="0" collapsed="false">
      <c r="A8288" s="0" t="s">
        <v>3476</v>
      </c>
      <c r="B8288" s="0" t="str">
        <f aca="false">HYPERLINK("https://lindat.mff.cuni.cz/services/teitok/pdtc10/index.php?action=vallex&amp;frame=v-w409f83_ZU", "dělat (v-w409f83_ZU) - substituted with v-w409f89_MM")</f>
        <v>dělat (v-w409f83_ZU) - substituted with v-w409f89_MM</v>
      </c>
    </row>
    <row r="8289" customFormat="false" ht="12.8" hidden="false" customHeight="false" outlineLevel="0" collapsed="false">
      <c r="B8289" s="0" t="s">
        <v>7</v>
      </c>
    </row>
    <row r="8290" customFormat="false" ht="12.8" hidden="false" customHeight="false" outlineLevel="0" collapsed="false">
      <c r="B8290" s="0" t="s">
        <v>3477</v>
      </c>
    </row>
    <row r="8292" customFormat="false" ht="12.8" hidden="false" customHeight="false" outlineLevel="0" collapsed="false">
      <c r="A8292" s="0" t="s">
        <v>3476</v>
      </c>
      <c r="B8292" s="0" t="str">
        <f aca="false">HYPERLINK("https://lindat.mff.cuni.cz/services/teitok/pdtc10/index.php?action=vallex&amp;frame=v-w409f84_ZU", "dělat (v-w409f84_ZU) - substituted with v-w409f89_MM")</f>
        <v>dělat (v-w409f84_ZU) - substituted with v-w409f89_MM</v>
      </c>
    </row>
    <row r="8293" customFormat="false" ht="12.8" hidden="false" customHeight="false" outlineLevel="0" collapsed="false">
      <c r="B8293" s="0" t="s">
        <v>7</v>
      </c>
    </row>
    <row r="8294" customFormat="false" ht="12.8" hidden="false" customHeight="false" outlineLevel="0" collapsed="false">
      <c r="B8294" s="0" t="s">
        <v>3477</v>
      </c>
    </row>
    <row r="8296" customFormat="false" ht="12.8" hidden="false" customHeight="false" outlineLevel="0" collapsed="false">
      <c r="A8296" s="0" t="s">
        <v>3476</v>
      </c>
      <c r="B8296" s="0" t="str">
        <f aca="false">HYPERLINK("https://lindat.mff.cuni.cz/services/teitok/pdtc10/index.php?action=vallex&amp;frame=v-w409f86_MM", "dělat (v-w409f86_MM) - substituted with v-w409f89_MM")</f>
        <v>dělat (v-w409f86_MM) - substituted with v-w409f89_MM</v>
      </c>
    </row>
    <row r="8297" customFormat="false" ht="12.8" hidden="false" customHeight="false" outlineLevel="0" collapsed="false">
      <c r="B8297" s="0" t="s">
        <v>7</v>
      </c>
    </row>
    <row r="8298" customFormat="false" ht="12.8" hidden="false" customHeight="false" outlineLevel="0" collapsed="false">
      <c r="B8298" s="0" t="s">
        <v>3477</v>
      </c>
    </row>
    <row r="8300" customFormat="false" ht="12.8" hidden="false" customHeight="false" outlineLevel="0" collapsed="false">
      <c r="A8300" s="0" t="s">
        <v>3476</v>
      </c>
      <c r="B8300" s="0" t="str">
        <f aca="false">HYPERLINK("https://lindat.mff.cuni.cz/services/teitok/pdtc10/index.php?action=vallex&amp;frame=v-w409hsa_1100", "dělat (v-w409hsa_1100) - substituted with v-w409f89_MM")</f>
        <v>dělat (v-w409hsa_1100) - substituted with v-w409f89_MM</v>
      </c>
    </row>
    <row r="8301" customFormat="false" ht="12.8" hidden="false" customHeight="false" outlineLevel="0" collapsed="false">
      <c r="B8301" s="0" t="s">
        <v>7</v>
      </c>
      <c r="C8301" s="0" t="s">
        <v>3483</v>
      </c>
    </row>
    <row r="8302" customFormat="false" ht="12.8" hidden="false" customHeight="false" outlineLevel="0" collapsed="false">
      <c r="B8302" s="0" t="s">
        <v>3477</v>
      </c>
      <c r="C8302" s="0" t="s">
        <v>3484</v>
      </c>
    </row>
    <row r="8304" customFormat="false" ht="12.8" hidden="false" customHeight="false" outlineLevel="0" collapsed="false">
      <c r="A8304" s="0" t="s">
        <v>3476</v>
      </c>
      <c r="B8304" s="0" t="str">
        <f aca="false">HYPERLINK("https://lindat.mff.cuni.cz/services/teitok/pdtc10/index.php?action=vallex&amp;frame=v-w409hsa_952", "dělat (v-w409hsa_952) - substituted with v-w409f89_MM")</f>
        <v>dělat (v-w409hsa_952) - substituted with v-w409f89_MM</v>
      </c>
    </row>
    <row r="8305" customFormat="false" ht="12.8" hidden="false" customHeight="false" outlineLevel="0" collapsed="false">
      <c r="B8305" s="0" t="s">
        <v>7</v>
      </c>
    </row>
    <row r="8306" customFormat="false" ht="12.8" hidden="false" customHeight="false" outlineLevel="0" collapsed="false">
      <c r="B8306" s="0" t="s">
        <v>3477</v>
      </c>
    </row>
    <row r="8308" customFormat="false" ht="12.8" hidden="false" customHeight="false" outlineLevel="0" collapsed="false">
      <c r="A8308" s="0" t="s">
        <v>3485</v>
      </c>
      <c r="B8308" s="0" t="str">
        <f aca="false">HYPERLINK("https://lindat.mff.cuni.cz/services/teitok/pdtc10/index.php?action=vallex&amp;frame=v-w409f30_ZU", "dělat (v-w409f30_ZU)")</f>
        <v>dělat (v-w409f30_ZU)</v>
      </c>
    </row>
    <row r="8309" customFormat="false" ht="12.8" hidden="false" customHeight="false" outlineLevel="0" collapsed="false">
      <c r="B8309" s="0" t="s">
        <v>7</v>
      </c>
      <c r="C8309" s="0" t="s">
        <v>3042</v>
      </c>
    </row>
    <row r="8310" customFormat="false" ht="12.8" hidden="false" customHeight="false" outlineLevel="0" collapsed="false">
      <c r="B8310" s="0" t="s">
        <v>3486</v>
      </c>
      <c r="C8310" s="0" t="s">
        <v>3043</v>
      </c>
    </row>
    <row r="8312" customFormat="false" ht="12.8" hidden="false" customHeight="false" outlineLevel="0" collapsed="false">
      <c r="A8312" s="0" t="s">
        <v>3485</v>
      </c>
      <c r="B8312" s="0" t="str">
        <f aca="false">HYPERLINK("https://lindat.mff.cuni.cz/services/teitok/pdtc10/index.php?action=vallex&amp;frame=v-w409f29_ZU", "dělat (v-w409f29_ZU) - substituted with v-w409f30_ZU")</f>
        <v>dělat (v-w409f29_ZU) - substituted with v-w409f30_ZU</v>
      </c>
    </row>
    <row r="8313" customFormat="false" ht="12.8" hidden="false" customHeight="false" outlineLevel="0" collapsed="false">
      <c r="B8313" s="0" t="s">
        <v>7</v>
      </c>
    </row>
    <row r="8314" customFormat="false" ht="12.8" hidden="false" customHeight="false" outlineLevel="0" collapsed="false">
      <c r="B8314" s="0" t="s">
        <v>3486</v>
      </c>
    </row>
    <row r="8316" customFormat="false" ht="12.8" hidden="false" customHeight="false" outlineLevel="0" collapsed="false">
      <c r="A8316" s="0" t="s">
        <v>3487</v>
      </c>
      <c r="B8316" s="0" t="str">
        <f aca="false">HYPERLINK("https://lindat.mff.cuni.cz/services/teitok/pdtc10/index.php?action=vallex&amp;frame=v-w409f32_ZU", "dělat (v-w409f32_ZU)")</f>
        <v>dělat (v-w409f32_ZU)</v>
      </c>
    </row>
    <row r="8317" customFormat="false" ht="12.8" hidden="false" customHeight="false" outlineLevel="0" collapsed="false">
      <c r="B8317" s="0" t="s">
        <v>7</v>
      </c>
    </row>
    <row r="8318" customFormat="false" ht="12.8" hidden="false" customHeight="false" outlineLevel="0" collapsed="false">
      <c r="B8318" s="0" t="s">
        <v>3488</v>
      </c>
    </row>
    <row r="8320" customFormat="false" ht="12.8" hidden="false" customHeight="false" outlineLevel="0" collapsed="false">
      <c r="A8320" s="0" t="s">
        <v>3489</v>
      </c>
      <c r="B8320" s="0" t="str">
        <f aca="false">HYPERLINK("https://lindat.mff.cuni.cz/services/teitok/pdtc10/index.php?action=vallex&amp;frame=v-w409f56_ZU", "dělat (v-w409f56_ZU)")</f>
        <v>dělat (v-w409f56_ZU)</v>
      </c>
    </row>
    <row r="8321" customFormat="false" ht="12.8" hidden="false" customHeight="false" outlineLevel="0" collapsed="false">
      <c r="B8321" s="0" t="s">
        <v>7</v>
      </c>
    </row>
    <row r="8322" customFormat="false" ht="12.8" hidden="false" customHeight="false" outlineLevel="0" collapsed="false">
      <c r="B8322" s="0" t="s">
        <v>3490</v>
      </c>
    </row>
    <row r="8324" customFormat="false" ht="12.8" hidden="false" customHeight="false" outlineLevel="0" collapsed="false">
      <c r="A8324" s="0" t="s">
        <v>3489</v>
      </c>
      <c r="B8324" s="0" t="str">
        <f aca="false">HYPERLINK("https://lindat.mff.cuni.cz/services/teitok/pdtc10/index.php?action=vallex&amp;frame=v-w409f33_ZU", "dělat (v-w409f33_ZU) - substituted with v-w409f56_ZU")</f>
        <v>dělat (v-w409f33_ZU) - substituted with v-w409f56_ZU</v>
      </c>
    </row>
    <row r="8325" customFormat="false" ht="12.8" hidden="false" customHeight="false" outlineLevel="0" collapsed="false">
      <c r="B8325" s="0" t="s">
        <v>7</v>
      </c>
      <c r="C8325" s="0" t="s">
        <v>498</v>
      </c>
    </row>
    <row r="8326" customFormat="false" ht="12.8" hidden="false" customHeight="false" outlineLevel="0" collapsed="false">
      <c r="B8326" s="0" t="s">
        <v>3490</v>
      </c>
      <c r="C8326" s="0" t="s">
        <v>500</v>
      </c>
    </row>
    <row r="8328" customFormat="false" ht="12.8" hidden="false" customHeight="false" outlineLevel="0" collapsed="false">
      <c r="A8328" s="0" t="s">
        <v>3489</v>
      </c>
      <c r="B8328" s="0" t="str">
        <f aca="false">HYPERLINK("https://lindat.mff.cuni.cz/services/teitok/pdtc10/index.php?action=vallex&amp;frame=v-w409hsa_953", "dělat (v-w409hsa_953) - substituted with v-w409f56_ZU")</f>
        <v>dělat (v-w409hsa_953) - substituted with v-w409f56_ZU</v>
      </c>
    </row>
    <row r="8329" customFormat="false" ht="12.8" hidden="false" customHeight="false" outlineLevel="0" collapsed="false">
      <c r="B8329" s="0" t="s">
        <v>7</v>
      </c>
    </row>
    <row r="8330" customFormat="false" ht="12.8" hidden="false" customHeight="false" outlineLevel="0" collapsed="false">
      <c r="B8330" s="0" t="s">
        <v>3490</v>
      </c>
    </row>
    <row r="8332" customFormat="false" ht="12.8" hidden="false" customHeight="false" outlineLevel="0" collapsed="false">
      <c r="A8332" s="0" t="s">
        <v>3491</v>
      </c>
      <c r="B8332" s="0" t="str">
        <f aca="false">HYPERLINK("https://lindat.mff.cuni.cz/services/teitok/pdtc10/index.php?action=vallex&amp;frame=v-w409f16", "dělat (v-w409f16)")</f>
        <v>dělat (v-w409f16)</v>
      </c>
    </row>
    <row r="8333" customFormat="false" ht="12.8" hidden="false" customHeight="false" outlineLevel="0" collapsed="false">
      <c r="B8333" s="0" t="s">
        <v>3492</v>
      </c>
    </row>
    <row r="8334" customFormat="false" ht="12.8" hidden="false" customHeight="false" outlineLevel="0" collapsed="false">
      <c r="B8334" s="0" t="s">
        <v>3493</v>
      </c>
    </row>
    <row r="8336" customFormat="false" ht="12.8" hidden="false" customHeight="false" outlineLevel="0" collapsed="false">
      <c r="A8336" s="0" t="s">
        <v>3494</v>
      </c>
      <c r="B8336" s="0" t="str">
        <f aca="false">HYPERLINK("https://lindat.mff.cuni.cz/services/teitok/pdtc10/index.php?action=vallex&amp;frame=v-w409f21", "dělat (v-w409f21)")</f>
        <v>dělat (v-w409f21)</v>
      </c>
    </row>
    <row r="8337" customFormat="false" ht="12.8" hidden="false" customHeight="false" outlineLevel="0" collapsed="false">
      <c r="B8337" s="0" t="s">
        <v>7</v>
      </c>
    </row>
    <row r="8338" customFormat="false" ht="12.8" hidden="false" customHeight="false" outlineLevel="0" collapsed="false">
      <c r="B8338" s="0" t="s">
        <v>3495</v>
      </c>
    </row>
    <row r="8340" customFormat="false" ht="12.8" hidden="false" customHeight="false" outlineLevel="0" collapsed="false">
      <c r="A8340" s="0" t="s">
        <v>3496</v>
      </c>
      <c r="B8340" s="0" t="str">
        <f aca="false">HYPERLINK("https://lindat.mff.cuni.cz/services/teitok/pdtc10/index.php?action=vallex&amp;frame=v-w409f19", "dělat (v-w409f19)")</f>
        <v>dělat (v-w409f19)</v>
      </c>
    </row>
    <row r="8341" customFormat="false" ht="12.8" hidden="false" customHeight="false" outlineLevel="0" collapsed="false">
      <c r="B8341" s="0" t="s">
        <v>7</v>
      </c>
    </row>
    <row r="8342" customFormat="false" ht="12.8" hidden="false" customHeight="false" outlineLevel="0" collapsed="false">
      <c r="B8342" s="0" t="s">
        <v>3497</v>
      </c>
    </row>
    <row r="8344" customFormat="false" ht="12.8" hidden="false" customHeight="false" outlineLevel="0" collapsed="false">
      <c r="A8344" s="0" t="s">
        <v>3498</v>
      </c>
      <c r="B8344" s="0" t="str">
        <f aca="false">HYPERLINK("https://lindat.mff.cuni.cz/services/teitok/pdtc10/index.php?action=vallex&amp;frame=v-w409f13", "dělat (v-w409f13)")</f>
        <v>dělat (v-w409f13)</v>
      </c>
    </row>
    <row r="8345" customFormat="false" ht="12.8" hidden="false" customHeight="false" outlineLevel="0" collapsed="false">
      <c r="B8345" s="0" t="s">
        <v>7</v>
      </c>
    </row>
    <row r="8346" customFormat="false" ht="12.8" hidden="false" customHeight="false" outlineLevel="0" collapsed="false">
      <c r="B8346" s="0" t="s">
        <v>3499</v>
      </c>
    </row>
    <row r="8348" customFormat="false" ht="12.8" hidden="false" customHeight="false" outlineLevel="0" collapsed="false">
      <c r="A8348" s="0" t="s">
        <v>3500</v>
      </c>
      <c r="B8348" s="0" t="str">
        <f aca="false">HYPERLINK("https://lindat.mff.cuni.cz/services/teitok/pdtc10/index.php?action=vallex&amp;frame=v-w409f34_ZU", "dělat (v-w409f34_ZU)")</f>
        <v>dělat (v-w409f34_ZU)</v>
      </c>
    </row>
    <row r="8349" customFormat="false" ht="12.8" hidden="false" customHeight="false" outlineLevel="0" collapsed="false">
      <c r="B8349" s="0" t="s">
        <v>7</v>
      </c>
    </row>
    <row r="8350" customFormat="false" ht="12.8" hidden="false" customHeight="false" outlineLevel="0" collapsed="false">
      <c r="B8350" s="0" t="s">
        <v>3501</v>
      </c>
    </row>
    <row r="8351" customFormat="false" ht="12.8" hidden="false" customHeight="false" outlineLevel="0" collapsed="false">
      <c r="B8351" s="0" t="s">
        <v>41</v>
      </c>
    </row>
    <row r="8353" customFormat="false" ht="12.8" hidden="false" customHeight="false" outlineLevel="0" collapsed="false">
      <c r="A8353" s="0" t="s">
        <v>3502</v>
      </c>
      <c r="B8353" s="0" t="str">
        <f aca="false">HYPERLINK("https://lindat.mff.cuni.cz/services/teitok/pdtc10/index.php?action=vallex&amp;frame=v-w409f35_ZU", "dělat (v-w409f35_ZU)")</f>
        <v>dělat (v-w409f35_ZU)</v>
      </c>
    </row>
    <row r="8354" customFormat="false" ht="12.8" hidden="false" customHeight="false" outlineLevel="0" collapsed="false">
      <c r="B8354" s="0" t="s">
        <v>7</v>
      </c>
    </row>
    <row r="8355" customFormat="false" ht="12.8" hidden="false" customHeight="false" outlineLevel="0" collapsed="false">
      <c r="B8355" s="0" t="s">
        <v>232</v>
      </c>
    </row>
    <row r="8357" customFormat="false" ht="12.8" hidden="false" customHeight="false" outlineLevel="0" collapsed="false">
      <c r="A8357" s="0" t="s">
        <v>3502</v>
      </c>
      <c r="B8357" s="0" t="str">
        <f aca="false">HYPERLINK("https://lindat.mff.cuni.cz/services/teitok/pdtc10/index.php?action=vallex&amp;frame=v-w409hsa_950", "dělat (v-w409hsa_950) - substituted with v-w409f35_ZU")</f>
        <v>dělat (v-w409hsa_950) - substituted with v-w409f35_ZU</v>
      </c>
    </row>
    <row r="8358" customFormat="false" ht="12.8" hidden="false" customHeight="false" outlineLevel="0" collapsed="false">
      <c r="B8358" s="0" t="s">
        <v>7</v>
      </c>
    </row>
    <row r="8359" customFormat="false" ht="12.8" hidden="false" customHeight="false" outlineLevel="0" collapsed="false">
      <c r="B8359" s="0" t="s">
        <v>232</v>
      </c>
    </row>
    <row r="8361" customFormat="false" ht="12.8" hidden="false" customHeight="false" outlineLevel="0" collapsed="false">
      <c r="A8361" s="0" t="s">
        <v>3503</v>
      </c>
      <c r="B8361" s="0" t="str">
        <f aca="false">HYPERLINK("https://lindat.mff.cuni.cz/services/teitok/pdtc10/index.php?action=vallex&amp;frame=v-w409f36_ZU", "dělat (v-w409f36_ZU)")</f>
        <v>dělat (v-w409f36_ZU)</v>
      </c>
    </row>
    <row r="8362" customFormat="false" ht="12.8" hidden="false" customHeight="false" outlineLevel="0" collapsed="false">
      <c r="B8362" s="0" t="s">
        <v>7</v>
      </c>
    </row>
    <row r="8363" customFormat="false" ht="12.8" hidden="false" customHeight="false" outlineLevel="0" collapsed="false">
      <c r="B8363" s="0" t="s">
        <v>3504</v>
      </c>
    </row>
    <row r="8365" customFormat="false" ht="12.8" hidden="false" customHeight="false" outlineLevel="0" collapsed="false">
      <c r="A8365" s="0" t="s">
        <v>3503</v>
      </c>
      <c r="B8365" s="0" t="str">
        <f aca="false">HYPERLINK("https://lindat.mff.cuni.cz/services/teitok/pdtc10/index.php?action=vallex&amp;frame=v-w409hsa_954", "dělat (v-w409hsa_954) - substituted with v-w409f36_ZU")</f>
        <v>dělat (v-w409hsa_954) - substituted with v-w409f36_ZU</v>
      </c>
    </row>
    <row r="8366" customFormat="false" ht="12.8" hidden="false" customHeight="false" outlineLevel="0" collapsed="false">
      <c r="B8366" s="0" t="s">
        <v>7</v>
      </c>
    </row>
    <row r="8367" customFormat="false" ht="12.8" hidden="false" customHeight="false" outlineLevel="0" collapsed="false">
      <c r="B8367" s="0" t="s">
        <v>3504</v>
      </c>
    </row>
    <row r="8369" customFormat="false" ht="12.8" hidden="false" customHeight="false" outlineLevel="0" collapsed="false">
      <c r="A8369" s="0" t="s">
        <v>3505</v>
      </c>
      <c r="B8369" s="0" t="str">
        <f aca="false">HYPERLINK("https://lindat.mff.cuni.cz/services/teitok/pdtc10/index.php?action=vallex&amp;frame=v-w409f37_ZU", "dělat (v-w409f37_ZU)")</f>
        <v>dělat (v-w409f37_ZU)</v>
      </c>
    </row>
    <row r="8370" customFormat="false" ht="12.8" hidden="false" customHeight="false" outlineLevel="0" collapsed="false">
      <c r="B8370" s="0" t="s">
        <v>7</v>
      </c>
    </row>
    <row r="8371" customFormat="false" ht="12.8" hidden="false" customHeight="false" outlineLevel="0" collapsed="false">
      <c r="B8371" s="0" t="s">
        <v>3506</v>
      </c>
    </row>
    <row r="8373" customFormat="false" ht="12.8" hidden="false" customHeight="false" outlineLevel="0" collapsed="false">
      <c r="A8373" s="0" t="s">
        <v>3505</v>
      </c>
      <c r="B8373" s="0" t="str">
        <f aca="false">HYPERLINK("https://lindat.mff.cuni.cz/services/teitok/pdtc10/index.php?action=vallex&amp;frame=v-w409hsa_955", "dělat (v-w409hsa_955) - substituted with v-w409f37_ZU")</f>
        <v>dělat (v-w409hsa_955) - substituted with v-w409f37_ZU</v>
      </c>
    </row>
    <row r="8374" customFormat="false" ht="12.8" hidden="false" customHeight="false" outlineLevel="0" collapsed="false">
      <c r="B8374" s="0" t="s">
        <v>7</v>
      </c>
    </row>
    <row r="8375" customFormat="false" ht="12.8" hidden="false" customHeight="false" outlineLevel="0" collapsed="false">
      <c r="B8375" s="0" t="s">
        <v>3506</v>
      </c>
    </row>
    <row r="8377" customFormat="false" ht="12.8" hidden="false" customHeight="false" outlineLevel="0" collapsed="false">
      <c r="A8377" s="0" t="s">
        <v>3507</v>
      </c>
      <c r="B8377" s="0" t="str">
        <f aca="false">HYPERLINK("https://lindat.mff.cuni.cz/services/teitok/pdtc10/index.php?action=vallex&amp;frame=v-w409f38_ZU", "dělat (v-w409f38_ZU)")</f>
        <v>dělat (v-w409f38_ZU)</v>
      </c>
    </row>
    <row r="8378" customFormat="false" ht="12.8" hidden="false" customHeight="false" outlineLevel="0" collapsed="false">
      <c r="B8378" s="0" t="s">
        <v>7</v>
      </c>
    </row>
    <row r="8379" customFormat="false" ht="12.8" hidden="false" customHeight="false" outlineLevel="0" collapsed="false">
      <c r="B8379" s="0" t="s">
        <v>3508</v>
      </c>
    </row>
    <row r="8381" customFormat="false" ht="12.8" hidden="false" customHeight="false" outlineLevel="0" collapsed="false">
      <c r="A8381" s="0" t="s">
        <v>3507</v>
      </c>
      <c r="B8381" s="0" t="str">
        <f aca="false">HYPERLINK("https://lindat.mff.cuni.cz/services/teitok/pdtc10/index.php?action=vallex&amp;frame=v-w409hsa_956", "dělat (v-w409hsa_956) - substituted with v-w409f38_ZU")</f>
        <v>dělat (v-w409hsa_956) - substituted with v-w409f38_ZU</v>
      </c>
    </row>
    <row r="8382" customFormat="false" ht="12.8" hidden="false" customHeight="false" outlineLevel="0" collapsed="false">
      <c r="B8382" s="0" t="s">
        <v>7</v>
      </c>
    </row>
    <row r="8383" customFormat="false" ht="12.8" hidden="false" customHeight="false" outlineLevel="0" collapsed="false">
      <c r="B8383" s="0" t="s">
        <v>3508</v>
      </c>
    </row>
    <row r="8385" customFormat="false" ht="12.8" hidden="false" customHeight="false" outlineLevel="0" collapsed="false">
      <c r="A8385" s="0" t="s">
        <v>3509</v>
      </c>
      <c r="B8385" s="0" t="str">
        <f aca="false">HYPERLINK("https://lindat.mff.cuni.cz/services/teitok/pdtc10/index.php?action=vallex&amp;frame=v-w409f39_ZU", "dělat (v-w409f39_ZU)")</f>
        <v>dělat (v-w409f39_ZU)</v>
      </c>
    </row>
    <row r="8386" customFormat="false" ht="12.8" hidden="false" customHeight="false" outlineLevel="0" collapsed="false">
      <c r="B8386" s="0" t="s">
        <v>7</v>
      </c>
    </row>
    <row r="8387" customFormat="false" ht="12.8" hidden="false" customHeight="false" outlineLevel="0" collapsed="false">
      <c r="B8387" s="0" t="s">
        <v>3510</v>
      </c>
    </row>
    <row r="8389" customFormat="false" ht="12.8" hidden="false" customHeight="false" outlineLevel="0" collapsed="false">
      <c r="A8389" s="0" t="s">
        <v>3509</v>
      </c>
      <c r="B8389" s="0" t="str">
        <f aca="false">HYPERLINK("https://lindat.mff.cuni.cz/services/teitok/pdtc10/index.php?action=vallex&amp;frame=v-w409hsa_957", "dělat (v-w409hsa_957) - substituted with v-w409f39_ZU")</f>
        <v>dělat (v-w409hsa_957) - substituted with v-w409f39_ZU</v>
      </c>
    </row>
    <row r="8390" customFormat="false" ht="12.8" hidden="false" customHeight="false" outlineLevel="0" collapsed="false">
      <c r="B8390" s="0" t="s">
        <v>7</v>
      </c>
    </row>
    <row r="8391" customFormat="false" ht="12.8" hidden="false" customHeight="false" outlineLevel="0" collapsed="false">
      <c r="B8391" s="0" t="s">
        <v>3510</v>
      </c>
    </row>
    <row r="8393" customFormat="false" ht="12.8" hidden="false" customHeight="false" outlineLevel="0" collapsed="false">
      <c r="A8393" s="0" t="s">
        <v>3511</v>
      </c>
      <c r="B8393" s="0" t="str">
        <f aca="false">HYPERLINK("https://lindat.mff.cuni.cz/services/teitok/pdtc10/index.php?action=vallex&amp;frame=v-w409f42_ZU", "dělat (v-w409f42_ZU)")</f>
        <v>dělat (v-w409f42_ZU)</v>
      </c>
    </row>
    <row r="8394" customFormat="false" ht="12.8" hidden="false" customHeight="false" outlineLevel="0" collapsed="false">
      <c r="B8394" s="0" t="s">
        <v>7</v>
      </c>
    </row>
    <row r="8395" customFormat="false" ht="12.8" hidden="false" customHeight="false" outlineLevel="0" collapsed="false">
      <c r="B8395" s="0" t="s">
        <v>14</v>
      </c>
    </row>
    <row r="8397" customFormat="false" ht="12.8" hidden="false" customHeight="false" outlineLevel="0" collapsed="false">
      <c r="A8397" s="0" t="s">
        <v>3511</v>
      </c>
      <c r="B8397" s="0" t="str">
        <f aca="false">HYPERLINK("https://lindat.mff.cuni.cz/services/teitok/pdtc10/index.php?action=vallex&amp;frame=v-w409f41_ZU", "dělat (v-w409f41_ZU) - substituted with v-w409f42_ZU")</f>
        <v>dělat (v-w409f41_ZU) - substituted with v-w409f42_ZU</v>
      </c>
    </row>
    <row r="8398" customFormat="false" ht="12.8" hidden="false" customHeight="false" outlineLevel="0" collapsed="false">
      <c r="B8398" s="0" t="s">
        <v>7</v>
      </c>
    </row>
    <row r="8399" customFormat="false" ht="12.8" hidden="false" customHeight="false" outlineLevel="0" collapsed="false">
      <c r="B8399" s="0" t="s">
        <v>14</v>
      </c>
    </row>
    <row r="8401" customFormat="false" ht="12.8" hidden="false" customHeight="false" outlineLevel="0" collapsed="false">
      <c r="A8401" s="0" t="s">
        <v>3512</v>
      </c>
      <c r="B8401" s="0" t="str">
        <f aca="false">HYPERLINK("https://lindat.mff.cuni.cz/services/teitok/pdtc10/index.php?action=vallex&amp;frame=v-w409f48_ZU", "dělat (v-w409f48_ZU)")</f>
        <v>dělat (v-w409f48_ZU)</v>
      </c>
    </row>
    <row r="8402" customFormat="false" ht="12.8" hidden="false" customHeight="false" outlineLevel="0" collapsed="false">
      <c r="B8402" s="0" t="s">
        <v>7</v>
      </c>
    </row>
    <row r="8403" customFormat="false" ht="12.8" hidden="false" customHeight="false" outlineLevel="0" collapsed="false">
      <c r="B8403" s="0" t="s">
        <v>3513</v>
      </c>
    </row>
    <row r="8405" customFormat="false" ht="12.8" hidden="false" customHeight="false" outlineLevel="0" collapsed="false">
      <c r="A8405" s="0" t="s">
        <v>3512</v>
      </c>
      <c r="B8405" s="0" t="str">
        <f aca="false">HYPERLINK("https://lindat.mff.cuni.cz/services/teitok/pdtc10/index.php?action=vallex&amp;frame=v-w409f43_ZU", "dělat (v-w409f43_ZU) - substituted with v-w409f48_ZU")</f>
        <v>dělat (v-w409f43_ZU) - substituted with v-w409f48_ZU</v>
      </c>
    </row>
    <row r="8406" customFormat="false" ht="12.8" hidden="false" customHeight="false" outlineLevel="0" collapsed="false">
      <c r="B8406" s="0" t="s">
        <v>7</v>
      </c>
    </row>
    <row r="8407" customFormat="false" ht="12.8" hidden="false" customHeight="false" outlineLevel="0" collapsed="false">
      <c r="B8407" s="0" t="s">
        <v>3513</v>
      </c>
    </row>
    <row r="8409" customFormat="false" ht="12.8" hidden="false" customHeight="false" outlineLevel="0" collapsed="false">
      <c r="A8409" s="0" t="s">
        <v>3512</v>
      </c>
      <c r="B8409" s="0" t="str">
        <f aca="false">HYPERLINK("https://lindat.mff.cuni.cz/services/teitok/pdtc10/index.php?action=vallex&amp;frame=v-w409f45_ZU", "dělat (v-w409f45_ZU) - substituted with v-w409f48_ZU")</f>
        <v>dělat (v-w409f45_ZU) - substituted with v-w409f48_ZU</v>
      </c>
    </row>
    <row r="8410" customFormat="false" ht="12.8" hidden="false" customHeight="false" outlineLevel="0" collapsed="false">
      <c r="B8410" s="0" t="s">
        <v>7</v>
      </c>
    </row>
    <row r="8411" customFormat="false" ht="12.8" hidden="false" customHeight="false" outlineLevel="0" collapsed="false">
      <c r="B8411" s="0" t="s">
        <v>3513</v>
      </c>
    </row>
    <row r="8413" customFormat="false" ht="12.8" hidden="false" customHeight="false" outlineLevel="0" collapsed="false">
      <c r="A8413" s="0" t="s">
        <v>3512</v>
      </c>
      <c r="B8413" s="0" t="str">
        <f aca="false">HYPERLINK("https://lindat.mff.cuni.cz/services/teitok/pdtc10/index.php?action=vallex&amp;frame=v-w409f46_ZU", "dělat (v-w409f46_ZU) - substituted with v-w409f48_ZU")</f>
        <v>dělat (v-w409f46_ZU) - substituted with v-w409f48_ZU</v>
      </c>
    </row>
    <row r="8414" customFormat="false" ht="12.8" hidden="false" customHeight="false" outlineLevel="0" collapsed="false">
      <c r="B8414" s="0" t="s">
        <v>7</v>
      </c>
    </row>
    <row r="8415" customFormat="false" ht="12.8" hidden="false" customHeight="false" outlineLevel="0" collapsed="false">
      <c r="B8415" s="0" t="s">
        <v>3513</v>
      </c>
    </row>
    <row r="8417" customFormat="false" ht="12.8" hidden="false" customHeight="false" outlineLevel="0" collapsed="false">
      <c r="A8417" s="0" t="s">
        <v>3514</v>
      </c>
      <c r="B8417" s="0" t="str">
        <f aca="false">HYPERLINK("https://lindat.mff.cuni.cz/services/teitok/pdtc10/index.php?action=vallex&amp;frame=v-w409f54_ZU", "dělat (v-w409f54_ZU)")</f>
        <v>dělat (v-w409f54_ZU)</v>
      </c>
    </row>
    <row r="8418" customFormat="false" ht="12.8" hidden="false" customHeight="false" outlineLevel="0" collapsed="false">
      <c r="B8418" s="0" t="s">
        <v>7</v>
      </c>
    </row>
    <row r="8419" customFormat="false" ht="12.8" hidden="false" customHeight="false" outlineLevel="0" collapsed="false">
      <c r="B8419" s="0" t="s">
        <v>3515</v>
      </c>
    </row>
    <row r="8421" customFormat="false" ht="12.8" hidden="false" customHeight="false" outlineLevel="0" collapsed="false">
      <c r="A8421" s="0" t="s">
        <v>3516</v>
      </c>
      <c r="B8421" s="0" t="str">
        <f aca="false">HYPERLINK("https://lindat.mff.cuni.cz/services/teitok/pdtc10/index.php?action=vallex&amp;frame=v-w409f64_ZU", "dělat (v-w409f64_ZU)")</f>
        <v>dělat (v-w409f64_ZU)</v>
      </c>
    </row>
    <row r="8422" customFormat="false" ht="12.8" hidden="false" customHeight="false" outlineLevel="0" collapsed="false">
      <c r="B8422" s="0" t="s">
        <v>7</v>
      </c>
    </row>
    <row r="8423" customFormat="false" ht="12.8" hidden="false" customHeight="false" outlineLevel="0" collapsed="false">
      <c r="B8423" s="0" t="s">
        <v>14</v>
      </c>
    </row>
    <row r="8425" customFormat="false" ht="12.8" hidden="false" customHeight="false" outlineLevel="0" collapsed="false">
      <c r="A8425" s="0" t="s">
        <v>3516</v>
      </c>
      <c r="B8425" s="0" t="str">
        <f aca="false">HYPERLINK("https://lindat.mff.cuni.cz/services/teitok/pdtc10/index.php?action=vallex&amp;frame=v-w409f49_ZU", "dělat (v-w409f49_ZU) - substituted with v-w409f64_ZU")</f>
        <v>dělat (v-w409f49_ZU) - substituted with v-w409f64_ZU</v>
      </c>
    </row>
    <row r="8426" customFormat="false" ht="12.8" hidden="false" customHeight="false" outlineLevel="0" collapsed="false">
      <c r="B8426" s="0" t="s">
        <v>7</v>
      </c>
    </row>
    <row r="8427" customFormat="false" ht="12.8" hidden="false" customHeight="false" outlineLevel="0" collapsed="false">
      <c r="B8427" s="0" t="s">
        <v>14</v>
      </c>
    </row>
    <row r="8429" customFormat="false" ht="12.8" hidden="false" customHeight="false" outlineLevel="0" collapsed="false">
      <c r="A8429" s="0" t="s">
        <v>3517</v>
      </c>
      <c r="B8429" s="0" t="str">
        <f aca="false">HYPERLINK("https://lindat.mff.cuni.cz/services/teitok/pdtc10/index.php?action=vallex&amp;frame=v-w409f67_ZU", "dělat (v-w409f67_ZU)")</f>
        <v>dělat (v-w409f67_ZU)</v>
      </c>
    </row>
    <row r="8430" customFormat="false" ht="12.8" hidden="false" customHeight="false" outlineLevel="0" collapsed="false">
      <c r="B8430" s="0" t="s">
        <v>7</v>
      </c>
    </row>
    <row r="8431" customFormat="false" ht="12.8" hidden="false" customHeight="false" outlineLevel="0" collapsed="false">
      <c r="B8431" s="0" t="s">
        <v>3518</v>
      </c>
    </row>
    <row r="8432" customFormat="false" ht="12.8" hidden="false" customHeight="false" outlineLevel="0" collapsed="false">
      <c r="B8432" s="0" t="s">
        <v>227</v>
      </c>
    </row>
    <row r="8434" customFormat="false" ht="12.8" hidden="false" customHeight="false" outlineLevel="0" collapsed="false">
      <c r="A8434" s="0" t="s">
        <v>3519</v>
      </c>
      <c r="B8434" s="0" t="str">
        <f aca="false">HYPERLINK("https://lindat.mff.cuni.cz/services/teitok/pdtc10/index.php?action=vallex&amp;frame=v-w409f74_ZU", "dělat (v-w409f74_ZU)")</f>
        <v>dělat (v-w409f74_ZU)</v>
      </c>
    </row>
    <row r="8435" customFormat="false" ht="12.8" hidden="false" customHeight="false" outlineLevel="0" collapsed="false">
      <c r="B8435" s="0" t="s">
        <v>7</v>
      </c>
    </row>
    <row r="8436" customFormat="false" ht="12.8" hidden="false" customHeight="false" outlineLevel="0" collapsed="false">
      <c r="B8436" s="0" t="s">
        <v>3520</v>
      </c>
    </row>
    <row r="8438" customFormat="false" ht="12.8" hidden="false" customHeight="false" outlineLevel="0" collapsed="false">
      <c r="A8438" s="0" t="s">
        <v>3521</v>
      </c>
      <c r="B8438" s="0" t="str">
        <f aca="false">HYPERLINK("https://lindat.mff.cuni.cz/services/teitok/pdtc10/index.php?action=vallex&amp;frame=v-w409f79_ZU", "dělat (v-w409f79_ZU)")</f>
        <v>dělat (v-w409f79_ZU)</v>
      </c>
    </row>
    <row r="8439" customFormat="false" ht="12.8" hidden="false" customHeight="false" outlineLevel="0" collapsed="false">
      <c r="B8439" s="0" t="s">
        <v>7</v>
      </c>
    </row>
    <row r="8440" customFormat="false" ht="12.8" hidden="false" customHeight="false" outlineLevel="0" collapsed="false">
      <c r="B8440" s="0" t="s">
        <v>14</v>
      </c>
    </row>
    <row r="8442" customFormat="false" ht="12.8" hidden="false" customHeight="false" outlineLevel="0" collapsed="false">
      <c r="A8442" s="0" t="s">
        <v>3521</v>
      </c>
      <c r="B8442" s="0" t="str">
        <f aca="false">HYPERLINK("https://lindat.mff.cuni.cz/services/teitok/pdtc10/index.php?action=vallex&amp;frame=v-w409f55_ZU", "dělat (v-w409f55_ZU) - substituted with v-w409f79_ZU")</f>
        <v>dělat (v-w409f55_ZU) - substituted with v-w409f79_ZU</v>
      </c>
    </row>
    <row r="8443" customFormat="false" ht="12.8" hidden="false" customHeight="false" outlineLevel="0" collapsed="false">
      <c r="B8443" s="0" t="s">
        <v>7</v>
      </c>
    </row>
    <row r="8444" customFormat="false" ht="12.8" hidden="false" customHeight="false" outlineLevel="0" collapsed="false">
      <c r="B8444" s="0" t="s">
        <v>14</v>
      </c>
    </row>
    <row r="8446" customFormat="false" ht="12.8" hidden="false" customHeight="false" outlineLevel="0" collapsed="false">
      <c r="A8446" s="0" t="s">
        <v>3522</v>
      </c>
      <c r="B8446" s="0" t="str">
        <f aca="false">HYPERLINK("https://lindat.mff.cuni.cz/services/teitok/pdtc10/index.php?action=vallex&amp;frame=v-w409f85_ZU", "dělat (v-w409f85_ZU)")</f>
        <v>dělat (v-w409f85_ZU)</v>
      </c>
    </row>
    <row r="8447" customFormat="false" ht="12.8" hidden="false" customHeight="false" outlineLevel="0" collapsed="false">
      <c r="B8447" s="0" t="s">
        <v>7</v>
      </c>
    </row>
    <row r="8448" customFormat="false" ht="12.8" hidden="false" customHeight="false" outlineLevel="0" collapsed="false">
      <c r="B8448" s="0" t="s">
        <v>3523</v>
      </c>
    </row>
    <row r="8450" customFormat="false" ht="12.8" hidden="false" customHeight="false" outlineLevel="0" collapsed="false">
      <c r="A8450" s="0" t="s">
        <v>3524</v>
      </c>
      <c r="B8450" s="0" t="str">
        <f aca="false">HYPERLINK("https://lindat.mff.cuni.cz/services/teitok/pdtc10/index.php?action=vallex&amp;frame=v-w409f87_MM", "dělat (v-w409f87_MM)")</f>
        <v>dělat (v-w409f87_MM)</v>
      </c>
    </row>
    <row r="8451" customFormat="false" ht="12.8" hidden="false" customHeight="false" outlineLevel="0" collapsed="false">
      <c r="B8451" s="0" t="s">
        <v>7</v>
      </c>
    </row>
    <row r="8452" customFormat="false" ht="12.8" hidden="false" customHeight="false" outlineLevel="0" collapsed="false">
      <c r="B8452" s="0" t="s">
        <v>3525</v>
      </c>
    </row>
    <row r="8454" customFormat="false" ht="12.8" hidden="false" customHeight="false" outlineLevel="0" collapsed="false">
      <c r="A8454" s="0" t="s">
        <v>3526</v>
      </c>
      <c r="B8454" s="0" t="str">
        <f aca="false">HYPERLINK("https://lindat.mff.cuni.cz/services/teitok/pdtc10/index.php?action=vallex&amp;frame=v-w409hsa_948", "dělat (v-w409hsa_948)")</f>
        <v>dělat (v-w409hsa_948)</v>
      </c>
    </row>
    <row r="8455" customFormat="false" ht="12.8" hidden="false" customHeight="false" outlineLevel="0" collapsed="false">
      <c r="B8455" s="0" t="s">
        <v>7</v>
      </c>
    </row>
    <row r="8456" customFormat="false" ht="12.8" hidden="false" customHeight="false" outlineLevel="0" collapsed="false">
      <c r="B8456" s="0" t="s">
        <v>548</v>
      </c>
    </row>
    <row r="8458" customFormat="false" ht="12.8" hidden="false" customHeight="false" outlineLevel="0" collapsed="false">
      <c r="A8458" s="0" t="s">
        <v>3527</v>
      </c>
      <c r="B8458" s="0" t="str">
        <f aca="false">HYPERLINK("https://lindat.mff.cuni.cz/services/teitok/pdtc10/index.php?action=vallex&amp;frame=v-w409hsa_949", "dělat (v-w409hsa_949)")</f>
        <v>dělat (v-w409hsa_949)</v>
      </c>
    </row>
    <row r="8459" customFormat="false" ht="12.8" hidden="false" customHeight="false" outlineLevel="0" collapsed="false">
      <c r="B8459" s="0" t="s">
        <v>7</v>
      </c>
    </row>
    <row r="8460" customFormat="false" ht="12.8" hidden="false" customHeight="false" outlineLevel="0" collapsed="false">
      <c r="B8460" s="0" t="s">
        <v>14</v>
      </c>
    </row>
    <row r="8462" customFormat="false" ht="12.8" hidden="false" customHeight="false" outlineLevel="0" collapsed="false">
      <c r="A8462" s="0" t="s">
        <v>3528</v>
      </c>
      <c r="B8462" s="0" t="str">
        <f aca="false">HYPERLINK("https://lindat.mff.cuni.cz/services/teitok/pdtc10/index.php?action=vallex&amp;frame=v-w409hsa_1099", "dělat (v-w409hsa_1099)")</f>
        <v>dělat (v-w409hsa_1099)</v>
      </c>
    </row>
    <row r="8463" customFormat="false" ht="12.8" hidden="false" customHeight="false" outlineLevel="0" collapsed="false">
      <c r="B8463" s="0" t="s">
        <v>7</v>
      </c>
    </row>
    <row r="8464" customFormat="false" ht="12.8" hidden="false" customHeight="false" outlineLevel="0" collapsed="false">
      <c r="B8464" s="0" t="s">
        <v>1087</v>
      </c>
    </row>
    <row r="8465" customFormat="false" ht="12.8" hidden="false" customHeight="false" outlineLevel="0" collapsed="false">
      <c r="B8465" s="0" t="s">
        <v>679</v>
      </c>
    </row>
    <row r="8467" customFormat="false" ht="12.8" hidden="false" customHeight="false" outlineLevel="0" collapsed="false">
      <c r="A8467" s="0" t="s">
        <v>3529</v>
      </c>
      <c r="B8467" s="0" t="str">
        <f aca="false">HYPERLINK("https://lindat.mff.cuni.cz/services/teitok/pdtc10/index.php?action=vallex&amp;frame=v-w410f1", "dělat se (v-w410f1)")</f>
        <v>dělat se (v-w410f1)</v>
      </c>
    </row>
    <row r="8468" customFormat="false" ht="12.8" hidden="false" customHeight="false" outlineLevel="0" collapsed="false">
      <c r="B8468" s="0" t="s">
        <v>7</v>
      </c>
      <c r="D8468" s="0" t="s">
        <v>1142</v>
      </c>
      <c r="E8468" s="0" t="s">
        <v>1142</v>
      </c>
      <c r="F8468" s="0" t="s">
        <v>1142</v>
      </c>
    </row>
    <row r="8469" customFormat="false" ht="12.8" hidden="false" customHeight="false" outlineLevel="0" collapsed="false">
      <c r="B8469" s="0" t="s">
        <v>548</v>
      </c>
      <c r="D8469" s="0" t="s">
        <v>25</v>
      </c>
      <c r="E8469" s="0" t="s">
        <v>25</v>
      </c>
      <c r="F8469" s="0" t="s">
        <v>25</v>
      </c>
    </row>
    <row r="8471" customFormat="false" ht="12.8" hidden="false" customHeight="false" outlineLevel="0" collapsed="false">
      <c r="A8471" s="0" t="s">
        <v>3530</v>
      </c>
      <c r="B8471" s="0" t="str">
        <f aca="false">HYPERLINK("https://lindat.mff.cuni.cz/services/teitok/pdtc10/index.php?action=vallex&amp;frame=v-w410f2", "dělat se (v-w410f2)")</f>
        <v>dělat se (v-w410f2)</v>
      </c>
    </row>
    <row r="8472" customFormat="false" ht="12.8" hidden="false" customHeight="false" outlineLevel="0" collapsed="false">
      <c r="B8472" s="0" t="s">
        <v>552</v>
      </c>
    </row>
    <row r="8473" customFormat="false" ht="12.8" hidden="false" customHeight="false" outlineLevel="0" collapsed="false">
      <c r="B8473" s="0" t="s">
        <v>474</v>
      </c>
    </row>
    <row r="8474" customFormat="false" ht="12.8" hidden="false" customHeight="false" outlineLevel="0" collapsed="false">
      <c r="B8474" s="0" t="s">
        <v>477</v>
      </c>
    </row>
    <row r="8475" customFormat="false" ht="12.8" hidden="false" customHeight="false" outlineLevel="0" collapsed="false">
      <c r="B8475" s="0" t="s">
        <v>479</v>
      </c>
    </row>
    <row r="8476" customFormat="false" ht="12.8" hidden="false" customHeight="false" outlineLevel="0" collapsed="false">
      <c r="B8476" s="0" t="s">
        <v>481</v>
      </c>
    </row>
    <row r="8477" customFormat="false" ht="12.8" hidden="false" customHeight="false" outlineLevel="0" collapsed="false">
      <c r="B8477" s="0" t="s">
        <v>483</v>
      </c>
    </row>
    <row r="8479" customFormat="false" ht="12.8" hidden="false" customHeight="false" outlineLevel="0" collapsed="false">
      <c r="A8479" s="0" t="s">
        <v>3531</v>
      </c>
      <c r="B8479" s="0" t="str">
        <f aca="false">HYPERLINK("https://lindat.mff.cuni.cz/services/teitok/pdtc10/index.php?action=vallex&amp;frame=v-w410f3_ZU", "dělat se (v-w410f3_ZU)")</f>
        <v>dělat se (v-w410f3_ZU)</v>
      </c>
    </row>
    <row r="8480" customFormat="false" ht="12.8" hidden="false" customHeight="false" outlineLevel="0" collapsed="false">
      <c r="B8480" s="0" t="s">
        <v>7</v>
      </c>
    </row>
    <row r="8482" customFormat="false" ht="12.8" hidden="false" customHeight="false" outlineLevel="0" collapsed="false">
      <c r="A8482" s="0" t="s">
        <v>3532</v>
      </c>
      <c r="B8482" s="0" t="str">
        <f aca="false">HYPERLINK("https://lindat.mff.cuni.cz/services/teitok/pdtc10/index.php?action=vallex&amp;frame=v-w410hsa_1676", "dělat se (v-w410hsa_1676)")</f>
        <v>dělat se (v-w410hsa_1676)</v>
      </c>
    </row>
    <row r="8483" customFormat="false" ht="12.8" hidden="false" customHeight="false" outlineLevel="0" collapsed="false">
      <c r="B8483" s="0" t="s">
        <v>603</v>
      </c>
    </row>
    <row r="8484" customFormat="false" ht="12.8" hidden="false" customHeight="false" outlineLevel="0" collapsed="false">
      <c r="B8484" s="0" t="s">
        <v>662</v>
      </c>
    </row>
    <row r="8486" customFormat="false" ht="12.8" hidden="false" customHeight="false" outlineLevel="0" collapsed="false">
      <c r="A8486" s="0" t="s">
        <v>3533</v>
      </c>
      <c r="B8486" s="0" t="str">
        <f aca="false">HYPERLINK("https://lindat.mff.cuni.cz/services/teitok/pdtc10/index.php?action=vallex&amp;frame=v-w411f1", "dělat si (v-w411f1)")</f>
        <v>dělat si (v-w411f1)</v>
      </c>
    </row>
    <row r="8487" customFormat="false" ht="12.8" hidden="false" customHeight="false" outlineLevel="0" collapsed="false">
      <c r="B8487" s="0" t="s">
        <v>7</v>
      </c>
    </row>
    <row r="8488" customFormat="false" ht="12.8" hidden="false" customHeight="false" outlineLevel="0" collapsed="false">
      <c r="B8488" s="0" t="s">
        <v>232</v>
      </c>
    </row>
    <row r="8490" customFormat="false" ht="12.8" hidden="false" customHeight="false" outlineLevel="0" collapsed="false">
      <c r="A8490" s="0" t="s">
        <v>3534</v>
      </c>
      <c r="B8490" s="0" t="str">
        <f aca="false">HYPERLINK("https://lindat.mff.cuni.cz/services/teitok/pdtc10/index.php?action=vallex&amp;frame=v-w411f2", "dělat si (v-w411f2)")</f>
        <v>dělat si (v-w411f2)</v>
      </c>
    </row>
    <row r="8491" customFormat="false" ht="12.8" hidden="false" customHeight="false" outlineLevel="0" collapsed="false">
      <c r="B8491" s="0" t="s">
        <v>7</v>
      </c>
      <c r="D8491" s="0" t="s">
        <v>3535</v>
      </c>
      <c r="E8491" s="0" t="s">
        <v>3535</v>
      </c>
      <c r="F8491" s="0" t="s">
        <v>3535</v>
      </c>
    </row>
    <row r="8492" customFormat="false" ht="12.8" hidden="false" customHeight="false" outlineLevel="0" collapsed="false">
      <c r="B8492" s="0" t="s">
        <v>3536</v>
      </c>
      <c r="D8492" s="0" t="s">
        <v>3537</v>
      </c>
      <c r="E8492" s="0" t="s">
        <v>3537</v>
      </c>
      <c r="F8492" s="0" t="s">
        <v>3537</v>
      </c>
    </row>
    <row r="8494" customFormat="false" ht="12.8" hidden="false" customHeight="false" outlineLevel="0" collapsed="false">
      <c r="A8494" s="0" t="s">
        <v>3538</v>
      </c>
      <c r="B8494" s="0" t="str">
        <f aca="false">HYPERLINK("https://lindat.mff.cuni.cz/services/teitok/pdtc10/index.php?action=vallex&amp;frame=v-w411f10_ZU", "dělat si (v-w411f10_ZU)")</f>
        <v>dělat si (v-w411f10_ZU)</v>
      </c>
    </row>
    <row r="8495" customFormat="false" ht="12.8" hidden="false" customHeight="false" outlineLevel="0" collapsed="false">
      <c r="B8495" s="0" t="s">
        <v>7</v>
      </c>
      <c r="C8495" s="0" t="s">
        <v>498</v>
      </c>
    </row>
    <row r="8496" customFormat="false" ht="12.8" hidden="false" customHeight="false" outlineLevel="0" collapsed="false">
      <c r="B8496" s="0" t="s">
        <v>3539</v>
      </c>
      <c r="C8496" s="0" t="s">
        <v>500</v>
      </c>
    </row>
    <row r="8498" customFormat="false" ht="12.8" hidden="false" customHeight="false" outlineLevel="0" collapsed="false">
      <c r="A8498" s="0" t="s">
        <v>3538</v>
      </c>
      <c r="B8498" s="0" t="str">
        <f aca="false">HYPERLINK("https://lindat.mff.cuni.cz/services/teitok/pdtc10/index.php?action=vallex&amp;frame=v-w411f7_ZU", "dělat si (v-w411f7_ZU) - substituted with v-w411f10_ZU")</f>
        <v>dělat si (v-w411f7_ZU) - substituted with v-w411f10_ZU</v>
      </c>
    </row>
    <row r="8499" customFormat="false" ht="12.8" hidden="false" customHeight="false" outlineLevel="0" collapsed="false">
      <c r="B8499" s="0" t="s">
        <v>7</v>
      </c>
    </row>
    <row r="8500" customFormat="false" ht="12.8" hidden="false" customHeight="false" outlineLevel="0" collapsed="false">
      <c r="B8500" s="0" t="s">
        <v>3539</v>
      </c>
    </row>
    <row r="8502" customFormat="false" ht="12.8" hidden="false" customHeight="false" outlineLevel="0" collapsed="false">
      <c r="A8502" s="0" t="s">
        <v>3538</v>
      </c>
      <c r="B8502" s="0" t="str">
        <f aca="false">HYPERLINK("https://lindat.mff.cuni.cz/services/teitok/pdtc10/index.php?action=vallex&amp;frame=v-w411f8_ZU", "dělat si (v-w411f8_ZU) - substituted with v-w411f10_ZU")</f>
        <v>dělat si (v-w411f8_ZU) - substituted with v-w411f10_ZU</v>
      </c>
    </row>
    <row r="8503" customFormat="false" ht="12.8" hidden="false" customHeight="false" outlineLevel="0" collapsed="false">
      <c r="B8503" s="0" t="s">
        <v>7</v>
      </c>
      <c r="C8503" s="0" t="s">
        <v>498</v>
      </c>
    </row>
    <row r="8504" customFormat="false" ht="12.8" hidden="false" customHeight="false" outlineLevel="0" collapsed="false">
      <c r="B8504" s="0" t="s">
        <v>3539</v>
      </c>
      <c r="C8504" s="0" t="s">
        <v>500</v>
      </c>
    </row>
    <row r="8506" customFormat="false" ht="12.8" hidden="false" customHeight="false" outlineLevel="0" collapsed="false">
      <c r="A8506" s="0" t="s">
        <v>3540</v>
      </c>
      <c r="B8506" s="0" t="str">
        <f aca="false">HYPERLINK("https://lindat.mff.cuni.cz/services/teitok/pdtc10/index.php?action=vallex&amp;frame=v-w411f6", "dělat si (v-w411f6)")</f>
        <v>dělat si (v-w411f6)</v>
      </c>
    </row>
    <row r="8507" customFormat="false" ht="12.8" hidden="false" customHeight="false" outlineLevel="0" collapsed="false">
      <c r="B8507" s="0" t="s">
        <v>7</v>
      </c>
    </row>
    <row r="8508" customFormat="false" ht="12.8" hidden="false" customHeight="false" outlineLevel="0" collapsed="false">
      <c r="B8508" s="0" t="s">
        <v>3541</v>
      </c>
    </row>
    <row r="8509" customFormat="false" ht="12.8" hidden="false" customHeight="false" outlineLevel="0" collapsed="false">
      <c r="B8509" s="0" t="s">
        <v>227</v>
      </c>
    </row>
    <row r="8511" customFormat="false" ht="12.8" hidden="false" customHeight="false" outlineLevel="0" collapsed="false">
      <c r="A8511" s="0" t="s">
        <v>3542</v>
      </c>
      <c r="B8511" s="0" t="str">
        <f aca="false">HYPERLINK("https://lindat.mff.cuni.cz/services/teitok/pdtc10/index.php?action=vallex&amp;frame=v-w411f3", "dělat si (v-w411f3)")</f>
        <v>dělat si (v-w411f3)</v>
      </c>
    </row>
    <row r="8512" customFormat="false" ht="12.8" hidden="false" customHeight="false" outlineLevel="0" collapsed="false">
      <c r="B8512" s="0" t="s">
        <v>7</v>
      </c>
      <c r="C8512" s="0" t="s">
        <v>88</v>
      </c>
    </row>
    <row r="8513" customFormat="false" ht="12.8" hidden="false" customHeight="false" outlineLevel="0" collapsed="false">
      <c r="B8513" s="0" t="s">
        <v>3543</v>
      </c>
      <c r="C8513" s="0" t="s">
        <v>508</v>
      </c>
    </row>
    <row r="8514" customFormat="false" ht="12.8" hidden="false" customHeight="false" outlineLevel="0" collapsed="false">
      <c r="B8514" s="0" t="s">
        <v>227</v>
      </c>
      <c r="C8514" s="0" t="s">
        <v>461</v>
      </c>
    </row>
    <row r="8516" customFormat="false" ht="12.8" hidden="false" customHeight="false" outlineLevel="0" collapsed="false">
      <c r="A8516" s="0" t="s">
        <v>3544</v>
      </c>
      <c r="B8516" s="0" t="str">
        <f aca="false">HYPERLINK("https://lindat.mff.cuni.cz/services/teitok/pdtc10/index.php?action=vallex&amp;frame=v-w411f16_MM", "dělat si (v-w411f16_MM)")</f>
        <v>dělat si (v-w411f16_MM)</v>
      </c>
    </row>
    <row r="8517" customFormat="false" ht="12.8" hidden="false" customHeight="false" outlineLevel="0" collapsed="false">
      <c r="B8517" s="0" t="s">
        <v>7</v>
      </c>
    </row>
    <row r="8518" customFormat="false" ht="12.8" hidden="false" customHeight="false" outlineLevel="0" collapsed="false">
      <c r="B8518" s="0" t="s">
        <v>3545</v>
      </c>
    </row>
    <row r="8519" customFormat="false" ht="12.8" hidden="false" customHeight="false" outlineLevel="0" collapsed="false">
      <c r="B8519" s="0" t="s">
        <v>227</v>
      </c>
    </row>
    <row r="8520" customFormat="false" ht="12.8" hidden="false" customHeight="false" outlineLevel="0" collapsed="false">
      <c r="B8520" s="0" t="s">
        <v>3546</v>
      </c>
    </row>
    <row r="8522" customFormat="false" ht="12.8" hidden="false" customHeight="false" outlineLevel="0" collapsed="false">
      <c r="A8522" s="0" t="s">
        <v>3544</v>
      </c>
      <c r="B8522" s="0" t="str">
        <f aca="false">HYPERLINK("https://lindat.mff.cuni.cz/services/teitok/pdtc10/index.php?action=vallex&amp;frame=v-w411f15_ZU", "dělat si (v-w411f15_ZU) - substituted with v-w411f16_MM")</f>
        <v>dělat si (v-w411f15_ZU) - substituted with v-w411f16_MM</v>
      </c>
    </row>
    <row r="8523" customFormat="false" ht="12.8" hidden="false" customHeight="false" outlineLevel="0" collapsed="false">
      <c r="B8523" s="0" t="s">
        <v>7</v>
      </c>
    </row>
    <row r="8524" customFormat="false" ht="12.8" hidden="false" customHeight="false" outlineLevel="0" collapsed="false">
      <c r="B8524" s="0" t="s">
        <v>3545</v>
      </c>
    </row>
    <row r="8525" customFormat="false" ht="12.8" hidden="false" customHeight="false" outlineLevel="0" collapsed="false">
      <c r="B8525" s="0" t="s">
        <v>227</v>
      </c>
    </row>
    <row r="8526" customFormat="false" ht="12.8" hidden="false" customHeight="false" outlineLevel="0" collapsed="false">
      <c r="B8526" s="0" t="s">
        <v>3546</v>
      </c>
    </row>
    <row r="8528" customFormat="false" ht="12.8" hidden="false" customHeight="false" outlineLevel="0" collapsed="false">
      <c r="A8528" s="0" t="s">
        <v>3544</v>
      </c>
      <c r="B8528" s="0" t="str">
        <f aca="false">HYPERLINK("https://lindat.mff.cuni.cz/services/teitok/pdtc10/index.php?action=vallex&amp;frame=v-w411f5", "dělat si (v-w411f5) - substituted with v-w411f16_MM")</f>
        <v>dělat si (v-w411f5) - substituted with v-w411f16_MM</v>
      </c>
    </row>
    <row r="8529" customFormat="false" ht="12.8" hidden="false" customHeight="false" outlineLevel="0" collapsed="false">
      <c r="B8529" s="0" t="s">
        <v>7</v>
      </c>
    </row>
    <row r="8530" customFormat="false" ht="12.8" hidden="false" customHeight="false" outlineLevel="0" collapsed="false">
      <c r="B8530" s="0" t="s">
        <v>3545</v>
      </c>
    </row>
    <row r="8531" customFormat="false" ht="12.8" hidden="false" customHeight="false" outlineLevel="0" collapsed="false">
      <c r="B8531" s="0" t="s">
        <v>227</v>
      </c>
    </row>
    <row r="8532" customFormat="false" ht="12.8" hidden="false" customHeight="false" outlineLevel="0" collapsed="false">
      <c r="B8532" s="0" t="s">
        <v>3546</v>
      </c>
    </row>
    <row r="8534" customFormat="false" ht="12.8" hidden="false" customHeight="false" outlineLevel="0" collapsed="false">
      <c r="A8534" s="0" t="s">
        <v>3544</v>
      </c>
      <c r="B8534" s="0" t="str">
        <f aca="false">HYPERLINK("https://lindat.mff.cuni.cz/services/teitok/pdtc10/index.php?action=vallex&amp;frame=v-w411f9_ZU", "dělat si (v-w411f9_ZU) - substituted with v-w411f16_MM")</f>
        <v>dělat si (v-w411f9_ZU) - substituted with v-w411f16_MM</v>
      </c>
    </row>
    <row r="8535" customFormat="false" ht="12.8" hidden="false" customHeight="false" outlineLevel="0" collapsed="false">
      <c r="B8535" s="0" t="s">
        <v>7</v>
      </c>
      <c r="C8535" s="0" t="s">
        <v>3293</v>
      </c>
    </row>
    <row r="8536" customFormat="false" ht="12.8" hidden="false" customHeight="false" outlineLevel="0" collapsed="false">
      <c r="B8536" s="0" t="s">
        <v>3545</v>
      </c>
      <c r="C8536" s="0" t="s">
        <v>3068</v>
      </c>
    </row>
    <row r="8537" customFormat="false" ht="12.8" hidden="false" customHeight="false" outlineLevel="0" collapsed="false">
      <c r="B8537" s="0" t="s">
        <v>227</v>
      </c>
    </row>
    <row r="8538" customFormat="false" ht="12.8" hidden="false" customHeight="false" outlineLevel="0" collapsed="false">
      <c r="B8538" s="0" t="s">
        <v>3546</v>
      </c>
    </row>
    <row r="8540" customFormat="false" ht="12.8" hidden="false" customHeight="false" outlineLevel="0" collapsed="false">
      <c r="A8540" s="0" t="s">
        <v>3547</v>
      </c>
      <c r="B8540" s="0" t="str">
        <f aca="false">HYPERLINK("https://lindat.mff.cuni.cz/services/teitok/pdtc10/index.php?action=vallex&amp;frame=v-w411f4", "dělat si (v-w411f4)")</f>
        <v>dělat si (v-w411f4)</v>
      </c>
    </row>
    <row r="8541" customFormat="false" ht="12.8" hidden="false" customHeight="false" outlineLevel="0" collapsed="false">
      <c r="B8541" s="0" t="s">
        <v>457</v>
      </c>
    </row>
    <row r="8542" customFormat="false" ht="12.8" hidden="false" customHeight="false" outlineLevel="0" collapsed="false">
      <c r="B8542" s="0" t="s">
        <v>3548</v>
      </c>
    </row>
    <row r="8544" customFormat="false" ht="12.8" hidden="false" customHeight="false" outlineLevel="0" collapsed="false">
      <c r="A8544" s="0" t="s">
        <v>3549</v>
      </c>
      <c r="B8544" s="0" t="str">
        <f aca="false">HYPERLINK("https://lindat.mff.cuni.cz/services/teitok/pdtc10/index.php?action=vallex&amp;frame=v-w411f12_ZU", "dělat si (v-w411f12_ZU)")</f>
        <v>dělat si (v-w411f12_ZU)</v>
      </c>
    </row>
    <row r="8545" customFormat="false" ht="12.8" hidden="false" customHeight="false" outlineLevel="0" collapsed="false">
      <c r="B8545" s="0" t="s">
        <v>7</v>
      </c>
    </row>
    <row r="8546" customFormat="false" ht="12.8" hidden="false" customHeight="false" outlineLevel="0" collapsed="false">
      <c r="B8546" s="0" t="s">
        <v>3550</v>
      </c>
    </row>
    <row r="8547" customFormat="false" ht="12.8" hidden="false" customHeight="false" outlineLevel="0" collapsed="false">
      <c r="B8547" s="0" t="s">
        <v>3551</v>
      </c>
    </row>
    <row r="8549" customFormat="false" ht="12.8" hidden="false" customHeight="false" outlineLevel="0" collapsed="false">
      <c r="A8549" s="0" t="s">
        <v>3549</v>
      </c>
      <c r="B8549" s="0" t="str">
        <f aca="false">HYPERLINK("https://lindat.mff.cuni.cz/services/teitok/pdtc10/index.php?action=vallex&amp;frame=v-w411f11_ZU", "dělat si (v-w411f11_ZU) - substituted with v-w411f12_ZU")</f>
        <v>dělat si (v-w411f11_ZU) - substituted with v-w411f12_ZU</v>
      </c>
    </row>
    <row r="8550" customFormat="false" ht="12.8" hidden="false" customHeight="false" outlineLevel="0" collapsed="false">
      <c r="B8550" s="0" t="s">
        <v>7</v>
      </c>
    </row>
    <row r="8551" customFormat="false" ht="12.8" hidden="false" customHeight="false" outlineLevel="0" collapsed="false">
      <c r="B8551" s="0" t="s">
        <v>3550</v>
      </c>
    </row>
    <row r="8552" customFormat="false" ht="12.8" hidden="false" customHeight="false" outlineLevel="0" collapsed="false">
      <c r="B8552" s="0" t="s">
        <v>3551</v>
      </c>
    </row>
    <row r="8554" customFormat="false" ht="12.8" hidden="false" customHeight="false" outlineLevel="0" collapsed="false">
      <c r="A8554" s="0" t="s">
        <v>3549</v>
      </c>
      <c r="B8554" s="0" t="str">
        <f aca="false">HYPERLINK("https://lindat.mff.cuni.cz/services/teitok/pdtc10/index.php?action=vallex&amp;frame=v-w411hsa_851", "dělat si (v-w411hsa_851) - substituted with v-w411f12_ZU")</f>
        <v>dělat si (v-w411hsa_851) - substituted with v-w411f12_ZU</v>
      </c>
    </row>
    <row r="8555" customFormat="false" ht="12.8" hidden="false" customHeight="false" outlineLevel="0" collapsed="false">
      <c r="B8555" s="0" t="s">
        <v>7</v>
      </c>
    </row>
    <row r="8556" customFormat="false" ht="12.8" hidden="false" customHeight="false" outlineLevel="0" collapsed="false">
      <c r="B8556" s="0" t="s">
        <v>3550</v>
      </c>
    </row>
    <row r="8557" customFormat="false" ht="12.8" hidden="false" customHeight="false" outlineLevel="0" collapsed="false">
      <c r="B8557" s="0" t="s">
        <v>3551</v>
      </c>
    </row>
    <row r="8559" customFormat="false" ht="12.8" hidden="false" customHeight="false" outlineLevel="0" collapsed="false">
      <c r="A8559" s="0" t="s">
        <v>3552</v>
      </c>
      <c r="B8559" s="0" t="str">
        <f aca="false">HYPERLINK("https://lindat.mff.cuni.cz/services/teitok/pdtc10/index.php?action=vallex&amp;frame=v-w411f13_ZU", "dělat si (v-w411f13_ZU)")</f>
        <v>dělat si (v-w411f13_ZU)</v>
      </c>
    </row>
    <row r="8560" customFormat="false" ht="12.8" hidden="false" customHeight="false" outlineLevel="0" collapsed="false">
      <c r="B8560" s="0" t="s">
        <v>7</v>
      </c>
      <c r="C8560" s="0" t="s">
        <v>1263</v>
      </c>
    </row>
    <row r="8561" customFormat="false" ht="12.8" hidden="false" customHeight="false" outlineLevel="0" collapsed="false">
      <c r="B8561" s="0" t="s">
        <v>3553</v>
      </c>
      <c r="C8561" s="0" t="s">
        <v>625</v>
      </c>
    </row>
    <row r="8562" customFormat="false" ht="12.8" hidden="false" customHeight="false" outlineLevel="0" collapsed="false">
      <c r="B8562" s="0" t="s">
        <v>207</v>
      </c>
      <c r="C8562" s="0" t="s">
        <v>3554</v>
      </c>
    </row>
    <row r="8564" customFormat="false" ht="12.8" hidden="false" customHeight="false" outlineLevel="0" collapsed="false">
      <c r="A8564" s="0" t="s">
        <v>3555</v>
      </c>
      <c r="B8564" s="0" t="str">
        <f aca="false">HYPERLINK("https://lindat.mff.cuni.cz/services/teitok/pdtc10/index.php?action=vallex&amp;frame=v-w411f14_ZU", "dělat si (v-w411f14_ZU)")</f>
        <v>dělat si (v-w411f14_ZU)</v>
      </c>
    </row>
    <row r="8565" customFormat="false" ht="12.8" hidden="false" customHeight="false" outlineLevel="0" collapsed="false">
      <c r="B8565" s="0" t="s">
        <v>7</v>
      </c>
    </row>
    <row r="8566" customFormat="false" ht="12.8" hidden="false" customHeight="false" outlineLevel="0" collapsed="false">
      <c r="B8566" s="0" t="s">
        <v>3556</v>
      </c>
    </row>
    <row r="8567" customFormat="false" ht="12.8" hidden="false" customHeight="false" outlineLevel="0" collapsed="false">
      <c r="B8567" s="0" t="s">
        <v>227</v>
      </c>
    </row>
    <row r="8569" customFormat="false" ht="12.8" hidden="false" customHeight="false" outlineLevel="0" collapsed="false">
      <c r="A8569" s="0" t="s">
        <v>3555</v>
      </c>
      <c r="B8569" s="0" t="str">
        <f aca="false">HYPERLINK("https://lindat.mff.cuni.cz/services/teitok/pdtc10/index.php?action=vallex&amp;frame=v-w411hsa_850", "dělat si (v-w411hsa_850) - substituted with v-w411f14_ZU")</f>
        <v>dělat si (v-w411hsa_850) - substituted with v-w411f14_ZU</v>
      </c>
    </row>
    <row r="8570" customFormat="false" ht="12.8" hidden="false" customHeight="false" outlineLevel="0" collapsed="false">
      <c r="B8570" s="0" t="s">
        <v>7</v>
      </c>
    </row>
    <row r="8571" customFormat="false" ht="12.8" hidden="false" customHeight="false" outlineLevel="0" collapsed="false">
      <c r="B8571" s="0" t="s">
        <v>3556</v>
      </c>
    </row>
    <row r="8572" customFormat="false" ht="12.8" hidden="false" customHeight="false" outlineLevel="0" collapsed="false">
      <c r="B8572" s="0" t="s">
        <v>227</v>
      </c>
    </row>
    <row r="8574" customFormat="false" ht="12.8" hidden="false" customHeight="false" outlineLevel="0" collapsed="false">
      <c r="A8574" s="0" t="s">
        <v>3557</v>
      </c>
      <c r="B8574" s="0" t="str">
        <f aca="false">HYPERLINK("https://lindat.mff.cuni.cz/services/teitok/pdtc10/index.php?action=vallex&amp;frame=v-w411hsa_852", "dělat si (v-w411hsa_852)")</f>
        <v>dělat si (v-w411hsa_852)</v>
      </c>
    </row>
    <row r="8575" customFormat="false" ht="12.8" hidden="false" customHeight="false" outlineLevel="0" collapsed="false">
      <c r="B8575" s="0" t="s">
        <v>7</v>
      </c>
    </row>
    <row r="8576" customFormat="false" ht="12.8" hidden="false" customHeight="false" outlineLevel="0" collapsed="false">
      <c r="B8576" s="0" t="s">
        <v>3558</v>
      </c>
    </row>
    <row r="8577" customFormat="false" ht="12.8" hidden="false" customHeight="false" outlineLevel="0" collapsed="false">
      <c r="B8577" s="0" t="s">
        <v>227</v>
      </c>
    </row>
    <row r="8579" customFormat="false" ht="12.8" hidden="false" customHeight="false" outlineLevel="0" collapsed="false">
      <c r="A8579" s="0" t="s">
        <v>3559</v>
      </c>
      <c r="B8579" s="0" t="str">
        <f aca="false">HYPERLINK("https://lindat.mff.cuni.cz/services/teitok/pdtc10/index.php?action=vallex&amp;frame=v-w417f3", "dělit (v-w417f3)")</f>
        <v>dělit (v-w417f3)</v>
      </c>
    </row>
    <row r="8580" customFormat="false" ht="12.8" hidden="false" customHeight="false" outlineLevel="0" collapsed="false">
      <c r="B8580" s="0" t="s">
        <v>7</v>
      </c>
    </row>
    <row r="8581" customFormat="false" ht="12.8" hidden="false" customHeight="false" outlineLevel="0" collapsed="false">
      <c r="B8581" s="0" t="s">
        <v>14</v>
      </c>
    </row>
    <row r="8582" customFormat="false" ht="12.8" hidden="false" customHeight="false" outlineLevel="0" collapsed="false">
      <c r="B8582" s="0" t="s">
        <v>3560</v>
      </c>
    </row>
    <row r="8584" customFormat="false" ht="12.8" hidden="false" customHeight="false" outlineLevel="0" collapsed="false">
      <c r="A8584" s="0" t="s">
        <v>3561</v>
      </c>
      <c r="B8584" s="0" t="str">
        <f aca="false">HYPERLINK("https://lindat.mff.cuni.cz/services/teitok/pdtc10/index.php?action=vallex&amp;frame=v-w417f2", "dělit (v-w417f2)")</f>
        <v>dělit (v-w417f2)</v>
      </c>
    </row>
    <row r="8585" customFormat="false" ht="12.8" hidden="false" customHeight="false" outlineLevel="0" collapsed="false">
      <c r="B8585" s="0" t="s">
        <v>7</v>
      </c>
    </row>
    <row r="8586" customFormat="false" ht="12.8" hidden="false" customHeight="false" outlineLevel="0" collapsed="false">
      <c r="B8586" s="0" t="s">
        <v>14</v>
      </c>
    </row>
    <row r="8587" customFormat="false" ht="12.8" hidden="false" customHeight="false" outlineLevel="0" collapsed="false">
      <c r="B8587" s="0" t="s">
        <v>441</v>
      </c>
    </row>
    <row r="8589" customFormat="false" ht="12.8" hidden="false" customHeight="false" outlineLevel="0" collapsed="false">
      <c r="A8589" s="0" t="s">
        <v>3562</v>
      </c>
      <c r="B8589" s="0" t="str">
        <f aca="false">HYPERLINK("https://lindat.mff.cuni.cz/services/teitok/pdtc10/index.php?action=vallex&amp;frame=v-w417f4_ZU", "dělit (v-w417f4_ZU)")</f>
        <v>dělit (v-w417f4_ZU)</v>
      </c>
    </row>
    <row r="8590" customFormat="false" ht="12.8" hidden="false" customHeight="false" outlineLevel="0" collapsed="false">
      <c r="B8590" s="0" t="s">
        <v>7</v>
      </c>
    </row>
    <row r="8591" customFormat="false" ht="12.8" hidden="false" customHeight="false" outlineLevel="0" collapsed="false">
      <c r="B8591" s="0" t="s">
        <v>14</v>
      </c>
    </row>
    <row r="8592" customFormat="false" ht="12.8" hidden="false" customHeight="false" outlineLevel="0" collapsed="false">
      <c r="B8592" s="0" t="s">
        <v>1408</v>
      </c>
    </row>
    <row r="8594" customFormat="false" ht="12.8" hidden="false" customHeight="false" outlineLevel="0" collapsed="false">
      <c r="A8594" s="0" t="s">
        <v>3563</v>
      </c>
      <c r="B8594" s="0" t="str">
        <f aca="false">HYPERLINK("https://lindat.mff.cuni.cz/services/teitok/pdtc10/index.php?action=vallex&amp;frame=v-w417f1", "dělit (v-w417f1)")</f>
        <v>dělit (v-w417f1)</v>
      </c>
    </row>
    <row r="8595" customFormat="false" ht="12.8" hidden="false" customHeight="false" outlineLevel="0" collapsed="false">
      <c r="B8595" s="0" t="s">
        <v>7</v>
      </c>
    </row>
    <row r="8596" customFormat="false" ht="12.8" hidden="false" customHeight="false" outlineLevel="0" collapsed="false">
      <c r="B8596" s="0" t="s">
        <v>14</v>
      </c>
    </row>
    <row r="8597" customFormat="false" ht="12.8" hidden="false" customHeight="false" outlineLevel="0" collapsed="false">
      <c r="B8597" s="0" t="s">
        <v>2773</v>
      </c>
    </row>
    <row r="8599" customFormat="false" ht="12.8" hidden="false" customHeight="false" outlineLevel="0" collapsed="false">
      <c r="A8599" s="0" t="s">
        <v>3564</v>
      </c>
      <c r="B8599" s="0" t="str">
        <f aca="false">HYPERLINK("https://lindat.mff.cuni.cz/services/teitok/pdtc10/index.php?action=vallex&amp;frame=v-w419f1", "dělit se (v-w419f1)")</f>
        <v>dělit se (v-w419f1)</v>
      </c>
    </row>
    <row r="8600" customFormat="false" ht="12.8" hidden="false" customHeight="false" outlineLevel="0" collapsed="false">
      <c r="B8600" s="0" t="s">
        <v>7</v>
      </c>
      <c r="C8600" s="0" t="s">
        <v>3051</v>
      </c>
      <c r="D8600" s="0" t="s">
        <v>23</v>
      </c>
      <c r="E8600" s="0" t="s">
        <v>23</v>
      </c>
      <c r="F8600" s="0" t="s">
        <v>23</v>
      </c>
    </row>
    <row r="8601" customFormat="false" ht="12.8" hidden="false" customHeight="false" outlineLevel="0" collapsed="false">
      <c r="B8601" s="0" t="s">
        <v>615</v>
      </c>
      <c r="C8601" s="0" t="s">
        <v>462</v>
      </c>
      <c r="D8601" s="0" t="s">
        <v>3565</v>
      </c>
      <c r="E8601" s="0" t="s">
        <v>3565</v>
      </c>
      <c r="F8601" s="0" t="s">
        <v>3565</v>
      </c>
    </row>
    <row r="8602" customFormat="false" ht="12.8" hidden="false" customHeight="false" outlineLevel="0" collapsed="false">
      <c r="B8602" s="0" t="s">
        <v>207</v>
      </c>
      <c r="C8602" s="0" t="s">
        <v>3566</v>
      </c>
      <c r="D8602" s="0" t="s">
        <v>3566</v>
      </c>
      <c r="E8602" s="0" t="s">
        <v>3566</v>
      </c>
      <c r="F8602" s="0" t="s">
        <v>3566</v>
      </c>
    </row>
    <row r="8604" customFormat="false" ht="12.8" hidden="false" customHeight="false" outlineLevel="0" collapsed="false">
      <c r="A8604" s="0" t="s">
        <v>3567</v>
      </c>
      <c r="B8604" s="0" t="str">
        <f aca="false">HYPERLINK("https://lindat.mff.cuni.cz/services/teitok/pdtc10/index.php?action=vallex&amp;frame=v-w419f2", "dělit se (v-w419f2)")</f>
        <v>dělit se (v-w419f2)</v>
      </c>
    </row>
    <row r="8605" customFormat="false" ht="12.8" hidden="false" customHeight="false" outlineLevel="0" collapsed="false">
      <c r="B8605" s="0" t="s">
        <v>7</v>
      </c>
      <c r="C8605" s="0" t="s">
        <v>2074</v>
      </c>
      <c r="D8605" s="0" t="s">
        <v>1619</v>
      </c>
      <c r="E8605" s="0" t="s">
        <v>1619</v>
      </c>
      <c r="F8605" s="0" t="s">
        <v>1619</v>
      </c>
    </row>
    <row r="8606" customFormat="false" ht="12.8" hidden="false" customHeight="false" outlineLevel="0" collapsed="false">
      <c r="B8606" s="0" t="s">
        <v>3568</v>
      </c>
      <c r="D8606" s="0" t="s">
        <v>1620</v>
      </c>
      <c r="E8606" s="0" t="s">
        <v>1620</v>
      </c>
      <c r="F8606" s="0" t="s">
        <v>1620</v>
      </c>
    </row>
    <row r="8608" customFormat="false" ht="12.8" hidden="false" customHeight="false" outlineLevel="0" collapsed="false">
      <c r="A8608" s="0" t="s">
        <v>3569</v>
      </c>
      <c r="B8608" s="0" t="str">
        <f aca="false">HYPERLINK("https://lindat.mff.cuni.cz/services/teitok/pdtc10/index.php?action=vallex&amp;frame=v-whsa_1269hsa_1270", "dělávat (v-whsa_1269hsa_1270)")</f>
        <v>dělávat (v-whsa_1269hsa_1270)</v>
      </c>
    </row>
    <row r="8609" customFormat="false" ht="12.8" hidden="false" customHeight="false" outlineLevel="0" collapsed="false">
      <c r="B8609" s="0" t="s">
        <v>7</v>
      </c>
    </row>
    <row r="8610" customFormat="false" ht="12.8" hidden="false" customHeight="false" outlineLevel="0" collapsed="false">
      <c r="B8610" s="0" t="s">
        <v>3457</v>
      </c>
    </row>
    <row r="8612" customFormat="false" ht="12.8" hidden="false" customHeight="false" outlineLevel="0" collapsed="false">
      <c r="A8612" s="0" t="s">
        <v>3570</v>
      </c>
      <c r="B8612" s="0" t="str">
        <f aca="false">HYPERLINK("https://lindat.mff.cuni.cz/services/teitok/pdtc10/index.php?action=vallex&amp;frame=v-whsb_1269f1_ZU", "dělávat (v-whsb_1269f1_ZU)")</f>
        <v>dělávat (v-whsb_1269f1_ZU)</v>
      </c>
    </row>
    <row r="8613" customFormat="false" ht="12.8" hidden="false" customHeight="false" outlineLevel="0" collapsed="false">
      <c r="B8613" s="0" t="s">
        <v>7</v>
      </c>
    </row>
    <row r="8614" customFormat="false" ht="12.8" hidden="false" customHeight="false" outlineLevel="0" collapsed="false">
      <c r="B8614" s="0" t="s">
        <v>1059</v>
      </c>
    </row>
    <row r="8616" customFormat="false" ht="12.8" hidden="false" customHeight="false" outlineLevel="0" collapsed="false">
      <c r="A8616" s="0" t="s">
        <v>3571</v>
      </c>
      <c r="B8616" s="0" t="str">
        <f aca="false">HYPERLINK("https://lindat.mff.cuni.cz/services/teitok/pdtc10/index.php?action=vallex&amp;frame=v-whsa_1269hsa_1077", "dělávat (v-whsa_1269hsa_1077)")</f>
        <v>dělávat (v-whsa_1269hsa_1077)</v>
      </c>
    </row>
    <row r="8617" customFormat="false" ht="12.8" hidden="false" customHeight="false" outlineLevel="0" collapsed="false">
      <c r="B8617" s="0" t="s">
        <v>7</v>
      </c>
    </row>
    <row r="8618" customFormat="false" ht="12.8" hidden="false" customHeight="false" outlineLevel="0" collapsed="false">
      <c r="B8618" s="0" t="s">
        <v>14</v>
      </c>
    </row>
    <row r="8620" customFormat="false" ht="12.8" hidden="false" customHeight="false" outlineLevel="0" collapsed="false">
      <c r="A8620" s="0" t="s">
        <v>3572</v>
      </c>
      <c r="B8620" s="0" t="str">
        <f aca="false">HYPERLINK("https://lindat.mff.cuni.cz/services/teitok/pdtc10/index.php?action=vallex&amp;frame=v-whsa_1269hsa_1078", "dělávat (v-whsa_1269hsa_1078)")</f>
        <v>dělávat (v-whsa_1269hsa_1078)</v>
      </c>
    </row>
    <row r="8621" customFormat="false" ht="12.8" hidden="false" customHeight="false" outlineLevel="0" collapsed="false">
      <c r="B8621" s="0" t="s">
        <v>7</v>
      </c>
    </row>
    <row r="8622" customFormat="false" ht="12.8" hidden="false" customHeight="false" outlineLevel="0" collapsed="false">
      <c r="B8622" s="0" t="s">
        <v>14</v>
      </c>
    </row>
    <row r="8623" customFormat="false" ht="12.8" hidden="false" customHeight="false" outlineLevel="0" collapsed="false">
      <c r="B8623" s="0" t="s">
        <v>35</v>
      </c>
    </row>
    <row r="8625" customFormat="false" ht="12.8" hidden="false" customHeight="false" outlineLevel="0" collapsed="false">
      <c r="A8625" s="0" t="s">
        <v>3573</v>
      </c>
      <c r="B8625" s="0" t="str">
        <f aca="false">HYPERLINK("https://lindat.mff.cuni.cz/services/teitok/pdtc10/index.php?action=vallex&amp;frame=v-whsa_1269hsa_1079", "dělávat (v-whsa_1269hsa_1079)")</f>
        <v>dělávat (v-whsa_1269hsa_1079)</v>
      </c>
    </row>
    <row r="8626" customFormat="false" ht="12.8" hidden="false" customHeight="false" outlineLevel="0" collapsed="false">
      <c r="B8626" s="0" t="s">
        <v>7</v>
      </c>
    </row>
    <row r="8627" customFormat="false" ht="12.8" hidden="false" customHeight="false" outlineLevel="0" collapsed="false">
      <c r="B8627" s="0" t="s">
        <v>14</v>
      </c>
    </row>
    <row r="8629" customFormat="false" ht="12.8" hidden="false" customHeight="false" outlineLevel="0" collapsed="false">
      <c r="A8629" s="0" t="s">
        <v>3574</v>
      </c>
      <c r="B8629" s="0" t="str">
        <f aca="false">HYPERLINK("https://lindat.mff.cuni.cz/services/teitok/pdtc10/index.php?action=vallex&amp;frame=v-w446f1", "děsit (v-w446f1)")</f>
        <v>děsit (v-w446f1)</v>
      </c>
    </row>
    <row r="8630" customFormat="false" ht="12.8" hidden="false" customHeight="false" outlineLevel="0" collapsed="false">
      <c r="B8630" s="0" t="s">
        <v>7</v>
      </c>
      <c r="C8630" s="0" t="s">
        <v>3575</v>
      </c>
      <c r="D8630" s="0" t="s">
        <v>3576</v>
      </c>
      <c r="E8630" s="0" t="s">
        <v>3576</v>
      </c>
      <c r="F8630" s="0" t="s">
        <v>3576</v>
      </c>
    </row>
    <row r="8631" customFormat="false" ht="12.8" hidden="false" customHeight="false" outlineLevel="0" collapsed="false">
      <c r="B8631" s="0" t="s">
        <v>14</v>
      </c>
      <c r="C8631" s="0" t="s">
        <v>115</v>
      </c>
      <c r="D8631" s="0" t="s">
        <v>2641</v>
      </c>
      <c r="E8631" s="0" t="s">
        <v>2641</v>
      </c>
      <c r="F8631" s="0" t="s">
        <v>2641</v>
      </c>
    </row>
    <row r="8633" customFormat="false" ht="12.8" hidden="false" customHeight="false" outlineLevel="0" collapsed="false">
      <c r="A8633" s="0" t="s">
        <v>3577</v>
      </c>
      <c r="B8633" s="0" t="str">
        <f aca="false">HYPERLINK("https://lindat.mff.cuni.cz/services/teitok/pdtc10/index.php?action=vallex&amp;frame=v-w11782_ZUf1_ZU", "děsit se (v-w11782_ZUf1_ZU)")</f>
        <v>děsit se (v-w11782_ZUf1_ZU)</v>
      </c>
    </row>
    <row r="8634" customFormat="false" ht="12.8" hidden="false" customHeight="false" outlineLevel="0" collapsed="false">
      <c r="B8634" s="0" t="s">
        <v>7</v>
      </c>
    </row>
    <row r="8635" customFormat="false" ht="12.8" hidden="false" customHeight="false" outlineLevel="0" collapsed="false">
      <c r="B8635" s="0" t="s">
        <v>1087</v>
      </c>
    </row>
    <row r="8637" customFormat="false" ht="12.8" hidden="false" customHeight="false" outlineLevel="0" collapsed="false">
      <c r="A8637" s="0" t="s">
        <v>3578</v>
      </c>
      <c r="B8637" s="0" t="str">
        <f aca="false">HYPERLINK("https://lindat.mff.cuni.cz/services/teitok/pdtc10/index.php?action=vallex&amp;frame=v-w11809_ZUf1_ZU", "dřepnout si (v-w11809_ZUf1_ZU)")</f>
        <v>dřepnout si (v-w11809_ZUf1_ZU)</v>
      </c>
    </row>
    <row r="8638" customFormat="false" ht="12.8" hidden="false" customHeight="false" outlineLevel="0" collapsed="false">
      <c r="B8638" s="0" t="s">
        <v>7</v>
      </c>
    </row>
    <row r="8639" customFormat="false" ht="12.8" hidden="false" customHeight="false" outlineLevel="0" collapsed="false">
      <c r="B8639" s="0" t="s">
        <v>338</v>
      </c>
    </row>
    <row r="8641" customFormat="false" ht="12.8" hidden="false" customHeight="false" outlineLevel="0" collapsed="false">
      <c r="A8641" s="0" t="s">
        <v>3579</v>
      </c>
      <c r="B8641" s="0" t="str">
        <f aca="false">HYPERLINK("https://lindat.mff.cuni.cz/services/teitok/pdtc10/index.php?action=vallex&amp;frame=v-w843f2", "dřímat (v-w843f2)")</f>
        <v>dřímat (v-w843f2)</v>
      </c>
    </row>
    <row r="8642" customFormat="false" ht="12.8" hidden="false" customHeight="false" outlineLevel="0" collapsed="false">
      <c r="B8642" s="0" t="s">
        <v>7</v>
      </c>
    </row>
    <row r="8643" customFormat="false" ht="12.8" hidden="false" customHeight="false" outlineLevel="0" collapsed="false">
      <c r="B8643" s="0" t="s">
        <v>387</v>
      </c>
    </row>
    <row r="8645" customFormat="false" ht="12.8" hidden="false" customHeight="false" outlineLevel="0" collapsed="false">
      <c r="A8645" s="0" t="s">
        <v>3580</v>
      </c>
      <c r="B8645" s="0" t="str">
        <f aca="false">HYPERLINK("https://lindat.mff.cuni.cz/services/teitok/pdtc10/index.php?action=vallex&amp;frame=v-w843f1", "dřímat (v-w843f1)")</f>
        <v>dřímat (v-w843f1)</v>
      </c>
    </row>
    <row r="8646" customFormat="false" ht="12.8" hidden="false" customHeight="false" outlineLevel="0" collapsed="false">
      <c r="B8646" s="0" t="s">
        <v>7</v>
      </c>
    </row>
    <row r="8648" customFormat="false" ht="12.8" hidden="false" customHeight="false" outlineLevel="0" collapsed="false">
      <c r="A8648" s="0" t="s">
        <v>3581</v>
      </c>
      <c r="B8648" s="0" t="str">
        <f aca="false">HYPERLINK("https://lindat.mff.cuni.cz/services/teitok/pdtc10/index.php?action=vallex&amp;frame=v-w11219f2", "dřít (v-w11219f2)")</f>
        <v>dřít (v-w11219f2)</v>
      </c>
    </row>
    <row r="8649" customFormat="false" ht="12.8" hidden="false" customHeight="false" outlineLevel="0" collapsed="false">
      <c r="B8649" s="0" t="s">
        <v>7</v>
      </c>
      <c r="C8649" s="0" t="s">
        <v>2156</v>
      </c>
      <c r="D8649" s="0" t="s">
        <v>3582</v>
      </c>
      <c r="E8649" s="0" t="s">
        <v>3582</v>
      </c>
      <c r="F8649" s="0" t="s">
        <v>3582</v>
      </c>
    </row>
    <row r="8651" customFormat="false" ht="12.8" hidden="false" customHeight="false" outlineLevel="0" collapsed="false">
      <c r="A8651" s="0" t="s">
        <v>3583</v>
      </c>
      <c r="B8651" s="0" t="str">
        <f aca="false">HYPERLINK("https://lindat.mff.cuni.cz/services/teitok/pdtc10/index.php?action=vallex&amp;frame=v-w11500hsa_1529", "dřít se (v-w11500hsa_1529)")</f>
        <v>dřít se (v-w11500hsa_1529)</v>
      </c>
    </row>
    <row r="8652" customFormat="false" ht="12.8" hidden="false" customHeight="false" outlineLevel="0" collapsed="false">
      <c r="B8652" s="0" t="s">
        <v>7</v>
      </c>
    </row>
    <row r="8653" customFormat="false" ht="12.8" hidden="false" customHeight="false" outlineLevel="0" collapsed="false">
      <c r="B8653" s="0" t="s">
        <v>3584</v>
      </c>
    </row>
    <row r="8655" customFormat="false" ht="12.8" hidden="false" customHeight="false" outlineLevel="0" collapsed="false">
      <c r="A8655" s="0" t="s">
        <v>3583</v>
      </c>
      <c r="B8655" s="0" t="str">
        <f aca="false">HYPERLINK("https://lindat.mff.cuni.cz/services/teitok/pdtc10/index.php?action=vallex&amp;frame=v-w11500f1", "dřít se (v-w11500f1) - substituted with v-w11500hsa_1529")</f>
        <v>dřít se (v-w11500f1) - substituted with v-w11500hsa_1529</v>
      </c>
    </row>
    <row r="8656" customFormat="false" ht="12.8" hidden="false" customHeight="false" outlineLevel="0" collapsed="false">
      <c r="B8656" s="0" t="s">
        <v>7</v>
      </c>
      <c r="C8656" s="0" t="s">
        <v>335</v>
      </c>
      <c r="D8656" s="0" t="s">
        <v>3585</v>
      </c>
      <c r="E8656" s="0" t="s">
        <v>3585</v>
      </c>
      <c r="F8656" s="0" t="s">
        <v>3585</v>
      </c>
    </row>
    <row r="8657" customFormat="false" ht="12.8" hidden="false" customHeight="false" outlineLevel="0" collapsed="false">
      <c r="B8657" s="0" t="s">
        <v>3584</v>
      </c>
    </row>
    <row r="8659" customFormat="false" ht="12.8" hidden="false" customHeight="false" outlineLevel="0" collapsed="false">
      <c r="A8659" s="0" t="s">
        <v>3586</v>
      </c>
      <c r="B8659" s="0" t="str">
        <f aca="false">HYPERLINK("https://lindat.mff.cuni.cz/services/teitok/pdtc10/index.php?action=vallex&amp;frame=v-w11500f2_ZU", "dřít se (v-w11500f2_ZU)")</f>
        <v>dřít se (v-w11500f2_ZU)</v>
      </c>
    </row>
    <row r="8660" customFormat="false" ht="12.8" hidden="false" customHeight="false" outlineLevel="0" collapsed="false">
      <c r="B8660" s="0" t="s">
        <v>7</v>
      </c>
    </row>
    <row r="8661" customFormat="false" ht="12.8" hidden="false" customHeight="false" outlineLevel="0" collapsed="false">
      <c r="B8661" s="0" t="s">
        <v>2721</v>
      </c>
    </row>
    <row r="8663" customFormat="false" ht="12.8" hidden="false" customHeight="false" outlineLevel="0" collapsed="false">
      <c r="A8663" s="0" t="s">
        <v>3587</v>
      </c>
      <c r="B8663" s="0" t="str">
        <f aca="false">HYPERLINK("https://lindat.mff.cuni.cz/services/teitok/pdtc10/index.php?action=vallex&amp;frame=v-w10370f2", "dštít (v-w10370f2)")</f>
        <v>dštít (v-w10370f2)</v>
      </c>
    </row>
    <row r="8664" customFormat="false" ht="12.8" hidden="false" customHeight="false" outlineLevel="0" collapsed="false">
      <c r="B8664" s="0" t="s">
        <v>7</v>
      </c>
      <c r="C8664" s="0" t="s">
        <v>569</v>
      </c>
    </row>
    <row r="8665" customFormat="false" ht="12.8" hidden="false" customHeight="false" outlineLevel="0" collapsed="false">
      <c r="B8665" s="0" t="s">
        <v>3588</v>
      </c>
      <c r="C8665" s="0" t="s">
        <v>3589</v>
      </c>
    </row>
    <row r="8667" customFormat="false" ht="12.8" hidden="false" customHeight="false" outlineLevel="0" collapsed="false">
      <c r="A8667" s="0" t="s">
        <v>3590</v>
      </c>
      <c r="B8667" s="0" t="str">
        <f aca="false">HYPERLINK("https://lindat.mff.cuni.cz/services/teitok/pdtc10/index.php?action=vallex&amp;frame=v-w857f2", "důvěřovat (v-w857f2)")</f>
        <v>důvěřovat (v-w857f2)</v>
      </c>
    </row>
    <row r="8668" customFormat="false" ht="12.8" hidden="false" customHeight="false" outlineLevel="0" collapsed="false">
      <c r="B8668" s="0" t="s">
        <v>7</v>
      </c>
      <c r="C8668" s="0" t="s">
        <v>3591</v>
      </c>
      <c r="D8668" s="0" t="s">
        <v>2016</v>
      </c>
      <c r="E8668" s="0" t="s">
        <v>2016</v>
      </c>
      <c r="F8668" s="0" t="s">
        <v>2016</v>
      </c>
    </row>
    <row r="8669" customFormat="false" ht="12.8" hidden="false" customHeight="false" outlineLevel="0" collapsed="false">
      <c r="B8669" s="0" t="s">
        <v>3592</v>
      </c>
      <c r="C8669" s="0" t="s">
        <v>1315</v>
      </c>
      <c r="D8669" s="0" t="s">
        <v>2019</v>
      </c>
      <c r="E8669" s="0" t="s">
        <v>2019</v>
      </c>
      <c r="F8669" s="0" t="s">
        <v>2019</v>
      </c>
    </row>
    <row r="8671" customFormat="false" ht="12.8" hidden="false" customHeight="false" outlineLevel="0" collapsed="false">
      <c r="A8671" s="0" t="s">
        <v>3593</v>
      </c>
      <c r="B8671" s="0" t="str">
        <f aca="false">HYPERLINK("https://lindat.mff.cuni.cz/services/teitok/pdtc10/index.php?action=vallex&amp;frame=v-w857f3", "důvěřovat (v-w857f3)")</f>
        <v>důvěřovat (v-w857f3)</v>
      </c>
    </row>
    <row r="8672" customFormat="false" ht="12.8" hidden="false" customHeight="false" outlineLevel="0" collapsed="false">
      <c r="B8672" s="0" t="s">
        <v>7</v>
      </c>
      <c r="C8672" s="0" t="s">
        <v>88</v>
      </c>
    </row>
    <row r="8673" customFormat="false" ht="12.8" hidden="false" customHeight="false" outlineLevel="0" collapsed="false">
      <c r="B8673" s="0" t="s">
        <v>2275</v>
      </c>
      <c r="C8673" s="0" t="s">
        <v>74</v>
      </c>
    </row>
    <row r="8675" customFormat="false" ht="12.8" hidden="false" customHeight="false" outlineLevel="0" collapsed="false">
      <c r="A8675" s="0" t="s">
        <v>3594</v>
      </c>
      <c r="B8675" s="0" t="str">
        <f aca="false">HYPERLINK("https://lindat.mff.cuni.cz/services/teitok/pdtc10/index.php?action=vallex&amp;frame=v-w857f1", "důvěřovat (v-w857f1)")</f>
        <v>důvěřovat (v-w857f1)</v>
      </c>
    </row>
    <row r="8676" customFormat="false" ht="12.8" hidden="false" customHeight="false" outlineLevel="0" collapsed="false">
      <c r="B8676" s="0" t="s">
        <v>7</v>
      </c>
      <c r="C8676" s="0" t="s">
        <v>358</v>
      </c>
      <c r="D8676" s="0" t="s">
        <v>1999</v>
      </c>
      <c r="E8676" s="0" t="s">
        <v>1999</v>
      </c>
      <c r="F8676" s="0" t="s">
        <v>1999</v>
      </c>
    </row>
    <row r="8677" customFormat="false" ht="12.8" hidden="false" customHeight="false" outlineLevel="0" collapsed="false">
      <c r="B8677" s="0" t="s">
        <v>48</v>
      </c>
      <c r="C8677" s="0" t="s">
        <v>3595</v>
      </c>
      <c r="D8677" s="0" t="s">
        <v>1843</v>
      </c>
      <c r="E8677" s="0" t="s">
        <v>1843</v>
      </c>
      <c r="F8677" s="0" t="s">
        <v>1843</v>
      </c>
    </row>
    <row r="8678" customFormat="false" ht="12.8" hidden="false" customHeight="false" outlineLevel="0" collapsed="false">
      <c r="B8678" s="0" t="s">
        <v>745</v>
      </c>
      <c r="D8678" s="0" t="s">
        <v>155</v>
      </c>
      <c r="E8678" s="0" t="s">
        <v>155</v>
      </c>
      <c r="F8678" s="0" t="s">
        <v>155</v>
      </c>
    </row>
    <row r="8680" customFormat="false" ht="12.8" hidden="false" customHeight="false" outlineLevel="0" collapsed="false">
      <c r="A8680" s="0" t="s">
        <v>3596</v>
      </c>
      <c r="B8680" s="0" t="str">
        <f aca="false">HYPERLINK("https://lindat.mff.cuni.cz/services/teitok/pdtc10/index.php?action=vallex&amp;frame=v-whsa_427hsa_428", "důvěřovat si (v-whsa_427hsa_428)")</f>
        <v>důvěřovat si (v-whsa_427hsa_428)</v>
      </c>
    </row>
    <row r="8681" customFormat="false" ht="12.8" hidden="false" customHeight="false" outlineLevel="0" collapsed="false">
      <c r="B8681" s="0" t="s">
        <v>7</v>
      </c>
    </row>
    <row r="8682" customFormat="false" ht="12.8" hidden="false" customHeight="false" outlineLevel="0" collapsed="false">
      <c r="B8682" s="0" t="s">
        <v>548</v>
      </c>
    </row>
    <row r="8684" customFormat="false" ht="12.8" hidden="false" customHeight="false" outlineLevel="0" collapsed="false">
      <c r="A8684" s="0" t="s">
        <v>3597</v>
      </c>
      <c r="B8684" s="0" t="str">
        <f aca="false">HYPERLINK("https://lindat.mff.cuni.cz/services/teitok/pdtc10/index.php?action=vallex&amp;frame=v-w868f1", "elektrifikovat (v-w868f1)")</f>
        <v>elektrifikovat (v-w868f1)</v>
      </c>
    </row>
    <row r="8685" customFormat="false" ht="12.8" hidden="false" customHeight="false" outlineLevel="0" collapsed="false">
      <c r="B8685" s="0" t="s">
        <v>7</v>
      </c>
    </row>
    <row r="8686" customFormat="false" ht="12.8" hidden="false" customHeight="false" outlineLevel="0" collapsed="false">
      <c r="B8686" s="0" t="s">
        <v>14</v>
      </c>
    </row>
    <row r="8688" customFormat="false" ht="12.8" hidden="false" customHeight="false" outlineLevel="0" collapsed="false">
      <c r="A8688" s="0" t="s">
        <v>3598</v>
      </c>
      <c r="B8688" s="0" t="str">
        <f aca="false">HYPERLINK("https://lindat.mff.cuni.cz/services/teitok/pdtc10/index.php?action=vallex&amp;frame=v-w870f1", "eliminovat (v-w870f1)")</f>
        <v>eliminovat (v-w870f1)</v>
      </c>
    </row>
    <row r="8689" customFormat="false" ht="12.8" hidden="false" customHeight="false" outlineLevel="0" collapsed="false">
      <c r="B8689" s="0" t="s">
        <v>7</v>
      </c>
      <c r="C8689" s="0" t="s">
        <v>1261</v>
      </c>
    </row>
    <row r="8690" customFormat="false" ht="12.8" hidden="false" customHeight="false" outlineLevel="0" collapsed="false">
      <c r="B8690" s="0" t="s">
        <v>14</v>
      </c>
      <c r="C8690" s="0" t="s">
        <v>3599</v>
      </c>
    </row>
    <row r="8692" customFormat="false" ht="12.8" hidden="false" customHeight="false" outlineLevel="0" collapsed="false">
      <c r="A8692" s="0" t="s">
        <v>3600</v>
      </c>
      <c r="B8692" s="0" t="str">
        <f aca="false">HYPERLINK("https://lindat.mff.cuni.cz/services/teitok/pdtc10/index.php?action=vallex&amp;frame=v-w874f1", "emigrovat (v-w874f1)")</f>
        <v>emigrovat (v-w874f1)</v>
      </c>
    </row>
    <row r="8693" customFormat="false" ht="12.8" hidden="false" customHeight="false" outlineLevel="0" collapsed="false">
      <c r="B8693" s="0" t="s">
        <v>7</v>
      </c>
      <c r="C8693" s="0" t="s">
        <v>46</v>
      </c>
      <c r="D8693" s="0" t="s">
        <v>3601</v>
      </c>
      <c r="E8693" s="0" t="s">
        <v>3601</v>
      </c>
      <c r="F8693" s="0" t="s">
        <v>3601</v>
      </c>
    </row>
    <row r="8694" customFormat="false" ht="12.8" hidden="false" customHeight="false" outlineLevel="0" collapsed="false">
      <c r="B8694" s="0" t="s">
        <v>459</v>
      </c>
      <c r="D8694" s="0" t="s">
        <v>1583</v>
      </c>
      <c r="E8694" s="0" t="s">
        <v>1583</v>
      </c>
      <c r="F8694" s="0" t="s">
        <v>1583</v>
      </c>
    </row>
    <row r="8696" customFormat="false" ht="12.8" hidden="false" customHeight="false" outlineLevel="0" collapsed="false">
      <c r="A8696" s="0" t="s">
        <v>3602</v>
      </c>
      <c r="B8696" s="0" t="str">
        <f aca="false">HYPERLINK("https://lindat.mff.cuni.cz/services/teitok/pdtc10/index.php?action=vallex&amp;frame=v-w877f1", "emitovat (v-w877f1)")</f>
        <v>emitovat (v-w877f1)</v>
      </c>
    </row>
    <row r="8697" customFormat="false" ht="12.8" hidden="false" customHeight="false" outlineLevel="0" collapsed="false">
      <c r="B8697" s="0" t="s">
        <v>7</v>
      </c>
      <c r="C8697" s="0" t="s">
        <v>3603</v>
      </c>
    </row>
    <row r="8698" customFormat="false" ht="12.8" hidden="false" customHeight="false" outlineLevel="0" collapsed="false">
      <c r="B8698" s="0" t="s">
        <v>14</v>
      </c>
      <c r="C8698" s="0" t="s">
        <v>3604</v>
      </c>
    </row>
    <row r="8700" customFormat="false" ht="12.8" hidden="false" customHeight="false" outlineLevel="0" collapsed="false">
      <c r="A8700" s="0" t="s">
        <v>3605</v>
      </c>
      <c r="B8700" s="0" t="str">
        <f aca="false">HYPERLINK("https://lindat.mff.cuni.cz/services/teitok/pdtc10/index.php?action=vallex&amp;frame=v-w880f1", "erodovat (v-w880f1)")</f>
        <v>erodovat (v-w880f1)</v>
      </c>
    </row>
    <row r="8701" customFormat="false" ht="12.8" hidden="false" customHeight="false" outlineLevel="0" collapsed="false">
      <c r="B8701" s="0" t="s">
        <v>7</v>
      </c>
      <c r="C8701" s="0" t="s">
        <v>708</v>
      </c>
      <c r="E8701" s="0" t="s">
        <v>3606</v>
      </c>
      <c r="F8701" s="0" t="s">
        <v>3606</v>
      </c>
    </row>
    <row r="8703" customFormat="false" ht="12.8" hidden="false" customHeight="false" outlineLevel="0" collapsed="false">
      <c r="A8703" s="0" t="s">
        <v>3607</v>
      </c>
      <c r="B8703" s="0" t="str">
        <f aca="false">HYPERLINK("https://lindat.mff.cuni.cz/services/teitok/pdtc10/index.php?action=vallex&amp;frame=v-w10145f2", "eskalovat (v-w10145f2)")</f>
        <v>eskalovat (v-w10145f2)</v>
      </c>
    </row>
    <row r="8704" customFormat="false" ht="12.8" hidden="false" customHeight="false" outlineLevel="0" collapsed="false">
      <c r="B8704" s="0" t="s">
        <v>7</v>
      </c>
    </row>
    <row r="8706" customFormat="false" ht="12.8" hidden="false" customHeight="false" outlineLevel="0" collapsed="false">
      <c r="A8706" s="0" t="s">
        <v>3608</v>
      </c>
      <c r="B8706" s="0" t="str">
        <f aca="false">HYPERLINK("https://lindat.mff.cuni.cz/services/teitok/pdtc10/index.php?action=vallex&amp;frame=v-w885f1", "eskortovat (v-w885f1)")</f>
        <v>eskortovat (v-w885f1)</v>
      </c>
    </row>
    <row r="8707" customFormat="false" ht="12.8" hidden="false" customHeight="false" outlineLevel="0" collapsed="false">
      <c r="B8707" s="0" t="s">
        <v>7</v>
      </c>
    </row>
    <row r="8708" customFormat="false" ht="12.8" hidden="false" customHeight="false" outlineLevel="0" collapsed="false">
      <c r="B8708" s="0" t="s">
        <v>14</v>
      </c>
    </row>
    <row r="8709" customFormat="false" ht="12.8" hidden="false" customHeight="false" outlineLevel="0" collapsed="false">
      <c r="B8709" s="0" t="s">
        <v>124</v>
      </c>
    </row>
    <row r="8711" customFormat="false" ht="12.8" hidden="false" customHeight="false" outlineLevel="0" collapsed="false">
      <c r="A8711" s="0" t="s">
        <v>3609</v>
      </c>
      <c r="B8711" s="0" t="str">
        <f aca="false">HYPERLINK("https://lindat.mff.cuni.cz/services/teitok/pdtc10/index.php?action=vallex&amp;frame=v-w886f1", "etablovat se (v-w886f1)")</f>
        <v>etablovat se (v-w886f1)</v>
      </c>
    </row>
    <row r="8712" customFormat="false" ht="12.8" hidden="false" customHeight="false" outlineLevel="0" collapsed="false">
      <c r="B8712" s="0" t="s">
        <v>7</v>
      </c>
      <c r="C8712" s="0" t="s">
        <v>3610</v>
      </c>
    </row>
    <row r="8714" customFormat="false" ht="12.8" hidden="false" customHeight="false" outlineLevel="0" collapsed="false">
      <c r="A8714" s="0" t="s">
        <v>3611</v>
      </c>
      <c r="B8714" s="0" t="str">
        <f aca="false">HYPERLINK("https://lindat.mff.cuni.cz/services/teitok/pdtc10/index.php?action=vallex&amp;frame=v-w890f1", "evakuovat (v-w890f1)")</f>
        <v>evakuovat (v-w890f1)</v>
      </c>
    </row>
    <row r="8715" customFormat="false" ht="12.8" hidden="false" customHeight="false" outlineLevel="0" collapsed="false">
      <c r="B8715" s="0" t="s">
        <v>7</v>
      </c>
    </row>
    <row r="8716" customFormat="false" ht="12.8" hidden="false" customHeight="false" outlineLevel="0" collapsed="false">
      <c r="B8716" s="0" t="s">
        <v>14</v>
      </c>
      <c r="C8716" s="0" t="s">
        <v>1544</v>
      </c>
      <c r="D8716" s="0" t="s">
        <v>1544</v>
      </c>
      <c r="E8716" s="0" t="s">
        <v>1544</v>
      </c>
      <c r="F8716" s="0" t="s">
        <v>1544</v>
      </c>
    </row>
    <row r="8717" customFormat="false" ht="12.8" hidden="false" customHeight="false" outlineLevel="0" collapsed="false">
      <c r="B8717" s="0" t="s">
        <v>459</v>
      </c>
    </row>
    <row r="8719" customFormat="false" ht="12.8" hidden="false" customHeight="false" outlineLevel="0" collapsed="false">
      <c r="A8719" s="0" t="s">
        <v>3612</v>
      </c>
      <c r="B8719" s="0" t="str">
        <f aca="false">HYPERLINK("https://lindat.mff.cuni.cz/services/teitok/pdtc10/index.php?action=vallex&amp;frame=v-w890hsa_1079", "evakuovat (v-w890hsa_1079)")</f>
        <v>evakuovat (v-w890hsa_1079)</v>
      </c>
    </row>
    <row r="8720" customFormat="false" ht="12.8" hidden="false" customHeight="false" outlineLevel="0" collapsed="false">
      <c r="B8720" s="0" t="s">
        <v>7</v>
      </c>
    </row>
    <row r="8721" customFormat="false" ht="12.8" hidden="false" customHeight="false" outlineLevel="0" collapsed="false">
      <c r="B8721" s="0" t="s">
        <v>14</v>
      </c>
      <c r="C8721" s="0" t="s">
        <v>155</v>
      </c>
      <c r="D8721" s="0" t="s">
        <v>155</v>
      </c>
      <c r="E8721" s="0" t="s">
        <v>155</v>
      </c>
      <c r="F8721" s="0" t="s">
        <v>155</v>
      </c>
    </row>
    <row r="8723" customFormat="false" ht="12.8" hidden="false" customHeight="false" outlineLevel="0" collapsed="false">
      <c r="A8723" s="0" t="s">
        <v>3613</v>
      </c>
      <c r="B8723" s="0" t="str">
        <f aca="false">HYPERLINK("https://lindat.mff.cuni.cz/services/teitok/pdtc10/index.php?action=vallex&amp;frame=v-w892f1", "evaluovat (v-w892f1)")</f>
        <v>evaluovat (v-w892f1)</v>
      </c>
    </row>
    <row r="8724" customFormat="false" ht="12.8" hidden="false" customHeight="false" outlineLevel="0" collapsed="false">
      <c r="B8724" s="0" t="s">
        <v>7</v>
      </c>
    </row>
    <row r="8725" customFormat="false" ht="12.8" hidden="false" customHeight="false" outlineLevel="0" collapsed="false">
      <c r="B8725" s="0" t="s">
        <v>14</v>
      </c>
    </row>
    <row r="8727" customFormat="false" ht="12.8" hidden="false" customHeight="false" outlineLevel="0" collapsed="false">
      <c r="A8727" s="0" t="s">
        <v>3614</v>
      </c>
      <c r="B8727" s="0" t="str">
        <f aca="false">HYPERLINK("https://lindat.mff.cuni.cz/services/teitok/pdtc10/index.php?action=vallex&amp;frame=v-w895f1", "evidovat (v-w895f1)")</f>
        <v>evidovat (v-w895f1)</v>
      </c>
    </row>
    <row r="8728" customFormat="false" ht="12.8" hidden="false" customHeight="false" outlineLevel="0" collapsed="false">
      <c r="B8728" s="0" t="s">
        <v>7</v>
      </c>
      <c r="C8728" s="0" t="s">
        <v>46</v>
      </c>
    </row>
    <row r="8729" customFormat="false" ht="12.8" hidden="false" customHeight="false" outlineLevel="0" collapsed="false">
      <c r="B8729" s="0" t="s">
        <v>54</v>
      </c>
      <c r="C8729" s="0" t="s">
        <v>3615</v>
      </c>
    </row>
    <row r="8731" customFormat="false" ht="12.8" hidden="false" customHeight="false" outlineLevel="0" collapsed="false">
      <c r="A8731" s="0" t="s">
        <v>3616</v>
      </c>
      <c r="B8731" s="0" t="str">
        <f aca="false">HYPERLINK("https://lindat.mff.cuni.cz/services/teitok/pdtc10/index.php?action=vallex&amp;frame=v-w895f2", "evidovat (v-w895f2)")</f>
        <v>evidovat (v-w895f2)</v>
      </c>
    </row>
    <row r="8732" customFormat="false" ht="12.8" hidden="false" customHeight="false" outlineLevel="0" collapsed="false">
      <c r="B8732" s="0" t="s">
        <v>7</v>
      </c>
    </row>
    <row r="8733" customFormat="false" ht="12.8" hidden="false" customHeight="false" outlineLevel="0" collapsed="false">
      <c r="B8733" s="0" t="s">
        <v>3617</v>
      </c>
    </row>
    <row r="8734" customFormat="false" ht="12.8" hidden="false" customHeight="false" outlineLevel="0" collapsed="false">
      <c r="B8734" s="0" t="s">
        <v>363</v>
      </c>
    </row>
    <row r="8736" customFormat="false" ht="12.8" hidden="false" customHeight="false" outlineLevel="0" collapsed="false">
      <c r="A8736" s="0" t="s">
        <v>3618</v>
      </c>
      <c r="B8736" s="0" t="str">
        <f aca="false">HYPERLINK("https://lindat.mff.cuni.cz/services/teitok/pdtc10/index.php?action=vallex&amp;frame=v-w897f1", "evokovat (v-w897f1)")</f>
        <v>evokovat (v-w897f1)</v>
      </c>
    </row>
    <row r="8737" customFormat="false" ht="12.8" hidden="false" customHeight="false" outlineLevel="0" collapsed="false">
      <c r="B8737" s="0" t="s">
        <v>7</v>
      </c>
      <c r="C8737" s="0" t="s">
        <v>46</v>
      </c>
      <c r="D8737" s="0" t="s">
        <v>46</v>
      </c>
      <c r="E8737" s="0" t="s">
        <v>46</v>
      </c>
      <c r="F8737" s="0" t="s">
        <v>46</v>
      </c>
    </row>
    <row r="8738" customFormat="false" ht="12.8" hidden="false" customHeight="false" outlineLevel="0" collapsed="false">
      <c r="B8738" s="0" t="s">
        <v>14</v>
      </c>
      <c r="C8738" s="0" t="s">
        <v>567</v>
      </c>
      <c r="D8738" s="0" t="s">
        <v>567</v>
      </c>
      <c r="E8738" s="0" t="s">
        <v>567</v>
      </c>
      <c r="F8738" s="0" t="s">
        <v>567</v>
      </c>
    </row>
    <row r="8740" customFormat="false" ht="12.8" hidden="false" customHeight="false" outlineLevel="0" collapsed="false">
      <c r="A8740" s="0" t="s">
        <v>3619</v>
      </c>
      <c r="B8740" s="0" t="str">
        <f aca="false">HYPERLINK("https://lindat.mff.cuni.cz/services/teitok/pdtc10/index.php?action=vallex&amp;frame=v-w899f1", "excelovat (v-w899f1)")</f>
        <v>excelovat (v-w899f1)</v>
      </c>
    </row>
    <row r="8741" customFormat="false" ht="12.8" hidden="false" customHeight="false" outlineLevel="0" collapsed="false">
      <c r="B8741" s="0" t="s">
        <v>7</v>
      </c>
    </row>
    <row r="8742" customFormat="false" ht="12.8" hidden="false" customHeight="false" outlineLevel="0" collapsed="false">
      <c r="B8742" s="0" t="s">
        <v>3620</v>
      </c>
    </row>
    <row r="8744" customFormat="false" ht="12.8" hidden="false" customHeight="false" outlineLevel="0" collapsed="false">
      <c r="A8744" s="0" t="s">
        <v>3621</v>
      </c>
      <c r="B8744" s="0" t="str">
        <f aca="false">HYPERLINK("https://lindat.mff.cuni.cz/services/teitok/pdtc10/index.php?action=vallex&amp;frame=v-w902f2_ZU", "existovat (v-w902f2_ZU)")</f>
        <v>existovat (v-w902f2_ZU)</v>
      </c>
    </row>
    <row r="8745" customFormat="false" ht="12.8" hidden="false" customHeight="false" outlineLevel="0" collapsed="false">
      <c r="B8745" s="0" t="s">
        <v>3622</v>
      </c>
    </row>
    <row r="8747" customFormat="false" ht="12.8" hidden="false" customHeight="false" outlineLevel="0" collapsed="false">
      <c r="A8747" s="0" t="s">
        <v>3621</v>
      </c>
      <c r="B8747" s="0" t="str">
        <f aca="false">HYPERLINK("https://lindat.mff.cuni.cz/services/teitok/pdtc10/index.php?action=vallex&amp;frame=v-w902f1", "existovat (v-w902f1) - substituted with v-w902f2_ZU")</f>
        <v>existovat (v-w902f1) - substituted with v-w902f2_ZU</v>
      </c>
    </row>
    <row r="8748" customFormat="false" ht="12.8" hidden="false" customHeight="false" outlineLevel="0" collapsed="false">
      <c r="B8748" s="0" t="s">
        <v>3622</v>
      </c>
      <c r="C8748" s="0" t="s">
        <v>3623</v>
      </c>
      <c r="D8748" s="0" t="s">
        <v>776</v>
      </c>
      <c r="E8748" s="0" t="s">
        <v>776</v>
      </c>
      <c r="F8748" s="0" t="s">
        <v>776</v>
      </c>
    </row>
    <row r="8750" customFormat="false" ht="12.8" hidden="false" customHeight="false" outlineLevel="0" collapsed="false">
      <c r="A8750" s="0" t="s">
        <v>3621</v>
      </c>
      <c r="B8750" s="0" t="str">
        <f aca="false">HYPERLINK("https://lindat.mff.cuni.cz/services/teitok/pdtc10/index.php?action=vallex&amp;frame=v-w902hsa_1497", "existovat (v-w902hsa_1497) - substituted with v-w902f2_ZU")</f>
        <v>existovat (v-w902hsa_1497) - substituted with v-w902f2_ZU</v>
      </c>
    </row>
    <row r="8751" customFormat="false" ht="12.8" hidden="false" customHeight="false" outlineLevel="0" collapsed="false">
      <c r="B8751" s="0" t="s">
        <v>3622</v>
      </c>
    </row>
    <row r="8753" customFormat="false" ht="12.8" hidden="false" customHeight="false" outlineLevel="0" collapsed="false">
      <c r="A8753" s="0" t="s">
        <v>3624</v>
      </c>
      <c r="B8753" s="0" t="str">
        <f aca="false">HYPERLINK("https://lindat.mff.cuni.cz/services/teitok/pdtc10/index.php?action=vallex&amp;frame=v-w10234f2", "expandovat (v-w10234f2)")</f>
        <v>expandovat (v-w10234f2)</v>
      </c>
    </row>
    <row r="8754" customFormat="false" ht="12.8" hidden="false" customHeight="false" outlineLevel="0" collapsed="false">
      <c r="B8754" s="0" t="s">
        <v>7</v>
      </c>
      <c r="C8754" s="0" t="s">
        <v>3625</v>
      </c>
      <c r="D8754" s="0" t="s">
        <v>3626</v>
      </c>
      <c r="E8754" s="0" t="s">
        <v>3626</v>
      </c>
      <c r="F8754" s="0" t="s">
        <v>3626</v>
      </c>
    </row>
    <row r="8756" customFormat="false" ht="12.8" hidden="false" customHeight="false" outlineLevel="0" collapsed="false">
      <c r="A8756" s="0" t="s">
        <v>3627</v>
      </c>
      <c r="B8756" s="0" t="str">
        <f aca="false">HYPERLINK("https://lindat.mff.cuni.cz/services/teitok/pdtc10/index.php?action=vallex&amp;frame=v-w10533f2", "expedovat (v-w10533f2)")</f>
        <v>expedovat (v-w10533f2)</v>
      </c>
    </row>
    <row r="8757" customFormat="false" ht="12.8" hidden="false" customHeight="false" outlineLevel="0" collapsed="false">
      <c r="B8757" s="0" t="s">
        <v>7</v>
      </c>
      <c r="C8757" s="0" t="s">
        <v>108</v>
      </c>
      <c r="D8757" s="0" t="s">
        <v>1630</v>
      </c>
      <c r="E8757" s="0" t="s">
        <v>1630</v>
      </c>
      <c r="F8757" s="0" t="s">
        <v>1630</v>
      </c>
    </row>
    <row r="8758" customFormat="false" ht="12.8" hidden="false" customHeight="false" outlineLevel="0" collapsed="false">
      <c r="B8758" s="0" t="s">
        <v>14</v>
      </c>
      <c r="C8758" s="0" t="s">
        <v>3628</v>
      </c>
      <c r="D8758" s="0" t="s">
        <v>1632</v>
      </c>
      <c r="E8758" s="0" t="s">
        <v>1632</v>
      </c>
      <c r="F8758" s="0" t="s">
        <v>1632</v>
      </c>
    </row>
    <row r="8759" customFormat="false" ht="12.8" hidden="false" customHeight="false" outlineLevel="0" collapsed="false">
      <c r="B8759" s="0" t="s">
        <v>124</v>
      </c>
      <c r="D8759" s="0" t="s">
        <v>2165</v>
      </c>
      <c r="E8759" s="0" t="s">
        <v>2165</v>
      </c>
      <c r="F8759" s="0" t="s">
        <v>2165</v>
      </c>
    </row>
    <row r="8761" customFormat="false" ht="12.8" hidden="false" customHeight="false" outlineLevel="0" collapsed="false">
      <c r="A8761" s="0" t="s">
        <v>3629</v>
      </c>
      <c r="B8761" s="0" t="str">
        <f aca="false">HYPERLINK("https://lindat.mff.cuni.cz/services/teitok/pdtc10/index.php?action=vallex&amp;frame=v-w908f1", "experimentovat (v-w908f1)")</f>
        <v>experimentovat (v-w908f1)</v>
      </c>
    </row>
    <row r="8762" customFormat="false" ht="12.8" hidden="false" customHeight="false" outlineLevel="0" collapsed="false">
      <c r="B8762" s="0" t="s">
        <v>7</v>
      </c>
      <c r="C8762" s="0" t="s">
        <v>569</v>
      </c>
      <c r="D8762" s="0" t="s">
        <v>569</v>
      </c>
      <c r="E8762" s="0" t="s">
        <v>569</v>
      </c>
      <c r="F8762" s="0" t="s">
        <v>569</v>
      </c>
    </row>
    <row r="8763" customFormat="false" ht="12.8" hidden="false" customHeight="false" outlineLevel="0" collapsed="false">
      <c r="B8763" s="0" t="s">
        <v>2871</v>
      </c>
      <c r="C8763" s="0" t="s">
        <v>3615</v>
      </c>
      <c r="D8763" s="0" t="s">
        <v>3615</v>
      </c>
      <c r="E8763" s="0" t="s">
        <v>3615</v>
      </c>
      <c r="F8763" s="0" t="s">
        <v>3615</v>
      </c>
    </row>
    <row r="8765" customFormat="false" ht="12.8" hidden="false" customHeight="false" outlineLevel="0" collapsed="false">
      <c r="A8765" s="0" t="s">
        <v>3630</v>
      </c>
      <c r="B8765" s="0" t="str">
        <f aca="false">HYPERLINK("https://lindat.mff.cuni.cz/services/teitok/pdtc10/index.php?action=vallex&amp;frame=v-w912f1", "explodovat (v-w912f1)")</f>
        <v>explodovat (v-w912f1)</v>
      </c>
    </row>
    <row r="8766" customFormat="false" ht="12.8" hidden="false" customHeight="false" outlineLevel="0" collapsed="false">
      <c r="B8766" s="0" t="s">
        <v>7</v>
      </c>
      <c r="C8766" s="0" t="s">
        <v>176</v>
      </c>
      <c r="D8766" s="0" t="s">
        <v>1715</v>
      </c>
      <c r="E8766" s="0" t="s">
        <v>1715</v>
      </c>
      <c r="F8766" s="0" t="s">
        <v>1715</v>
      </c>
    </row>
    <row r="8768" customFormat="false" ht="12.8" hidden="false" customHeight="false" outlineLevel="0" collapsed="false">
      <c r="A8768" s="0" t="s">
        <v>3631</v>
      </c>
      <c r="B8768" s="0" t="str">
        <f aca="false">HYPERLINK("https://lindat.mff.cuni.cz/services/teitok/pdtc10/index.php?action=vallex&amp;frame=v-w11988_ZUf1_ZU", "exponovat (v-w11988_ZUf1_ZU)")</f>
        <v>exponovat (v-w11988_ZUf1_ZU)</v>
      </c>
    </row>
    <row r="8769" customFormat="false" ht="12.8" hidden="false" customHeight="false" outlineLevel="0" collapsed="false">
      <c r="B8769" s="0" t="s">
        <v>7</v>
      </c>
    </row>
    <row r="8770" customFormat="false" ht="12.8" hidden="false" customHeight="false" outlineLevel="0" collapsed="false">
      <c r="B8770" s="0" t="s">
        <v>14</v>
      </c>
    </row>
    <row r="8772" customFormat="false" ht="12.8" hidden="false" customHeight="false" outlineLevel="0" collapsed="false">
      <c r="A8772" s="0" t="s">
        <v>3632</v>
      </c>
      <c r="B8772" s="0" t="str">
        <f aca="false">HYPERLINK("https://lindat.mff.cuni.cz/services/teitok/pdtc10/index.php?action=vallex&amp;frame=v-w916f1", "exportovat (v-w916f1)")</f>
        <v>exportovat (v-w916f1)</v>
      </c>
    </row>
    <row r="8773" customFormat="false" ht="12.8" hidden="false" customHeight="false" outlineLevel="0" collapsed="false">
      <c r="B8773" s="0" t="s">
        <v>7</v>
      </c>
      <c r="C8773" s="0" t="s">
        <v>3633</v>
      </c>
    </row>
    <row r="8774" customFormat="false" ht="12.8" hidden="false" customHeight="false" outlineLevel="0" collapsed="false">
      <c r="B8774" s="0" t="s">
        <v>14</v>
      </c>
      <c r="C8774" s="0" t="s">
        <v>3634</v>
      </c>
    </row>
    <row r="8775" customFormat="false" ht="12.8" hidden="false" customHeight="false" outlineLevel="0" collapsed="false">
      <c r="B8775" s="0" t="s">
        <v>459</v>
      </c>
    </row>
    <row r="8777" customFormat="false" ht="12.8" hidden="false" customHeight="false" outlineLevel="0" collapsed="false">
      <c r="A8777" s="0" t="s">
        <v>3635</v>
      </c>
      <c r="B8777" s="0" t="str">
        <f aca="false">HYPERLINK("https://lindat.mff.cuni.cz/services/teitok/pdtc10/index.php?action=vallex&amp;frame=v-w918f1", "externalizovat (v-w918f1)")</f>
        <v>externalizovat (v-w918f1)</v>
      </c>
    </row>
    <row r="8778" customFormat="false" ht="12.8" hidden="false" customHeight="false" outlineLevel="0" collapsed="false">
      <c r="B8778" s="0" t="s">
        <v>7</v>
      </c>
    </row>
    <row r="8779" customFormat="false" ht="12.8" hidden="false" customHeight="false" outlineLevel="0" collapsed="false">
      <c r="B8779" s="0" t="s">
        <v>14</v>
      </c>
    </row>
    <row r="8781" customFormat="false" ht="12.8" hidden="false" customHeight="false" outlineLevel="0" collapsed="false">
      <c r="A8781" s="0" t="s">
        <v>3636</v>
      </c>
      <c r="B8781" s="0" t="str">
        <f aca="false">HYPERLINK("https://lindat.mff.cuni.cz/services/teitok/pdtc10/index.php?action=vallex&amp;frame=v-w10751f2", "extradikovat (v-w10751f2)")</f>
        <v>extradikovat (v-w10751f2)</v>
      </c>
    </row>
    <row r="8782" customFormat="false" ht="12.8" hidden="false" customHeight="false" outlineLevel="0" collapsed="false">
      <c r="B8782" s="0" t="s">
        <v>7</v>
      </c>
    </row>
    <row r="8783" customFormat="false" ht="12.8" hidden="false" customHeight="false" outlineLevel="0" collapsed="false">
      <c r="B8783" s="0" t="s">
        <v>14</v>
      </c>
    </row>
    <row r="8784" customFormat="false" ht="12.8" hidden="false" customHeight="false" outlineLevel="0" collapsed="false">
      <c r="B8784" s="0" t="s">
        <v>459</v>
      </c>
    </row>
    <row r="8786" customFormat="false" ht="12.8" hidden="false" customHeight="false" outlineLevel="0" collapsed="false">
      <c r="A8786" s="0" t="s">
        <v>3637</v>
      </c>
      <c r="B8786" s="0" t="str">
        <f aca="false">HYPERLINK("https://lindat.mff.cuni.cz/services/teitok/pdtc10/index.php?action=vallex&amp;frame=v-w10474f3", "extrahovat (v-w10474f3)")</f>
        <v>extrahovat (v-w10474f3)</v>
      </c>
    </row>
    <row r="8787" customFormat="false" ht="12.8" hidden="false" customHeight="false" outlineLevel="0" collapsed="false">
      <c r="B8787" s="0" t="s">
        <v>7</v>
      </c>
      <c r="C8787" s="0" t="s">
        <v>184</v>
      </c>
      <c r="D8787" s="0" t="s">
        <v>184</v>
      </c>
      <c r="E8787" s="0" t="s">
        <v>184</v>
      </c>
      <c r="F8787" s="0" t="s">
        <v>184</v>
      </c>
    </row>
    <row r="8788" customFormat="false" ht="12.8" hidden="false" customHeight="false" outlineLevel="0" collapsed="false">
      <c r="B8788" s="0" t="s">
        <v>14</v>
      </c>
      <c r="C8788" s="0" t="s">
        <v>78</v>
      </c>
      <c r="D8788" s="0" t="s">
        <v>78</v>
      </c>
      <c r="E8788" s="0" t="s">
        <v>78</v>
      </c>
      <c r="F8788" s="0" t="s">
        <v>78</v>
      </c>
    </row>
    <row r="8789" customFormat="false" ht="12.8" hidden="false" customHeight="false" outlineLevel="0" collapsed="false">
      <c r="B8789" s="0" t="s">
        <v>459</v>
      </c>
    </row>
    <row r="8791" customFormat="false" ht="12.8" hidden="false" customHeight="false" outlineLevel="0" collapsed="false">
      <c r="A8791" s="0" t="s">
        <v>3638</v>
      </c>
      <c r="B8791" s="0" t="str">
        <f aca="false">HYPERLINK("https://lindat.mff.cuni.cz/services/teitok/pdtc10/index.php?action=vallex&amp;frame=v-w10474f2", "extrahovat (v-w10474f2)")</f>
        <v>extrahovat (v-w10474f2)</v>
      </c>
    </row>
    <row r="8792" customFormat="false" ht="12.8" hidden="false" customHeight="false" outlineLevel="0" collapsed="false">
      <c r="B8792" s="0" t="s">
        <v>7</v>
      </c>
    </row>
    <row r="8793" customFormat="false" ht="12.8" hidden="false" customHeight="false" outlineLevel="0" collapsed="false">
      <c r="B8793" s="0" t="s">
        <v>14</v>
      </c>
    </row>
    <row r="8795" customFormat="false" ht="12.8" hidden="false" customHeight="false" outlineLevel="0" collapsed="false">
      <c r="A8795" s="0" t="s">
        <v>3639</v>
      </c>
      <c r="B8795" s="0" t="str">
        <f aca="false">HYPERLINK("https://lindat.mff.cuni.cz/services/teitok/pdtc10/index.php?action=vallex&amp;frame=v-w10493f2", "extrapolovat (v-w10493f2)")</f>
        <v>extrapolovat (v-w10493f2)</v>
      </c>
    </row>
    <row r="8796" customFormat="false" ht="12.8" hidden="false" customHeight="false" outlineLevel="0" collapsed="false">
      <c r="B8796" s="0" t="s">
        <v>7</v>
      </c>
    </row>
    <row r="8797" customFormat="false" ht="12.8" hidden="false" customHeight="false" outlineLevel="0" collapsed="false">
      <c r="B8797" s="0" t="s">
        <v>14</v>
      </c>
      <c r="C8797" s="0" t="s">
        <v>155</v>
      </c>
    </row>
    <row r="8798" customFormat="false" ht="12.8" hidden="false" customHeight="false" outlineLevel="0" collapsed="false">
      <c r="B8798" s="0" t="s">
        <v>35</v>
      </c>
    </row>
    <row r="8799" customFormat="false" ht="12.8" hidden="false" customHeight="false" outlineLevel="0" collapsed="false">
      <c r="B8799" s="0" t="s">
        <v>84</v>
      </c>
    </row>
    <row r="8801" customFormat="false" ht="12.8" hidden="false" customHeight="false" outlineLevel="0" collapsed="false">
      <c r="A8801" s="0" t="s">
        <v>3640</v>
      </c>
      <c r="B8801" s="0" t="str">
        <f aca="false">HYPERLINK("https://lindat.mff.cuni.cz/services/teitok/pdtc10/index.php?action=vallex&amp;frame=v-w922f1", "fackovat (v-w922f1)")</f>
        <v>fackovat (v-w922f1)</v>
      </c>
    </row>
    <row r="8802" customFormat="false" ht="12.8" hidden="false" customHeight="false" outlineLevel="0" collapsed="false">
      <c r="B8802" s="0" t="s">
        <v>7</v>
      </c>
    </row>
    <row r="8803" customFormat="false" ht="12.8" hidden="false" customHeight="false" outlineLevel="0" collapsed="false">
      <c r="B8803" s="0" t="s">
        <v>14</v>
      </c>
    </row>
    <row r="8805" customFormat="false" ht="12.8" hidden="false" customHeight="false" outlineLevel="0" collapsed="false">
      <c r="A8805" s="0" t="s">
        <v>3641</v>
      </c>
      <c r="B8805" s="0" t="str">
        <f aca="false">HYPERLINK("https://lindat.mff.cuni.cz/services/teitok/pdtc10/index.php?action=vallex&amp;frame=v-whsa_1848hsa_1849", "fajrat (v-whsa_1848hsa_1849)")</f>
        <v>fajrat (v-whsa_1848hsa_1849)</v>
      </c>
    </row>
    <row r="8806" customFormat="false" ht="12.8" hidden="false" customHeight="false" outlineLevel="0" collapsed="false">
      <c r="B8806" s="0" t="s">
        <v>7</v>
      </c>
    </row>
    <row r="8808" customFormat="false" ht="12.8" hidden="false" customHeight="false" outlineLevel="0" collapsed="false">
      <c r="A8808" s="0" t="s">
        <v>3642</v>
      </c>
      <c r="B8808" s="0" t="str">
        <f aca="false">HYPERLINK("https://lindat.mff.cuni.cz/services/teitok/pdtc10/index.php?action=vallex&amp;frame=v-w924f1", "fakturovat (v-w924f1)")</f>
        <v>fakturovat (v-w924f1)</v>
      </c>
    </row>
    <row r="8809" customFormat="false" ht="12.8" hidden="false" customHeight="false" outlineLevel="0" collapsed="false">
      <c r="B8809" s="0" t="s">
        <v>7</v>
      </c>
    </row>
    <row r="8810" customFormat="false" ht="12.8" hidden="false" customHeight="false" outlineLevel="0" collapsed="false">
      <c r="B8810" s="0" t="s">
        <v>14</v>
      </c>
    </row>
    <row r="8811" customFormat="false" ht="12.8" hidden="false" customHeight="false" outlineLevel="0" collapsed="false">
      <c r="B8811" s="0" t="s">
        <v>48</v>
      </c>
    </row>
    <row r="8812" customFormat="false" ht="12.8" hidden="false" customHeight="false" outlineLevel="0" collapsed="false">
      <c r="B8812" s="0" t="s">
        <v>550</v>
      </c>
    </row>
    <row r="8814" customFormat="false" ht="12.8" hidden="false" customHeight="false" outlineLevel="0" collapsed="false">
      <c r="A8814" s="0" t="s">
        <v>3643</v>
      </c>
      <c r="B8814" s="0" t="str">
        <f aca="false">HYPERLINK("https://lindat.mff.cuni.cz/services/teitok/pdtc10/index.php?action=vallex&amp;frame=v-w926f1", "falšovat (v-w926f1)")</f>
        <v>falšovat (v-w926f1)</v>
      </c>
    </row>
    <row r="8815" customFormat="false" ht="12.8" hidden="false" customHeight="false" outlineLevel="0" collapsed="false">
      <c r="B8815" s="0" t="s">
        <v>7</v>
      </c>
      <c r="C8815" s="0" t="s">
        <v>3644</v>
      </c>
      <c r="D8815" s="0" t="s">
        <v>108</v>
      </c>
      <c r="E8815" s="0" t="s">
        <v>108</v>
      </c>
      <c r="F8815" s="0" t="s">
        <v>108</v>
      </c>
    </row>
    <row r="8816" customFormat="false" ht="12.8" hidden="false" customHeight="false" outlineLevel="0" collapsed="false">
      <c r="B8816" s="0" t="s">
        <v>14</v>
      </c>
      <c r="C8816" s="0" t="s">
        <v>3645</v>
      </c>
      <c r="D8816" s="0" t="s">
        <v>1264</v>
      </c>
      <c r="E8816" s="0" t="s">
        <v>1264</v>
      </c>
      <c r="F8816" s="0" t="s">
        <v>1264</v>
      </c>
    </row>
    <row r="8818" customFormat="false" ht="12.8" hidden="false" customHeight="false" outlineLevel="0" collapsed="false">
      <c r="A8818" s="0" t="s">
        <v>3646</v>
      </c>
      <c r="B8818" s="0" t="str">
        <f aca="false">HYPERLINK("https://lindat.mff.cuni.cz/services/teitok/pdtc10/index.php?action=vallex&amp;frame=v-w928f1", "fandit (v-w928f1)")</f>
        <v>fandit (v-w928f1)</v>
      </c>
    </row>
    <row r="8819" customFormat="false" ht="12.8" hidden="false" customHeight="false" outlineLevel="0" collapsed="false">
      <c r="B8819" s="0" t="s">
        <v>7</v>
      </c>
    </row>
    <row r="8820" customFormat="false" ht="12.8" hidden="false" customHeight="false" outlineLevel="0" collapsed="false">
      <c r="B8820" s="0" t="s">
        <v>142</v>
      </c>
    </row>
    <row r="8822" customFormat="false" ht="12.8" hidden="false" customHeight="false" outlineLevel="0" collapsed="false">
      <c r="A8822" s="0" t="s">
        <v>3647</v>
      </c>
      <c r="B8822" s="0" t="str">
        <f aca="false">HYPERLINK("https://lindat.mff.cuni.cz/services/teitok/pdtc10/index.php?action=vallex&amp;frame=v-w930f2", "fantazírovat (v-w930f2)")</f>
        <v>fantazírovat (v-w930f2)</v>
      </c>
    </row>
    <row r="8823" customFormat="false" ht="12.8" hidden="false" customHeight="false" outlineLevel="0" collapsed="false">
      <c r="B8823" s="0" t="s">
        <v>7</v>
      </c>
    </row>
    <row r="8824" customFormat="false" ht="12.8" hidden="false" customHeight="false" outlineLevel="0" collapsed="false">
      <c r="B8824" s="0" t="s">
        <v>3648</v>
      </c>
    </row>
    <row r="8825" customFormat="false" ht="12.8" hidden="false" customHeight="false" outlineLevel="0" collapsed="false">
      <c r="B8825" s="0" t="s">
        <v>363</v>
      </c>
    </row>
    <row r="8827" customFormat="false" ht="12.8" hidden="false" customHeight="false" outlineLevel="0" collapsed="false">
      <c r="A8827" s="0" t="s">
        <v>3649</v>
      </c>
      <c r="B8827" s="0" t="str">
        <f aca="false">HYPERLINK("https://lindat.mff.cuni.cz/services/teitok/pdtc10/index.php?action=vallex&amp;frame=v-w930f1", "fantazírovat (v-w930f1)")</f>
        <v>fantazírovat (v-w930f1)</v>
      </c>
    </row>
    <row r="8828" customFormat="false" ht="12.8" hidden="false" customHeight="false" outlineLevel="0" collapsed="false">
      <c r="B8828" s="0" t="s">
        <v>7</v>
      </c>
    </row>
    <row r="8830" customFormat="false" ht="12.8" hidden="false" customHeight="false" outlineLevel="0" collapsed="false">
      <c r="A8830" s="0" t="s">
        <v>3650</v>
      </c>
      <c r="B8830" s="0" t="str">
        <f aca="false">HYPERLINK("https://lindat.mff.cuni.cz/services/teitok/pdtc10/index.php?action=vallex&amp;frame=v-w931f1", "farmařit (v-w931f1)")</f>
        <v>farmařit (v-w931f1)</v>
      </c>
    </row>
    <row r="8831" customFormat="false" ht="12.8" hidden="false" customHeight="false" outlineLevel="0" collapsed="false">
      <c r="B8831" s="0" t="s">
        <v>7</v>
      </c>
    </row>
    <row r="8833" customFormat="false" ht="12.8" hidden="false" customHeight="false" outlineLevel="0" collapsed="false">
      <c r="A8833" s="0" t="s">
        <v>3651</v>
      </c>
      <c r="B8833" s="0" t="str">
        <f aca="false">HYPERLINK("https://lindat.mff.cuni.cz/services/teitok/pdtc10/index.php?action=vallex&amp;frame=v-w933f2_ZU", "fascinovat (v-w933f2_ZU)")</f>
        <v>fascinovat (v-w933f2_ZU)</v>
      </c>
    </row>
    <row r="8834" customFormat="false" ht="12.8" hidden="false" customHeight="false" outlineLevel="0" collapsed="false">
      <c r="B8834" s="0" t="s">
        <v>3652</v>
      </c>
    </row>
    <row r="8835" customFormat="false" ht="12.8" hidden="false" customHeight="false" outlineLevel="0" collapsed="false">
      <c r="B8835" s="0" t="s">
        <v>14</v>
      </c>
    </row>
    <row r="8837" customFormat="false" ht="12.8" hidden="false" customHeight="false" outlineLevel="0" collapsed="false">
      <c r="A8837" s="0" t="s">
        <v>3651</v>
      </c>
      <c r="B8837" s="0" t="str">
        <f aca="false">HYPERLINK("https://lindat.mff.cuni.cz/services/teitok/pdtc10/index.php?action=vallex&amp;frame=v-w933f1", "fascinovat (v-w933f1) - substituted with v-w933f2_ZU")</f>
        <v>fascinovat (v-w933f1) - substituted with v-w933f2_ZU</v>
      </c>
    </row>
    <row r="8838" customFormat="false" ht="12.8" hidden="false" customHeight="false" outlineLevel="0" collapsed="false">
      <c r="B8838" s="0" t="s">
        <v>3652</v>
      </c>
      <c r="C8838" s="0" t="s">
        <v>46</v>
      </c>
      <c r="D8838" s="0" t="s">
        <v>31</v>
      </c>
      <c r="E8838" s="0" t="s">
        <v>31</v>
      </c>
      <c r="F8838" s="0" t="s">
        <v>31</v>
      </c>
    </row>
    <row r="8839" customFormat="false" ht="12.8" hidden="false" customHeight="false" outlineLevel="0" collapsed="false">
      <c r="B8839" s="0" t="s">
        <v>14</v>
      </c>
      <c r="C8839" s="0" t="s">
        <v>384</v>
      </c>
      <c r="D8839" s="0" t="s">
        <v>78</v>
      </c>
      <c r="E8839" s="0" t="s">
        <v>78</v>
      </c>
      <c r="F8839" s="0" t="s">
        <v>78</v>
      </c>
    </row>
    <row r="8841" customFormat="false" ht="12.8" hidden="false" customHeight="false" outlineLevel="0" collapsed="false">
      <c r="A8841" s="0" t="s">
        <v>3653</v>
      </c>
      <c r="B8841" s="0" t="str">
        <f aca="false">HYPERLINK("https://lindat.mff.cuni.cz/services/teitok/pdtc10/index.php?action=vallex&amp;frame=v-w934f1", "fasovat (v-w934f1)")</f>
        <v>fasovat (v-w934f1)</v>
      </c>
    </row>
    <row r="8842" customFormat="false" ht="12.8" hidden="false" customHeight="false" outlineLevel="0" collapsed="false">
      <c r="B8842" s="0" t="s">
        <v>7</v>
      </c>
      <c r="D8842" s="0" t="s">
        <v>2361</v>
      </c>
      <c r="E8842" s="0" t="s">
        <v>2361</v>
      </c>
      <c r="F8842" s="0" t="s">
        <v>2361</v>
      </c>
    </row>
    <row r="8843" customFormat="false" ht="12.8" hidden="false" customHeight="false" outlineLevel="0" collapsed="false">
      <c r="B8843" s="0" t="s">
        <v>14</v>
      </c>
      <c r="D8843" s="0" t="s">
        <v>2363</v>
      </c>
      <c r="E8843" s="0" t="s">
        <v>2363</v>
      </c>
      <c r="F8843" s="0" t="s">
        <v>2363</v>
      </c>
    </row>
    <row r="8844" customFormat="false" ht="12.8" hidden="false" customHeight="false" outlineLevel="0" collapsed="false">
      <c r="B8844" s="0" t="s">
        <v>441</v>
      </c>
      <c r="D8844" s="0" t="s">
        <v>3654</v>
      </c>
      <c r="E8844" s="0" t="s">
        <v>3654</v>
      </c>
      <c r="F8844" s="0" t="s">
        <v>3654</v>
      </c>
    </row>
    <row r="8846" customFormat="false" ht="12.8" hidden="false" customHeight="false" outlineLevel="0" collapsed="false">
      <c r="A8846" s="0" t="s">
        <v>3655</v>
      </c>
      <c r="B8846" s="0" t="str">
        <f aca="false">HYPERLINK("https://lindat.mff.cuni.cz/services/teitok/pdtc10/index.php?action=vallex&amp;frame=v-w936f1", "faulovat (v-w936f1)")</f>
        <v>faulovat (v-w936f1)</v>
      </c>
    </row>
    <row r="8847" customFormat="false" ht="12.8" hidden="false" customHeight="false" outlineLevel="0" collapsed="false">
      <c r="B8847" s="0" t="s">
        <v>7</v>
      </c>
    </row>
    <row r="8848" customFormat="false" ht="12.8" hidden="false" customHeight="false" outlineLevel="0" collapsed="false">
      <c r="B8848" s="0" t="s">
        <v>14</v>
      </c>
    </row>
    <row r="8850" customFormat="false" ht="12.8" hidden="false" customHeight="false" outlineLevel="0" collapsed="false">
      <c r="A8850" s="0" t="s">
        <v>3656</v>
      </c>
      <c r="B8850" s="0" t="str">
        <f aca="false">HYPERLINK("https://lindat.mff.cuni.cz/services/teitok/pdtc10/index.php?action=vallex&amp;frame=v-w938f1", "favorizovat (v-w938f1)")</f>
        <v>favorizovat (v-w938f1)</v>
      </c>
    </row>
    <row r="8851" customFormat="false" ht="12.8" hidden="false" customHeight="false" outlineLevel="0" collapsed="false">
      <c r="B8851" s="0" t="s">
        <v>7</v>
      </c>
    </row>
    <row r="8852" customFormat="false" ht="12.8" hidden="false" customHeight="false" outlineLevel="0" collapsed="false">
      <c r="B8852" s="0" t="s">
        <v>14</v>
      </c>
    </row>
    <row r="8854" customFormat="false" ht="12.8" hidden="false" customHeight="false" outlineLevel="0" collapsed="false">
      <c r="A8854" s="0" t="s">
        <v>3657</v>
      </c>
      <c r="B8854" s="0" t="str">
        <f aca="false">HYPERLINK("https://lindat.mff.cuni.cz/services/teitok/pdtc10/index.php?action=vallex&amp;frame=v-w942f1", "figurovat (v-w942f1)")</f>
        <v>figurovat (v-w942f1)</v>
      </c>
    </row>
    <row r="8855" customFormat="false" ht="12.8" hidden="false" customHeight="false" outlineLevel="0" collapsed="false">
      <c r="B8855" s="0" t="s">
        <v>7</v>
      </c>
      <c r="C8855" s="0" t="s">
        <v>3658</v>
      </c>
      <c r="D8855" s="0" t="s">
        <v>569</v>
      </c>
      <c r="E8855" s="0" t="s">
        <v>569</v>
      </c>
      <c r="F8855" s="0" t="s">
        <v>569</v>
      </c>
    </row>
    <row r="8856" customFormat="false" ht="12.8" hidden="false" customHeight="false" outlineLevel="0" collapsed="false">
      <c r="B8856" s="0" t="s">
        <v>11</v>
      </c>
      <c r="C8856" s="0" t="s">
        <v>3659</v>
      </c>
      <c r="D8856" s="0" t="s">
        <v>3659</v>
      </c>
      <c r="E8856" s="0" t="s">
        <v>3659</v>
      </c>
      <c r="F8856" s="0" t="s">
        <v>3659</v>
      </c>
    </row>
    <row r="8858" customFormat="false" ht="12.8" hidden="false" customHeight="false" outlineLevel="0" collapsed="false">
      <c r="A8858" s="0" t="s">
        <v>3660</v>
      </c>
      <c r="B8858" s="0" t="str">
        <f aca="false">HYPERLINK("https://lindat.mff.cuni.cz/services/teitok/pdtc10/index.php?action=vallex&amp;frame=v-w11937_ZUf1_ZU", "fiknout (v-w11937_ZUf1_ZU)")</f>
        <v>fiknout (v-w11937_ZUf1_ZU)</v>
      </c>
    </row>
    <row r="8859" customFormat="false" ht="12.8" hidden="false" customHeight="false" outlineLevel="0" collapsed="false">
      <c r="B8859" s="0" t="s">
        <v>7</v>
      </c>
    </row>
    <row r="8861" customFormat="false" ht="12.8" hidden="false" customHeight="false" outlineLevel="0" collapsed="false">
      <c r="A8861" s="0" t="s">
        <v>3661</v>
      </c>
      <c r="B8861" s="0" t="str">
        <f aca="false">HYPERLINK("https://lindat.mff.cuni.cz/services/teitok/pdtc10/index.php?action=vallex&amp;frame=v-w946f1", "filmovat (v-w946f1)")</f>
        <v>filmovat (v-w946f1)</v>
      </c>
    </row>
    <row r="8862" customFormat="false" ht="12.8" hidden="false" customHeight="false" outlineLevel="0" collapsed="false">
      <c r="B8862" s="0" t="s">
        <v>7</v>
      </c>
      <c r="C8862" s="0" t="s">
        <v>184</v>
      </c>
      <c r="D8862" s="0" t="s">
        <v>23</v>
      </c>
      <c r="E8862" s="0" t="s">
        <v>23</v>
      </c>
      <c r="F8862" s="0" t="s">
        <v>23</v>
      </c>
    </row>
    <row r="8863" customFormat="false" ht="12.8" hidden="false" customHeight="false" outlineLevel="0" collapsed="false">
      <c r="B8863" s="0" t="s">
        <v>14</v>
      </c>
      <c r="C8863" s="0" t="s">
        <v>155</v>
      </c>
      <c r="D8863" s="0" t="s">
        <v>3662</v>
      </c>
      <c r="E8863" s="0" t="s">
        <v>3662</v>
      </c>
      <c r="F8863" s="0" t="s">
        <v>3662</v>
      </c>
    </row>
    <row r="8865" customFormat="false" ht="12.8" hidden="false" customHeight="false" outlineLevel="0" collapsed="false">
      <c r="A8865" s="0" t="s">
        <v>3663</v>
      </c>
      <c r="B8865" s="0" t="str">
        <f aca="false">HYPERLINK("https://lindat.mff.cuni.cz/services/teitok/pdtc10/index.php?action=vallex&amp;frame=v-w948f1", "filozofovat (v-w948f1)")</f>
        <v>filozofovat (v-w948f1)</v>
      </c>
    </row>
    <row r="8866" customFormat="false" ht="12.8" hidden="false" customHeight="false" outlineLevel="0" collapsed="false">
      <c r="B8866" s="0" t="s">
        <v>7</v>
      </c>
      <c r="D8866" s="0" t="s">
        <v>3664</v>
      </c>
      <c r="E8866" s="0" t="s">
        <v>3664</v>
      </c>
      <c r="F8866" s="0" t="s">
        <v>3664</v>
      </c>
    </row>
    <row r="8867" customFormat="false" ht="12.8" hidden="false" customHeight="false" outlineLevel="0" collapsed="false">
      <c r="B8867" s="0" t="s">
        <v>2922</v>
      </c>
      <c r="D8867" s="0" t="s">
        <v>567</v>
      </c>
      <c r="E8867" s="0" t="s">
        <v>567</v>
      </c>
      <c r="F8867" s="0" t="s">
        <v>567</v>
      </c>
    </row>
    <row r="8869" customFormat="false" ht="12.8" hidden="false" customHeight="false" outlineLevel="0" collapsed="false">
      <c r="A8869" s="0" t="s">
        <v>3665</v>
      </c>
      <c r="B8869" s="0" t="str">
        <f aca="false">HYPERLINK("https://lindat.mff.cuni.cz/services/teitok/pdtc10/index.php?action=vallex&amp;frame=v-w951f1", "filtrovat (v-w951f1)")</f>
        <v>filtrovat (v-w951f1)</v>
      </c>
    </row>
    <row r="8870" customFormat="false" ht="12.8" hidden="false" customHeight="false" outlineLevel="0" collapsed="false">
      <c r="B8870" s="0" t="s">
        <v>7</v>
      </c>
    </row>
    <row r="8871" customFormat="false" ht="12.8" hidden="false" customHeight="false" outlineLevel="0" collapsed="false">
      <c r="B8871" s="0" t="s">
        <v>14</v>
      </c>
    </row>
    <row r="8873" customFormat="false" ht="12.8" hidden="false" customHeight="false" outlineLevel="0" collapsed="false">
      <c r="A8873" s="0" t="s">
        <v>3666</v>
      </c>
      <c r="B8873" s="0" t="str">
        <f aca="false">HYPERLINK("https://lindat.mff.cuni.cz/services/teitok/pdtc10/index.php?action=vallex&amp;frame=v-w951f2_ZU", "filtrovat (v-w951f2_ZU)")</f>
        <v>filtrovat (v-w951f2_ZU)</v>
      </c>
    </row>
    <row r="8874" customFormat="false" ht="12.8" hidden="false" customHeight="false" outlineLevel="0" collapsed="false">
      <c r="B8874" s="0" t="s">
        <v>7</v>
      </c>
      <c r="C8874" s="0" t="s">
        <v>191</v>
      </c>
    </row>
    <row r="8875" customFormat="false" ht="12.8" hidden="false" customHeight="false" outlineLevel="0" collapsed="false">
      <c r="B8875" s="0" t="s">
        <v>14</v>
      </c>
      <c r="C8875" s="0" t="s">
        <v>47</v>
      </c>
    </row>
    <row r="8877" customFormat="false" ht="12.8" hidden="false" customHeight="false" outlineLevel="0" collapsed="false">
      <c r="A8877" s="0" t="s">
        <v>3666</v>
      </c>
      <c r="B8877" s="0" t="str">
        <f aca="false">HYPERLINK("https://lindat.mff.cuni.cz/services/teitok/pdtc10/index.php?action=vallex&amp;frame=v-w951hsa_388", "filtrovat (v-w951hsa_388) - substituted with v-w951f2_ZU")</f>
        <v>filtrovat (v-w951hsa_388) - substituted with v-w951f2_ZU</v>
      </c>
    </row>
    <row r="8878" customFormat="false" ht="12.8" hidden="false" customHeight="false" outlineLevel="0" collapsed="false">
      <c r="B8878" s="0" t="s">
        <v>7</v>
      </c>
    </row>
    <row r="8879" customFormat="false" ht="12.8" hidden="false" customHeight="false" outlineLevel="0" collapsed="false">
      <c r="B8879" s="0" t="s">
        <v>14</v>
      </c>
    </row>
    <row r="8881" customFormat="false" ht="12.8" hidden="false" customHeight="false" outlineLevel="0" collapsed="false">
      <c r="A8881" s="0" t="s">
        <v>3667</v>
      </c>
      <c r="B8881" s="0" t="str">
        <f aca="false">HYPERLINK("https://lindat.mff.cuni.cz/services/teitok/pdtc10/index.php?action=vallex&amp;frame=v-w955f1", "financovat (v-w955f1)")</f>
        <v>financovat (v-w955f1)</v>
      </c>
    </row>
    <row r="8882" customFormat="false" ht="12.8" hidden="false" customHeight="false" outlineLevel="0" collapsed="false">
      <c r="B8882" s="0" t="s">
        <v>7</v>
      </c>
      <c r="C8882" s="0" t="s">
        <v>3668</v>
      </c>
      <c r="D8882" s="0" t="s">
        <v>3669</v>
      </c>
      <c r="E8882" s="0" t="s">
        <v>3669</v>
      </c>
      <c r="F8882" s="0" t="s">
        <v>3670</v>
      </c>
    </row>
    <row r="8883" customFormat="false" ht="12.8" hidden="false" customHeight="false" outlineLevel="0" collapsed="false">
      <c r="B8883" s="0" t="s">
        <v>14</v>
      </c>
      <c r="C8883" s="0" t="s">
        <v>3671</v>
      </c>
      <c r="D8883" s="0" t="s">
        <v>3672</v>
      </c>
      <c r="E8883" s="0" t="s">
        <v>3672</v>
      </c>
      <c r="F8883" s="0" t="s">
        <v>3673</v>
      </c>
    </row>
    <row r="8885" customFormat="false" ht="12.8" hidden="false" customHeight="false" outlineLevel="0" collapsed="false">
      <c r="A8885" s="0" t="s">
        <v>3674</v>
      </c>
      <c r="B8885" s="0" t="str">
        <f aca="false">HYPERLINK("https://lindat.mff.cuni.cz/services/teitok/pdtc10/index.php?action=vallex&amp;frame=v-w956f1", "finišovat (v-w956f1)")</f>
        <v>finišovat (v-w956f1)</v>
      </c>
    </row>
    <row r="8886" customFormat="false" ht="12.8" hidden="false" customHeight="false" outlineLevel="0" collapsed="false">
      <c r="B8886" s="0" t="s">
        <v>7</v>
      </c>
      <c r="C8886" s="0" t="s">
        <v>3675</v>
      </c>
      <c r="D8886" s="0" t="s">
        <v>3676</v>
      </c>
      <c r="E8886" s="0" t="s">
        <v>3676</v>
      </c>
      <c r="F8886" s="0" t="s">
        <v>3676</v>
      </c>
    </row>
    <row r="8888" customFormat="false" ht="12.8" hidden="false" customHeight="false" outlineLevel="0" collapsed="false">
      <c r="A8888" s="0" t="s">
        <v>3677</v>
      </c>
      <c r="B8888" s="0" t="str">
        <f aca="false">HYPERLINK("https://lindat.mff.cuni.cz/services/teitok/pdtc10/index.php?action=vallex&amp;frame=v-w958f1", "fixlovat (v-w958f1)")</f>
        <v>fixlovat (v-w958f1)</v>
      </c>
    </row>
    <row r="8889" customFormat="false" ht="12.8" hidden="false" customHeight="false" outlineLevel="0" collapsed="false">
      <c r="B8889" s="0" t="s">
        <v>7</v>
      </c>
    </row>
    <row r="8891" customFormat="false" ht="12.8" hidden="false" customHeight="false" outlineLevel="0" collapsed="false">
      <c r="A8891" s="0" t="s">
        <v>3678</v>
      </c>
      <c r="B8891" s="0" t="str">
        <f aca="false">HYPERLINK("https://lindat.mff.cuni.cz/services/teitok/pdtc10/index.php?action=vallex&amp;frame=v-w959f1", "fixovat (v-w959f1)")</f>
        <v>fixovat (v-w959f1)</v>
      </c>
    </row>
    <row r="8892" customFormat="false" ht="12.8" hidden="false" customHeight="false" outlineLevel="0" collapsed="false">
      <c r="B8892" s="0" t="s">
        <v>7</v>
      </c>
      <c r="C8892" s="0" t="s">
        <v>184</v>
      </c>
    </row>
    <row r="8893" customFormat="false" ht="12.8" hidden="false" customHeight="false" outlineLevel="0" collapsed="false">
      <c r="B8893" s="0" t="s">
        <v>14</v>
      </c>
      <c r="C8893" s="0" t="s">
        <v>173</v>
      </c>
    </row>
    <row r="8895" customFormat="false" ht="12.8" hidden="false" customHeight="false" outlineLevel="0" collapsed="false">
      <c r="A8895" s="0" t="s">
        <v>3679</v>
      </c>
      <c r="B8895" s="0" t="str">
        <f aca="false">HYPERLINK("https://lindat.mff.cuni.cz/services/teitok/pdtc10/index.php?action=vallex&amp;frame=v-w12013_ZUf1_ZU", "fičet (v-w12013_ZUf1_ZU)")</f>
        <v>fičet (v-w12013_ZUf1_ZU)</v>
      </c>
    </row>
    <row r="8896" customFormat="false" ht="12.8" hidden="false" customHeight="false" outlineLevel="0" collapsed="false">
      <c r="B8896" s="0" t="s">
        <v>7</v>
      </c>
    </row>
    <row r="8898" customFormat="false" ht="12.8" hidden="false" customHeight="false" outlineLevel="0" collapsed="false">
      <c r="A8898" s="0" t="s">
        <v>3680</v>
      </c>
      <c r="B8898" s="0" t="str">
        <f aca="false">HYPERLINK("https://lindat.mff.cuni.cz/services/teitok/pdtc10/index.php?action=vallex&amp;frame=v-w11823_ZUf1_ZU", "flinkat (v-w11823_ZUf1_ZU)")</f>
        <v>flinkat (v-w11823_ZUf1_ZU)</v>
      </c>
    </row>
    <row r="8899" customFormat="false" ht="12.8" hidden="false" customHeight="false" outlineLevel="0" collapsed="false">
      <c r="B8899" s="0" t="s">
        <v>7</v>
      </c>
    </row>
    <row r="8900" customFormat="false" ht="12.8" hidden="false" customHeight="false" outlineLevel="0" collapsed="false">
      <c r="B8900" s="0" t="s">
        <v>14</v>
      </c>
    </row>
    <row r="8902" customFormat="false" ht="12.8" hidden="false" customHeight="false" outlineLevel="0" collapsed="false">
      <c r="A8902" s="0" t="s">
        <v>3681</v>
      </c>
      <c r="B8902" s="0" t="str">
        <f aca="false">HYPERLINK("https://lindat.mff.cuni.cz/services/teitok/pdtc10/index.php?action=vallex&amp;frame=v-whsa_1193hsa_1194", "flinkat se (v-whsa_1193hsa_1194)")</f>
        <v>flinkat se (v-whsa_1193hsa_1194)</v>
      </c>
    </row>
    <row r="8903" customFormat="false" ht="12.8" hidden="false" customHeight="false" outlineLevel="0" collapsed="false">
      <c r="B8903" s="0" t="s">
        <v>7</v>
      </c>
    </row>
    <row r="8905" customFormat="false" ht="12.8" hidden="false" customHeight="false" outlineLevel="0" collapsed="false">
      <c r="A8905" s="0" t="s">
        <v>3682</v>
      </c>
      <c r="B8905" s="0" t="str">
        <f aca="false">HYPERLINK("https://lindat.mff.cuni.cz/services/teitok/pdtc10/index.php?action=vallex&amp;frame=v-w10552f2", "flirtovat (v-w10552f2)")</f>
        <v>flirtovat (v-w10552f2)</v>
      </c>
    </row>
    <row r="8906" customFormat="false" ht="12.8" hidden="false" customHeight="false" outlineLevel="0" collapsed="false">
      <c r="B8906" s="0" t="s">
        <v>7</v>
      </c>
    </row>
    <row r="8907" customFormat="false" ht="12.8" hidden="false" customHeight="false" outlineLevel="0" collapsed="false">
      <c r="B8907" s="0" t="s">
        <v>3683</v>
      </c>
    </row>
    <row r="8908" customFormat="false" ht="12.8" hidden="false" customHeight="false" outlineLevel="0" collapsed="false">
      <c r="B8908" s="0" t="s">
        <v>2767</v>
      </c>
    </row>
    <row r="8910" customFormat="false" ht="12.8" hidden="false" customHeight="false" outlineLevel="0" collapsed="false">
      <c r="A8910" s="0" t="s">
        <v>3684</v>
      </c>
      <c r="B8910" s="0" t="str">
        <f aca="false">HYPERLINK("https://lindat.mff.cuni.cz/services/teitok/pdtc10/index.php?action=vallex&amp;frame=v-w10552f4", "flirtovat (v-w10552f4)")</f>
        <v>flirtovat (v-w10552f4)</v>
      </c>
    </row>
    <row r="8911" customFormat="false" ht="12.8" hidden="false" customHeight="false" outlineLevel="0" collapsed="false">
      <c r="B8911" s="0" t="s">
        <v>7</v>
      </c>
      <c r="C8911" s="0" t="s">
        <v>31</v>
      </c>
      <c r="D8911" s="0" t="s">
        <v>31</v>
      </c>
      <c r="E8911" s="0" t="s">
        <v>31</v>
      </c>
      <c r="F8911" s="0" t="s">
        <v>31</v>
      </c>
    </row>
    <row r="8912" customFormat="false" ht="12.8" hidden="false" customHeight="false" outlineLevel="0" collapsed="false">
      <c r="B8912" s="0" t="s">
        <v>548</v>
      </c>
      <c r="C8912" s="0" t="s">
        <v>74</v>
      </c>
      <c r="D8912" s="0" t="s">
        <v>33</v>
      </c>
      <c r="E8912" s="0" t="s">
        <v>33</v>
      </c>
      <c r="F8912" s="0" t="s">
        <v>33</v>
      </c>
    </row>
    <row r="8914" customFormat="false" ht="12.8" hidden="false" customHeight="false" outlineLevel="0" collapsed="false">
      <c r="A8914" s="0" t="s">
        <v>3685</v>
      </c>
      <c r="B8914" s="0" t="str">
        <f aca="false">HYPERLINK("https://lindat.mff.cuni.cz/services/teitok/pdtc10/index.php?action=vallex&amp;frame=v-w11116f5", "fluktuovat (v-w11116f5)")</f>
        <v>fluktuovat (v-w11116f5)</v>
      </c>
    </row>
    <row r="8915" customFormat="false" ht="12.8" hidden="false" customHeight="false" outlineLevel="0" collapsed="false">
      <c r="B8915" s="0" t="s">
        <v>7</v>
      </c>
      <c r="C8915" s="0" t="s">
        <v>1902</v>
      </c>
    </row>
    <row r="8917" customFormat="false" ht="12.8" hidden="false" customHeight="false" outlineLevel="0" collapsed="false">
      <c r="A8917" s="0" t="s">
        <v>3686</v>
      </c>
      <c r="B8917" s="0" t="str">
        <f aca="false">HYPERLINK("https://lindat.mff.cuni.cz/services/teitok/pdtc10/index.php?action=vallex&amp;frame=v-w12244_ZUf1_ZU", "flákat (v-w12244_ZUf1_ZU)")</f>
        <v>flákat (v-w12244_ZUf1_ZU)</v>
      </c>
    </row>
    <row r="8918" customFormat="false" ht="12.8" hidden="false" customHeight="false" outlineLevel="0" collapsed="false">
      <c r="B8918" s="0" t="s">
        <v>7</v>
      </c>
    </row>
    <row r="8919" customFormat="false" ht="12.8" hidden="false" customHeight="false" outlineLevel="0" collapsed="false">
      <c r="B8919" s="0" t="s">
        <v>14</v>
      </c>
    </row>
    <row r="8921" customFormat="false" ht="12.8" hidden="false" customHeight="false" outlineLevel="0" collapsed="false">
      <c r="A8921" s="0" t="s">
        <v>3687</v>
      </c>
      <c r="B8921" s="0" t="str">
        <f aca="false">HYPERLINK("https://lindat.mff.cuni.cz/services/teitok/pdtc10/index.php?action=vallex&amp;frame=v-w11824_ZUf2_ZU", "flákat se (v-w11824_ZUf2_ZU)")</f>
        <v>flákat se (v-w11824_ZUf2_ZU)</v>
      </c>
    </row>
    <row r="8922" customFormat="false" ht="12.8" hidden="false" customHeight="false" outlineLevel="0" collapsed="false">
      <c r="B8922" s="0" t="s">
        <v>7</v>
      </c>
    </row>
    <row r="8924" customFormat="false" ht="12.8" hidden="false" customHeight="false" outlineLevel="0" collapsed="false">
      <c r="A8924" s="0" t="s">
        <v>3687</v>
      </c>
      <c r="B8924" s="0" t="str">
        <f aca="false">HYPERLINK("https://lindat.mff.cuni.cz/services/teitok/pdtc10/index.php?action=vallex&amp;frame=v-w11824_ZUf1_ZU", "flákat se (v-w11824_ZUf1_ZU) - substituted with v-w11824_ZUf2_ZU")</f>
        <v>flákat se (v-w11824_ZUf1_ZU) - substituted with v-w11824_ZUf2_ZU</v>
      </c>
    </row>
    <row r="8925" customFormat="false" ht="12.8" hidden="false" customHeight="false" outlineLevel="0" collapsed="false">
      <c r="B8925" s="0" t="s">
        <v>7</v>
      </c>
    </row>
    <row r="8927" customFormat="false" ht="12.8" hidden="false" customHeight="false" outlineLevel="0" collapsed="false">
      <c r="A8927" s="0" t="s">
        <v>3688</v>
      </c>
      <c r="B8927" s="0" t="str">
        <f aca="false">HYPERLINK("https://lindat.mff.cuni.cz/services/teitok/pdtc10/index.php?action=vallex&amp;frame=v-whsa_741hsa_742", "fláknout (v-whsa_741hsa_742)")</f>
        <v>fláknout (v-whsa_741hsa_742)</v>
      </c>
    </row>
    <row r="8928" customFormat="false" ht="12.8" hidden="false" customHeight="false" outlineLevel="0" collapsed="false">
      <c r="B8928" s="0" t="s">
        <v>7</v>
      </c>
    </row>
    <row r="8929" customFormat="false" ht="12.8" hidden="false" customHeight="false" outlineLevel="0" collapsed="false">
      <c r="B8929" s="0" t="s">
        <v>14</v>
      </c>
    </row>
    <row r="8930" customFormat="false" ht="12.8" hidden="false" customHeight="false" outlineLevel="0" collapsed="false">
      <c r="B8930" s="0" t="s">
        <v>48</v>
      </c>
    </row>
    <row r="8932" customFormat="false" ht="12.8" hidden="false" customHeight="false" outlineLevel="0" collapsed="false">
      <c r="A8932" s="0" t="s">
        <v>3689</v>
      </c>
      <c r="B8932" s="0" t="str">
        <f aca="false">HYPERLINK("https://lindat.mff.cuni.cz/services/teitok/pdtc10/index.php?action=vallex&amp;frame=v-w10579f2", "formalizovat (v-w10579f2)")</f>
        <v>formalizovat (v-w10579f2)</v>
      </c>
    </row>
    <row r="8933" customFormat="false" ht="12.8" hidden="false" customHeight="false" outlineLevel="0" collapsed="false">
      <c r="B8933" s="0" t="s">
        <v>7</v>
      </c>
    </row>
    <row r="8934" customFormat="false" ht="12.8" hidden="false" customHeight="false" outlineLevel="0" collapsed="false">
      <c r="B8934" s="0" t="s">
        <v>14</v>
      </c>
    </row>
    <row r="8936" customFormat="false" ht="12.8" hidden="false" customHeight="false" outlineLevel="0" collapsed="false">
      <c r="A8936" s="0" t="s">
        <v>3690</v>
      </c>
      <c r="B8936" s="0" t="str">
        <f aca="false">HYPERLINK("https://lindat.mff.cuni.cz/services/teitok/pdtc10/index.php?action=vallex&amp;frame=v-w967f1", "formovat (v-w967f1)")</f>
        <v>formovat (v-w967f1)</v>
      </c>
    </row>
    <row r="8937" customFormat="false" ht="12.8" hidden="false" customHeight="false" outlineLevel="0" collapsed="false">
      <c r="B8937" s="0" t="s">
        <v>7</v>
      </c>
      <c r="C8937" s="0" t="s">
        <v>184</v>
      </c>
      <c r="D8937" s="0" t="s">
        <v>335</v>
      </c>
      <c r="E8937" s="0" t="s">
        <v>335</v>
      </c>
      <c r="F8937" s="0" t="s">
        <v>335</v>
      </c>
    </row>
    <row r="8938" customFormat="false" ht="12.8" hidden="false" customHeight="false" outlineLevel="0" collapsed="false">
      <c r="B8938" s="0" t="s">
        <v>14</v>
      </c>
      <c r="C8938" s="0" t="s">
        <v>1209</v>
      </c>
      <c r="D8938" s="0" t="s">
        <v>487</v>
      </c>
      <c r="E8938" s="0" t="s">
        <v>487</v>
      </c>
      <c r="F8938" s="0" t="s">
        <v>487</v>
      </c>
    </row>
    <row r="8939" customFormat="false" ht="12.8" hidden="false" customHeight="false" outlineLevel="0" collapsed="false">
      <c r="B8939" s="0" t="s">
        <v>3691</v>
      </c>
      <c r="C8939" s="0" t="s">
        <v>182</v>
      </c>
      <c r="D8939" s="0" t="s">
        <v>182</v>
      </c>
      <c r="E8939" s="0" t="s">
        <v>182</v>
      </c>
      <c r="F8939" s="0" t="s">
        <v>182</v>
      </c>
    </row>
    <row r="8941" customFormat="false" ht="12.8" hidden="false" customHeight="false" outlineLevel="0" collapsed="false">
      <c r="A8941" s="0" t="s">
        <v>3692</v>
      </c>
      <c r="B8941" s="0" t="str">
        <f aca="false">HYPERLINK("https://lindat.mff.cuni.cz/services/teitok/pdtc10/index.php?action=vallex&amp;frame=v-w968f1", "formovat se (v-w968f1)")</f>
        <v>formovat se (v-w968f1)</v>
      </c>
    </row>
    <row r="8942" customFormat="false" ht="12.8" hidden="false" customHeight="false" outlineLevel="0" collapsed="false">
      <c r="B8942" s="0" t="s">
        <v>7</v>
      </c>
      <c r="C8942" s="0" t="s">
        <v>3693</v>
      </c>
    </row>
    <row r="8943" customFormat="false" ht="12.8" hidden="false" customHeight="false" outlineLevel="0" collapsed="false">
      <c r="B8943" s="0" t="s">
        <v>581</v>
      </c>
      <c r="C8943" s="0" t="s">
        <v>3694</v>
      </c>
    </row>
    <row r="8945" customFormat="false" ht="12.8" hidden="false" customHeight="false" outlineLevel="0" collapsed="false">
      <c r="A8945" s="0" t="s">
        <v>3695</v>
      </c>
      <c r="B8945" s="0" t="str">
        <f aca="false">HYPERLINK("https://lindat.mff.cuni.cz/services/teitok/pdtc10/index.php?action=vallex&amp;frame=v-w972f1", "formulovat (v-w972f1)")</f>
        <v>formulovat (v-w972f1)</v>
      </c>
    </row>
    <row r="8946" customFormat="false" ht="12.8" hidden="false" customHeight="false" outlineLevel="0" collapsed="false">
      <c r="B8946" s="0" t="s">
        <v>7</v>
      </c>
      <c r="C8946" s="0" t="s">
        <v>2170</v>
      </c>
      <c r="D8946" s="0" t="s">
        <v>2170</v>
      </c>
      <c r="E8946" s="0" t="s">
        <v>2170</v>
      </c>
      <c r="F8946" s="0" t="s">
        <v>2170</v>
      </c>
    </row>
    <row r="8947" customFormat="false" ht="12.8" hidden="false" customHeight="false" outlineLevel="0" collapsed="false">
      <c r="B8947" s="0" t="s">
        <v>14</v>
      </c>
      <c r="C8947" s="0" t="s">
        <v>2788</v>
      </c>
      <c r="D8947" s="0" t="s">
        <v>24</v>
      </c>
      <c r="E8947" s="0" t="s">
        <v>24</v>
      </c>
      <c r="F8947" s="0" t="s">
        <v>24</v>
      </c>
    </row>
    <row r="8949" customFormat="false" ht="12.8" hidden="false" customHeight="false" outlineLevel="0" collapsed="false">
      <c r="A8949" s="0" t="s">
        <v>3696</v>
      </c>
      <c r="B8949" s="0" t="str">
        <f aca="false">HYPERLINK("https://lindat.mff.cuni.cz/services/teitok/pdtc10/index.php?action=vallex&amp;frame=v-w964f1", "formátovat (v-w964f1)")</f>
        <v>formátovat (v-w964f1)</v>
      </c>
    </row>
    <row r="8950" customFormat="false" ht="12.8" hidden="false" customHeight="false" outlineLevel="0" collapsed="false">
      <c r="B8950" s="0" t="s">
        <v>7</v>
      </c>
    </row>
    <row r="8951" customFormat="false" ht="12.8" hidden="false" customHeight="false" outlineLevel="0" collapsed="false">
      <c r="B8951" s="0" t="s">
        <v>14</v>
      </c>
    </row>
    <row r="8953" customFormat="false" ht="12.8" hidden="false" customHeight="false" outlineLevel="0" collapsed="false">
      <c r="A8953" s="0" t="s">
        <v>3697</v>
      </c>
      <c r="B8953" s="0" t="str">
        <f aca="false">HYPERLINK("https://lindat.mff.cuni.cz/services/teitok/pdtc10/index.php?action=vallex&amp;frame=v-w10185f5_ZU", "fotit (v-w10185f5_ZU)")</f>
        <v>fotit (v-w10185f5_ZU)</v>
      </c>
    </row>
    <row r="8954" customFormat="false" ht="12.8" hidden="false" customHeight="false" outlineLevel="0" collapsed="false">
      <c r="B8954" s="0" t="s">
        <v>7</v>
      </c>
    </row>
    <row r="8955" customFormat="false" ht="12.8" hidden="false" customHeight="false" outlineLevel="0" collapsed="false">
      <c r="B8955" s="0" t="s">
        <v>14</v>
      </c>
    </row>
    <row r="8957" customFormat="false" ht="12.8" hidden="false" customHeight="false" outlineLevel="0" collapsed="false">
      <c r="A8957" s="0" t="s">
        <v>3697</v>
      </c>
      <c r="B8957" s="0" t="str">
        <f aca="false">HYPERLINK("https://lindat.mff.cuni.cz/services/teitok/pdtc10/index.php?action=vallex&amp;frame=v-w10185f2", "fotit (v-w10185f2) - substituted with v-w10185f5_ZU")</f>
        <v>fotit (v-w10185f2) - substituted with v-w10185f5_ZU</v>
      </c>
    </row>
    <row r="8958" customFormat="false" ht="12.8" hidden="false" customHeight="false" outlineLevel="0" collapsed="false">
      <c r="B8958" s="0" t="s">
        <v>7</v>
      </c>
    </row>
    <row r="8959" customFormat="false" ht="12.8" hidden="false" customHeight="false" outlineLevel="0" collapsed="false">
      <c r="B8959" s="0" t="s">
        <v>14</v>
      </c>
    </row>
    <row r="8961" customFormat="false" ht="12.8" hidden="false" customHeight="false" outlineLevel="0" collapsed="false">
      <c r="A8961" s="0" t="s">
        <v>3697</v>
      </c>
      <c r="B8961" s="0" t="str">
        <f aca="false">HYPERLINK("https://lindat.mff.cuni.cz/services/teitok/pdtc10/index.php?action=vallex&amp;frame=v-w10185f4_ZU", "fotit (v-w10185f4_ZU) - substituted with v-w10185f5_ZU")</f>
        <v>fotit (v-w10185f4_ZU) - substituted with v-w10185f5_ZU</v>
      </c>
    </row>
    <row r="8962" customFormat="false" ht="12.8" hidden="false" customHeight="false" outlineLevel="0" collapsed="false">
      <c r="B8962" s="0" t="s">
        <v>7</v>
      </c>
    </row>
    <row r="8963" customFormat="false" ht="12.8" hidden="false" customHeight="false" outlineLevel="0" collapsed="false">
      <c r="B8963" s="0" t="s">
        <v>14</v>
      </c>
    </row>
    <row r="8965" customFormat="false" ht="12.8" hidden="false" customHeight="false" outlineLevel="0" collapsed="false">
      <c r="A8965" s="0" t="s">
        <v>3698</v>
      </c>
      <c r="B8965" s="0" t="str">
        <f aca="false">HYPERLINK("https://lindat.mff.cuni.cz/services/teitok/pdtc10/index.php?action=vallex&amp;frame=v-w10185f3_ZU", "fotit (v-w10185f3_ZU)")</f>
        <v>fotit (v-w10185f3_ZU)</v>
      </c>
    </row>
    <row r="8966" customFormat="false" ht="12.8" hidden="false" customHeight="false" outlineLevel="0" collapsed="false">
      <c r="B8966" s="0" t="s">
        <v>7</v>
      </c>
    </row>
    <row r="8967" customFormat="false" ht="12.8" hidden="false" customHeight="false" outlineLevel="0" collapsed="false">
      <c r="B8967" s="0" t="s">
        <v>14</v>
      </c>
    </row>
    <row r="8969" customFormat="false" ht="12.8" hidden="false" customHeight="false" outlineLevel="0" collapsed="false">
      <c r="A8969" s="0" t="s">
        <v>3699</v>
      </c>
      <c r="B8969" s="0" t="str">
        <f aca="false">HYPERLINK("https://lindat.mff.cuni.cz/services/teitok/pdtc10/index.php?action=vallex&amp;frame=v-w11902_ZUf2_ZU", "fotit se (v-w11902_ZUf2_ZU)")</f>
        <v>fotit se (v-w11902_ZUf2_ZU)</v>
      </c>
    </row>
    <row r="8970" customFormat="false" ht="12.8" hidden="false" customHeight="false" outlineLevel="0" collapsed="false">
      <c r="B8970" s="0" t="s">
        <v>7</v>
      </c>
    </row>
    <row r="8972" customFormat="false" ht="12.8" hidden="false" customHeight="false" outlineLevel="0" collapsed="false">
      <c r="A8972" s="0" t="s">
        <v>3699</v>
      </c>
      <c r="B8972" s="0" t="str">
        <f aca="false">HYPERLINK("https://lindat.mff.cuni.cz/services/teitok/pdtc10/index.php?action=vallex&amp;frame=v-w11902_ZUf1_ZU", "fotit se (v-w11902_ZUf1_ZU) - substituted with v-w11902_ZUf2_ZU")</f>
        <v>fotit se (v-w11902_ZUf1_ZU) - substituted with v-w11902_ZUf2_ZU</v>
      </c>
    </row>
    <row r="8973" customFormat="false" ht="12.8" hidden="false" customHeight="false" outlineLevel="0" collapsed="false">
      <c r="B8973" s="0" t="s">
        <v>7</v>
      </c>
    </row>
    <row r="8975" customFormat="false" ht="12.8" hidden="false" customHeight="false" outlineLevel="0" collapsed="false">
      <c r="A8975" s="0" t="s">
        <v>3700</v>
      </c>
      <c r="B8975" s="0" t="str">
        <f aca="false">HYPERLINK("https://lindat.mff.cuni.cz/services/teitok/pdtc10/index.php?action=vallex&amp;frame=v-w975f4_ZU", "fotografovat (v-w975f4_ZU)")</f>
        <v>fotografovat (v-w975f4_ZU)</v>
      </c>
    </row>
    <row r="8976" customFormat="false" ht="12.8" hidden="false" customHeight="false" outlineLevel="0" collapsed="false">
      <c r="B8976" s="0" t="s">
        <v>7</v>
      </c>
    </row>
    <row r="8977" customFormat="false" ht="12.8" hidden="false" customHeight="false" outlineLevel="0" collapsed="false">
      <c r="B8977" s="0" t="s">
        <v>14</v>
      </c>
    </row>
    <row r="8979" customFormat="false" ht="12.8" hidden="false" customHeight="false" outlineLevel="0" collapsed="false">
      <c r="A8979" s="0" t="s">
        <v>3700</v>
      </c>
      <c r="B8979" s="0" t="str">
        <f aca="false">HYPERLINK("https://lindat.mff.cuni.cz/services/teitok/pdtc10/index.php?action=vallex&amp;frame=v-w975f1", "fotografovat (v-w975f1) - substituted with v-w975f4_ZU")</f>
        <v>fotografovat (v-w975f1) - substituted with v-w975f4_ZU</v>
      </c>
    </row>
    <row r="8980" customFormat="false" ht="12.8" hidden="false" customHeight="false" outlineLevel="0" collapsed="false">
      <c r="B8980" s="0" t="s">
        <v>7</v>
      </c>
      <c r="C8980" s="0" t="s">
        <v>191</v>
      </c>
      <c r="D8980" s="0" t="s">
        <v>1960</v>
      </c>
      <c r="E8980" s="0" t="s">
        <v>1960</v>
      </c>
      <c r="F8980" s="0" t="s">
        <v>1960</v>
      </c>
    </row>
    <row r="8981" customFormat="false" ht="12.8" hidden="false" customHeight="false" outlineLevel="0" collapsed="false">
      <c r="B8981" s="0" t="s">
        <v>14</v>
      </c>
      <c r="C8981" s="0" t="s">
        <v>155</v>
      </c>
      <c r="D8981" s="0" t="s">
        <v>1962</v>
      </c>
      <c r="E8981" s="0" t="s">
        <v>1962</v>
      </c>
      <c r="F8981" s="0" t="s">
        <v>1962</v>
      </c>
    </row>
    <row r="8983" customFormat="false" ht="12.8" hidden="false" customHeight="false" outlineLevel="0" collapsed="false">
      <c r="A8983" s="0" t="s">
        <v>3700</v>
      </c>
      <c r="B8983" s="0" t="str">
        <f aca="false">HYPERLINK("https://lindat.mff.cuni.cz/services/teitok/pdtc10/index.php?action=vallex&amp;frame=v-w975f3_ZU", "fotografovat (v-w975f3_ZU) - substituted with v-w975f4_ZU")</f>
        <v>fotografovat (v-w975f3_ZU) - substituted with v-w975f4_ZU</v>
      </c>
    </row>
    <row r="8984" customFormat="false" ht="12.8" hidden="false" customHeight="false" outlineLevel="0" collapsed="false">
      <c r="B8984" s="0" t="s">
        <v>7</v>
      </c>
    </row>
    <row r="8985" customFormat="false" ht="12.8" hidden="false" customHeight="false" outlineLevel="0" collapsed="false">
      <c r="B8985" s="0" t="s">
        <v>14</v>
      </c>
    </row>
    <row r="8987" customFormat="false" ht="12.8" hidden="false" customHeight="false" outlineLevel="0" collapsed="false">
      <c r="A8987" s="0" t="s">
        <v>3701</v>
      </c>
      <c r="B8987" s="0" t="str">
        <f aca="false">HYPERLINK("https://lindat.mff.cuni.cz/services/teitok/pdtc10/index.php?action=vallex&amp;frame=v-w975f2_ZU", "fotografovat (v-w975f2_ZU)")</f>
        <v>fotografovat (v-w975f2_ZU)</v>
      </c>
    </row>
    <row r="8988" customFormat="false" ht="12.8" hidden="false" customHeight="false" outlineLevel="0" collapsed="false">
      <c r="B8988" s="0" t="s">
        <v>7</v>
      </c>
    </row>
    <row r="8989" customFormat="false" ht="12.8" hidden="false" customHeight="false" outlineLevel="0" collapsed="false">
      <c r="B8989" s="0" t="s">
        <v>14</v>
      </c>
    </row>
    <row r="8991" customFormat="false" ht="12.8" hidden="false" customHeight="false" outlineLevel="0" collapsed="false">
      <c r="A8991" s="0" t="s">
        <v>3702</v>
      </c>
      <c r="B8991" s="0" t="str">
        <f aca="false">HYPERLINK("https://lindat.mff.cuni.cz/services/teitok/pdtc10/index.php?action=vallex&amp;frame=v-w11901_ZUf1_ZU", "fotografovat se (v-w11901_ZUf1_ZU)")</f>
        <v>fotografovat se (v-w11901_ZUf1_ZU)</v>
      </c>
    </row>
    <row r="8992" customFormat="false" ht="12.8" hidden="false" customHeight="false" outlineLevel="0" collapsed="false">
      <c r="B8992" s="0" t="s">
        <v>7</v>
      </c>
    </row>
    <row r="8994" customFormat="false" ht="12.8" hidden="false" customHeight="false" outlineLevel="0" collapsed="false">
      <c r="A8994" s="0" t="s">
        <v>3703</v>
      </c>
      <c r="B8994" s="0" t="str">
        <f aca="false">HYPERLINK("https://lindat.mff.cuni.cz/services/teitok/pdtc10/index.php?action=vallex&amp;frame=v-w11918_ZUf1_ZU", "fotívat (v-w11918_ZUf1_ZU)")</f>
        <v>fotívat (v-w11918_ZUf1_ZU)</v>
      </c>
    </row>
    <row r="8995" customFormat="false" ht="12.8" hidden="false" customHeight="false" outlineLevel="0" collapsed="false">
      <c r="B8995" s="0" t="s">
        <v>7</v>
      </c>
    </row>
    <row r="8996" customFormat="false" ht="12.8" hidden="false" customHeight="false" outlineLevel="0" collapsed="false">
      <c r="B8996" s="0" t="s">
        <v>14</v>
      </c>
    </row>
    <row r="8998" customFormat="false" ht="12.8" hidden="false" customHeight="false" outlineLevel="0" collapsed="false">
      <c r="A8998" s="0" t="s">
        <v>3704</v>
      </c>
      <c r="B8998" s="0" t="str">
        <f aca="false">HYPERLINK("https://lindat.mff.cuni.cz/services/teitok/pdtc10/index.php?action=vallex&amp;frame=v-w978f1", "foukat (v-w978f1)")</f>
        <v>foukat (v-w978f1)</v>
      </c>
    </row>
    <row r="8999" customFormat="false" ht="12.8" hidden="false" customHeight="false" outlineLevel="0" collapsed="false">
      <c r="B8999" s="0" t="s">
        <v>7</v>
      </c>
    </row>
    <row r="9001" customFormat="false" ht="12.8" hidden="false" customHeight="false" outlineLevel="0" collapsed="false">
      <c r="A9001" s="0" t="s">
        <v>3705</v>
      </c>
      <c r="B9001" s="0" t="str">
        <f aca="false">HYPERLINK("https://lindat.mff.cuni.cz/services/teitok/pdtc10/index.php?action=vallex&amp;frame=v-w978f2", "foukat (v-w978f2)")</f>
        <v>foukat (v-w978f2)</v>
      </c>
    </row>
    <row r="9003" customFormat="false" ht="12.8" hidden="false" customHeight="false" outlineLevel="0" collapsed="false">
      <c r="A9003" s="0" t="s">
        <v>3706</v>
      </c>
      <c r="B9003" s="0" t="str">
        <f aca="false">HYPERLINK("https://lindat.mff.cuni.cz/services/teitok/pdtc10/index.php?action=vallex&amp;frame=v-w978hsa_31", "foukat (v-w978hsa_31)")</f>
        <v>foukat (v-w978hsa_31)</v>
      </c>
    </row>
    <row r="9004" customFormat="false" ht="12.8" hidden="false" customHeight="false" outlineLevel="0" collapsed="false">
      <c r="B9004" s="0" t="s">
        <v>7</v>
      </c>
    </row>
    <row r="9005" customFormat="false" ht="12.8" hidden="false" customHeight="false" outlineLevel="0" collapsed="false">
      <c r="B9005" s="0" t="s">
        <v>14</v>
      </c>
    </row>
    <row r="9007" customFormat="false" ht="12.8" hidden="false" customHeight="false" outlineLevel="0" collapsed="false">
      <c r="A9007" s="0" t="s">
        <v>3707</v>
      </c>
      <c r="B9007" s="0" t="str">
        <f aca="false">HYPERLINK("https://lindat.mff.cuni.cz/services/teitok/pdtc10/index.php?action=vallex&amp;frame=v-w980f1", "fragmentovat (v-w980f1)")</f>
        <v>fragmentovat (v-w980f1)</v>
      </c>
    </row>
    <row r="9008" customFormat="false" ht="12.8" hidden="false" customHeight="false" outlineLevel="0" collapsed="false">
      <c r="B9008" s="0" t="s">
        <v>7</v>
      </c>
    </row>
    <row r="9009" customFormat="false" ht="12.8" hidden="false" customHeight="false" outlineLevel="0" collapsed="false">
      <c r="B9009" s="0" t="s">
        <v>14</v>
      </c>
    </row>
    <row r="9010" customFormat="false" ht="12.8" hidden="false" customHeight="false" outlineLevel="0" collapsed="false">
      <c r="B9010" s="0" t="s">
        <v>2773</v>
      </c>
    </row>
    <row r="9012" customFormat="false" ht="12.8" hidden="false" customHeight="false" outlineLevel="0" collapsed="false">
      <c r="A9012" s="0" t="s">
        <v>3708</v>
      </c>
      <c r="B9012" s="0" t="str">
        <f aca="false">HYPERLINK("https://lindat.mff.cuni.cz/services/teitok/pdtc10/index.php?action=vallex&amp;frame=v-w987f1", "frustrovat (v-w987f1)")</f>
        <v>frustrovat (v-w987f1)</v>
      </c>
    </row>
    <row r="9013" customFormat="false" ht="12.8" hidden="false" customHeight="false" outlineLevel="0" collapsed="false">
      <c r="B9013" s="0" t="s">
        <v>7</v>
      </c>
      <c r="C9013" s="0" t="s">
        <v>3709</v>
      </c>
      <c r="D9013" s="0" t="s">
        <v>3710</v>
      </c>
      <c r="E9013" s="0" t="s">
        <v>3711</v>
      </c>
      <c r="F9013" s="0" t="s">
        <v>3711</v>
      </c>
    </row>
    <row r="9014" customFormat="false" ht="12.8" hidden="false" customHeight="false" outlineLevel="0" collapsed="false">
      <c r="B9014" s="0" t="s">
        <v>14</v>
      </c>
      <c r="C9014" s="0" t="s">
        <v>78</v>
      </c>
      <c r="D9014" s="0" t="s">
        <v>3712</v>
      </c>
      <c r="E9014" s="0" t="s">
        <v>461</v>
      </c>
      <c r="F9014" s="0" t="s">
        <v>461</v>
      </c>
    </row>
    <row r="9016" customFormat="false" ht="12.8" hidden="false" customHeight="false" outlineLevel="0" collapsed="false">
      <c r="A9016" s="0" t="s">
        <v>3713</v>
      </c>
      <c r="B9016" s="0" t="str">
        <f aca="false">HYPERLINK("https://lindat.mff.cuni.cz/services/teitok/pdtc10/index.php?action=vallex&amp;frame=v-w990f1", "fungovat (v-w990f1)")</f>
        <v>fungovat (v-w990f1)</v>
      </c>
    </row>
    <row r="9017" customFormat="false" ht="12.8" hidden="false" customHeight="false" outlineLevel="0" collapsed="false">
      <c r="B9017" s="0" t="s">
        <v>7</v>
      </c>
      <c r="C9017" s="0" t="s">
        <v>3714</v>
      </c>
      <c r="D9017" s="0" t="s">
        <v>868</v>
      </c>
      <c r="E9017" s="0" t="s">
        <v>868</v>
      </c>
      <c r="F9017" s="0" t="s">
        <v>868</v>
      </c>
    </row>
    <row r="9019" customFormat="false" ht="12.8" hidden="false" customHeight="false" outlineLevel="0" collapsed="false">
      <c r="A9019" s="0" t="s">
        <v>3715</v>
      </c>
      <c r="B9019" s="0" t="str">
        <f aca="false">HYPERLINK("https://lindat.mff.cuni.cz/services/teitok/pdtc10/index.php?action=vallex&amp;frame=v-w990f2", "fungovat (v-w990f2)")</f>
        <v>fungovat (v-w990f2)</v>
      </c>
    </row>
    <row r="9020" customFormat="false" ht="12.8" hidden="false" customHeight="false" outlineLevel="0" collapsed="false">
      <c r="B9020" s="0" t="s">
        <v>7</v>
      </c>
      <c r="C9020" s="0" t="s">
        <v>3716</v>
      </c>
      <c r="D9020" s="0" t="s">
        <v>3585</v>
      </c>
      <c r="E9020" s="0" t="s">
        <v>3585</v>
      </c>
      <c r="F9020" s="0" t="s">
        <v>3585</v>
      </c>
    </row>
    <row r="9022" customFormat="false" ht="12.8" hidden="false" customHeight="false" outlineLevel="0" collapsed="false">
      <c r="A9022" s="0" t="s">
        <v>3717</v>
      </c>
      <c r="B9022" s="0" t="str">
        <f aca="false">HYPERLINK("https://lindat.mff.cuni.cz/services/teitok/pdtc10/index.php?action=vallex&amp;frame=v-w990f3", "fungovat (v-w990f3)")</f>
        <v>fungovat (v-w990f3)</v>
      </c>
    </row>
    <row r="9023" customFormat="false" ht="12.8" hidden="false" customHeight="false" outlineLevel="0" collapsed="false">
      <c r="B9023" s="0" t="s">
        <v>7</v>
      </c>
      <c r="C9023" s="0" t="s">
        <v>1509</v>
      </c>
      <c r="D9023" s="0" t="s">
        <v>868</v>
      </c>
      <c r="E9023" s="0" t="s">
        <v>868</v>
      </c>
      <c r="F9023" s="0" t="s">
        <v>868</v>
      </c>
    </row>
    <row r="9025" customFormat="false" ht="12.8" hidden="false" customHeight="false" outlineLevel="0" collapsed="false">
      <c r="A9025" s="0" t="s">
        <v>3718</v>
      </c>
      <c r="B9025" s="0" t="str">
        <f aca="false">HYPERLINK("https://lindat.mff.cuni.cz/services/teitok/pdtc10/index.php?action=vallex&amp;frame=v-w11511_ZUf1_ZU", "funět (v-w11511_ZUf1_ZU)")</f>
        <v>funět (v-w11511_ZUf1_ZU)</v>
      </c>
    </row>
    <row r="9026" customFormat="false" ht="12.8" hidden="false" customHeight="false" outlineLevel="0" collapsed="false">
      <c r="B9026" s="0" t="s">
        <v>7</v>
      </c>
    </row>
    <row r="9028" customFormat="false" ht="12.8" hidden="false" customHeight="false" outlineLevel="0" collapsed="false">
      <c r="A9028" s="0" t="s">
        <v>3719</v>
      </c>
      <c r="B9028" s="0" t="str">
        <f aca="false">HYPERLINK("https://lindat.mff.cuni.cz/services/teitok/pdtc10/index.php?action=vallex&amp;frame=v-w11511_ZUf2_ZU", "funět (v-w11511_ZUf2_ZU)")</f>
        <v>funět (v-w11511_ZUf2_ZU)</v>
      </c>
    </row>
    <row r="9029" customFormat="false" ht="12.8" hidden="false" customHeight="false" outlineLevel="0" collapsed="false">
      <c r="B9029" s="0" t="s">
        <v>7</v>
      </c>
    </row>
    <row r="9031" customFormat="false" ht="12.8" hidden="false" customHeight="false" outlineLevel="0" collapsed="false">
      <c r="A9031" s="0" t="s">
        <v>3720</v>
      </c>
      <c r="B9031" s="0" t="str">
        <f aca="false">HYPERLINK("https://lindat.mff.cuni.cz/services/teitok/pdtc10/index.php?action=vallex&amp;frame=v-w10507f2", "fušovat (v-w10507f2)")</f>
        <v>fušovat (v-w10507f2)</v>
      </c>
    </row>
    <row r="9032" customFormat="false" ht="12.8" hidden="false" customHeight="false" outlineLevel="0" collapsed="false">
      <c r="B9032" s="0" t="s">
        <v>7</v>
      </c>
      <c r="C9032" s="0" t="s">
        <v>46</v>
      </c>
      <c r="D9032" s="0" t="s">
        <v>46</v>
      </c>
      <c r="E9032" s="0" t="s">
        <v>46</v>
      </c>
      <c r="F9032" s="0" t="s">
        <v>46</v>
      </c>
    </row>
    <row r="9033" customFormat="false" ht="12.8" hidden="false" customHeight="false" outlineLevel="0" collapsed="false">
      <c r="B9033" s="0" t="s">
        <v>985</v>
      </c>
      <c r="C9033" s="0" t="s">
        <v>74</v>
      </c>
      <c r="D9033" s="0" t="s">
        <v>78</v>
      </c>
      <c r="E9033" s="0" t="s">
        <v>78</v>
      </c>
      <c r="F9033" s="0" t="s">
        <v>78</v>
      </c>
    </row>
    <row r="9035" customFormat="false" ht="12.8" hidden="false" customHeight="false" outlineLevel="0" collapsed="false">
      <c r="A9035" s="0" t="s">
        <v>3721</v>
      </c>
      <c r="B9035" s="0" t="str">
        <f aca="false">HYPERLINK("https://lindat.mff.cuni.cz/services/teitok/pdtc10/index.php?action=vallex&amp;frame=v-w12138_ZUf1_ZU", "fárat (v-w12138_ZUf1_ZU)")</f>
        <v>fárat (v-w12138_ZUf1_ZU)</v>
      </c>
    </row>
    <row r="9036" customFormat="false" ht="12.8" hidden="false" customHeight="false" outlineLevel="0" collapsed="false">
      <c r="B9036" s="0" t="s">
        <v>7</v>
      </c>
    </row>
    <row r="9038" customFormat="false" ht="12.8" hidden="false" customHeight="false" outlineLevel="0" collapsed="false">
      <c r="A9038" s="0" t="s">
        <v>3722</v>
      </c>
      <c r="B9038" s="0" t="str">
        <f aca="false">HYPERLINK("https://lindat.mff.cuni.cz/services/teitok/pdtc10/index.php?action=vallex&amp;frame=v-w993f2", "fúzovat (v-w993f2)")</f>
        <v>fúzovat (v-w993f2)</v>
      </c>
    </row>
    <row r="9039" customFormat="false" ht="12.8" hidden="false" customHeight="false" outlineLevel="0" collapsed="false">
      <c r="B9039" s="0" t="s">
        <v>7</v>
      </c>
    </row>
    <row r="9040" customFormat="false" ht="12.8" hidden="false" customHeight="false" outlineLevel="0" collapsed="false">
      <c r="B9040" s="0" t="s">
        <v>14</v>
      </c>
    </row>
    <row r="9041" customFormat="false" ht="12.8" hidden="false" customHeight="false" outlineLevel="0" collapsed="false">
      <c r="B9041" s="0" t="s">
        <v>3086</v>
      </c>
    </row>
    <row r="9043" customFormat="false" ht="12.8" hidden="false" customHeight="false" outlineLevel="0" collapsed="false">
      <c r="A9043" s="0" t="s">
        <v>3723</v>
      </c>
      <c r="B9043" s="0" t="str">
        <f aca="false">HYPERLINK("https://lindat.mff.cuni.cz/services/teitok/pdtc10/index.php?action=vallex&amp;frame=v-w993f1", "fúzovat (v-w993f1)")</f>
        <v>fúzovat (v-w993f1)</v>
      </c>
    </row>
    <row r="9044" customFormat="false" ht="12.8" hidden="false" customHeight="false" outlineLevel="0" collapsed="false">
      <c r="B9044" s="0" t="s">
        <v>7</v>
      </c>
    </row>
    <row r="9045" customFormat="false" ht="12.8" hidden="false" customHeight="false" outlineLevel="0" collapsed="false">
      <c r="B9045" s="0" t="s">
        <v>548</v>
      </c>
    </row>
    <row r="9046" customFormat="false" ht="12.8" hidden="false" customHeight="false" outlineLevel="0" collapsed="false">
      <c r="B9046" s="0" t="s">
        <v>2571</v>
      </c>
    </row>
    <row r="9048" customFormat="false" ht="12.8" hidden="false" customHeight="false" outlineLevel="0" collapsed="false">
      <c r="A9048" s="0" t="s">
        <v>3724</v>
      </c>
      <c r="B9048" s="0" t="str">
        <f aca="false">HYPERLINK("https://lindat.mff.cuni.cz/services/teitok/pdtc10/index.php?action=vallex&amp;frame=v-w997f1", "garantovat (v-w997f1)")</f>
        <v>garantovat (v-w997f1)</v>
      </c>
    </row>
    <row r="9049" customFormat="false" ht="12.8" hidden="false" customHeight="false" outlineLevel="0" collapsed="false">
      <c r="B9049" s="0" t="s">
        <v>7</v>
      </c>
      <c r="C9049" s="0" t="s">
        <v>43</v>
      </c>
      <c r="D9049" s="0" t="s">
        <v>428</v>
      </c>
      <c r="E9049" s="0" t="s">
        <v>428</v>
      </c>
      <c r="F9049" s="0" t="s">
        <v>428</v>
      </c>
    </row>
    <row r="9050" customFormat="false" ht="12.8" hidden="false" customHeight="false" outlineLevel="0" collapsed="false">
      <c r="B9050" s="0" t="s">
        <v>14</v>
      </c>
      <c r="C9050" s="0" t="s">
        <v>3725</v>
      </c>
      <c r="D9050" s="0" t="s">
        <v>1467</v>
      </c>
      <c r="E9050" s="0" t="s">
        <v>1467</v>
      </c>
      <c r="F9050" s="0" t="s">
        <v>1467</v>
      </c>
    </row>
    <row r="9051" customFormat="false" ht="12.8" hidden="false" customHeight="false" outlineLevel="0" collapsed="false">
      <c r="B9051" s="0" t="s">
        <v>3012</v>
      </c>
      <c r="C9051" s="0" t="s">
        <v>3288</v>
      </c>
      <c r="D9051" s="0" t="s">
        <v>3288</v>
      </c>
      <c r="E9051" s="0" t="s">
        <v>3288</v>
      </c>
      <c r="F9051" s="0" t="s">
        <v>3288</v>
      </c>
    </row>
    <row r="9053" customFormat="false" ht="12.8" hidden="false" customHeight="false" outlineLevel="0" collapsed="false">
      <c r="A9053" s="0" t="s">
        <v>3726</v>
      </c>
      <c r="B9053" s="0" t="str">
        <f aca="false">HYPERLINK("https://lindat.mff.cuni.cz/services/teitok/pdtc10/index.php?action=vallex&amp;frame=v-w10594f2", "generalizovat (v-w10594f2)")</f>
        <v>generalizovat (v-w10594f2)</v>
      </c>
    </row>
    <row r="9054" customFormat="false" ht="12.8" hidden="false" customHeight="false" outlineLevel="0" collapsed="false">
      <c r="B9054" s="0" t="s">
        <v>7</v>
      </c>
    </row>
    <row r="9055" customFormat="false" ht="12.8" hidden="false" customHeight="false" outlineLevel="0" collapsed="false">
      <c r="B9055" s="0" t="s">
        <v>14</v>
      </c>
      <c r="D9055" s="0" t="s">
        <v>155</v>
      </c>
      <c r="E9055" s="0" t="s">
        <v>155</v>
      </c>
      <c r="F9055" s="0" t="s">
        <v>155</v>
      </c>
    </row>
    <row r="9057" customFormat="false" ht="12.8" hidden="false" customHeight="false" outlineLevel="0" collapsed="false">
      <c r="A9057" s="0" t="s">
        <v>3727</v>
      </c>
      <c r="B9057" s="0" t="str">
        <f aca="false">HYPERLINK("https://lindat.mff.cuni.cz/services/teitok/pdtc10/index.php?action=vallex&amp;frame=v-w10732f2", "generovat (v-w10732f2)")</f>
        <v>generovat (v-w10732f2)</v>
      </c>
    </row>
    <row r="9058" customFormat="false" ht="12.8" hidden="false" customHeight="false" outlineLevel="0" collapsed="false">
      <c r="B9058" s="0" t="s">
        <v>7</v>
      </c>
      <c r="C9058" s="0" t="s">
        <v>3610</v>
      </c>
      <c r="D9058" s="0" t="s">
        <v>3728</v>
      </c>
      <c r="E9058" s="0" t="s">
        <v>3728</v>
      </c>
      <c r="F9058" s="0" t="s">
        <v>3728</v>
      </c>
    </row>
    <row r="9059" customFormat="false" ht="12.8" hidden="false" customHeight="false" outlineLevel="0" collapsed="false">
      <c r="B9059" s="0" t="s">
        <v>14</v>
      </c>
      <c r="C9059" s="0" t="s">
        <v>324</v>
      </c>
      <c r="D9059" s="0" t="s">
        <v>3729</v>
      </c>
      <c r="E9059" s="0" t="s">
        <v>3729</v>
      </c>
      <c r="F9059" s="0" t="s">
        <v>3729</v>
      </c>
    </row>
    <row r="9061" customFormat="false" ht="12.8" hidden="false" customHeight="false" outlineLevel="0" collapsed="false">
      <c r="A9061" s="0" t="s">
        <v>3730</v>
      </c>
      <c r="B9061" s="0" t="str">
        <f aca="false">HYPERLINK("https://lindat.mff.cuni.cz/services/teitok/pdtc10/index.php?action=vallex&amp;frame=v-w10169f2", "gestikulovat (v-w10169f2)")</f>
        <v>gestikulovat (v-w10169f2)</v>
      </c>
    </row>
    <row r="9062" customFormat="false" ht="12.8" hidden="false" customHeight="false" outlineLevel="0" collapsed="false">
      <c r="B9062" s="0" t="s">
        <v>7</v>
      </c>
      <c r="C9062" s="0" t="s">
        <v>191</v>
      </c>
      <c r="D9062" s="0" t="s">
        <v>335</v>
      </c>
      <c r="E9062" s="0" t="s">
        <v>335</v>
      </c>
      <c r="F9062" s="0" t="s">
        <v>335</v>
      </c>
    </row>
    <row r="9064" customFormat="false" ht="12.8" hidden="false" customHeight="false" outlineLevel="0" collapsed="false">
      <c r="A9064" s="0" t="s">
        <v>3731</v>
      </c>
      <c r="B9064" s="0" t="str">
        <f aca="false">HYPERLINK("https://lindat.mff.cuni.cz/services/teitok/pdtc10/index.php?action=vallex&amp;frame=v-w10169hsa_1120", "gestikulovat (v-w10169hsa_1120)")</f>
        <v>gestikulovat (v-w10169hsa_1120)</v>
      </c>
    </row>
    <row r="9065" customFormat="false" ht="12.8" hidden="false" customHeight="false" outlineLevel="0" collapsed="false">
      <c r="B9065" s="0" t="s">
        <v>7</v>
      </c>
    </row>
    <row r="9066" customFormat="false" ht="12.8" hidden="false" customHeight="false" outlineLevel="0" collapsed="false">
      <c r="B9066" s="0" t="s">
        <v>122</v>
      </c>
    </row>
    <row r="9067" customFormat="false" ht="12.8" hidden="false" customHeight="false" outlineLevel="0" collapsed="false">
      <c r="B9067" s="0" t="s">
        <v>3732</v>
      </c>
    </row>
    <row r="9069" customFormat="false" ht="12.8" hidden="false" customHeight="false" outlineLevel="0" collapsed="false">
      <c r="A9069" s="0" t="s">
        <v>3733</v>
      </c>
      <c r="B9069" s="0" t="str">
        <f aca="false">HYPERLINK("https://lindat.mff.cuni.cz/services/teitok/pdtc10/index.php?action=vallex&amp;frame=v-w1002f1", "glajchšaltovat (v-w1002f1)")</f>
        <v>glajchšaltovat (v-w1002f1)</v>
      </c>
    </row>
    <row r="9070" customFormat="false" ht="12.8" hidden="false" customHeight="false" outlineLevel="0" collapsed="false">
      <c r="B9070" s="0" t="s">
        <v>7</v>
      </c>
    </row>
    <row r="9071" customFormat="false" ht="12.8" hidden="false" customHeight="false" outlineLevel="0" collapsed="false">
      <c r="B9071" s="0" t="s">
        <v>14</v>
      </c>
    </row>
    <row r="9073" customFormat="false" ht="12.8" hidden="false" customHeight="false" outlineLevel="0" collapsed="false">
      <c r="A9073" s="0" t="s">
        <v>3734</v>
      </c>
      <c r="B9073" s="0" t="str">
        <f aca="false">HYPERLINK("https://lindat.mff.cuni.cz/services/teitok/pdtc10/index.php?action=vallex&amp;frame=v-w1003f1", "globalizovat (v-w1003f1)")</f>
        <v>globalizovat (v-w1003f1)</v>
      </c>
    </row>
    <row r="9074" customFormat="false" ht="12.8" hidden="false" customHeight="false" outlineLevel="0" collapsed="false">
      <c r="B9074" s="0" t="s">
        <v>7</v>
      </c>
    </row>
    <row r="9075" customFormat="false" ht="12.8" hidden="false" customHeight="false" outlineLevel="0" collapsed="false">
      <c r="B9075" s="0" t="s">
        <v>14</v>
      </c>
    </row>
    <row r="9077" customFormat="false" ht="12.8" hidden="false" customHeight="false" outlineLevel="0" collapsed="false">
      <c r="A9077" s="0" t="s">
        <v>3735</v>
      </c>
      <c r="B9077" s="0" t="str">
        <f aca="false">HYPERLINK("https://lindat.mff.cuni.cz/services/teitok/pdtc10/index.php?action=vallex&amp;frame=v-w1004f1", "glosovat (v-w1004f1)")</f>
        <v>glosovat (v-w1004f1)</v>
      </c>
    </row>
    <row r="9078" customFormat="false" ht="12.8" hidden="false" customHeight="false" outlineLevel="0" collapsed="false">
      <c r="B9078" s="0" t="s">
        <v>7</v>
      </c>
    </row>
    <row r="9079" customFormat="false" ht="12.8" hidden="false" customHeight="false" outlineLevel="0" collapsed="false">
      <c r="B9079" s="0" t="s">
        <v>367</v>
      </c>
    </row>
    <row r="9081" customFormat="false" ht="12.8" hidden="false" customHeight="false" outlineLevel="0" collapsed="false">
      <c r="A9081" s="0" t="s">
        <v>3736</v>
      </c>
      <c r="B9081" s="0" t="str">
        <f aca="false">HYPERLINK("https://lindat.mff.cuni.cz/services/teitok/pdtc10/index.php?action=vallex&amp;frame=v-w1008f1", "gratulovat (v-w1008f1)")</f>
        <v>gratulovat (v-w1008f1)</v>
      </c>
    </row>
    <row r="9082" customFormat="false" ht="12.8" hidden="false" customHeight="false" outlineLevel="0" collapsed="false">
      <c r="B9082" s="0" t="s">
        <v>7</v>
      </c>
      <c r="C9082" s="0" t="s">
        <v>46</v>
      </c>
      <c r="D9082" s="0" t="s">
        <v>46</v>
      </c>
      <c r="E9082" s="0" t="s">
        <v>46</v>
      </c>
      <c r="F9082" s="0" t="s">
        <v>46</v>
      </c>
    </row>
    <row r="9083" customFormat="false" ht="12.8" hidden="false" customHeight="false" outlineLevel="0" collapsed="false">
      <c r="B9083" s="0" t="s">
        <v>237</v>
      </c>
      <c r="C9083" s="0" t="s">
        <v>1544</v>
      </c>
      <c r="D9083" s="0" t="s">
        <v>1544</v>
      </c>
      <c r="E9083" s="0" t="s">
        <v>1544</v>
      </c>
      <c r="F9083" s="0" t="s">
        <v>1544</v>
      </c>
    </row>
    <row r="9084" customFormat="false" ht="12.8" hidden="false" customHeight="false" outlineLevel="0" collapsed="false">
      <c r="B9084" s="0" t="s">
        <v>48</v>
      </c>
      <c r="C9084" s="0" t="s">
        <v>2004</v>
      </c>
      <c r="D9084" s="0" t="s">
        <v>2004</v>
      </c>
      <c r="E9084" s="0" t="s">
        <v>2004</v>
      </c>
      <c r="F9084" s="0" t="s">
        <v>2004</v>
      </c>
    </row>
    <row r="9086" customFormat="false" ht="12.8" hidden="false" customHeight="false" outlineLevel="0" collapsed="false">
      <c r="A9086" s="0" t="s">
        <v>3737</v>
      </c>
      <c r="B9086" s="0" t="str">
        <f aca="false">HYPERLINK("https://lindat.mff.cuni.cz/services/teitok/pdtc10/index.php?action=vallex&amp;frame=v-whsa_1642f1_ZU", "grilovat (v-whsa_1642f1_ZU)")</f>
        <v>grilovat (v-whsa_1642f1_ZU)</v>
      </c>
    </row>
    <row r="9087" customFormat="false" ht="12.8" hidden="false" customHeight="false" outlineLevel="0" collapsed="false">
      <c r="B9087" s="0" t="s">
        <v>7</v>
      </c>
    </row>
    <row r="9088" customFormat="false" ht="12.8" hidden="false" customHeight="false" outlineLevel="0" collapsed="false">
      <c r="B9088" s="0" t="s">
        <v>14</v>
      </c>
    </row>
    <row r="9090" customFormat="false" ht="12.8" hidden="false" customHeight="false" outlineLevel="0" collapsed="false">
      <c r="A9090" s="0" t="s">
        <v>3737</v>
      </c>
      <c r="B9090" s="0" t="str">
        <f aca="false">HYPERLINK("https://lindat.mff.cuni.cz/services/teitok/pdtc10/index.php?action=vallex&amp;frame=v-whsa_1642hsa_1643", "grilovat (v-whsa_1642hsa_1643) - substituted with v-whsa_1642f1_ZU")</f>
        <v>grilovat (v-whsa_1642hsa_1643) - substituted with v-whsa_1642f1_ZU</v>
      </c>
    </row>
    <row r="9091" customFormat="false" ht="12.8" hidden="false" customHeight="false" outlineLevel="0" collapsed="false">
      <c r="B9091" s="0" t="s">
        <v>7</v>
      </c>
    </row>
    <row r="9092" customFormat="false" ht="12.8" hidden="false" customHeight="false" outlineLevel="0" collapsed="false">
      <c r="B9092" s="0" t="s">
        <v>14</v>
      </c>
    </row>
    <row r="9094" customFormat="false" ht="12.8" hidden="false" customHeight="false" outlineLevel="0" collapsed="false">
      <c r="A9094" s="0" t="s">
        <v>3738</v>
      </c>
      <c r="B9094" s="0" t="str">
        <f aca="false">HYPERLINK("https://lindat.mff.cuni.cz/services/teitok/pdtc10/index.php?action=vallex&amp;frame=v-w1010f1", "habilitovat (v-w1010f1)")</f>
        <v>habilitovat (v-w1010f1)</v>
      </c>
    </row>
    <row r="9095" customFormat="false" ht="12.8" hidden="false" customHeight="false" outlineLevel="0" collapsed="false">
      <c r="B9095" s="0" t="s">
        <v>7</v>
      </c>
    </row>
    <row r="9096" customFormat="false" ht="12.8" hidden="false" customHeight="false" outlineLevel="0" collapsed="false">
      <c r="B9096" s="0" t="s">
        <v>14</v>
      </c>
    </row>
    <row r="9098" customFormat="false" ht="12.8" hidden="false" customHeight="false" outlineLevel="0" collapsed="false">
      <c r="A9098" s="0" t="s">
        <v>3739</v>
      </c>
      <c r="B9098" s="0" t="str">
        <f aca="false">HYPERLINK("https://lindat.mff.cuni.cz/services/teitok/pdtc10/index.php?action=vallex&amp;frame=v-w1011f1", "habilitovat se (v-w1011f1)")</f>
        <v>habilitovat se (v-w1011f1)</v>
      </c>
    </row>
    <row r="9099" customFormat="false" ht="12.8" hidden="false" customHeight="false" outlineLevel="0" collapsed="false">
      <c r="B9099" s="0" t="s">
        <v>7</v>
      </c>
    </row>
    <row r="9101" customFormat="false" ht="12.8" hidden="false" customHeight="false" outlineLevel="0" collapsed="false">
      <c r="A9101" s="0" t="s">
        <v>3740</v>
      </c>
      <c r="B9101" s="0" t="str">
        <f aca="false">HYPERLINK("https://lindat.mff.cuni.cz/services/teitok/pdtc10/index.php?action=vallex&amp;frame=v-w10416f2", "halit (v-w10416f2)")</f>
        <v>halit (v-w10416f2)</v>
      </c>
    </row>
    <row r="9102" customFormat="false" ht="12.8" hidden="false" customHeight="false" outlineLevel="0" collapsed="false">
      <c r="B9102" s="0" t="s">
        <v>7</v>
      </c>
      <c r="C9102" s="0" t="s">
        <v>191</v>
      </c>
      <c r="D9102" s="0" t="s">
        <v>3741</v>
      </c>
      <c r="E9102" s="0" t="s">
        <v>3741</v>
      </c>
      <c r="F9102" s="0" t="s">
        <v>3741</v>
      </c>
    </row>
    <row r="9103" customFormat="false" ht="12.8" hidden="false" customHeight="false" outlineLevel="0" collapsed="false">
      <c r="B9103" s="0" t="s">
        <v>3742</v>
      </c>
      <c r="C9103" s="0" t="s">
        <v>155</v>
      </c>
      <c r="D9103" s="0" t="s">
        <v>384</v>
      </c>
      <c r="E9103" s="0" t="s">
        <v>384</v>
      </c>
      <c r="F9103" s="0" t="s">
        <v>384</v>
      </c>
    </row>
    <row r="9104" customFormat="false" ht="12.8" hidden="false" customHeight="false" outlineLevel="0" collapsed="false">
      <c r="B9104" s="0" t="s">
        <v>3743</v>
      </c>
    </row>
    <row r="9106" customFormat="false" ht="12.8" hidden="false" customHeight="false" outlineLevel="0" collapsed="false">
      <c r="A9106" s="0" t="s">
        <v>3744</v>
      </c>
      <c r="B9106" s="0" t="str">
        <f aca="false">HYPERLINK("https://lindat.mff.cuni.cz/services/teitok/pdtc10/index.php?action=vallex&amp;frame=v-w11712_ZUf1_ZU", "halit se (v-w11712_ZUf1_ZU)")</f>
        <v>halit se (v-w11712_ZUf1_ZU)</v>
      </c>
    </row>
    <row r="9107" customFormat="false" ht="12.8" hidden="false" customHeight="false" outlineLevel="0" collapsed="false">
      <c r="B9107" s="0" t="s">
        <v>7</v>
      </c>
    </row>
    <row r="9108" customFormat="false" ht="12.8" hidden="false" customHeight="false" outlineLevel="0" collapsed="false">
      <c r="B9108" s="0" t="s">
        <v>3745</v>
      </c>
    </row>
    <row r="9110" customFormat="false" ht="12.8" hidden="false" customHeight="false" outlineLevel="0" collapsed="false">
      <c r="A9110" s="0" t="s">
        <v>3746</v>
      </c>
      <c r="B9110" s="0" t="str">
        <f aca="false">HYPERLINK("https://lindat.mff.cuni.cz/services/teitok/pdtc10/index.php?action=vallex&amp;frame=v-w1020f1", "handicapovat (v-w1020f1)")</f>
        <v>handicapovat (v-w1020f1)</v>
      </c>
    </row>
    <row r="9111" customFormat="false" ht="12.8" hidden="false" customHeight="false" outlineLevel="0" collapsed="false">
      <c r="B9111" s="0" t="s">
        <v>7</v>
      </c>
    </row>
    <row r="9112" customFormat="false" ht="12.8" hidden="false" customHeight="false" outlineLevel="0" collapsed="false">
      <c r="B9112" s="0" t="s">
        <v>14</v>
      </c>
    </row>
    <row r="9114" customFormat="false" ht="12.8" hidden="false" customHeight="false" outlineLevel="0" collapsed="false">
      <c r="A9114" s="0" t="s">
        <v>3747</v>
      </c>
      <c r="B9114" s="0" t="str">
        <f aca="false">HYPERLINK("https://lindat.mff.cuni.cz/services/teitok/pdtc10/index.php?action=vallex&amp;frame=v-w11467f1", "handrkovat se (v-w11467f1)")</f>
        <v>handrkovat se (v-w11467f1)</v>
      </c>
    </row>
    <row r="9115" customFormat="false" ht="12.8" hidden="false" customHeight="false" outlineLevel="0" collapsed="false">
      <c r="B9115" s="0" t="s">
        <v>7</v>
      </c>
      <c r="C9115" s="0" t="s">
        <v>118</v>
      </c>
      <c r="D9115" s="0" t="s">
        <v>108</v>
      </c>
      <c r="E9115" s="0" t="s">
        <v>108</v>
      </c>
      <c r="F9115" s="0" t="s">
        <v>108</v>
      </c>
    </row>
    <row r="9116" customFormat="false" ht="12.8" hidden="false" customHeight="false" outlineLevel="0" collapsed="false">
      <c r="B9116" s="0" t="s">
        <v>207</v>
      </c>
    </row>
    <row r="9117" customFormat="false" ht="12.8" hidden="false" customHeight="false" outlineLevel="0" collapsed="false">
      <c r="B9117" s="0" t="s">
        <v>3748</v>
      </c>
      <c r="D9117" s="0" t="s">
        <v>1809</v>
      </c>
      <c r="E9117" s="0" t="s">
        <v>1809</v>
      </c>
      <c r="F9117" s="0" t="s">
        <v>1809</v>
      </c>
    </row>
    <row r="9119" customFormat="false" ht="12.8" hidden="false" customHeight="false" outlineLevel="0" collapsed="false">
      <c r="A9119" s="0" t="s">
        <v>3749</v>
      </c>
      <c r="B9119" s="0" t="str">
        <f aca="false">HYPERLINK("https://lindat.mff.cuni.cz/services/teitok/pdtc10/index.php?action=vallex&amp;frame=v-w1022f1", "hanobit (v-w1022f1)")</f>
        <v>hanobit (v-w1022f1)</v>
      </c>
    </row>
    <row r="9120" customFormat="false" ht="12.8" hidden="false" customHeight="false" outlineLevel="0" collapsed="false">
      <c r="B9120" s="0" t="s">
        <v>7</v>
      </c>
      <c r="D9120" s="0" t="s">
        <v>3243</v>
      </c>
      <c r="E9120" s="0" t="s">
        <v>3243</v>
      </c>
      <c r="F9120" s="0" t="s">
        <v>3243</v>
      </c>
    </row>
    <row r="9121" customFormat="false" ht="12.8" hidden="false" customHeight="false" outlineLevel="0" collapsed="false">
      <c r="B9121" s="0" t="s">
        <v>14</v>
      </c>
      <c r="D9121" s="0" t="s">
        <v>3750</v>
      </c>
      <c r="E9121" s="0" t="s">
        <v>3750</v>
      </c>
      <c r="F9121" s="0" t="s">
        <v>3750</v>
      </c>
    </row>
    <row r="9123" customFormat="false" ht="12.8" hidden="false" customHeight="false" outlineLevel="0" collapsed="false">
      <c r="A9123" s="0" t="s">
        <v>3751</v>
      </c>
      <c r="B9123" s="0" t="str">
        <f aca="false">HYPERLINK("https://lindat.mff.cuni.cz/services/teitok/pdtc10/index.php?action=vallex&amp;frame=v-whsa_455hsa_456", "hanět (v-whsa_455hsa_456)")</f>
        <v>hanět (v-whsa_455hsa_456)</v>
      </c>
    </row>
    <row r="9124" customFormat="false" ht="12.8" hidden="false" customHeight="false" outlineLevel="0" collapsed="false">
      <c r="B9124" s="0" t="s">
        <v>7</v>
      </c>
      <c r="D9124" s="0" t="s">
        <v>1263</v>
      </c>
      <c r="E9124" s="0" t="s">
        <v>1263</v>
      </c>
      <c r="F9124" s="0" t="s">
        <v>1263</v>
      </c>
    </row>
    <row r="9125" customFormat="false" ht="12.8" hidden="false" customHeight="false" outlineLevel="0" collapsed="false">
      <c r="B9125" s="0" t="s">
        <v>14</v>
      </c>
      <c r="C9125" s="0" t="s">
        <v>47</v>
      </c>
      <c r="D9125" s="0" t="s">
        <v>3752</v>
      </c>
      <c r="E9125" s="0" t="s">
        <v>3752</v>
      </c>
      <c r="F9125" s="0" t="s">
        <v>3752</v>
      </c>
    </row>
    <row r="9127" customFormat="false" ht="12.8" hidden="false" customHeight="false" outlineLevel="0" collapsed="false">
      <c r="A9127" s="0" t="s">
        <v>3753</v>
      </c>
      <c r="B9127" s="0" t="str">
        <f aca="false">HYPERLINK("https://lindat.mff.cuni.cz/services/teitok/pdtc10/index.php?action=vallex&amp;frame=v-w12064_ZUf1_ZU", "haprovat (v-w12064_ZUf1_ZU)")</f>
        <v>haprovat (v-w12064_ZUf1_ZU)</v>
      </c>
    </row>
    <row r="9128" customFormat="false" ht="12.8" hidden="false" customHeight="false" outlineLevel="0" collapsed="false">
      <c r="B9128" s="0" t="s">
        <v>7</v>
      </c>
    </row>
    <row r="9129" customFormat="false" ht="12.8" hidden="false" customHeight="false" outlineLevel="0" collapsed="false">
      <c r="B9129" s="0" t="s">
        <v>706</v>
      </c>
    </row>
    <row r="9131" customFormat="false" ht="12.8" hidden="false" customHeight="false" outlineLevel="0" collapsed="false">
      <c r="A9131" s="0" t="s">
        <v>3754</v>
      </c>
      <c r="B9131" s="0" t="str">
        <f aca="false">HYPERLINK("https://lindat.mff.cuni.cz/services/teitok/pdtc10/index.php?action=vallex&amp;frame=v-w1025f1", "harmonizovat (v-w1025f1)")</f>
        <v>harmonizovat (v-w1025f1)</v>
      </c>
    </row>
    <row r="9132" customFormat="false" ht="12.8" hidden="false" customHeight="false" outlineLevel="0" collapsed="false">
      <c r="B9132" s="0" t="s">
        <v>7</v>
      </c>
    </row>
    <row r="9133" customFormat="false" ht="12.8" hidden="false" customHeight="false" outlineLevel="0" collapsed="false">
      <c r="B9133" s="0" t="s">
        <v>14</v>
      </c>
    </row>
    <row r="9134" customFormat="false" ht="12.8" hidden="false" customHeight="false" outlineLevel="0" collapsed="false">
      <c r="B9134" s="0" t="s">
        <v>3086</v>
      </c>
    </row>
    <row r="9136" customFormat="false" ht="12.8" hidden="false" customHeight="false" outlineLevel="0" collapsed="false">
      <c r="A9136" s="0" t="s">
        <v>3755</v>
      </c>
      <c r="B9136" s="0" t="str">
        <f aca="false">HYPERLINK("https://lindat.mff.cuni.cz/services/teitok/pdtc10/index.php?action=vallex&amp;frame=v-w1027f1", "harmonovat (v-w1027f1)")</f>
        <v>harmonovat (v-w1027f1)</v>
      </c>
    </row>
    <row r="9137" customFormat="false" ht="12.8" hidden="false" customHeight="false" outlineLevel="0" collapsed="false">
      <c r="B9137" s="0" t="s">
        <v>7</v>
      </c>
    </row>
    <row r="9138" customFormat="false" ht="12.8" hidden="false" customHeight="false" outlineLevel="0" collapsed="false">
      <c r="B9138" s="0" t="s">
        <v>548</v>
      </c>
    </row>
    <row r="9140" customFormat="false" ht="12.8" hidden="false" customHeight="false" outlineLevel="0" collapsed="false">
      <c r="A9140" s="0" t="s">
        <v>3756</v>
      </c>
      <c r="B9140" s="0" t="str">
        <f aca="false">HYPERLINK("https://lindat.mff.cuni.cz/services/teitok/pdtc10/index.php?action=vallex&amp;frame=v-w1029f1", "hasit (v-w1029f1)")</f>
        <v>hasit (v-w1029f1)</v>
      </c>
    </row>
    <row r="9141" customFormat="false" ht="12.8" hidden="false" customHeight="false" outlineLevel="0" collapsed="false">
      <c r="B9141" s="0" t="s">
        <v>7</v>
      </c>
    </row>
    <row r="9142" customFormat="false" ht="12.8" hidden="false" customHeight="false" outlineLevel="0" collapsed="false">
      <c r="B9142" s="0" t="s">
        <v>14</v>
      </c>
    </row>
    <row r="9144" customFormat="false" ht="12.8" hidden="false" customHeight="false" outlineLevel="0" collapsed="false">
      <c r="A9144" s="0" t="s">
        <v>3757</v>
      </c>
      <c r="B9144" s="0" t="str">
        <f aca="false">HYPERLINK("https://lindat.mff.cuni.cz/services/teitok/pdtc10/index.php?action=vallex&amp;frame=v-w12007_ZUf1_ZU", "hauzírovat (v-w12007_ZUf1_ZU)")</f>
        <v>hauzírovat (v-w12007_ZUf1_ZU)</v>
      </c>
    </row>
    <row r="9145" customFormat="false" ht="12.8" hidden="false" customHeight="false" outlineLevel="0" collapsed="false">
      <c r="B9145" s="0" t="s">
        <v>7</v>
      </c>
    </row>
    <row r="9146" customFormat="false" ht="12.8" hidden="false" customHeight="false" outlineLevel="0" collapsed="false">
      <c r="B9146" s="0" t="s">
        <v>548</v>
      </c>
    </row>
    <row r="9148" customFormat="false" ht="12.8" hidden="false" customHeight="false" outlineLevel="0" collapsed="false">
      <c r="A9148" s="0" t="s">
        <v>3758</v>
      </c>
      <c r="B9148" s="0" t="str">
        <f aca="false">HYPERLINK("https://lindat.mff.cuni.cz/services/teitok/pdtc10/index.php?action=vallex&amp;frame=v-w1032f1", "havarovat (v-w1032f1)")</f>
        <v>havarovat (v-w1032f1)</v>
      </c>
    </row>
    <row r="9149" customFormat="false" ht="12.8" hidden="false" customHeight="false" outlineLevel="0" collapsed="false">
      <c r="B9149" s="0" t="s">
        <v>7</v>
      </c>
    </row>
    <row r="9151" customFormat="false" ht="12.8" hidden="false" customHeight="false" outlineLevel="0" collapsed="false">
      <c r="A9151" s="0" t="s">
        <v>3759</v>
      </c>
      <c r="B9151" s="0" t="str">
        <f aca="false">HYPERLINK("https://lindat.mff.cuni.cz/services/teitok/pdtc10/index.php?action=vallex&amp;frame=v-w1034f1", "hazardovat (v-w1034f1)")</f>
        <v>hazardovat (v-w1034f1)</v>
      </c>
    </row>
    <row r="9152" customFormat="false" ht="12.8" hidden="false" customHeight="false" outlineLevel="0" collapsed="false">
      <c r="B9152" s="0" t="s">
        <v>7</v>
      </c>
      <c r="C9152" s="0" t="s">
        <v>16</v>
      </c>
    </row>
    <row r="9153" customFormat="false" ht="12.8" hidden="false" customHeight="false" outlineLevel="0" collapsed="false">
      <c r="B9153" s="0" t="s">
        <v>3760</v>
      </c>
    </row>
    <row r="9155" customFormat="false" ht="12.8" hidden="false" customHeight="false" outlineLevel="0" collapsed="false">
      <c r="A9155" s="0" t="s">
        <v>3761</v>
      </c>
      <c r="B9155" s="0" t="str">
        <f aca="false">HYPERLINK("https://lindat.mff.cuni.cz/services/teitok/pdtc10/index.php?action=vallex&amp;frame=v-w11380f1", "hašteřit se (v-w11380f1)")</f>
        <v>hašteřit se (v-w11380f1)</v>
      </c>
    </row>
    <row r="9156" customFormat="false" ht="12.8" hidden="false" customHeight="false" outlineLevel="0" collapsed="false">
      <c r="B9156" s="0" t="s">
        <v>7</v>
      </c>
    </row>
    <row r="9157" customFormat="false" ht="12.8" hidden="false" customHeight="false" outlineLevel="0" collapsed="false">
      <c r="B9157" s="0" t="s">
        <v>207</v>
      </c>
    </row>
    <row r="9158" customFormat="false" ht="12.8" hidden="false" customHeight="false" outlineLevel="0" collapsed="false">
      <c r="B9158" s="0" t="s">
        <v>3748</v>
      </c>
    </row>
    <row r="9160" customFormat="false" ht="12.8" hidden="false" customHeight="false" outlineLevel="0" collapsed="false">
      <c r="A9160" s="0" t="s">
        <v>3762</v>
      </c>
      <c r="B9160" s="0" t="str">
        <f aca="false">HYPERLINK("https://lindat.mff.cuni.cz/services/teitok/pdtc10/index.php?action=vallex&amp;frame=v-w1037f1", "hecovat (v-w1037f1)")</f>
        <v>hecovat (v-w1037f1)</v>
      </c>
    </row>
    <row r="9161" customFormat="false" ht="12.8" hidden="false" customHeight="false" outlineLevel="0" collapsed="false">
      <c r="B9161" s="0" t="s">
        <v>7</v>
      </c>
    </row>
    <row r="9162" customFormat="false" ht="12.8" hidden="false" customHeight="false" outlineLevel="0" collapsed="false">
      <c r="B9162" s="0" t="s">
        <v>14</v>
      </c>
    </row>
    <row r="9164" customFormat="false" ht="12.8" hidden="false" customHeight="false" outlineLevel="0" collapsed="false">
      <c r="A9164" s="0" t="s">
        <v>3763</v>
      </c>
      <c r="B9164" s="0" t="str">
        <f aca="false">HYPERLINK("https://lindat.mff.cuni.cz/services/teitok/pdtc10/index.php?action=vallex&amp;frame=v-w1037f2_ZU", "hecovat (v-w1037f2_ZU)")</f>
        <v>hecovat (v-w1037f2_ZU)</v>
      </c>
    </row>
    <row r="9165" customFormat="false" ht="12.8" hidden="false" customHeight="false" outlineLevel="0" collapsed="false">
      <c r="B9165" s="0" t="s">
        <v>7</v>
      </c>
    </row>
    <row r="9166" customFormat="false" ht="12.8" hidden="false" customHeight="false" outlineLevel="0" collapsed="false">
      <c r="B9166" s="0" t="s">
        <v>81</v>
      </c>
    </row>
    <row r="9167" customFormat="false" ht="12.8" hidden="false" customHeight="false" outlineLevel="0" collapsed="false">
      <c r="B9167" s="0" t="s">
        <v>3764</v>
      </c>
    </row>
    <row r="9169" customFormat="false" ht="12.8" hidden="false" customHeight="false" outlineLevel="0" collapsed="false">
      <c r="A9169" s="0" t="s">
        <v>3765</v>
      </c>
      <c r="B9169" s="0" t="str">
        <f aca="false">HYPERLINK("https://lindat.mff.cuni.cz/services/teitok/pdtc10/index.php?action=vallex&amp;frame=v-w11512_ZUf1_ZU", "hejbat se (v-w11512_ZUf1_ZU)")</f>
        <v>hejbat se (v-w11512_ZUf1_ZU)</v>
      </c>
    </row>
    <row r="9170" customFormat="false" ht="12.8" hidden="false" customHeight="false" outlineLevel="0" collapsed="false">
      <c r="B9170" s="0" t="s">
        <v>7</v>
      </c>
    </row>
    <row r="9172" customFormat="false" ht="12.8" hidden="false" customHeight="false" outlineLevel="0" collapsed="false">
      <c r="A9172" s="0" t="s">
        <v>3766</v>
      </c>
      <c r="B9172" s="0" t="str">
        <f aca="false">HYPERLINK("https://lindat.mff.cuni.cz/services/teitok/pdtc10/index.php?action=vallex&amp;frame=v-w1040f1", "hemžit se (v-w1040f1)")</f>
        <v>hemžit se (v-w1040f1)</v>
      </c>
    </row>
    <row r="9173" customFormat="false" ht="12.8" hidden="false" customHeight="false" outlineLevel="0" collapsed="false">
      <c r="B9173" s="0" t="s">
        <v>7</v>
      </c>
    </row>
    <row r="9174" customFormat="false" ht="12.8" hidden="false" customHeight="false" outlineLevel="0" collapsed="false">
      <c r="B9174" s="0" t="s">
        <v>216</v>
      </c>
    </row>
    <row r="9176" customFormat="false" ht="12.8" hidden="false" customHeight="false" outlineLevel="0" collapsed="false">
      <c r="A9176" s="0" t="s">
        <v>3767</v>
      </c>
      <c r="B9176" s="0" t="str">
        <f aca="false">HYPERLINK("https://lindat.mff.cuni.cz/services/teitok/pdtc10/index.php?action=vallex&amp;frame=v-w1040f2", "hemžit se (v-w1040f2)")</f>
        <v>hemžit se (v-w1040f2)</v>
      </c>
    </row>
    <row r="9177" customFormat="false" ht="12.8" hidden="false" customHeight="false" outlineLevel="0" collapsed="false">
      <c r="B9177" s="0" t="s">
        <v>7</v>
      </c>
      <c r="F9177" s="0" t="s">
        <v>3768</v>
      </c>
    </row>
    <row r="9179" customFormat="false" ht="12.8" hidden="false" customHeight="false" outlineLevel="0" collapsed="false">
      <c r="A9179" s="0" t="s">
        <v>3769</v>
      </c>
      <c r="B9179" s="0" t="str">
        <f aca="false">HYPERLINK("https://lindat.mff.cuni.cz/services/teitok/pdtc10/index.php?action=vallex&amp;frame=v-w1040f3_ZU", "hemžit se (v-w1040f3_ZU)")</f>
        <v>hemžit se (v-w1040f3_ZU)</v>
      </c>
    </row>
    <row r="9180" customFormat="false" ht="12.8" hidden="false" customHeight="false" outlineLevel="0" collapsed="false">
      <c r="B9180" s="0" t="s">
        <v>3770</v>
      </c>
    </row>
    <row r="9181" customFormat="false" ht="12.8" hidden="false" customHeight="false" outlineLevel="0" collapsed="false">
      <c r="B9181" s="0" t="s">
        <v>3771</v>
      </c>
      <c r="C9181" s="0" t="s">
        <v>1605</v>
      </c>
    </row>
    <row r="9183" customFormat="false" ht="12.8" hidden="false" customHeight="false" outlineLevel="0" collapsed="false">
      <c r="A9183" s="0" t="s">
        <v>3769</v>
      </c>
      <c r="B9183" s="0" t="str">
        <f aca="false">HYPERLINK("https://lindat.mff.cuni.cz/services/teitok/pdtc10/index.php?action=vallex&amp;frame=v-w1040hsa_522", "hemžit se (v-w1040hsa_522) - substituted with v-w1040f3_ZU")</f>
        <v>hemžit se (v-w1040hsa_522) - substituted with v-w1040f3_ZU</v>
      </c>
    </row>
    <row r="9184" customFormat="false" ht="12.8" hidden="false" customHeight="false" outlineLevel="0" collapsed="false">
      <c r="B9184" s="0" t="s">
        <v>3770</v>
      </c>
    </row>
    <row r="9185" customFormat="false" ht="12.8" hidden="false" customHeight="false" outlineLevel="0" collapsed="false">
      <c r="B9185" s="0" t="s">
        <v>3771</v>
      </c>
    </row>
    <row r="9187" customFormat="false" ht="12.8" hidden="false" customHeight="false" outlineLevel="0" collapsed="false">
      <c r="A9187" s="0" t="s">
        <v>3772</v>
      </c>
      <c r="B9187" s="0" t="str">
        <f aca="false">HYPERLINK("https://lindat.mff.cuni.cz/services/teitok/pdtc10/index.php?action=vallex&amp;frame=v-w10949f2", "hladit (v-w10949f2)")</f>
        <v>hladit (v-w10949f2)</v>
      </c>
    </row>
    <row r="9188" customFormat="false" ht="12.8" hidden="false" customHeight="false" outlineLevel="0" collapsed="false">
      <c r="B9188" s="0" t="s">
        <v>7</v>
      </c>
    </row>
    <row r="9189" customFormat="false" ht="12.8" hidden="false" customHeight="false" outlineLevel="0" collapsed="false">
      <c r="B9189" s="0" t="s">
        <v>14</v>
      </c>
    </row>
    <row r="9191" customFormat="false" ht="12.8" hidden="false" customHeight="false" outlineLevel="0" collapsed="false">
      <c r="A9191" s="0" t="s">
        <v>3773</v>
      </c>
      <c r="B9191" s="0" t="str">
        <f aca="false">HYPERLINK("https://lindat.mff.cuni.cz/services/teitok/pdtc10/index.php?action=vallex&amp;frame=v-w1045f2", "hladovět (v-w1045f2)")</f>
        <v>hladovět (v-w1045f2)</v>
      </c>
    </row>
    <row r="9192" customFormat="false" ht="12.8" hidden="false" customHeight="false" outlineLevel="0" collapsed="false">
      <c r="B9192" s="0" t="s">
        <v>7</v>
      </c>
    </row>
    <row r="9193" customFormat="false" ht="12.8" hidden="false" customHeight="false" outlineLevel="0" collapsed="false">
      <c r="B9193" s="0" t="s">
        <v>1375</v>
      </c>
    </row>
    <row r="9195" customFormat="false" ht="12.8" hidden="false" customHeight="false" outlineLevel="0" collapsed="false">
      <c r="A9195" s="0" t="s">
        <v>3774</v>
      </c>
      <c r="B9195" s="0" t="str">
        <f aca="false">HYPERLINK("https://lindat.mff.cuni.cz/services/teitok/pdtc10/index.php?action=vallex&amp;frame=v-w1045f1", "hladovět (v-w1045f1)")</f>
        <v>hladovět (v-w1045f1)</v>
      </c>
    </row>
    <row r="9196" customFormat="false" ht="12.8" hidden="false" customHeight="false" outlineLevel="0" collapsed="false">
      <c r="B9196" s="0" t="s">
        <v>7</v>
      </c>
    </row>
    <row r="9198" customFormat="false" ht="12.8" hidden="false" customHeight="false" outlineLevel="0" collapsed="false">
      <c r="A9198" s="0" t="s">
        <v>3775</v>
      </c>
      <c r="B9198" s="0" t="str">
        <f aca="false">HYPERLINK("https://lindat.mff.cuni.cz/services/teitok/pdtc10/index.php?action=vallex&amp;frame=v-w1053f3", "hlasovat (v-w1053f3)")</f>
        <v>hlasovat (v-w1053f3)</v>
      </c>
    </row>
    <row r="9199" customFormat="false" ht="12.8" hidden="false" customHeight="false" outlineLevel="0" collapsed="false">
      <c r="B9199" s="0" t="s">
        <v>7</v>
      </c>
    </row>
    <row r="9200" customFormat="false" ht="12.8" hidden="false" customHeight="false" outlineLevel="0" collapsed="false">
      <c r="B9200" s="0" t="s">
        <v>14</v>
      </c>
    </row>
    <row r="9202" customFormat="false" ht="12.8" hidden="false" customHeight="false" outlineLevel="0" collapsed="false">
      <c r="A9202" s="0" t="s">
        <v>3776</v>
      </c>
      <c r="B9202" s="0" t="str">
        <f aca="false">HYPERLINK("https://lindat.mff.cuni.cz/services/teitok/pdtc10/index.php?action=vallex&amp;frame=v-w1053f4_ZU", "hlasovat (v-w1053f4_ZU)")</f>
        <v>hlasovat (v-w1053f4_ZU)</v>
      </c>
    </row>
    <row r="9203" customFormat="false" ht="12.8" hidden="false" customHeight="false" outlineLevel="0" collapsed="false">
      <c r="B9203" s="0" t="s">
        <v>7</v>
      </c>
      <c r="C9203" s="0" t="s">
        <v>3777</v>
      </c>
      <c r="D9203" s="0" t="s">
        <v>3778</v>
      </c>
      <c r="E9203" s="0" t="s">
        <v>3778</v>
      </c>
      <c r="F9203" s="0" t="s">
        <v>3778</v>
      </c>
    </row>
    <row r="9204" customFormat="false" ht="12.8" hidden="false" customHeight="false" outlineLevel="0" collapsed="false">
      <c r="B9204" s="0" t="s">
        <v>3779</v>
      </c>
      <c r="C9204" s="0" t="s">
        <v>414</v>
      </c>
      <c r="D9204" s="0" t="s">
        <v>1168</v>
      </c>
      <c r="E9204" s="0" t="s">
        <v>1168</v>
      </c>
      <c r="F9204" s="0" t="s">
        <v>1168</v>
      </c>
    </row>
    <row r="9206" customFormat="false" ht="12.8" hidden="false" customHeight="false" outlineLevel="0" collapsed="false">
      <c r="A9206" s="0" t="s">
        <v>3776</v>
      </c>
      <c r="B9206" s="0" t="str">
        <f aca="false">HYPERLINK("https://lindat.mff.cuni.cz/services/teitok/pdtc10/index.php?action=vallex&amp;frame=v-w1053f2", "hlasovat (v-w1053f2) - substituted with v-w1053f4_ZU")</f>
        <v>hlasovat (v-w1053f2) - substituted with v-w1053f4_ZU</v>
      </c>
    </row>
    <row r="9207" customFormat="false" ht="12.8" hidden="false" customHeight="false" outlineLevel="0" collapsed="false">
      <c r="B9207" s="0" t="s">
        <v>7</v>
      </c>
      <c r="C9207" s="0" t="s">
        <v>3780</v>
      </c>
    </row>
    <row r="9208" customFormat="false" ht="12.8" hidden="false" customHeight="false" outlineLevel="0" collapsed="false">
      <c r="B9208" s="0" t="s">
        <v>3779</v>
      </c>
      <c r="C9208" s="0" t="s">
        <v>3781</v>
      </c>
    </row>
    <row r="9210" customFormat="false" ht="12.8" hidden="false" customHeight="false" outlineLevel="0" collapsed="false">
      <c r="A9210" s="0" t="s">
        <v>3782</v>
      </c>
      <c r="B9210" s="0" t="str">
        <f aca="false">HYPERLINK("https://lindat.mff.cuni.cz/services/teitok/pdtc10/index.php?action=vallex&amp;frame=v-w1053f5_ZU", "hlasovat (v-w1053f5_ZU)")</f>
        <v>hlasovat (v-w1053f5_ZU)</v>
      </c>
    </row>
    <row r="9211" customFormat="false" ht="12.8" hidden="false" customHeight="false" outlineLevel="0" collapsed="false">
      <c r="B9211" s="0" t="s">
        <v>7</v>
      </c>
      <c r="C9211" s="0" t="s">
        <v>3783</v>
      </c>
      <c r="D9211" s="0" t="s">
        <v>3784</v>
      </c>
      <c r="E9211" s="0" t="s">
        <v>3784</v>
      </c>
      <c r="F9211" s="0" t="s">
        <v>3784</v>
      </c>
    </row>
    <row r="9212" customFormat="false" ht="12.8" hidden="false" customHeight="false" outlineLevel="0" collapsed="false">
      <c r="B9212" s="0" t="s">
        <v>3785</v>
      </c>
      <c r="C9212" s="0" t="s">
        <v>3786</v>
      </c>
      <c r="D9212" s="0" t="s">
        <v>3787</v>
      </c>
      <c r="E9212" s="0" t="s">
        <v>3787</v>
      </c>
      <c r="F9212" s="0" t="s">
        <v>3787</v>
      </c>
    </row>
    <row r="9214" customFormat="false" ht="12.8" hidden="false" customHeight="false" outlineLevel="0" collapsed="false">
      <c r="A9214" s="0" t="s">
        <v>3782</v>
      </c>
      <c r="B9214" s="0" t="str">
        <f aca="false">HYPERLINK("https://lindat.mff.cuni.cz/services/teitok/pdtc10/index.php?action=vallex&amp;frame=v-w1053f1", "hlasovat (v-w1053f1) - substituted with v-w1053f5_ZU")</f>
        <v>hlasovat (v-w1053f1) - substituted with v-w1053f5_ZU</v>
      </c>
    </row>
    <row r="9215" customFormat="false" ht="12.8" hidden="false" customHeight="false" outlineLevel="0" collapsed="false">
      <c r="B9215" s="0" t="s">
        <v>7</v>
      </c>
      <c r="C9215" s="0" t="s">
        <v>3788</v>
      </c>
    </row>
    <row r="9216" customFormat="false" ht="12.8" hidden="false" customHeight="false" outlineLevel="0" collapsed="false">
      <c r="B9216" s="0" t="s">
        <v>3785</v>
      </c>
      <c r="C9216" s="0" t="s">
        <v>1164</v>
      </c>
    </row>
    <row r="9218" customFormat="false" ht="12.8" hidden="false" customHeight="false" outlineLevel="0" collapsed="false">
      <c r="A9218" s="0" t="s">
        <v>3789</v>
      </c>
      <c r="B9218" s="0" t="str">
        <f aca="false">HYPERLINK("https://lindat.mff.cuni.cz/services/teitok/pdtc10/index.php?action=vallex&amp;frame=v-w1055f1", "hlavičkovat (v-w1055f1)")</f>
        <v>hlavičkovat (v-w1055f1)</v>
      </c>
    </row>
    <row r="9219" customFormat="false" ht="12.8" hidden="false" customHeight="false" outlineLevel="0" collapsed="false">
      <c r="B9219" s="0" t="s">
        <v>7</v>
      </c>
    </row>
    <row r="9221" customFormat="false" ht="12.8" hidden="false" customHeight="false" outlineLevel="0" collapsed="false">
      <c r="A9221" s="0" t="s">
        <v>3790</v>
      </c>
      <c r="B9221" s="0" t="str">
        <f aca="false">HYPERLINK("https://lindat.mff.cuni.cz/services/teitok/pdtc10/index.php?action=vallex&amp;frame=v-w1058f3", "hledat (v-w1058f3)")</f>
        <v>hledat (v-w1058f3)</v>
      </c>
    </row>
    <row r="9222" customFormat="false" ht="12.8" hidden="false" customHeight="false" outlineLevel="0" collapsed="false">
      <c r="B9222" s="0" t="s">
        <v>7</v>
      </c>
      <c r="C9222" s="0" t="s">
        <v>3791</v>
      </c>
    </row>
    <row r="9223" customFormat="false" ht="12.8" hidden="false" customHeight="false" outlineLevel="0" collapsed="false">
      <c r="B9223" s="0" t="s">
        <v>14</v>
      </c>
      <c r="C9223" s="0" t="s">
        <v>3792</v>
      </c>
    </row>
    <row r="9224" customFormat="false" ht="12.8" hidden="false" customHeight="false" outlineLevel="0" collapsed="false">
      <c r="B9224" s="0" t="s">
        <v>11</v>
      </c>
      <c r="C9224" s="0" t="s">
        <v>3793</v>
      </c>
    </row>
    <row r="9226" customFormat="false" ht="12.8" hidden="false" customHeight="false" outlineLevel="0" collapsed="false">
      <c r="A9226" s="0" t="s">
        <v>3794</v>
      </c>
      <c r="B9226" s="0" t="str">
        <f aca="false">HYPERLINK("https://lindat.mff.cuni.cz/services/teitok/pdtc10/index.php?action=vallex&amp;frame=v-w1058f2", "hledat (v-w1058f2)")</f>
        <v>hledat (v-w1058f2)</v>
      </c>
    </row>
    <row r="9227" customFormat="false" ht="12.8" hidden="false" customHeight="false" outlineLevel="0" collapsed="false">
      <c r="B9227" s="0" t="s">
        <v>7</v>
      </c>
      <c r="C9227" s="0" t="s">
        <v>3795</v>
      </c>
      <c r="D9227" s="0" t="s">
        <v>1813</v>
      </c>
      <c r="E9227" s="0" t="s">
        <v>1813</v>
      </c>
      <c r="F9227" s="0" t="s">
        <v>1813</v>
      </c>
    </row>
    <row r="9228" customFormat="false" ht="12.8" hidden="false" customHeight="false" outlineLevel="0" collapsed="false">
      <c r="B9228" s="0" t="s">
        <v>3796</v>
      </c>
      <c r="C9228" s="0" t="s">
        <v>3797</v>
      </c>
      <c r="D9228" s="0" t="s">
        <v>1815</v>
      </c>
      <c r="E9228" s="0" t="s">
        <v>1815</v>
      </c>
      <c r="F9228" s="0" t="s">
        <v>1815</v>
      </c>
    </row>
    <row r="9230" customFormat="false" ht="12.8" hidden="false" customHeight="false" outlineLevel="0" collapsed="false">
      <c r="A9230" s="0" t="s">
        <v>3798</v>
      </c>
      <c r="B9230" s="0" t="str">
        <f aca="false">HYPERLINK("https://lindat.mff.cuni.cz/services/teitok/pdtc10/index.php?action=vallex&amp;frame=v-w1058f4_ZU", "hledat (v-w1058f4_ZU)")</f>
        <v>hledat (v-w1058f4_ZU)</v>
      </c>
    </row>
    <row r="9231" customFormat="false" ht="12.8" hidden="false" customHeight="false" outlineLevel="0" collapsed="false">
      <c r="B9231" s="0" t="s">
        <v>7</v>
      </c>
    </row>
    <row r="9232" customFormat="false" ht="12.8" hidden="false" customHeight="false" outlineLevel="0" collapsed="false">
      <c r="B9232" s="0" t="s">
        <v>232</v>
      </c>
    </row>
    <row r="9234" customFormat="false" ht="12.8" hidden="false" customHeight="false" outlineLevel="0" collapsed="false">
      <c r="A9234" s="0" t="s">
        <v>3798</v>
      </c>
      <c r="B9234" s="0" t="str">
        <f aca="false">HYPERLINK("https://lindat.mff.cuni.cz/services/teitok/pdtc10/index.php?action=vallex&amp;frame=v-w1058f1", "hledat (v-w1058f1) - substituted with v-w1058f4_ZU")</f>
        <v>hledat (v-w1058f1) - substituted with v-w1058f4_ZU</v>
      </c>
    </row>
    <row r="9235" customFormat="false" ht="12.8" hidden="false" customHeight="false" outlineLevel="0" collapsed="false">
      <c r="B9235" s="0" t="s">
        <v>7</v>
      </c>
      <c r="C9235" s="0" t="s">
        <v>3799</v>
      </c>
      <c r="D9235" s="0" t="s">
        <v>1813</v>
      </c>
      <c r="E9235" s="0" t="s">
        <v>1813</v>
      </c>
      <c r="F9235" s="0" t="s">
        <v>1813</v>
      </c>
    </row>
    <row r="9236" customFormat="false" ht="12.8" hidden="false" customHeight="false" outlineLevel="0" collapsed="false">
      <c r="B9236" s="0" t="s">
        <v>232</v>
      </c>
      <c r="C9236" s="0" t="s">
        <v>3800</v>
      </c>
      <c r="D9236" s="0" t="s">
        <v>1815</v>
      </c>
      <c r="E9236" s="0" t="s">
        <v>1815</v>
      </c>
      <c r="F9236" s="0" t="s">
        <v>1815</v>
      </c>
    </row>
    <row r="9238" customFormat="false" ht="12.8" hidden="false" customHeight="false" outlineLevel="0" collapsed="false">
      <c r="A9238" s="0" t="s">
        <v>3801</v>
      </c>
      <c r="B9238" s="0" t="str">
        <f aca="false">HYPERLINK("https://lindat.mff.cuni.cz/services/teitok/pdtc10/index.php?action=vallex&amp;frame=v-w1059f3", "hledět (v-w1059f3)")</f>
        <v>hledět (v-w1059f3)</v>
      </c>
    </row>
    <row r="9239" customFormat="false" ht="12.8" hidden="false" customHeight="false" outlineLevel="0" collapsed="false">
      <c r="B9239" s="0" t="s">
        <v>7</v>
      </c>
      <c r="D9239" s="0" t="s">
        <v>1448</v>
      </c>
      <c r="E9239" s="0" t="s">
        <v>1448</v>
      </c>
      <c r="F9239" s="0" t="s">
        <v>1448</v>
      </c>
    </row>
    <row r="9240" customFormat="false" ht="12.8" hidden="false" customHeight="false" outlineLevel="0" collapsed="false">
      <c r="B9240" s="0" t="s">
        <v>1391</v>
      </c>
      <c r="D9240" s="0" t="s">
        <v>414</v>
      </c>
      <c r="E9240" s="0" t="s">
        <v>414</v>
      </c>
      <c r="F9240" s="0" t="s">
        <v>414</v>
      </c>
    </row>
    <row r="9242" customFormat="false" ht="12.8" hidden="false" customHeight="false" outlineLevel="0" collapsed="false">
      <c r="A9242" s="0" t="s">
        <v>3802</v>
      </c>
      <c r="B9242" s="0" t="str">
        <f aca="false">HYPERLINK("https://lindat.mff.cuni.cz/services/teitok/pdtc10/index.php?action=vallex&amp;frame=v-w1059f2", "hledět (v-w1059f2)")</f>
        <v>hledět (v-w1059f2)</v>
      </c>
    </row>
    <row r="9243" customFormat="false" ht="12.8" hidden="false" customHeight="false" outlineLevel="0" collapsed="false">
      <c r="B9243" s="0" t="s">
        <v>7</v>
      </c>
      <c r="C9243" s="0" t="s">
        <v>3803</v>
      </c>
    </row>
    <row r="9244" customFormat="false" ht="12.8" hidden="false" customHeight="false" outlineLevel="0" collapsed="false">
      <c r="B9244" s="0" t="s">
        <v>41</v>
      </c>
      <c r="C9244" s="0" t="s">
        <v>3804</v>
      </c>
    </row>
    <row r="9246" customFormat="false" ht="12.8" hidden="false" customHeight="false" outlineLevel="0" collapsed="false">
      <c r="A9246" s="0" t="s">
        <v>3805</v>
      </c>
      <c r="B9246" s="0" t="str">
        <f aca="false">HYPERLINK("https://lindat.mff.cuni.cz/services/teitok/pdtc10/index.php?action=vallex&amp;frame=v-w1059f4", "hledět (v-w1059f4)")</f>
        <v>hledět (v-w1059f4)</v>
      </c>
    </row>
    <row r="9247" customFormat="false" ht="12.8" hidden="false" customHeight="false" outlineLevel="0" collapsed="false">
      <c r="B9247" s="0" t="s">
        <v>7</v>
      </c>
      <c r="D9247" s="0" t="s">
        <v>451</v>
      </c>
      <c r="E9247" s="0" t="s">
        <v>451</v>
      </c>
      <c r="F9247" s="0" t="s">
        <v>451</v>
      </c>
    </row>
    <row r="9248" customFormat="false" ht="12.8" hidden="false" customHeight="false" outlineLevel="0" collapsed="false">
      <c r="B9248" s="0" t="s">
        <v>41</v>
      </c>
      <c r="C9248" s="0" t="s">
        <v>3806</v>
      </c>
      <c r="D9248" s="0" t="s">
        <v>453</v>
      </c>
      <c r="E9248" s="0" t="s">
        <v>453</v>
      </c>
      <c r="F9248" s="0" t="s">
        <v>453</v>
      </c>
    </row>
    <row r="9249" customFormat="false" ht="12.8" hidden="false" customHeight="false" outlineLevel="0" collapsed="false">
      <c r="B9249" s="0" t="s">
        <v>474</v>
      </c>
      <c r="D9249" s="0" t="s">
        <v>3401</v>
      </c>
      <c r="E9249" s="0" t="s">
        <v>3401</v>
      </c>
      <c r="F9249" s="0" t="s">
        <v>3401</v>
      </c>
    </row>
    <row r="9250" customFormat="false" ht="12.8" hidden="false" customHeight="false" outlineLevel="0" collapsed="false">
      <c r="B9250" s="0" t="s">
        <v>479</v>
      </c>
      <c r="D9250" s="0" t="s">
        <v>3402</v>
      </c>
      <c r="E9250" s="0" t="s">
        <v>3402</v>
      </c>
      <c r="F9250" s="0" t="s">
        <v>3402</v>
      </c>
    </row>
    <row r="9251" customFormat="false" ht="12.8" hidden="false" customHeight="false" outlineLevel="0" collapsed="false">
      <c r="B9251" s="0" t="s">
        <v>481</v>
      </c>
      <c r="D9251" s="0" t="s">
        <v>3403</v>
      </c>
      <c r="E9251" s="0" t="s">
        <v>3403</v>
      </c>
      <c r="F9251" s="0" t="s">
        <v>3403</v>
      </c>
    </row>
    <row r="9252" customFormat="false" ht="12.8" hidden="false" customHeight="false" outlineLevel="0" collapsed="false">
      <c r="B9252" s="0" t="s">
        <v>483</v>
      </c>
      <c r="D9252" s="0" t="s">
        <v>3405</v>
      </c>
      <c r="E9252" s="0" t="s">
        <v>3405</v>
      </c>
      <c r="F9252" s="0" t="s">
        <v>3405</v>
      </c>
    </row>
    <row r="9254" customFormat="false" ht="12.8" hidden="false" customHeight="false" outlineLevel="0" collapsed="false">
      <c r="A9254" s="0" t="s">
        <v>3807</v>
      </c>
      <c r="B9254" s="0" t="str">
        <f aca="false">HYPERLINK("https://lindat.mff.cuni.cz/services/teitok/pdtc10/index.php?action=vallex&amp;frame=v-w1059f1", "hledět (v-w1059f1)")</f>
        <v>hledět (v-w1059f1)</v>
      </c>
    </row>
    <row r="9255" customFormat="false" ht="12.8" hidden="false" customHeight="false" outlineLevel="0" collapsed="false">
      <c r="B9255" s="0" t="s">
        <v>7</v>
      </c>
      <c r="D9255" s="0" t="s">
        <v>428</v>
      </c>
      <c r="E9255" s="0" t="s">
        <v>428</v>
      </c>
      <c r="F9255" s="0" t="s">
        <v>428</v>
      </c>
    </row>
    <row r="9256" customFormat="false" ht="12.8" hidden="false" customHeight="false" outlineLevel="0" collapsed="false">
      <c r="B9256" s="0" t="s">
        <v>124</v>
      </c>
      <c r="D9256" s="0" t="s">
        <v>3412</v>
      </c>
      <c r="E9256" s="0" t="s">
        <v>3412</v>
      </c>
      <c r="F9256" s="0" t="s">
        <v>3412</v>
      </c>
    </row>
    <row r="9258" customFormat="false" ht="12.8" hidden="false" customHeight="false" outlineLevel="0" collapsed="false">
      <c r="A9258" s="0" t="s">
        <v>3808</v>
      </c>
      <c r="B9258" s="0" t="str">
        <f aca="false">HYPERLINK("https://lindat.mff.cuni.cz/services/teitok/pdtc10/index.php?action=vallex&amp;frame=v-w1059hsa_593", "hledět (v-w1059hsa_593)")</f>
        <v>hledět (v-w1059hsa_593)</v>
      </c>
    </row>
    <row r="9259" customFormat="false" ht="12.8" hidden="false" customHeight="false" outlineLevel="0" collapsed="false">
      <c r="B9259" s="0" t="s">
        <v>7</v>
      </c>
    </row>
    <row r="9260" customFormat="false" ht="12.8" hidden="false" customHeight="false" outlineLevel="0" collapsed="false">
      <c r="B9260" s="0" t="s">
        <v>3809</v>
      </c>
    </row>
    <row r="9262" customFormat="false" ht="12.8" hidden="false" customHeight="false" outlineLevel="0" collapsed="false">
      <c r="A9262" s="0" t="s">
        <v>3810</v>
      </c>
      <c r="B9262" s="0" t="str">
        <f aca="false">HYPERLINK("https://lindat.mff.cuni.cz/services/teitok/pdtc10/index.php?action=vallex&amp;frame=v-w1060f1", "hledět si (v-w1060f1)")</f>
        <v>hledět si (v-w1060f1)</v>
      </c>
    </row>
    <row r="9263" customFormat="false" ht="12.8" hidden="false" customHeight="false" outlineLevel="0" collapsed="false">
      <c r="B9263" s="0" t="s">
        <v>7</v>
      </c>
    </row>
    <row r="9264" customFormat="false" ht="12.8" hidden="false" customHeight="false" outlineLevel="0" collapsed="false">
      <c r="B9264" s="0" t="s">
        <v>1087</v>
      </c>
    </row>
    <row r="9266" customFormat="false" ht="12.8" hidden="false" customHeight="false" outlineLevel="0" collapsed="false">
      <c r="A9266" s="0" t="s">
        <v>3811</v>
      </c>
      <c r="B9266" s="0" t="str">
        <f aca="false">HYPERLINK("https://lindat.mff.cuni.cz/services/teitok/pdtc10/index.php?action=vallex&amp;frame=v-w10577f2", "hloubat (v-w10577f2)")</f>
        <v>hloubat (v-w10577f2)</v>
      </c>
    </row>
    <row r="9267" customFormat="false" ht="12.8" hidden="false" customHeight="false" outlineLevel="0" collapsed="false">
      <c r="B9267" s="0" t="s">
        <v>7</v>
      </c>
      <c r="C9267" s="0" t="s">
        <v>184</v>
      </c>
    </row>
    <row r="9268" customFormat="false" ht="12.8" hidden="false" customHeight="false" outlineLevel="0" collapsed="false">
      <c r="B9268" s="0" t="s">
        <v>2922</v>
      </c>
      <c r="C9268" s="0" t="s">
        <v>47</v>
      </c>
    </row>
    <row r="9270" customFormat="false" ht="12.8" hidden="false" customHeight="false" outlineLevel="0" collapsed="false">
      <c r="A9270" s="0" t="s">
        <v>3812</v>
      </c>
      <c r="B9270" s="0" t="str">
        <f aca="false">HYPERLINK("https://lindat.mff.cuni.cz/services/teitok/pdtc10/index.php?action=vallex&amp;frame=v-w12340_MMf1_MM", "hloubit (v-w12340_MMf1_MM)")</f>
        <v>hloubit (v-w12340_MMf1_MM)</v>
      </c>
    </row>
    <row r="9271" customFormat="false" ht="12.8" hidden="false" customHeight="false" outlineLevel="0" collapsed="false">
      <c r="B9271" s="0" t="s">
        <v>7</v>
      </c>
    </row>
    <row r="9272" customFormat="false" ht="12.8" hidden="false" customHeight="false" outlineLevel="0" collapsed="false">
      <c r="B9272" s="0" t="s">
        <v>14</v>
      </c>
    </row>
    <row r="9274" customFormat="false" ht="12.8" hidden="false" customHeight="false" outlineLevel="0" collapsed="false">
      <c r="A9274" s="0" t="s">
        <v>3813</v>
      </c>
      <c r="B9274" s="0" t="str">
        <f aca="false">HYPERLINK("https://lindat.mff.cuni.cz/services/teitok/pdtc10/index.php?action=vallex&amp;frame=v-w1064f1", "hltat (v-w1064f1)")</f>
        <v>hltat (v-w1064f1)</v>
      </c>
    </row>
    <row r="9275" customFormat="false" ht="12.8" hidden="false" customHeight="false" outlineLevel="0" collapsed="false">
      <c r="B9275" s="0" t="s">
        <v>7</v>
      </c>
    </row>
    <row r="9276" customFormat="false" ht="12.8" hidden="false" customHeight="false" outlineLevel="0" collapsed="false">
      <c r="B9276" s="0" t="s">
        <v>14</v>
      </c>
    </row>
    <row r="9278" customFormat="false" ht="12.8" hidden="false" customHeight="false" outlineLevel="0" collapsed="false">
      <c r="A9278" s="0" t="s">
        <v>3814</v>
      </c>
      <c r="B9278" s="0" t="str">
        <f aca="false">HYPERLINK("https://lindat.mff.cuni.cz/services/teitok/pdtc10/index.php?action=vallex&amp;frame=v-w1064f2", "hltat (v-w1064f2)")</f>
        <v>hltat (v-w1064f2)</v>
      </c>
    </row>
    <row r="9279" customFormat="false" ht="12.8" hidden="false" customHeight="false" outlineLevel="0" collapsed="false">
      <c r="B9279" s="0" t="s">
        <v>7</v>
      </c>
      <c r="D9279" s="0" t="s">
        <v>3815</v>
      </c>
      <c r="E9279" s="0" t="s">
        <v>3815</v>
      </c>
      <c r="F9279" s="0" t="s">
        <v>3815</v>
      </c>
    </row>
    <row r="9280" customFormat="false" ht="12.8" hidden="false" customHeight="false" outlineLevel="0" collapsed="false">
      <c r="B9280" s="0" t="s">
        <v>14</v>
      </c>
      <c r="D9280" s="0" t="s">
        <v>3816</v>
      </c>
      <c r="E9280" s="0" t="s">
        <v>3816</v>
      </c>
      <c r="F9280" s="0" t="s">
        <v>3816</v>
      </c>
    </row>
    <row r="9282" customFormat="false" ht="12.8" hidden="false" customHeight="false" outlineLevel="0" collapsed="false">
      <c r="A9282" s="0" t="s">
        <v>3817</v>
      </c>
      <c r="B9282" s="0" t="str">
        <f aca="false">HYPERLINK("https://lindat.mff.cuni.cz/services/teitok/pdtc10/index.php?action=vallex&amp;frame=v-w1047f3", "hlásat (v-w1047f3)")</f>
        <v>hlásat (v-w1047f3)</v>
      </c>
    </row>
    <row r="9283" customFormat="false" ht="12.8" hidden="false" customHeight="false" outlineLevel="0" collapsed="false">
      <c r="B9283" s="0" t="s">
        <v>7</v>
      </c>
      <c r="D9283" s="0" t="s">
        <v>164</v>
      </c>
      <c r="E9283" s="0" t="s">
        <v>164</v>
      </c>
      <c r="F9283" s="0" t="s">
        <v>164</v>
      </c>
    </row>
    <row r="9284" customFormat="false" ht="12.8" hidden="false" customHeight="false" outlineLevel="0" collapsed="false">
      <c r="B9284" s="0" t="s">
        <v>3818</v>
      </c>
      <c r="D9284" s="0" t="s">
        <v>167</v>
      </c>
      <c r="E9284" s="0" t="s">
        <v>167</v>
      </c>
      <c r="F9284" s="0" t="s">
        <v>167</v>
      </c>
    </row>
    <row r="9285" customFormat="false" ht="12.8" hidden="false" customHeight="false" outlineLevel="0" collapsed="false">
      <c r="B9285" s="0" t="s">
        <v>106</v>
      </c>
      <c r="D9285" s="0" t="s">
        <v>168</v>
      </c>
      <c r="E9285" s="0" t="s">
        <v>168</v>
      </c>
      <c r="F9285" s="0" t="s">
        <v>168</v>
      </c>
    </row>
    <row r="9287" customFormat="false" ht="12.8" hidden="false" customHeight="false" outlineLevel="0" collapsed="false">
      <c r="A9287" s="0" t="s">
        <v>3819</v>
      </c>
      <c r="B9287" s="0" t="str">
        <f aca="false">HYPERLINK("https://lindat.mff.cuni.cz/services/teitok/pdtc10/index.php?action=vallex&amp;frame=v-w1047f1", "hlásat (v-w1047f1)")</f>
        <v>hlásat (v-w1047f1)</v>
      </c>
    </row>
    <row r="9288" customFormat="false" ht="12.8" hidden="false" customHeight="false" outlineLevel="0" collapsed="false">
      <c r="B9288" s="0" t="s">
        <v>7</v>
      </c>
      <c r="C9288" s="0" t="s">
        <v>2431</v>
      </c>
      <c r="D9288" s="0" t="s">
        <v>164</v>
      </c>
      <c r="E9288" s="0" t="s">
        <v>164</v>
      </c>
      <c r="F9288" s="0" t="s">
        <v>164</v>
      </c>
    </row>
    <row r="9289" customFormat="false" ht="12.8" hidden="false" customHeight="false" outlineLevel="0" collapsed="false">
      <c r="B9289" s="0" t="s">
        <v>172</v>
      </c>
      <c r="C9289" s="0" t="s">
        <v>79</v>
      </c>
      <c r="D9289" s="0" t="s">
        <v>167</v>
      </c>
      <c r="E9289" s="0" t="s">
        <v>167</v>
      </c>
      <c r="F9289" s="0" t="s">
        <v>167</v>
      </c>
    </row>
    <row r="9290" customFormat="false" ht="12.8" hidden="false" customHeight="false" outlineLevel="0" collapsed="false">
      <c r="B9290" s="0" t="s">
        <v>106</v>
      </c>
      <c r="C9290" s="0" t="s">
        <v>212</v>
      </c>
      <c r="D9290" s="0" t="s">
        <v>168</v>
      </c>
      <c r="E9290" s="0" t="s">
        <v>168</v>
      </c>
      <c r="F9290" s="0" t="s">
        <v>168</v>
      </c>
    </row>
    <row r="9292" customFormat="false" ht="12.8" hidden="false" customHeight="false" outlineLevel="0" collapsed="false">
      <c r="A9292" s="0" t="s">
        <v>3820</v>
      </c>
      <c r="B9292" s="0" t="str">
        <f aca="false">HYPERLINK("https://lindat.mff.cuni.cz/services/teitok/pdtc10/index.php?action=vallex&amp;frame=v-w1047f2", "hlásat (v-w1047f2)")</f>
        <v>hlásat (v-w1047f2)</v>
      </c>
    </row>
    <row r="9293" customFormat="false" ht="12.8" hidden="false" customHeight="false" outlineLevel="0" collapsed="false">
      <c r="B9293" s="0" t="s">
        <v>7</v>
      </c>
      <c r="D9293" s="0" t="s">
        <v>164</v>
      </c>
      <c r="E9293" s="0" t="s">
        <v>164</v>
      </c>
      <c r="F9293" s="0" t="s">
        <v>164</v>
      </c>
    </row>
    <row r="9294" customFormat="false" ht="12.8" hidden="false" customHeight="false" outlineLevel="0" collapsed="false">
      <c r="B9294" s="0" t="s">
        <v>360</v>
      </c>
      <c r="D9294" s="0" t="s">
        <v>1766</v>
      </c>
      <c r="E9294" s="0" t="s">
        <v>1766</v>
      </c>
      <c r="F9294" s="0" t="s">
        <v>1766</v>
      </c>
    </row>
    <row r="9295" customFormat="false" ht="12.8" hidden="false" customHeight="false" outlineLevel="0" collapsed="false">
      <c r="B9295" s="0" t="s">
        <v>363</v>
      </c>
      <c r="D9295" s="0" t="s">
        <v>167</v>
      </c>
      <c r="E9295" s="0" t="s">
        <v>167</v>
      </c>
      <c r="F9295" s="0" t="s">
        <v>167</v>
      </c>
    </row>
    <row r="9296" customFormat="false" ht="12.8" hidden="false" customHeight="false" outlineLevel="0" collapsed="false">
      <c r="B9296" s="0" t="s">
        <v>106</v>
      </c>
      <c r="D9296" s="0" t="s">
        <v>168</v>
      </c>
      <c r="E9296" s="0" t="s">
        <v>168</v>
      </c>
      <c r="F9296" s="0" t="s">
        <v>168</v>
      </c>
    </row>
    <row r="9298" customFormat="false" ht="12.8" hidden="false" customHeight="false" outlineLevel="0" collapsed="false">
      <c r="A9298" s="0" t="s">
        <v>3821</v>
      </c>
      <c r="B9298" s="0" t="str">
        <f aca="false">HYPERLINK("https://lindat.mff.cuni.cz/services/teitok/pdtc10/index.php?action=vallex&amp;frame=v-w1050f1", "hlásit (v-w1050f1)")</f>
        <v>hlásit (v-w1050f1)</v>
      </c>
    </row>
    <row r="9299" customFormat="false" ht="12.8" hidden="false" customHeight="false" outlineLevel="0" collapsed="false">
      <c r="B9299" s="0" t="s">
        <v>7</v>
      </c>
      <c r="C9299" s="0" t="s">
        <v>3822</v>
      </c>
      <c r="D9299" s="0" t="s">
        <v>164</v>
      </c>
      <c r="E9299" s="0" t="s">
        <v>164</v>
      </c>
      <c r="F9299" s="0" t="s">
        <v>164</v>
      </c>
    </row>
    <row r="9300" customFormat="false" ht="12.8" hidden="false" customHeight="false" outlineLevel="0" collapsed="false">
      <c r="B9300" s="0" t="s">
        <v>172</v>
      </c>
      <c r="C9300" s="0" t="s">
        <v>3823</v>
      </c>
      <c r="D9300" s="0" t="s">
        <v>167</v>
      </c>
      <c r="E9300" s="0" t="s">
        <v>167</v>
      </c>
      <c r="F9300" s="0" t="s">
        <v>167</v>
      </c>
    </row>
    <row r="9301" customFormat="false" ht="12.8" hidden="false" customHeight="false" outlineLevel="0" collapsed="false">
      <c r="B9301" s="0" t="s">
        <v>106</v>
      </c>
      <c r="C9301" s="0" t="s">
        <v>3824</v>
      </c>
      <c r="D9301" s="0" t="s">
        <v>168</v>
      </c>
      <c r="E9301" s="0" t="s">
        <v>168</v>
      </c>
      <c r="F9301" s="0" t="s">
        <v>168</v>
      </c>
    </row>
    <row r="9303" customFormat="false" ht="12.8" hidden="false" customHeight="false" outlineLevel="0" collapsed="false">
      <c r="A9303" s="0" t="s">
        <v>3825</v>
      </c>
      <c r="B9303" s="0" t="str">
        <f aca="false">HYPERLINK("https://lindat.mff.cuni.cz/services/teitok/pdtc10/index.php?action=vallex&amp;frame=v-w1050f2", "hlásit (v-w1050f2)")</f>
        <v>hlásit (v-w1050f2)</v>
      </c>
    </row>
    <row r="9304" customFormat="false" ht="12.8" hidden="false" customHeight="false" outlineLevel="0" collapsed="false">
      <c r="B9304" s="0" t="s">
        <v>7</v>
      </c>
      <c r="C9304" s="0" t="s">
        <v>3826</v>
      </c>
      <c r="D9304" s="0" t="s">
        <v>164</v>
      </c>
      <c r="E9304" s="0" t="s">
        <v>164</v>
      </c>
      <c r="F9304" s="0" t="s">
        <v>164</v>
      </c>
    </row>
    <row r="9305" customFormat="false" ht="12.8" hidden="false" customHeight="false" outlineLevel="0" collapsed="false">
      <c r="B9305" s="0" t="s">
        <v>3827</v>
      </c>
      <c r="C9305" s="0" t="s">
        <v>3828</v>
      </c>
      <c r="D9305" s="0" t="s">
        <v>1766</v>
      </c>
      <c r="E9305" s="0" t="s">
        <v>1766</v>
      </c>
      <c r="F9305" s="0" t="s">
        <v>1766</v>
      </c>
    </row>
    <row r="9306" customFormat="false" ht="12.8" hidden="false" customHeight="false" outlineLevel="0" collapsed="false">
      <c r="B9306" s="0" t="s">
        <v>63</v>
      </c>
      <c r="D9306" s="0" t="s">
        <v>167</v>
      </c>
      <c r="E9306" s="0" t="s">
        <v>167</v>
      </c>
      <c r="F9306" s="0" t="s">
        <v>167</v>
      </c>
    </row>
    <row r="9307" customFormat="false" ht="12.8" hidden="false" customHeight="false" outlineLevel="0" collapsed="false">
      <c r="B9307" s="0" t="s">
        <v>106</v>
      </c>
      <c r="C9307" s="0" t="s">
        <v>3829</v>
      </c>
      <c r="D9307" s="0" t="s">
        <v>168</v>
      </c>
      <c r="E9307" s="0" t="s">
        <v>168</v>
      </c>
      <c r="F9307" s="0" t="s">
        <v>168</v>
      </c>
    </row>
    <row r="9309" customFormat="false" ht="12.8" hidden="false" customHeight="false" outlineLevel="0" collapsed="false">
      <c r="A9309" s="0" t="s">
        <v>3830</v>
      </c>
      <c r="B9309" s="0" t="str">
        <f aca="false">HYPERLINK("https://lindat.mff.cuni.cz/services/teitok/pdtc10/index.php?action=vallex&amp;frame=v-w1050f3", "hlásit (v-w1050f3)")</f>
        <v>hlásit (v-w1050f3)</v>
      </c>
    </row>
    <row r="9310" customFormat="false" ht="12.8" hidden="false" customHeight="false" outlineLevel="0" collapsed="false">
      <c r="B9310" s="0" t="s">
        <v>7</v>
      </c>
      <c r="C9310" s="0" t="s">
        <v>3826</v>
      </c>
      <c r="D9310" s="0" t="s">
        <v>164</v>
      </c>
      <c r="E9310" s="0" t="s">
        <v>164</v>
      </c>
      <c r="F9310" s="0" t="s">
        <v>164</v>
      </c>
    </row>
    <row r="9311" customFormat="false" ht="12.8" hidden="false" customHeight="false" outlineLevel="0" collapsed="false">
      <c r="B9311" s="0" t="s">
        <v>360</v>
      </c>
      <c r="C9311" s="0" t="s">
        <v>3828</v>
      </c>
      <c r="D9311" s="0" t="s">
        <v>1766</v>
      </c>
      <c r="E9311" s="0" t="s">
        <v>1766</v>
      </c>
      <c r="F9311" s="0" t="s">
        <v>1766</v>
      </c>
    </row>
    <row r="9312" customFormat="false" ht="12.8" hidden="false" customHeight="false" outlineLevel="0" collapsed="false">
      <c r="B9312" s="0" t="s">
        <v>363</v>
      </c>
      <c r="D9312" s="0" t="s">
        <v>167</v>
      </c>
      <c r="E9312" s="0" t="s">
        <v>167</v>
      </c>
      <c r="F9312" s="0" t="s">
        <v>167</v>
      </c>
    </row>
    <row r="9313" customFormat="false" ht="12.8" hidden="false" customHeight="false" outlineLevel="0" collapsed="false">
      <c r="B9313" s="0" t="s">
        <v>106</v>
      </c>
      <c r="C9313" s="0" t="s">
        <v>3829</v>
      </c>
      <c r="D9313" s="0" t="s">
        <v>168</v>
      </c>
      <c r="E9313" s="0" t="s">
        <v>168</v>
      </c>
      <c r="F9313" s="0" t="s">
        <v>168</v>
      </c>
    </row>
    <row r="9315" customFormat="false" ht="12.8" hidden="false" customHeight="false" outlineLevel="0" collapsed="false">
      <c r="A9315" s="0" t="s">
        <v>3831</v>
      </c>
      <c r="B9315" s="0" t="str">
        <f aca="false">HYPERLINK("https://lindat.mff.cuni.cz/services/teitok/pdtc10/index.php?action=vallex&amp;frame=v-w1051f3", "hlásit se (v-w1051f3)")</f>
        <v>hlásit se (v-w1051f3)</v>
      </c>
    </row>
    <row r="9316" customFormat="false" ht="12.8" hidden="false" customHeight="false" outlineLevel="0" collapsed="false">
      <c r="B9316" s="0" t="s">
        <v>7</v>
      </c>
      <c r="C9316" s="0" t="s">
        <v>184</v>
      </c>
      <c r="D9316" s="0" t="s">
        <v>88</v>
      </c>
      <c r="E9316" s="0" t="s">
        <v>88</v>
      </c>
      <c r="F9316" s="0" t="s">
        <v>88</v>
      </c>
    </row>
    <row r="9317" customFormat="false" ht="12.8" hidden="false" customHeight="false" outlineLevel="0" collapsed="false">
      <c r="B9317" s="0" t="s">
        <v>142</v>
      </c>
      <c r="D9317" s="0" t="s">
        <v>3832</v>
      </c>
      <c r="E9317" s="0" t="s">
        <v>3832</v>
      </c>
      <c r="F9317" s="0" t="s">
        <v>3832</v>
      </c>
    </row>
    <row r="9319" customFormat="false" ht="12.8" hidden="false" customHeight="false" outlineLevel="0" collapsed="false">
      <c r="A9319" s="0" t="s">
        <v>3833</v>
      </c>
      <c r="B9319" s="0" t="str">
        <f aca="false">HYPERLINK("https://lindat.mff.cuni.cz/services/teitok/pdtc10/index.php?action=vallex&amp;frame=v-w1051f1", "hlásit se (v-w1051f1)")</f>
        <v>hlásit se (v-w1051f1)</v>
      </c>
    </row>
    <row r="9320" customFormat="false" ht="12.8" hidden="false" customHeight="false" outlineLevel="0" collapsed="false">
      <c r="B9320" s="0" t="s">
        <v>7</v>
      </c>
      <c r="C9320" s="0" t="s">
        <v>31</v>
      </c>
      <c r="D9320" s="0" t="s">
        <v>2016</v>
      </c>
      <c r="E9320" s="0" t="s">
        <v>2016</v>
      </c>
      <c r="F9320" s="0" t="s">
        <v>2016</v>
      </c>
    </row>
    <row r="9321" customFormat="false" ht="12.8" hidden="false" customHeight="false" outlineLevel="0" collapsed="false">
      <c r="B9321" s="0" t="s">
        <v>237</v>
      </c>
      <c r="C9321" s="0" t="s">
        <v>74</v>
      </c>
      <c r="D9321" s="0" t="s">
        <v>2019</v>
      </c>
      <c r="E9321" s="0" t="s">
        <v>2019</v>
      </c>
      <c r="F9321" s="0" t="s">
        <v>2019</v>
      </c>
    </row>
    <row r="9323" customFormat="false" ht="12.8" hidden="false" customHeight="false" outlineLevel="0" collapsed="false">
      <c r="A9323" s="0" t="s">
        <v>3834</v>
      </c>
      <c r="B9323" s="0" t="str">
        <f aca="false">HYPERLINK("https://lindat.mff.cuni.cz/services/teitok/pdtc10/index.php?action=vallex&amp;frame=v-w1051f7_ZU", "hlásit se (v-w1051f7_ZU)")</f>
        <v>hlásit se (v-w1051f7_ZU)</v>
      </c>
    </row>
    <row r="9324" customFormat="false" ht="12.8" hidden="false" customHeight="false" outlineLevel="0" collapsed="false">
      <c r="B9324" s="0" t="s">
        <v>7</v>
      </c>
    </row>
    <row r="9325" customFormat="false" ht="12.8" hidden="false" customHeight="false" outlineLevel="0" collapsed="false">
      <c r="B9325" s="0" t="s">
        <v>3835</v>
      </c>
    </row>
    <row r="9327" customFormat="false" ht="12.8" hidden="false" customHeight="false" outlineLevel="0" collapsed="false">
      <c r="A9327" s="0" t="s">
        <v>3834</v>
      </c>
      <c r="B9327" s="0" t="str">
        <f aca="false">HYPERLINK("https://lindat.mff.cuni.cz/services/teitok/pdtc10/index.php?action=vallex&amp;frame=v-w1051f5", "hlásit se (v-w1051f5) - substituted with v-w1051f7_ZU")</f>
        <v>hlásit se (v-w1051f5) - substituted with v-w1051f7_ZU</v>
      </c>
    </row>
    <row r="9328" customFormat="false" ht="12.8" hidden="false" customHeight="false" outlineLevel="0" collapsed="false">
      <c r="B9328" s="0" t="s">
        <v>7</v>
      </c>
    </row>
    <row r="9329" customFormat="false" ht="12.8" hidden="false" customHeight="false" outlineLevel="0" collapsed="false">
      <c r="B9329" s="0" t="s">
        <v>3835</v>
      </c>
    </row>
    <row r="9331" customFormat="false" ht="12.8" hidden="false" customHeight="false" outlineLevel="0" collapsed="false">
      <c r="A9331" s="0" t="s">
        <v>3834</v>
      </c>
      <c r="B9331" s="0" t="str">
        <f aca="false">HYPERLINK("https://lindat.mff.cuni.cz/services/teitok/pdtc10/index.php?action=vallex&amp;frame=v-w1051hsa_927", "hlásit se (v-w1051hsa_927) - substituted with v-w1051f7_ZU")</f>
        <v>hlásit se (v-w1051hsa_927) - substituted with v-w1051f7_ZU</v>
      </c>
    </row>
    <row r="9332" customFormat="false" ht="12.8" hidden="false" customHeight="false" outlineLevel="0" collapsed="false">
      <c r="B9332" s="0" t="s">
        <v>7</v>
      </c>
    </row>
    <row r="9333" customFormat="false" ht="12.8" hidden="false" customHeight="false" outlineLevel="0" collapsed="false">
      <c r="B9333" s="0" t="s">
        <v>3835</v>
      </c>
    </row>
    <row r="9335" customFormat="false" ht="12.8" hidden="false" customHeight="false" outlineLevel="0" collapsed="false">
      <c r="A9335" s="0" t="s">
        <v>3836</v>
      </c>
      <c r="B9335" s="0" t="str">
        <f aca="false">HYPERLINK("https://lindat.mff.cuni.cz/services/teitok/pdtc10/index.php?action=vallex&amp;frame=v-w1051f8_ZU", "hlásit se (v-w1051f8_ZU)")</f>
        <v>hlásit se (v-w1051f8_ZU)</v>
      </c>
    </row>
    <row r="9336" customFormat="false" ht="12.8" hidden="false" customHeight="false" outlineLevel="0" collapsed="false">
      <c r="B9336" s="0" t="s">
        <v>7</v>
      </c>
    </row>
    <row r="9337" customFormat="false" ht="12.8" hidden="false" customHeight="false" outlineLevel="0" collapsed="false">
      <c r="B9337" s="0" t="s">
        <v>11</v>
      </c>
    </row>
    <row r="9339" customFormat="false" ht="12.8" hidden="false" customHeight="false" outlineLevel="0" collapsed="false">
      <c r="A9339" s="0" t="s">
        <v>3836</v>
      </c>
      <c r="B9339" s="0" t="str">
        <f aca="false">HYPERLINK("https://lindat.mff.cuni.cz/services/teitok/pdtc10/index.php?action=vallex&amp;frame=v-w1051f4", "hlásit se (v-w1051f4) - substituted with v-w1051f8_ZU")</f>
        <v>hlásit se (v-w1051f4) - substituted with v-w1051f8_ZU</v>
      </c>
    </row>
    <row r="9340" customFormat="false" ht="12.8" hidden="false" customHeight="false" outlineLevel="0" collapsed="false">
      <c r="B9340" s="0" t="s">
        <v>7</v>
      </c>
      <c r="C9340" s="0" t="s">
        <v>335</v>
      </c>
      <c r="D9340" s="0" t="s">
        <v>3837</v>
      </c>
      <c r="E9340" s="0" t="s">
        <v>3837</v>
      </c>
      <c r="F9340" s="0" t="s">
        <v>3837</v>
      </c>
    </row>
    <row r="9341" customFormat="false" ht="12.8" hidden="false" customHeight="false" outlineLevel="0" collapsed="false">
      <c r="B9341" s="0" t="s">
        <v>11</v>
      </c>
      <c r="D9341" s="0" t="s">
        <v>3838</v>
      </c>
      <c r="E9341" s="0" t="s">
        <v>3838</v>
      </c>
      <c r="F9341" s="0" t="s">
        <v>3838</v>
      </c>
    </row>
    <row r="9343" customFormat="false" ht="12.8" hidden="false" customHeight="false" outlineLevel="0" collapsed="false">
      <c r="A9343" s="0" t="s">
        <v>3839</v>
      </c>
      <c r="B9343" s="0" t="str">
        <f aca="false">HYPERLINK("https://lindat.mff.cuni.cz/services/teitok/pdtc10/index.php?action=vallex&amp;frame=v-w1051f2", "hlásit se (v-w1051f2)")</f>
        <v>hlásit se (v-w1051f2)</v>
      </c>
    </row>
    <row r="9344" customFormat="false" ht="12.8" hidden="false" customHeight="false" outlineLevel="0" collapsed="false">
      <c r="B9344" s="0" t="s">
        <v>7</v>
      </c>
    </row>
    <row r="9345" customFormat="false" ht="12.8" hidden="false" customHeight="false" outlineLevel="0" collapsed="false">
      <c r="B9345" s="0" t="s">
        <v>124</v>
      </c>
    </row>
    <row r="9347" customFormat="false" ht="12.8" hidden="false" customHeight="false" outlineLevel="0" collapsed="false">
      <c r="A9347" s="0" t="s">
        <v>3840</v>
      </c>
      <c r="B9347" s="0" t="str">
        <f aca="false">HYPERLINK("https://lindat.mff.cuni.cz/services/teitok/pdtc10/index.php?action=vallex&amp;frame=v-w1051f6", "hlásit se (v-w1051f6)")</f>
        <v>hlásit se (v-w1051f6)</v>
      </c>
    </row>
    <row r="9348" customFormat="false" ht="12.8" hidden="false" customHeight="false" outlineLevel="0" collapsed="false">
      <c r="B9348" s="0" t="s">
        <v>7</v>
      </c>
    </row>
    <row r="9350" customFormat="false" ht="12.8" hidden="false" customHeight="false" outlineLevel="0" collapsed="false">
      <c r="A9350" s="0" t="s">
        <v>3841</v>
      </c>
      <c r="B9350" s="0" t="str">
        <f aca="false">HYPERLINK("https://lindat.mff.cuni.cz/services/teitok/pdtc10/index.php?action=vallex&amp;frame=v-w12063_ZUf2_MM", "hláskovat (v-w12063_ZUf2_MM)")</f>
        <v>hláskovat (v-w12063_ZUf2_MM)</v>
      </c>
    </row>
    <row r="9351" customFormat="false" ht="12.8" hidden="false" customHeight="false" outlineLevel="0" collapsed="false">
      <c r="B9351" s="0" t="s">
        <v>7</v>
      </c>
    </row>
    <row r="9352" customFormat="false" ht="12.8" hidden="false" customHeight="false" outlineLevel="0" collapsed="false">
      <c r="B9352" s="0" t="s">
        <v>14</v>
      </c>
    </row>
    <row r="9354" customFormat="false" ht="12.8" hidden="false" customHeight="false" outlineLevel="0" collapsed="false">
      <c r="A9354" s="0" t="s">
        <v>3841</v>
      </c>
      <c r="B9354" s="0" t="str">
        <f aca="false">HYPERLINK("https://lindat.mff.cuni.cz/services/teitok/pdtc10/index.php?action=vallex&amp;frame=v-w12063_ZUf1_ZU", "hláskovat (v-w12063_ZUf1_ZU) - substituted with v-w12063_ZUf2_MM")</f>
        <v>hláskovat (v-w12063_ZUf1_ZU) - substituted with v-w12063_ZUf2_MM</v>
      </c>
    </row>
    <row r="9355" customFormat="false" ht="12.8" hidden="false" customHeight="false" outlineLevel="0" collapsed="false">
      <c r="B9355" s="0" t="s">
        <v>7</v>
      </c>
    </row>
    <row r="9356" customFormat="false" ht="12.8" hidden="false" customHeight="false" outlineLevel="0" collapsed="false">
      <c r="B9356" s="0" t="s">
        <v>14</v>
      </c>
    </row>
    <row r="9358" customFormat="false" ht="12.8" hidden="false" customHeight="false" outlineLevel="0" collapsed="false">
      <c r="A9358" s="0" t="s">
        <v>3842</v>
      </c>
      <c r="B9358" s="0" t="str">
        <f aca="false">HYPERLINK("https://lindat.mff.cuni.cz/services/teitok/pdtc10/index.php?action=vallex&amp;frame=v-w1062hsa_171", "hlídat (v-w1062hsa_171)")</f>
        <v>hlídat (v-w1062hsa_171)</v>
      </c>
    </row>
    <row r="9359" customFormat="false" ht="12.8" hidden="false" customHeight="false" outlineLevel="0" collapsed="false">
      <c r="B9359" s="0" t="s">
        <v>7</v>
      </c>
    </row>
    <row r="9360" customFormat="false" ht="12.8" hidden="false" customHeight="false" outlineLevel="0" collapsed="false">
      <c r="B9360" s="0" t="s">
        <v>3843</v>
      </c>
    </row>
    <row r="9362" customFormat="false" ht="12.8" hidden="false" customHeight="false" outlineLevel="0" collapsed="false">
      <c r="A9362" s="0" t="s">
        <v>3842</v>
      </c>
      <c r="B9362" s="0" t="str">
        <f aca="false">HYPERLINK("https://lindat.mff.cuni.cz/services/teitok/pdtc10/index.php?action=vallex&amp;frame=v-w1062f1", "hlídat (v-w1062f1) - substituted with v-w1062hsa_171")</f>
        <v>hlídat (v-w1062f1) - substituted with v-w1062hsa_171</v>
      </c>
    </row>
    <row r="9363" customFormat="false" ht="12.8" hidden="false" customHeight="false" outlineLevel="0" collapsed="false">
      <c r="B9363" s="0" t="s">
        <v>7</v>
      </c>
      <c r="C9363" s="0" t="s">
        <v>3844</v>
      </c>
      <c r="D9363" s="0" t="s">
        <v>569</v>
      </c>
      <c r="E9363" s="0" t="s">
        <v>569</v>
      </c>
      <c r="F9363" s="0" t="s">
        <v>569</v>
      </c>
    </row>
    <row r="9364" customFormat="false" ht="12.8" hidden="false" customHeight="false" outlineLevel="0" collapsed="false">
      <c r="B9364" s="0" t="s">
        <v>3843</v>
      </c>
      <c r="C9364" s="0" t="s">
        <v>3845</v>
      </c>
      <c r="D9364" s="0" t="s">
        <v>33</v>
      </c>
      <c r="E9364" s="0" t="s">
        <v>33</v>
      </c>
      <c r="F9364" s="0" t="s">
        <v>33</v>
      </c>
    </row>
    <row r="9366" customFormat="false" ht="12.8" hidden="false" customHeight="false" outlineLevel="0" collapsed="false">
      <c r="A9366" s="0" t="s">
        <v>3846</v>
      </c>
      <c r="B9366" s="0" t="str">
        <f aca="false">HYPERLINK("https://lindat.mff.cuni.cz/services/teitok/pdtc10/index.php?action=vallex&amp;frame=v-w1063f1", "hlídkovat (v-w1063f1)")</f>
        <v>hlídkovat (v-w1063f1)</v>
      </c>
    </row>
    <row r="9367" customFormat="false" ht="12.8" hidden="false" customHeight="false" outlineLevel="0" collapsed="false">
      <c r="B9367" s="0" t="s">
        <v>7</v>
      </c>
      <c r="D9367" s="0" t="s">
        <v>315</v>
      </c>
      <c r="E9367" s="0" t="s">
        <v>315</v>
      </c>
      <c r="F9367" s="0" t="s">
        <v>315</v>
      </c>
    </row>
    <row r="9369" customFormat="false" ht="12.8" hidden="false" customHeight="false" outlineLevel="0" collapsed="false">
      <c r="A9369" s="0" t="s">
        <v>3847</v>
      </c>
      <c r="B9369" s="0" t="str">
        <f aca="false">HYPERLINK("https://lindat.mff.cuni.cz/services/teitok/pdtc10/index.php?action=vallex&amp;frame=v-whsa_245hsa_246", "hlídávat (v-whsa_245hsa_246)")</f>
        <v>hlídávat (v-whsa_245hsa_246)</v>
      </c>
    </row>
    <row r="9370" customFormat="false" ht="12.8" hidden="false" customHeight="false" outlineLevel="0" collapsed="false">
      <c r="B9370" s="0" t="s">
        <v>7</v>
      </c>
    </row>
    <row r="9371" customFormat="false" ht="12.8" hidden="false" customHeight="false" outlineLevel="0" collapsed="false">
      <c r="B9371" s="0" t="s">
        <v>14</v>
      </c>
    </row>
    <row r="9373" customFormat="false" ht="12.8" hidden="false" customHeight="false" outlineLevel="0" collapsed="false">
      <c r="A9373" s="0" t="s">
        <v>3848</v>
      </c>
      <c r="B9373" s="0" t="str">
        <f aca="false">HYPERLINK("https://lindat.mff.cuni.cz/services/teitok/pdtc10/index.php?action=vallex&amp;frame=v-w1071f1", "hnisat (v-w1071f1)")</f>
        <v>hnisat (v-w1071f1)</v>
      </c>
    </row>
    <row r="9374" customFormat="false" ht="12.8" hidden="false" customHeight="false" outlineLevel="0" collapsed="false">
      <c r="B9374" s="0" t="s">
        <v>7</v>
      </c>
    </row>
    <row r="9376" customFormat="false" ht="12.8" hidden="false" customHeight="false" outlineLevel="0" collapsed="false">
      <c r="A9376" s="0" t="s">
        <v>3849</v>
      </c>
      <c r="B9376" s="0" t="str">
        <f aca="false">HYPERLINK("https://lindat.mff.cuni.cz/services/teitok/pdtc10/index.php?action=vallex&amp;frame=v-w1072f3", "hnout (v-w1072f3)")</f>
        <v>hnout (v-w1072f3)</v>
      </c>
    </row>
    <row r="9377" customFormat="false" ht="12.8" hidden="false" customHeight="false" outlineLevel="0" collapsed="false">
      <c r="B9377" s="0" t="s">
        <v>7</v>
      </c>
    </row>
    <row r="9378" customFormat="false" ht="12.8" hidden="false" customHeight="false" outlineLevel="0" collapsed="false">
      <c r="B9378" s="0" t="s">
        <v>3760</v>
      </c>
    </row>
    <row r="9380" customFormat="false" ht="12.8" hidden="false" customHeight="false" outlineLevel="0" collapsed="false">
      <c r="A9380" s="0" t="s">
        <v>3850</v>
      </c>
      <c r="B9380" s="0" t="str">
        <f aca="false">HYPERLINK("https://lindat.mff.cuni.cz/services/teitok/pdtc10/index.php?action=vallex&amp;frame=v-w1072f1", "hnout (v-w1072f1)")</f>
        <v>hnout (v-w1072f1)</v>
      </c>
    </row>
    <row r="9381" customFormat="false" ht="12.8" hidden="false" customHeight="false" outlineLevel="0" collapsed="false">
      <c r="B9381" s="0" t="s">
        <v>7</v>
      </c>
    </row>
    <row r="9382" customFormat="false" ht="12.8" hidden="false" customHeight="false" outlineLevel="0" collapsed="false">
      <c r="B9382" s="0" t="s">
        <v>3851</v>
      </c>
    </row>
    <row r="9383" customFormat="false" ht="12.8" hidden="false" customHeight="false" outlineLevel="0" collapsed="false">
      <c r="B9383" s="0" t="s">
        <v>142</v>
      </c>
    </row>
    <row r="9385" customFormat="false" ht="12.8" hidden="false" customHeight="false" outlineLevel="0" collapsed="false">
      <c r="A9385" s="0" t="s">
        <v>3852</v>
      </c>
      <c r="B9385" s="0" t="str">
        <f aca="false">HYPERLINK("https://lindat.mff.cuni.cz/services/teitok/pdtc10/index.php?action=vallex&amp;frame=v-w1072f2", "hnout (v-w1072f2)")</f>
        <v>hnout (v-w1072f2)</v>
      </c>
    </row>
    <row r="9386" customFormat="false" ht="12.8" hidden="false" customHeight="false" outlineLevel="0" collapsed="false">
      <c r="B9386" s="0" t="s">
        <v>7</v>
      </c>
    </row>
    <row r="9387" customFormat="false" ht="12.8" hidden="false" customHeight="false" outlineLevel="0" collapsed="false">
      <c r="B9387" s="0" t="s">
        <v>3853</v>
      </c>
    </row>
    <row r="9389" customFormat="false" ht="12.8" hidden="false" customHeight="false" outlineLevel="0" collapsed="false">
      <c r="A9389" s="0" t="s">
        <v>3854</v>
      </c>
      <c r="B9389" s="0" t="str">
        <f aca="false">HYPERLINK("https://lindat.mff.cuni.cz/services/teitok/pdtc10/index.php?action=vallex&amp;frame=v-w1073f1", "hnout se (v-w1073f1)")</f>
        <v>hnout se (v-w1073f1)</v>
      </c>
    </row>
    <row r="9390" customFormat="false" ht="12.8" hidden="false" customHeight="false" outlineLevel="0" collapsed="false">
      <c r="B9390" s="0" t="s">
        <v>7</v>
      </c>
      <c r="C9390" s="0" t="s">
        <v>3855</v>
      </c>
      <c r="D9390" s="0" t="s">
        <v>3856</v>
      </c>
      <c r="E9390" s="0" t="s">
        <v>3856</v>
      </c>
      <c r="F9390" s="0" t="s">
        <v>3856</v>
      </c>
    </row>
    <row r="9392" customFormat="false" ht="12.8" hidden="false" customHeight="false" outlineLevel="0" collapsed="false">
      <c r="A9392" s="0" t="s">
        <v>3857</v>
      </c>
      <c r="B9392" s="0" t="str">
        <f aca="false">HYPERLINK("https://lindat.mff.cuni.cz/services/teitok/pdtc10/index.php?action=vallex&amp;frame=v-w1067f2", "hnát (v-w1067f2)")</f>
        <v>hnát (v-w1067f2)</v>
      </c>
    </row>
    <row r="9393" customFormat="false" ht="12.8" hidden="false" customHeight="false" outlineLevel="0" collapsed="false">
      <c r="B9393" s="0" t="s">
        <v>7</v>
      </c>
      <c r="C9393" s="0" t="s">
        <v>43</v>
      </c>
      <c r="D9393" s="0" t="s">
        <v>2323</v>
      </c>
      <c r="E9393" s="0" t="s">
        <v>2323</v>
      </c>
      <c r="F9393" s="0" t="s">
        <v>2323</v>
      </c>
    </row>
    <row r="9394" customFormat="false" ht="12.8" hidden="false" customHeight="false" outlineLevel="0" collapsed="false">
      <c r="B9394" s="0" t="s">
        <v>14</v>
      </c>
      <c r="C9394" s="0" t="s">
        <v>3858</v>
      </c>
      <c r="D9394" s="0" t="s">
        <v>1918</v>
      </c>
      <c r="E9394" s="0" t="s">
        <v>1918</v>
      </c>
      <c r="F9394" s="0" t="s">
        <v>1918</v>
      </c>
    </row>
    <row r="9395" customFormat="false" ht="12.8" hidden="false" customHeight="false" outlineLevel="0" collapsed="false">
      <c r="B9395" s="0" t="s">
        <v>279</v>
      </c>
      <c r="D9395" s="0" t="s">
        <v>2325</v>
      </c>
      <c r="E9395" s="0" t="s">
        <v>2325</v>
      </c>
      <c r="F9395" s="0" t="s">
        <v>2325</v>
      </c>
    </row>
    <row r="9397" customFormat="false" ht="12.8" hidden="false" customHeight="false" outlineLevel="0" collapsed="false">
      <c r="A9397" s="0" t="s">
        <v>3859</v>
      </c>
      <c r="B9397" s="0" t="str">
        <f aca="false">HYPERLINK("https://lindat.mff.cuni.cz/services/teitok/pdtc10/index.php?action=vallex&amp;frame=v-w1067f1", "hnát (v-w1067f1)")</f>
        <v>hnát (v-w1067f1)</v>
      </c>
    </row>
    <row r="9398" customFormat="false" ht="12.8" hidden="false" customHeight="false" outlineLevel="0" collapsed="false">
      <c r="B9398" s="0" t="s">
        <v>7</v>
      </c>
      <c r="C9398" s="0" t="s">
        <v>3664</v>
      </c>
    </row>
    <row r="9399" customFormat="false" ht="12.8" hidden="false" customHeight="false" outlineLevel="0" collapsed="false">
      <c r="B9399" s="0" t="s">
        <v>14</v>
      </c>
      <c r="C9399" s="0" t="s">
        <v>3860</v>
      </c>
    </row>
    <row r="9401" customFormat="false" ht="12.8" hidden="false" customHeight="false" outlineLevel="0" collapsed="false">
      <c r="A9401" s="0" t="s">
        <v>3861</v>
      </c>
      <c r="B9401" s="0" t="str">
        <f aca="false">HYPERLINK("https://lindat.mff.cuni.cz/services/teitok/pdtc10/index.php?action=vallex&amp;frame=v-w1067f3", "hnát (v-w1067f3)")</f>
        <v>hnát (v-w1067f3)</v>
      </c>
    </row>
    <row r="9402" customFormat="false" ht="12.8" hidden="false" customHeight="false" outlineLevel="0" collapsed="false">
      <c r="B9402" s="0" t="s">
        <v>7</v>
      </c>
    </row>
    <row r="9404" customFormat="false" ht="12.8" hidden="false" customHeight="false" outlineLevel="0" collapsed="false">
      <c r="A9404" s="0" t="s">
        <v>3862</v>
      </c>
      <c r="B9404" s="0" t="str">
        <f aca="false">HYPERLINK("https://lindat.mff.cuni.cz/services/teitok/pdtc10/index.php?action=vallex&amp;frame=v-w1067f4_ZU", "hnát (v-w1067f4_ZU)")</f>
        <v>hnát (v-w1067f4_ZU)</v>
      </c>
    </row>
    <row r="9405" customFormat="false" ht="12.8" hidden="false" customHeight="false" outlineLevel="0" collapsed="false">
      <c r="B9405" s="0" t="s">
        <v>7</v>
      </c>
    </row>
    <row r="9406" customFormat="false" ht="12.8" hidden="false" customHeight="false" outlineLevel="0" collapsed="false">
      <c r="B9406" s="0" t="s">
        <v>14</v>
      </c>
    </row>
    <row r="9408" customFormat="false" ht="12.8" hidden="false" customHeight="false" outlineLevel="0" collapsed="false">
      <c r="A9408" s="0" t="s">
        <v>3863</v>
      </c>
      <c r="B9408" s="0" t="str">
        <f aca="false">HYPERLINK("https://lindat.mff.cuni.cz/services/teitok/pdtc10/index.php?action=vallex&amp;frame=v-w1067hsa_2031", "hnát (v-w1067hsa_2031)")</f>
        <v>hnát (v-w1067hsa_2031)</v>
      </c>
    </row>
    <row r="9409" customFormat="false" ht="12.8" hidden="false" customHeight="false" outlineLevel="0" collapsed="false">
      <c r="B9409" s="0" t="s">
        <v>7</v>
      </c>
    </row>
    <row r="9410" customFormat="false" ht="12.8" hidden="false" customHeight="false" outlineLevel="0" collapsed="false">
      <c r="B9410" s="0" t="s">
        <v>14</v>
      </c>
    </row>
    <row r="9412" customFormat="false" ht="12.8" hidden="false" customHeight="false" outlineLevel="0" collapsed="false">
      <c r="A9412" s="0" t="s">
        <v>3864</v>
      </c>
      <c r="B9412" s="0" t="str">
        <f aca="false">HYPERLINK("https://lindat.mff.cuni.cz/services/teitok/pdtc10/index.php?action=vallex&amp;frame=v-w1067hsa_2032", "hnát (v-w1067hsa_2032)")</f>
        <v>hnát (v-w1067hsa_2032)</v>
      </c>
    </row>
    <row r="9413" customFormat="false" ht="12.8" hidden="false" customHeight="false" outlineLevel="0" collapsed="false">
      <c r="B9413" s="0" t="s">
        <v>7</v>
      </c>
    </row>
    <row r="9414" customFormat="false" ht="12.8" hidden="false" customHeight="false" outlineLevel="0" collapsed="false">
      <c r="B9414" s="0" t="s">
        <v>237</v>
      </c>
    </row>
    <row r="9415" customFormat="false" ht="12.8" hidden="false" customHeight="false" outlineLevel="0" collapsed="false">
      <c r="B9415" s="0" t="s">
        <v>81</v>
      </c>
    </row>
    <row r="9417" customFormat="false" ht="12.8" hidden="false" customHeight="false" outlineLevel="0" collapsed="false">
      <c r="A9417" s="0" t="s">
        <v>3865</v>
      </c>
      <c r="B9417" s="0" t="str">
        <f aca="false">HYPERLINK("https://lindat.mff.cuni.cz/services/teitok/pdtc10/index.php?action=vallex&amp;frame=v-w1068f1", "hnát se (v-w1068f1)")</f>
        <v>hnát se (v-w1068f1)</v>
      </c>
    </row>
    <row r="9418" customFormat="false" ht="12.8" hidden="false" customHeight="false" outlineLevel="0" collapsed="false">
      <c r="B9418" s="0" t="s">
        <v>7</v>
      </c>
      <c r="C9418" s="0" t="s">
        <v>3866</v>
      </c>
      <c r="D9418" s="0" t="s">
        <v>3867</v>
      </c>
      <c r="E9418" s="0" t="s">
        <v>3867</v>
      </c>
      <c r="F9418" s="0" t="s">
        <v>3867</v>
      </c>
    </row>
    <row r="9419" customFormat="false" ht="12.8" hidden="false" customHeight="false" outlineLevel="0" collapsed="false">
      <c r="B9419" s="0" t="s">
        <v>279</v>
      </c>
      <c r="D9419" s="0" t="s">
        <v>3868</v>
      </c>
      <c r="E9419" s="0" t="s">
        <v>3868</v>
      </c>
      <c r="F9419" s="0" t="s">
        <v>3868</v>
      </c>
    </row>
    <row r="9421" customFormat="false" ht="12.8" hidden="false" customHeight="false" outlineLevel="0" collapsed="false">
      <c r="A9421" s="0" t="s">
        <v>3869</v>
      </c>
      <c r="B9421" s="0" t="str">
        <f aca="false">HYPERLINK("https://lindat.mff.cuni.cz/services/teitok/pdtc10/index.php?action=vallex&amp;frame=v-w1068f2", "hnát se (v-w1068f2)")</f>
        <v>hnát se (v-w1068f2)</v>
      </c>
    </row>
    <row r="9422" customFormat="false" ht="12.8" hidden="false" customHeight="false" outlineLevel="0" collapsed="false">
      <c r="B9422" s="0" t="s">
        <v>7</v>
      </c>
    </row>
    <row r="9424" customFormat="false" ht="12.8" hidden="false" customHeight="false" outlineLevel="0" collapsed="false">
      <c r="A9424" s="0" t="s">
        <v>3870</v>
      </c>
      <c r="B9424" s="0" t="str">
        <f aca="false">HYPERLINK("https://lindat.mff.cuni.cz/services/teitok/pdtc10/index.php?action=vallex&amp;frame=v-w1068hsa_1263", "hnát se (v-w1068hsa_1263)")</f>
        <v>hnát se (v-w1068hsa_1263)</v>
      </c>
    </row>
    <row r="9425" customFormat="false" ht="12.8" hidden="false" customHeight="false" outlineLevel="0" collapsed="false">
      <c r="B9425" s="0" t="s">
        <v>7</v>
      </c>
      <c r="C9425" s="0" t="s">
        <v>247</v>
      </c>
      <c r="D9425" s="0" t="s">
        <v>3867</v>
      </c>
      <c r="E9425" s="0" t="s">
        <v>3867</v>
      </c>
      <c r="F9425" s="0" t="s">
        <v>3867</v>
      </c>
    </row>
    <row r="9426" customFormat="false" ht="12.8" hidden="false" customHeight="false" outlineLevel="0" collapsed="false">
      <c r="B9426" s="0" t="s">
        <v>3871</v>
      </c>
      <c r="D9426" s="0" t="s">
        <v>3872</v>
      </c>
      <c r="E9426" s="0" t="s">
        <v>3872</v>
      </c>
      <c r="F9426" s="0" t="s">
        <v>3872</v>
      </c>
    </row>
    <row r="9428" customFormat="false" ht="12.8" hidden="false" customHeight="false" outlineLevel="0" collapsed="false">
      <c r="A9428" s="0" t="s">
        <v>3873</v>
      </c>
      <c r="B9428" s="0" t="str">
        <f aca="false">HYPERLINK("https://lindat.mff.cuni.cz/services/teitok/pdtc10/index.php?action=vallex&amp;frame=v-w12108_ZUf2_ZU", "hnít (v-w12108_ZUf2_ZU)")</f>
        <v>hnít (v-w12108_ZUf2_ZU)</v>
      </c>
    </row>
    <row r="9429" customFormat="false" ht="12.8" hidden="false" customHeight="false" outlineLevel="0" collapsed="false">
      <c r="B9429" s="0" t="s">
        <v>7</v>
      </c>
    </row>
    <row r="9431" customFormat="false" ht="12.8" hidden="false" customHeight="false" outlineLevel="0" collapsed="false">
      <c r="A9431" s="0" t="s">
        <v>3873</v>
      </c>
      <c r="B9431" s="0" t="str">
        <f aca="false">HYPERLINK("https://lindat.mff.cuni.cz/services/teitok/pdtc10/index.php?action=vallex&amp;frame=v-w12108_ZUf1_ZU", "hnít (v-w12108_ZUf1_ZU) - substituted with v-w12108_ZUf2_ZU")</f>
        <v>hnít (v-w12108_ZUf1_ZU) - substituted with v-w12108_ZUf2_ZU</v>
      </c>
    </row>
    <row r="9432" customFormat="false" ht="12.8" hidden="false" customHeight="false" outlineLevel="0" collapsed="false">
      <c r="B9432" s="0" t="s">
        <v>7</v>
      </c>
    </row>
    <row r="9434" customFormat="false" ht="12.8" hidden="false" customHeight="false" outlineLevel="0" collapsed="false">
      <c r="A9434" s="0" t="s">
        <v>3874</v>
      </c>
      <c r="B9434" s="0" t="str">
        <f aca="false">HYPERLINK("https://lindat.mff.cuni.cz/services/teitok/pdtc10/index.php?action=vallex&amp;frame=v-w1070f1", "hněvat se (v-w1070f1)")</f>
        <v>hněvat se (v-w1070f1)</v>
      </c>
    </row>
    <row r="9435" customFormat="false" ht="12.8" hidden="false" customHeight="false" outlineLevel="0" collapsed="false">
      <c r="B9435" s="0" t="s">
        <v>7</v>
      </c>
    </row>
    <row r="9436" customFormat="false" ht="12.8" hidden="false" customHeight="false" outlineLevel="0" collapsed="false">
      <c r="B9436" s="0" t="s">
        <v>63</v>
      </c>
    </row>
    <row r="9438" customFormat="false" ht="12.8" hidden="false" customHeight="false" outlineLevel="0" collapsed="false">
      <c r="A9438" s="0" t="s">
        <v>3875</v>
      </c>
      <c r="B9438" s="0" t="str">
        <f aca="false">HYPERLINK("https://lindat.mff.cuni.cz/services/teitok/pdtc10/index.php?action=vallex&amp;frame=v-w12276_ZUf2_MM", "hoblovat (v-w12276_ZUf2_MM)")</f>
        <v>hoblovat (v-w12276_ZUf2_MM)</v>
      </c>
    </row>
    <row r="9439" customFormat="false" ht="12.8" hidden="false" customHeight="false" outlineLevel="0" collapsed="false">
      <c r="B9439" s="0" t="s">
        <v>7</v>
      </c>
    </row>
    <row r="9440" customFormat="false" ht="12.8" hidden="false" customHeight="false" outlineLevel="0" collapsed="false">
      <c r="B9440" s="0" t="s">
        <v>14</v>
      </c>
    </row>
    <row r="9442" customFormat="false" ht="12.8" hidden="false" customHeight="false" outlineLevel="0" collapsed="false">
      <c r="A9442" s="0" t="s">
        <v>3875</v>
      </c>
      <c r="B9442" s="0" t="str">
        <f aca="false">HYPERLINK("https://lindat.mff.cuni.cz/services/teitok/pdtc10/index.php?action=vallex&amp;frame=v-w12276_ZUf1_ZU", "hoblovat (v-w12276_ZUf1_ZU) - substituted with v-w12276_ZUf2_MM")</f>
        <v>hoblovat (v-w12276_ZUf1_ZU) - substituted with v-w12276_ZUf2_MM</v>
      </c>
    </row>
    <row r="9443" customFormat="false" ht="12.8" hidden="false" customHeight="false" outlineLevel="0" collapsed="false">
      <c r="B9443" s="0" t="s">
        <v>7</v>
      </c>
    </row>
    <row r="9444" customFormat="false" ht="12.8" hidden="false" customHeight="false" outlineLevel="0" collapsed="false">
      <c r="B9444" s="0" t="s">
        <v>14</v>
      </c>
    </row>
    <row r="9446" customFormat="false" ht="12.8" hidden="false" customHeight="false" outlineLevel="0" collapsed="false">
      <c r="A9446" s="0" t="s">
        <v>3876</v>
      </c>
      <c r="B9446" s="0" t="str">
        <f aca="false">HYPERLINK("https://lindat.mff.cuni.cz/services/teitok/pdtc10/index.php?action=vallex&amp;frame=v-w1076f5", "hodit (v-w1076f5)")</f>
        <v>hodit (v-w1076f5)</v>
      </c>
    </row>
    <row r="9447" customFormat="false" ht="12.8" hidden="false" customHeight="false" outlineLevel="0" collapsed="false">
      <c r="B9447" s="0" t="s">
        <v>7</v>
      </c>
    </row>
    <row r="9448" customFormat="false" ht="12.8" hidden="false" customHeight="false" outlineLevel="0" collapsed="false">
      <c r="B9448" s="0" t="s">
        <v>14</v>
      </c>
    </row>
    <row r="9449" customFormat="false" ht="12.8" hidden="false" customHeight="false" outlineLevel="0" collapsed="false">
      <c r="B9449" s="0" t="s">
        <v>48</v>
      </c>
    </row>
    <row r="9451" customFormat="false" ht="12.8" hidden="false" customHeight="false" outlineLevel="0" collapsed="false">
      <c r="A9451" s="0" t="s">
        <v>3877</v>
      </c>
      <c r="B9451" s="0" t="str">
        <f aca="false">HYPERLINK("https://lindat.mff.cuni.cz/services/teitok/pdtc10/index.php?action=vallex&amp;frame=v-w1076f8", "hodit (v-w1076f8)")</f>
        <v>hodit (v-w1076f8)</v>
      </c>
    </row>
    <row r="9452" customFormat="false" ht="12.8" hidden="false" customHeight="false" outlineLevel="0" collapsed="false">
      <c r="B9452" s="0" t="s">
        <v>7</v>
      </c>
      <c r="C9452" s="0" t="s">
        <v>2736</v>
      </c>
      <c r="D9452" s="0" t="s">
        <v>194</v>
      </c>
      <c r="E9452" s="0" t="s">
        <v>194</v>
      </c>
      <c r="F9452" s="0" t="s">
        <v>194</v>
      </c>
    </row>
    <row r="9453" customFormat="false" ht="12.8" hidden="false" customHeight="false" outlineLevel="0" collapsed="false">
      <c r="B9453" s="0" t="s">
        <v>1836</v>
      </c>
      <c r="C9453" s="0" t="s">
        <v>1315</v>
      </c>
      <c r="D9453" s="0" t="s">
        <v>110</v>
      </c>
      <c r="E9453" s="0" t="s">
        <v>110</v>
      </c>
      <c r="F9453" s="0" t="s">
        <v>110</v>
      </c>
    </row>
    <row r="9454" customFormat="false" ht="12.8" hidden="false" customHeight="false" outlineLevel="0" collapsed="false">
      <c r="B9454" s="0" t="s">
        <v>106</v>
      </c>
      <c r="D9454" s="0" t="s">
        <v>1165</v>
      </c>
      <c r="E9454" s="0" t="s">
        <v>1165</v>
      </c>
      <c r="F9454" s="0" t="s">
        <v>1165</v>
      </c>
    </row>
    <row r="9456" customFormat="false" ht="12.8" hidden="false" customHeight="false" outlineLevel="0" collapsed="false">
      <c r="A9456" s="0" t="s">
        <v>3878</v>
      </c>
      <c r="B9456" s="0" t="str">
        <f aca="false">HYPERLINK("https://lindat.mff.cuni.cz/services/teitok/pdtc10/index.php?action=vallex&amp;frame=v-w1076f1", "hodit (v-w1076f1)")</f>
        <v>hodit (v-w1076f1)</v>
      </c>
    </row>
    <row r="9457" customFormat="false" ht="12.8" hidden="false" customHeight="false" outlineLevel="0" collapsed="false">
      <c r="B9457" s="0" t="s">
        <v>7</v>
      </c>
      <c r="C9457" s="0" t="s">
        <v>1226</v>
      </c>
      <c r="D9457" s="0" t="s">
        <v>1226</v>
      </c>
      <c r="E9457" s="0" t="s">
        <v>1226</v>
      </c>
      <c r="F9457" s="0" t="s">
        <v>1226</v>
      </c>
    </row>
    <row r="9458" customFormat="false" ht="12.8" hidden="false" customHeight="false" outlineLevel="0" collapsed="false">
      <c r="B9458" s="0" t="s">
        <v>14</v>
      </c>
      <c r="C9458" s="0" t="s">
        <v>26</v>
      </c>
      <c r="D9458" s="0" t="s">
        <v>26</v>
      </c>
      <c r="E9458" s="0" t="s">
        <v>26</v>
      </c>
      <c r="F9458" s="0" t="s">
        <v>26</v>
      </c>
    </row>
    <row r="9459" customFormat="false" ht="12.8" hidden="false" customHeight="false" outlineLevel="0" collapsed="false">
      <c r="B9459" s="0" t="s">
        <v>124</v>
      </c>
    </row>
    <row r="9461" customFormat="false" ht="12.8" hidden="false" customHeight="false" outlineLevel="0" collapsed="false">
      <c r="A9461" s="0" t="s">
        <v>3879</v>
      </c>
      <c r="B9461" s="0" t="str">
        <f aca="false">HYPERLINK("https://lindat.mff.cuni.cz/services/teitok/pdtc10/index.php?action=vallex&amp;frame=v-w1076f6", "hodit (v-w1076f6)")</f>
        <v>hodit (v-w1076f6)</v>
      </c>
    </row>
    <row r="9462" customFormat="false" ht="12.8" hidden="false" customHeight="false" outlineLevel="0" collapsed="false">
      <c r="B9462" s="0" t="s">
        <v>7</v>
      </c>
    </row>
    <row r="9463" customFormat="false" ht="12.8" hidden="false" customHeight="false" outlineLevel="0" collapsed="false">
      <c r="B9463" s="0" t="s">
        <v>216</v>
      </c>
    </row>
    <row r="9465" customFormat="false" ht="12.8" hidden="false" customHeight="false" outlineLevel="0" collapsed="false">
      <c r="A9465" s="0" t="s">
        <v>3880</v>
      </c>
      <c r="B9465" s="0" t="str">
        <f aca="false">HYPERLINK("https://lindat.mff.cuni.cz/services/teitok/pdtc10/index.php?action=vallex&amp;frame=v-w1076f4", "hodit (v-w1076f4)")</f>
        <v>hodit (v-w1076f4)</v>
      </c>
    </row>
    <row r="9466" customFormat="false" ht="12.8" hidden="false" customHeight="false" outlineLevel="0" collapsed="false">
      <c r="B9466" s="0" t="s">
        <v>7</v>
      </c>
    </row>
    <row r="9467" customFormat="false" ht="12.8" hidden="false" customHeight="false" outlineLevel="0" collapsed="false">
      <c r="B9467" s="0" t="s">
        <v>3881</v>
      </c>
    </row>
    <row r="9468" customFormat="false" ht="12.8" hidden="false" customHeight="false" outlineLevel="0" collapsed="false">
      <c r="B9468" s="0" t="s">
        <v>14</v>
      </c>
      <c r="C9468" s="0" t="s">
        <v>585</v>
      </c>
    </row>
    <row r="9470" customFormat="false" ht="12.8" hidden="false" customHeight="false" outlineLevel="0" collapsed="false">
      <c r="A9470" s="0" t="s">
        <v>3882</v>
      </c>
      <c r="B9470" s="0" t="str">
        <f aca="false">HYPERLINK("https://lindat.mff.cuni.cz/services/teitok/pdtc10/index.php?action=vallex&amp;frame=v-w1076f2", "hodit (v-w1076f2)")</f>
        <v>hodit (v-w1076f2)</v>
      </c>
    </row>
    <row r="9471" customFormat="false" ht="12.8" hidden="false" customHeight="false" outlineLevel="0" collapsed="false">
      <c r="B9471" s="0" t="s">
        <v>7</v>
      </c>
      <c r="C9471" s="0" t="s">
        <v>191</v>
      </c>
      <c r="D9471" s="0" t="s">
        <v>2560</v>
      </c>
      <c r="E9471" s="0" t="s">
        <v>2560</v>
      </c>
      <c r="F9471" s="0" t="s">
        <v>2560</v>
      </c>
    </row>
    <row r="9472" customFormat="false" ht="12.8" hidden="false" customHeight="false" outlineLevel="0" collapsed="false">
      <c r="B9472" s="0" t="s">
        <v>1310</v>
      </c>
    </row>
    <row r="9473" customFormat="false" ht="12.8" hidden="false" customHeight="false" outlineLevel="0" collapsed="false">
      <c r="B9473" s="0" t="s">
        <v>14</v>
      </c>
      <c r="C9473" s="0" t="s">
        <v>155</v>
      </c>
      <c r="D9473" s="0" t="s">
        <v>3883</v>
      </c>
      <c r="E9473" s="0" t="s">
        <v>3883</v>
      </c>
      <c r="F9473" s="0" t="s">
        <v>3883</v>
      </c>
    </row>
    <row r="9475" customFormat="false" ht="12.8" hidden="false" customHeight="false" outlineLevel="0" collapsed="false">
      <c r="A9475" s="0" t="s">
        <v>3884</v>
      </c>
      <c r="B9475" s="0" t="str">
        <f aca="false">HYPERLINK("https://lindat.mff.cuni.cz/services/teitok/pdtc10/index.php?action=vallex&amp;frame=v-w1076f3", "hodit (v-w1076f3)")</f>
        <v>hodit (v-w1076f3)</v>
      </c>
    </row>
    <row r="9476" customFormat="false" ht="12.8" hidden="false" customHeight="false" outlineLevel="0" collapsed="false">
      <c r="B9476" s="0" t="s">
        <v>7</v>
      </c>
    </row>
    <row r="9477" customFormat="false" ht="12.8" hidden="false" customHeight="false" outlineLevel="0" collapsed="false">
      <c r="B9477" s="0" t="s">
        <v>3885</v>
      </c>
    </row>
    <row r="9479" customFormat="false" ht="12.8" hidden="false" customHeight="false" outlineLevel="0" collapsed="false">
      <c r="A9479" s="0" t="s">
        <v>3886</v>
      </c>
      <c r="B9479" s="0" t="str">
        <f aca="false">HYPERLINK("https://lindat.mff.cuni.cz/services/teitok/pdtc10/index.php?action=vallex&amp;frame=v-w1076f9_ZU", "hodit (v-w1076f9_ZU)")</f>
        <v>hodit (v-w1076f9_ZU)</v>
      </c>
    </row>
    <row r="9480" customFormat="false" ht="12.8" hidden="false" customHeight="false" outlineLevel="0" collapsed="false">
      <c r="B9480" s="0" t="s">
        <v>7</v>
      </c>
      <c r="C9480" s="0" t="s">
        <v>46</v>
      </c>
      <c r="D9480" s="0" t="s">
        <v>1399</v>
      </c>
      <c r="E9480" s="0" t="s">
        <v>1399</v>
      </c>
      <c r="F9480" s="0" t="s">
        <v>1399</v>
      </c>
    </row>
    <row r="9481" customFormat="false" ht="12.8" hidden="false" customHeight="false" outlineLevel="0" collapsed="false">
      <c r="B9481" s="0" t="s">
        <v>3887</v>
      </c>
      <c r="C9481" s="0" t="s">
        <v>3888</v>
      </c>
    </row>
    <row r="9483" customFormat="false" ht="12.8" hidden="false" customHeight="false" outlineLevel="0" collapsed="false">
      <c r="A9483" s="0" t="s">
        <v>3886</v>
      </c>
      <c r="B9483" s="0" t="str">
        <f aca="false">HYPERLINK("https://lindat.mff.cuni.cz/services/teitok/pdtc10/index.php?action=vallex&amp;frame=v-w1076hsa_204", "hodit (v-w1076hsa_204) - substituted with v-w1076f9_ZU")</f>
        <v>hodit (v-w1076hsa_204) - substituted with v-w1076f9_ZU</v>
      </c>
    </row>
    <row r="9484" customFormat="false" ht="12.8" hidden="false" customHeight="false" outlineLevel="0" collapsed="false">
      <c r="B9484" s="0" t="s">
        <v>7</v>
      </c>
    </row>
    <row r="9485" customFormat="false" ht="12.8" hidden="false" customHeight="false" outlineLevel="0" collapsed="false">
      <c r="B9485" s="0" t="s">
        <v>3887</v>
      </c>
    </row>
    <row r="9487" customFormat="false" ht="12.8" hidden="false" customHeight="false" outlineLevel="0" collapsed="false">
      <c r="A9487" s="0" t="s">
        <v>3889</v>
      </c>
      <c r="B9487" s="0" t="str">
        <f aca="false">HYPERLINK("https://lindat.mff.cuni.cz/services/teitok/pdtc10/index.php?action=vallex&amp;frame=v-w1076f10_ZU", "hodit (v-w1076f10_ZU)")</f>
        <v>hodit (v-w1076f10_ZU)</v>
      </c>
    </row>
    <row r="9488" customFormat="false" ht="12.8" hidden="false" customHeight="false" outlineLevel="0" collapsed="false">
      <c r="B9488" s="0" t="s">
        <v>7</v>
      </c>
    </row>
    <row r="9489" customFormat="false" ht="12.8" hidden="false" customHeight="false" outlineLevel="0" collapsed="false">
      <c r="B9489" s="0" t="s">
        <v>14</v>
      </c>
    </row>
    <row r="9490" customFormat="false" ht="12.8" hidden="false" customHeight="false" outlineLevel="0" collapsed="false">
      <c r="B9490" s="0" t="s">
        <v>338</v>
      </c>
    </row>
    <row r="9492" customFormat="false" ht="12.8" hidden="false" customHeight="false" outlineLevel="0" collapsed="false">
      <c r="A9492" s="0" t="s">
        <v>3890</v>
      </c>
      <c r="B9492" s="0" t="str">
        <f aca="false">HYPERLINK("https://lindat.mff.cuni.cz/services/teitok/pdtc10/index.php?action=vallex&amp;frame=v-w1077f4_ZU", "hodit se (v-w1077f4_ZU)")</f>
        <v>hodit se (v-w1077f4_ZU)</v>
      </c>
    </row>
    <row r="9493" customFormat="false" ht="12.8" hidden="false" customHeight="false" outlineLevel="0" collapsed="false">
      <c r="B9493" s="0" t="s">
        <v>3891</v>
      </c>
    </row>
    <row r="9494" customFormat="false" ht="12.8" hidden="false" customHeight="false" outlineLevel="0" collapsed="false">
      <c r="B9494" s="0" t="s">
        <v>3892</v>
      </c>
    </row>
    <row r="9495" customFormat="false" ht="12.8" hidden="false" customHeight="false" outlineLevel="0" collapsed="false">
      <c r="B9495" s="0" t="s">
        <v>3893</v>
      </c>
    </row>
    <row r="9497" customFormat="false" ht="12.8" hidden="false" customHeight="false" outlineLevel="0" collapsed="false">
      <c r="A9497" s="0" t="s">
        <v>3890</v>
      </c>
      <c r="B9497" s="0" t="str">
        <f aca="false">HYPERLINK("https://lindat.mff.cuni.cz/services/teitok/pdtc10/index.php?action=vallex&amp;frame=v-w1077f1", "hodit se (v-w1077f1) - substituted with v-w1077f4_ZU")</f>
        <v>hodit se (v-w1077f1) - substituted with v-w1077f4_ZU</v>
      </c>
    </row>
    <row r="9498" customFormat="false" ht="12.8" hidden="false" customHeight="false" outlineLevel="0" collapsed="false">
      <c r="B9498" s="0" t="s">
        <v>3891</v>
      </c>
      <c r="C9498" s="0" t="s">
        <v>3894</v>
      </c>
      <c r="D9498" s="0" t="s">
        <v>3895</v>
      </c>
      <c r="E9498" s="0" t="s">
        <v>3895</v>
      </c>
      <c r="F9498" s="0" t="s">
        <v>3895</v>
      </c>
    </row>
    <row r="9499" customFormat="false" ht="12.8" hidden="false" customHeight="false" outlineLevel="0" collapsed="false">
      <c r="B9499" s="0" t="s">
        <v>3892</v>
      </c>
      <c r="C9499" s="0" t="s">
        <v>3896</v>
      </c>
      <c r="D9499" s="0" t="s">
        <v>3897</v>
      </c>
      <c r="E9499" s="0" t="s">
        <v>3897</v>
      </c>
      <c r="F9499" s="0" t="s">
        <v>3897</v>
      </c>
    </row>
    <row r="9500" customFormat="false" ht="12.8" hidden="false" customHeight="false" outlineLevel="0" collapsed="false">
      <c r="B9500" s="0" t="s">
        <v>3893</v>
      </c>
    </row>
    <row r="9502" customFormat="false" ht="12.8" hidden="false" customHeight="false" outlineLevel="0" collapsed="false">
      <c r="A9502" s="0" t="s">
        <v>3890</v>
      </c>
      <c r="B9502" s="0" t="str">
        <f aca="false">HYPERLINK("https://lindat.mff.cuni.cz/services/teitok/pdtc10/index.php?action=vallex&amp;frame=v-w1077f3_ZU", "hodit se (v-w1077f3_ZU) - substituted with v-w1077f4_ZU")</f>
        <v>hodit se (v-w1077f3_ZU) - substituted with v-w1077f4_ZU</v>
      </c>
    </row>
    <row r="9503" customFormat="false" ht="12.8" hidden="false" customHeight="false" outlineLevel="0" collapsed="false">
      <c r="B9503" s="0" t="s">
        <v>3891</v>
      </c>
    </row>
    <row r="9504" customFormat="false" ht="12.8" hidden="false" customHeight="false" outlineLevel="0" collapsed="false">
      <c r="B9504" s="0" t="s">
        <v>3892</v>
      </c>
    </row>
    <row r="9505" customFormat="false" ht="12.8" hidden="false" customHeight="false" outlineLevel="0" collapsed="false">
      <c r="B9505" s="0" t="s">
        <v>3893</v>
      </c>
    </row>
    <row r="9507" customFormat="false" ht="12.8" hidden="false" customHeight="false" outlineLevel="0" collapsed="false">
      <c r="A9507" s="0" t="s">
        <v>3898</v>
      </c>
      <c r="B9507" s="0" t="str">
        <f aca="false">HYPERLINK("https://lindat.mff.cuni.cz/services/teitok/pdtc10/index.php?action=vallex&amp;frame=v-w1077f2", "hodit se (v-w1077f2)")</f>
        <v>hodit se (v-w1077f2)</v>
      </c>
    </row>
    <row r="9508" customFormat="false" ht="12.8" hidden="false" customHeight="false" outlineLevel="0" collapsed="false">
      <c r="B9508" s="0" t="s">
        <v>457</v>
      </c>
      <c r="D9508" s="0" t="s">
        <v>3899</v>
      </c>
      <c r="E9508" s="0" t="s">
        <v>3899</v>
      </c>
      <c r="F9508" s="0" t="s">
        <v>3899</v>
      </c>
    </row>
    <row r="9509" customFormat="false" ht="12.8" hidden="false" customHeight="false" outlineLevel="0" collapsed="false">
      <c r="B9509" s="0" t="s">
        <v>124</v>
      </c>
      <c r="D9509" s="0" t="s">
        <v>3900</v>
      </c>
      <c r="E9509" s="0" t="s">
        <v>3900</v>
      </c>
      <c r="F9509" s="0" t="s">
        <v>3900</v>
      </c>
    </row>
    <row r="9511" customFormat="false" ht="12.8" hidden="false" customHeight="false" outlineLevel="0" collapsed="false">
      <c r="A9511" s="0" t="s">
        <v>3901</v>
      </c>
      <c r="B9511" s="0" t="str">
        <f aca="false">HYPERLINK("https://lindat.mff.cuni.cz/services/teitok/pdtc10/index.php?action=vallex&amp;frame=v-w1077f5_ZU", "hodit se (v-w1077f5_ZU)")</f>
        <v>hodit se (v-w1077f5_ZU)</v>
      </c>
    </row>
    <row r="9512" customFormat="false" ht="12.8" hidden="false" customHeight="false" outlineLevel="0" collapsed="false">
      <c r="B9512" s="0" t="s">
        <v>7</v>
      </c>
    </row>
    <row r="9513" customFormat="false" ht="12.8" hidden="false" customHeight="false" outlineLevel="0" collapsed="false">
      <c r="B9513" s="0" t="s">
        <v>3902</v>
      </c>
    </row>
    <row r="9515" customFormat="false" ht="12.8" hidden="false" customHeight="false" outlineLevel="0" collapsed="false">
      <c r="A9515" s="0" t="s">
        <v>3901</v>
      </c>
      <c r="B9515" s="0" t="str">
        <f aca="false">HYPERLINK("https://lindat.mff.cuni.cz/services/teitok/pdtc10/index.php?action=vallex&amp;frame=v-w1077hsa_367", "hodit se (v-w1077hsa_367) - substituted with v-w1077f5_ZU")</f>
        <v>hodit se (v-w1077hsa_367) - substituted with v-w1077f5_ZU</v>
      </c>
    </row>
    <row r="9516" customFormat="false" ht="12.8" hidden="false" customHeight="false" outlineLevel="0" collapsed="false">
      <c r="B9516" s="0" t="s">
        <v>7</v>
      </c>
      <c r="C9516" s="0" t="s">
        <v>3903</v>
      </c>
      <c r="D9516" s="0" t="s">
        <v>3904</v>
      </c>
      <c r="E9516" s="0" t="s">
        <v>3904</v>
      </c>
      <c r="F9516" s="0" t="s">
        <v>3904</v>
      </c>
    </row>
    <row r="9517" customFormat="false" ht="12.8" hidden="false" customHeight="false" outlineLevel="0" collapsed="false">
      <c r="B9517" s="0" t="s">
        <v>3902</v>
      </c>
      <c r="C9517" s="0" t="s">
        <v>624</v>
      </c>
      <c r="D9517" s="0" t="s">
        <v>3905</v>
      </c>
      <c r="E9517" s="0" t="s">
        <v>3905</v>
      </c>
      <c r="F9517" s="0" t="s">
        <v>3905</v>
      </c>
    </row>
    <row r="9519" customFormat="false" ht="12.8" hidden="false" customHeight="false" outlineLevel="0" collapsed="false">
      <c r="A9519" s="0" t="s">
        <v>3906</v>
      </c>
      <c r="B9519" s="0" t="str">
        <f aca="false">HYPERLINK("https://lindat.mff.cuni.cz/services/teitok/pdtc10/index.php?action=vallex&amp;frame=v-w1081f2", "hodnotit (v-w1081f2)")</f>
        <v>hodnotit (v-w1081f2)</v>
      </c>
    </row>
    <row r="9520" customFormat="false" ht="12.8" hidden="false" customHeight="false" outlineLevel="0" collapsed="false">
      <c r="B9520" s="0" t="s">
        <v>7</v>
      </c>
      <c r="C9520" s="0" t="s">
        <v>2560</v>
      </c>
      <c r="D9520" s="0" t="s">
        <v>3664</v>
      </c>
      <c r="E9520" s="0" t="s">
        <v>3664</v>
      </c>
      <c r="F9520" s="0" t="s">
        <v>3664</v>
      </c>
    </row>
    <row r="9521" customFormat="false" ht="12.8" hidden="false" customHeight="false" outlineLevel="0" collapsed="false">
      <c r="B9521" s="0" t="s">
        <v>14</v>
      </c>
      <c r="C9521" s="0" t="s">
        <v>2517</v>
      </c>
      <c r="D9521" s="0" t="s">
        <v>899</v>
      </c>
      <c r="E9521" s="0" t="s">
        <v>899</v>
      </c>
      <c r="F9521" s="0" t="s">
        <v>899</v>
      </c>
    </row>
    <row r="9522" customFormat="false" ht="12.8" hidden="false" customHeight="false" outlineLevel="0" collapsed="false">
      <c r="B9522" s="0" t="s">
        <v>3907</v>
      </c>
      <c r="C9522" s="0" t="s">
        <v>3908</v>
      </c>
    </row>
    <row r="9524" customFormat="false" ht="12.8" hidden="false" customHeight="false" outlineLevel="0" collapsed="false">
      <c r="A9524" s="0" t="s">
        <v>3909</v>
      </c>
      <c r="B9524" s="0" t="str">
        <f aca="false">HYPERLINK("https://lindat.mff.cuni.cz/services/teitok/pdtc10/index.php?action=vallex&amp;frame=v-w1081f3_ZU", "hodnotit (v-w1081f3_ZU)")</f>
        <v>hodnotit (v-w1081f3_ZU)</v>
      </c>
    </row>
    <row r="9525" customFormat="false" ht="12.8" hidden="false" customHeight="false" outlineLevel="0" collapsed="false">
      <c r="B9525" s="0" t="s">
        <v>7</v>
      </c>
      <c r="C9525" s="0" t="s">
        <v>22</v>
      </c>
      <c r="D9525" s="0" t="s">
        <v>1135</v>
      </c>
      <c r="E9525" s="0" t="s">
        <v>1135</v>
      </c>
      <c r="F9525" s="0" t="s">
        <v>1135</v>
      </c>
    </row>
    <row r="9526" customFormat="false" ht="12.8" hidden="false" customHeight="false" outlineLevel="0" collapsed="false">
      <c r="B9526" s="0" t="s">
        <v>14</v>
      </c>
      <c r="C9526" s="0" t="s">
        <v>1146</v>
      </c>
      <c r="D9526" s="0" t="s">
        <v>1137</v>
      </c>
      <c r="E9526" s="0" t="s">
        <v>1137</v>
      </c>
      <c r="F9526" s="0" t="s">
        <v>1137</v>
      </c>
    </row>
    <row r="9527" customFormat="false" ht="12.8" hidden="false" customHeight="false" outlineLevel="0" collapsed="false">
      <c r="B9527" s="0" t="s">
        <v>1755</v>
      </c>
      <c r="C9527" s="0" t="s">
        <v>1147</v>
      </c>
      <c r="D9527" s="0" t="s">
        <v>1139</v>
      </c>
      <c r="E9527" s="0" t="s">
        <v>1139</v>
      </c>
      <c r="F9527" s="0" t="s">
        <v>1139</v>
      </c>
    </row>
    <row r="9529" customFormat="false" ht="12.8" hidden="false" customHeight="false" outlineLevel="0" collapsed="false">
      <c r="A9529" s="0" t="s">
        <v>3910</v>
      </c>
      <c r="B9529" s="0" t="str">
        <f aca="false">HYPERLINK("https://lindat.mff.cuni.cz/services/teitok/pdtc10/index.php?action=vallex&amp;frame=v-w1081hsa_1847", "hodnotit (v-w1081hsa_1847)")</f>
        <v>hodnotit (v-w1081hsa_1847)</v>
      </c>
    </row>
    <row r="9530" customFormat="false" ht="12.8" hidden="false" customHeight="false" outlineLevel="0" collapsed="false">
      <c r="B9530" s="0" t="s">
        <v>7</v>
      </c>
    </row>
    <row r="9531" customFormat="false" ht="12.8" hidden="false" customHeight="false" outlineLevel="0" collapsed="false">
      <c r="B9531" s="0" t="s">
        <v>3911</v>
      </c>
    </row>
    <row r="9533" customFormat="false" ht="12.8" hidden="false" customHeight="false" outlineLevel="0" collapsed="false">
      <c r="A9533" s="0" t="s">
        <v>3910</v>
      </c>
      <c r="B9533" s="0" t="str">
        <f aca="false">HYPERLINK("https://lindat.mff.cuni.cz/services/teitok/pdtc10/index.php?action=vallex&amp;frame=v-w1081f1", "hodnotit (v-w1081f1) - substituted with v-w1081hsa_1847")</f>
        <v>hodnotit (v-w1081f1) - substituted with v-w1081hsa_1847</v>
      </c>
    </row>
    <row r="9534" customFormat="false" ht="12.8" hidden="false" customHeight="false" outlineLevel="0" collapsed="false">
      <c r="B9534" s="0" t="s">
        <v>7</v>
      </c>
      <c r="C9534" s="0" t="s">
        <v>3912</v>
      </c>
      <c r="D9534" s="0" t="s">
        <v>3664</v>
      </c>
      <c r="E9534" s="0" t="s">
        <v>3664</v>
      </c>
      <c r="F9534" s="0" t="s">
        <v>3664</v>
      </c>
    </row>
    <row r="9535" customFormat="false" ht="12.8" hidden="false" customHeight="false" outlineLevel="0" collapsed="false">
      <c r="B9535" s="0" t="s">
        <v>3911</v>
      </c>
      <c r="C9535" s="0" t="s">
        <v>3913</v>
      </c>
      <c r="D9535" s="0" t="s">
        <v>899</v>
      </c>
      <c r="E9535" s="0" t="s">
        <v>899</v>
      </c>
      <c r="F9535" s="0" t="s">
        <v>899</v>
      </c>
    </row>
    <row r="9537" customFormat="false" ht="12.8" hidden="false" customHeight="false" outlineLevel="0" collapsed="false">
      <c r="A9537" s="0" t="s">
        <v>3914</v>
      </c>
      <c r="B9537" s="0" t="str">
        <f aca="false">HYPERLINK("https://lindat.mff.cuni.cz/services/teitok/pdtc10/index.php?action=vallex&amp;frame=v-whsb_1009hsa_1010", "hodovat (v-whsb_1009hsa_1010)")</f>
        <v>hodovat (v-whsb_1009hsa_1010)</v>
      </c>
    </row>
    <row r="9538" customFormat="false" ht="12.8" hidden="false" customHeight="false" outlineLevel="0" collapsed="false">
      <c r="B9538" s="0" t="s">
        <v>7</v>
      </c>
    </row>
    <row r="9540" customFormat="false" ht="12.8" hidden="false" customHeight="false" outlineLevel="0" collapsed="false">
      <c r="A9540" s="0" t="s">
        <v>3915</v>
      </c>
      <c r="B9540" s="0" t="str">
        <f aca="false">HYPERLINK("https://lindat.mff.cuni.cz/services/teitok/pdtc10/index.php?action=vallex&amp;frame=v-w1083f1", "hojit se (v-w1083f1)")</f>
        <v>hojit se (v-w1083f1)</v>
      </c>
    </row>
    <row r="9541" customFormat="false" ht="12.8" hidden="false" customHeight="false" outlineLevel="0" collapsed="false">
      <c r="B9541" s="0" t="s">
        <v>7</v>
      </c>
    </row>
    <row r="9543" customFormat="false" ht="12.8" hidden="false" customHeight="false" outlineLevel="0" collapsed="false">
      <c r="A9543" s="0" t="s">
        <v>3916</v>
      </c>
      <c r="B9543" s="0" t="str">
        <f aca="false">HYPERLINK("https://lindat.mff.cuni.cz/services/teitok/pdtc10/index.php?action=vallex&amp;frame=v-w1084f1", "holdovat (v-w1084f1)")</f>
        <v>holdovat (v-w1084f1)</v>
      </c>
    </row>
    <row r="9544" customFormat="false" ht="12.8" hidden="false" customHeight="false" outlineLevel="0" collapsed="false">
      <c r="B9544" s="0" t="s">
        <v>7</v>
      </c>
    </row>
    <row r="9545" customFormat="false" ht="12.8" hidden="false" customHeight="false" outlineLevel="0" collapsed="false">
      <c r="B9545" s="0" t="s">
        <v>142</v>
      </c>
    </row>
    <row r="9547" customFormat="false" ht="12.8" hidden="false" customHeight="false" outlineLevel="0" collapsed="false">
      <c r="A9547" s="0" t="s">
        <v>3917</v>
      </c>
      <c r="B9547" s="0" t="str">
        <f aca="false">HYPERLINK("https://lindat.mff.cuni.cz/services/teitok/pdtc10/index.php?action=vallex&amp;frame=v-w1085f1", "holedbat se (v-w1085f1)")</f>
        <v>holedbat se (v-w1085f1)</v>
      </c>
    </row>
    <row r="9548" customFormat="false" ht="12.8" hidden="false" customHeight="false" outlineLevel="0" collapsed="false">
      <c r="B9548" s="0" t="s">
        <v>7</v>
      </c>
      <c r="C9548" s="0" t="s">
        <v>3918</v>
      </c>
      <c r="D9548" s="0" t="s">
        <v>194</v>
      </c>
      <c r="E9548" s="0" t="s">
        <v>194</v>
      </c>
      <c r="F9548" s="0" t="s">
        <v>194</v>
      </c>
    </row>
    <row r="9549" customFormat="false" ht="12.8" hidden="false" customHeight="false" outlineLevel="0" collapsed="false">
      <c r="B9549" s="0" t="s">
        <v>292</v>
      </c>
      <c r="C9549" s="0" t="s">
        <v>1315</v>
      </c>
      <c r="D9549" s="0" t="s">
        <v>24</v>
      </c>
      <c r="E9549" s="0" t="s">
        <v>24</v>
      </c>
      <c r="F9549" s="0" t="s">
        <v>24</v>
      </c>
    </row>
    <row r="9550" customFormat="false" ht="12.8" hidden="false" customHeight="false" outlineLevel="0" collapsed="false">
      <c r="B9550" s="0" t="s">
        <v>3743</v>
      </c>
      <c r="D9550" s="0" t="s">
        <v>1165</v>
      </c>
      <c r="E9550" s="0" t="s">
        <v>1165</v>
      </c>
      <c r="F9550" s="0" t="s">
        <v>1165</v>
      </c>
    </row>
    <row r="9552" customFormat="false" ht="12.8" hidden="false" customHeight="false" outlineLevel="0" collapsed="false">
      <c r="A9552" s="0" t="s">
        <v>3919</v>
      </c>
      <c r="B9552" s="0" t="str">
        <f aca="false">HYPERLINK("https://lindat.mff.cuni.cz/services/teitok/pdtc10/index.php?action=vallex&amp;frame=v-w1086f1", "holit (v-w1086f1)")</f>
        <v>holit (v-w1086f1)</v>
      </c>
    </row>
    <row r="9553" customFormat="false" ht="12.8" hidden="false" customHeight="false" outlineLevel="0" collapsed="false">
      <c r="B9553" s="0" t="s">
        <v>7</v>
      </c>
      <c r="F9553" s="0" t="s">
        <v>191</v>
      </c>
    </row>
    <row r="9554" customFormat="false" ht="12.8" hidden="false" customHeight="false" outlineLevel="0" collapsed="false">
      <c r="B9554" s="0" t="s">
        <v>14</v>
      </c>
      <c r="F9554" s="0" t="s">
        <v>155</v>
      </c>
    </row>
    <row r="9556" customFormat="false" ht="12.8" hidden="false" customHeight="false" outlineLevel="0" collapsed="false">
      <c r="A9556" s="0" t="s">
        <v>3920</v>
      </c>
      <c r="B9556" s="0" t="str">
        <f aca="false">HYPERLINK("https://lindat.mff.cuni.cz/services/teitok/pdtc10/index.php?action=vallex&amp;frame=v-w1088f1", "homologovat (v-w1088f1)")</f>
        <v>homologovat (v-w1088f1)</v>
      </c>
    </row>
    <row r="9557" customFormat="false" ht="12.8" hidden="false" customHeight="false" outlineLevel="0" collapsed="false">
      <c r="B9557" s="0" t="s">
        <v>7</v>
      </c>
    </row>
    <row r="9558" customFormat="false" ht="12.8" hidden="false" customHeight="false" outlineLevel="0" collapsed="false">
      <c r="B9558" s="0" t="s">
        <v>14</v>
      </c>
    </row>
    <row r="9560" customFormat="false" ht="12.8" hidden="false" customHeight="false" outlineLevel="0" collapsed="false">
      <c r="A9560" s="0" t="s">
        <v>3921</v>
      </c>
      <c r="B9560" s="0" t="str">
        <f aca="false">HYPERLINK("https://lindat.mff.cuni.cz/services/teitok/pdtc10/index.php?action=vallex&amp;frame=v-w1091f1", "honit (v-w1091f1)")</f>
        <v>honit (v-w1091f1)</v>
      </c>
    </row>
    <row r="9561" customFormat="false" ht="12.8" hidden="false" customHeight="false" outlineLevel="0" collapsed="false">
      <c r="B9561" s="0" t="s">
        <v>7</v>
      </c>
      <c r="C9561" s="0" t="s">
        <v>3922</v>
      </c>
      <c r="D9561" s="0" t="s">
        <v>149</v>
      </c>
      <c r="E9561" s="0" t="s">
        <v>149</v>
      </c>
      <c r="F9561" s="0" t="s">
        <v>149</v>
      </c>
    </row>
    <row r="9562" customFormat="false" ht="12.8" hidden="false" customHeight="false" outlineLevel="0" collapsed="false">
      <c r="B9562" s="0" t="s">
        <v>14</v>
      </c>
      <c r="C9562" s="0" t="s">
        <v>78</v>
      </c>
      <c r="D9562" s="0" t="s">
        <v>1405</v>
      </c>
      <c r="E9562" s="0" t="s">
        <v>1405</v>
      </c>
      <c r="F9562" s="0" t="s">
        <v>1405</v>
      </c>
    </row>
    <row r="9564" customFormat="false" ht="12.8" hidden="false" customHeight="false" outlineLevel="0" collapsed="false">
      <c r="A9564" s="0" t="s">
        <v>3923</v>
      </c>
      <c r="B9564" s="0" t="str">
        <f aca="false">HYPERLINK("https://lindat.mff.cuni.cz/services/teitok/pdtc10/index.php?action=vallex&amp;frame=v-w1091f3_ZU", "honit (v-w1091f3_ZU)")</f>
        <v>honit (v-w1091f3_ZU)</v>
      </c>
    </row>
    <row r="9565" customFormat="false" ht="12.8" hidden="false" customHeight="false" outlineLevel="0" collapsed="false">
      <c r="B9565" s="0" t="s">
        <v>7</v>
      </c>
    </row>
    <row r="9566" customFormat="false" ht="12.8" hidden="false" customHeight="false" outlineLevel="0" collapsed="false">
      <c r="B9566" s="0" t="s">
        <v>3924</v>
      </c>
    </row>
    <row r="9567" customFormat="false" ht="12.8" hidden="false" customHeight="false" outlineLevel="0" collapsed="false">
      <c r="B9567" s="0" t="s">
        <v>81</v>
      </c>
    </row>
    <row r="9569" customFormat="false" ht="12.8" hidden="false" customHeight="false" outlineLevel="0" collapsed="false">
      <c r="A9569" s="0" t="s">
        <v>3923</v>
      </c>
      <c r="B9569" s="0" t="str">
        <f aca="false">HYPERLINK("https://lindat.mff.cuni.cz/services/teitok/pdtc10/index.php?action=vallex&amp;frame=v-w1091f2_ZU", "honit (v-w1091f2_ZU) - substituted with v-w1091f3_ZU")</f>
        <v>honit (v-w1091f2_ZU) - substituted with v-w1091f3_ZU</v>
      </c>
    </row>
    <row r="9570" customFormat="false" ht="12.8" hidden="false" customHeight="false" outlineLevel="0" collapsed="false">
      <c r="B9570" s="0" t="s">
        <v>7</v>
      </c>
    </row>
    <row r="9571" customFormat="false" ht="12.8" hidden="false" customHeight="false" outlineLevel="0" collapsed="false">
      <c r="B9571" s="0" t="s">
        <v>3924</v>
      </c>
    </row>
    <row r="9572" customFormat="false" ht="12.8" hidden="false" customHeight="false" outlineLevel="0" collapsed="false">
      <c r="B9572" s="0" t="s">
        <v>81</v>
      </c>
    </row>
    <row r="9574" customFormat="false" ht="12.8" hidden="false" customHeight="false" outlineLevel="0" collapsed="false">
      <c r="A9574" s="0" t="s">
        <v>3923</v>
      </c>
      <c r="B9574" s="0" t="str">
        <f aca="false">HYPERLINK("https://lindat.mff.cuni.cz/services/teitok/pdtc10/index.php?action=vallex&amp;frame=v-w1091hsa_1817", "honit (v-w1091hsa_1817) - substituted with v-w1091f3_ZU")</f>
        <v>honit (v-w1091hsa_1817) - substituted with v-w1091f3_ZU</v>
      </c>
    </row>
    <row r="9575" customFormat="false" ht="12.8" hidden="false" customHeight="false" outlineLevel="0" collapsed="false">
      <c r="B9575" s="0" t="s">
        <v>7</v>
      </c>
    </row>
    <row r="9576" customFormat="false" ht="12.8" hidden="false" customHeight="false" outlineLevel="0" collapsed="false">
      <c r="B9576" s="0" t="s">
        <v>3924</v>
      </c>
    </row>
    <row r="9577" customFormat="false" ht="12.8" hidden="false" customHeight="false" outlineLevel="0" collapsed="false">
      <c r="B9577" s="0" t="s">
        <v>81</v>
      </c>
    </row>
    <row r="9579" customFormat="false" ht="12.8" hidden="false" customHeight="false" outlineLevel="0" collapsed="false">
      <c r="A9579" s="0" t="s">
        <v>3925</v>
      </c>
      <c r="B9579" s="0" t="str">
        <f aca="false">HYPERLINK("https://lindat.mff.cuni.cz/services/teitok/pdtc10/index.php?action=vallex&amp;frame=v-w1091hsa_1815", "honit (v-w1091hsa_1815)")</f>
        <v>honit (v-w1091hsa_1815)</v>
      </c>
    </row>
    <row r="9580" customFormat="false" ht="12.8" hidden="false" customHeight="false" outlineLevel="0" collapsed="false">
      <c r="B9580" s="0" t="s">
        <v>7</v>
      </c>
    </row>
    <row r="9581" customFormat="false" ht="12.8" hidden="false" customHeight="false" outlineLevel="0" collapsed="false">
      <c r="B9581" s="0" t="s">
        <v>14</v>
      </c>
    </row>
    <row r="9583" customFormat="false" ht="12.8" hidden="false" customHeight="false" outlineLevel="0" collapsed="false">
      <c r="A9583" s="0" t="s">
        <v>3926</v>
      </c>
      <c r="B9583" s="0" t="str">
        <f aca="false">HYPERLINK("https://lindat.mff.cuni.cz/services/teitok/pdtc10/index.php?action=vallex&amp;frame=v-w1091hsa_1816", "honit (v-w1091hsa_1816)")</f>
        <v>honit (v-w1091hsa_1816)</v>
      </c>
    </row>
    <row r="9584" customFormat="false" ht="12.8" hidden="false" customHeight="false" outlineLevel="0" collapsed="false">
      <c r="B9584" s="0" t="s">
        <v>7</v>
      </c>
    </row>
    <row r="9585" customFormat="false" ht="12.8" hidden="false" customHeight="false" outlineLevel="0" collapsed="false">
      <c r="B9585" s="0" t="s">
        <v>14</v>
      </c>
    </row>
    <row r="9587" customFormat="false" ht="12.8" hidden="false" customHeight="false" outlineLevel="0" collapsed="false">
      <c r="A9587" s="0" t="s">
        <v>3927</v>
      </c>
      <c r="B9587" s="0" t="str">
        <f aca="false">HYPERLINK("https://lindat.mff.cuni.cz/services/teitok/pdtc10/index.php?action=vallex&amp;frame=v-w1092f1", "honit se (v-w1092f1)")</f>
        <v>honit se (v-w1092f1)</v>
      </c>
    </row>
    <row r="9588" customFormat="false" ht="12.8" hidden="false" customHeight="false" outlineLevel="0" collapsed="false">
      <c r="B9588" s="0" t="s">
        <v>7</v>
      </c>
      <c r="C9588" s="0" t="s">
        <v>191</v>
      </c>
      <c r="D9588" s="0" t="s">
        <v>149</v>
      </c>
      <c r="E9588" s="0" t="s">
        <v>149</v>
      </c>
      <c r="F9588" s="0" t="s">
        <v>149</v>
      </c>
    </row>
    <row r="9589" customFormat="false" ht="12.8" hidden="false" customHeight="false" outlineLevel="0" collapsed="false">
      <c r="B9589" s="0" t="s">
        <v>3928</v>
      </c>
      <c r="D9589" s="0" t="s">
        <v>1405</v>
      </c>
      <c r="E9589" s="0" t="s">
        <v>1405</v>
      </c>
      <c r="F9589" s="0" t="s">
        <v>1405</v>
      </c>
    </row>
    <row r="9591" customFormat="false" ht="12.8" hidden="false" customHeight="false" outlineLevel="0" collapsed="false">
      <c r="A9591" s="0" t="s">
        <v>3929</v>
      </c>
      <c r="B9591" s="0" t="str">
        <f aca="false">HYPERLINK("https://lindat.mff.cuni.cz/services/teitok/pdtc10/index.php?action=vallex&amp;frame=v-w1092f4", "honit se (v-w1092f4)")</f>
        <v>honit se (v-w1092f4)</v>
      </c>
    </row>
    <row r="9592" customFormat="false" ht="12.8" hidden="false" customHeight="false" outlineLevel="0" collapsed="false">
      <c r="B9592" s="0" t="s">
        <v>7</v>
      </c>
    </row>
    <row r="9593" customFormat="false" ht="12.8" hidden="false" customHeight="false" outlineLevel="0" collapsed="false">
      <c r="B9593" s="0" t="s">
        <v>3928</v>
      </c>
    </row>
    <row r="9595" customFormat="false" ht="12.8" hidden="false" customHeight="false" outlineLevel="0" collapsed="false">
      <c r="A9595" s="0" t="s">
        <v>3930</v>
      </c>
      <c r="B9595" s="0" t="str">
        <f aca="false">HYPERLINK("https://lindat.mff.cuni.cz/services/teitok/pdtc10/index.php?action=vallex&amp;frame=v-w1092f2", "honit se (v-w1092f2)")</f>
        <v>honit se (v-w1092f2)</v>
      </c>
    </row>
    <row r="9596" customFormat="false" ht="12.8" hidden="false" customHeight="false" outlineLevel="0" collapsed="false">
      <c r="B9596" s="0" t="s">
        <v>7</v>
      </c>
    </row>
    <row r="9598" customFormat="false" ht="12.8" hidden="false" customHeight="false" outlineLevel="0" collapsed="false">
      <c r="A9598" s="0" t="s">
        <v>3931</v>
      </c>
      <c r="B9598" s="0" t="str">
        <f aca="false">HYPERLINK("https://lindat.mff.cuni.cz/services/teitok/pdtc10/index.php?action=vallex&amp;frame=v-w1092f3", "honit se (v-w1092f3)")</f>
        <v>honit se (v-w1092f3)</v>
      </c>
    </row>
    <row r="9599" customFormat="false" ht="12.8" hidden="false" customHeight="false" outlineLevel="0" collapsed="false">
      <c r="B9599" s="0" t="s">
        <v>7</v>
      </c>
    </row>
    <row r="9601" customFormat="false" ht="12.8" hidden="false" customHeight="false" outlineLevel="0" collapsed="false">
      <c r="A9601" s="0" t="s">
        <v>3932</v>
      </c>
      <c r="B9601" s="0" t="str">
        <f aca="false">HYPERLINK("https://lindat.mff.cuni.cz/services/teitok/pdtc10/index.php?action=vallex&amp;frame=v-w1093f1", "honorovat (v-w1093f1)")</f>
        <v>honorovat (v-w1093f1)</v>
      </c>
    </row>
    <row r="9602" customFormat="false" ht="12.8" hidden="false" customHeight="false" outlineLevel="0" collapsed="false">
      <c r="B9602" s="0" t="s">
        <v>7</v>
      </c>
    </row>
    <row r="9603" customFormat="false" ht="12.8" hidden="false" customHeight="false" outlineLevel="0" collapsed="false">
      <c r="B9603" s="0" t="s">
        <v>14</v>
      </c>
    </row>
    <row r="9605" customFormat="false" ht="12.8" hidden="false" customHeight="false" outlineLevel="0" collapsed="false">
      <c r="A9605" s="0" t="s">
        <v>3933</v>
      </c>
      <c r="B9605" s="0" t="str">
        <f aca="false">HYPERLINK("https://lindat.mff.cuni.cz/services/teitok/pdtc10/index.php?action=vallex&amp;frame=v-w1094f1", "honosit se (v-w1094f1)")</f>
        <v>honosit se (v-w1094f1)</v>
      </c>
    </row>
    <row r="9606" customFormat="false" ht="12.8" hidden="false" customHeight="false" outlineLevel="0" collapsed="false">
      <c r="B9606" s="0" t="s">
        <v>7</v>
      </c>
    </row>
    <row r="9607" customFormat="false" ht="12.8" hidden="false" customHeight="false" outlineLevel="0" collapsed="false">
      <c r="B9607" s="0" t="s">
        <v>3934</v>
      </c>
    </row>
    <row r="9608" customFormat="false" ht="12.8" hidden="false" customHeight="false" outlineLevel="0" collapsed="false">
      <c r="B9608" s="0" t="s">
        <v>3935</v>
      </c>
    </row>
    <row r="9610" customFormat="false" ht="12.8" hidden="false" customHeight="false" outlineLevel="0" collapsed="false">
      <c r="A9610" s="0" t="s">
        <v>3936</v>
      </c>
      <c r="B9610" s="0" t="str">
        <f aca="false">HYPERLINK("https://lindat.mff.cuni.cz/services/teitok/pdtc10/index.php?action=vallex&amp;frame=v-whsa_226hsa_227", "hopsat (v-whsa_226hsa_227)")</f>
        <v>hopsat (v-whsa_226hsa_227)</v>
      </c>
    </row>
    <row r="9611" customFormat="false" ht="12.8" hidden="false" customHeight="false" outlineLevel="0" collapsed="false">
      <c r="B9611" s="0" t="s">
        <v>7</v>
      </c>
    </row>
    <row r="9613" customFormat="false" ht="12.8" hidden="false" customHeight="false" outlineLevel="0" collapsed="false">
      <c r="A9613" s="0" t="s">
        <v>3937</v>
      </c>
      <c r="B9613" s="0" t="str">
        <f aca="false">HYPERLINK("https://lindat.mff.cuni.cz/services/teitok/pdtc10/index.php?action=vallex&amp;frame=v-w1095f1", "horlit (v-w1095f1)")</f>
        <v>horlit (v-w1095f1)</v>
      </c>
    </row>
    <row r="9614" customFormat="false" ht="12.8" hidden="false" customHeight="false" outlineLevel="0" collapsed="false">
      <c r="B9614" s="0" t="s">
        <v>7</v>
      </c>
    </row>
    <row r="9615" customFormat="false" ht="12.8" hidden="false" customHeight="false" outlineLevel="0" collapsed="false">
      <c r="B9615" s="0" t="s">
        <v>371</v>
      </c>
    </row>
    <row r="9617" customFormat="false" ht="12.8" hidden="false" customHeight="false" outlineLevel="0" collapsed="false">
      <c r="A9617" s="0" t="s">
        <v>3938</v>
      </c>
      <c r="B9617" s="0" t="str">
        <f aca="false">HYPERLINK("https://lindat.mff.cuni.cz/services/teitok/pdtc10/index.php?action=vallex&amp;frame=v-w1095f2", "horlit (v-w1095f2)")</f>
        <v>horlit (v-w1095f2)</v>
      </c>
    </row>
    <row r="9618" customFormat="false" ht="12.8" hidden="false" customHeight="false" outlineLevel="0" collapsed="false">
      <c r="B9618" s="0" t="s">
        <v>7</v>
      </c>
    </row>
    <row r="9619" customFormat="false" ht="12.8" hidden="false" customHeight="false" outlineLevel="0" collapsed="false">
      <c r="B9619" s="0" t="s">
        <v>3939</v>
      </c>
    </row>
    <row r="9621" customFormat="false" ht="12.8" hidden="false" customHeight="false" outlineLevel="0" collapsed="false">
      <c r="A9621" s="0" t="s">
        <v>3940</v>
      </c>
      <c r="B9621" s="0" t="str">
        <f aca="false">HYPERLINK("https://lindat.mff.cuni.cz/services/teitok/pdtc10/index.php?action=vallex&amp;frame=v-w10907f2", "horovat (v-w10907f2)")</f>
        <v>horovat (v-w10907f2)</v>
      </c>
    </row>
    <row r="9622" customFormat="false" ht="12.8" hidden="false" customHeight="false" outlineLevel="0" collapsed="false">
      <c r="B9622" s="0" t="s">
        <v>7</v>
      </c>
    </row>
    <row r="9623" customFormat="false" ht="12.8" hidden="false" customHeight="false" outlineLevel="0" collapsed="false">
      <c r="B9623" s="0" t="s">
        <v>244</v>
      </c>
    </row>
    <row r="9625" customFormat="false" ht="12.8" hidden="false" customHeight="false" outlineLevel="0" collapsed="false">
      <c r="A9625" s="0" t="s">
        <v>3941</v>
      </c>
      <c r="B9625" s="0" t="str">
        <f aca="false">HYPERLINK("https://lindat.mff.cuni.cz/services/teitok/pdtc10/index.php?action=vallex&amp;frame=v-w12045_ZUf1_ZU", "horšit se (v-w12045_ZUf1_ZU)")</f>
        <v>horšit se (v-w12045_ZUf1_ZU)</v>
      </c>
    </row>
    <row r="9626" customFormat="false" ht="12.8" hidden="false" customHeight="false" outlineLevel="0" collapsed="false">
      <c r="B9626" s="0" t="s">
        <v>7</v>
      </c>
    </row>
    <row r="9628" customFormat="false" ht="12.8" hidden="false" customHeight="false" outlineLevel="0" collapsed="false">
      <c r="A9628" s="0" t="s">
        <v>3942</v>
      </c>
      <c r="B9628" s="0" t="str">
        <f aca="false">HYPERLINK("https://lindat.mff.cuni.cz/services/teitok/pdtc10/index.php?action=vallex&amp;frame=v-w1098f1", "hospitalizovat (v-w1098f1)")</f>
        <v>hospitalizovat (v-w1098f1)</v>
      </c>
    </row>
    <row r="9629" customFormat="false" ht="12.8" hidden="false" customHeight="false" outlineLevel="0" collapsed="false">
      <c r="B9629" s="0" t="s">
        <v>7</v>
      </c>
    </row>
    <row r="9630" customFormat="false" ht="12.8" hidden="false" customHeight="false" outlineLevel="0" collapsed="false">
      <c r="B9630" s="0" t="s">
        <v>14</v>
      </c>
      <c r="C9630" s="0" t="s">
        <v>115</v>
      </c>
      <c r="D9630" s="0" t="s">
        <v>115</v>
      </c>
      <c r="E9630" s="0" t="s">
        <v>115</v>
      </c>
      <c r="F9630" s="0" t="s">
        <v>115</v>
      </c>
    </row>
    <row r="9632" customFormat="false" ht="12.8" hidden="false" customHeight="false" outlineLevel="0" collapsed="false">
      <c r="A9632" s="0" t="s">
        <v>3943</v>
      </c>
      <c r="B9632" s="0" t="str">
        <f aca="false">HYPERLINK("https://lindat.mff.cuni.cz/services/teitok/pdtc10/index.php?action=vallex&amp;frame=v-w1100f2", "hospodařit (v-w1100f2)")</f>
        <v>hospodařit (v-w1100f2)</v>
      </c>
    </row>
    <row r="9633" customFormat="false" ht="12.8" hidden="false" customHeight="false" outlineLevel="0" collapsed="false">
      <c r="B9633" s="0" t="s">
        <v>7</v>
      </c>
      <c r="C9633" s="0" t="s">
        <v>3944</v>
      </c>
      <c r="D9633" s="0" t="s">
        <v>1624</v>
      </c>
      <c r="E9633" s="0" t="s">
        <v>1624</v>
      </c>
      <c r="F9633" s="0" t="s">
        <v>1624</v>
      </c>
    </row>
    <row r="9634" customFormat="false" ht="12.8" hidden="false" customHeight="false" outlineLevel="0" collapsed="false">
      <c r="B9634" s="0" t="s">
        <v>1623</v>
      </c>
      <c r="C9634" s="0" t="s">
        <v>1313</v>
      </c>
      <c r="D9634" s="0" t="s">
        <v>1625</v>
      </c>
      <c r="E9634" s="0" t="s">
        <v>1625</v>
      </c>
      <c r="F9634" s="0" t="s">
        <v>1625</v>
      </c>
    </row>
    <row r="9635" customFormat="false" ht="12.8" hidden="false" customHeight="false" outlineLevel="0" collapsed="false">
      <c r="B9635" s="0" t="s">
        <v>474</v>
      </c>
    </row>
    <row r="9636" customFormat="false" ht="12.8" hidden="false" customHeight="false" outlineLevel="0" collapsed="false">
      <c r="B9636" s="0" t="s">
        <v>479</v>
      </c>
    </row>
    <row r="9637" customFormat="false" ht="12.8" hidden="false" customHeight="false" outlineLevel="0" collapsed="false">
      <c r="B9637" s="0" t="s">
        <v>481</v>
      </c>
    </row>
    <row r="9638" customFormat="false" ht="12.8" hidden="false" customHeight="false" outlineLevel="0" collapsed="false">
      <c r="B9638" s="0" t="s">
        <v>483</v>
      </c>
    </row>
    <row r="9640" customFormat="false" ht="12.8" hidden="false" customHeight="false" outlineLevel="0" collapsed="false">
      <c r="A9640" s="0" t="s">
        <v>3945</v>
      </c>
      <c r="B9640" s="0" t="str">
        <f aca="false">HYPERLINK("https://lindat.mff.cuni.cz/services/teitok/pdtc10/index.php?action=vallex&amp;frame=v-w1100f1", "hospodařit (v-w1100f1)")</f>
        <v>hospodařit (v-w1100f1)</v>
      </c>
    </row>
    <row r="9641" customFormat="false" ht="12.8" hidden="false" customHeight="false" outlineLevel="0" collapsed="false">
      <c r="B9641" s="0" t="s">
        <v>7</v>
      </c>
    </row>
    <row r="9643" customFormat="false" ht="12.8" hidden="false" customHeight="false" outlineLevel="0" collapsed="false">
      <c r="A9643" s="0" t="s">
        <v>3946</v>
      </c>
      <c r="B9643" s="0" t="str">
        <f aca="false">HYPERLINK("https://lindat.mff.cuni.cz/services/teitok/pdtc10/index.php?action=vallex&amp;frame=v-w1101f1", "hostit (v-w1101f1)")</f>
        <v>hostit (v-w1101f1)</v>
      </c>
    </row>
    <row r="9644" customFormat="false" ht="12.8" hidden="false" customHeight="false" outlineLevel="0" collapsed="false">
      <c r="B9644" s="0" t="s">
        <v>7</v>
      </c>
      <c r="C9644" s="0" t="s">
        <v>113</v>
      </c>
      <c r="D9644" s="0" t="s">
        <v>113</v>
      </c>
      <c r="E9644" s="0" t="s">
        <v>113</v>
      </c>
      <c r="F9644" s="0" t="s">
        <v>113</v>
      </c>
    </row>
    <row r="9645" customFormat="false" ht="12.8" hidden="false" customHeight="false" outlineLevel="0" collapsed="false">
      <c r="B9645" s="0" t="s">
        <v>14</v>
      </c>
      <c r="C9645" s="0" t="s">
        <v>1170</v>
      </c>
      <c r="D9645" s="0" t="s">
        <v>1170</v>
      </c>
      <c r="E9645" s="0" t="s">
        <v>1170</v>
      </c>
      <c r="F9645" s="0" t="s">
        <v>1170</v>
      </c>
    </row>
    <row r="9647" customFormat="false" ht="12.8" hidden="false" customHeight="false" outlineLevel="0" collapsed="false">
      <c r="A9647" s="0" t="s">
        <v>3947</v>
      </c>
      <c r="B9647" s="0" t="str">
        <f aca="false">HYPERLINK("https://lindat.mff.cuni.cz/services/teitok/pdtc10/index.php?action=vallex&amp;frame=v-w1104f1", "hostovat (v-w1104f1)")</f>
        <v>hostovat (v-w1104f1)</v>
      </c>
    </row>
    <row r="9648" customFormat="false" ht="12.8" hidden="false" customHeight="false" outlineLevel="0" collapsed="false">
      <c r="B9648" s="0" t="s">
        <v>7</v>
      </c>
      <c r="D9648" s="0" t="s">
        <v>31</v>
      </c>
      <c r="E9648" s="0" t="s">
        <v>31</v>
      </c>
      <c r="F9648" s="0" t="s">
        <v>31</v>
      </c>
    </row>
    <row r="9649" customFormat="false" ht="12.8" hidden="false" customHeight="false" outlineLevel="0" collapsed="false">
      <c r="B9649" s="0" t="s">
        <v>11</v>
      </c>
    </row>
    <row r="9651" customFormat="false" ht="12.8" hidden="false" customHeight="false" outlineLevel="0" collapsed="false">
      <c r="A9651" s="0" t="s">
        <v>3948</v>
      </c>
      <c r="B9651" s="0" t="str">
        <f aca="false">HYPERLINK("https://lindat.mff.cuni.cz/services/teitok/pdtc10/index.php?action=vallex&amp;frame=v-whsa_1171hsa_1172", "houbařit (v-whsa_1171hsa_1172)")</f>
        <v>houbařit (v-whsa_1171hsa_1172)</v>
      </c>
    </row>
    <row r="9652" customFormat="false" ht="12.8" hidden="false" customHeight="false" outlineLevel="0" collapsed="false">
      <c r="B9652" s="0" t="s">
        <v>7</v>
      </c>
    </row>
    <row r="9654" customFormat="false" ht="12.8" hidden="false" customHeight="false" outlineLevel="0" collapsed="false">
      <c r="A9654" s="0" t="s">
        <v>3949</v>
      </c>
      <c r="B9654" s="0" t="str">
        <f aca="false">HYPERLINK("https://lindat.mff.cuni.cz/services/teitok/pdtc10/index.php?action=vallex&amp;frame=v-w1106f1", "houfovat se (v-w1106f1)")</f>
        <v>houfovat se (v-w1106f1)</v>
      </c>
    </row>
    <row r="9655" customFormat="false" ht="12.8" hidden="false" customHeight="false" outlineLevel="0" collapsed="false">
      <c r="B9655" s="0" t="s">
        <v>7</v>
      </c>
    </row>
    <row r="9656" customFormat="false" ht="12.8" hidden="false" customHeight="false" outlineLevel="0" collapsed="false">
      <c r="B9656" s="0" t="s">
        <v>3950</v>
      </c>
    </row>
    <row r="9658" customFormat="false" ht="12.8" hidden="false" customHeight="false" outlineLevel="0" collapsed="false">
      <c r="A9658" s="0" t="s">
        <v>3951</v>
      </c>
      <c r="B9658" s="0" t="str">
        <f aca="false">HYPERLINK("https://lindat.mff.cuni.cz/services/teitok/pdtc10/index.php?action=vallex&amp;frame=v-w1107hsa_454", "houkat (v-w1107hsa_454)")</f>
        <v>houkat (v-w1107hsa_454)</v>
      </c>
    </row>
    <row r="9659" customFormat="false" ht="12.8" hidden="false" customHeight="false" outlineLevel="0" collapsed="false">
      <c r="B9659" s="0" t="s">
        <v>7</v>
      </c>
    </row>
    <row r="9660" customFormat="false" ht="12.8" hidden="false" customHeight="false" outlineLevel="0" collapsed="false">
      <c r="B9660" s="0" t="s">
        <v>297</v>
      </c>
    </row>
    <row r="9662" customFormat="false" ht="12.8" hidden="false" customHeight="false" outlineLevel="0" collapsed="false">
      <c r="A9662" s="0" t="s">
        <v>3951</v>
      </c>
      <c r="B9662" s="0" t="str">
        <f aca="false">HYPERLINK("https://lindat.mff.cuni.cz/services/teitok/pdtc10/index.php?action=vallex&amp;frame=v-w1107f1", "houkat (v-w1107f1) - substituted with v-w1107hsa_454")</f>
        <v>houkat (v-w1107f1) - substituted with v-w1107hsa_454</v>
      </c>
    </row>
    <row r="9663" customFormat="false" ht="12.8" hidden="false" customHeight="false" outlineLevel="0" collapsed="false">
      <c r="B9663" s="0" t="s">
        <v>7</v>
      </c>
      <c r="D9663" s="0" t="s">
        <v>348</v>
      </c>
      <c r="E9663" s="0" t="s">
        <v>348</v>
      </c>
      <c r="F9663" s="0" t="s">
        <v>348</v>
      </c>
    </row>
    <row r="9664" customFormat="false" ht="12.8" hidden="false" customHeight="false" outlineLevel="0" collapsed="false">
      <c r="B9664" s="0" t="s">
        <v>297</v>
      </c>
    </row>
    <row r="9666" customFormat="false" ht="12.8" hidden="false" customHeight="false" outlineLevel="0" collapsed="false">
      <c r="A9666" s="0" t="s">
        <v>3952</v>
      </c>
      <c r="B9666" s="0" t="str">
        <f aca="false">HYPERLINK("https://lindat.mff.cuni.cz/services/teitok/pdtc10/index.php?action=vallex&amp;frame=v-whsa_168hsa_169", "houpat (v-whsa_168hsa_169)")</f>
        <v>houpat (v-whsa_168hsa_169)</v>
      </c>
    </row>
    <row r="9667" customFormat="false" ht="12.8" hidden="false" customHeight="false" outlineLevel="0" collapsed="false">
      <c r="B9667" s="0" t="s">
        <v>7</v>
      </c>
    </row>
    <row r="9668" customFormat="false" ht="12.8" hidden="false" customHeight="false" outlineLevel="0" collapsed="false">
      <c r="B9668" s="0" t="s">
        <v>14</v>
      </c>
    </row>
    <row r="9670" customFormat="false" ht="12.8" hidden="false" customHeight="false" outlineLevel="0" collapsed="false">
      <c r="A9670" s="0" t="s">
        <v>3953</v>
      </c>
      <c r="B9670" s="0" t="str">
        <f aca="false">HYPERLINK("https://lindat.mff.cuni.cz/services/teitok/pdtc10/index.php?action=vallex&amp;frame=v-w1108f1", "houpat se (v-w1108f1)")</f>
        <v>houpat se (v-w1108f1)</v>
      </c>
    </row>
    <row r="9671" customFormat="false" ht="12.8" hidden="false" customHeight="false" outlineLevel="0" collapsed="false">
      <c r="B9671" s="0" t="s">
        <v>7</v>
      </c>
      <c r="C9671" s="0" t="s">
        <v>272</v>
      </c>
      <c r="D9671" s="0" t="s">
        <v>3954</v>
      </c>
      <c r="E9671" s="0" t="s">
        <v>3954</v>
      </c>
      <c r="F9671" s="0" t="s">
        <v>3954</v>
      </c>
    </row>
    <row r="9673" customFormat="false" ht="12.8" hidden="false" customHeight="false" outlineLevel="0" collapsed="false">
      <c r="A9673" s="0" t="s">
        <v>3955</v>
      </c>
      <c r="B9673" s="0" t="str">
        <f aca="false">HYPERLINK("https://lindat.mff.cuni.cz/services/teitok/pdtc10/index.php?action=vallex&amp;frame=v-w1108hsa_1075", "houpat se (v-w1108hsa_1075)")</f>
        <v>houpat se (v-w1108hsa_1075)</v>
      </c>
    </row>
    <row r="9674" customFormat="false" ht="12.8" hidden="false" customHeight="false" outlineLevel="0" collapsed="false">
      <c r="B9674" s="0" t="s">
        <v>7</v>
      </c>
      <c r="C9674" s="0" t="s">
        <v>396</v>
      </c>
      <c r="D9674" s="0" t="s">
        <v>3954</v>
      </c>
      <c r="E9674" s="0" t="s">
        <v>3954</v>
      </c>
      <c r="F9674" s="0" t="s">
        <v>3954</v>
      </c>
    </row>
    <row r="9676" customFormat="false" ht="12.8" hidden="false" customHeight="false" outlineLevel="0" collapsed="false">
      <c r="A9676" s="0" t="s">
        <v>3956</v>
      </c>
      <c r="B9676" s="0" t="str">
        <f aca="false">HYPERLINK("https://lindat.mff.cuni.cz/services/teitok/pdtc10/index.php?action=vallex&amp;frame=v-w11088f3_ZU", "houstnout (v-w11088f3_ZU)")</f>
        <v>houstnout (v-w11088f3_ZU)</v>
      </c>
    </row>
    <row r="9677" customFormat="false" ht="12.8" hidden="false" customHeight="false" outlineLevel="0" collapsed="false">
      <c r="B9677" s="0" t="s">
        <v>7</v>
      </c>
      <c r="C9677" s="0" t="s">
        <v>247</v>
      </c>
      <c r="D9677" s="0" t="s">
        <v>3957</v>
      </c>
      <c r="E9677" s="0" t="s">
        <v>3957</v>
      </c>
      <c r="F9677" s="0" t="s">
        <v>3957</v>
      </c>
    </row>
    <row r="9679" customFormat="false" ht="12.8" hidden="false" customHeight="false" outlineLevel="0" collapsed="false">
      <c r="A9679" s="0" t="s">
        <v>3956</v>
      </c>
      <c r="B9679" s="0" t="str">
        <f aca="false">HYPERLINK("https://lindat.mff.cuni.cz/services/teitok/pdtc10/index.php?action=vallex&amp;frame=v-w11088f2", "houstnout (v-w11088f2) - substituted with v-w11088f3_ZU")</f>
        <v>houstnout (v-w11088f2) - substituted with v-w11088f3_ZU</v>
      </c>
    </row>
    <row r="9680" customFormat="false" ht="12.8" hidden="false" customHeight="false" outlineLevel="0" collapsed="false">
      <c r="B9680" s="0" t="s">
        <v>7</v>
      </c>
    </row>
    <row r="9682" customFormat="false" ht="12.8" hidden="false" customHeight="false" outlineLevel="0" collapsed="false">
      <c r="A9682" s="0" t="s">
        <v>3958</v>
      </c>
      <c r="B9682" s="0" t="str">
        <f aca="false">HYPERLINK("https://lindat.mff.cuni.cz/services/teitok/pdtc10/index.php?action=vallex&amp;frame=v-w1111f1", "hovořit (v-w1111f1)")</f>
        <v>hovořit (v-w1111f1)</v>
      </c>
    </row>
    <row r="9683" customFormat="false" ht="12.8" hidden="false" customHeight="false" outlineLevel="0" collapsed="false">
      <c r="B9683" s="0" t="s">
        <v>7</v>
      </c>
      <c r="C9683" s="0" t="s">
        <v>3959</v>
      </c>
      <c r="D9683" s="0" t="s">
        <v>209</v>
      </c>
      <c r="E9683" s="0" t="s">
        <v>209</v>
      </c>
      <c r="F9683" s="0" t="s">
        <v>209</v>
      </c>
    </row>
    <row r="9684" customFormat="false" ht="12.8" hidden="false" customHeight="false" outlineLevel="0" collapsed="false">
      <c r="B9684" s="0" t="s">
        <v>3960</v>
      </c>
      <c r="C9684" s="0" t="s">
        <v>3961</v>
      </c>
      <c r="D9684" s="0" t="s">
        <v>211</v>
      </c>
      <c r="E9684" s="0" t="s">
        <v>211</v>
      </c>
      <c r="F9684" s="0" t="s">
        <v>211</v>
      </c>
    </row>
    <row r="9685" customFormat="false" ht="12.8" hidden="false" customHeight="false" outlineLevel="0" collapsed="false">
      <c r="B9685" s="0" t="s">
        <v>2767</v>
      </c>
      <c r="C9685" s="0" t="s">
        <v>3962</v>
      </c>
      <c r="D9685" s="0" t="s">
        <v>213</v>
      </c>
      <c r="E9685" s="0" t="s">
        <v>213</v>
      </c>
      <c r="F9685" s="0" t="s">
        <v>213</v>
      </c>
    </row>
    <row r="9687" customFormat="false" ht="12.8" hidden="false" customHeight="false" outlineLevel="0" collapsed="false">
      <c r="A9687" s="0" t="s">
        <v>3963</v>
      </c>
      <c r="B9687" s="0" t="str">
        <f aca="false">HYPERLINK("https://lindat.mff.cuni.cz/services/teitok/pdtc10/index.php?action=vallex&amp;frame=v-w1111f13_ZU", "hovořit (v-w1111f13_ZU)")</f>
        <v>hovořit (v-w1111f13_ZU)</v>
      </c>
    </row>
    <row r="9688" customFormat="false" ht="12.8" hidden="false" customHeight="false" outlineLevel="0" collapsed="false">
      <c r="B9688" s="0" t="s">
        <v>7</v>
      </c>
    </row>
    <row r="9689" customFormat="false" ht="12.8" hidden="false" customHeight="false" outlineLevel="0" collapsed="false">
      <c r="B9689" s="0" t="s">
        <v>3964</v>
      </c>
    </row>
    <row r="9690" customFormat="false" ht="12.8" hidden="false" customHeight="false" outlineLevel="0" collapsed="false">
      <c r="B9690" s="0" t="s">
        <v>1124</v>
      </c>
    </row>
    <row r="9692" customFormat="false" ht="12.8" hidden="false" customHeight="false" outlineLevel="0" collapsed="false">
      <c r="A9692" s="0" t="s">
        <v>3963</v>
      </c>
      <c r="B9692" s="0" t="str">
        <f aca="false">HYPERLINK("https://lindat.mff.cuni.cz/services/teitok/pdtc10/index.php?action=vallex&amp;frame=v-w1111f5", "hovořit (v-w1111f5) - substituted with v-w1111f13_ZU")</f>
        <v>hovořit (v-w1111f5) - substituted with v-w1111f13_ZU</v>
      </c>
    </row>
    <row r="9693" customFormat="false" ht="12.8" hidden="false" customHeight="false" outlineLevel="0" collapsed="false">
      <c r="B9693" s="0" t="s">
        <v>7</v>
      </c>
      <c r="C9693" s="0" t="s">
        <v>315</v>
      </c>
      <c r="D9693" s="0" t="s">
        <v>209</v>
      </c>
      <c r="E9693" s="0" t="s">
        <v>209</v>
      </c>
      <c r="F9693" s="0" t="s">
        <v>209</v>
      </c>
    </row>
    <row r="9694" customFormat="false" ht="12.8" hidden="false" customHeight="false" outlineLevel="0" collapsed="false">
      <c r="B9694" s="0" t="s">
        <v>3964</v>
      </c>
      <c r="C9694" s="0" t="s">
        <v>3965</v>
      </c>
      <c r="D9694" s="0" t="s">
        <v>211</v>
      </c>
      <c r="E9694" s="0" t="s">
        <v>211</v>
      </c>
      <c r="F9694" s="0" t="s">
        <v>211</v>
      </c>
    </row>
    <row r="9695" customFormat="false" ht="12.8" hidden="false" customHeight="false" outlineLevel="0" collapsed="false">
      <c r="B9695" s="0" t="s">
        <v>1124</v>
      </c>
      <c r="C9695" s="0" t="s">
        <v>3966</v>
      </c>
      <c r="D9695" s="0" t="s">
        <v>213</v>
      </c>
      <c r="E9695" s="0" t="s">
        <v>213</v>
      </c>
      <c r="F9695" s="0" t="s">
        <v>213</v>
      </c>
    </row>
    <row r="9697" customFormat="false" ht="12.8" hidden="false" customHeight="false" outlineLevel="0" collapsed="false">
      <c r="A9697" s="0" t="s">
        <v>3967</v>
      </c>
      <c r="B9697" s="0" t="str">
        <f aca="false">HYPERLINK("https://lindat.mff.cuni.cz/services/teitok/pdtc10/index.php?action=vallex&amp;frame=v-w1111f10", "hovořit (v-w1111f10)")</f>
        <v>hovořit (v-w1111f10)</v>
      </c>
    </row>
    <row r="9698" customFormat="false" ht="12.8" hidden="false" customHeight="false" outlineLevel="0" collapsed="false">
      <c r="B9698" s="0" t="s">
        <v>7</v>
      </c>
    </row>
    <row r="9699" customFormat="false" ht="12.8" hidden="false" customHeight="false" outlineLevel="0" collapsed="false">
      <c r="B9699" s="0" t="s">
        <v>14</v>
      </c>
    </row>
    <row r="9701" customFormat="false" ht="12.8" hidden="false" customHeight="false" outlineLevel="0" collapsed="false">
      <c r="A9701" s="0" t="s">
        <v>3968</v>
      </c>
      <c r="B9701" s="0" t="str">
        <f aca="false">HYPERLINK("https://lindat.mff.cuni.cz/services/teitok/pdtc10/index.php?action=vallex&amp;frame=v-w1111f9", "hovořit (v-w1111f9)")</f>
        <v>hovořit (v-w1111f9)</v>
      </c>
    </row>
    <row r="9702" customFormat="false" ht="12.8" hidden="false" customHeight="false" outlineLevel="0" collapsed="false">
      <c r="B9702" s="0" t="s">
        <v>7</v>
      </c>
      <c r="C9702" s="0" t="s">
        <v>184</v>
      </c>
    </row>
    <row r="9703" customFormat="false" ht="12.8" hidden="false" customHeight="false" outlineLevel="0" collapsed="false">
      <c r="B9703" s="0" t="s">
        <v>14</v>
      </c>
    </row>
    <row r="9705" customFormat="false" ht="12.8" hidden="false" customHeight="false" outlineLevel="0" collapsed="false">
      <c r="A9705" s="0" t="s">
        <v>3969</v>
      </c>
      <c r="B9705" s="0" t="str">
        <f aca="false">HYPERLINK("https://lindat.mff.cuni.cz/services/teitok/pdtc10/index.php?action=vallex&amp;frame=v-w1111f2", "hovořit (v-w1111f2)")</f>
        <v>hovořit (v-w1111f2)</v>
      </c>
    </row>
    <row r="9706" customFormat="false" ht="12.8" hidden="false" customHeight="false" outlineLevel="0" collapsed="false">
      <c r="B9706" s="0" t="s">
        <v>7</v>
      </c>
      <c r="C9706" s="0" t="s">
        <v>3970</v>
      </c>
    </row>
    <row r="9707" customFormat="false" ht="12.8" hidden="false" customHeight="false" outlineLevel="0" collapsed="false">
      <c r="B9707" s="0" t="s">
        <v>244</v>
      </c>
      <c r="C9707" s="0" t="s">
        <v>3971</v>
      </c>
    </row>
    <row r="9709" customFormat="false" ht="12.8" hidden="false" customHeight="false" outlineLevel="0" collapsed="false">
      <c r="A9709" s="0" t="s">
        <v>3972</v>
      </c>
      <c r="B9709" s="0" t="str">
        <f aca="false">HYPERLINK("https://lindat.mff.cuni.cz/services/teitok/pdtc10/index.php?action=vallex&amp;frame=v-w1111f12_ZU", "hovořit (v-w1111f12_ZU)")</f>
        <v>hovořit (v-w1111f12_ZU)</v>
      </c>
    </row>
    <row r="9710" customFormat="false" ht="12.8" hidden="false" customHeight="false" outlineLevel="0" collapsed="false">
      <c r="B9710" s="0" t="s">
        <v>7</v>
      </c>
      <c r="C9710" s="0" t="s">
        <v>46</v>
      </c>
      <c r="D9710" s="0" t="s">
        <v>149</v>
      </c>
      <c r="E9710" s="0" t="s">
        <v>149</v>
      </c>
      <c r="F9710" s="0" t="s">
        <v>149</v>
      </c>
    </row>
    <row r="9711" customFormat="false" ht="12.8" hidden="false" customHeight="false" outlineLevel="0" collapsed="false">
      <c r="B9711" s="0" t="s">
        <v>3973</v>
      </c>
      <c r="D9711" s="0" t="s">
        <v>3974</v>
      </c>
      <c r="E9711" s="0" t="s">
        <v>3974</v>
      </c>
      <c r="F9711" s="0" t="s">
        <v>3974</v>
      </c>
    </row>
    <row r="9713" customFormat="false" ht="12.8" hidden="false" customHeight="false" outlineLevel="0" collapsed="false">
      <c r="A9713" s="0" t="s">
        <v>3972</v>
      </c>
      <c r="B9713" s="0" t="str">
        <f aca="false">HYPERLINK("https://lindat.mff.cuni.cz/services/teitok/pdtc10/index.php?action=vallex&amp;frame=v-w1111f3", "hovořit (v-w1111f3) - substituted with v-w1111f12_ZU")</f>
        <v>hovořit (v-w1111f3) - substituted with v-w1111f12_ZU</v>
      </c>
    </row>
    <row r="9714" customFormat="false" ht="12.8" hidden="false" customHeight="false" outlineLevel="0" collapsed="false">
      <c r="B9714" s="0" t="s">
        <v>7</v>
      </c>
    </row>
    <row r="9715" customFormat="false" ht="12.8" hidden="false" customHeight="false" outlineLevel="0" collapsed="false">
      <c r="B9715" s="0" t="s">
        <v>3973</v>
      </c>
    </row>
    <row r="9717" customFormat="false" ht="12.8" hidden="false" customHeight="false" outlineLevel="0" collapsed="false">
      <c r="A9717" s="0" t="s">
        <v>3975</v>
      </c>
      <c r="B9717" s="0" t="str">
        <f aca="false">HYPERLINK("https://lindat.mff.cuni.cz/services/teitok/pdtc10/index.php?action=vallex&amp;frame=v-w1111f6", "hovořit (v-w1111f6)")</f>
        <v>hovořit (v-w1111f6)</v>
      </c>
    </row>
    <row r="9718" customFormat="false" ht="12.8" hidden="false" customHeight="false" outlineLevel="0" collapsed="false">
      <c r="B9718" s="0" t="s">
        <v>7</v>
      </c>
      <c r="C9718" s="0" t="s">
        <v>3976</v>
      </c>
    </row>
    <row r="9719" customFormat="false" ht="12.8" hidden="false" customHeight="false" outlineLevel="0" collapsed="false">
      <c r="B9719" s="0" t="s">
        <v>3977</v>
      </c>
      <c r="C9719" s="0" t="s">
        <v>3978</v>
      </c>
    </row>
    <row r="9720" customFormat="false" ht="12.8" hidden="false" customHeight="false" outlineLevel="0" collapsed="false">
      <c r="B9720" s="0" t="s">
        <v>363</v>
      </c>
      <c r="C9720" s="0" t="s">
        <v>1768</v>
      </c>
    </row>
    <row r="9722" customFormat="false" ht="12.8" hidden="false" customHeight="false" outlineLevel="0" collapsed="false">
      <c r="A9722" s="0" t="s">
        <v>3979</v>
      </c>
      <c r="B9722" s="0" t="str">
        <f aca="false">HYPERLINK("https://lindat.mff.cuni.cz/services/teitok/pdtc10/index.php?action=vallex&amp;frame=v-w1111f4", "hovořit (v-w1111f4)")</f>
        <v>hovořit (v-w1111f4)</v>
      </c>
    </row>
    <row r="9723" customFormat="false" ht="12.8" hidden="false" customHeight="false" outlineLevel="0" collapsed="false">
      <c r="B9723" s="0" t="s">
        <v>7</v>
      </c>
      <c r="C9723" s="0" t="s">
        <v>558</v>
      </c>
      <c r="D9723" s="0" t="s">
        <v>558</v>
      </c>
      <c r="E9723" s="0" t="s">
        <v>558</v>
      </c>
      <c r="F9723" s="0" t="s">
        <v>558</v>
      </c>
    </row>
    <row r="9725" customFormat="false" ht="12.8" hidden="false" customHeight="false" outlineLevel="0" collapsed="false">
      <c r="A9725" s="0" t="s">
        <v>3980</v>
      </c>
      <c r="B9725" s="0" t="str">
        <f aca="false">HYPERLINK("https://lindat.mff.cuni.cz/services/teitok/pdtc10/index.php?action=vallex&amp;frame=v-w1111f11", "hovořit (v-w1111f11)")</f>
        <v>hovořit (v-w1111f11)</v>
      </c>
    </row>
    <row r="9726" customFormat="false" ht="12.8" hidden="false" customHeight="false" outlineLevel="0" collapsed="false">
      <c r="B9726" s="0" t="s">
        <v>7</v>
      </c>
    </row>
    <row r="9727" customFormat="false" ht="12.8" hidden="false" customHeight="false" outlineLevel="0" collapsed="false">
      <c r="B9727" s="0" t="s">
        <v>3981</v>
      </c>
    </row>
    <row r="9728" customFormat="false" ht="12.8" hidden="false" customHeight="false" outlineLevel="0" collapsed="false">
      <c r="B9728" s="0" t="s">
        <v>142</v>
      </c>
    </row>
    <row r="9730" customFormat="false" ht="12.8" hidden="false" customHeight="false" outlineLevel="0" collapsed="false">
      <c r="A9730" s="0" t="s">
        <v>3982</v>
      </c>
      <c r="B9730" s="0" t="str">
        <f aca="false">HYPERLINK("https://lindat.mff.cuni.cz/services/teitok/pdtc10/index.php?action=vallex&amp;frame=v-w1111f8", "hovořit (v-w1111f8)")</f>
        <v>hovořit (v-w1111f8)</v>
      </c>
    </row>
    <row r="9731" customFormat="false" ht="12.8" hidden="false" customHeight="false" outlineLevel="0" collapsed="false">
      <c r="B9731" s="0" t="s">
        <v>7</v>
      </c>
    </row>
    <row r="9732" customFormat="false" ht="12.8" hidden="false" customHeight="false" outlineLevel="0" collapsed="false">
      <c r="B9732" s="0" t="s">
        <v>3983</v>
      </c>
    </row>
    <row r="9734" customFormat="false" ht="12.8" hidden="false" customHeight="false" outlineLevel="0" collapsed="false">
      <c r="A9734" s="0" t="s">
        <v>3984</v>
      </c>
      <c r="B9734" s="0" t="str">
        <f aca="false">HYPERLINK("https://lindat.mff.cuni.cz/services/teitok/pdtc10/index.php?action=vallex&amp;frame=v-w1111f7", "hovořit (v-w1111f7)")</f>
        <v>hovořit (v-w1111f7)</v>
      </c>
    </row>
    <row r="9735" customFormat="false" ht="12.8" hidden="false" customHeight="false" outlineLevel="0" collapsed="false">
      <c r="B9735" s="0" t="s">
        <v>7</v>
      </c>
    </row>
    <row r="9736" customFormat="false" ht="12.8" hidden="false" customHeight="false" outlineLevel="0" collapsed="false">
      <c r="B9736" s="0" t="s">
        <v>3985</v>
      </c>
    </row>
    <row r="9738" customFormat="false" ht="12.8" hidden="false" customHeight="false" outlineLevel="0" collapsed="false">
      <c r="A9738" s="0" t="s">
        <v>3986</v>
      </c>
      <c r="B9738" s="0" t="str">
        <f aca="false">HYPERLINK("https://lindat.mff.cuni.cz/services/teitok/pdtc10/index.php?action=vallex&amp;frame=v-w1109f1", "hovět si (v-w1109f1)")</f>
        <v>hovět si (v-w1109f1)</v>
      </c>
    </row>
    <row r="9739" customFormat="false" ht="12.8" hidden="false" customHeight="false" outlineLevel="0" collapsed="false">
      <c r="B9739" s="0" t="s">
        <v>7</v>
      </c>
    </row>
    <row r="9741" customFormat="false" ht="12.8" hidden="false" customHeight="false" outlineLevel="0" collapsed="false">
      <c r="A9741" s="0" t="s">
        <v>3987</v>
      </c>
      <c r="B9741" s="0" t="str">
        <f aca="false">HYPERLINK("https://lindat.mff.cuni.cz/services/teitok/pdtc10/index.php?action=vallex&amp;frame=v-w1096f5_ZU", "hořet (v-w1096f5_ZU)")</f>
        <v>hořet (v-w1096f5_ZU)</v>
      </c>
    </row>
    <row r="9742" customFormat="false" ht="12.8" hidden="false" customHeight="false" outlineLevel="0" collapsed="false">
      <c r="B9742" s="0" t="s">
        <v>7</v>
      </c>
    </row>
    <row r="9744" customFormat="false" ht="12.8" hidden="false" customHeight="false" outlineLevel="0" collapsed="false">
      <c r="A9744" s="0" t="s">
        <v>3987</v>
      </c>
      <c r="B9744" s="0" t="str">
        <f aca="false">HYPERLINK("https://lindat.mff.cuni.cz/services/teitok/pdtc10/index.php?action=vallex&amp;frame=v-w1096f1", "hořet (v-w1096f1) - substituted with v-w1096f5_ZU")</f>
        <v>hořet (v-w1096f1) - substituted with v-w1096f5_ZU</v>
      </c>
    </row>
    <row r="9745" customFormat="false" ht="12.8" hidden="false" customHeight="false" outlineLevel="0" collapsed="false">
      <c r="B9745" s="0" t="s">
        <v>7</v>
      </c>
      <c r="C9745" s="0" t="s">
        <v>200</v>
      </c>
      <c r="D9745" s="0" t="s">
        <v>200</v>
      </c>
      <c r="E9745" s="0" t="s">
        <v>200</v>
      </c>
      <c r="F9745" s="0" t="s">
        <v>200</v>
      </c>
    </row>
    <row r="9747" customFormat="false" ht="12.8" hidden="false" customHeight="false" outlineLevel="0" collapsed="false">
      <c r="A9747" s="0" t="s">
        <v>3988</v>
      </c>
      <c r="B9747" s="0" t="str">
        <f aca="false">HYPERLINK("https://lindat.mff.cuni.cz/services/teitok/pdtc10/index.php?action=vallex&amp;frame=v-w1096f3", "hořet (v-w1096f3)")</f>
        <v>hořet (v-w1096f3)</v>
      </c>
    </row>
    <row r="9748" customFormat="false" ht="12.8" hidden="false" customHeight="false" outlineLevel="0" collapsed="false">
      <c r="B9748" s="0" t="s">
        <v>7</v>
      </c>
    </row>
    <row r="9750" customFormat="false" ht="12.8" hidden="false" customHeight="false" outlineLevel="0" collapsed="false">
      <c r="A9750" s="0" t="s">
        <v>3989</v>
      </c>
      <c r="B9750" s="0" t="str">
        <f aca="false">HYPERLINK("https://lindat.mff.cuni.cz/services/teitok/pdtc10/index.php?action=vallex&amp;frame=v-w1096f4_ZU", "hořet (v-w1096f4_ZU)")</f>
        <v>hořet (v-w1096f4_ZU)</v>
      </c>
    </row>
    <row r="9751" customFormat="false" ht="12.8" hidden="false" customHeight="false" outlineLevel="0" collapsed="false">
      <c r="B9751" s="0" t="s">
        <v>7</v>
      </c>
    </row>
    <row r="9753" customFormat="false" ht="12.8" hidden="false" customHeight="false" outlineLevel="0" collapsed="false">
      <c r="A9753" s="0" t="s">
        <v>3990</v>
      </c>
      <c r="B9753" s="0" t="str">
        <f aca="false">HYPERLINK("https://lindat.mff.cuni.cz/services/teitok/pdtc10/index.php?action=vallex&amp;frame=v-w1096f2", "hořet (v-w1096f2)")</f>
        <v>hořet (v-w1096f2)</v>
      </c>
    </row>
    <row r="9754" customFormat="false" ht="12.8" hidden="false" customHeight="false" outlineLevel="0" collapsed="false">
      <c r="B9754" s="0" t="s">
        <v>7</v>
      </c>
    </row>
    <row r="9755" customFormat="false" ht="12.8" hidden="false" customHeight="false" outlineLevel="0" collapsed="false">
      <c r="B9755" s="0" t="s">
        <v>3991</v>
      </c>
    </row>
    <row r="9757" customFormat="false" ht="12.8" hidden="false" customHeight="false" outlineLevel="0" collapsed="false">
      <c r="A9757" s="0" t="s">
        <v>3992</v>
      </c>
      <c r="B9757" s="0" t="str">
        <f aca="false">HYPERLINK("https://lindat.mff.cuni.cz/services/teitok/pdtc10/index.php?action=vallex&amp;frame=v-w10638f3_ZU", "hrabat (v-w10638f3_ZU)")</f>
        <v>hrabat (v-w10638f3_ZU)</v>
      </c>
    </row>
    <row r="9758" customFormat="false" ht="12.8" hidden="false" customHeight="false" outlineLevel="0" collapsed="false">
      <c r="B9758" s="0" t="s">
        <v>7</v>
      </c>
      <c r="F9758" s="0" t="s">
        <v>2523</v>
      </c>
    </row>
    <row r="9759" customFormat="false" ht="12.8" hidden="false" customHeight="false" outlineLevel="0" collapsed="false">
      <c r="B9759" s="0" t="s">
        <v>14</v>
      </c>
      <c r="F9759" s="0" t="s">
        <v>493</v>
      </c>
    </row>
    <row r="9760" customFormat="false" ht="12.8" hidden="false" customHeight="false" outlineLevel="0" collapsed="false">
      <c r="B9760" s="0" t="s">
        <v>3993</v>
      </c>
    </row>
    <row r="9762" customFormat="false" ht="12.8" hidden="false" customHeight="false" outlineLevel="0" collapsed="false">
      <c r="A9762" s="0" t="s">
        <v>3992</v>
      </c>
      <c r="B9762" s="0" t="str">
        <f aca="false">HYPERLINK("https://lindat.mff.cuni.cz/services/teitok/pdtc10/index.php?action=vallex&amp;frame=v-w10638f2", "hrabat (v-w10638f2) - substituted with v-w10638f3_ZU")</f>
        <v>hrabat (v-w10638f2) - substituted with v-w10638f3_ZU</v>
      </c>
    </row>
    <row r="9763" customFormat="false" ht="12.8" hidden="false" customHeight="false" outlineLevel="0" collapsed="false">
      <c r="B9763" s="0" t="s">
        <v>7</v>
      </c>
      <c r="C9763" s="0" t="s">
        <v>3994</v>
      </c>
    </row>
    <row r="9764" customFormat="false" ht="12.8" hidden="false" customHeight="false" outlineLevel="0" collapsed="false">
      <c r="B9764" s="0" t="s">
        <v>14</v>
      </c>
      <c r="C9764" s="0" t="s">
        <v>1571</v>
      </c>
    </row>
    <row r="9765" customFormat="false" ht="12.8" hidden="false" customHeight="false" outlineLevel="0" collapsed="false">
      <c r="B9765" s="0" t="s">
        <v>3993</v>
      </c>
    </row>
    <row r="9767" customFormat="false" ht="12.8" hidden="false" customHeight="false" outlineLevel="0" collapsed="false">
      <c r="A9767" s="0" t="s">
        <v>3995</v>
      </c>
      <c r="B9767" s="0" t="str">
        <f aca="false">HYPERLINK("https://lindat.mff.cuni.cz/services/teitok/pdtc10/index.php?action=vallex&amp;frame=v-w11356f1", "hrabat se (v-w11356f1)")</f>
        <v>hrabat se (v-w11356f1)</v>
      </c>
    </row>
    <row r="9768" customFormat="false" ht="12.8" hidden="false" customHeight="false" outlineLevel="0" collapsed="false">
      <c r="B9768" s="0" t="s">
        <v>7</v>
      </c>
      <c r="C9768" s="0" t="s">
        <v>191</v>
      </c>
      <c r="D9768" s="0" t="s">
        <v>113</v>
      </c>
      <c r="E9768" s="0" t="s">
        <v>569</v>
      </c>
      <c r="F9768" s="0" t="s">
        <v>569</v>
      </c>
    </row>
    <row r="9769" customFormat="false" ht="12.8" hidden="false" customHeight="false" outlineLevel="0" collapsed="false">
      <c r="B9769" s="0" t="s">
        <v>1059</v>
      </c>
      <c r="C9769" s="0" t="s">
        <v>3996</v>
      </c>
      <c r="D9769" s="0" t="s">
        <v>3997</v>
      </c>
      <c r="E9769" s="0" t="s">
        <v>3997</v>
      </c>
      <c r="F9769" s="0" t="s">
        <v>3997</v>
      </c>
    </row>
    <row r="9771" customFormat="false" ht="12.8" hidden="false" customHeight="false" outlineLevel="0" collapsed="false">
      <c r="A9771" s="0" t="s">
        <v>3998</v>
      </c>
      <c r="B9771" s="0" t="str">
        <f aca="false">HYPERLINK("https://lindat.mff.cuni.cz/services/teitok/pdtc10/index.php?action=vallex&amp;frame=v-w1116f1", "hradit (v-w1116f1)")</f>
        <v>hradit (v-w1116f1)</v>
      </c>
    </row>
    <row r="9772" customFormat="false" ht="12.8" hidden="false" customHeight="false" outlineLevel="0" collapsed="false">
      <c r="B9772" s="0" t="s">
        <v>7</v>
      </c>
      <c r="C9772" s="0" t="s">
        <v>3999</v>
      </c>
      <c r="D9772" s="0" t="s">
        <v>4000</v>
      </c>
      <c r="E9772" s="0" t="s">
        <v>4000</v>
      </c>
      <c r="F9772" s="0" t="s">
        <v>4000</v>
      </c>
    </row>
    <row r="9773" customFormat="false" ht="12.8" hidden="false" customHeight="false" outlineLevel="0" collapsed="false">
      <c r="B9773" s="0" t="s">
        <v>14</v>
      </c>
      <c r="C9773" s="0" t="s">
        <v>4001</v>
      </c>
      <c r="D9773" s="0" t="s">
        <v>4002</v>
      </c>
      <c r="E9773" s="0" t="s">
        <v>4002</v>
      </c>
      <c r="F9773" s="0" t="s">
        <v>4002</v>
      </c>
    </row>
    <row r="9774" customFormat="false" ht="12.8" hidden="false" customHeight="false" outlineLevel="0" collapsed="false">
      <c r="B9774" s="0" t="s">
        <v>106</v>
      </c>
      <c r="C9774" s="0" t="s">
        <v>4003</v>
      </c>
      <c r="D9774" s="0" t="s">
        <v>4004</v>
      </c>
      <c r="E9774" s="0" t="s">
        <v>4004</v>
      </c>
      <c r="F9774" s="0" t="s">
        <v>4004</v>
      </c>
    </row>
    <row r="9775" customFormat="false" ht="12.8" hidden="false" customHeight="false" outlineLevel="0" collapsed="false">
      <c r="B9775" s="0" t="s">
        <v>550</v>
      </c>
    </row>
    <row r="9777" customFormat="false" ht="12.8" hidden="false" customHeight="false" outlineLevel="0" collapsed="false">
      <c r="A9777" s="0" t="s">
        <v>4005</v>
      </c>
      <c r="B9777" s="0" t="str">
        <f aca="false">HYPERLINK("https://lindat.mff.cuni.cz/services/teitok/pdtc10/index.php?action=vallex&amp;frame=v-w1116f2", "hradit (v-w1116f2)")</f>
        <v>hradit (v-w1116f2)</v>
      </c>
    </row>
    <row r="9778" customFormat="false" ht="12.8" hidden="false" customHeight="false" outlineLevel="0" collapsed="false">
      <c r="B9778" s="0" t="s">
        <v>7</v>
      </c>
    </row>
    <row r="9779" customFormat="false" ht="12.8" hidden="false" customHeight="false" outlineLevel="0" collapsed="false">
      <c r="B9779" s="0" t="s">
        <v>679</v>
      </c>
    </row>
    <row r="9780" customFormat="false" ht="12.8" hidden="false" customHeight="false" outlineLevel="0" collapsed="false">
      <c r="B9780" s="0" t="s">
        <v>1654</v>
      </c>
    </row>
    <row r="9781" customFormat="false" ht="12.8" hidden="false" customHeight="false" outlineLevel="0" collapsed="false">
      <c r="B9781" s="0" t="s">
        <v>106</v>
      </c>
    </row>
    <row r="9783" customFormat="false" ht="12.8" hidden="false" customHeight="false" outlineLevel="0" collapsed="false">
      <c r="A9783" s="0" t="s">
        <v>4006</v>
      </c>
      <c r="B9783" s="0" t="str">
        <f aca="false">HYPERLINK("https://lindat.mff.cuni.cz/services/teitok/pdtc10/index.php?action=vallex&amp;frame=v-w1121f1", "hraničit (v-w1121f1)")</f>
        <v>hraničit (v-w1121f1)</v>
      </c>
    </row>
    <row r="9784" customFormat="false" ht="12.8" hidden="false" customHeight="false" outlineLevel="0" collapsed="false">
      <c r="B9784" s="0" t="s">
        <v>7</v>
      </c>
    </row>
    <row r="9785" customFormat="false" ht="12.8" hidden="false" customHeight="false" outlineLevel="0" collapsed="false">
      <c r="B9785" s="0" t="s">
        <v>548</v>
      </c>
    </row>
    <row r="9787" customFormat="false" ht="12.8" hidden="false" customHeight="false" outlineLevel="0" collapsed="false">
      <c r="A9787" s="0" t="s">
        <v>4007</v>
      </c>
      <c r="B9787" s="0" t="str">
        <f aca="false">HYPERLINK("https://lindat.mff.cuni.cz/services/teitok/pdtc10/index.php?action=vallex&amp;frame=v-w1121f2", "hraničit (v-w1121f2)")</f>
        <v>hraničit (v-w1121f2)</v>
      </c>
    </row>
    <row r="9788" customFormat="false" ht="12.8" hidden="false" customHeight="false" outlineLevel="0" collapsed="false">
      <c r="B9788" s="0" t="s">
        <v>7</v>
      </c>
    </row>
    <row r="9789" customFormat="false" ht="12.8" hidden="false" customHeight="false" outlineLevel="0" collapsed="false">
      <c r="B9789" s="0" t="s">
        <v>548</v>
      </c>
    </row>
    <row r="9791" customFormat="false" ht="12.8" hidden="false" customHeight="false" outlineLevel="0" collapsed="false">
      <c r="A9791" s="0" t="s">
        <v>4008</v>
      </c>
      <c r="B9791" s="0" t="str">
        <f aca="false">HYPERLINK("https://lindat.mff.cuni.cz/services/teitok/pdtc10/index.php?action=vallex&amp;frame=v-w11720_ZUf1_ZU", "hrkat (v-w11720_ZUf1_ZU)")</f>
        <v>hrkat (v-w11720_ZUf1_ZU)</v>
      </c>
    </row>
    <row r="9792" customFormat="false" ht="12.8" hidden="false" customHeight="false" outlineLevel="0" collapsed="false">
      <c r="B9792" s="0" t="s">
        <v>7</v>
      </c>
    </row>
    <row r="9794" customFormat="false" ht="12.8" hidden="false" customHeight="false" outlineLevel="0" collapsed="false">
      <c r="A9794" s="0" t="s">
        <v>4009</v>
      </c>
      <c r="B9794" s="0" t="str">
        <f aca="false">HYPERLINK("https://lindat.mff.cuni.cz/services/teitok/pdtc10/index.php?action=vallex&amp;frame=v-w1129f1", "hrknout (v-w1129f1)")</f>
        <v>hrknout (v-w1129f1)</v>
      </c>
    </row>
    <row r="9795" customFormat="false" ht="12.8" hidden="false" customHeight="false" outlineLevel="0" collapsed="false">
      <c r="B9795" s="0" t="s">
        <v>7</v>
      </c>
    </row>
    <row r="9797" customFormat="false" ht="12.8" hidden="false" customHeight="false" outlineLevel="0" collapsed="false">
      <c r="A9797" s="0" t="s">
        <v>4010</v>
      </c>
      <c r="B9797" s="0" t="str">
        <f aca="false">HYPERLINK("https://lindat.mff.cuni.cz/services/teitok/pdtc10/index.php?action=vallex&amp;frame=v-w1129f2", "hrknout (v-w1129f2)")</f>
        <v>hrknout (v-w1129f2)</v>
      </c>
    </row>
    <row r="9798" customFormat="false" ht="12.8" hidden="false" customHeight="false" outlineLevel="0" collapsed="false">
      <c r="B9798" s="0" t="s">
        <v>11</v>
      </c>
    </row>
    <row r="9800" customFormat="false" ht="12.8" hidden="false" customHeight="false" outlineLevel="0" collapsed="false">
      <c r="A9800" s="0" t="s">
        <v>4011</v>
      </c>
      <c r="B9800" s="0" t="str">
        <f aca="false">HYPERLINK("https://lindat.mff.cuni.cz/services/teitok/pdtc10/index.php?action=vallex&amp;frame=v-w1130f1", "hrnout (v-w1130f1)")</f>
        <v>hrnout (v-w1130f1)</v>
      </c>
    </row>
    <row r="9801" customFormat="false" ht="12.8" hidden="false" customHeight="false" outlineLevel="0" collapsed="false">
      <c r="B9801" s="0" t="s">
        <v>7</v>
      </c>
    </row>
    <row r="9802" customFormat="false" ht="12.8" hidden="false" customHeight="false" outlineLevel="0" collapsed="false">
      <c r="B9802" s="0" t="s">
        <v>14</v>
      </c>
    </row>
    <row r="9803" customFormat="false" ht="12.8" hidden="false" customHeight="false" outlineLevel="0" collapsed="false">
      <c r="B9803" s="0" t="s">
        <v>181</v>
      </c>
    </row>
    <row r="9805" customFormat="false" ht="12.8" hidden="false" customHeight="false" outlineLevel="0" collapsed="false">
      <c r="A9805" s="0" t="s">
        <v>4012</v>
      </c>
      <c r="B9805" s="0" t="str">
        <f aca="false">HYPERLINK("https://lindat.mff.cuni.cz/services/teitok/pdtc10/index.php?action=vallex&amp;frame=v-w1131f1", "hrnout se (v-w1131f1)")</f>
        <v>hrnout se (v-w1131f1)</v>
      </c>
    </row>
    <row r="9806" customFormat="false" ht="12.8" hidden="false" customHeight="false" outlineLevel="0" collapsed="false">
      <c r="B9806" s="0" t="s">
        <v>7</v>
      </c>
      <c r="C9806" s="0" t="s">
        <v>4013</v>
      </c>
      <c r="D9806" s="0" t="s">
        <v>4014</v>
      </c>
      <c r="E9806" s="0" t="s">
        <v>4014</v>
      </c>
      <c r="F9806" s="0" t="s">
        <v>4015</v>
      </c>
    </row>
    <row r="9807" customFormat="false" ht="12.8" hidden="false" customHeight="false" outlineLevel="0" collapsed="false">
      <c r="B9807" s="0" t="s">
        <v>124</v>
      </c>
      <c r="C9807" s="0" t="s">
        <v>4016</v>
      </c>
      <c r="D9807" s="0" t="s">
        <v>4017</v>
      </c>
      <c r="E9807" s="0" t="s">
        <v>4017</v>
      </c>
      <c r="F9807" s="0" t="s">
        <v>4017</v>
      </c>
    </row>
    <row r="9809" customFormat="false" ht="12.8" hidden="false" customHeight="false" outlineLevel="0" collapsed="false">
      <c r="A9809" s="0" t="s">
        <v>4018</v>
      </c>
      <c r="B9809" s="0" t="str">
        <f aca="false">HYPERLINK("https://lindat.mff.cuni.cz/services/teitok/pdtc10/index.php?action=vallex&amp;frame=v-w1132f1", "hromadit (v-w1132f1)")</f>
        <v>hromadit (v-w1132f1)</v>
      </c>
    </row>
    <row r="9810" customFormat="false" ht="12.8" hidden="false" customHeight="false" outlineLevel="0" collapsed="false">
      <c r="B9810" s="0" t="s">
        <v>7</v>
      </c>
      <c r="C9810" s="0" t="s">
        <v>460</v>
      </c>
      <c r="D9810" s="0" t="s">
        <v>77</v>
      </c>
      <c r="E9810" s="0" t="s">
        <v>77</v>
      </c>
      <c r="F9810" s="0" t="s">
        <v>77</v>
      </c>
    </row>
    <row r="9811" customFormat="false" ht="12.8" hidden="false" customHeight="false" outlineLevel="0" collapsed="false">
      <c r="B9811" s="0" t="s">
        <v>14</v>
      </c>
      <c r="C9811" s="0" t="s">
        <v>624</v>
      </c>
      <c r="D9811" s="0" t="s">
        <v>79</v>
      </c>
      <c r="E9811" s="0" t="s">
        <v>79</v>
      </c>
      <c r="F9811" s="0" t="s">
        <v>79</v>
      </c>
    </row>
    <row r="9813" customFormat="false" ht="12.8" hidden="false" customHeight="false" outlineLevel="0" collapsed="false">
      <c r="A9813" s="0" t="s">
        <v>4019</v>
      </c>
      <c r="B9813" s="0" t="str">
        <f aca="false">HYPERLINK("https://lindat.mff.cuni.cz/services/teitok/pdtc10/index.php?action=vallex&amp;frame=v-w1133f1", "hromadit se (v-w1133f1)")</f>
        <v>hromadit se (v-w1133f1)</v>
      </c>
    </row>
    <row r="9814" customFormat="false" ht="12.8" hidden="false" customHeight="false" outlineLevel="0" collapsed="false">
      <c r="B9814" s="0" t="s">
        <v>7</v>
      </c>
      <c r="C9814" s="0" t="s">
        <v>2894</v>
      </c>
      <c r="D9814" s="0" t="s">
        <v>4020</v>
      </c>
      <c r="E9814" s="0" t="s">
        <v>4021</v>
      </c>
      <c r="F9814" s="0" t="s">
        <v>4021</v>
      </c>
    </row>
    <row r="9816" customFormat="false" ht="12.8" hidden="false" customHeight="false" outlineLevel="0" collapsed="false">
      <c r="A9816" s="0" t="s">
        <v>4022</v>
      </c>
      <c r="B9816" s="0" t="str">
        <f aca="false">HYPERLINK("https://lindat.mff.cuni.cz/services/teitok/pdtc10/index.php?action=vallex&amp;frame=v-w1134f3_ZU", "hroutit se (v-w1134f3_ZU)")</f>
        <v>hroutit se (v-w1134f3_ZU)</v>
      </c>
    </row>
    <row r="9817" customFormat="false" ht="12.8" hidden="false" customHeight="false" outlineLevel="0" collapsed="false">
      <c r="B9817" s="0" t="s">
        <v>7</v>
      </c>
    </row>
    <row r="9819" customFormat="false" ht="12.8" hidden="false" customHeight="false" outlineLevel="0" collapsed="false">
      <c r="A9819" s="0" t="s">
        <v>4022</v>
      </c>
      <c r="B9819" s="0" t="str">
        <f aca="false">HYPERLINK("https://lindat.mff.cuni.cz/services/teitok/pdtc10/index.php?action=vallex&amp;frame=v-w1134f1", "hroutit se (v-w1134f1) - substituted with v-w1134f3_ZU")</f>
        <v>hroutit se (v-w1134f1) - substituted with v-w1134f3_ZU</v>
      </c>
    </row>
    <row r="9820" customFormat="false" ht="12.8" hidden="false" customHeight="false" outlineLevel="0" collapsed="false">
      <c r="B9820" s="0" t="s">
        <v>7</v>
      </c>
      <c r="C9820" s="0" t="s">
        <v>2905</v>
      </c>
      <c r="D9820" s="0" t="s">
        <v>1902</v>
      </c>
      <c r="E9820" s="0" t="s">
        <v>1902</v>
      </c>
      <c r="F9820" s="0" t="s">
        <v>1902</v>
      </c>
    </row>
    <row r="9822" customFormat="false" ht="12.8" hidden="false" customHeight="false" outlineLevel="0" collapsed="false">
      <c r="A9822" s="0" t="s">
        <v>4023</v>
      </c>
      <c r="B9822" s="0" t="str">
        <f aca="false">HYPERLINK("https://lindat.mff.cuni.cz/services/teitok/pdtc10/index.php?action=vallex&amp;frame=v-w1134f2", "hroutit se (v-w1134f2)")</f>
        <v>hroutit se (v-w1134f2)</v>
      </c>
    </row>
    <row r="9823" customFormat="false" ht="12.8" hidden="false" customHeight="false" outlineLevel="0" collapsed="false">
      <c r="B9823" s="0" t="s">
        <v>7</v>
      </c>
    </row>
    <row r="9825" customFormat="false" ht="12.8" hidden="false" customHeight="false" outlineLevel="0" collapsed="false">
      <c r="A9825" s="0" t="s">
        <v>4024</v>
      </c>
      <c r="B9825" s="0" t="str">
        <f aca="false">HYPERLINK("https://lindat.mff.cuni.cz/services/teitok/pdtc10/index.php?action=vallex&amp;frame=v-w1136f2", "hrozit (v-w1136f2)")</f>
        <v>hrozit (v-w1136f2)</v>
      </c>
    </row>
    <row r="9826" customFormat="false" ht="12.8" hidden="false" customHeight="false" outlineLevel="0" collapsed="false">
      <c r="B9826" s="0" t="s">
        <v>7</v>
      </c>
      <c r="C9826" s="0" t="s">
        <v>2656</v>
      </c>
      <c r="D9826" s="0" t="s">
        <v>88</v>
      </c>
      <c r="E9826" s="0" t="s">
        <v>88</v>
      </c>
      <c r="F9826" s="0" t="s">
        <v>88</v>
      </c>
    </row>
    <row r="9827" customFormat="false" ht="12.8" hidden="false" customHeight="false" outlineLevel="0" collapsed="false">
      <c r="B9827" s="0" t="s">
        <v>4025</v>
      </c>
      <c r="C9827" s="0" t="s">
        <v>4026</v>
      </c>
      <c r="D9827" s="0" t="s">
        <v>4027</v>
      </c>
      <c r="E9827" s="0" t="s">
        <v>4027</v>
      </c>
      <c r="F9827" s="0" t="s">
        <v>4027</v>
      </c>
    </row>
    <row r="9828" customFormat="false" ht="12.8" hidden="false" customHeight="false" outlineLevel="0" collapsed="false">
      <c r="B9828" s="0" t="s">
        <v>48</v>
      </c>
      <c r="C9828" s="0" t="s">
        <v>1486</v>
      </c>
      <c r="D9828" s="0" t="s">
        <v>1486</v>
      </c>
      <c r="E9828" s="0" t="s">
        <v>1486</v>
      </c>
      <c r="F9828" s="0" t="s">
        <v>1486</v>
      </c>
    </row>
    <row r="9830" customFormat="false" ht="12.8" hidden="false" customHeight="false" outlineLevel="0" collapsed="false">
      <c r="A9830" s="0" t="s">
        <v>4028</v>
      </c>
      <c r="B9830" s="0" t="str">
        <f aca="false">HYPERLINK("https://lindat.mff.cuni.cz/services/teitok/pdtc10/index.php?action=vallex&amp;frame=v-w1136f1", "hrozit (v-w1136f1)")</f>
        <v>hrozit (v-w1136f1)</v>
      </c>
    </row>
    <row r="9831" customFormat="false" ht="12.8" hidden="false" customHeight="false" outlineLevel="0" collapsed="false">
      <c r="B9831" s="0" t="s">
        <v>765</v>
      </c>
      <c r="C9831" s="0" t="s">
        <v>4029</v>
      </c>
      <c r="D9831" s="0" t="s">
        <v>2831</v>
      </c>
      <c r="E9831" s="0" t="s">
        <v>2831</v>
      </c>
      <c r="F9831" s="0" t="s">
        <v>2831</v>
      </c>
    </row>
    <row r="9832" customFormat="false" ht="12.8" hidden="false" customHeight="false" outlineLevel="0" collapsed="false">
      <c r="B9832" s="0" t="s">
        <v>142</v>
      </c>
      <c r="C9832" s="0" t="s">
        <v>4030</v>
      </c>
      <c r="D9832" s="0" t="s">
        <v>4031</v>
      </c>
      <c r="E9832" s="0" t="s">
        <v>4031</v>
      </c>
      <c r="F9832" s="0" t="s">
        <v>4031</v>
      </c>
    </row>
    <row r="9834" customFormat="false" ht="12.8" hidden="false" customHeight="false" outlineLevel="0" collapsed="false">
      <c r="A9834" s="0" t="s">
        <v>4032</v>
      </c>
      <c r="B9834" s="0" t="str">
        <f aca="false">HYPERLINK("https://lindat.mff.cuni.cz/services/teitok/pdtc10/index.php?action=vallex&amp;frame=v-w1136f3", "hrozit (v-w1136f3)")</f>
        <v>hrozit (v-w1136f3)</v>
      </c>
    </row>
    <row r="9835" customFormat="false" ht="12.8" hidden="false" customHeight="false" outlineLevel="0" collapsed="false">
      <c r="B9835" s="0" t="s">
        <v>7</v>
      </c>
    </row>
    <row r="9836" customFormat="false" ht="12.8" hidden="false" customHeight="false" outlineLevel="0" collapsed="false">
      <c r="B9836" s="0" t="s">
        <v>119</v>
      </c>
    </row>
    <row r="9838" customFormat="false" ht="12.8" hidden="false" customHeight="false" outlineLevel="0" collapsed="false">
      <c r="A9838" s="0" t="s">
        <v>4033</v>
      </c>
      <c r="B9838" s="0" t="str">
        <f aca="false">HYPERLINK("https://lindat.mff.cuni.cz/services/teitok/pdtc10/index.php?action=vallex&amp;frame=v-w1137f1", "hrozit se (v-w1137f1)")</f>
        <v>hrozit se (v-w1137f1)</v>
      </c>
    </row>
    <row r="9839" customFormat="false" ht="12.8" hidden="false" customHeight="false" outlineLevel="0" collapsed="false">
      <c r="B9839" s="0" t="s">
        <v>7</v>
      </c>
    </row>
    <row r="9840" customFormat="false" ht="12.8" hidden="false" customHeight="false" outlineLevel="0" collapsed="false">
      <c r="B9840" s="0" t="s">
        <v>4034</v>
      </c>
    </row>
    <row r="9842" customFormat="false" ht="12.8" hidden="false" customHeight="false" outlineLevel="0" collapsed="false">
      <c r="A9842" s="0" t="s">
        <v>4035</v>
      </c>
      <c r="B9842" s="0" t="str">
        <f aca="false">HYPERLINK("https://lindat.mff.cuni.cz/services/teitok/pdtc10/index.php?action=vallex&amp;frame=v-w1138f1", "hrrr (v-w1138f1)")</f>
        <v>hrrr (v-w1138f1)</v>
      </c>
    </row>
    <row r="9843" customFormat="false" ht="12.8" hidden="false" customHeight="false" outlineLevel="0" collapsed="false">
      <c r="B9843" s="0" t="s">
        <v>124</v>
      </c>
    </row>
    <row r="9845" customFormat="false" ht="12.8" hidden="false" customHeight="false" outlineLevel="0" collapsed="false">
      <c r="A9845" s="0" t="s">
        <v>4036</v>
      </c>
      <c r="B9845" s="0" t="str">
        <f aca="false">HYPERLINK("https://lindat.mff.cuni.cz/services/teitok/pdtc10/index.php?action=vallex&amp;frame=v-whsa_299hsa_300", "hrábnout (v-whsa_299hsa_300)")</f>
        <v>hrábnout (v-whsa_299hsa_300)</v>
      </c>
    </row>
    <row r="9846" customFormat="false" ht="12.8" hidden="false" customHeight="false" outlineLevel="0" collapsed="false">
      <c r="B9846" s="0" t="s">
        <v>7</v>
      </c>
      <c r="C9846" s="0" t="s">
        <v>191</v>
      </c>
      <c r="D9846" s="0" t="s">
        <v>88</v>
      </c>
      <c r="E9846" s="0" t="s">
        <v>460</v>
      </c>
      <c r="F9846" s="0" t="s">
        <v>460</v>
      </c>
    </row>
    <row r="9847" customFormat="false" ht="12.8" hidden="false" customHeight="false" outlineLevel="0" collapsed="false">
      <c r="B9847" s="0" t="s">
        <v>124</v>
      </c>
      <c r="D9847" s="0" t="s">
        <v>4037</v>
      </c>
      <c r="E9847" s="0" t="s">
        <v>4037</v>
      </c>
      <c r="F9847" s="0" t="s">
        <v>4037</v>
      </c>
    </row>
    <row r="9849" customFormat="false" ht="12.8" hidden="false" customHeight="false" outlineLevel="0" collapsed="false">
      <c r="A9849" s="0" t="s">
        <v>4038</v>
      </c>
      <c r="B9849" s="0" t="str">
        <f aca="false">HYPERLINK("https://lindat.mff.cuni.cz/services/teitok/pdtc10/index.php?action=vallex&amp;frame=v-w1122f15_ZU", "hrát (v-w1122f15_ZU)")</f>
        <v>hrát (v-w1122f15_ZU)</v>
      </c>
    </row>
    <row r="9850" customFormat="false" ht="12.8" hidden="false" customHeight="false" outlineLevel="0" collapsed="false">
      <c r="B9850" s="0" t="s">
        <v>7</v>
      </c>
    </row>
    <row r="9851" customFormat="false" ht="12.8" hidden="false" customHeight="false" outlineLevel="0" collapsed="false">
      <c r="B9851" s="0" t="s">
        <v>4039</v>
      </c>
    </row>
    <row r="9852" customFormat="false" ht="12.8" hidden="false" customHeight="false" outlineLevel="0" collapsed="false">
      <c r="B9852" s="0" t="s">
        <v>2722</v>
      </c>
    </row>
    <row r="9853" customFormat="false" ht="12.8" hidden="false" customHeight="false" outlineLevel="0" collapsed="false">
      <c r="B9853" s="0" t="s">
        <v>1956</v>
      </c>
    </row>
    <row r="9855" customFormat="false" ht="12.8" hidden="false" customHeight="false" outlineLevel="0" collapsed="false">
      <c r="A9855" s="0" t="s">
        <v>4038</v>
      </c>
      <c r="B9855" s="0" t="str">
        <f aca="false">HYPERLINK("https://lindat.mff.cuni.cz/services/teitok/pdtc10/index.php?action=vallex&amp;frame=v-w1122f1", "hrát (v-w1122f1) - substituted with v-w1122f15_ZU")</f>
        <v>hrát (v-w1122f1) - substituted with v-w1122f15_ZU</v>
      </c>
    </row>
    <row r="9856" customFormat="false" ht="12.8" hidden="false" customHeight="false" outlineLevel="0" collapsed="false">
      <c r="B9856" s="0" t="s">
        <v>7</v>
      </c>
      <c r="C9856" s="0" t="s">
        <v>4040</v>
      </c>
      <c r="D9856" s="0" t="s">
        <v>4041</v>
      </c>
      <c r="E9856" s="0" t="s">
        <v>4041</v>
      </c>
      <c r="F9856" s="0" t="s">
        <v>4041</v>
      </c>
    </row>
    <row r="9857" customFormat="false" ht="12.8" hidden="false" customHeight="false" outlineLevel="0" collapsed="false">
      <c r="B9857" s="0" t="s">
        <v>4039</v>
      </c>
      <c r="C9857" s="0" t="s">
        <v>1168</v>
      </c>
      <c r="D9857" s="0" t="s">
        <v>466</v>
      </c>
      <c r="E9857" s="0" t="s">
        <v>466</v>
      </c>
      <c r="F9857" s="0" t="s">
        <v>466</v>
      </c>
    </row>
    <row r="9858" customFormat="false" ht="12.8" hidden="false" customHeight="false" outlineLevel="0" collapsed="false">
      <c r="B9858" s="0" t="s">
        <v>2722</v>
      </c>
    </row>
    <row r="9859" customFormat="false" ht="12.8" hidden="false" customHeight="false" outlineLevel="0" collapsed="false">
      <c r="B9859" s="0" t="s">
        <v>1956</v>
      </c>
    </row>
    <row r="9861" customFormat="false" ht="12.8" hidden="false" customHeight="false" outlineLevel="0" collapsed="false">
      <c r="A9861" s="0" t="s">
        <v>4042</v>
      </c>
      <c r="B9861" s="0" t="str">
        <f aca="false">HYPERLINK("https://lindat.mff.cuni.cz/services/teitok/pdtc10/index.php?action=vallex&amp;frame=v-w1122f5", "hrát (v-w1122f5)")</f>
        <v>hrát (v-w1122f5)</v>
      </c>
    </row>
    <row r="9862" customFormat="false" ht="12.8" hidden="false" customHeight="false" outlineLevel="0" collapsed="false">
      <c r="B9862" s="0" t="s">
        <v>7</v>
      </c>
    </row>
    <row r="9863" customFormat="false" ht="12.8" hidden="false" customHeight="false" outlineLevel="0" collapsed="false">
      <c r="B9863" s="0" t="s">
        <v>172</v>
      </c>
    </row>
    <row r="9865" customFormat="false" ht="12.8" hidden="false" customHeight="false" outlineLevel="0" collapsed="false">
      <c r="A9865" s="0" t="s">
        <v>4043</v>
      </c>
      <c r="B9865" s="0" t="str">
        <f aca="false">HYPERLINK("https://lindat.mff.cuni.cz/services/teitok/pdtc10/index.php?action=vallex&amp;frame=v-w1122f2", "hrát (v-w1122f2)")</f>
        <v>hrát (v-w1122f2)</v>
      </c>
    </row>
    <row r="9866" customFormat="false" ht="12.8" hidden="false" customHeight="false" outlineLevel="0" collapsed="false">
      <c r="B9866" s="0" t="s">
        <v>7</v>
      </c>
      <c r="C9866" s="0" t="s">
        <v>4044</v>
      </c>
      <c r="D9866" s="0" t="s">
        <v>1514</v>
      </c>
      <c r="E9866" s="0" t="s">
        <v>1514</v>
      </c>
      <c r="F9866" s="0" t="s">
        <v>1514</v>
      </c>
    </row>
    <row r="9867" customFormat="false" ht="12.8" hidden="false" customHeight="false" outlineLevel="0" collapsed="false">
      <c r="B9867" s="0" t="s">
        <v>14</v>
      </c>
      <c r="C9867" s="0" t="s">
        <v>4045</v>
      </c>
      <c r="D9867" s="0" t="s">
        <v>3565</v>
      </c>
      <c r="E9867" s="0" t="s">
        <v>3565</v>
      </c>
      <c r="F9867" s="0" t="s">
        <v>3565</v>
      </c>
    </row>
    <row r="9869" customFormat="false" ht="12.8" hidden="false" customHeight="false" outlineLevel="0" collapsed="false">
      <c r="A9869" s="0" t="s">
        <v>4046</v>
      </c>
      <c r="B9869" s="0" t="str">
        <f aca="false">HYPERLINK("https://lindat.mff.cuni.cz/services/teitok/pdtc10/index.php?action=vallex&amp;frame=v-w1122f4", "hrát (v-w1122f4)")</f>
        <v>hrát (v-w1122f4)</v>
      </c>
    </row>
    <row r="9870" customFormat="false" ht="12.8" hidden="false" customHeight="false" outlineLevel="0" collapsed="false">
      <c r="B9870" s="0" t="s">
        <v>7</v>
      </c>
      <c r="C9870" s="0" t="s">
        <v>4047</v>
      </c>
    </row>
    <row r="9871" customFormat="false" ht="12.8" hidden="false" customHeight="false" outlineLevel="0" collapsed="false">
      <c r="B9871" s="0" t="s">
        <v>14</v>
      </c>
      <c r="C9871" s="0" t="s">
        <v>4048</v>
      </c>
    </row>
    <row r="9873" customFormat="false" ht="12.8" hidden="false" customHeight="false" outlineLevel="0" collapsed="false">
      <c r="A9873" s="0" t="s">
        <v>4049</v>
      </c>
      <c r="B9873" s="0" t="str">
        <f aca="false">HYPERLINK("https://lindat.mff.cuni.cz/services/teitok/pdtc10/index.php?action=vallex&amp;frame=v-w1122f6", "hrát (v-w1122f6)")</f>
        <v>hrát (v-w1122f6)</v>
      </c>
    </row>
    <row r="9874" customFormat="false" ht="12.8" hidden="false" customHeight="false" outlineLevel="0" collapsed="false">
      <c r="B9874" s="0" t="s">
        <v>7</v>
      </c>
    </row>
    <row r="9875" customFormat="false" ht="12.8" hidden="false" customHeight="false" outlineLevel="0" collapsed="false">
      <c r="B9875" s="0" t="s">
        <v>1685</v>
      </c>
    </row>
    <row r="9877" customFormat="false" ht="12.8" hidden="false" customHeight="false" outlineLevel="0" collapsed="false">
      <c r="A9877" s="0" t="s">
        <v>4050</v>
      </c>
      <c r="B9877" s="0" t="str">
        <f aca="false">HYPERLINK("https://lindat.mff.cuni.cz/services/teitok/pdtc10/index.php?action=vallex&amp;frame=v-w1122f9", "hrát (v-w1122f9)")</f>
        <v>hrát (v-w1122f9)</v>
      </c>
    </row>
    <row r="9878" customFormat="false" ht="12.8" hidden="false" customHeight="false" outlineLevel="0" collapsed="false">
      <c r="B9878" s="0" t="s">
        <v>7</v>
      </c>
    </row>
    <row r="9879" customFormat="false" ht="12.8" hidden="false" customHeight="false" outlineLevel="0" collapsed="false">
      <c r="B9879" s="0" t="s">
        <v>4051</v>
      </c>
    </row>
    <row r="9880" customFormat="false" ht="12.8" hidden="false" customHeight="false" outlineLevel="0" collapsed="false">
      <c r="B9880" s="0" t="s">
        <v>142</v>
      </c>
    </row>
    <row r="9882" customFormat="false" ht="12.8" hidden="false" customHeight="false" outlineLevel="0" collapsed="false">
      <c r="A9882" s="0" t="s">
        <v>4052</v>
      </c>
      <c r="B9882" s="0" t="str">
        <f aca="false">HYPERLINK("https://lindat.mff.cuni.cz/services/teitok/pdtc10/index.php?action=vallex&amp;frame=v-w1122f10", "hrát (v-w1122f10)")</f>
        <v>hrát (v-w1122f10)</v>
      </c>
    </row>
    <row r="9883" customFormat="false" ht="12.8" hidden="false" customHeight="false" outlineLevel="0" collapsed="false">
      <c r="B9883" s="0" t="s">
        <v>7</v>
      </c>
    </row>
    <row r="9884" customFormat="false" ht="12.8" hidden="false" customHeight="false" outlineLevel="0" collapsed="false">
      <c r="B9884" s="0" t="s">
        <v>1042</v>
      </c>
    </row>
    <row r="9885" customFormat="false" ht="12.8" hidden="false" customHeight="false" outlineLevel="0" collapsed="false">
      <c r="B9885" s="0" t="s">
        <v>142</v>
      </c>
    </row>
    <row r="9887" customFormat="false" ht="12.8" hidden="false" customHeight="false" outlineLevel="0" collapsed="false">
      <c r="A9887" s="0" t="s">
        <v>4053</v>
      </c>
      <c r="B9887" s="0" t="str">
        <f aca="false">HYPERLINK("https://lindat.mff.cuni.cz/services/teitok/pdtc10/index.php?action=vallex&amp;frame=v-w1122f11", "hrát (v-w1122f11)")</f>
        <v>hrát (v-w1122f11)</v>
      </c>
    </row>
    <row r="9888" customFormat="false" ht="12.8" hidden="false" customHeight="false" outlineLevel="0" collapsed="false">
      <c r="B9888" s="0" t="s">
        <v>457</v>
      </c>
    </row>
    <row r="9889" customFormat="false" ht="12.8" hidden="false" customHeight="false" outlineLevel="0" collapsed="false">
      <c r="B9889" s="0" t="s">
        <v>4054</v>
      </c>
    </row>
    <row r="9891" customFormat="false" ht="12.8" hidden="false" customHeight="false" outlineLevel="0" collapsed="false">
      <c r="A9891" s="0" t="s">
        <v>4055</v>
      </c>
      <c r="B9891" s="0" t="str">
        <f aca="false">HYPERLINK("https://lindat.mff.cuni.cz/services/teitok/pdtc10/index.php?action=vallex&amp;frame=v-w1122f3", "hrát (v-w1122f3)")</f>
        <v>hrát (v-w1122f3)</v>
      </c>
    </row>
    <row r="9892" customFormat="false" ht="12.8" hidden="false" customHeight="false" outlineLevel="0" collapsed="false">
      <c r="B9892" s="0" t="s">
        <v>4056</v>
      </c>
      <c r="C9892" s="0" t="s">
        <v>4057</v>
      </c>
    </row>
    <row r="9893" customFormat="false" ht="12.8" hidden="false" customHeight="false" outlineLevel="0" collapsed="false">
      <c r="B9893" s="0" t="s">
        <v>4058</v>
      </c>
      <c r="C9893" s="0" t="s">
        <v>4059</v>
      </c>
    </row>
    <row r="9895" customFormat="false" ht="12.8" hidden="false" customHeight="false" outlineLevel="0" collapsed="false">
      <c r="A9895" s="0" t="s">
        <v>4060</v>
      </c>
      <c r="B9895" s="0" t="str">
        <f aca="false">HYPERLINK("https://lindat.mff.cuni.cz/services/teitok/pdtc10/index.php?action=vallex&amp;frame=v-w1122f8", "hrát (v-w1122f8)")</f>
        <v>hrát (v-w1122f8)</v>
      </c>
    </row>
    <row r="9896" customFormat="false" ht="12.8" hidden="false" customHeight="false" outlineLevel="0" collapsed="false">
      <c r="B9896" s="0" t="s">
        <v>4061</v>
      </c>
      <c r="C9896" s="0" t="s">
        <v>1226</v>
      </c>
    </row>
    <row r="9897" customFormat="false" ht="12.8" hidden="false" customHeight="false" outlineLevel="0" collapsed="false">
      <c r="B9897" s="0" t="s">
        <v>4062</v>
      </c>
      <c r="C9897" s="0" t="s">
        <v>4063</v>
      </c>
    </row>
    <row r="9899" customFormat="false" ht="12.8" hidden="false" customHeight="false" outlineLevel="0" collapsed="false">
      <c r="A9899" s="0" t="s">
        <v>4064</v>
      </c>
      <c r="B9899" s="0" t="str">
        <f aca="false">HYPERLINK("https://lindat.mff.cuni.cz/services/teitok/pdtc10/index.php?action=vallex&amp;frame=v-w1122f7", "hrát (v-w1122f7)")</f>
        <v>hrát (v-w1122f7)</v>
      </c>
    </row>
    <row r="9900" customFormat="false" ht="12.8" hidden="false" customHeight="false" outlineLevel="0" collapsed="false">
      <c r="B9900" s="0" t="s">
        <v>7</v>
      </c>
    </row>
    <row r="9901" customFormat="false" ht="12.8" hidden="false" customHeight="false" outlineLevel="0" collapsed="false">
      <c r="B9901" s="0" t="s">
        <v>4065</v>
      </c>
    </row>
    <row r="9903" customFormat="false" ht="12.8" hidden="false" customHeight="false" outlineLevel="0" collapsed="false">
      <c r="A9903" s="0" t="s">
        <v>4066</v>
      </c>
      <c r="B9903" s="0" t="str">
        <f aca="false">HYPERLINK("https://lindat.mff.cuni.cz/services/teitok/pdtc10/index.php?action=vallex&amp;frame=v-w1122f12_ZU", "hrát (v-w1122f12_ZU)")</f>
        <v>hrát (v-w1122f12_ZU)</v>
      </c>
    </row>
    <row r="9904" customFormat="false" ht="12.8" hidden="false" customHeight="false" outlineLevel="0" collapsed="false">
      <c r="B9904" s="0" t="s">
        <v>7</v>
      </c>
    </row>
    <row r="9905" customFormat="false" ht="12.8" hidden="false" customHeight="false" outlineLevel="0" collapsed="false">
      <c r="B9905" s="0" t="s">
        <v>4067</v>
      </c>
      <c r="C9905" s="0" t="s">
        <v>532</v>
      </c>
    </row>
    <row r="9907" customFormat="false" ht="12.8" hidden="false" customHeight="false" outlineLevel="0" collapsed="false">
      <c r="A9907" s="0" t="s">
        <v>4068</v>
      </c>
      <c r="B9907" s="0" t="str">
        <f aca="false">HYPERLINK("https://lindat.mff.cuni.cz/services/teitok/pdtc10/index.php?action=vallex&amp;frame=v-w1122f14_ZU", "hrát (v-w1122f14_ZU)")</f>
        <v>hrát (v-w1122f14_ZU)</v>
      </c>
    </row>
    <row r="9908" customFormat="false" ht="12.8" hidden="false" customHeight="false" outlineLevel="0" collapsed="false">
      <c r="B9908" s="0" t="s">
        <v>7</v>
      </c>
      <c r="C9908" s="0" t="s">
        <v>1857</v>
      </c>
    </row>
    <row r="9909" customFormat="false" ht="12.8" hidden="false" customHeight="false" outlineLevel="0" collapsed="false">
      <c r="B9909" s="0" t="s">
        <v>2722</v>
      </c>
    </row>
    <row r="9910" customFormat="false" ht="12.8" hidden="false" customHeight="false" outlineLevel="0" collapsed="false">
      <c r="B9910" s="0" t="s">
        <v>297</v>
      </c>
      <c r="C9910" s="0" t="s">
        <v>466</v>
      </c>
    </row>
    <row r="9911" customFormat="false" ht="12.8" hidden="false" customHeight="false" outlineLevel="0" collapsed="false">
      <c r="B9911" s="0" t="s">
        <v>4069</v>
      </c>
    </row>
    <row r="9912" customFormat="false" ht="12.8" hidden="false" customHeight="false" outlineLevel="0" collapsed="false">
      <c r="B9912" s="0" t="s">
        <v>4070</v>
      </c>
    </row>
    <row r="9914" customFormat="false" ht="12.8" hidden="false" customHeight="false" outlineLevel="0" collapsed="false">
      <c r="A9914" s="0" t="s">
        <v>4068</v>
      </c>
      <c r="B9914" s="0" t="str">
        <f aca="false">HYPERLINK("https://lindat.mff.cuni.cz/services/teitok/pdtc10/index.php?action=vallex&amp;frame=v-w1122hsa_254", "hrát (v-w1122hsa_254) - substituted with v-w1122f14_ZU")</f>
        <v>hrát (v-w1122hsa_254) - substituted with v-w1122f14_ZU</v>
      </c>
    </row>
    <row r="9915" customFormat="false" ht="12.8" hidden="false" customHeight="false" outlineLevel="0" collapsed="false">
      <c r="B9915" s="0" t="s">
        <v>7</v>
      </c>
      <c r="C9915" s="0" t="s">
        <v>46</v>
      </c>
    </row>
    <row r="9916" customFormat="false" ht="12.8" hidden="false" customHeight="false" outlineLevel="0" collapsed="false">
      <c r="B9916" s="0" t="s">
        <v>2722</v>
      </c>
    </row>
    <row r="9917" customFormat="false" ht="12.8" hidden="false" customHeight="false" outlineLevel="0" collapsed="false">
      <c r="B9917" s="0" t="s">
        <v>297</v>
      </c>
      <c r="C9917" s="0" t="s">
        <v>1588</v>
      </c>
    </row>
    <row r="9918" customFormat="false" ht="12.8" hidden="false" customHeight="false" outlineLevel="0" collapsed="false">
      <c r="B9918" s="0" t="s">
        <v>4069</v>
      </c>
    </row>
    <row r="9919" customFormat="false" ht="12.8" hidden="false" customHeight="false" outlineLevel="0" collapsed="false">
      <c r="B9919" s="0" t="s">
        <v>4070</v>
      </c>
    </row>
    <row r="9921" customFormat="false" ht="12.8" hidden="false" customHeight="false" outlineLevel="0" collapsed="false">
      <c r="A9921" s="0" t="s">
        <v>4071</v>
      </c>
      <c r="B9921" s="0" t="str">
        <f aca="false">HYPERLINK("https://lindat.mff.cuni.cz/services/teitok/pdtc10/index.php?action=vallex&amp;frame=v-w1122f13_ZU", "hrát (v-w1122f13_ZU)")</f>
        <v>hrát (v-w1122f13_ZU)</v>
      </c>
    </row>
    <row r="9922" customFormat="false" ht="12.8" hidden="false" customHeight="false" outlineLevel="0" collapsed="false">
      <c r="B9922" s="0" t="s">
        <v>7</v>
      </c>
    </row>
    <row r="9923" customFormat="false" ht="12.8" hidden="false" customHeight="false" outlineLevel="0" collapsed="false">
      <c r="B9923" s="0" t="s">
        <v>4072</v>
      </c>
    </row>
    <row r="9924" customFormat="false" ht="12.8" hidden="false" customHeight="false" outlineLevel="0" collapsed="false">
      <c r="B9924" s="0" t="s">
        <v>142</v>
      </c>
    </row>
    <row r="9926" customFormat="false" ht="12.8" hidden="false" customHeight="false" outlineLevel="0" collapsed="false">
      <c r="A9926" s="0" t="s">
        <v>4071</v>
      </c>
      <c r="B9926" s="0" t="str">
        <f aca="false">HYPERLINK("https://lindat.mff.cuni.cz/services/teitok/pdtc10/index.php?action=vallex&amp;frame=v-w1122hsa_255", "hrát (v-w1122hsa_255) - substituted with v-w1122f13_ZU")</f>
        <v>hrát (v-w1122hsa_255) - substituted with v-w1122f13_ZU</v>
      </c>
    </row>
    <row r="9927" customFormat="false" ht="12.8" hidden="false" customHeight="false" outlineLevel="0" collapsed="false">
      <c r="B9927" s="0" t="s">
        <v>7</v>
      </c>
    </row>
    <row r="9928" customFormat="false" ht="12.8" hidden="false" customHeight="false" outlineLevel="0" collapsed="false">
      <c r="B9928" s="0" t="s">
        <v>4072</v>
      </c>
    </row>
    <row r="9929" customFormat="false" ht="12.8" hidden="false" customHeight="false" outlineLevel="0" collapsed="false">
      <c r="B9929" s="0" t="s">
        <v>142</v>
      </c>
    </row>
    <row r="9931" customFormat="false" ht="12.8" hidden="false" customHeight="false" outlineLevel="0" collapsed="false">
      <c r="A9931" s="0" t="s">
        <v>4073</v>
      </c>
      <c r="B9931" s="0" t="str">
        <f aca="false">HYPERLINK("https://lindat.mff.cuni.cz/services/teitok/pdtc10/index.php?action=vallex&amp;frame=v-w1122f16_ZU", "hrát (v-w1122f16_ZU)")</f>
        <v>hrát (v-w1122f16_ZU)</v>
      </c>
    </row>
    <row r="9932" customFormat="false" ht="12.8" hidden="false" customHeight="false" outlineLevel="0" collapsed="false">
      <c r="B9932" s="0" t="s">
        <v>7</v>
      </c>
    </row>
    <row r="9933" customFormat="false" ht="12.8" hidden="false" customHeight="false" outlineLevel="0" collapsed="false">
      <c r="B9933" s="0" t="s">
        <v>548</v>
      </c>
    </row>
    <row r="9935" customFormat="false" ht="12.8" hidden="false" customHeight="false" outlineLevel="0" collapsed="false">
      <c r="A9935" s="0" t="s">
        <v>4074</v>
      </c>
      <c r="B9935" s="0" t="str">
        <f aca="false">HYPERLINK("https://lindat.mff.cuni.cz/services/teitok/pdtc10/index.php?action=vallex&amp;frame=v-w1122hsa_1307", "hrát (v-w1122hsa_1307)")</f>
        <v>hrát (v-w1122hsa_1307)</v>
      </c>
    </row>
    <row r="9936" customFormat="false" ht="12.8" hidden="false" customHeight="false" outlineLevel="0" collapsed="false">
      <c r="B9936" s="0" t="s">
        <v>7</v>
      </c>
    </row>
    <row r="9938" customFormat="false" ht="12.8" hidden="false" customHeight="false" outlineLevel="0" collapsed="false">
      <c r="A9938" s="0" t="s">
        <v>4075</v>
      </c>
      <c r="B9938" s="0" t="str">
        <f aca="false">HYPERLINK("https://lindat.mff.cuni.cz/services/teitok/pdtc10/index.php?action=vallex&amp;frame=v-w1122hsa_1308", "hrát (v-w1122hsa_1308)")</f>
        <v>hrát (v-w1122hsa_1308)</v>
      </c>
    </row>
    <row r="9939" customFormat="false" ht="12.8" hidden="false" customHeight="false" outlineLevel="0" collapsed="false">
      <c r="B9939" s="0" t="s">
        <v>7</v>
      </c>
    </row>
    <row r="9940" customFormat="false" ht="12.8" hidden="false" customHeight="false" outlineLevel="0" collapsed="false">
      <c r="B9940" s="0" t="s">
        <v>14</v>
      </c>
    </row>
    <row r="9942" customFormat="false" ht="12.8" hidden="false" customHeight="false" outlineLevel="0" collapsed="false">
      <c r="A9942" s="0" t="s">
        <v>4076</v>
      </c>
      <c r="B9942" s="0" t="str">
        <f aca="false">HYPERLINK("https://lindat.mff.cuni.cz/services/teitok/pdtc10/index.php?action=vallex&amp;frame=v-w1122hsa_1309", "hrát (v-w1122hsa_1309)")</f>
        <v>hrát (v-w1122hsa_1309)</v>
      </c>
    </row>
    <row r="9943" customFormat="false" ht="12.8" hidden="false" customHeight="false" outlineLevel="0" collapsed="false">
      <c r="B9943" s="0" t="s">
        <v>7</v>
      </c>
    </row>
    <row r="9944" customFormat="false" ht="12.8" hidden="false" customHeight="false" outlineLevel="0" collapsed="false">
      <c r="B9944" s="0" t="s">
        <v>41</v>
      </c>
    </row>
    <row r="9946" customFormat="false" ht="12.8" hidden="false" customHeight="false" outlineLevel="0" collapsed="false">
      <c r="A9946" s="0" t="s">
        <v>4077</v>
      </c>
      <c r="B9946" s="0" t="str">
        <f aca="false">HYPERLINK("https://lindat.mff.cuni.cz/services/teitok/pdtc10/index.php?action=vallex&amp;frame=v-w1123f6_MM", "hrát si (v-w1123f6_MM)")</f>
        <v>hrát si (v-w1123f6_MM)</v>
      </c>
    </row>
    <row r="9947" customFormat="false" ht="12.8" hidden="false" customHeight="false" outlineLevel="0" collapsed="false">
      <c r="B9947" s="0" t="s">
        <v>7</v>
      </c>
    </row>
    <row r="9948" customFormat="false" ht="12.8" hidden="false" customHeight="false" outlineLevel="0" collapsed="false">
      <c r="B9948" s="0" t="s">
        <v>2871</v>
      </c>
    </row>
    <row r="9949" customFormat="false" ht="12.8" hidden="false" customHeight="false" outlineLevel="0" collapsed="false">
      <c r="B9949" s="0" t="s">
        <v>4078</v>
      </c>
    </row>
    <row r="9951" customFormat="false" ht="12.8" hidden="false" customHeight="false" outlineLevel="0" collapsed="false">
      <c r="A9951" s="0" t="s">
        <v>4077</v>
      </c>
      <c r="B9951" s="0" t="str">
        <f aca="false">HYPERLINK("https://lindat.mff.cuni.cz/services/teitok/pdtc10/index.php?action=vallex&amp;frame=v-w1123f1", "hrát si (v-w1123f1) - substituted with v-w1123f6_MM")</f>
        <v>hrát si (v-w1123f1) - substituted with v-w1123f6_MM</v>
      </c>
    </row>
    <row r="9952" customFormat="false" ht="12.8" hidden="false" customHeight="false" outlineLevel="0" collapsed="false">
      <c r="B9952" s="0" t="s">
        <v>7</v>
      </c>
      <c r="C9952" s="0" t="s">
        <v>88</v>
      </c>
      <c r="D9952" s="0" t="s">
        <v>46</v>
      </c>
      <c r="E9952" s="0" t="s">
        <v>46</v>
      </c>
      <c r="F9952" s="0" t="s">
        <v>46</v>
      </c>
    </row>
    <row r="9953" customFormat="false" ht="12.8" hidden="false" customHeight="false" outlineLevel="0" collapsed="false">
      <c r="B9953" s="0" t="s">
        <v>2871</v>
      </c>
      <c r="C9953" s="0" t="s">
        <v>4079</v>
      </c>
      <c r="D9953" s="0" t="s">
        <v>115</v>
      </c>
      <c r="E9953" s="0" t="s">
        <v>115</v>
      </c>
      <c r="F9953" s="0" t="s">
        <v>115</v>
      </c>
    </row>
    <row r="9954" customFormat="false" ht="12.8" hidden="false" customHeight="false" outlineLevel="0" collapsed="false">
      <c r="B9954" s="0" t="s">
        <v>4078</v>
      </c>
    </row>
    <row r="9956" customFormat="false" ht="12.8" hidden="false" customHeight="false" outlineLevel="0" collapsed="false">
      <c r="A9956" s="0" t="s">
        <v>4080</v>
      </c>
      <c r="B9956" s="0" t="str">
        <f aca="false">HYPERLINK("https://lindat.mff.cuni.cz/services/teitok/pdtc10/index.php?action=vallex&amp;frame=v-w1123f2", "hrát si (v-w1123f2)")</f>
        <v>hrát si (v-w1123f2)</v>
      </c>
    </row>
    <row r="9957" customFormat="false" ht="12.8" hidden="false" customHeight="false" outlineLevel="0" collapsed="false">
      <c r="B9957" s="0" t="s">
        <v>7</v>
      </c>
      <c r="C9957" s="0" t="s">
        <v>1857</v>
      </c>
    </row>
    <row r="9958" customFormat="false" ht="12.8" hidden="false" customHeight="false" outlineLevel="0" collapsed="false">
      <c r="B9958" s="0" t="s">
        <v>41</v>
      </c>
      <c r="C9958" s="0" t="s">
        <v>466</v>
      </c>
    </row>
    <row r="9960" customFormat="false" ht="12.8" hidden="false" customHeight="false" outlineLevel="0" collapsed="false">
      <c r="A9960" s="0" t="s">
        <v>4081</v>
      </c>
      <c r="B9960" s="0" t="str">
        <f aca="false">HYPERLINK("https://lindat.mff.cuni.cz/services/teitok/pdtc10/index.php?action=vallex&amp;frame=v-w1123f3_ZU", "hrát si (v-w1123f3_ZU)")</f>
        <v>hrát si (v-w1123f3_ZU)</v>
      </c>
    </row>
    <row r="9961" customFormat="false" ht="12.8" hidden="false" customHeight="false" outlineLevel="0" collapsed="false">
      <c r="B9961" s="0" t="s">
        <v>7</v>
      </c>
    </row>
    <row r="9962" customFormat="false" ht="12.8" hidden="false" customHeight="false" outlineLevel="0" collapsed="false">
      <c r="B9962" s="0" t="s">
        <v>4082</v>
      </c>
    </row>
    <row r="9964" customFormat="false" ht="12.8" hidden="false" customHeight="false" outlineLevel="0" collapsed="false">
      <c r="A9964" s="0" t="s">
        <v>4081</v>
      </c>
      <c r="B9964" s="0" t="str">
        <f aca="false">HYPERLINK("https://lindat.mff.cuni.cz/services/teitok/pdtc10/index.php?action=vallex&amp;frame=v-w1123hsa_1198", "hrát si (v-w1123hsa_1198) - substituted with v-w1123f3_ZU")</f>
        <v>hrát si (v-w1123hsa_1198) - substituted with v-w1123f3_ZU</v>
      </c>
    </row>
    <row r="9965" customFormat="false" ht="12.8" hidden="false" customHeight="false" outlineLevel="0" collapsed="false">
      <c r="B9965" s="0" t="s">
        <v>7</v>
      </c>
    </row>
    <row r="9966" customFormat="false" ht="12.8" hidden="false" customHeight="false" outlineLevel="0" collapsed="false">
      <c r="B9966" s="0" t="s">
        <v>4082</v>
      </c>
    </row>
    <row r="9968" customFormat="false" ht="12.8" hidden="false" customHeight="false" outlineLevel="0" collapsed="false">
      <c r="A9968" s="0" t="s">
        <v>4083</v>
      </c>
      <c r="B9968" s="0" t="str">
        <f aca="false">HYPERLINK("https://lindat.mff.cuni.cz/services/teitok/pdtc10/index.php?action=vallex&amp;frame=v-w1123f4_ZU", "hrát si (v-w1123f4_ZU)")</f>
        <v>hrát si (v-w1123f4_ZU)</v>
      </c>
    </row>
    <row r="9969" customFormat="false" ht="12.8" hidden="false" customHeight="false" outlineLevel="0" collapsed="false">
      <c r="B9969" s="0" t="s">
        <v>7</v>
      </c>
      <c r="C9969" s="0" t="s">
        <v>191</v>
      </c>
    </row>
    <row r="9970" customFormat="false" ht="12.8" hidden="false" customHeight="false" outlineLevel="0" collapsed="false">
      <c r="B9970" s="0" t="s">
        <v>4084</v>
      </c>
      <c r="C9970" s="0" t="s">
        <v>532</v>
      </c>
    </row>
    <row r="9972" customFormat="false" ht="12.8" hidden="false" customHeight="false" outlineLevel="0" collapsed="false">
      <c r="A9972" s="0" t="s">
        <v>4083</v>
      </c>
      <c r="B9972" s="0" t="str">
        <f aca="false">HYPERLINK("https://lindat.mff.cuni.cz/services/teitok/pdtc10/index.php?action=vallex&amp;frame=v-w1123hsa_1199", "hrát si (v-w1123hsa_1199) - substituted with v-w1123f4_ZU")</f>
        <v>hrát si (v-w1123hsa_1199) - substituted with v-w1123f4_ZU</v>
      </c>
    </row>
    <row r="9973" customFormat="false" ht="12.8" hidden="false" customHeight="false" outlineLevel="0" collapsed="false">
      <c r="B9973" s="0" t="s">
        <v>7</v>
      </c>
    </row>
    <row r="9974" customFormat="false" ht="12.8" hidden="false" customHeight="false" outlineLevel="0" collapsed="false">
      <c r="B9974" s="0" t="s">
        <v>4084</v>
      </c>
    </row>
    <row r="9976" customFormat="false" ht="12.8" hidden="false" customHeight="false" outlineLevel="0" collapsed="false">
      <c r="A9976" s="0" t="s">
        <v>4085</v>
      </c>
      <c r="B9976" s="0" t="str">
        <f aca="false">HYPERLINK("https://lindat.mff.cuni.cz/services/teitok/pdtc10/index.php?action=vallex&amp;frame=v-w1123f5_ZU", "hrát si (v-w1123f5_ZU)")</f>
        <v>hrát si (v-w1123f5_ZU)</v>
      </c>
    </row>
    <row r="9977" customFormat="false" ht="12.8" hidden="false" customHeight="false" outlineLevel="0" collapsed="false">
      <c r="B9977" s="0" t="s">
        <v>7</v>
      </c>
    </row>
    <row r="9978" customFormat="false" ht="12.8" hidden="false" customHeight="false" outlineLevel="0" collapsed="false">
      <c r="B9978" s="0" t="s">
        <v>548</v>
      </c>
    </row>
    <row r="9980" customFormat="false" ht="12.8" hidden="false" customHeight="false" outlineLevel="0" collapsed="false">
      <c r="A9980" s="0" t="s">
        <v>4086</v>
      </c>
      <c r="B9980" s="0" t="str">
        <f aca="false">HYPERLINK("https://lindat.mff.cuni.cz/services/teitok/pdtc10/index.php?action=vallex&amp;frame=v-w1124f1", "hrávat (v-w1124f1)")</f>
        <v>hrávat (v-w1124f1)</v>
      </c>
    </row>
    <row r="9981" customFormat="false" ht="12.8" hidden="false" customHeight="false" outlineLevel="0" collapsed="false">
      <c r="B9981" s="0" t="s">
        <v>7</v>
      </c>
      <c r="D9981" s="0" t="s">
        <v>4041</v>
      </c>
      <c r="E9981" s="0" t="s">
        <v>4041</v>
      </c>
      <c r="F9981" s="0" t="s">
        <v>4041</v>
      </c>
    </row>
    <row r="9982" customFormat="false" ht="12.8" hidden="false" customHeight="false" outlineLevel="0" collapsed="false">
      <c r="B9982" s="0" t="s">
        <v>4087</v>
      </c>
      <c r="D9982" s="0" t="s">
        <v>466</v>
      </c>
      <c r="E9982" s="0" t="s">
        <v>466</v>
      </c>
      <c r="F9982" s="0" t="s">
        <v>466</v>
      </c>
    </row>
    <row r="9983" customFormat="false" ht="12.8" hidden="false" customHeight="false" outlineLevel="0" collapsed="false">
      <c r="B9983" s="0" t="s">
        <v>2722</v>
      </c>
    </row>
    <row r="9984" customFormat="false" ht="12.8" hidden="false" customHeight="false" outlineLevel="0" collapsed="false">
      <c r="B9984" s="0" t="s">
        <v>1956</v>
      </c>
    </row>
    <row r="9986" customFormat="false" ht="12.8" hidden="false" customHeight="false" outlineLevel="0" collapsed="false">
      <c r="A9986" s="0" t="s">
        <v>4088</v>
      </c>
      <c r="B9986" s="0" t="str">
        <f aca="false">HYPERLINK("https://lindat.mff.cuni.cz/services/teitok/pdtc10/index.php?action=vallex&amp;frame=v-w1124f2", "hrávat (v-w1124f2)")</f>
        <v>hrávat (v-w1124f2)</v>
      </c>
    </row>
    <row r="9987" customFormat="false" ht="12.8" hidden="false" customHeight="false" outlineLevel="0" collapsed="false">
      <c r="B9987" s="0" t="s">
        <v>4061</v>
      </c>
    </row>
    <row r="9988" customFormat="false" ht="12.8" hidden="false" customHeight="false" outlineLevel="0" collapsed="false">
      <c r="B9988" s="0" t="s">
        <v>4062</v>
      </c>
    </row>
    <row r="9990" customFormat="false" ht="12.8" hidden="false" customHeight="false" outlineLevel="0" collapsed="false">
      <c r="A9990" s="0" t="s">
        <v>4089</v>
      </c>
      <c r="B9990" s="0" t="str">
        <f aca="false">HYPERLINK("https://lindat.mff.cuni.cz/services/teitok/pdtc10/index.php?action=vallex&amp;frame=v-w1124f3_ZU", "hrávat (v-w1124f3_ZU)")</f>
        <v>hrávat (v-w1124f3_ZU)</v>
      </c>
    </row>
    <row r="9991" customFormat="false" ht="12.8" hidden="false" customHeight="false" outlineLevel="0" collapsed="false">
      <c r="B9991" s="0" t="s">
        <v>7</v>
      </c>
    </row>
    <row r="9992" customFormat="false" ht="12.8" hidden="false" customHeight="false" outlineLevel="0" collapsed="false">
      <c r="B9992" s="0" t="s">
        <v>14</v>
      </c>
    </row>
    <row r="9994" customFormat="false" ht="12.8" hidden="false" customHeight="false" outlineLevel="0" collapsed="false">
      <c r="A9994" s="0" t="s">
        <v>4089</v>
      </c>
      <c r="B9994" s="0" t="str">
        <f aca="false">HYPERLINK("https://lindat.mff.cuni.cz/services/teitok/pdtc10/index.php?action=vallex&amp;frame=v-w1124hsa_272", "hrávat (v-w1124hsa_272) - substituted with v-w1124f3_ZU")</f>
        <v>hrávat (v-w1124hsa_272) - substituted with v-w1124f3_ZU</v>
      </c>
    </row>
    <row r="9995" customFormat="false" ht="12.8" hidden="false" customHeight="false" outlineLevel="0" collapsed="false">
      <c r="B9995" s="0" t="s">
        <v>7</v>
      </c>
    </row>
    <row r="9996" customFormat="false" ht="12.8" hidden="false" customHeight="false" outlineLevel="0" collapsed="false">
      <c r="B9996" s="0" t="s">
        <v>14</v>
      </c>
    </row>
    <row r="9998" customFormat="false" ht="12.8" hidden="false" customHeight="false" outlineLevel="0" collapsed="false">
      <c r="A9998" s="0" t="s">
        <v>4090</v>
      </c>
      <c r="B9998" s="0" t="str">
        <f aca="false">HYPERLINK("https://lindat.mff.cuni.cz/services/teitok/pdtc10/index.php?action=vallex&amp;frame=v-w1124f4_ZU", "hrávat (v-w1124f4_ZU)")</f>
        <v>hrávat (v-w1124f4_ZU)</v>
      </c>
    </row>
    <row r="9999" customFormat="false" ht="12.8" hidden="false" customHeight="false" outlineLevel="0" collapsed="false">
      <c r="B9999" s="0" t="s">
        <v>7</v>
      </c>
    </row>
    <row r="10000" customFormat="false" ht="12.8" hidden="false" customHeight="false" outlineLevel="0" collapsed="false">
      <c r="B10000" s="0" t="s">
        <v>14</v>
      </c>
    </row>
    <row r="10002" customFormat="false" ht="12.8" hidden="false" customHeight="false" outlineLevel="0" collapsed="false">
      <c r="A10002" s="0" t="s">
        <v>4091</v>
      </c>
      <c r="B10002" s="0" t="str">
        <f aca="false">HYPERLINK("https://lindat.mff.cuni.cz/services/teitok/pdtc10/index.php?action=vallex&amp;frame=v-w1124hsa_271", "hrávat (v-w1124hsa_271)")</f>
        <v>hrávat (v-w1124hsa_271)</v>
      </c>
    </row>
    <row r="10003" customFormat="false" ht="12.8" hidden="false" customHeight="false" outlineLevel="0" collapsed="false">
      <c r="B10003" s="0" t="s">
        <v>7</v>
      </c>
    </row>
    <row r="10004" customFormat="false" ht="12.8" hidden="false" customHeight="false" outlineLevel="0" collapsed="false">
      <c r="B10004" s="0" t="s">
        <v>14</v>
      </c>
    </row>
    <row r="10006" customFormat="false" ht="12.8" hidden="false" customHeight="false" outlineLevel="0" collapsed="false">
      <c r="A10006" s="0" t="s">
        <v>4092</v>
      </c>
      <c r="B10006" s="0" t="str">
        <f aca="false">HYPERLINK("https://lindat.mff.cuni.cz/services/teitok/pdtc10/index.php?action=vallex&amp;frame=v-w1124hsa_273", "hrávat (v-w1124hsa_273)")</f>
        <v>hrávat (v-w1124hsa_273)</v>
      </c>
    </row>
    <row r="10007" customFormat="false" ht="12.8" hidden="false" customHeight="false" outlineLevel="0" collapsed="false">
      <c r="B10007" s="0" t="s">
        <v>7</v>
      </c>
    </row>
    <row r="10008" customFormat="false" ht="12.8" hidden="false" customHeight="false" outlineLevel="0" collapsed="false">
      <c r="B10008" s="0" t="s">
        <v>4087</v>
      </c>
    </row>
    <row r="10009" customFormat="false" ht="12.8" hidden="false" customHeight="false" outlineLevel="0" collapsed="false">
      <c r="B10009" s="0" t="s">
        <v>2722</v>
      </c>
    </row>
    <row r="10010" customFormat="false" ht="12.8" hidden="false" customHeight="false" outlineLevel="0" collapsed="false">
      <c r="B10010" s="0" t="s">
        <v>1956</v>
      </c>
    </row>
    <row r="10012" customFormat="false" ht="12.8" hidden="false" customHeight="false" outlineLevel="0" collapsed="false">
      <c r="A10012" s="0" t="s">
        <v>4093</v>
      </c>
      <c r="B10012" s="0" t="str">
        <f aca="false">HYPERLINK("https://lindat.mff.cuni.cz/services/teitok/pdtc10/index.php?action=vallex&amp;frame=v-whsa_1540hsa_1541", "hrávat si (v-whsa_1540hsa_1541)")</f>
        <v>hrávat si (v-whsa_1540hsa_1541)</v>
      </c>
    </row>
    <row r="10013" customFormat="false" ht="12.8" hidden="false" customHeight="false" outlineLevel="0" collapsed="false">
      <c r="B10013" s="0" t="s">
        <v>7</v>
      </c>
    </row>
    <row r="10014" customFormat="false" ht="12.8" hidden="false" customHeight="false" outlineLevel="0" collapsed="false">
      <c r="B10014" s="0" t="s">
        <v>2871</v>
      </c>
    </row>
    <row r="10015" customFormat="false" ht="12.8" hidden="false" customHeight="false" outlineLevel="0" collapsed="false">
      <c r="B10015" s="0" t="s">
        <v>84</v>
      </c>
    </row>
    <row r="10017" customFormat="false" ht="12.8" hidden="false" customHeight="false" outlineLevel="0" collapsed="false">
      <c r="A10017" s="0" t="s">
        <v>4094</v>
      </c>
      <c r="B10017" s="0" t="str">
        <f aca="false">HYPERLINK("https://lindat.mff.cuni.cz/services/teitok/pdtc10/index.php?action=vallex&amp;frame=v-w1144f1", "hubnout (v-w1144f1)")</f>
        <v>hubnout (v-w1144f1)</v>
      </c>
    </row>
    <row r="10018" customFormat="false" ht="12.8" hidden="false" customHeight="false" outlineLevel="0" collapsed="false">
      <c r="B10018" s="0" t="s">
        <v>7</v>
      </c>
      <c r="C10018" s="0" t="s">
        <v>113</v>
      </c>
    </row>
    <row r="10020" customFormat="false" ht="12.8" hidden="false" customHeight="false" outlineLevel="0" collapsed="false">
      <c r="A10020" s="0" t="s">
        <v>4095</v>
      </c>
      <c r="B10020" s="0" t="str">
        <f aca="false">HYPERLINK("https://lindat.mff.cuni.cz/services/teitok/pdtc10/index.php?action=vallex&amp;frame=v-whsa_1027f1_MM", "hubovat (v-whsa_1027f1_MM)")</f>
        <v>hubovat (v-whsa_1027f1_MM)</v>
      </c>
    </row>
    <row r="10021" customFormat="false" ht="12.8" hidden="false" customHeight="false" outlineLevel="0" collapsed="false">
      <c r="B10021" s="0" t="s">
        <v>7</v>
      </c>
    </row>
    <row r="10022" customFormat="false" ht="12.8" hidden="false" customHeight="false" outlineLevel="0" collapsed="false">
      <c r="B10022" s="0" t="s">
        <v>14</v>
      </c>
    </row>
    <row r="10024" customFormat="false" ht="12.8" hidden="false" customHeight="false" outlineLevel="0" collapsed="false">
      <c r="A10024" s="0" t="s">
        <v>4096</v>
      </c>
      <c r="B10024" s="0" t="str">
        <f aca="false">HYPERLINK("https://lindat.mff.cuni.cz/services/teitok/pdtc10/index.php?action=vallex&amp;frame=v-whsa_1027hsa_1028", "hubovat (v-whsa_1027hsa_1028)")</f>
        <v>hubovat (v-whsa_1027hsa_1028)</v>
      </c>
    </row>
    <row r="10025" customFormat="false" ht="12.8" hidden="false" customHeight="false" outlineLevel="0" collapsed="false">
      <c r="B10025" s="0" t="s">
        <v>7</v>
      </c>
    </row>
    <row r="10026" customFormat="false" ht="12.8" hidden="false" customHeight="false" outlineLevel="0" collapsed="false">
      <c r="B10026" s="0" t="s">
        <v>600</v>
      </c>
    </row>
    <row r="10028" customFormat="false" ht="12.8" hidden="false" customHeight="false" outlineLevel="0" collapsed="false">
      <c r="A10028" s="0" t="s">
        <v>4097</v>
      </c>
      <c r="B10028" s="0" t="str">
        <f aca="false">HYPERLINK("https://lindat.mff.cuni.cz/services/teitok/pdtc10/index.php?action=vallex&amp;frame=v-w12260_ZUf1_ZU", "huhňat (v-w12260_ZUf1_ZU)")</f>
        <v>huhňat (v-w12260_ZUf1_ZU)</v>
      </c>
    </row>
    <row r="10029" customFormat="false" ht="12.8" hidden="false" customHeight="false" outlineLevel="0" collapsed="false">
      <c r="B10029" s="0" t="s">
        <v>7</v>
      </c>
    </row>
    <row r="10031" customFormat="false" ht="12.8" hidden="false" customHeight="false" outlineLevel="0" collapsed="false">
      <c r="A10031" s="0" t="s">
        <v>4098</v>
      </c>
      <c r="B10031" s="0" t="str">
        <f aca="false">HYPERLINK("https://lindat.mff.cuni.cz/services/teitok/pdtc10/index.php?action=vallex&amp;frame=v-w1147f1", "hulit (v-w1147f1)")</f>
        <v>hulit (v-w1147f1)</v>
      </c>
    </row>
    <row r="10032" customFormat="false" ht="12.8" hidden="false" customHeight="false" outlineLevel="0" collapsed="false">
      <c r="B10032" s="0" t="s">
        <v>7</v>
      </c>
    </row>
    <row r="10033" customFormat="false" ht="12.8" hidden="false" customHeight="false" outlineLevel="0" collapsed="false">
      <c r="B10033" s="0" t="s">
        <v>14</v>
      </c>
    </row>
    <row r="10035" customFormat="false" ht="12.8" hidden="false" customHeight="false" outlineLevel="0" collapsed="false">
      <c r="A10035" s="0" t="s">
        <v>4099</v>
      </c>
      <c r="B10035" s="0" t="str">
        <f aca="false">HYPERLINK("https://lindat.mff.cuni.cz/services/teitok/pdtc10/index.php?action=vallex&amp;frame=v-w11680_ZUf1_ZU", "hulákat (v-w11680_ZUf1_ZU)")</f>
        <v>hulákat (v-w11680_ZUf1_ZU)</v>
      </c>
    </row>
    <row r="10036" customFormat="false" ht="12.8" hidden="false" customHeight="false" outlineLevel="0" collapsed="false">
      <c r="B10036" s="0" t="s">
        <v>7</v>
      </c>
    </row>
    <row r="10037" customFormat="false" ht="12.8" hidden="false" customHeight="false" outlineLevel="0" collapsed="false">
      <c r="B10037" s="0" t="s">
        <v>4100</v>
      </c>
    </row>
    <row r="10038" customFormat="false" ht="12.8" hidden="false" customHeight="false" outlineLevel="0" collapsed="false">
      <c r="B10038" s="0" t="s">
        <v>4101</v>
      </c>
    </row>
    <row r="10040" customFormat="false" ht="12.8" hidden="false" customHeight="false" outlineLevel="0" collapsed="false">
      <c r="A10040" s="0" t="s">
        <v>4102</v>
      </c>
      <c r="B10040" s="0" t="str">
        <f aca="false">HYPERLINK("https://lindat.mff.cuni.cz/services/teitok/pdtc10/index.php?action=vallex&amp;frame=v-whsa_686hsa_687", "hupnout (v-whsa_686hsa_687)")</f>
        <v>hupnout (v-whsa_686hsa_687)</v>
      </c>
    </row>
    <row r="10041" customFormat="false" ht="12.8" hidden="false" customHeight="false" outlineLevel="0" collapsed="false">
      <c r="B10041" s="0" t="s">
        <v>7</v>
      </c>
    </row>
    <row r="10042" customFormat="false" ht="12.8" hidden="false" customHeight="false" outlineLevel="0" collapsed="false">
      <c r="B10042" s="0" t="s">
        <v>124</v>
      </c>
    </row>
    <row r="10044" customFormat="false" ht="12.8" hidden="false" customHeight="false" outlineLevel="0" collapsed="false">
      <c r="A10044" s="0" t="s">
        <v>4103</v>
      </c>
      <c r="B10044" s="0" t="str">
        <f aca="false">HYPERLINK("https://lindat.mff.cuni.cz/services/teitok/pdtc10/index.php?action=vallex&amp;frame=v-w1145f1", "hučet (v-w1145f1)")</f>
        <v>hučet (v-w1145f1)</v>
      </c>
    </row>
    <row r="10045" customFormat="false" ht="12.8" hidden="false" customHeight="false" outlineLevel="0" collapsed="false">
      <c r="B10045" s="0" t="s">
        <v>7</v>
      </c>
    </row>
    <row r="10047" customFormat="false" ht="12.8" hidden="false" customHeight="false" outlineLevel="0" collapsed="false">
      <c r="A10047" s="0" t="s">
        <v>4104</v>
      </c>
      <c r="B10047" s="0" t="str">
        <f aca="false">HYPERLINK("https://lindat.mff.cuni.cz/services/teitok/pdtc10/index.php?action=vallex&amp;frame=v-w1145f2", "hučet (v-w1145f2)")</f>
        <v>hučet (v-w1145f2)</v>
      </c>
    </row>
    <row r="10048" customFormat="false" ht="12.8" hidden="false" customHeight="false" outlineLevel="0" collapsed="false">
      <c r="B10048" s="0" t="s">
        <v>11</v>
      </c>
    </row>
    <row r="10050" customFormat="false" ht="12.8" hidden="false" customHeight="false" outlineLevel="0" collapsed="false">
      <c r="A10050" s="0" t="s">
        <v>4105</v>
      </c>
      <c r="B10050" s="0" t="str">
        <f aca="false">HYPERLINK("https://lindat.mff.cuni.cz/services/teitok/pdtc10/index.php?action=vallex&amp;frame=v-w1145f3_ZU", "hučet (v-w1145f3_ZU)")</f>
        <v>hučet (v-w1145f3_ZU)</v>
      </c>
    </row>
    <row r="10051" customFormat="false" ht="12.8" hidden="false" customHeight="false" outlineLevel="0" collapsed="false">
      <c r="B10051" s="0" t="s">
        <v>7</v>
      </c>
    </row>
    <row r="10052" customFormat="false" ht="12.8" hidden="false" customHeight="false" outlineLevel="0" collapsed="false">
      <c r="B10052" s="0" t="s">
        <v>985</v>
      </c>
    </row>
    <row r="10054" customFormat="false" ht="12.8" hidden="false" customHeight="false" outlineLevel="0" collapsed="false">
      <c r="A10054" s="0" t="s">
        <v>4106</v>
      </c>
      <c r="B10054" s="0" t="str">
        <f aca="false">HYPERLINK("https://lindat.mff.cuni.cz/services/teitok/pdtc10/index.php?action=vallex&amp;frame=v-w1149f1", "hvízdat (v-w1149f1)")</f>
        <v>hvízdat (v-w1149f1)</v>
      </c>
    </row>
    <row r="10055" customFormat="false" ht="12.8" hidden="false" customHeight="false" outlineLevel="0" collapsed="false">
      <c r="B10055" s="0" t="s">
        <v>7</v>
      </c>
      <c r="D10055" s="0" t="s">
        <v>191</v>
      </c>
      <c r="E10055" s="0" t="s">
        <v>191</v>
      </c>
      <c r="F10055" s="0" t="s">
        <v>191</v>
      </c>
    </row>
    <row r="10056" customFormat="false" ht="12.8" hidden="false" customHeight="false" outlineLevel="0" collapsed="false">
      <c r="B10056" s="0" t="s">
        <v>4107</v>
      </c>
      <c r="D10056" s="0" t="s">
        <v>567</v>
      </c>
      <c r="E10056" s="0" t="s">
        <v>567</v>
      </c>
      <c r="F10056" s="0" t="s">
        <v>567</v>
      </c>
    </row>
    <row r="10057" customFormat="false" ht="12.8" hidden="false" customHeight="false" outlineLevel="0" collapsed="false">
      <c r="B10057" s="0" t="s">
        <v>4101</v>
      </c>
    </row>
    <row r="10059" customFormat="false" ht="12.8" hidden="false" customHeight="false" outlineLevel="0" collapsed="false">
      <c r="A10059" s="0" t="s">
        <v>4108</v>
      </c>
      <c r="B10059" s="0" t="str">
        <f aca="false">HYPERLINK("https://lindat.mff.cuni.cz/services/teitok/pdtc10/index.php?action=vallex&amp;frame=v-w1149f2", "hvízdat (v-w1149f2)")</f>
        <v>hvízdat (v-w1149f2)</v>
      </c>
    </row>
    <row r="10060" customFormat="false" ht="12.8" hidden="false" customHeight="false" outlineLevel="0" collapsed="false">
      <c r="B10060" s="0" t="s">
        <v>7</v>
      </c>
    </row>
    <row r="10062" customFormat="false" ht="12.8" hidden="false" customHeight="false" outlineLevel="0" collapsed="false">
      <c r="A10062" s="0" t="s">
        <v>4109</v>
      </c>
      <c r="B10062" s="0" t="str">
        <f aca="false">HYPERLINK("https://lindat.mff.cuni.cz/services/teitok/pdtc10/index.php?action=vallex&amp;frame=v-w11350f3_ZU", "hvízdat si (v-w11350f3_ZU)")</f>
        <v>hvízdat si (v-w11350f3_ZU)</v>
      </c>
    </row>
    <row r="10063" customFormat="false" ht="12.8" hidden="false" customHeight="false" outlineLevel="0" collapsed="false">
      <c r="B10063" s="0" t="s">
        <v>7</v>
      </c>
      <c r="C10063" s="0" t="s">
        <v>191</v>
      </c>
      <c r="D10063" s="0" t="s">
        <v>191</v>
      </c>
      <c r="E10063" s="0" t="s">
        <v>191</v>
      </c>
      <c r="F10063" s="0" t="s">
        <v>191</v>
      </c>
    </row>
    <row r="10064" customFormat="false" ht="12.8" hidden="false" customHeight="false" outlineLevel="0" collapsed="false">
      <c r="B10064" s="0" t="s">
        <v>297</v>
      </c>
      <c r="C10064" s="0" t="s">
        <v>567</v>
      </c>
      <c r="D10064" s="0" t="s">
        <v>567</v>
      </c>
      <c r="E10064" s="0" t="s">
        <v>567</v>
      </c>
      <c r="F10064" s="0" t="s">
        <v>567</v>
      </c>
    </row>
    <row r="10066" customFormat="false" ht="12.8" hidden="false" customHeight="false" outlineLevel="0" collapsed="false">
      <c r="A10066" s="0" t="s">
        <v>4109</v>
      </c>
      <c r="B10066" s="0" t="str">
        <f aca="false">HYPERLINK("https://lindat.mff.cuni.cz/services/teitok/pdtc10/index.php?action=vallex&amp;frame=v-w11350f2", "hvízdat si (v-w11350f2) - substituted with v-w11350f3_ZU")</f>
        <v>hvízdat si (v-w11350f2) - substituted with v-w11350f3_ZU</v>
      </c>
    </row>
    <row r="10067" customFormat="false" ht="12.8" hidden="false" customHeight="false" outlineLevel="0" collapsed="false">
      <c r="B10067" s="0" t="s">
        <v>7</v>
      </c>
    </row>
    <row r="10068" customFormat="false" ht="12.8" hidden="false" customHeight="false" outlineLevel="0" collapsed="false">
      <c r="B10068" s="0" t="s">
        <v>297</v>
      </c>
    </row>
    <row r="10070" customFormat="false" ht="12.8" hidden="false" customHeight="false" outlineLevel="0" collapsed="false">
      <c r="A10070" s="0" t="s">
        <v>4110</v>
      </c>
      <c r="B10070" s="0" t="str">
        <f aca="false">HYPERLINK("https://lindat.mff.cuni.cz/services/teitok/pdtc10/index.php?action=vallex&amp;frame=v-w1150f1", "hvízdnout (v-w1150f1)")</f>
        <v>hvízdnout (v-w1150f1)</v>
      </c>
    </row>
    <row r="10071" customFormat="false" ht="12.8" hidden="false" customHeight="false" outlineLevel="0" collapsed="false">
      <c r="B10071" s="0" t="s">
        <v>7</v>
      </c>
    </row>
    <row r="10073" customFormat="false" ht="12.8" hidden="false" customHeight="false" outlineLevel="0" collapsed="false">
      <c r="A10073" s="0" t="s">
        <v>4111</v>
      </c>
      <c r="B10073" s="0" t="str">
        <f aca="false">HYPERLINK("https://lindat.mff.cuni.cz/services/teitok/pdtc10/index.php?action=vallex&amp;frame=v-w1154f1", "hynout (v-w1154f1)")</f>
        <v>hynout (v-w1154f1)</v>
      </c>
    </row>
    <row r="10074" customFormat="false" ht="12.8" hidden="false" customHeight="false" outlineLevel="0" collapsed="false">
      <c r="B10074" s="0" t="s">
        <v>7</v>
      </c>
    </row>
    <row r="10076" customFormat="false" ht="12.8" hidden="false" customHeight="false" outlineLevel="0" collapsed="false">
      <c r="A10076" s="0" t="s">
        <v>4112</v>
      </c>
      <c r="B10076" s="0" t="str">
        <f aca="false">HYPERLINK("https://lindat.mff.cuni.cz/services/teitok/pdtc10/index.php?action=vallex&amp;frame=v-w1156f1", "hypertrofovat (v-w1156f1)")</f>
        <v>hypertrofovat (v-w1156f1)</v>
      </c>
    </row>
    <row r="10077" customFormat="false" ht="12.8" hidden="false" customHeight="false" outlineLevel="0" collapsed="false">
      <c r="B10077" s="0" t="s">
        <v>7</v>
      </c>
    </row>
    <row r="10078" customFormat="false" ht="12.8" hidden="false" customHeight="false" outlineLevel="0" collapsed="false">
      <c r="B10078" s="0" t="s">
        <v>63</v>
      </c>
    </row>
    <row r="10079" customFormat="false" ht="12.8" hidden="false" customHeight="false" outlineLevel="0" collapsed="false">
      <c r="B10079" s="0" t="s">
        <v>35</v>
      </c>
    </row>
    <row r="10081" customFormat="false" ht="12.8" hidden="false" customHeight="false" outlineLevel="0" collapsed="false">
      <c r="A10081" s="0" t="s">
        <v>4113</v>
      </c>
      <c r="B10081" s="0" t="str">
        <f aca="false">HYPERLINK("https://lindat.mff.cuni.cz/services/teitok/pdtc10/index.php?action=vallex&amp;frame=v-w10687f2", "hypnotizovat (v-w10687f2)")</f>
        <v>hypnotizovat (v-w10687f2)</v>
      </c>
    </row>
    <row r="10082" customFormat="false" ht="12.8" hidden="false" customHeight="false" outlineLevel="0" collapsed="false">
      <c r="B10082" s="0" t="s">
        <v>7</v>
      </c>
    </row>
    <row r="10083" customFormat="false" ht="12.8" hidden="false" customHeight="false" outlineLevel="0" collapsed="false">
      <c r="B10083" s="0" t="s">
        <v>14</v>
      </c>
    </row>
    <row r="10085" customFormat="false" ht="12.8" hidden="false" customHeight="false" outlineLevel="0" collapsed="false">
      <c r="A10085" s="0" t="s">
        <v>4114</v>
      </c>
      <c r="B10085" s="0" t="str">
        <f aca="false">HYPERLINK("https://lindat.mff.cuni.cz/services/teitok/pdtc10/index.php?action=vallex&amp;frame=v-w1160f1", "hyzdit (v-w1160f1)")</f>
        <v>hyzdit (v-w1160f1)</v>
      </c>
    </row>
    <row r="10086" customFormat="false" ht="12.8" hidden="false" customHeight="false" outlineLevel="0" collapsed="false">
      <c r="B10086" s="0" t="s">
        <v>7</v>
      </c>
    </row>
    <row r="10087" customFormat="false" ht="12.8" hidden="false" customHeight="false" outlineLevel="0" collapsed="false">
      <c r="B10087" s="0" t="s">
        <v>14</v>
      </c>
    </row>
    <row r="10089" customFormat="false" ht="12.8" hidden="false" customHeight="false" outlineLevel="0" collapsed="false">
      <c r="A10089" s="0" t="s">
        <v>4115</v>
      </c>
      <c r="B10089" s="0" t="str">
        <f aca="false">HYPERLINK("https://lindat.mff.cuni.cz/services/teitok/pdtc10/index.php?action=vallex&amp;frame=v-w1013f1", "hádat (v-w1013f1)")</f>
        <v>hádat (v-w1013f1)</v>
      </c>
    </row>
    <row r="10090" customFormat="false" ht="12.8" hidden="false" customHeight="false" outlineLevel="0" collapsed="false">
      <c r="B10090" s="0" t="s">
        <v>7</v>
      </c>
      <c r="C10090" s="0" t="s">
        <v>4116</v>
      </c>
      <c r="D10090" s="0" t="s">
        <v>2266</v>
      </c>
      <c r="E10090" s="0" t="s">
        <v>2266</v>
      </c>
      <c r="F10090" s="0" t="s">
        <v>2266</v>
      </c>
    </row>
    <row r="10091" customFormat="false" ht="12.8" hidden="false" customHeight="false" outlineLevel="0" collapsed="false">
      <c r="B10091" s="0" t="s">
        <v>4117</v>
      </c>
      <c r="C10091" s="0" t="s">
        <v>1277</v>
      </c>
      <c r="D10091" s="0" t="s">
        <v>4118</v>
      </c>
      <c r="E10091" s="0" t="s">
        <v>4118</v>
      </c>
      <c r="F10091" s="0" t="s">
        <v>4118</v>
      </c>
    </row>
    <row r="10093" customFormat="false" ht="12.8" hidden="false" customHeight="false" outlineLevel="0" collapsed="false">
      <c r="A10093" s="0" t="s">
        <v>4119</v>
      </c>
      <c r="B10093" s="0" t="str">
        <f aca="false">HYPERLINK("https://lindat.mff.cuni.cz/services/teitok/pdtc10/index.php?action=vallex&amp;frame=v-w1014f1", "hádat se (v-w1014f1)")</f>
        <v>hádat se (v-w1014f1)</v>
      </c>
    </row>
    <row r="10094" customFormat="false" ht="12.8" hidden="false" customHeight="false" outlineLevel="0" collapsed="false">
      <c r="B10094" s="0" t="s">
        <v>7</v>
      </c>
    </row>
    <row r="10095" customFormat="false" ht="12.8" hidden="false" customHeight="false" outlineLevel="0" collapsed="false">
      <c r="B10095" s="0" t="s">
        <v>207</v>
      </c>
    </row>
    <row r="10096" customFormat="false" ht="12.8" hidden="false" customHeight="false" outlineLevel="0" collapsed="false">
      <c r="B10096" s="0" t="s">
        <v>3748</v>
      </c>
    </row>
    <row r="10098" customFormat="false" ht="12.8" hidden="false" customHeight="false" outlineLevel="0" collapsed="false">
      <c r="A10098" s="0" t="s">
        <v>4120</v>
      </c>
      <c r="B10098" s="0" t="str">
        <f aca="false">HYPERLINK("https://lindat.mff.cuni.cz/services/teitok/pdtc10/index.php?action=vallex&amp;frame=v-w1018f1", "hájit (v-w1018f1)")</f>
        <v>hájit (v-w1018f1)</v>
      </c>
    </row>
    <row r="10099" customFormat="false" ht="12.8" hidden="false" customHeight="false" outlineLevel="0" collapsed="false">
      <c r="B10099" s="0" t="s">
        <v>7</v>
      </c>
      <c r="C10099" s="0" t="s">
        <v>410</v>
      </c>
      <c r="D10099" s="0" t="s">
        <v>411</v>
      </c>
      <c r="E10099" s="0" t="s">
        <v>412</v>
      </c>
      <c r="F10099" s="0" t="s">
        <v>412</v>
      </c>
    </row>
    <row r="10100" customFormat="false" ht="12.8" hidden="false" customHeight="false" outlineLevel="0" collapsed="false">
      <c r="B10100" s="0" t="s">
        <v>14</v>
      </c>
      <c r="C10100" s="0" t="s">
        <v>413</v>
      </c>
      <c r="D10100" s="0" t="s">
        <v>414</v>
      </c>
      <c r="E10100" s="0" t="s">
        <v>415</v>
      </c>
      <c r="F10100" s="0" t="s">
        <v>415</v>
      </c>
    </row>
    <row r="10101" customFormat="false" ht="12.8" hidden="false" customHeight="false" outlineLevel="0" collapsed="false">
      <c r="B10101" s="0" t="s">
        <v>416</v>
      </c>
      <c r="C10101" s="0" t="s">
        <v>361</v>
      </c>
      <c r="D10101" s="0" t="s">
        <v>361</v>
      </c>
      <c r="E10101" s="0" t="s">
        <v>417</v>
      </c>
      <c r="F10101" s="0" t="s">
        <v>417</v>
      </c>
    </row>
    <row r="10103" customFormat="false" ht="12.8" hidden="false" customHeight="false" outlineLevel="0" collapsed="false">
      <c r="A10103" s="0" t="s">
        <v>4121</v>
      </c>
      <c r="B10103" s="0" t="str">
        <f aca="false">HYPERLINK("https://lindat.mff.cuni.cz/services/teitok/pdtc10/index.php?action=vallex&amp;frame=v-w1019f1", "hájit se (v-w1019f1)")</f>
        <v>hájit se (v-w1019f1)</v>
      </c>
    </row>
    <row r="10104" customFormat="false" ht="12.8" hidden="false" customHeight="false" outlineLevel="0" collapsed="false">
      <c r="B10104" s="0" t="s">
        <v>7</v>
      </c>
      <c r="C10104" s="0" t="s">
        <v>410</v>
      </c>
      <c r="D10104" s="0" t="s">
        <v>423</v>
      </c>
      <c r="E10104" s="0" t="s">
        <v>423</v>
      </c>
      <c r="F10104" s="0" t="s">
        <v>423</v>
      </c>
    </row>
    <row r="10105" customFormat="false" ht="12.8" hidden="false" customHeight="false" outlineLevel="0" collapsed="false">
      <c r="B10105" s="0" t="s">
        <v>4122</v>
      </c>
      <c r="C10105" s="0" t="s">
        <v>155</v>
      </c>
      <c r="D10105" s="0" t="s">
        <v>426</v>
      </c>
      <c r="E10105" s="0" t="s">
        <v>426</v>
      </c>
      <c r="F10105" s="0" t="s">
        <v>426</v>
      </c>
    </row>
    <row r="10107" customFormat="false" ht="12.8" hidden="false" customHeight="false" outlineLevel="0" collapsed="false">
      <c r="A10107" s="0" t="s">
        <v>4123</v>
      </c>
      <c r="B10107" s="0" t="str">
        <f aca="false">HYPERLINK("https://lindat.mff.cuni.cz/services/teitok/pdtc10/index.php?action=vallex&amp;frame=v-w1036f7_ZU", "házet (v-w1036f7_ZU)")</f>
        <v>házet (v-w1036f7_ZU)</v>
      </c>
    </row>
    <row r="10108" customFormat="false" ht="12.8" hidden="false" customHeight="false" outlineLevel="0" collapsed="false">
      <c r="B10108" s="0" t="s">
        <v>7</v>
      </c>
    </row>
    <row r="10109" customFormat="false" ht="12.8" hidden="false" customHeight="false" outlineLevel="0" collapsed="false">
      <c r="B10109" s="0" t="s">
        <v>14</v>
      </c>
    </row>
    <row r="10110" customFormat="false" ht="12.8" hidden="false" customHeight="false" outlineLevel="0" collapsed="false">
      <c r="B10110" s="0" t="s">
        <v>4124</v>
      </c>
    </row>
    <row r="10112" customFormat="false" ht="12.8" hidden="false" customHeight="false" outlineLevel="0" collapsed="false">
      <c r="A10112" s="0" t="s">
        <v>4123</v>
      </c>
      <c r="B10112" s="0" t="str">
        <f aca="false">HYPERLINK("https://lindat.mff.cuni.cz/services/teitok/pdtc10/index.php?action=vallex&amp;frame=v-w1036f5", "házet (v-w1036f5) - substituted with v-w1036f7_ZU")</f>
        <v>házet (v-w1036f5) - substituted with v-w1036f7_ZU</v>
      </c>
    </row>
    <row r="10113" customFormat="false" ht="12.8" hidden="false" customHeight="false" outlineLevel="0" collapsed="false">
      <c r="B10113" s="0" t="s">
        <v>7</v>
      </c>
    </row>
    <row r="10114" customFormat="false" ht="12.8" hidden="false" customHeight="false" outlineLevel="0" collapsed="false">
      <c r="B10114" s="0" t="s">
        <v>14</v>
      </c>
    </row>
    <row r="10115" customFormat="false" ht="12.8" hidden="false" customHeight="false" outlineLevel="0" collapsed="false">
      <c r="B10115" s="0" t="s">
        <v>4124</v>
      </c>
    </row>
    <row r="10117" customFormat="false" ht="12.8" hidden="false" customHeight="false" outlineLevel="0" collapsed="false">
      <c r="A10117" s="0" t="s">
        <v>4125</v>
      </c>
      <c r="B10117" s="0" t="str">
        <f aca="false">HYPERLINK("https://lindat.mff.cuni.cz/services/teitok/pdtc10/index.php?action=vallex&amp;frame=v-w1036f6", "házet (v-w1036f6)")</f>
        <v>házet (v-w1036f6)</v>
      </c>
    </row>
    <row r="10118" customFormat="false" ht="12.8" hidden="false" customHeight="false" outlineLevel="0" collapsed="false">
      <c r="B10118" s="0" t="s">
        <v>7</v>
      </c>
      <c r="C10118" s="0" t="s">
        <v>21</v>
      </c>
      <c r="D10118" s="0" t="s">
        <v>194</v>
      </c>
      <c r="E10118" s="0" t="s">
        <v>194</v>
      </c>
      <c r="F10118" s="0" t="s">
        <v>194</v>
      </c>
    </row>
    <row r="10119" customFormat="false" ht="12.8" hidden="false" customHeight="false" outlineLevel="0" collapsed="false">
      <c r="B10119" s="0" t="s">
        <v>1836</v>
      </c>
      <c r="C10119" s="0" t="s">
        <v>1315</v>
      </c>
      <c r="D10119" s="0" t="s">
        <v>110</v>
      </c>
      <c r="E10119" s="0" t="s">
        <v>110</v>
      </c>
      <c r="F10119" s="0" t="s">
        <v>110</v>
      </c>
    </row>
    <row r="10120" customFormat="false" ht="12.8" hidden="false" customHeight="false" outlineLevel="0" collapsed="false">
      <c r="B10120" s="0" t="s">
        <v>106</v>
      </c>
      <c r="D10120" s="0" t="s">
        <v>1165</v>
      </c>
      <c r="E10120" s="0" t="s">
        <v>1165</v>
      </c>
      <c r="F10120" s="0" t="s">
        <v>1165</v>
      </c>
    </row>
    <row r="10122" customFormat="false" ht="12.8" hidden="false" customHeight="false" outlineLevel="0" collapsed="false">
      <c r="A10122" s="0" t="s">
        <v>4125</v>
      </c>
      <c r="B10122" s="0" t="str">
        <f aca="false">HYPERLINK("https://lindat.mff.cuni.cz/services/teitok/pdtc10/index.php?action=vallex&amp;frame=v-w1036f2", "házet (v-w1036f2) - substituted with v-w1036f6")</f>
        <v>házet (v-w1036f2) - substituted with v-w1036f6</v>
      </c>
    </row>
    <row r="10123" customFormat="false" ht="12.8" hidden="false" customHeight="false" outlineLevel="0" collapsed="false">
      <c r="B10123" s="0" t="s">
        <v>7</v>
      </c>
    </row>
    <row r="10124" customFormat="false" ht="12.8" hidden="false" customHeight="false" outlineLevel="0" collapsed="false">
      <c r="B10124" s="0" t="s">
        <v>1836</v>
      </c>
    </row>
    <row r="10125" customFormat="false" ht="12.8" hidden="false" customHeight="false" outlineLevel="0" collapsed="false">
      <c r="B10125" s="0" t="s">
        <v>106</v>
      </c>
    </row>
    <row r="10127" customFormat="false" ht="12.8" hidden="false" customHeight="false" outlineLevel="0" collapsed="false">
      <c r="A10127" s="0" t="s">
        <v>4126</v>
      </c>
      <c r="B10127" s="0" t="str">
        <f aca="false">HYPERLINK("https://lindat.mff.cuni.cz/services/teitok/pdtc10/index.php?action=vallex&amp;frame=v-w1036f8_ZU", "házet (v-w1036f8_ZU)")</f>
        <v>házet (v-w1036f8_ZU)</v>
      </c>
    </row>
    <row r="10128" customFormat="false" ht="12.8" hidden="false" customHeight="false" outlineLevel="0" collapsed="false">
      <c r="B10128" s="0" t="s">
        <v>7</v>
      </c>
    </row>
    <row r="10129" customFormat="false" ht="12.8" hidden="false" customHeight="false" outlineLevel="0" collapsed="false">
      <c r="B10129" s="0" t="s">
        <v>14</v>
      </c>
    </row>
    <row r="10130" customFormat="false" ht="12.8" hidden="false" customHeight="false" outlineLevel="0" collapsed="false">
      <c r="B10130" s="0" t="s">
        <v>124</v>
      </c>
    </row>
    <row r="10132" customFormat="false" ht="12.8" hidden="false" customHeight="false" outlineLevel="0" collapsed="false">
      <c r="A10132" s="0" t="s">
        <v>4126</v>
      </c>
      <c r="B10132" s="0" t="str">
        <f aca="false">HYPERLINK("https://lindat.mff.cuni.cz/services/teitok/pdtc10/index.php?action=vallex&amp;frame=v-w1036f1", "házet (v-w1036f1) - substituted with v-w1036f8_ZU")</f>
        <v>házet (v-w1036f1) - substituted with v-w1036f8_ZU</v>
      </c>
    </row>
    <row r="10133" customFormat="false" ht="12.8" hidden="false" customHeight="false" outlineLevel="0" collapsed="false">
      <c r="B10133" s="0" t="s">
        <v>7</v>
      </c>
      <c r="C10133" s="0" t="s">
        <v>113</v>
      </c>
      <c r="D10133" s="0" t="s">
        <v>3051</v>
      </c>
      <c r="E10133" s="0" t="s">
        <v>3051</v>
      </c>
      <c r="F10133" s="0" t="s">
        <v>3051</v>
      </c>
    </row>
    <row r="10134" customFormat="false" ht="12.8" hidden="false" customHeight="false" outlineLevel="0" collapsed="false">
      <c r="B10134" s="0" t="s">
        <v>14</v>
      </c>
      <c r="C10134" s="0" t="s">
        <v>1170</v>
      </c>
      <c r="D10134" s="0" t="s">
        <v>1605</v>
      </c>
      <c r="E10134" s="0" t="s">
        <v>1605</v>
      </c>
      <c r="F10134" s="0" t="s">
        <v>1605</v>
      </c>
    </row>
    <row r="10135" customFormat="false" ht="12.8" hidden="false" customHeight="false" outlineLevel="0" collapsed="false">
      <c r="B10135" s="0" t="s">
        <v>124</v>
      </c>
      <c r="D10135" s="0" t="s">
        <v>4127</v>
      </c>
      <c r="E10135" s="0" t="s">
        <v>4127</v>
      </c>
      <c r="F10135" s="0" t="s">
        <v>4127</v>
      </c>
    </row>
    <row r="10137" customFormat="false" ht="12.8" hidden="false" customHeight="false" outlineLevel="0" collapsed="false">
      <c r="A10137" s="0" t="s">
        <v>4128</v>
      </c>
      <c r="B10137" s="0" t="str">
        <f aca="false">HYPERLINK("https://lindat.mff.cuni.cz/services/teitok/pdtc10/index.php?action=vallex&amp;frame=v-w1036f4", "házet (v-w1036f4)")</f>
        <v>házet (v-w1036f4)</v>
      </c>
    </row>
    <row r="10138" customFormat="false" ht="12.8" hidden="false" customHeight="false" outlineLevel="0" collapsed="false">
      <c r="B10138" s="0" t="s">
        <v>7</v>
      </c>
    </row>
    <row r="10139" customFormat="false" ht="12.8" hidden="false" customHeight="false" outlineLevel="0" collapsed="false">
      <c r="B10139" s="0" t="s">
        <v>216</v>
      </c>
    </row>
    <row r="10141" customFormat="false" ht="12.8" hidden="false" customHeight="false" outlineLevel="0" collapsed="false">
      <c r="A10141" s="0" t="s">
        <v>4129</v>
      </c>
      <c r="B10141" s="0" t="str">
        <f aca="false">HYPERLINK("https://lindat.mff.cuni.cz/services/teitok/pdtc10/index.php?action=vallex&amp;frame=v-w1036f3", "házet (v-w1036f3)")</f>
        <v>házet (v-w1036f3)</v>
      </c>
    </row>
    <row r="10142" customFormat="false" ht="12.8" hidden="false" customHeight="false" outlineLevel="0" collapsed="false">
      <c r="B10142" s="0" t="s">
        <v>7</v>
      </c>
    </row>
    <row r="10143" customFormat="false" ht="12.8" hidden="false" customHeight="false" outlineLevel="0" collapsed="false">
      <c r="B10143" s="0" t="s">
        <v>4130</v>
      </c>
    </row>
    <row r="10144" customFormat="false" ht="12.8" hidden="false" customHeight="false" outlineLevel="0" collapsed="false">
      <c r="B10144" s="0" t="s">
        <v>142</v>
      </c>
    </row>
    <row r="10146" customFormat="false" ht="12.8" hidden="false" customHeight="false" outlineLevel="0" collapsed="false">
      <c r="A10146" s="0" t="s">
        <v>4131</v>
      </c>
      <c r="B10146" s="0" t="str">
        <f aca="false">HYPERLINK("https://lindat.mff.cuni.cz/services/teitok/pdtc10/index.php?action=vallex&amp;frame=v-w1036hsa_305", "házet (v-w1036hsa_305)")</f>
        <v>házet (v-w1036hsa_305)</v>
      </c>
    </row>
    <row r="10147" customFormat="false" ht="12.8" hidden="false" customHeight="false" outlineLevel="0" collapsed="false">
      <c r="B10147" s="0" t="s">
        <v>7</v>
      </c>
    </row>
    <row r="10148" customFormat="false" ht="12.8" hidden="false" customHeight="false" outlineLevel="0" collapsed="false">
      <c r="B10148" s="0" t="s">
        <v>14</v>
      </c>
    </row>
    <row r="10149" customFormat="false" ht="12.8" hidden="false" customHeight="false" outlineLevel="0" collapsed="false">
      <c r="B10149" s="0" t="s">
        <v>122</v>
      </c>
    </row>
    <row r="10151" customFormat="false" ht="12.8" hidden="false" customHeight="false" outlineLevel="0" collapsed="false">
      <c r="A10151" s="0" t="s">
        <v>4132</v>
      </c>
      <c r="B10151" s="0" t="str">
        <f aca="false">HYPERLINK("https://lindat.mff.cuni.cz/services/teitok/pdtc10/index.php?action=vallex&amp;frame=v-w1036hsa_242", "házet (v-w1036hsa_242)")</f>
        <v>házet (v-w1036hsa_242)</v>
      </c>
    </row>
    <row r="10152" customFormat="false" ht="12.8" hidden="false" customHeight="false" outlineLevel="0" collapsed="false">
      <c r="B10152" s="0" t="s">
        <v>7</v>
      </c>
    </row>
    <row r="10153" customFormat="false" ht="12.8" hidden="false" customHeight="false" outlineLevel="0" collapsed="false">
      <c r="B10153" s="0" t="s">
        <v>14</v>
      </c>
    </row>
    <row r="10155" customFormat="false" ht="12.8" hidden="false" customHeight="false" outlineLevel="0" collapsed="false">
      <c r="A10155" s="0" t="s">
        <v>4133</v>
      </c>
      <c r="B10155" s="0" t="str">
        <f aca="false">HYPERLINK("https://lindat.mff.cuni.cz/services/teitok/pdtc10/index.php?action=vallex&amp;frame=v-whsa_1728f1_ZU", "háčkovat (v-whsa_1728f1_ZU)")</f>
        <v>háčkovat (v-whsa_1728f1_ZU)</v>
      </c>
    </row>
    <row r="10156" customFormat="false" ht="12.8" hidden="false" customHeight="false" outlineLevel="0" collapsed="false">
      <c r="B10156" s="0" t="s">
        <v>7</v>
      </c>
    </row>
    <row r="10157" customFormat="false" ht="12.8" hidden="false" customHeight="false" outlineLevel="0" collapsed="false">
      <c r="B10157" s="0" t="s">
        <v>14</v>
      </c>
    </row>
    <row r="10158" customFormat="false" ht="12.8" hidden="false" customHeight="false" outlineLevel="0" collapsed="false">
      <c r="B10158" s="0" t="s">
        <v>35</v>
      </c>
    </row>
    <row r="10160" customFormat="false" ht="12.8" hidden="false" customHeight="false" outlineLevel="0" collapsed="false">
      <c r="A10160" s="0" t="s">
        <v>4133</v>
      </c>
      <c r="B10160" s="0" t="str">
        <f aca="false">HYPERLINK("https://lindat.mff.cuni.cz/services/teitok/pdtc10/index.php?action=vallex&amp;frame=v-whsa_1728hsa_1729", "háčkovat (v-whsa_1728hsa_1729) - substituted with v-whsa_1728f1_ZU")</f>
        <v>háčkovat (v-whsa_1728hsa_1729) - substituted with v-whsa_1728f1_ZU</v>
      </c>
    </row>
    <row r="10161" customFormat="false" ht="12.8" hidden="false" customHeight="false" outlineLevel="0" collapsed="false">
      <c r="B10161" s="0" t="s">
        <v>7</v>
      </c>
    </row>
    <row r="10162" customFormat="false" ht="12.8" hidden="false" customHeight="false" outlineLevel="0" collapsed="false">
      <c r="B10162" s="0" t="s">
        <v>14</v>
      </c>
    </row>
    <row r="10163" customFormat="false" ht="12.8" hidden="false" customHeight="false" outlineLevel="0" collapsed="false">
      <c r="B10163" s="0" t="s">
        <v>35</v>
      </c>
    </row>
    <row r="10165" customFormat="false" ht="12.8" hidden="false" customHeight="false" outlineLevel="0" collapsed="false">
      <c r="A10165" s="0" t="s">
        <v>4134</v>
      </c>
      <c r="B10165" s="0" t="str">
        <f aca="false">HYPERLINK("https://lindat.mff.cuni.cz/services/teitok/pdtc10/index.php?action=vallex&amp;frame=v-w1151f2", "hýbat (v-w1151f2)")</f>
        <v>hýbat (v-w1151f2)</v>
      </c>
    </row>
    <row r="10166" customFormat="false" ht="12.8" hidden="false" customHeight="false" outlineLevel="0" collapsed="false">
      <c r="B10166" s="0" t="s">
        <v>7</v>
      </c>
    </row>
    <row r="10167" customFormat="false" ht="12.8" hidden="false" customHeight="false" outlineLevel="0" collapsed="false">
      <c r="B10167" s="0" t="s">
        <v>3760</v>
      </c>
    </row>
    <row r="10169" customFormat="false" ht="12.8" hidden="false" customHeight="false" outlineLevel="0" collapsed="false">
      <c r="A10169" s="0" t="s">
        <v>4135</v>
      </c>
      <c r="B10169" s="0" t="str">
        <f aca="false">HYPERLINK("https://lindat.mff.cuni.cz/services/teitok/pdtc10/index.php?action=vallex&amp;frame=v-w1151f1", "hýbat (v-w1151f1)")</f>
        <v>hýbat (v-w1151f1)</v>
      </c>
    </row>
    <row r="10170" customFormat="false" ht="12.8" hidden="false" customHeight="false" outlineLevel="0" collapsed="false">
      <c r="B10170" s="0" t="s">
        <v>7</v>
      </c>
      <c r="C10170" s="0" t="s">
        <v>4136</v>
      </c>
    </row>
    <row r="10171" customFormat="false" ht="12.8" hidden="false" customHeight="false" outlineLevel="0" collapsed="false">
      <c r="B10171" s="0" t="s">
        <v>216</v>
      </c>
      <c r="C10171" s="0" t="s">
        <v>469</v>
      </c>
    </row>
    <row r="10173" customFormat="false" ht="12.8" hidden="false" customHeight="false" outlineLevel="0" collapsed="false">
      <c r="A10173" s="0" t="s">
        <v>4137</v>
      </c>
      <c r="B10173" s="0" t="str">
        <f aca="false">HYPERLINK("https://lindat.mff.cuni.cz/services/teitok/pdtc10/index.php?action=vallex&amp;frame=v-w1152f1", "hýbat se (v-w1152f1)")</f>
        <v>hýbat se (v-w1152f1)</v>
      </c>
    </row>
    <row r="10174" customFormat="false" ht="12.8" hidden="false" customHeight="false" outlineLevel="0" collapsed="false">
      <c r="B10174" s="0" t="s">
        <v>7</v>
      </c>
      <c r="C10174" s="0" t="s">
        <v>4138</v>
      </c>
      <c r="D10174" s="0" t="s">
        <v>3954</v>
      </c>
      <c r="E10174" s="0" t="s">
        <v>3954</v>
      </c>
      <c r="F10174" s="0" t="s">
        <v>4139</v>
      </c>
    </row>
    <row r="10176" customFormat="false" ht="12.8" hidden="false" customHeight="false" outlineLevel="0" collapsed="false">
      <c r="A10176" s="0" t="s">
        <v>4140</v>
      </c>
      <c r="B10176" s="0" t="str">
        <f aca="false">HYPERLINK("https://lindat.mff.cuni.cz/services/teitok/pdtc10/index.php?action=vallex&amp;frame=v-w1153f1", "hýčkat (v-w1153f1)")</f>
        <v>hýčkat (v-w1153f1)</v>
      </c>
    </row>
    <row r="10177" customFormat="false" ht="12.8" hidden="false" customHeight="false" outlineLevel="0" collapsed="false">
      <c r="B10177" s="0" t="s">
        <v>7</v>
      </c>
    </row>
    <row r="10178" customFormat="false" ht="12.8" hidden="false" customHeight="false" outlineLevel="0" collapsed="false">
      <c r="B10178" s="0" t="s">
        <v>14</v>
      </c>
    </row>
    <row r="10180" customFormat="false" ht="12.8" hidden="false" customHeight="false" outlineLevel="0" collapsed="false">
      <c r="A10180" s="0" t="s">
        <v>4141</v>
      </c>
      <c r="B10180" s="0" t="str">
        <f aca="false">HYPERLINK("https://lindat.mff.cuni.cz/services/teitok/pdtc10/index.php?action=vallex&amp;frame=v-w1159f1", "hýřit (v-w1159f1)")</f>
        <v>hýřit (v-w1159f1)</v>
      </c>
    </row>
    <row r="10181" customFormat="false" ht="12.8" hidden="false" customHeight="false" outlineLevel="0" collapsed="false">
      <c r="B10181" s="0" t="s">
        <v>7</v>
      </c>
    </row>
    <row r="10182" customFormat="false" ht="12.8" hidden="false" customHeight="false" outlineLevel="0" collapsed="false">
      <c r="B10182" s="0" t="s">
        <v>216</v>
      </c>
    </row>
    <row r="10184" customFormat="false" ht="12.8" hidden="false" customHeight="false" outlineLevel="0" collapsed="false">
      <c r="A10184" s="0" t="s">
        <v>4142</v>
      </c>
      <c r="B10184" s="0" t="str">
        <f aca="false">HYPERLINK("https://lindat.mff.cuni.cz/services/teitok/pdtc10/index.php?action=vallex&amp;frame=v-w1159f2", "hýřit (v-w1159f2)")</f>
        <v>hýřit (v-w1159f2)</v>
      </c>
    </row>
    <row r="10185" customFormat="false" ht="12.8" hidden="false" customHeight="false" outlineLevel="0" collapsed="false">
      <c r="B10185" s="0" t="s">
        <v>7</v>
      </c>
    </row>
    <row r="10187" customFormat="false" ht="12.8" hidden="false" customHeight="false" outlineLevel="0" collapsed="false">
      <c r="A10187" s="0" t="s">
        <v>4143</v>
      </c>
      <c r="B10187" s="0" t="str">
        <f aca="false">HYPERLINK("https://lindat.mff.cuni.cz/services/teitok/pdtc10/index.php?action=vallex&amp;frame=v-whsa_1856hsa_1857", "hřebelcovat (v-whsa_1856hsa_1857)")</f>
        <v>hřebelcovat (v-whsa_1856hsa_1857)</v>
      </c>
    </row>
    <row r="10188" customFormat="false" ht="12.8" hidden="false" customHeight="false" outlineLevel="0" collapsed="false">
      <c r="B10188" s="0" t="s">
        <v>7</v>
      </c>
    </row>
    <row r="10189" customFormat="false" ht="12.8" hidden="false" customHeight="false" outlineLevel="0" collapsed="false">
      <c r="B10189" s="0" t="s">
        <v>14</v>
      </c>
    </row>
    <row r="10191" customFormat="false" ht="12.8" hidden="false" customHeight="false" outlineLevel="0" collapsed="false">
      <c r="A10191" s="0" t="s">
        <v>4144</v>
      </c>
      <c r="B10191" s="0" t="str">
        <f aca="false">HYPERLINK("https://lindat.mff.cuni.cz/services/teitok/pdtc10/index.php?action=vallex&amp;frame=v-w1141f1", "hřešit (v-w1141f1)")</f>
        <v>hřešit (v-w1141f1)</v>
      </c>
    </row>
    <row r="10192" customFormat="false" ht="12.8" hidden="false" customHeight="false" outlineLevel="0" collapsed="false">
      <c r="B10192" s="0" t="s">
        <v>7</v>
      </c>
    </row>
    <row r="10193" customFormat="false" ht="12.8" hidden="false" customHeight="false" outlineLevel="0" collapsed="false">
      <c r="B10193" s="0" t="s">
        <v>41</v>
      </c>
    </row>
    <row r="10195" customFormat="false" ht="12.8" hidden="false" customHeight="false" outlineLevel="0" collapsed="false">
      <c r="A10195" s="0" t="s">
        <v>4145</v>
      </c>
      <c r="B10195" s="0" t="str">
        <f aca="false">HYPERLINK("https://lindat.mff.cuni.cz/services/teitok/pdtc10/index.php?action=vallex&amp;frame=v-w1141f2", "hřešit (v-w1141f2)")</f>
        <v>hřešit (v-w1141f2)</v>
      </c>
    </row>
    <row r="10196" customFormat="false" ht="12.8" hidden="false" customHeight="false" outlineLevel="0" collapsed="false">
      <c r="B10196" s="0" t="s">
        <v>7</v>
      </c>
    </row>
    <row r="10198" customFormat="false" ht="12.8" hidden="false" customHeight="false" outlineLevel="0" collapsed="false">
      <c r="A10198" s="0" t="s">
        <v>4146</v>
      </c>
      <c r="B10198" s="0" t="str">
        <f aca="false">HYPERLINK("https://lindat.mff.cuni.cz/services/teitok/pdtc10/index.php?action=vallex&amp;frame=v-w1143f2", "hřmět (v-w1143f2)")</f>
        <v>hřmět (v-w1143f2)</v>
      </c>
    </row>
    <row r="10199" customFormat="false" ht="12.8" hidden="false" customHeight="false" outlineLevel="0" collapsed="false">
      <c r="B10199" s="0" t="s">
        <v>7</v>
      </c>
      <c r="C10199" s="0" t="s">
        <v>247</v>
      </c>
      <c r="D10199" s="0" t="s">
        <v>4147</v>
      </c>
      <c r="E10199" s="0" t="s">
        <v>4147</v>
      </c>
      <c r="F10199" s="0" t="s">
        <v>4147</v>
      </c>
    </row>
    <row r="10201" customFormat="false" ht="12.8" hidden="false" customHeight="false" outlineLevel="0" collapsed="false">
      <c r="A10201" s="0" t="s">
        <v>4148</v>
      </c>
      <c r="B10201" s="0" t="str">
        <f aca="false">HYPERLINK("https://lindat.mff.cuni.cz/services/teitok/pdtc10/index.php?action=vallex&amp;frame=v-w1143f3", "hřmět (v-w1143f3)")</f>
        <v>hřmět (v-w1143f3)</v>
      </c>
    </row>
    <row r="10202" customFormat="false" ht="12.8" hidden="false" customHeight="false" outlineLevel="0" collapsed="false">
      <c r="B10202" s="0" t="s">
        <v>7</v>
      </c>
      <c r="D10202" s="0" t="s">
        <v>348</v>
      </c>
      <c r="E10202" s="0" t="s">
        <v>348</v>
      </c>
      <c r="F10202" s="0" t="s">
        <v>348</v>
      </c>
    </row>
    <row r="10204" customFormat="false" ht="12.8" hidden="false" customHeight="false" outlineLevel="0" collapsed="false">
      <c r="A10204" s="0" t="s">
        <v>4149</v>
      </c>
      <c r="B10204" s="0" t="str">
        <f aca="false">HYPERLINK("https://lindat.mff.cuni.cz/services/teitok/pdtc10/index.php?action=vallex&amp;frame=v-w1143f1", "hřmět (v-w1143f1)")</f>
        <v>hřmět (v-w1143f1)</v>
      </c>
    </row>
    <row r="10206" customFormat="false" ht="12.8" hidden="false" customHeight="false" outlineLevel="0" collapsed="false">
      <c r="A10206" s="0" t="s">
        <v>4150</v>
      </c>
      <c r="B10206" s="0" t="str">
        <f aca="false">HYPERLINK("https://lindat.mff.cuni.cz/services/teitok/pdtc10/index.php?action=vallex&amp;frame=v-w1140f1", "hřát (v-w1140f1)")</f>
        <v>hřát (v-w1140f1)</v>
      </c>
    </row>
    <row r="10207" customFormat="false" ht="12.8" hidden="false" customHeight="false" outlineLevel="0" collapsed="false">
      <c r="B10207" s="0" t="s">
        <v>7</v>
      </c>
    </row>
    <row r="10208" customFormat="false" ht="12.8" hidden="false" customHeight="false" outlineLevel="0" collapsed="false">
      <c r="B10208" s="0" t="s">
        <v>14</v>
      </c>
      <c r="F10208" s="0" t="s">
        <v>155</v>
      </c>
    </row>
    <row r="10210" customFormat="false" ht="12.8" hidden="false" customHeight="false" outlineLevel="0" collapsed="false">
      <c r="A10210" s="0" t="s">
        <v>4151</v>
      </c>
      <c r="B10210" s="0" t="str">
        <f aca="false">HYPERLINK("https://lindat.mff.cuni.cz/services/teitok/pdtc10/index.php?action=vallex&amp;frame=v-w1142f1", "hřímat (v-w1142f1)")</f>
        <v>hřímat (v-w1142f1)</v>
      </c>
    </row>
    <row r="10211" customFormat="false" ht="12.8" hidden="false" customHeight="false" outlineLevel="0" collapsed="false">
      <c r="B10211" s="0" t="s">
        <v>7</v>
      </c>
      <c r="D10211" s="0" t="s">
        <v>3051</v>
      </c>
      <c r="E10211" s="0" t="s">
        <v>3051</v>
      </c>
      <c r="F10211" s="0" t="s">
        <v>3051</v>
      </c>
    </row>
    <row r="10212" customFormat="false" ht="12.8" hidden="false" customHeight="false" outlineLevel="0" collapsed="false">
      <c r="B10212" s="0" t="s">
        <v>4152</v>
      </c>
      <c r="D10212" s="0" t="s">
        <v>4153</v>
      </c>
      <c r="E10212" s="0" t="s">
        <v>4153</v>
      </c>
      <c r="F10212" s="0" t="s">
        <v>4153</v>
      </c>
    </row>
    <row r="10213" customFormat="false" ht="12.8" hidden="false" customHeight="false" outlineLevel="0" collapsed="false">
      <c r="B10213" s="0" t="s">
        <v>363</v>
      </c>
    </row>
    <row r="10214" customFormat="false" ht="12.8" hidden="false" customHeight="false" outlineLevel="0" collapsed="false">
      <c r="B10214" s="0" t="s">
        <v>106</v>
      </c>
      <c r="D10214" s="0" t="s">
        <v>4154</v>
      </c>
      <c r="E10214" s="0" t="s">
        <v>4154</v>
      </c>
      <c r="F10214" s="0" t="s">
        <v>4154</v>
      </c>
    </row>
    <row r="10216" customFormat="false" ht="12.8" hidden="false" customHeight="false" outlineLevel="0" collapsed="false">
      <c r="A10216" s="0" t="s">
        <v>4155</v>
      </c>
      <c r="B10216" s="0" t="str">
        <f aca="false">HYPERLINK("https://lindat.mff.cuni.cz/services/teitok/pdtc10/index.php?action=vallex&amp;frame=v-w1216f1", "idealizovat si (v-w1216f1)")</f>
        <v>idealizovat si (v-w1216f1)</v>
      </c>
    </row>
    <row r="10217" customFormat="false" ht="12.8" hidden="false" customHeight="false" outlineLevel="0" collapsed="false">
      <c r="B10217" s="0" t="s">
        <v>7</v>
      </c>
    </row>
    <row r="10218" customFormat="false" ht="12.8" hidden="false" customHeight="false" outlineLevel="0" collapsed="false">
      <c r="B10218" s="0" t="s">
        <v>14</v>
      </c>
    </row>
    <row r="10220" customFormat="false" ht="12.8" hidden="false" customHeight="false" outlineLevel="0" collapsed="false">
      <c r="A10220" s="0" t="s">
        <v>4156</v>
      </c>
      <c r="B10220" s="0" t="str">
        <f aca="false">HYPERLINK("https://lindat.mff.cuni.cz/services/teitok/pdtc10/index.php?action=vallex&amp;frame=v-w1218f2", "identifikovat (v-w1218f2)")</f>
        <v>identifikovat (v-w1218f2)</v>
      </c>
    </row>
    <row r="10221" customFormat="false" ht="12.8" hidden="false" customHeight="false" outlineLevel="0" collapsed="false">
      <c r="B10221" s="0" t="s">
        <v>7</v>
      </c>
    </row>
    <row r="10222" customFormat="false" ht="12.8" hidden="false" customHeight="false" outlineLevel="0" collapsed="false">
      <c r="B10222" s="0" t="s">
        <v>14</v>
      </c>
    </row>
    <row r="10223" customFormat="false" ht="12.8" hidden="false" customHeight="false" outlineLevel="0" collapsed="false">
      <c r="B10223" s="0" t="s">
        <v>207</v>
      </c>
    </row>
    <row r="10225" customFormat="false" ht="12.8" hidden="false" customHeight="false" outlineLevel="0" collapsed="false">
      <c r="A10225" s="0" t="s">
        <v>4157</v>
      </c>
      <c r="B10225" s="0" t="str">
        <f aca="false">HYPERLINK("https://lindat.mff.cuni.cz/services/teitok/pdtc10/index.php?action=vallex&amp;frame=v-w1218f1", "identifikovat (v-w1218f1)")</f>
        <v>identifikovat (v-w1218f1)</v>
      </c>
    </row>
    <row r="10226" customFormat="false" ht="12.8" hidden="false" customHeight="false" outlineLevel="0" collapsed="false">
      <c r="B10226" s="0" t="s">
        <v>7</v>
      </c>
      <c r="C10226" s="0" t="s">
        <v>465</v>
      </c>
      <c r="D10226" s="0" t="s">
        <v>3243</v>
      </c>
      <c r="E10226" s="0" t="s">
        <v>3243</v>
      </c>
      <c r="F10226" s="0" t="s">
        <v>3243</v>
      </c>
    </row>
    <row r="10227" customFormat="false" ht="12.8" hidden="false" customHeight="false" outlineLevel="0" collapsed="false">
      <c r="B10227" s="0" t="s">
        <v>14</v>
      </c>
      <c r="C10227" s="0" t="s">
        <v>452</v>
      </c>
      <c r="D10227" s="0" t="s">
        <v>4158</v>
      </c>
      <c r="E10227" s="0" t="s">
        <v>4158</v>
      </c>
      <c r="F10227" s="0" t="s">
        <v>4158</v>
      </c>
    </row>
    <row r="10229" customFormat="false" ht="12.8" hidden="false" customHeight="false" outlineLevel="0" collapsed="false">
      <c r="A10229" s="0" t="s">
        <v>4159</v>
      </c>
      <c r="B10229" s="0" t="str">
        <f aca="false">HYPERLINK("https://lindat.mff.cuni.cz/services/teitok/pdtc10/index.php?action=vallex&amp;frame=v-w1222f1", "ideologizovat (v-w1222f1)")</f>
        <v>ideologizovat (v-w1222f1)</v>
      </c>
    </row>
    <row r="10230" customFormat="false" ht="12.8" hidden="false" customHeight="false" outlineLevel="0" collapsed="false">
      <c r="B10230" s="0" t="s">
        <v>7</v>
      </c>
      <c r="C10230" s="0" t="s">
        <v>247</v>
      </c>
      <c r="D10230" s="0" t="s">
        <v>1263</v>
      </c>
      <c r="E10230" s="0" t="s">
        <v>1263</v>
      </c>
      <c r="F10230" s="0" t="s">
        <v>1263</v>
      </c>
    </row>
    <row r="10231" customFormat="false" ht="12.8" hidden="false" customHeight="false" outlineLevel="0" collapsed="false">
      <c r="B10231" s="0" t="s">
        <v>14</v>
      </c>
      <c r="D10231" s="0" t="s">
        <v>2666</v>
      </c>
      <c r="E10231" s="0" t="s">
        <v>2666</v>
      </c>
      <c r="F10231" s="0" t="s">
        <v>2666</v>
      </c>
    </row>
    <row r="10233" customFormat="false" ht="12.8" hidden="false" customHeight="false" outlineLevel="0" collapsed="false">
      <c r="A10233" s="0" t="s">
        <v>4160</v>
      </c>
      <c r="B10233" s="0" t="str">
        <f aca="false">HYPERLINK("https://lindat.mff.cuni.cz/services/teitok/pdtc10/index.php?action=vallex&amp;frame=v-w1225f1", "ignorovat (v-w1225f1)")</f>
        <v>ignorovat (v-w1225f1)</v>
      </c>
    </row>
    <row r="10234" customFormat="false" ht="12.8" hidden="false" customHeight="false" outlineLevel="0" collapsed="false">
      <c r="B10234" s="0" t="s">
        <v>7</v>
      </c>
      <c r="C10234" s="0" t="s">
        <v>4161</v>
      </c>
      <c r="D10234" s="0" t="s">
        <v>410</v>
      </c>
      <c r="E10234" s="0" t="s">
        <v>410</v>
      </c>
      <c r="F10234" s="0" t="s">
        <v>410</v>
      </c>
    </row>
    <row r="10235" customFormat="false" ht="12.8" hidden="false" customHeight="false" outlineLevel="0" collapsed="false">
      <c r="B10235" s="0" t="s">
        <v>172</v>
      </c>
      <c r="C10235" s="0" t="s">
        <v>4162</v>
      </c>
      <c r="D10235" s="0" t="s">
        <v>4163</v>
      </c>
      <c r="E10235" s="0" t="s">
        <v>4163</v>
      </c>
      <c r="F10235" s="0" t="s">
        <v>4163</v>
      </c>
    </row>
    <row r="10237" customFormat="false" ht="12.8" hidden="false" customHeight="false" outlineLevel="0" collapsed="false">
      <c r="A10237" s="0" t="s">
        <v>4164</v>
      </c>
      <c r="B10237" s="0" t="str">
        <f aca="false">HYPERLINK("https://lindat.mff.cuni.cz/services/teitok/pdtc10/index.php?action=vallex&amp;frame=v-w1228f1", "ilustrovat (v-w1228f1)")</f>
        <v>ilustrovat (v-w1228f1)</v>
      </c>
    </row>
    <row r="10238" customFormat="false" ht="12.8" hidden="false" customHeight="false" outlineLevel="0" collapsed="false">
      <c r="B10238" s="0" t="s">
        <v>7</v>
      </c>
      <c r="C10238" s="0" t="s">
        <v>1287</v>
      </c>
      <c r="D10238" s="0" t="s">
        <v>1553</v>
      </c>
      <c r="E10238" s="0" t="s">
        <v>1553</v>
      </c>
      <c r="F10238" s="0" t="s">
        <v>1553</v>
      </c>
    </row>
    <row r="10239" customFormat="false" ht="12.8" hidden="false" customHeight="false" outlineLevel="0" collapsed="false">
      <c r="B10239" s="0" t="s">
        <v>172</v>
      </c>
      <c r="C10239" s="0" t="s">
        <v>493</v>
      </c>
      <c r="D10239" s="0" t="s">
        <v>1555</v>
      </c>
      <c r="E10239" s="0" t="s">
        <v>1555</v>
      </c>
      <c r="F10239" s="0" t="s">
        <v>1555</v>
      </c>
    </row>
    <row r="10241" customFormat="false" ht="12.8" hidden="false" customHeight="false" outlineLevel="0" collapsed="false">
      <c r="A10241" s="0" t="s">
        <v>4165</v>
      </c>
      <c r="B10241" s="0" t="str">
        <f aca="false">HYPERLINK("https://lindat.mff.cuni.cz/services/teitok/pdtc10/index.php?action=vallex&amp;frame=v-w1228f2", "ilustrovat (v-w1228f2)")</f>
        <v>ilustrovat (v-w1228f2)</v>
      </c>
    </row>
    <row r="10242" customFormat="false" ht="12.8" hidden="false" customHeight="false" outlineLevel="0" collapsed="false">
      <c r="B10242" s="0" t="s">
        <v>7</v>
      </c>
      <c r="C10242" s="0" t="s">
        <v>191</v>
      </c>
      <c r="D10242" s="0" t="s">
        <v>191</v>
      </c>
      <c r="E10242" s="0" t="s">
        <v>191</v>
      </c>
      <c r="F10242" s="0" t="s">
        <v>191</v>
      </c>
    </row>
    <row r="10243" customFormat="false" ht="12.8" hidden="false" customHeight="false" outlineLevel="0" collapsed="false">
      <c r="B10243" s="0" t="s">
        <v>14</v>
      </c>
      <c r="C10243" s="0" t="s">
        <v>47</v>
      </c>
      <c r="D10243" s="0" t="s">
        <v>47</v>
      </c>
      <c r="E10243" s="0" t="s">
        <v>47</v>
      </c>
      <c r="F10243" s="0" t="s">
        <v>47</v>
      </c>
    </row>
    <row r="10245" customFormat="false" ht="12.8" hidden="false" customHeight="false" outlineLevel="0" collapsed="false">
      <c r="A10245" s="0" t="s">
        <v>4166</v>
      </c>
      <c r="B10245" s="0" t="str">
        <f aca="false">HYPERLINK("https://lindat.mff.cuni.cz/services/teitok/pdtc10/index.php?action=vallex&amp;frame=v-w1232f1", "imitovat (v-w1232f1)")</f>
        <v>imitovat (v-w1232f1)</v>
      </c>
    </row>
    <row r="10246" customFormat="false" ht="12.8" hidden="false" customHeight="false" outlineLevel="0" collapsed="false">
      <c r="B10246" s="0" t="s">
        <v>7</v>
      </c>
    </row>
    <row r="10247" customFormat="false" ht="12.8" hidden="false" customHeight="false" outlineLevel="0" collapsed="false">
      <c r="B10247" s="0" t="s">
        <v>93</v>
      </c>
    </row>
    <row r="10249" customFormat="false" ht="12.8" hidden="false" customHeight="false" outlineLevel="0" collapsed="false">
      <c r="A10249" s="0" t="s">
        <v>4167</v>
      </c>
      <c r="B10249" s="0" t="str">
        <f aca="false">HYPERLINK("https://lindat.mff.cuni.cz/services/teitok/pdtc10/index.php?action=vallex&amp;frame=v-w11191f2", "implantovat (v-w11191f2)")</f>
        <v>implantovat (v-w11191f2)</v>
      </c>
    </row>
    <row r="10250" customFormat="false" ht="12.8" hidden="false" customHeight="false" outlineLevel="0" collapsed="false">
      <c r="B10250" s="0" t="s">
        <v>7</v>
      </c>
      <c r="C10250" s="0" t="s">
        <v>191</v>
      </c>
      <c r="D10250" s="0" t="s">
        <v>191</v>
      </c>
      <c r="E10250" s="0" t="s">
        <v>191</v>
      </c>
      <c r="F10250" s="0" t="s">
        <v>191</v>
      </c>
    </row>
    <row r="10251" customFormat="false" ht="12.8" hidden="false" customHeight="false" outlineLevel="0" collapsed="false">
      <c r="B10251" s="0" t="s">
        <v>14</v>
      </c>
      <c r="C10251" s="0" t="s">
        <v>567</v>
      </c>
      <c r="D10251" s="0" t="s">
        <v>567</v>
      </c>
      <c r="E10251" s="0" t="s">
        <v>567</v>
      </c>
      <c r="F10251" s="0" t="s">
        <v>567</v>
      </c>
    </row>
    <row r="10252" customFormat="false" ht="12.8" hidden="false" customHeight="false" outlineLevel="0" collapsed="false">
      <c r="B10252" s="0" t="s">
        <v>124</v>
      </c>
    </row>
    <row r="10254" customFormat="false" ht="12.8" hidden="false" customHeight="false" outlineLevel="0" collapsed="false">
      <c r="A10254" s="0" t="s">
        <v>4168</v>
      </c>
      <c r="B10254" s="0" t="str">
        <f aca="false">HYPERLINK("https://lindat.mff.cuni.cz/services/teitok/pdtc10/index.php?action=vallex&amp;frame=v-w10686f2", "implementovat (v-w10686f2)")</f>
        <v>implementovat (v-w10686f2)</v>
      </c>
    </row>
    <row r="10255" customFormat="false" ht="12.8" hidden="false" customHeight="false" outlineLevel="0" collapsed="false">
      <c r="B10255" s="0" t="s">
        <v>7</v>
      </c>
    </row>
    <row r="10256" customFormat="false" ht="12.8" hidden="false" customHeight="false" outlineLevel="0" collapsed="false">
      <c r="B10256" s="0" t="s">
        <v>14</v>
      </c>
    </row>
    <row r="10258" customFormat="false" ht="12.8" hidden="false" customHeight="false" outlineLevel="0" collapsed="false">
      <c r="A10258" s="0" t="s">
        <v>4169</v>
      </c>
      <c r="B10258" s="0" t="str">
        <f aca="false">HYPERLINK("https://lindat.mff.cuni.cz/services/teitok/pdtc10/index.php?action=vallex&amp;frame=v-w1233f1", "implikovat (v-w1233f1)")</f>
        <v>implikovat (v-w1233f1)</v>
      </c>
    </row>
    <row r="10259" customFormat="false" ht="12.8" hidden="false" customHeight="false" outlineLevel="0" collapsed="false">
      <c r="B10259" s="0" t="s">
        <v>7</v>
      </c>
    </row>
    <row r="10260" customFormat="false" ht="12.8" hidden="false" customHeight="false" outlineLevel="0" collapsed="false">
      <c r="B10260" s="0" t="s">
        <v>14</v>
      </c>
    </row>
    <row r="10262" customFormat="false" ht="12.8" hidden="false" customHeight="false" outlineLevel="0" collapsed="false">
      <c r="A10262" s="0" t="s">
        <v>4170</v>
      </c>
      <c r="B10262" s="0" t="str">
        <f aca="false">HYPERLINK("https://lindat.mff.cuni.cz/services/teitok/pdtc10/index.php?action=vallex&amp;frame=v-w1234f1", "imponovat (v-w1234f1)")</f>
        <v>imponovat (v-w1234f1)</v>
      </c>
    </row>
    <row r="10263" customFormat="false" ht="12.8" hidden="false" customHeight="false" outlineLevel="0" collapsed="false">
      <c r="B10263" s="0" t="s">
        <v>7</v>
      </c>
      <c r="C10263" s="0" t="s">
        <v>4171</v>
      </c>
    </row>
    <row r="10264" customFormat="false" ht="12.8" hidden="false" customHeight="false" outlineLevel="0" collapsed="false">
      <c r="B10264" s="0" t="s">
        <v>142</v>
      </c>
      <c r="C10264" s="0" t="s">
        <v>1168</v>
      </c>
    </row>
    <row r="10266" customFormat="false" ht="12.8" hidden="false" customHeight="false" outlineLevel="0" collapsed="false">
      <c r="A10266" s="0" t="s">
        <v>4172</v>
      </c>
      <c r="B10266" s="0" t="str">
        <f aca="false">HYPERLINK("https://lindat.mff.cuni.cz/services/teitok/pdtc10/index.php?action=vallex&amp;frame=v-w1237f1", "importovat (v-w1237f1)")</f>
        <v>importovat (v-w1237f1)</v>
      </c>
    </row>
    <row r="10267" customFormat="false" ht="12.8" hidden="false" customHeight="false" outlineLevel="0" collapsed="false">
      <c r="B10267" s="0" t="s">
        <v>7</v>
      </c>
    </row>
    <row r="10268" customFormat="false" ht="12.8" hidden="false" customHeight="false" outlineLevel="0" collapsed="false">
      <c r="B10268" s="0" t="s">
        <v>14</v>
      </c>
    </row>
    <row r="10269" customFormat="false" ht="12.8" hidden="false" customHeight="false" outlineLevel="0" collapsed="false">
      <c r="B10269" s="0" t="s">
        <v>124</v>
      </c>
    </row>
    <row r="10271" customFormat="false" ht="12.8" hidden="false" customHeight="false" outlineLevel="0" collapsed="false">
      <c r="A10271" s="0" t="s">
        <v>4173</v>
      </c>
      <c r="B10271" s="0" t="str">
        <f aca="false">HYPERLINK("https://lindat.mff.cuni.cz/services/teitok/pdtc10/index.php?action=vallex&amp;frame=v-whsa_12hsa_13", "impregnovat (v-whsa_12hsa_13)")</f>
        <v>impregnovat (v-whsa_12hsa_13)</v>
      </c>
    </row>
    <row r="10272" customFormat="false" ht="12.8" hidden="false" customHeight="false" outlineLevel="0" collapsed="false">
      <c r="B10272" s="0" t="s">
        <v>7</v>
      </c>
    </row>
    <row r="10273" customFormat="false" ht="12.8" hidden="false" customHeight="false" outlineLevel="0" collapsed="false">
      <c r="B10273" s="0" t="s">
        <v>14</v>
      </c>
    </row>
    <row r="10275" customFormat="false" ht="12.8" hidden="false" customHeight="false" outlineLevel="0" collapsed="false">
      <c r="A10275" s="0" t="s">
        <v>4174</v>
      </c>
      <c r="B10275" s="0" t="str">
        <f aca="false">HYPERLINK("https://lindat.mff.cuni.cz/services/teitok/pdtc10/index.php?action=vallex&amp;frame=v-w1238f1", "improvizovat (v-w1238f1)")</f>
        <v>improvizovat (v-w1238f1)</v>
      </c>
    </row>
    <row r="10276" customFormat="false" ht="12.8" hidden="false" customHeight="false" outlineLevel="0" collapsed="false">
      <c r="B10276" s="0" t="s">
        <v>7</v>
      </c>
    </row>
    <row r="10277" customFormat="false" ht="12.8" hidden="false" customHeight="false" outlineLevel="0" collapsed="false">
      <c r="B10277" s="0" t="s">
        <v>14</v>
      </c>
    </row>
    <row r="10279" customFormat="false" ht="12.8" hidden="false" customHeight="false" outlineLevel="0" collapsed="false">
      <c r="A10279" s="0" t="s">
        <v>4175</v>
      </c>
      <c r="B10279" s="0" t="str">
        <f aca="false">HYPERLINK("https://lindat.mff.cuni.cz/services/teitok/pdtc10/index.php?action=vallex&amp;frame=v-w1240f1", "imunizovat (v-w1240f1)")</f>
        <v>imunizovat (v-w1240f1)</v>
      </c>
    </row>
    <row r="10280" customFormat="false" ht="12.8" hidden="false" customHeight="false" outlineLevel="0" collapsed="false">
      <c r="B10280" s="0" t="s">
        <v>7</v>
      </c>
    </row>
    <row r="10281" customFormat="false" ht="12.8" hidden="false" customHeight="false" outlineLevel="0" collapsed="false">
      <c r="B10281" s="0" t="s">
        <v>14</v>
      </c>
    </row>
    <row r="10282" customFormat="false" ht="12.8" hidden="false" customHeight="false" outlineLevel="0" collapsed="false">
      <c r="B10282" s="0" t="s">
        <v>416</v>
      </c>
    </row>
    <row r="10284" customFormat="false" ht="12.8" hidden="false" customHeight="false" outlineLevel="0" collapsed="false">
      <c r="A10284" s="0" t="s">
        <v>4176</v>
      </c>
      <c r="B10284" s="0" t="str">
        <f aca="false">HYPERLINK("https://lindat.mff.cuni.cz/services/teitok/pdtc10/index.php?action=vallex&amp;frame=v-w1242f1", "inaugurovat (v-w1242f1)")</f>
        <v>inaugurovat (v-w1242f1)</v>
      </c>
    </row>
    <row r="10285" customFormat="false" ht="12.8" hidden="false" customHeight="false" outlineLevel="0" collapsed="false">
      <c r="B10285" s="0" t="s">
        <v>7</v>
      </c>
    </row>
    <row r="10286" customFormat="false" ht="12.8" hidden="false" customHeight="false" outlineLevel="0" collapsed="false">
      <c r="B10286" s="0" t="s">
        <v>14</v>
      </c>
    </row>
    <row r="10288" customFormat="false" ht="12.8" hidden="false" customHeight="false" outlineLevel="0" collapsed="false">
      <c r="A10288" s="0" t="s">
        <v>4177</v>
      </c>
      <c r="B10288" s="0" t="str">
        <f aca="false">HYPERLINK("https://lindat.mff.cuni.cz/services/teitok/pdtc10/index.php?action=vallex&amp;frame=v-w11031f3", "indikovat (v-w11031f3)")</f>
        <v>indikovat (v-w11031f3)</v>
      </c>
    </row>
    <row r="10289" customFormat="false" ht="12.8" hidden="false" customHeight="false" outlineLevel="0" collapsed="false">
      <c r="B10289" s="0" t="s">
        <v>7</v>
      </c>
      <c r="C10289" s="0" t="s">
        <v>4178</v>
      </c>
      <c r="D10289" s="0" t="s">
        <v>4179</v>
      </c>
      <c r="E10289" s="0" t="s">
        <v>4179</v>
      </c>
      <c r="F10289" s="0" t="s">
        <v>4179</v>
      </c>
    </row>
    <row r="10290" customFormat="false" ht="12.8" hidden="false" customHeight="false" outlineLevel="0" collapsed="false">
      <c r="B10290" s="0" t="s">
        <v>54</v>
      </c>
      <c r="C10290" s="0" t="s">
        <v>4180</v>
      </c>
      <c r="D10290" s="0" t="s">
        <v>4181</v>
      </c>
      <c r="E10290" s="0" t="s">
        <v>4181</v>
      </c>
      <c r="F10290" s="0" t="s">
        <v>4181</v>
      </c>
    </row>
    <row r="10292" customFormat="false" ht="12.8" hidden="false" customHeight="false" outlineLevel="0" collapsed="false">
      <c r="A10292" s="0" t="s">
        <v>4182</v>
      </c>
      <c r="B10292" s="0" t="str">
        <f aca="false">HYPERLINK("https://lindat.mff.cuni.cz/services/teitok/pdtc10/index.php?action=vallex&amp;frame=v-w11053f2", "infikovat (v-w11053f2)")</f>
        <v>infikovat (v-w11053f2)</v>
      </c>
    </row>
    <row r="10293" customFormat="false" ht="12.8" hidden="false" customHeight="false" outlineLevel="0" collapsed="false">
      <c r="B10293" s="0" t="s">
        <v>7</v>
      </c>
      <c r="C10293" s="0" t="s">
        <v>4183</v>
      </c>
      <c r="D10293" s="0" t="s">
        <v>1702</v>
      </c>
      <c r="E10293" s="0" t="s">
        <v>1702</v>
      </c>
      <c r="F10293" s="0" t="s">
        <v>1702</v>
      </c>
    </row>
    <row r="10294" customFormat="false" ht="12.8" hidden="false" customHeight="false" outlineLevel="0" collapsed="false">
      <c r="B10294" s="0" t="s">
        <v>14</v>
      </c>
      <c r="C10294" s="0" t="s">
        <v>179</v>
      </c>
      <c r="D10294" s="0" t="s">
        <v>3615</v>
      </c>
      <c r="E10294" s="0" t="s">
        <v>3615</v>
      </c>
      <c r="F10294" s="0" t="s">
        <v>3615</v>
      </c>
    </row>
    <row r="10296" customFormat="false" ht="12.8" hidden="false" customHeight="false" outlineLevel="0" collapsed="false">
      <c r="A10296" s="0" t="s">
        <v>4184</v>
      </c>
      <c r="B10296" s="0" t="str">
        <f aca="false">HYPERLINK("https://lindat.mff.cuni.cz/services/teitok/pdtc10/index.php?action=vallex&amp;frame=v-w1249f1", "infiltrovat (v-w1249f1)")</f>
        <v>infiltrovat (v-w1249f1)</v>
      </c>
    </row>
    <row r="10297" customFormat="false" ht="12.8" hidden="false" customHeight="false" outlineLevel="0" collapsed="false">
      <c r="B10297" s="0" t="s">
        <v>7</v>
      </c>
      <c r="C10297" s="0" t="s">
        <v>46</v>
      </c>
    </row>
    <row r="10298" customFormat="false" ht="12.8" hidden="false" customHeight="false" outlineLevel="0" collapsed="false">
      <c r="B10298" s="0" t="s">
        <v>14</v>
      </c>
      <c r="C10298" s="0" t="s">
        <v>567</v>
      </c>
    </row>
    <row r="10300" customFormat="false" ht="12.8" hidden="false" customHeight="false" outlineLevel="0" collapsed="false">
      <c r="A10300" s="0" t="s">
        <v>4185</v>
      </c>
      <c r="B10300" s="0" t="str">
        <f aca="false">HYPERLINK("https://lindat.mff.cuni.cz/services/teitok/pdtc10/index.php?action=vallex&amp;frame=v-w1254f1", "informovat (v-w1254f1)")</f>
        <v>informovat (v-w1254f1)</v>
      </c>
    </row>
    <row r="10301" customFormat="false" ht="12.8" hidden="false" customHeight="false" outlineLevel="0" collapsed="false">
      <c r="B10301" s="0" t="s">
        <v>7</v>
      </c>
      <c r="C10301" s="0" t="s">
        <v>4186</v>
      </c>
      <c r="D10301" s="0" t="s">
        <v>164</v>
      </c>
      <c r="E10301" s="0" t="s">
        <v>164</v>
      </c>
      <c r="F10301" s="0" t="s">
        <v>164</v>
      </c>
    </row>
    <row r="10302" customFormat="false" ht="12.8" hidden="false" customHeight="false" outlineLevel="0" collapsed="false">
      <c r="B10302" s="0" t="s">
        <v>4187</v>
      </c>
      <c r="C10302" s="0" t="s">
        <v>4188</v>
      </c>
      <c r="D10302" s="0" t="s">
        <v>167</v>
      </c>
      <c r="E10302" s="0" t="s">
        <v>167</v>
      </c>
      <c r="F10302" s="0" t="s">
        <v>167</v>
      </c>
    </row>
    <row r="10303" customFormat="false" ht="12.8" hidden="false" customHeight="false" outlineLevel="0" collapsed="false">
      <c r="B10303" s="0" t="s">
        <v>81</v>
      </c>
      <c r="C10303" s="0" t="s">
        <v>4189</v>
      </c>
      <c r="D10303" s="0" t="s">
        <v>168</v>
      </c>
      <c r="E10303" s="0" t="s">
        <v>168</v>
      </c>
      <c r="F10303" s="0" t="s">
        <v>168</v>
      </c>
    </row>
    <row r="10305" customFormat="false" ht="12.8" hidden="false" customHeight="false" outlineLevel="0" collapsed="false">
      <c r="A10305" s="0" t="s">
        <v>4190</v>
      </c>
      <c r="B10305" s="0" t="str">
        <f aca="false">HYPERLINK("https://lindat.mff.cuni.cz/services/teitok/pdtc10/index.php?action=vallex&amp;frame=v-w1255f1", "informovat se (v-w1255f1)")</f>
        <v>informovat se (v-w1255f1)</v>
      </c>
    </row>
    <row r="10306" customFormat="false" ht="12.8" hidden="false" customHeight="false" outlineLevel="0" collapsed="false">
      <c r="B10306" s="0" t="s">
        <v>7</v>
      </c>
      <c r="D10306" s="0" t="s">
        <v>2534</v>
      </c>
      <c r="E10306" s="0" t="s">
        <v>2534</v>
      </c>
      <c r="F10306" s="0" t="s">
        <v>2534</v>
      </c>
    </row>
    <row r="10307" customFormat="false" ht="12.8" hidden="false" customHeight="false" outlineLevel="0" collapsed="false">
      <c r="B10307" s="0" t="s">
        <v>4191</v>
      </c>
      <c r="D10307" s="0" t="s">
        <v>2537</v>
      </c>
      <c r="E10307" s="0" t="s">
        <v>2537</v>
      </c>
      <c r="F10307" s="0" t="s">
        <v>2537</v>
      </c>
    </row>
    <row r="10309" customFormat="false" ht="12.8" hidden="false" customHeight="false" outlineLevel="0" collapsed="false">
      <c r="A10309" s="0" t="s">
        <v>4192</v>
      </c>
      <c r="B10309" s="0" t="str">
        <f aca="false">HYPERLINK("https://lindat.mff.cuni.cz/services/teitok/pdtc10/index.php?action=vallex&amp;frame=v-w1260f1", "iniciovat (v-w1260f1)")</f>
        <v>iniciovat (v-w1260f1)</v>
      </c>
    </row>
    <row r="10310" customFormat="false" ht="12.8" hidden="false" customHeight="false" outlineLevel="0" collapsed="false">
      <c r="B10310" s="0" t="s">
        <v>7</v>
      </c>
      <c r="C10310" s="0" t="s">
        <v>4193</v>
      </c>
      <c r="D10310" s="0" t="s">
        <v>69</v>
      </c>
      <c r="E10310" s="0" t="s">
        <v>69</v>
      </c>
      <c r="F10310" s="0" t="s">
        <v>69</v>
      </c>
    </row>
    <row r="10311" customFormat="false" ht="12.8" hidden="false" customHeight="false" outlineLevel="0" collapsed="false">
      <c r="B10311" s="0" t="s">
        <v>14</v>
      </c>
      <c r="C10311" s="0" t="s">
        <v>4194</v>
      </c>
      <c r="D10311" s="0" t="s">
        <v>71</v>
      </c>
      <c r="E10311" s="0" t="s">
        <v>71</v>
      </c>
      <c r="F10311" s="0" t="s">
        <v>71</v>
      </c>
    </row>
    <row r="10313" customFormat="false" ht="12.8" hidden="false" customHeight="false" outlineLevel="0" collapsed="false">
      <c r="A10313" s="0" t="s">
        <v>4195</v>
      </c>
      <c r="B10313" s="0" t="str">
        <f aca="false">HYPERLINK("https://lindat.mff.cuni.cz/services/teitok/pdtc10/index.php?action=vallex&amp;frame=v-w1261f1", "inkasovat (v-w1261f1)")</f>
        <v>inkasovat (v-w1261f1)</v>
      </c>
    </row>
    <row r="10314" customFormat="false" ht="12.8" hidden="false" customHeight="false" outlineLevel="0" collapsed="false">
      <c r="B10314" s="0" t="s">
        <v>7</v>
      </c>
      <c r="C10314" s="0" t="s">
        <v>149</v>
      </c>
      <c r="D10314" s="0" t="s">
        <v>1725</v>
      </c>
      <c r="E10314" s="0" t="s">
        <v>1725</v>
      </c>
      <c r="F10314" s="0" t="s">
        <v>1725</v>
      </c>
    </row>
    <row r="10315" customFormat="false" ht="12.8" hidden="false" customHeight="false" outlineLevel="0" collapsed="false">
      <c r="B10315" s="0" t="s">
        <v>14</v>
      </c>
      <c r="C10315" s="0" t="s">
        <v>2788</v>
      </c>
      <c r="D10315" s="0" t="s">
        <v>1728</v>
      </c>
      <c r="E10315" s="0" t="s">
        <v>1728</v>
      </c>
      <c r="F10315" s="0" t="s">
        <v>1728</v>
      </c>
    </row>
    <row r="10316" customFormat="false" ht="12.8" hidden="false" customHeight="false" outlineLevel="0" collapsed="false">
      <c r="B10316" s="0" t="s">
        <v>441</v>
      </c>
      <c r="D10316" s="0" t="s">
        <v>1730</v>
      </c>
      <c r="E10316" s="0" t="s">
        <v>1730</v>
      </c>
      <c r="F10316" s="0" t="s">
        <v>1730</v>
      </c>
    </row>
    <row r="10318" customFormat="false" ht="12.8" hidden="false" customHeight="false" outlineLevel="0" collapsed="false">
      <c r="A10318" s="0" t="s">
        <v>4196</v>
      </c>
      <c r="B10318" s="0" t="str">
        <f aca="false">HYPERLINK("https://lindat.mff.cuni.cz/services/teitok/pdtc10/index.php?action=vallex&amp;frame=v-w1262f1", "inklinovat (v-w1262f1)")</f>
        <v>inklinovat (v-w1262f1)</v>
      </c>
    </row>
    <row r="10319" customFormat="false" ht="12.8" hidden="false" customHeight="false" outlineLevel="0" collapsed="false">
      <c r="B10319" s="0" t="s">
        <v>7</v>
      </c>
      <c r="C10319" s="0" t="s">
        <v>4197</v>
      </c>
      <c r="D10319" s="0" t="s">
        <v>4198</v>
      </c>
      <c r="E10319" s="0" t="s">
        <v>4198</v>
      </c>
      <c r="F10319" s="0" t="s">
        <v>4198</v>
      </c>
    </row>
    <row r="10320" customFormat="false" ht="12.8" hidden="false" customHeight="false" outlineLevel="0" collapsed="false">
      <c r="B10320" s="0" t="s">
        <v>237</v>
      </c>
      <c r="C10320" s="0" t="s">
        <v>4199</v>
      </c>
      <c r="D10320" s="0" t="s">
        <v>4200</v>
      </c>
      <c r="E10320" s="0" t="s">
        <v>4200</v>
      </c>
      <c r="F10320" s="0" t="s">
        <v>4200</v>
      </c>
    </row>
    <row r="10322" customFormat="false" ht="12.8" hidden="false" customHeight="false" outlineLevel="0" collapsed="false">
      <c r="A10322" s="0" t="s">
        <v>4201</v>
      </c>
      <c r="B10322" s="0" t="str">
        <f aca="false">HYPERLINK("https://lindat.mff.cuni.cz/services/teitok/pdtc10/index.php?action=vallex&amp;frame=v-w1264f1", "inovovat (v-w1264f1)")</f>
        <v>inovovat (v-w1264f1)</v>
      </c>
    </row>
    <row r="10323" customFormat="false" ht="12.8" hidden="false" customHeight="false" outlineLevel="0" collapsed="false">
      <c r="B10323" s="0" t="s">
        <v>7</v>
      </c>
      <c r="C10323" s="0" t="s">
        <v>46</v>
      </c>
      <c r="D10323" s="0" t="s">
        <v>73</v>
      </c>
      <c r="E10323" s="0" t="s">
        <v>73</v>
      </c>
      <c r="F10323" s="0" t="s">
        <v>73</v>
      </c>
    </row>
    <row r="10324" customFormat="false" ht="12.8" hidden="false" customHeight="false" outlineLevel="0" collapsed="false">
      <c r="B10324" s="0" t="s">
        <v>14</v>
      </c>
      <c r="C10324" s="0" t="s">
        <v>115</v>
      </c>
      <c r="D10324" s="0" t="s">
        <v>75</v>
      </c>
      <c r="E10324" s="0" t="s">
        <v>75</v>
      </c>
      <c r="F10324" s="0" t="s">
        <v>75</v>
      </c>
    </row>
    <row r="10326" customFormat="false" ht="12.8" hidden="false" customHeight="false" outlineLevel="0" collapsed="false">
      <c r="A10326" s="0" t="s">
        <v>4202</v>
      </c>
      <c r="B10326" s="0" t="str">
        <f aca="false">HYPERLINK("https://lindat.mff.cuni.cz/services/teitok/pdtc10/index.php?action=vallex&amp;frame=v-w1267f2", "inscenovat (v-w1267f2)")</f>
        <v>inscenovat (v-w1267f2)</v>
      </c>
    </row>
    <row r="10327" customFormat="false" ht="12.8" hidden="false" customHeight="false" outlineLevel="0" collapsed="false">
      <c r="B10327" s="0" t="s">
        <v>7</v>
      </c>
    </row>
    <row r="10328" customFormat="false" ht="12.8" hidden="false" customHeight="false" outlineLevel="0" collapsed="false">
      <c r="B10328" s="0" t="s">
        <v>14</v>
      </c>
    </row>
    <row r="10329" customFormat="false" ht="12.8" hidden="false" customHeight="false" outlineLevel="0" collapsed="false">
      <c r="B10329" s="0" t="s">
        <v>35</v>
      </c>
    </row>
    <row r="10331" customFormat="false" ht="12.8" hidden="false" customHeight="false" outlineLevel="0" collapsed="false">
      <c r="A10331" s="0" t="s">
        <v>4203</v>
      </c>
      <c r="B10331" s="0" t="str">
        <f aca="false">HYPERLINK("https://lindat.mff.cuni.cz/services/teitok/pdtc10/index.php?action=vallex&amp;frame=v-w1267f1", "inscenovat (v-w1267f1)")</f>
        <v>inscenovat (v-w1267f1)</v>
      </c>
    </row>
    <row r="10332" customFormat="false" ht="12.8" hidden="false" customHeight="false" outlineLevel="0" collapsed="false">
      <c r="B10332" s="0" t="s">
        <v>7</v>
      </c>
      <c r="C10332" s="0" t="s">
        <v>3918</v>
      </c>
      <c r="D10332" s="0" t="s">
        <v>1514</v>
      </c>
      <c r="E10332" s="0" t="s">
        <v>1514</v>
      </c>
      <c r="F10332" s="0" t="s">
        <v>1514</v>
      </c>
    </row>
    <row r="10333" customFormat="false" ht="12.8" hidden="false" customHeight="false" outlineLevel="0" collapsed="false">
      <c r="B10333" s="0" t="s">
        <v>14</v>
      </c>
      <c r="C10333" s="0" t="s">
        <v>151</v>
      </c>
      <c r="D10333" s="0" t="s">
        <v>3565</v>
      </c>
      <c r="E10333" s="0" t="s">
        <v>3565</v>
      </c>
      <c r="F10333" s="0" t="s">
        <v>3565</v>
      </c>
    </row>
    <row r="10335" customFormat="false" ht="12.8" hidden="false" customHeight="false" outlineLevel="0" collapsed="false">
      <c r="A10335" s="0" t="s">
        <v>4204</v>
      </c>
      <c r="B10335" s="0" t="str">
        <f aca="false">HYPERLINK("https://lindat.mff.cuni.cz/services/teitok/pdtc10/index.php?action=vallex&amp;frame=v-w1270f1", "inspirovat (v-w1270f1)")</f>
        <v>inspirovat (v-w1270f1)</v>
      </c>
    </row>
    <row r="10336" customFormat="false" ht="12.8" hidden="false" customHeight="false" outlineLevel="0" collapsed="false">
      <c r="B10336" s="0" t="s">
        <v>7</v>
      </c>
      <c r="C10336" s="0" t="s">
        <v>391</v>
      </c>
      <c r="D10336" s="0" t="s">
        <v>23</v>
      </c>
      <c r="E10336" s="0" t="s">
        <v>23</v>
      </c>
      <c r="F10336" s="0" t="s">
        <v>23</v>
      </c>
    </row>
    <row r="10337" customFormat="false" ht="12.8" hidden="false" customHeight="false" outlineLevel="0" collapsed="false">
      <c r="B10337" s="0" t="s">
        <v>14</v>
      </c>
      <c r="C10337" s="0" t="s">
        <v>466</v>
      </c>
      <c r="D10337" s="0" t="s">
        <v>4205</v>
      </c>
      <c r="E10337" s="0" t="s">
        <v>4205</v>
      </c>
      <c r="F10337" s="0" t="s">
        <v>4205</v>
      </c>
    </row>
    <row r="10339" customFormat="false" ht="12.8" hidden="false" customHeight="false" outlineLevel="0" collapsed="false">
      <c r="A10339" s="0" t="s">
        <v>4206</v>
      </c>
      <c r="B10339" s="0" t="str">
        <f aca="false">HYPERLINK("https://lindat.mff.cuni.cz/services/teitok/pdtc10/index.php?action=vallex&amp;frame=v-w1271f1", "inspirovat se (v-w1271f1)")</f>
        <v>inspirovat se (v-w1271f1)</v>
      </c>
    </row>
    <row r="10340" customFormat="false" ht="12.8" hidden="false" customHeight="false" outlineLevel="0" collapsed="false">
      <c r="B10340" s="0" t="s">
        <v>7</v>
      </c>
      <c r="C10340" s="0" t="s">
        <v>3664</v>
      </c>
    </row>
    <row r="10342" customFormat="false" ht="12.8" hidden="false" customHeight="false" outlineLevel="0" collapsed="false">
      <c r="A10342" s="0" t="s">
        <v>4207</v>
      </c>
      <c r="B10342" s="0" t="str">
        <f aca="false">HYPERLINK("https://lindat.mff.cuni.cz/services/teitok/pdtc10/index.php?action=vallex&amp;frame=v-w1274f1", "instalovat (v-w1274f1)")</f>
        <v>instalovat (v-w1274f1)</v>
      </c>
    </row>
    <row r="10343" customFormat="false" ht="12.8" hidden="false" customHeight="false" outlineLevel="0" collapsed="false">
      <c r="B10343" s="0" t="s">
        <v>7</v>
      </c>
      <c r="C10343" s="0" t="s">
        <v>4208</v>
      </c>
      <c r="D10343" s="0" t="s">
        <v>3028</v>
      </c>
      <c r="E10343" s="0" t="s">
        <v>3028</v>
      </c>
      <c r="F10343" s="0" t="s">
        <v>3028</v>
      </c>
    </row>
    <row r="10344" customFormat="false" ht="12.8" hidden="false" customHeight="false" outlineLevel="0" collapsed="false">
      <c r="B10344" s="0" t="s">
        <v>14</v>
      </c>
      <c r="C10344" s="0" t="s">
        <v>210</v>
      </c>
      <c r="D10344" s="0" t="s">
        <v>356</v>
      </c>
      <c r="E10344" s="0" t="s">
        <v>356</v>
      </c>
      <c r="F10344" s="0" t="s">
        <v>356</v>
      </c>
    </row>
    <row r="10346" customFormat="false" ht="12.8" hidden="false" customHeight="false" outlineLevel="0" collapsed="false">
      <c r="A10346" s="0" t="s">
        <v>4209</v>
      </c>
      <c r="B10346" s="0" t="str">
        <f aca="false">HYPERLINK("https://lindat.mff.cuni.cz/services/teitok/pdtc10/index.php?action=vallex&amp;frame=v-w1276f1", "institucionalizovat (v-w1276f1)")</f>
        <v>institucionalizovat (v-w1276f1)</v>
      </c>
    </row>
    <row r="10347" customFormat="false" ht="12.8" hidden="false" customHeight="false" outlineLevel="0" collapsed="false">
      <c r="B10347" s="0" t="s">
        <v>7</v>
      </c>
    </row>
    <row r="10348" customFormat="false" ht="12.8" hidden="false" customHeight="false" outlineLevel="0" collapsed="false">
      <c r="B10348" s="0" t="s">
        <v>14</v>
      </c>
    </row>
    <row r="10350" customFormat="false" ht="12.8" hidden="false" customHeight="false" outlineLevel="0" collapsed="false">
      <c r="A10350" s="0" t="s">
        <v>4210</v>
      </c>
      <c r="B10350" s="0" t="str">
        <f aca="false">HYPERLINK("https://lindat.mff.cuni.cz/services/teitok/pdtc10/index.php?action=vallex&amp;frame=v-w1279f1", "instruovat (v-w1279f1)")</f>
        <v>instruovat (v-w1279f1)</v>
      </c>
    </row>
    <row r="10351" customFormat="false" ht="12.8" hidden="false" customHeight="false" outlineLevel="0" collapsed="false">
      <c r="B10351" s="0" t="s">
        <v>7</v>
      </c>
      <c r="C10351" s="0" t="s">
        <v>88</v>
      </c>
      <c r="D10351" s="0" t="s">
        <v>1998</v>
      </c>
      <c r="E10351" s="0" t="s">
        <v>1998</v>
      </c>
      <c r="F10351" s="0" t="s">
        <v>1998</v>
      </c>
    </row>
    <row r="10352" customFormat="false" ht="12.8" hidden="false" customHeight="false" outlineLevel="0" collapsed="false">
      <c r="B10352" s="0" t="s">
        <v>4211</v>
      </c>
      <c r="C10352" s="0" t="s">
        <v>4212</v>
      </c>
      <c r="D10352" s="0" t="s">
        <v>4213</v>
      </c>
      <c r="E10352" s="0" t="s">
        <v>4213</v>
      </c>
      <c r="F10352" s="0" t="s">
        <v>4213</v>
      </c>
    </row>
    <row r="10353" customFormat="false" ht="12.8" hidden="false" customHeight="false" outlineLevel="0" collapsed="false">
      <c r="B10353" s="0" t="s">
        <v>81</v>
      </c>
      <c r="C10353" s="0" t="s">
        <v>4214</v>
      </c>
      <c r="D10353" s="0" t="s">
        <v>4214</v>
      </c>
      <c r="E10353" s="0" t="s">
        <v>4214</v>
      </c>
      <c r="F10353" s="0" t="s">
        <v>4214</v>
      </c>
    </row>
    <row r="10355" customFormat="false" ht="12.8" hidden="false" customHeight="false" outlineLevel="0" collapsed="false">
      <c r="A10355" s="0" t="s">
        <v>4215</v>
      </c>
      <c r="B10355" s="0" t="str">
        <f aca="false">HYPERLINK("https://lindat.mff.cuni.cz/services/teitok/pdtc10/index.php?action=vallex&amp;frame=v-w11821_ZUf1_ZU", "intarzovat (v-w11821_ZUf1_ZU)")</f>
        <v>intarzovat (v-w11821_ZUf1_ZU)</v>
      </c>
    </row>
    <row r="10356" customFormat="false" ht="12.8" hidden="false" customHeight="false" outlineLevel="0" collapsed="false">
      <c r="B10356" s="0" t="s">
        <v>7</v>
      </c>
    </row>
    <row r="10357" customFormat="false" ht="12.8" hidden="false" customHeight="false" outlineLevel="0" collapsed="false">
      <c r="B10357" s="0" t="s">
        <v>14</v>
      </c>
    </row>
    <row r="10359" customFormat="false" ht="12.8" hidden="false" customHeight="false" outlineLevel="0" collapsed="false">
      <c r="A10359" s="0" t="s">
        <v>4216</v>
      </c>
      <c r="B10359" s="0" t="str">
        <f aca="false">HYPERLINK("https://lindat.mff.cuni.cz/services/teitok/pdtc10/index.php?action=vallex&amp;frame=v-w1281f1", "integrovat (v-w1281f1)")</f>
        <v>integrovat (v-w1281f1)</v>
      </c>
    </row>
    <row r="10360" customFormat="false" ht="12.8" hidden="false" customHeight="false" outlineLevel="0" collapsed="false">
      <c r="B10360" s="0" t="s">
        <v>7</v>
      </c>
      <c r="C10360" s="0" t="s">
        <v>335</v>
      </c>
      <c r="D10360" s="0" t="s">
        <v>88</v>
      </c>
      <c r="E10360" s="0" t="s">
        <v>4217</v>
      </c>
      <c r="F10360" s="0" t="s">
        <v>4217</v>
      </c>
    </row>
    <row r="10361" customFormat="false" ht="12.8" hidden="false" customHeight="false" outlineLevel="0" collapsed="false">
      <c r="B10361" s="0" t="s">
        <v>14</v>
      </c>
      <c r="C10361" s="0" t="s">
        <v>487</v>
      </c>
      <c r="D10361" s="0" t="s">
        <v>24</v>
      </c>
      <c r="E10361" s="0" t="s">
        <v>4218</v>
      </c>
      <c r="F10361" s="0" t="s">
        <v>4218</v>
      </c>
    </row>
    <row r="10362" customFormat="false" ht="12.8" hidden="false" customHeight="false" outlineLevel="0" collapsed="false">
      <c r="B10362" s="0" t="s">
        <v>2767</v>
      </c>
      <c r="C10362" s="0" t="s">
        <v>1165</v>
      </c>
      <c r="D10362" s="0" t="s">
        <v>4219</v>
      </c>
      <c r="E10362" s="0" t="s">
        <v>4219</v>
      </c>
      <c r="F10362" s="0" t="s">
        <v>4219</v>
      </c>
    </row>
    <row r="10363" customFormat="false" ht="12.8" hidden="false" customHeight="false" outlineLevel="0" collapsed="false">
      <c r="B10363" s="0" t="s">
        <v>2571</v>
      </c>
      <c r="C10363" s="0" t="s">
        <v>182</v>
      </c>
      <c r="D10363" s="0" t="s">
        <v>4220</v>
      </c>
      <c r="E10363" s="0" t="s">
        <v>4221</v>
      </c>
      <c r="F10363" s="0" t="s">
        <v>4221</v>
      </c>
    </row>
    <row r="10365" customFormat="false" ht="12.8" hidden="false" customHeight="false" outlineLevel="0" collapsed="false">
      <c r="A10365" s="0" t="s">
        <v>4222</v>
      </c>
      <c r="B10365" s="0" t="str">
        <f aca="false">HYPERLINK("https://lindat.mff.cuni.cz/services/teitok/pdtc10/index.php?action=vallex&amp;frame=v-w11656_ZUf1_ZU", "integrovat se (v-w11656_ZUf1_ZU)")</f>
        <v>integrovat se (v-w11656_ZUf1_ZU)</v>
      </c>
    </row>
    <row r="10366" customFormat="false" ht="12.8" hidden="false" customHeight="false" outlineLevel="0" collapsed="false">
      <c r="B10366" s="0" t="s">
        <v>7</v>
      </c>
      <c r="C10366" s="0" t="s">
        <v>46</v>
      </c>
      <c r="D10366" s="0" t="s">
        <v>4223</v>
      </c>
      <c r="E10366" s="0" t="s">
        <v>4223</v>
      </c>
      <c r="F10366" s="0" t="s">
        <v>4223</v>
      </c>
    </row>
    <row r="10367" customFormat="false" ht="12.8" hidden="false" customHeight="false" outlineLevel="0" collapsed="false">
      <c r="B10367" s="0" t="s">
        <v>338</v>
      </c>
      <c r="D10367" s="0" t="s">
        <v>4224</v>
      </c>
      <c r="E10367" s="0" t="s">
        <v>4224</v>
      </c>
      <c r="F10367" s="0" t="s">
        <v>4224</v>
      </c>
    </row>
    <row r="10369" customFormat="false" ht="12.8" hidden="false" customHeight="false" outlineLevel="0" collapsed="false">
      <c r="A10369" s="0" t="s">
        <v>4225</v>
      </c>
      <c r="B10369" s="0" t="str">
        <f aca="false">HYPERLINK("https://lindat.mff.cuni.cz/services/teitok/pdtc10/index.php?action=vallex&amp;frame=v-whsa_1931hsa_1932", "interagovat (v-whsa_1931hsa_1932)")</f>
        <v>interagovat (v-whsa_1931hsa_1932)</v>
      </c>
    </row>
    <row r="10370" customFormat="false" ht="12.8" hidden="false" customHeight="false" outlineLevel="0" collapsed="false">
      <c r="B10370" s="0" t="s">
        <v>7</v>
      </c>
    </row>
    <row r="10371" customFormat="false" ht="12.8" hidden="false" customHeight="false" outlineLevel="0" collapsed="false">
      <c r="B10371" s="0" t="s">
        <v>548</v>
      </c>
    </row>
    <row r="10373" customFormat="false" ht="12.8" hidden="false" customHeight="false" outlineLevel="0" collapsed="false">
      <c r="A10373" s="0" t="s">
        <v>4226</v>
      </c>
      <c r="B10373" s="0" t="str">
        <f aca="false">HYPERLINK("https://lindat.mff.cuni.cz/services/teitok/pdtc10/index.php?action=vallex&amp;frame=v-w1287f1", "internacionalizovat (v-w1287f1)")</f>
        <v>internacionalizovat (v-w1287f1)</v>
      </c>
    </row>
    <row r="10374" customFormat="false" ht="12.8" hidden="false" customHeight="false" outlineLevel="0" collapsed="false">
      <c r="B10374" s="0" t="s">
        <v>7</v>
      </c>
    </row>
    <row r="10375" customFormat="false" ht="12.8" hidden="false" customHeight="false" outlineLevel="0" collapsed="false">
      <c r="B10375" s="0" t="s">
        <v>14</v>
      </c>
    </row>
    <row r="10377" customFormat="false" ht="12.8" hidden="false" customHeight="false" outlineLevel="0" collapsed="false">
      <c r="A10377" s="0" t="s">
        <v>4227</v>
      </c>
      <c r="B10377" s="0" t="str">
        <f aca="false">HYPERLINK("https://lindat.mff.cuni.cz/services/teitok/pdtc10/index.php?action=vallex&amp;frame=v-w1288f1", "internalizovat (v-w1288f1)")</f>
        <v>internalizovat (v-w1288f1)</v>
      </c>
    </row>
    <row r="10378" customFormat="false" ht="12.8" hidden="false" customHeight="false" outlineLevel="0" collapsed="false">
      <c r="B10378" s="0" t="s">
        <v>7</v>
      </c>
    </row>
    <row r="10379" customFormat="false" ht="12.8" hidden="false" customHeight="false" outlineLevel="0" collapsed="false">
      <c r="B10379" s="0" t="s">
        <v>14</v>
      </c>
    </row>
    <row r="10381" customFormat="false" ht="12.8" hidden="false" customHeight="false" outlineLevel="0" collapsed="false">
      <c r="A10381" s="0" t="s">
        <v>4228</v>
      </c>
      <c r="B10381" s="0" t="str">
        <f aca="false">HYPERLINK("https://lindat.mff.cuni.cz/services/teitok/pdtc10/index.php?action=vallex&amp;frame=v-w1289f1", "internovat (v-w1289f1)")</f>
        <v>internovat (v-w1289f1)</v>
      </c>
    </row>
    <row r="10382" customFormat="false" ht="12.8" hidden="false" customHeight="false" outlineLevel="0" collapsed="false">
      <c r="B10382" s="0" t="s">
        <v>7</v>
      </c>
    </row>
    <row r="10383" customFormat="false" ht="12.8" hidden="false" customHeight="false" outlineLevel="0" collapsed="false">
      <c r="B10383" s="0" t="s">
        <v>14</v>
      </c>
    </row>
    <row r="10385" customFormat="false" ht="12.8" hidden="false" customHeight="false" outlineLevel="0" collapsed="false">
      <c r="A10385" s="0" t="s">
        <v>4229</v>
      </c>
      <c r="B10385" s="0" t="str">
        <f aca="false">HYPERLINK("https://lindat.mff.cuni.cz/services/teitok/pdtc10/index.php?action=vallex&amp;frame=v-w1291f1", "interpelovat (v-w1291f1)")</f>
        <v>interpelovat (v-w1291f1)</v>
      </c>
    </row>
    <row r="10386" customFormat="false" ht="12.8" hidden="false" customHeight="false" outlineLevel="0" collapsed="false">
      <c r="B10386" s="0" t="s">
        <v>7</v>
      </c>
    </row>
    <row r="10387" customFormat="false" ht="12.8" hidden="false" customHeight="false" outlineLevel="0" collapsed="false">
      <c r="B10387" s="0" t="s">
        <v>14</v>
      </c>
    </row>
    <row r="10389" customFormat="false" ht="12.8" hidden="false" customHeight="false" outlineLevel="0" collapsed="false">
      <c r="A10389" s="0" t="s">
        <v>4230</v>
      </c>
      <c r="B10389" s="0" t="str">
        <f aca="false">HYPERLINK("https://lindat.mff.cuni.cz/services/teitok/pdtc10/index.php?action=vallex&amp;frame=v-w1295f1", "interpretovat (v-w1295f1)")</f>
        <v>interpretovat (v-w1295f1)</v>
      </c>
    </row>
    <row r="10390" customFormat="false" ht="12.8" hidden="false" customHeight="false" outlineLevel="0" collapsed="false">
      <c r="B10390" s="0" t="s">
        <v>7</v>
      </c>
      <c r="C10390" s="0" t="s">
        <v>4231</v>
      </c>
      <c r="D10390" s="0" t="s">
        <v>451</v>
      </c>
      <c r="E10390" s="0" t="s">
        <v>451</v>
      </c>
      <c r="F10390" s="0" t="s">
        <v>451</v>
      </c>
    </row>
    <row r="10391" customFormat="false" ht="12.8" hidden="false" customHeight="false" outlineLevel="0" collapsed="false">
      <c r="B10391" s="0" t="s">
        <v>14</v>
      </c>
      <c r="C10391" s="0" t="s">
        <v>4232</v>
      </c>
      <c r="D10391" s="0" t="s">
        <v>453</v>
      </c>
      <c r="E10391" s="0" t="s">
        <v>453</v>
      </c>
      <c r="F10391" s="0" t="s">
        <v>453</v>
      </c>
    </row>
    <row r="10393" customFormat="false" ht="12.8" hidden="false" customHeight="false" outlineLevel="0" collapsed="false">
      <c r="A10393" s="0" t="s">
        <v>4233</v>
      </c>
      <c r="B10393" s="0" t="str">
        <f aca="false">HYPERLINK("https://lindat.mff.cuni.cz/services/teitok/pdtc10/index.php?action=vallex&amp;frame=v-w1298f1", "intervenovat (v-w1298f1)")</f>
        <v>intervenovat (v-w1298f1)</v>
      </c>
    </row>
    <row r="10394" customFormat="false" ht="12.8" hidden="false" customHeight="false" outlineLevel="0" collapsed="false">
      <c r="B10394" s="0" t="s">
        <v>7</v>
      </c>
      <c r="C10394" s="0" t="s">
        <v>3918</v>
      </c>
      <c r="D10394" s="0" t="s">
        <v>4234</v>
      </c>
      <c r="E10394" s="0" t="s">
        <v>4234</v>
      </c>
      <c r="F10394" s="0" t="s">
        <v>4234</v>
      </c>
    </row>
    <row r="10395" customFormat="false" ht="12.8" hidden="false" customHeight="false" outlineLevel="0" collapsed="false">
      <c r="B10395" s="0" t="s">
        <v>4235</v>
      </c>
      <c r="D10395" s="0" t="s">
        <v>4236</v>
      </c>
      <c r="E10395" s="0" t="s">
        <v>4236</v>
      </c>
      <c r="F10395" s="0" t="s">
        <v>4236</v>
      </c>
    </row>
    <row r="10397" customFormat="false" ht="12.8" hidden="false" customHeight="false" outlineLevel="0" collapsed="false">
      <c r="A10397" s="0" t="s">
        <v>4237</v>
      </c>
      <c r="B10397" s="0" t="str">
        <f aca="false">HYPERLINK("https://lindat.mff.cuni.cz/services/teitok/pdtc10/index.php?action=vallex&amp;frame=v-w1301f1", "intrikovat (v-w1301f1)")</f>
        <v>intrikovat (v-w1301f1)</v>
      </c>
    </row>
    <row r="10398" customFormat="false" ht="12.8" hidden="false" customHeight="false" outlineLevel="0" collapsed="false">
      <c r="B10398" s="0" t="s">
        <v>7</v>
      </c>
      <c r="F10398" s="0" t="s">
        <v>118</v>
      </c>
    </row>
    <row r="10400" customFormat="false" ht="12.8" hidden="false" customHeight="false" outlineLevel="0" collapsed="false">
      <c r="A10400" s="0" t="s">
        <v>4238</v>
      </c>
      <c r="B10400" s="0" t="str">
        <f aca="false">HYPERLINK("https://lindat.mff.cuni.cz/services/teitok/pdtc10/index.php?action=vallex&amp;frame=v-w1307f1", "inventarizovat (v-w1307f1)")</f>
        <v>inventarizovat (v-w1307f1)</v>
      </c>
    </row>
    <row r="10401" customFormat="false" ht="12.8" hidden="false" customHeight="false" outlineLevel="0" collapsed="false">
      <c r="B10401" s="0" t="s">
        <v>7</v>
      </c>
    </row>
    <row r="10402" customFormat="false" ht="12.8" hidden="false" customHeight="false" outlineLevel="0" collapsed="false">
      <c r="B10402" s="0" t="s">
        <v>14</v>
      </c>
    </row>
    <row r="10404" customFormat="false" ht="12.8" hidden="false" customHeight="false" outlineLevel="0" collapsed="false">
      <c r="A10404" s="0" t="s">
        <v>4239</v>
      </c>
      <c r="B10404" s="0" t="str">
        <f aca="false">HYPERLINK("https://lindat.mff.cuni.cz/services/teitok/pdtc10/index.php?action=vallex&amp;frame=v-w1312f1", "investovat (v-w1312f1)")</f>
        <v>investovat (v-w1312f1)</v>
      </c>
    </row>
    <row r="10405" customFormat="false" ht="12.8" hidden="false" customHeight="false" outlineLevel="0" collapsed="false">
      <c r="B10405" s="0" t="s">
        <v>7</v>
      </c>
      <c r="C10405" s="0" t="s">
        <v>4240</v>
      </c>
      <c r="D10405" s="0" t="s">
        <v>1410</v>
      </c>
      <c r="E10405" s="0" t="s">
        <v>1410</v>
      </c>
      <c r="F10405" s="0" t="s">
        <v>1410</v>
      </c>
    </row>
    <row r="10406" customFormat="false" ht="12.8" hidden="false" customHeight="false" outlineLevel="0" collapsed="false">
      <c r="B10406" s="0" t="s">
        <v>14</v>
      </c>
      <c r="C10406" s="0" t="s">
        <v>4241</v>
      </c>
      <c r="D10406" s="0" t="s">
        <v>1411</v>
      </c>
      <c r="E10406" s="0" t="s">
        <v>1411</v>
      </c>
      <c r="F10406" s="0" t="s">
        <v>1411</v>
      </c>
    </row>
    <row r="10407" customFormat="false" ht="12.8" hidden="false" customHeight="false" outlineLevel="0" collapsed="false">
      <c r="B10407" s="0" t="s">
        <v>550</v>
      </c>
      <c r="C10407" s="0" t="s">
        <v>4242</v>
      </c>
      <c r="D10407" s="0" t="s">
        <v>2954</v>
      </c>
      <c r="E10407" s="0" t="s">
        <v>2954</v>
      </c>
      <c r="F10407" s="0" t="s">
        <v>2954</v>
      </c>
    </row>
    <row r="10409" customFormat="false" ht="12.8" hidden="false" customHeight="false" outlineLevel="0" collapsed="false">
      <c r="A10409" s="0" t="s">
        <v>4243</v>
      </c>
      <c r="B10409" s="0" t="str">
        <f aca="false">HYPERLINK("https://lindat.mff.cuni.cz/services/teitok/pdtc10/index.php?action=vallex&amp;frame=v-w1312hsa_1007", "investovat (v-w1312hsa_1007)")</f>
        <v>investovat (v-w1312hsa_1007)</v>
      </c>
    </row>
    <row r="10410" customFormat="false" ht="12.8" hidden="false" customHeight="false" outlineLevel="0" collapsed="false">
      <c r="B10410" s="0" t="s">
        <v>7</v>
      </c>
      <c r="C10410" s="0" t="s">
        <v>4244</v>
      </c>
      <c r="D10410" s="0" t="s">
        <v>1410</v>
      </c>
      <c r="E10410" s="0" t="s">
        <v>1410</v>
      </c>
      <c r="F10410" s="0" t="s">
        <v>1410</v>
      </c>
    </row>
    <row r="10411" customFormat="false" ht="12.8" hidden="false" customHeight="false" outlineLevel="0" collapsed="false">
      <c r="B10411" s="0" t="s">
        <v>14</v>
      </c>
      <c r="C10411" s="0" t="s">
        <v>4245</v>
      </c>
      <c r="D10411" s="0" t="s">
        <v>1411</v>
      </c>
      <c r="E10411" s="0" t="s">
        <v>1411</v>
      </c>
      <c r="F10411" s="0" t="s">
        <v>1411</v>
      </c>
    </row>
    <row r="10412" customFormat="false" ht="12.8" hidden="false" customHeight="false" outlineLevel="0" collapsed="false">
      <c r="B10412" s="0" t="s">
        <v>4246</v>
      </c>
      <c r="C10412" s="0" t="s">
        <v>4247</v>
      </c>
      <c r="D10412" s="0" t="s">
        <v>2954</v>
      </c>
      <c r="E10412" s="0" t="s">
        <v>2954</v>
      </c>
      <c r="F10412" s="0" t="s">
        <v>2954</v>
      </c>
    </row>
    <row r="10414" customFormat="false" ht="12.8" hidden="false" customHeight="false" outlineLevel="0" collapsed="false">
      <c r="A10414" s="0" t="s">
        <v>4248</v>
      </c>
      <c r="B10414" s="0" t="str">
        <f aca="false">HYPERLINK("https://lindat.mff.cuni.cz/services/teitok/pdtc10/index.php?action=vallex&amp;frame=v-w1314f1", "inzerovat (v-w1314f1)")</f>
        <v>inzerovat (v-w1314f1)</v>
      </c>
    </row>
    <row r="10415" customFormat="false" ht="12.8" hidden="false" customHeight="false" outlineLevel="0" collapsed="false">
      <c r="B10415" s="0" t="s">
        <v>7</v>
      </c>
      <c r="C10415" s="0" t="s">
        <v>113</v>
      </c>
      <c r="D10415" s="0" t="s">
        <v>113</v>
      </c>
      <c r="E10415" s="0" t="s">
        <v>113</v>
      </c>
      <c r="F10415" s="0" t="s">
        <v>113</v>
      </c>
    </row>
    <row r="10416" customFormat="false" ht="12.8" hidden="false" customHeight="false" outlineLevel="0" collapsed="false">
      <c r="B10416" s="0" t="s">
        <v>54</v>
      </c>
    </row>
    <row r="10418" customFormat="false" ht="12.8" hidden="false" customHeight="false" outlineLevel="0" collapsed="false">
      <c r="A10418" s="0" t="s">
        <v>4249</v>
      </c>
      <c r="B10418" s="0" t="str">
        <f aca="false">HYPERLINK("https://lindat.mff.cuni.cz/services/teitok/pdtc10/index.php?action=vallex&amp;frame=v-w1315f1", "iritovat (v-w1315f1)")</f>
        <v>iritovat (v-w1315f1)</v>
      </c>
    </row>
    <row r="10419" customFormat="false" ht="12.8" hidden="false" customHeight="false" outlineLevel="0" collapsed="false">
      <c r="B10419" s="0" t="s">
        <v>7</v>
      </c>
    </row>
    <row r="10420" customFormat="false" ht="12.8" hidden="false" customHeight="false" outlineLevel="0" collapsed="false">
      <c r="B10420" s="0" t="s">
        <v>14</v>
      </c>
    </row>
    <row r="10422" customFormat="false" ht="12.8" hidden="false" customHeight="false" outlineLevel="0" collapsed="false">
      <c r="A10422" s="0" t="s">
        <v>4250</v>
      </c>
      <c r="B10422" s="0" t="str">
        <f aca="false">HYPERLINK("https://lindat.mff.cuni.cz/services/teitok/pdtc10/index.php?action=vallex&amp;frame=v-w1317f1", "izolovat (v-w1317f1)")</f>
        <v>izolovat (v-w1317f1)</v>
      </c>
    </row>
    <row r="10423" customFormat="false" ht="12.8" hidden="false" customHeight="false" outlineLevel="0" collapsed="false">
      <c r="B10423" s="0" t="s">
        <v>7</v>
      </c>
      <c r="C10423" s="0" t="s">
        <v>4251</v>
      </c>
      <c r="D10423" s="0" t="s">
        <v>1777</v>
      </c>
      <c r="E10423" s="0" t="s">
        <v>1777</v>
      </c>
      <c r="F10423" s="0" t="s">
        <v>1777</v>
      </c>
    </row>
    <row r="10424" customFormat="false" ht="12.8" hidden="false" customHeight="false" outlineLevel="0" collapsed="false">
      <c r="B10424" s="0" t="s">
        <v>14</v>
      </c>
      <c r="C10424" s="0" t="s">
        <v>1405</v>
      </c>
      <c r="D10424" s="0" t="s">
        <v>4252</v>
      </c>
      <c r="E10424" s="0" t="s">
        <v>4252</v>
      </c>
      <c r="F10424" s="0" t="s">
        <v>4252</v>
      </c>
    </row>
    <row r="10425" customFormat="false" ht="12.8" hidden="false" customHeight="false" outlineLevel="0" collapsed="false">
      <c r="B10425" s="0" t="s">
        <v>441</v>
      </c>
      <c r="C10425" s="0" t="s">
        <v>4253</v>
      </c>
      <c r="D10425" s="0" t="s">
        <v>2480</v>
      </c>
      <c r="E10425" s="0" t="s">
        <v>2480</v>
      </c>
      <c r="F10425" s="0" t="s">
        <v>2480</v>
      </c>
    </row>
    <row r="10427" customFormat="false" ht="12.8" hidden="false" customHeight="false" outlineLevel="0" collapsed="false">
      <c r="A10427" s="0" t="s">
        <v>4254</v>
      </c>
      <c r="B10427" s="0" t="str">
        <f aca="false">HYPERLINK("https://lindat.mff.cuni.cz/services/teitok/pdtc10/index.php?action=vallex&amp;frame=v-w1317hsa_617", "izolovat (v-w1317hsa_617)")</f>
        <v>izolovat (v-w1317hsa_617)</v>
      </c>
    </row>
    <row r="10428" customFormat="false" ht="12.8" hidden="false" customHeight="false" outlineLevel="0" collapsed="false">
      <c r="B10428" s="0" t="s">
        <v>7</v>
      </c>
      <c r="C10428" s="0" t="s">
        <v>4255</v>
      </c>
      <c r="D10428" s="0" t="s">
        <v>4256</v>
      </c>
      <c r="E10428" s="0" t="s">
        <v>4256</v>
      </c>
      <c r="F10428" s="0" t="s">
        <v>4256</v>
      </c>
    </row>
    <row r="10429" customFormat="false" ht="12.8" hidden="false" customHeight="false" outlineLevel="0" collapsed="false">
      <c r="B10429" s="0" t="s">
        <v>14</v>
      </c>
      <c r="C10429" s="0" t="s">
        <v>115</v>
      </c>
      <c r="D10429" s="0" t="s">
        <v>4257</v>
      </c>
      <c r="E10429" s="0" t="s">
        <v>4257</v>
      </c>
      <c r="F10429" s="0" t="s">
        <v>4257</v>
      </c>
    </row>
    <row r="10431" customFormat="false" ht="12.8" hidden="false" customHeight="false" outlineLevel="0" collapsed="false">
      <c r="A10431" s="0" t="s">
        <v>4258</v>
      </c>
      <c r="B10431" s="0" t="str">
        <f aca="false">HYPERLINK("https://lindat.mff.cuni.cz/services/teitok/pdtc10/index.php?action=vallex&amp;frame=v-w1323f1", "jednat (v-w1323f1)")</f>
        <v>jednat (v-w1323f1)</v>
      </c>
    </row>
    <row r="10432" customFormat="false" ht="12.8" hidden="false" customHeight="false" outlineLevel="0" collapsed="false">
      <c r="B10432" s="0" t="s">
        <v>7</v>
      </c>
      <c r="C10432" s="0" t="s">
        <v>4259</v>
      </c>
      <c r="D10432" s="0" t="s">
        <v>1801</v>
      </c>
      <c r="E10432" s="0" t="s">
        <v>1801</v>
      </c>
      <c r="F10432" s="0" t="s">
        <v>1801</v>
      </c>
    </row>
    <row r="10433" customFormat="false" ht="12.8" hidden="false" customHeight="false" outlineLevel="0" collapsed="false">
      <c r="B10433" s="0" t="s">
        <v>4260</v>
      </c>
      <c r="C10433" s="0" t="s">
        <v>4261</v>
      </c>
      <c r="D10433" s="0" t="s">
        <v>1804</v>
      </c>
      <c r="E10433" s="0" t="s">
        <v>1804</v>
      </c>
      <c r="F10433" s="0" t="s">
        <v>1804</v>
      </c>
    </row>
    <row r="10434" customFormat="false" ht="12.8" hidden="false" customHeight="false" outlineLevel="0" collapsed="false">
      <c r="B10434" s="0" t="s">
        <v>207</v>
      </c>
      <c r="C10434" s="0" t="s">
        <v>4262</v>
      </c>
      <c r="D10434" s="0" t="s">
        <v>1806</v>
      </c>
      <c r="E10434" s="0" t="s">
        <v>1806</v>
      </c>
      <c r="F10434" s="0" t="s">
        <v>1806</v>
      </c>
    </row>
    <row r="10436" customFormat="false" ht="12.8" hidden="false" customHeight="false" outlineLevel="0" collapsed="false">
      <c r="A10436" s="0" t="s">
        <v>4263</v>
      </c>
      <c r="B10436" s="0" t="str">
        <f aca="false">HYPERLINK("https://lindat.mff.cuni.cz/services/teitok/pdtc10/index.php?action=vallex&amp;frame=v-w1323f4", "jednat (v-w1323f4)")</f>
        <v>jednat (v-w1323f4)</v>
      </c>
    </row>
    <row r="10437" customFormat="false" ht="12.8" hidden="false" customHeight="false" outlineLevel="0" collapsed="false">
      <c r="B10437" s="0" t="s">
        <v>7</v>
      </c>
    </row>
    <row r="10438" customFormat="false" ht="12.8" hidden="false" customHeight="false" outlineLevel="0" collapsed="false">
      <c r="B10438" s="0" t="s">
        <v>244</v>
      </c>
    </row>
    <row r="10440" customFormat="false" ht="12.8" hidden="false" customHeight="false" outlineLevel="0" collapsed="false">
      <c r="A10440" s="0" t="s">
        <v>4264</v>
      </c>
      <c r="B10440" s="0" t="str">
        <f aca="false">HYPERLINK("https://lindat.mff.cuni.cz/services/teitok/pdtc10/index.php?action=vallex&amp;frame=v-w1323f3", "jednat (v-w1323f3)")</f>
        <v>jednat (v-w1323f3)</v>
      </c>
    </row>
    <row r="10441" customFormat="false" ht="12.8" hidden="false" customHeight="false" outlineLevel="0" collapsed="false">
      <c r="B10441" s="0" t="s">
        <v>7</v>
      </c>
      <c r="C10441" s="0" t="s">
        <v>4231</v>
      </c>
    </row>
    <row r="10442" customFormat="false" ht="12.8" hidden="false" customHeight="false" outlineLevel="0" collapsed="false">
      <c r="B10442" s="0" t="s">
        <v>548</v>
      </c>
      <c r="C10442" s="0" t="s">
        <v>4265</v>
      </c>
    </row>
    <row r="10443" customFormat="false" ht="12.8" hidden="false" customHeight="false" outlineLevel="0" collapsed="false">
      <c r="B10443" s="0" t="s">
        <v>474</v>
      </c>
    </row>
    <row r="10444" customFormat="false" ht="12.8" hidden="false" customHeight="false" outlineLevel="0" collapsed="false">
      <c r="B10444" s="0" t="s">
        <v>479</v>
      </c>
    </row>
    <row r="10445" customFormat="false" ht="12.8" hidden="false" customHeight="false" outlineLevel="0" collapsed="false">
      <c r="B10445" s="0" t="s">
        <v>481</v>
      </c>
    </row>
    <row r="10446" customFormat="false" ht="12.8" hidden="false" customHeight="false" outlineLevel="0" collapsed="false">
      <c r="B10446" s="0" t="s">
        <v>483</v>
      </c>
    </row>
    <row r="10448" customFormat="false" ht="12.8" hidden="false" customHeight="false" outlineLevel="0" collapsed="false">
      <c r="A10448" s="0" t="s">
        <v>4266</v>
      </c>
      <c r="B10448" s="0" t="str">
        <f aca="false">HYPERLINK("https://lindat.mff.cuni.cz/services/teitok/pdtc10/index.php?action=vallex&amp;frame=v-w1323f2", "jednat (v-w1323f2)")</f>
        <v>jednat (v-w1323f2)</v>
      </c>
    </row>
    <row r="10449" customFormat="false" ht="12.8" hidden="false" customHeight="false" outlineLevel="0" collapsed="false">
      <c r="B10449" s="0" t="s">
        <v>7</v>
      </c>
      <c r="C10449" s="0" t="s">
        <v>4267</v>
      </c>
      <c r="D10449" s="0" t="s">
        <v>4268</v>
      </c>
      <c r="E10449" s="0" t="s">
        <v>4268</v>
      </c>
      <c r="F10449" s="0" t="s">
        <v>4268</v>
      </c>
    </row>
    <row r="10450" customFormat="false" ht="12.8" hidden="false" customHeight="false" outlineLevel="0" collapsed="false">
      <c r="B10450" s="0" t="s">
        <v>552</v>
      </c>
    </row>
    <row r="10451" customFormat="false" ht="12.8" hidden="false" customHeight="false" outlineLevel="0" collapsed="false">
      <c r="B10451" s="0" t="s">
        <v>474</v>
      </c>
      <c r="C10451" s="0" t="s">
        <v>4269</v>
      </c>
    </row>
    <row r="10452" customFormat="false" ht="12.8" hidden="false" customHeight="false" outlineLevel="0" collapsed="false">
      <c r="B10452" s="0" t="s">
        <v>479</v>
      </c>
    </row>
    <row r="10453" customFormat="false" ht="12.8" hidden="false" customHeight="false" outlineLevel="0" collapsed="false">
      <c r="B10453" s="0" t="s">
        <v>481</v>
      </c>
      <c r="C10453" s="0" t="s">
        <v>4270</v>
      </c>
    </row>
    <row r="10454" customFormat="false" ht="12.8" hidden="false" customHeight="false" outlineLevel="0" collapsed="false">
      <c r="B10454" s="0" t="s">
        <v>483</v>
      </c>
    </row>
    <row r="10455" customFormat="false" ht="12.8" hidden="false" customHeight="false" outlineLevel="0" collapsed="false">
      <c r="B10455" s="0" t="s">
        <v>4271</v>
      </c>
    </row>
    <row r="10457" customFormat="false" ht="12.8" hidden="false" customHeight="false" outlineLevel="0" collapsed="false">
      <c r="A10457" s="0" t="s">
        <v>4272</v>
      </c>
      <c r="B10457" s="0" t="str">
        <f aca="false">HYPERLINK("https://lindat.mff.cuni.cz/services/teitok/pdtc10/index.php?action=vallex&amp;frame=v-w1324f2", "jednat se (v-w1324f2)")</f>
        <v>jednat se (v-w1324f2)</v>
      </c>
    </row>
    <row r="10458" customFormat="false" ht="12.8" hidden="false" customHeight="false" outlineLevel="0" collapsed="false">
      <c r="B10458" s="0" t="s">
        <v>603</v>
      </c>
    </row>
    <row r="10459" customFormat="false" ht="12.8" hidden="false" customHeight="false" outlineLevel="0" collapsed="false">
      <c r="B10459" s="0" t="s">
        <v>615</v>
      </c>
    </row>
    <row r="10461" customFormat="false" ht="12.8" hidden="false" customHeight="false" outlineLevel="0" collapsed="false">
      <c r="A10461" s="0" t="s">
        <v>4273</v>
      </c>
      <c r="B10461" s="0" t="str">
        <f aca="false">HYPERLINK("https://lindat.mff.cuni.cz/services/teitok/pdtc10/index.php?action=vallex&amp;frame=v-w1324f1", "jednat se (v-w1324f1)")</f>
        <v>jednat se (v-w1324f1)</v>
      </c>
    </row>
    <row r="10462" customFormat="false" ht="12.8" hidden="false" customHeight="false" outlineLevel="0" collapsed="false">
      <c r="B10462" s="0" t="s">
        <v>4274</v>
      </c>
      <c r="C10462" s="0" t="s">
        <v>4275</v>
      </c>
    </row>
    <row r="10464" customFormat="false" ht="12.8" hidden="false" customHeight="false" outlineLevel="0" collapsed="false">
      <c r="A10464" s="0" t="s">
        <v>4276</v>
      </c>
      <c r="B10464" s="0" t="str">
        <f aca="false">HYPERLINK("https://lindat.mff.cuni.cz/services/teitok/pdtc10/index.php?action=vallex&amp;frame=v-whsa_1680f1_ZU", "jektat (v-whsa_1680f1_ZU)")</f>
        <v>jektat (v-whsa_1680f1_ZU)</v>
      </c>
    </row>
    <row r="10465" customFormat="false" ht="12.8" hidden="false" customHeight="false" outlineLevel="0" collapsed="false">
      <c r="B10465" s="0" t="s">
        <v>7</v>
      </c>
    </row>
    <row r="10466" customFormat="false" ht="12.8" hidden="false" customHeight="false" outlineLevel="0" collapsed="false">
      <c r="B10466" s="0" t="s">
        <v>216</v>
      </c>
    </row>
    <row r="10468" customFormat="false" ht="12.8" hidden="false" customHeight="false" outlineLevel="0" collapsed="false">
      <c r="A10468" s="0" t="s">
        <v>4276</v>
      </c>
      <c r="B10468" s="0" t="str">
        <f aca="false">HYPERLINK("https://lindat.mff.cuni.cz/services/teitok/pdtc10/index.php?action=vallex&amp;frame=v-whsa_1680hsa_1681", "jektat (v-whsa_1680hsa_1681) - substituted with v-whsa_1680f1_ZU")</f>
        <v>jektat (v-whsa_1680hsa_1681) - substituted with v-whsa_1680f1_ZU</v>
      </c>
    </row>
    <row r="10469" customFormat="false" ht="12.8" hidden="false" customHeight="false" outlineLevel="0" collapsed="false">
      <c r="B10469" s="0" t="s">
        <v>7</v>
      </c>
    </row>
    <row r="10470" customFormat="false" ht="12.8" hidden="false" customHeight="false" outlineLevel="0" collapsed="false">
      <c r="B10470" s="0" t="s">
        <v>216</v>
      </c>
    </row>
    <row r="10472" customFormat="false" ht="12.8" hidden="false" customHeight="false" outlineLevel="0" collapsed="false">
      <c r="A10472" s="0" t="s">
        <v>4277</v>
      </c>
      <c r="B10472" s="0" t="str">
        <f aca="false">HYPERLINK("https://lindat.mff.cuni.cz/services/teitok/pdtc10/index.php?action=vallex&amp;frame=v-whsa_1680hsa_1682", "jektat (v-whsa_1680hsa_1682)")</f>
        <v>jektat (v-whsa_1680hsa_1682)</v>
      </c>
    </row>
    <row r="10473" customFormat="false" ht="12.8" hidden="false" customHeight="false" outlineLevel="0" collapsed="false">
      <c r="B10473" s="0" t="s">
        <v>7</v>
      </c>
    </row>
    <row r="10475" customFormat="false" ht="12.8" hidden="false" customHeight="false" outlineLevel="0" collapsed="false">
      <c r="A10475" s="0" t="s">
        <v>4278</v>
      </c>
      <c r="B10475" s="0" t="str">
        <f aca="false">HYPERLINK("https://lindat.mff.cuni.cz/services/teitok/pdtc10/index.php?action=vallex&amp;frame=v-w1325f2", "jet (v-w1325f2)")</f>
        <v>jet (v-w1325f2)</v>
      </c>
    </row>
    <row r="10476" customFormat="false" ht="12.8" hidden="false" customHeight="false" outlineLevel="0" collapsed="false">
      <c r="B10476" s="0" t="s">
        <v>7</v>
      </c>
      <c r="C10476" s="0" t="s">
        <v>118</v>
      </c>
    </row>
    <row r="10477" customFormat="false" ht="12.8" hidden="false" customHeight="false" outlineLevel="0" collapsed="false">
      <c r="B10477" s="0" t="s">
        <v>14</v>
      </c>
      <c r="C10477" s="0" t="s">
        <v>487</v>
      </c>
    </row>
    <row r="10479" customFormat="false" ht="12.8" hidden="false" customHeight="false" outlineLevel="0" collapsed="false">
      <c r="A10479" s="0" t="s">
        <v>4279</v>
      </c>
      <c r="B10479" s="0" t="str">
        <f aca="false">HYPERLINK("https://lindat.mff.cuni.cz/services/teitok/pdtc10/index.php?action=vallex&amp;frame=v-w1325f5", "jet (v-w1325f5)")</f>
        <v>jet (v-w1325f5)</v>
      </c>
    </row>
    <row r="10480" customFormat="false" ht="12.8" hidden="false" customHeight="false" outlineLevel="0" collapsed="false">
      <c r="B10480" s="0" t="s">
        <v>7</v>
      </c>
    </row>
    <row r="10481" customFormat="false" ht="12.8" hidden="false" customHeight="false" outlineLevel="0" collapsed="false">
      <c r="B10481" s="0" t="s">
        <v>387</v>
      </c>
    </row>
    <row r="10483" customFormat="false" ht="12.8" hidden="false" customHeight="false" outlineLevel="0" collapsed="false">
      <c r="A10483" s="0" t="s">
        <v>4280</v>
      </c>
      <c r="B10483" s="0" t="str">
        <f aca="false">HYPERLINK("https://lindat.mff.cuni.cz/services/teitok/pdtc10/index.php?action=vallex&amp;frame=v-w1325f7", "jet (v-w1325f7)")</f>
        <v>jet (v-w1325f7)</v>
      </c>
    </row>
    <row r="10484" customFormat="false" ht="12.8" hidden="false" customHeight="false" outlineLevel="0" collapsed="false">
      <c r="B10484" s="0" t="s">
        <v>4281</v>
      </c>
    </row>
    <row r="10485" customFormat="false" ht="12.8" hidden="false" customHeight="false" outlineLevel="0" collapsed="false">
      <c r="B10485" s="0" t="s">
        <v>328</v>
      </c>
    </row>
    <row r="10487" customFormat="false" ht="12.8" hidden="false" customHeight="false" outlineLevel="0" collapsed="false">
      <c r="A10487" s="0" t="s">
        <v>4282</v>
      </c>
      <c r="B10487" s="0" t="str">
        <f aca="false">HYPERLINK("https://lindat.mff.cuni.cz/services/teitok/pdtc10/index.php?action=vallex&amp;frame=v-w1325f1", "jet (v-w1325f1)")</f>
        <v>jet (v-w1325f1)</v>
      </c>
    </row>
    <row r="10488" customFormat="false" ht="12.8" hidden="false" customHeight="false" outlineLevel="0" collapsed="false">
      <c r="B10488" s="0" t="s">
        <v>7</v>
      </c>
      <c r="C10488" s="0" t="s">
        <v>4283</v>
      </c>
      <c r="D10488" s="0" t="s">
        <v>1152</v>
      </c>
      <c r="E10488" s="0" t="s">
        <v>1152</v>
      </c>
      <c r="F10488" s="0" t="s">
        <v>1152</v>
      </c>
    </row>
    <row r="10489" customFormat="false" ht="12.8" hidden="false" customHeight="false" outlineLevel="0" collapsed="false">
      <c r="B10489" s="0" t="s">
        <v>124</v>
      </c>
      <c r="C10489" s="0" t="s">
        <v>4284</v>
      </c>
      <c r="D10489" s="0" t="s">
        <v>4285</v>
      </c>
      <c r="E10489" s="0" t="s">
        <v>4285</v>
      </c>
      <c r="F10489" s="0" t="s">
        <v>4285</v>
      </c>
    </row>
    <row r="10491" customFormat="false" ht="12.8" hidden="false" customHeight="false" outlineLevel="0" collapsed="false">
      <c r="A10491" s="0" t="s">
        <v>4286</v>
      </c>
      <c r="B10491" s="0" t="str">
        <f aca="false">HYPERLINK("https://lindat.mff.cuni.cz/services/teitok/pdtc10/index.php?action=vallex&amp;frame=v-w1325f3", "jet (v-w1325f3)")</f>
        <v>jet (v-w1325f3)</v>
      </c>
    </row>
    <row r="10492" customFormat="false" ht="12.8" hidden="false" customHeight="false" outlineLevel="0" collapsed="false">
      <c r="B10492" s="0" t="s">
        <v>7</v>
      </c>
      <c r="C10492" s="0" t="s">
        <v>4287</v>
      </c>
      <c r="D10492" s="0" t="s">
        <v>2170</v>
      </c>
      <c r="E10492" s="0" t="s">
        <v>2170</v>
      </c>
      <c r="F10492" s="0" t="s">
        <v>2170</v>
      </c>
    </row>
    <row r="10494" customFormat="false" ht="12.8" hidden="false" customHeight="false" outlineLevel="0" collapsed="false">
      <c r="A10494" s="0" t="s">
        <v>4288</v>
      </c>
      <c r="B10494" s="0" t="str">
        <f aca="false">HYPERLINK("https://lindat.mff.cuni.cz/services/teitok/pdtc10/index.php?action=vallex&amp;frame=v-w1325f10_ZU", "jet (v-w1325f10_ZU)")</f>
        <v>jet (v-w1325f10_ZU)</v>
      </c>
    </row>
    <row r="10495" customFormat="false" ht="12.8" hidden="false" customHeight="false" outlineLevel="0" collapsed="false">
      <c r="B10495" s="0" t="s">
        <v>7</v>
      </c>
    </row>
    <row r="10497" customFormat="false" ht="12.8" hidden="false" customHeight="false" outlineLevel="0" collapsed="false">
      <c r="A10497" s="0" t="s">
        <v>4288</v>
      </c>
      <c r="B10497" s="0" t="str">
        <f aca="false">HYPERLINK("https://lindat.mff.cuni.cz/services/teitok/pdtc10/index.php?action=vallex&amp;frame=v-w1325f4", "jet (v-w1325f4) - substituted with v-w1325f10_ZU")</f>
        <v>jet (v-w1325f4) - substituted with v-w1325f10_ZU</v>
      </c>
    </row>
    <row r="10498" customFormat="false" ht="12.8" hidden="false" customHeight="false" outlineLevel="0" collapsed="false">
      <c r="B10498" s="0" t="s">
        <v>7</v>
      </c>
      <c r="C10498" s="0" t="s">
        <v>396</v>
      </c>
    </row>
    <row r="10500" customFormat="false" ht="12.8" hidden="false" customHeight="false" outlineLevel="0" collapsed="false">
      <c r="A10500" s="0" t="s">
        <v>4289</v>
      </c>
      <c r="B10500" s="0" t="str">
        <f aca="false">HYPERLINK("https://lindat.mff.cuni.cz/services/teitok/pdtc10/index.php?action=vallex&amp;frame=v-w1325f6", "jet (v-w1325f6)")</f>
        <v>jet (v-w1325f6)</v>
      </c>
    </row>
    <row r="10501" customFormat="false" ht="12.8" hidden="false" customHeight="false" outlineLevel="0" collapsed="false">
      <c r="B10501" s="0" t="s">
        <v>7</v>
      </c>
    </row>
    <row r="10502" customFormat="false" ht="12.8" hidden="false" customHeight="false" outlineLevel="0" collapsed="false">
      <c r="B10502" s="0" t="s">
        <v>4290</v>
      </c>
    </row>
    <row r="10504" customFormat="false" ht="12.8" hidden="false" customHeight="false" outlineLevel="0" collapsed="false">
      <c r="A10504" s="0" t="s">
        <v>4291</v>
      </c>
      <c r="B10504" s="0" t="str">
        <f aca="false">HYPERLINK("https://lindat.mff.cuni.cz/services/teitok/pdtc10/index.php?action=vallex&amp;frame=v-w1325f8_ZU", "jet (v-w1325f8_ZU)")</f>
        <v>jet (v-w1325f8_ZU)</v>
      </c>
    </row>
    <row r="10505" customFormat="false" ht="12.8" hidden="false" customHeight="false" outlineLevel="0" collapsed="false">
      <c r="B10505" s="0" t="s">
        <v>7</v>
      </c>
    </row>
    <row r="10506" customFormat="false" ht="12.8" hidden="false" customHeight="false" outlineLevel="0" collapsed="false">
      <c r="B10506" s="0" t="s">
        <v>4292</v>
      </c>
    </row>
    <row r="10508" customFormat="false" ht="12.8" hidden="false" customHeight="false" outlineLevel="0" collapsed="false">
      <c r="A10508" s="0" t="s">
        <v>4291</v>
      </c>
      <c r="B10508" s="0" t="str">
        <f aca="false">HYPERLINK("https://lindat.mff.cuni.cz/services/teitok/pdtc10/index.php?action=vallex&amp;frame=v-w1325hsa_263", "jet (v-w1325hsa_263) - substituted with v-w1325f8_ZU")</f>
        <v>jet (v-w1325hsa_263) - substituted with v-w1325f8_ZU</v>
      </c>
    </row>
    <row r="10509" customFormat="false" ht="12.8" hidden="false" customHeight="false" outlineLevel="0" collapsed="false">
      <c r="B10509" s="0" t="s">
        <v>7</v>
      </c>
    </row>
    <row r="10510" customFormat="false" ht="12.8" hidden="false" customHeight="false" outlineLevel="0" collapsed="false">
      <c r="B10510" s="0" t="s">
        <v>4292</v>
      </c>
    </row>
    <row r="10512" customFormat="false" ht="12.8" hidden="false" customHeight="false" outlineLevel="0" collapsed="false">
      <c r="A10512" s="0" t="s">
        <v>4293</v>
      </c>
      <c r="B10512" s="0" t="str">
        <f aca="false">HYPERLINK("https://lindat.mff.cuni.cz/services/teitok/pdtc10/index.php?action=vallex&amp;frame=v-w1325f11_ZU", "jet (v-w1325f11_ZU)")</f>
        <v>jet (v-w1325f11_ZU)</v>
      </c>
    </row>
    <row r="10513" customFormat="false" ht="12.8" hidden="false" customHeight="false" outlineLevel="0" collapsed="false">
      <c r="B10513" s="0" t="s">
        <v>7</v>
      </c>
    </row>
    <row r="10514" customFormat="false" ht="12.8" hidden="false" customHeight="false" outlineLevel="0" collapsed="false">
      <c r="B10514" s="0" t="s">
        <v>216</v>
      </c>
    </row>
    <row r="10515" customFormat="false" ht="12.8" hidden="false" customHeight="false" outlineLevel="0" collapsed="false">
      <c r="B10515" s="0" t="s">
        <v>1059</v>
      </c>
    </row>
    <row r="10517" customFormat="false" ht="12.8" hidden="false" customHeight="false" outlineLevel="0" collapsed="false">
      <c r="A10517" s="0" t="s">
        <v>4293</v>
      </c>
      <c r="B10517" s="0" t="str">
        <f aca="false">HYPERLINK("https://lindat.mff.cuni.cz/services/teitok/pdtc10/index.php?action=vallex&amp;frame=v-w1325f9_ZU", "jet (v-w1325f9_ZU) - substituted with v-w1325f11_ZU")</f>
        <v>jet (v-w1325f9_ZU) - substituted with v-w1325f11_ZU</v>
      </c>
    </row>
    <row r="10518" customFormat="false" ht="12.8" hidden="false" customHeight="false" outlineLevel="0" collapsed="false">
      <c r="B10518" s="0" t="s">
        <v>7</v>
      </c>
    </row>
    <row r="10519" customFormat="false" ht="12.8" hidden="false" customHeight="false" outlineLevel="0" collapsed="false">
      <c r="B10519" s="0" t="s">
        <v>216</v>
      </c>
    </row>
    <row r="10520" customFormat="false" ht="12.8" hidden="false" customHeight="false" outlineLevel="0" collapsed="false">
      <c r="B10520" s="0" t="s">
        <v>1059</v>
      </c>
    </row>
    <row r="10522" customFormat="false" ht="12.8" hidden="false" customHeight="false" outlineLevel="0" collapsed="false">
      <c r="A10522" s="0" t="s">
        <v>4294</v>
      </c>
      <c r="B10522" s="0" t="str">
        <f aca="false">HYPERLINK("https://lindat.mff.cuni.cz/services/teitok/pdtc10/index.php?action=vallex&amp;frame=v-w1325f12_ZU", "jet (v-w1325f12_ZU)")</f>
        <v>jet (v-w1325f12_ZU)</v>
      </c>
    </row>
    <row r="10523" customFormat="false" ht="12.8" hidden="false" customHeight="false" outlineLevel="0" collapsed="false">
      <c r="B10523" s="0" t="s">
        <v>7</v>
      </c>
    </row>
    <row r="10525" customFormat="false" ht="12.8" hidden="false" customHeight="false" outlineLevel="0" collapsed="false">
      <c r="A10525" s="0" t="s">
        <v>4295</v>
      </c>
      <c r="B10525" s="0" t="str">
        <f aca="false">HYPERLINK("https://lindat.mff.cuni.cz/services/teitok/pdtc10/index.php?action=vallex&amp;frame=v-w1325hsa_264", "jet (v-w1325hsa_264)")</f>
        <v>jet (v-w1325hsa_264)</v>
      </c>
    </row>
    <row r="10526" customFormat="false" ht="12.8" hidden="false" customHeight="false" outlineLevel="0" collapsed="false">
      <c r="B10526" s="0" t="s">
        <v>7</v>
      </c>
    </row>
    <row r="10527" customFormat="false" ht="12.8" hidden="false" customHeight="false" outlineLevel="0" collapsed="false">
      <c r="B10527" s="0" t="s">
        <v>985</v>
      </c>
    </row>
    <row r="10529" customFormat="false" ht="12.8" hidden="false" customHeight="false" outlineLevel="0" collapsed="false">
      <c r="A10529" s="0" t="s">
        <v>4296</v>
      </c>
      <c r="B10529" s="0" t="str">
        <f aca="false">HYPERLINK("https://lindat.mff.cuni.cz/services/teitok/pdtc10/index.php?action=vallex&amp;frame=v-w1326f1", "jevit (v-w1326f1)")</f>
        <v>jevit (v-w1326f1)</v>
      </c>
    </row>
    <row r="10530" customFormat="false" ht="12.8" hidden="false" customHeight="false" outlineLevel="0" collapsed="false">
      <c r="B10530" s="0" t="s">
        <v>7</v>
      </c>
      <c r="C10530" s="0" t="s">
        <v>498</v>
      </c>
      <c r="E10530" s="0" t="s">
        <v>4179</v>
      </c>
      <c r="F10530" s="0" t="s">
        <v>4179</v>
      </c>
    </row>
    <row r="10531" customFormat="false" ht="12.8" hidden="false" customHeight="false" outlineLevel="0" collapsed="false">
      <c r="B10531" s="0" t="s">
        <v>4297</v>
      </c>
      <c r="C10531" s="0" t="s">
        <v>500</v>
      </c>
      <c r="E10531" s="0" t="s">
        <v>4298</v>
      </c>
      <c r="F10531" s="0" t="s">
        <v>4298</v>
      </c>
    </row>
    <row r="10533" customFormat="false" ht="12.8" hidden="false" customHeight="false" outlineLevel="0" collapsed="false">
      <c r="A10533" s="0" t="s">
        <v>4299</v>
      </c>
      <c r="B10533" s="0" t="str">
        <f aca="false">HYPERLINK("https://lindat.mff.cuni.cz/services/teitok/pdtc10/index.php?action=vallex&amp;frame=v-w1326f2_ZU", "jevit (v-w1326f2_ZU)")</f>
        <v>jevit (v-w1326f2_ZU)</v>
      </c>
    </row>
    <row r="10534" customFormat="false" ht="12.8" hidden="false" customHeight="false" outlineLevel="0" collapsed="false">
      <c r="B10534" s="0" t="s">
        <v>7</v>
      </c>
    </row>
    <row r="10535" customFormat="false" ht="12.8" hidden="false" customHeight="false" outlineLevel="0" collapsed="false">
      <c r="B10535" s="0" t="s">
        <v>4300</v>
      </c>
      <c r="C10535" s="0" t="s">
        <v>4301</v>
      </c>
    </row>
    <row r="10537" customFormat="false" ht="12.8" hidden="false" customHeight="false" outlineLevel="0" collapsed="false">
      <c r="A10537" s="0" t="s">
        <v>4302</v>
      </c>
      <c r="B10537" s="0" t="str">
        <f aca="false">HYPERLINK("https://lindat.mff.cuni.cz/services/teitok/pdtc10/index.php?action=vallex&amp;frame=v-w1327f1", "jevit se (v-w1327f1)")</f>
        <v>jevit se (v-w1327f1)</v>
      </c>
    </row>
    <row r="10538" customFormat="false" ht="12.8" hidden="false" customHeight="false" outlineLevel="0" collapsed="false">
      <c r="B10538" s="0" t="s">
        <v>603</v>
      </c>
      <c r="C10538" s="0" t="s">
        <v>4303</v>
      </c>
      <c r="D10538" s="0" t="s">
        <v>4304</v>
      </c>
      <c r="E10538" s="0" t="s">
        <v>4304</v>
      </c>
      <c r="F10538" s="0" t="s">
        <v>4304</v>
      </c>
    </row>
    <row r="10539" customFormat="false" ht="12.8" hidden="false" customHeight="false" outlineLevel="0" collapsed="false">
      <c r="B10539" s="0" t="s">
        <v>4305</v>
      </c>
      <c r="C10539" s="0" t="s">
        <v>4306</v>
      </c>
      <c r="D10539" s="0" t="s">
        <v>4307</v>
      </c>
      <c r="E10539" s="0" t="s">
        <v>4307</v>
      </c>
      <c r="F10539" s="0" t="s">
        <v>4307</v>
      </c>
    </row>
    <row r="10540" customFormat="false" ht="12.8" hidden="false" customHeight="false" outlineLevel="0" collapsed="false">
      <c r="B10540" s="0" t="s">
        <v>4308</v>
      </c>
      <c r="C10540" s="0" t="s">
        <v>4309</v>
      </c>
      <c r="D10540" s="0" t="s">
        <v>4310</v>
      </c>
      <c r="E10540" s="0" t="s">
        <v>4310</v>
      </c>
      <c r="F10540" s="0" t="s">
        <v>4310</v>
      </c>
    </row>
    <row r="10542" customFormat="false" ht="12.8" hidden="false" customHeight="false" outlineLevel="0" collapsed="false">
      <c r="A10542" s="0" t="s">
        <v>4311</v>
      </c>
      <c r="B10542" s="0" t="str">
        <f aca="false">HYPERLINK("https://lindat.mff.cuni.cz/services/teitok/pdtc10/index.php?action=vallex&amp;frame=v-w1327f2", "jevit se (v-w1327f2)")</f>
        <v>jevit se (v-w1327f2)</v>
      </c>
    </row>
    <row r="10543" customFormat="false" ht="12.8" hidden="false" customHeight="false" outlineLevel="0" collapsed="false">
      <c r="B10543" s="0" t="s">
        <v>603</v>
      </c>
      <c r="C10543" s="0" t="s">
        <v>498</v>
      </c>
      <c r="D10543" s="0" t="s">
        <v>4312</v>
      </c>
      <c r="E10543" s="0" t="s">
        <v>4312</v>
      </c>
      <c r="F10543" s="0" t="s">
        <v>4312</v>
      </c>
    </row>
    <row r="10544" customFormat="false" ht="12.8" hidden="false" customHeight="false" outlineLevel="0" collapsed="false">
      <c r="B10544" s="0" t="s">
        <v>4305</v>
      </c>
      <c r="C10544" s="0" t="s">
        <v>634</v>
      </c>
      <c r="D10544" s="0" t="s">
        <v>4313</v>
      </c>
      <c r="E10544" s="0" t="s">
        <v>4313</v>
      </c>
      <c r="F10544" s="0" t="s">
        <v>4313</v>
      </c>
    </row>
    <row r="10545" customFormat="false" ht="12.8" hidden="false" customHeight="false" outlineLevel="0" collapsed="false">
      <c r="B10545" s="0" t="s">
        <v>662</v>
      </c>
      <c r="D10545" s="0" t="s">
        <v>4314</v>
      </c>
      <c r="E10545" s="0" t="s">
        <v>4314</v>
      </c>
      <c r="F10545" s="0" t="s">
        <v>4314</v>
      </c>
    </row>
    <row r="10547" customFormat="false" ht="12.8" hidden="false" customHeight="false" outlineLevel="0" collapsed="false">
      <c r="A10547" s="0" t="s">
        <v>4315</v>
      </c>
      <c r="B10547" s="0" t="str">
        <f aca="false">HYPERLINK("https://lindat.mff.cuni.cz/services/teitok/pdtc10/index.php?action=vallex&amp;frame=v-w1327f3", "jevit se (v-w1327f3)")</f>
        <v>jevit se (v-w1327f3)</v>
      </c>
    </row>
    <row r="10548" customFormat="false" ht="12.8" hidden="false" customHeight="false" outlineLevel="0" collapsed="false">
      <c r="B10548" s="0" t="s">
        <v>603</v>
      </c>
    </row>
    <row r="10549" customFormat="false" ht="12.8" hidden="false" customHeight="false" outlineLevel="0" collapsed="false">
      <c r="B10549" s="0" t="s">
        <v>4316</v>
      </c>
    </row>
    <row r="10551" customFormat="false" ht="12.8" hidden="false" customHeight="false" outlineLevel="0" collapsed="false">
      <c r="A10551" s="0" t="s">
        <v>4317</v>
      </c>
      <c r="B10551" s="0" t="str">
        <f aca="false">HYPERLINK("https://lindat.mff.cuni.cz/services/teitok/pdtc10/index.php?action=vallex&amp;frame=v-w1328f3", "jezdit (v-w1328f3)")</f>
        <v>jezdit (v-w1328f3)</v>
      </c>
    </row>
    <row r="10552" customFormat="false" ht="12.8" hidden="false" customHeight="false" outlineLevel="0" collapsed="false">
      <c r="B10552" s="0" t="s">
        <v>7</v>
      </c>
    </row>
    <row r="10553" customFormat="false" ht="12.8" hidden="false" customHeight="false" outlineLevel="0" collapsed="false">
      <c r="B10553" s="0" t="s">
        <v>14</v>
      </c>
    </row>
    <row r="10555" customFormat="false" ht="12.8" hidden="false" customHeight="false" outlineLevel="0" collapsed="false">
      <c r="A10555" s="0" t="s">
        <v>4318</v>
      </c>
      <c r="B10555" s="0" t="str">
        <f aca="false">HYPERLINK("https://lindat.mff.cuni.cz/services/teitok/pdtc10/index.php?action=vallex&amp;frame=v-w1328f10_ZU", "jezdit (v-w1328f10_ZU)")</f>
        <v>jezdit (v-w1328f10_ZU)</v>
      </c>
    </row>
    <row r="10556" customFormat="false" ht="12.8" hidden="false" customHeight="false" outlineLevel="0" collapsed="false">
      <c r="B10556" s="0" t="s">
        <v>7</v>
      </c>
    </row>
    <row r="10557" customFormat="false" ht="12.8" hidden="false" customHeight="false" outlineLevel="0" collapsed="false">
      <c r="B10557" s="0" t="s">
        <v>124</v>
      </c>
    </row>
    <row r="10559" customFormat="false" ht="12.8" hidden="false" customHeight="false" outlineLevel="0" collapsed="false">
      <c r="A10559" s="0" t="s">
        <v>4318</v>
      </c>
      <c r="B10559" s="0" t="str">
        <f aca="false">HYPERLINK("https://lindat.mff.cuni.cz/services/teitok/pdtc10/index.php?action=vallex&amp;frame=v-w1328f2", "jezdit (v-w1328f2) - substituted with v-w1328f10_ZU")</f>
        <v>jezdit (v-w1328f2) - substituted with v-w1328f10_ZU</v>
      </c>
    </row>
    <row r="10560" customFormat="false" ht="12.8" hidden="false" customHeight="false" outlineLevel="0" collapsed="false">
      <c r="B10560" s="0" t="s">
        <v>7</v>
      </c>
      <c r="C10560" s="0" t="s">
        <v>4319</v>
      </c>
      <c r="D10560" s="0" t="s">
        <v>1152</v>
      </c>
      <c r="E10560" s="0" t="s">
        <v>1152</v>
      </c>
      <c r="F10560" s="0" t="s">
        <v>1152</v>
      </c>
    </row>
    <row r="10561" customFormat="false" ht="12.8" hidden="false" customHeight="false" outlineLevel="0" collapsed="false">
      <c r="B10561" s="0" t="s">
        <v>124</v>
      </c>
      <c r="C10561" s="0" t="s">
        <v>4320</v>
      </c>
      <c r="D10561" s="0" t="s">
        <v>4285</v>
      </c>
      <c r="E10561" s="0" t="s">
        <v>4285</v>
      </c>
      <c r="F10561" s="0" t="s">
        <v>4285</v>
      </c>
    </row>
    <row r="10563" customFormat="false" ht="12.8" hidden="false" customHeight="false" outlineLevel="0" collapsed="false">
      <c r="A10563" s="0" t="s">
        <v>4318</v>
      </c>
      <c r="B10563" s="0" t="str">
        <f aca="false">HYPERLINK("https://lindat.mff.cuni.cz/services/teitok/pdtc10/index.php?action=vallex&amp;frame=v-w1328f8_ZU", "jezdit (v-w1328f8_ZU) - substituted with v-w1328f10_ZU")</f>
        <v>jezdit (v-w1328f8_ZU) - substituted with v-w1328f10_ZU</v>
      </c>
    </row>
    <row r="10564" customFormat="false" ht="12.8" hidden="false" customHeight="false" outlineLevel="0" collapsed="false">
      <c r="B10564" s="0" t="s">
        <v>7</v>
      </c>
    </row>
    <row r="10565" customFormat="false" ht="12.8" hidden="false" customHeight="false" outlineLevel="0" collapsed="false">
      <c r="B10565" s="0" t="s">
        <v>124</v>
      </c>
    </row>
    <row r="10567" customFormat="false" ht="12.8" hidden="false" customHeight="false" outlineLevel="0" collapsed="false">
      <c r="A10567" s="0" t="s">
        <v>4321</v>
      </c>
      <c r="B10567" s="0" t="str">
        <f aca="false">HYPERLINK("https://lindat.mff.cuni.cz/services/teitok/pdtc10/index.php?action=vallex&amp;frame=v-w1328f1", "jezdit (v-w1328f1)")</f>
        <v>jezdit (v-w1328f1)</v>
      </c>
    </row>
    <row r="10568" customFormat="false" ht="12.8" hidden="false" customHeight="false" outlineLevel="0" collapsed="false">
      <c r="B10568" s="0" t="s">
        <v>7</v>
      </c>
      <c r="C10568" s="0" t="s">
        <v>4322</v>
      </c>
      <c r="D10568" s="0" t="s">
        <v>2170</v>
      </c>
      <c r="E10568" s="0" t="s">
        <v>2170</v>
      </c>
      <c r="F10568" s="0" t="s">
        <v>2170</v>
      </c>
    </row>
    <row r="10570" customFormat="false" ht="12.8" hidden="false" customHeight="false" outlineLevel="0" collapsed="false">
      <c r="A10570" s="0" t="s">
        <v>4323</v>
      </c>
      <c r="B10570" s="0" t="str">
        <f aca="false">HYPERLINK("https://lindat.mff.cuni.cz/services/teitok/pdtc10/index.php?action=vallex&amp;frame=v-w1328f6_ZU", "jezdit (v-w1328f6_ZU)")</f>
        <v>jezdit (v-w1328f6_ZU)</v>
      </c>
    </row>
    <row r="10571" customFormat="false" ht="12.8" hidden="false" customHeight="false" outlineLevel="0" collapsed="false">
      <c r="B10571" s="0" t="s">
        <v>7</v>
      </c>
    </row>
    <row r="10572" customFormat="false" ht="12.8" hidden="false" customHeight="false" outlineLevel="0" collapsed="false">
      <c r="B10572" s="0" t="s">
        <v>4324</v>
      </c>
    </row>
    <row r="10574" customFormat="false" ht="12.8" hidden="false" customHeight="false" outlineLevel="0" collapsed="false">
      <c r="A10574" s="0" t="s">
        <v>4323</v>
      </c>
      <c r="B10574" s="0" t="str">
        <f aca="false">HYPERLINK("https://lindat.mff.cuni.cz/services/teitok/pdtc10/index.php?action=vallex&amp;frame=v-w1328f4_ZU", "jezdit (v-w1328f4_ZU) - substituted with v-w1328f6_ZU")</f>
        <v>jezdit (v-w1328f4_ZU) - substituted with v-w1328f6_ZU</v>
      </c>
    </row>
    <row r="10575" customFormat="false" ht="12.8" hidden="false" customHeight="false" outlineLevel="0" collapsed="false">
      <c r="B10575" s="0" t="s">
        <v>7</v>
      </c>
    </row>
    <row r="10576" customFormat="false" ht="12.8" hidden="false" customHeight="false" outlineLevel="0" collapsed="false">
      <c r="B10576" s="0" t="s">
        <v>4324</v>
      </c>
    </row>
    <row r="10578" customFormat="false" ht="12.8" hidden="false" customHeight="false" outlineLevel="0" collapsed="false">
      <c r="A10578" s="0" t="s">
        <v>4325</v>
      </c>
      <c r="B10578" s="0" t="str">
        <f aca="false">HYPERLINK("https://lindat.mff.cuni.cz/services/teitok/pdtc10/index.php?action=vallex&amp;frame=v-w1328f7_ZU", "jezdit (v-w1328f7_ZU)")</f>
        <v>jezdit (v-w1328f7_ZU)</v>
      </c>
    </row>
    <row r="10579" customFormat="false" ht="12.8" hidden="false" customHeight="false" outlineLevel="0" collapsed="false">
      <c r="B10579" s="0" t="s">
        <v>7</v>
      </c>
    </row>
    <row r="10580" customFormat="false" ht="12.8" hidden="false" customHeight="false" outlineLevel="0" collapsed="false">
      <c r="B10580" s="0" t="s">
        <v>14</v>
      </c>
    </row>
    <row r="10582" customFormat="false" ht="12.8" hidden="false" customHeight="false" outlineLevel="0" collapsed="false">
      <c r="A10582" s="0" t="s">
        <v>4326</v>
      </c>
      <c r="B10582" s="0" t="str">
        <f aca="false">HYPERLINK("https://lindat.mff.cuni.cz/services/teitok/pdtc10/index.php?action=vallex&amp;frame=v-w1328f11_ZU", "jezdit (v-w1328f11_ZU)")</f>
        <v>jezdit (v-w1328f11_ZU)</v>
      </c>
    </row>
    <row r="10583" customFormat="false" ht="12.8" hidden="false" customHeight="false" outlineLevel="0" collapsed="false">
      <c r="B10583" s="0" t="s">
        <v>7</v>
      </c>
    </row>
    <row r="10584" customFormat="false" ht="12.8" hidden="false" customHeight="false" outlineLevel="0" collapsed="false">
      <c r="B10584" s="0" t="s">
        <v>1059</v>
      </c>
    </row>
    <row r="10586" customFormat="false" ht="12.8" hidden="false" customHeight="false" outlineLevel="0" collapsed="false">
      <c r="A10586" s="0" t="s">
        <v>4326</v>
      </c>
      <c r="B10586" s="0" t="str">
        <f aca="false">HYPERLINK("https://lindat.mff.cuni.cz/services/teitok/pdtc10/index.php?action=vallex&amp;frame=v-w1328f5_ZU", "jezdit (v-w1328f5_ZU) - substituted with v-w1328f11_ZU")</f>
        <v>jezdit (v-w1328f5_ZU) - substituted with v-w1328f11_ZU</v>
      </c>
    </row>
    <row r="10587" customFormat="false" ht="12.8" hidden="false" customHeight="false" outlineLevel="0" collapsed="false">
      <c r="B10587" s="0" t="s">
        <v>7</v>
      </c>
    </row>
    <row r="10588" customFormat="false" ht="12.8" hidden="false" customHeight="false" outlineLevel="0" collapsed="false">
      <c r="B10588" s="0" t="s">
        <v>1059</v>
      </c>
    </row>
    <row r="10590" customFormat="false" ht="12.8" hidden="false" customHeight="false" outlineLevel="0" collapsed="false">
      <c r="A10590" s="0" t="s">
        <v>4326</v>
      </c>
      <c r="B10590" s="0" t="str">
        <f aca="false">HYPERLINK("https://lindat.mff.cuni.cz/services/teitok/pdtc10/index.php?action=vallex&amp;frame=v-w1328f9_ZU", "jezdit (v-w1328f9_ZU) - substituted with v-w1328f11_ZU")</f>
        <v>jezdit (v-w1328f9_ZU) - substituted with v-w1328f11_ZU</v>
      </c>
    </row>
    <row r="10591" customFormat="false" ht="12.8" hidden="false" customHeight="false" outlineLevel="0" collapsed="false">
      <c r="B10591" s="0" t="s">
        <v>7</v>
      </c>
    </row>
    <row r="10592" customFormat="false" ht="12.8" hidden="false" customHeight="false" outlineLevel="0" collapsed="false">
      <c r="B10592" s="0" t="s">
        <v>1059</v>
      </c>
    </row>
    <row r="10594" customFormat="false" ht="12.8" hidden="false" customHeight="false" outlineLevel="0" collapsed="false">
      <c r="A10594" s="0" t="s">
        <v>4327</v>
      </c>
      <c r="B10594" s="0" t="str">
        <f aca="false">HYPERLINK("https://lindat.mff.cuni.cz/services/teitok/pdtc10/index.php?action=vallex&amp;frame=v-w1328hsa_675", "jezdit (v-w1328hsa_675)")</f>
        <v>jezdit (v-w1328hsa_675)</v>
      </c>
    </row>
    <row r="10595" customFormat="false" ht="12.8" hidden="false" customHeight="false" outlineLevel="0" collapsed="false">
      <c r="B10595" s="0" t="s">
        <v>7</v>
      </c>
    </row>
    <row r="10596" customFormat="false" ht="12.8" hidden="false" customHeight="false" outlineLevel="0" collapsed="false">
      <c r="B10596" s="0" t="s">
        <v>548</v>
      </c>
    </row>
    <row r="10598" customFormat="false" ht="12.8" hidden="false" customHeight="false" outlineLevel="0" collapsed="false">
      <c r="A10598" s="0" t="s">
        <v>4328</v>
      </c>
      <c r="B10598" s="0" t="str">
        <f aca="false">HYPERLINK("https://lindat.mff.cuni.cz/services/teitok/pdtc10/index.php?action=vallex&amp;frame=v-w1329f1", "jezdívat (v-w1329f1)")</f>
        <v>jezdívat (v-w1329f1)</v>
      </c>
    </row>
    <row r="10599" customFormat="false" ht="12.8" hidden="false" customHeight="false" outlineLevel="0" collapsed="false">
      <c r="B10599" s="0" t="s">
        <v>7</v>
      </c>
      <c r="D10599" s="0" t="s">
        <v>1152</v>
      </c>
      <c r="E10599" s="0" t="s">
        <v>1152</v>
      </c>
      <c r="F10599" s="0" t="s">
        <v>1152</v>
      </c>
    </row>
    <row r="10600" customFormat="false" ht="12.8" hidden="false" customHeight="false" outlineLevel="0" collapsed="false">
      <c r="B10600" s="0" t="s">
        <v>124</v>
      </c>
      <c r="D10600" s="0" t="s">
        <v>4285</v>
      </c>
      <c r="E10600" s="0" t="s">
        <v>4285</v>
      </c>
      <c r="F10600" s="0" t="s">
        <v>4285</v>
      </c>
    </row>
    <row r="10602" customFormat="false" ht="12.8" hidden="false" customHeight="false" outlineLevel="0" collapsed="false">
      <c r="A10602" s="0" t="s">
        <v>4329</v>
      </c>
      <c r="B10602" s="0" t="str">
        <f aca="false">HYPERLINK("https://lindat.mff.cuni.cz/services/teitok/pdtc10/index.php?action=vallex&amp;frame=v-w1329f2_ZU", "jezdívat (v-w1329f2_ZU)")</f>
        <v>jezdívat (v-w1329f2_ZU)</v>
      </c>
    </row>
    <row r="10603" customFormat="false" ht="12.8" hidden="false" customHeight="false" outlineLevel="0" collapsed="false">
      <c r="B10603" s="0" t="s">
        <v>7</v>
      </c>
    </row>
    <row r="10604" customFormat="false" ht="12.8" hidden="false" customHeight="false" outlineLevel="0" collapsed="false">
      <c r="B10604" s="0" t="s">
        <v>14</v>
      </c>
    </row>
    <row r="10606" customFormat="false" ht="12.8" hidden="false" customHeight="false" outlineLevel="0" collapsed="false">
      <c r="A10606" s="0" t="s">
        <v>4330</v>
      </c>
      <c r="B10606" s="0" t="str">
        <f aca="false">HYPERLINK("https://lindat.mff.cuni.cz/services/teitok/pdtc10/index.php?action=vallex&amp;frame=v-w1329hsa_249", "jezdívat (v-w1329hsa_249)")</f>
        <v>jezdívat (v-w1329hsa_249)</v>
      </c>
    </row>
    <row r="10607" customFormat="false" ht="12.8" hidden="false" customHeight="false" outlineLevel="0" collapsed="false">
      <c r="B10607" s="0" t="s">
        <v>7</v>
      </c>
    </row>
    <row r="10609" customFormat="false" ht="12.8" hidden="false" customHeight="false" outlineLevel="0" collapsed="false">
      <c r="A10609" s="0" t="s">
        <v>4331</v>
      </c>
      <c r="B10609" s="0" t="str">
        <f aca="false">HYPERLINK("https://lindat.mff.cuni.cz/services/teitok/pdtc10/index.php?action=vallex&amp;frame=v-whsa_1426hsa_1427", "jezdívávat (v-whsa_1426hsa_1427)")</f>
        <v>jezdívávat (v-whsa_1426hsa_1427)</v>
      </c>
    </row>
    <row r="10610" customFormat="false" ht="12.8" hidden="false" customHeight="false" outlineLevel="0" collapsed="false">
      <c r="B10610" s="0" t="s">
        <v>7</v>
      </c>
    </row>
    <row r="10611" customFormat="false" ht="12.8" hidden="false" customHeight="false" outlineLevel="0" collapsed="false">
      <c r="B10611" s="0" t="s">
        <v>14</v>
      </c>
    </row>
    <row r="10613" customFormat="false" ht="12.8" hidden="false" customHeight="false" outlineLevel="0" collapsed="false">
      <c r="A10613" s="0" t="s">
        <v>4332</v>
      </c>
      <c r="B10613" s="0" t="str">
        <f aca="false">HYPERLINK("https://lindat.mff.cuni.cz/services/teitok/pdtc10/index.php?action=vallex&amp;frame=v-whsa_1426hsa_1428", "jezdívávat (v-whsa_1426hsa_1428)")</f>
        <v>jezdívávat (v-whsa_1426hsa_1428)</v>
      </c>
    </row>
    <row r="10614" customFormat="false" ht="12.8" hidden="false" customHeight="false" outlineLevel="0" collapsed="false">
      <c r="B10614" s="0" t="s">
        <v>7</v>
      </c>
    </row>
    <row r="10616" customFormat="false" ht="12.8" hidden="false" customHeight="false" outlineLevel="0" collapsed="false">
      <c r="A10616" s="0" t="s">
        <v>4333</v>
      </c>
      <c r="B10616" s="0" t="str">
        <f aca="false">HYPERLINK("https://lindat.mff.cuni.cz/services/teitok/pdtc10/index.php?action=vallex&amp;frame=v-whsa_1426hsa_1429", "jezdívávat (v-whsa_1426hsa_1429)")</f>
        <v>jezdívávat (v-whsa_1426hsa_1429)</v>
      </c>
    </row>
    <row r="10617" customFormat="false" ht="12.8" hidden="false" customHeight="false" outlineLevel="0" collapsed="false">
      <c r="B10617" s="0" t="s">
        <v>7</v>
      </c>
    </row>
    <row r="10618" customFormat="false" ht="12.8" hidden="false" customHeight="false" outlineLevel="0" collapsed="false">
      <c r="B10618" s="0" t="s">
        <v>124</v>
      </c>
    </row>
    <row r="10620" customFormat="false" ht="12.8" hidden="false" customHeight="false" outlineLevel="0" collapsed="false">
      <c r="A10620" s="0" t="s">
        <v>4334</v>
      </c>
      <c r="B10620" s="0" t="str">
        <f aca="false">HYPERLINK("https://lindat.mff.cuni.cz/services/teitok/pdtc10/index.php?action=vallex&amp;frame=v-w10865f2", "ječet (v-w10865f2)")</f>
        <v>ječet (v-w10865f2)</v>
      </c>
    </row>
    <row r="10621" customFormat="false" ht="12.8" hidden="false" customHeight="false" outlineLevel="0" collapsed="false">
      <c r="B10621" s="0" t="s">
        <v>7</v>
      </c>
      <c r="C10621" s="0" t="s">
        <v>31</v>
      </c>
      <c r="D10621" s="0" t="s">
        <v>3051</v>
      </c>
      <c r="E10621" s="0" t="s">
        <v>3051</v>
      </c>
      <c r="F10621" s="0" t="s">
        <v>3051</v>
      </c>
    </row>
    <row r="10622" customFormat="false" ht="12.8" hidden="false" customHeight="false" outlineLevel="0" collapsed="false">
      <c r="B10622" s="0" t="s">
        <v>4335</v>
      </c>
      <c r="C10622" s="0" t="s">
        <v>384</v>
      </c>
      <c r="D10622" s="0" t="s">
        <v>466</v>
      </c>
      <c r="E10622" s="0" t="s">
        <v>466</v>
      </c>
      <c r="F10622" s="0" t="s">
        <v>466</v>
      </c>
    </row>
    <row r="10623" customFormat="false" ht="12.8" hidden="false" customHeight="false" outlineLevel="0" collapsed="false">
      <c r="B10623" s="0" t="s">
        <v>4101</v>
      </c>
      <c r="C10623" s="0" t="s">
        <v>4154</v>
      </c>
      <c r="D10623" s="0" t="s">
        <v>4154</v>
      </c>
      <c r="E10623" s="0" t="s">
        <v>4154</v>
      </c>
      <c r="F10623" s="0" t="s">
        <v>4154</v>
      </c>
    </row>
    <row r="10625" customFormat="false" ht="12.8" hidden="false" customHeight="false" outlineLevel="0" collapsed="false">
      <c r="A10625" s="0" t="s">
        <v>4336</v>
      </c>
      <c r="B10625" s="0" t="str">
        <f aca="false">HYPERLINK("https://lindat.mff.cuni.cz/services/teitok/pdtc10/index.php?action=vallex&amp;frame=v-w10865hsa_938", "ječet (v-w10865hsa_938)")</f>
        <v>ječet (v-w10865hsa_938)</v>
      </c>
    </row>
    <row r="10626" customFormat="false" ht="12.8" hidden="false" customHeight="false" outlineLevel="0" collapsed="false">
      <c r="B10626" s="0" t="s">
        <v>7</v>
      </c>
      <c r="D10626" s="0" t="s">
        <v>348</v>
      </c>
      <c r="E10626" s="0" t="s">
        <v>348</v>
      </c>
      <c r="F10626" s="0" t="s">
        <v>348</v>
      </c>
    </row>
    <row r="10628" customFormat="false" ht="12.8" hidden="false" customHeight="false" outlineLevel="0" collapsed="false">
      <c r="A10628" s="0" t="s">
        <v>4337</v>
      </c>
      <c r="B10628" s="0" t="str">
        <f aca="false">HYPERLINK("https://lindat.mff.cuni.cz/services/teitok/pdtc10/index.php?action=vallex&amp;frame=v-w1330f1", "ježit se (v-w1330f1)")</f>
        <v>ježit se (v-w1330f1)</v>
      </c>
    </row>
    <row r="10629" customFormat="false" ht="12.8" hidden="false" customHeight="false" outlineLevel="0" collapsed="false">
      <c r="B10629" s="0" t="s">
        <v>7</v>
      </c>
    </row>
    <row r="10630" customFormat="false" ht="12.8" hidden="false" customHeight="false" outlineLevel="0" collapsed="false">
      <c r="B10630" s="0" t="s">
        <v>216</v>
      </c>
    </row>
    <row r="10632" customFormat="false" ht="12.8" hidden="false" customHeight="false" outlineLevel="0" collapsed="false">
      <c r="A10632" s="0" t="s">
        <v>4338</v>
      </c>
      <c r="B10632" s="0" t="str">
        <f aca="false">HYPERLINK("https://lindat.mff.cuni.cz/services/teitok/pdtc10/index.php?action=vallex&amp;frame=v-w1330f3", "ježit se (v-w1330f3)")</f>
        <v>ježit se (v-w1330f3)</v>
      </c>
    </row>
    <row r="10633" customFormat="false" ht="12.8" hidden="false" customHeight="false" outlineLevel="0" collapsed="false">
      <c r="B10633" s="0" t="s">
        <v>7</v>
      </c>
    </row>
    <row r="10634" customFormat="false" ht="12.8" hidden="false" customHeight="false" outlineLevel="0" collapsed="false">
      <c r="B10634" s="0" t="s">
        <v>600</v>
      </c>
    </row>
    <row r="10636" customFormat="false" ht="12.8" hidden="false" customHeight="false" outlineLevel="0" collapsed="false">
      <c r="A10636" s="0" t="s">
        <v>4339</v>
      </c>
      <c r="B10636" s="0" t="str">
        <f aca="false">HYPERLINK("https://lindat.mff.cuni.cz/services/teitok/pdtc10/index.php?action=vallex&amp;frame=v-w1330f2", "ježit se (v-w1330f2)")</f>
        <v>ježit se (v-w1330f2)</v>
      </c>
    </row>
    <row r="10637" customFormat="false" ht="12.8" hidden="false" customHeight="false" outlineLevel="0" collapsed="false">
      <c r="B10637" s="0" t="s">
        <v>7</v>
      </c>
    </row>
    <row r="10639" customFormat="false" ht="12.8" hidden="false" customHeight="false" outlineLevel="0" collapsed="false">
      <c r="A10639" s="0" t="s">
        <v>4340</v>
      </c>
      <c r="B10639" s="0" t="str">
        <f aca="false">HYPERLINK("https://lindat.mff.cuni.cz/services/teitok/pdtc10/index.php?action=vallex&amp;frame=v-w1333f1", "jiskřit (v-w1333f1)")</f>
        <v>jiskřit (v-w1333f1)</v>
      </c>
    </row>
    <row r="10640" customFormat="false" ht="12.8" hidden="false" customHeight="false" outlineLevel="0" collapsed="false">
      <c r="B10640" s="0" t="s">
        <v>7</v>
      </c>
    </row>
    <row r="10642" customFormat="false" ht="12.8" hidden="false" customHeight="false" outlineLevel="0" collapsed="false">
      <c r="A10642" s="0" t="s">
        <v>4341</v>
      </c>
      <c r="B10642" s="0" t="str">
        <f aca="false">HYPERLINK("https://lindat.mff.cuni.cz/services/teitok/pdtc10/index.php?action=vallex&amp;frame=v-w1335f2_ZU", "jistit (v-w1335f2_ZU)")</f>
        <v>jistit (v-w1335f2_ZU)</v>
      </c>
    </row>
    <row r="10643" customFormat="false" ht="12.8" hidden="false" customHeight="false" outlineLevel="0" collapsed="false">
      <c r="B10643" s="0" t="s">
        <v>7</v>
      </c>
    </row>
    <row r="10644" customFormat="false" ht="12.8" hidden="false" customHeight="false" outlineLevel="0" collapsed="false">
      <c r="B10644" s="0" t="s">
        <v>14</v>
      </c>
    </row>
    <row r="10645" customFormat="false" ht="12.8" hidden="false" customHeight="false" outlineLevel="0" collapsed="false">
      <c r="B10645" s="0" t="s">
        <v>416</v>
      </c>
    </row>
    <row r="10647" customFormat="false" ht="12.8" hidden="false" customHeight="false" outlineLevel="0" collapsed="false">
      <c r="A10647" s="0" t="s">
        <v>4341</v>
      </c>
      <c r="B10647" s="0" t="str">
        <f aca="false">HYPERLINK("https://lindat.mff.cuni.cz/services/teitok/pdtc10/index.php?action=vallex&amp;frame=v-w1335f1", "jistit (v-w1335f1) - substituted with v-w1335f2_ZU")</f>
        <v>jistit (v-w1335f1) - substituted with v-w1335f2_ZU</v>
      </c>
    </row>
    <row r="10648" customFormat="false" ht="12.8" hidden="false" customHeight="false" outlineLevel="0" collapsed="false">
      <c r="B10648" s="0" t="s">
        <v>7</v>
      </c>
      <c r="C10648" s="0" t="s">
        <v>4342</v>
      </c>
      <c r="D10648" s="0" t="s">
        <v>3994</v>
      </c>
      <c r="E10648" s="0" t="s">
        <v>3994</v>
      </c>
      <c r="F10648" s="0" t="s">
        <v>4343</v>
      </c>
    </row>
    <row r="10649" customFormat="false" ht="12.8" hidden="false" customHeight="false" outlineLevel="0" collapsed="false">
      <c r="B10649" s="0" t="s">
        <v>14</v>
      </c>
      <c r="C10649" s="0" t="s">
        <v>4344</v>
      </c>
      <c r="D10649" s="0" t="s">
        <v>2641</v>
      </c>
      <c r="E10649" s="0" t="s">
        <v>2641</v>
      </c>
      <c r="F10649" s="0" t="s">
        <v>4345</v>
      </c>
    </row>
    <row r="10650" customFormat="false" ht="12.8" hidden="false" customHeight="false" outlineLevel="0" collapsed="false">
      <c r="B10650" s="0" t="s">
        <v>416</v>
      </c>
      <c r="C10650" s="0" t="s">
        <v>4346</v>
      </c>
      <c r="D10650" s="0" t="s">
        <v>4346</v>
      </c>
      <c r="E10650" s="0" t="s">
        <v>4346</v>
      </c>
      <c r="F10650" s="0" t="s">
        <v>4346</v>
      </c>
    </row>
    <row r="10652" customFormat="false" ht="12.8" hidden="false" customHeight="false" outlineLevel="0" collapsed="false">
      <c r="A10652" s="0" t="s">
        <v>4347</v>
      </c>
      <c r="B10652" s="0" t="str">
        <f aca="false">HYPERLINK("https://lindat.mff.cuni.cz/services/teitok/pdtc10/index.php?action=vallex&amp;frame=v-w1344f3", "jmenovat (v-w1344f3)")</f>
        <v>jmenovat (v-w1344f3)</v>
      </c>
    </row>
    <row r="10653" customFormat="false" ht="12.8" hidden="false" customHeight="false" outlineLevel="0" collapsed="false">
      <c r="B10653" s="0" t="s">
        <v>7</v>
      </c>
      <c r="C10653" s="0" t="s">
        <v>4348</v>
      </c>
      <c r="D10653" s="0" t="s">
        <v>4349</v>
      </c>
      <c r="E10653" s="0" t="s">
        <v>4349</v>
      </c>
      <c r="F10653" s="0" t="s">
        <v>4349</v>
      </c>
    </row>
    <row r="10654" customFormat="false" ht="12.8" hidden="false" customHeight="false" outlineLevel="0" collapsed="false">
      <c r="B10654" s="0" t="s">
        <v>232</v>
      </c>
      <c r="C10654" s="0" t="s">
        <v>4350</v>
      </c>
      <c r="D10654" s="0" t="s">
        <v>4351</v>
      </c>
      <c r="E10654" s="0" t="s">
        <v>4351</v>
      </c>
      <c r="F10654" s="0" t="s">
        <v>4351</v>
      </c>
    </row>
    <row r="10655" customFormat="false" ht="12.8" hidden="false" customHeight="false" outlineLevel="0" collapsed="false">
      <c r="B10655" s="0" t="s">
        <v>106</v>
      </c>
    </row>
    <row r="10657" customFormat="false" ht="12.8" hidden="false" customHeight="false" outlineLevel="0" collapsed="false">
      <c r="A10657" s="0" t="s">
        <v>4352</v>
      </c>
      <c r="B10657" s="0" t="str">
        <f aca="false">HYPERLINK("https://lindat.mff.cuni.cz/services/teitok/pdtc10/index.php?action=vallex&amp;frame=v-w1344f4_ZU", "jmenovat (v-w1344f4_ZU)")</f>
        <v>jmenovat (v-w1344f4_ZU)</v>
      </c>
    </row>
    <row r="10658" customFormat="false" ht="12.8" hidden="false" customHeight="false" outlineLevel="0" collapsed="false">
      <c r="B10658" s="0" t="s">
        <v>7</v>
      </c>
      <c r="C10658" s="0" t="s">
        <v>73</v>
      </c>
      <c r="D10658" s="0" t="s">
        <v>358</v>
      </c>
      <c r="E10658" s="0" t="s">
        <v>358</v>
      </c>
      <c r="F10658" s="0" t="s">
        <v>358</v>
      </c>
    </row>
    <row r="10659" customFormat="false" ht="12.8" hidden="false" customHeight="false" outlineLevel="0" collapsed="false">
      <c r="B10659" s="0" t="s">
        <v>14</v>
      </c>
      <c r="C10659" s="0" t="s">
        <v>4353</v>
      </c>
      <c r="D10659" s="0" t="s">
        <v>4354</v>
      </c>
      <c r="E10659" s="0" t="s">
        <v>4354</v>
      </c>
      <c r="F10659" s="0" t="s">
        <v>4354</v>
      </c>
    </row>
    <row r="10660" customFormat="false" ht="12.8" hidden="false" customHeight="false" outlineLevel="0" collapsed="false">
      <c r="B10660" s="0" t="s">
        <v>4355</v>
      </c>
      <c r="C10660" s="0" t="s">
        <v>4356</v>
      </c>
      <c r="D10660" s="0" t="s">
        <v>4357</v>
      </c>
      <c r="E10660" s="0" t="s">
        <v>4357</v>
      </c>
      <c r="F10660" s="0" t="s">
        <v>4357</v>
      </c>
    </row>
    <row r="10662" customFormat="false" ht="12.8" hidden="false" customHeight="false" outlineLevel="0" collapsed="false">
      <c r="A10662" s="0" t="s">
        <v>4352</v>
      </c>
      <c r="B10662" s="0" t="str">
        <f aca="false">HYPERLINK("https://lindat.mff.cuni.cz/services/teitok/pdtc10/index.php?action=vallex&amp;frame=v-w1344f2", "jmenovat (v-w1344f2) - substituted with v-w1344f4_ZU")</f>
        <v>jmenovat (v-w1344f2) - substituted with v-w1344f4_ZU</v>
      </c>
    </row>
    <row r="10663" customFormat="false" ht="12.8" hidden="false" customHeight="false" outlineLevel="0" collapsed="false">
      <c r="B10663" s="0" t="s">
        <v>7</v>
      </c>
      <c r="C10663" s="0" t="s">
        <v>4358</v>
      </c>
    </row>
    <row r="10664" customFormat="false" ht="12.8" hidden="false" customHeight="false" outlineLevel="0" collapsed="false">
      <c r="B10664" s="0" t="s">
        <v>14</v>
      </c>
      <c r="C10664" s="0" t="s">
        <v>4359</v>
      </c>
    </row>
    <row r="10665" customFormat="false" ht="12.8" hidden="false" customHeight="false" outlineLevel="0" collapsed="false">
      <c r="B10665" s="0" t="s">
        <v>4355</v>
      </c>
      <c r="C10665" s="0" t="s">
        <v>4360</v>
      </c>
    </row>
    <row r="10667" customFormat="false" ht="12.8" hidden="false" customHeight="false" outlineLevel="0" collapsed="false">
      <c r="A10667" s="0" t="s">
        <v>4361</v>
      </c>
      <c r="B10667" s="0" t="str">
        <f aca="false">HYPERLINK("https://lindat.mff.cuni.cz/services/teitok/pdtc10/index.php?action=vallex&amp;frame=v-w1344f1", "jmenovat (v-w1344f1)")</f>
        <v>jmenovat (v-w1344f1)</v>
      </c>
    </row>
    <row r="10668" customFormat="false" ht="12.8" hidden="false" customHeight="false" outlineLevel="0" collapsed="false">
      <c r="B10668" s="0" t="s">
        <v>7</v>
      </c>
      <c r="C10668" s="0" t="s">
        <v>4362</v>
      </c>
      <c r="D10668" s="0" t="s">
        <v>358</v>
      </c>
      <c r="E10668" s="0" t="s">
        <v>358</v>
      </c>
      <c r="F10668" s="0" t="s">
        <v>358</v>
      </c>
    </row>
    <row r="10669" customFormat="false" ht="12.8" hidden="false" customHeight="false" outlineLevel="0" collapsed="false">
      <c r="B10669" s="0" t="s">
        <v>14</v>
      </c>
      <c r="C10669" s="0" t="s">
        <v>4363</v>
      </c>
      <c r="D10669" s="0" t="s">
        <v>4354</v>
      </c>
      <c r="E10669" s="0" t="s">
        <v>4354</v>
      </c>
      <c r="F10669" s="0" t="s">
        <v>4354</v>
      </c>
    </row>
    <row r="10671" customFormat="false" ht="12.8" hidden="false" customHeight="false" outlineLevel="0" collapsed="false">
      <c r="A10671" s="0" t="s">
        <v>4364</v>
      </c>
      <c r="B10671" s="0" t="str">
        <f aca="false">HYPERLINK("https://lindat.mff.cuni.cz/services/teitok/pdtc10/index.php?action=vallex&amp;frame=v-w1344hsa_778", "jmenovat (v-w1344hsa_778)")</f>
        <v>jmenovat (v-w1344hsa_778)</v>
      </c>
    </row>
    <row r="10672" customFormat="false" ht="12.8" hidden="false" customHeight="false" outlineLevel="0" collapsed="false">
      <c r="B10672" s="0" t="s">
        <v>7</v>
      </c>
    </row>
    <row r="10673" customFormat="false" ht="12.8" hidden="false" customHeight="false" outlineLevel="0" collapsed="false">
      <c r="B10673" s="0" t="s">
        <v>14</v>
      </c>
    </row>
    <row r="10674" customFormat="false" ht="12.8" hidden="false" customHeight="false" outlineLevel="0" collapsed="false">
      <c r="B10674" s="0" t="s">
        <v>662</v>
      </c>
    </row>
    <row r="10676" customFormat="false" ht="12.8" hidden="false" customHeight="false" outlineLevel="0" collapsed="false">
      <c r="A10676" s="0" t="s">
        <v>4365</v>
      </c>
      <c r="B10676" s="0" t="str">
        <f aca="false">HYPERLINK("https://lindat.mff.cuni.cz/services/teitok/pdtc10/index.php?action=vallex&amp;frame=v-w1345f1", "jmenovat se (v-w1345f1)")</f>
        <v>jmenovat se (v-w1345f1)</v>
      </c>
    </row>
    <row r="10677" customFormat="false" ht="12.8" hidden="false" customHeight="false" outlineLevel="0" collapsed="false">
      <c r="B10677" s="0" t="s">
        <v>7</v>
      </c>
      <c r="C10677" s="0" t="s">
        <v>4366</v>
      </c>
      <c r="D10677" s="0" t="s">
        <v>4367</v>
      </c>
      <c r="E10677" s="0" t="s">
        <v>4367</v>
      </c>
      <c r="F10677" s="0" t="s">
        <v>4367</v>
      </c>
    </row>
    <row r="10678" customFormat="false" ht="12.8" hidden="false" customHeight="false" outlineLevel="0" collapsed="false">
      <c r="B10678" s="0" t="s">
        <v>328</v>
      </c>
      <c r="C10678" s="0" t="s">
        <v>4368</v>
      </c>
      <c r="D10678" s="0" t="s">
        <v>4369</v>
      </c>
      <c r="E10678" s="0" t="s">
        <v>4369</v>
      </c>
      <c r="F10678" s="0" t="s">
        <v>4369</v>
      </c>
    </row>
    <row r="10680" customFormat="false" ht="12.8" hidden="false" customHeight="false" outlineLevel="0" collapsed="false">
      <c r="A10680" s="0" t="s">
        <v>4370</v>
      </c>
      <c r="B10680" s="0" t="str">
        <f aca="false">HYPERLINK("https://lindat.mff.cuni.cz/services/teitok/pdtc10/index.php?action=vallex&amp;frame=v-w1345f2", "jmenovat se (v-w1345f2)")</f>
        <v>jmenovat se (v-w1345f2)</v>
      </c>
    </row>
    <row r="10681" customFormat="false" ht="12.8" hidden="false" customHeight="false" outlineLevel="0" collapsed="false">
      <c r="B10681" s="0" t="s">
        <v>7</v>
      </c>
    </row>
    <row r="10682" customFormat="false" ht="12.8" hidden="false" customHeight="false" outlineLevel="0" collapsed="false">
      <c r="B10682" s="0" t="s">
        <v>662</v>
      </c>
    </row>
    <row r="10684" customFormat="false" ht="12.8" hidden="false" customHeight="false" outlineLevel="0" collapsed="false">
      <c r="A10684" s="0" t="s">
        <v>4371</v>
      </c>
      <c r="B10684" s="0" t="str">
        <f aca="false">HYPERLINK("https://lindat.mff.cuni.cz/services/teitok/pdtc10/index.php?action=vallex&amp;frame=v-w11358f1", "jmout se (v-w11358f1)")</f>
        <v>jmout se (v-w11358f1)</v>
      </c>
    </row>
    <row r="10685" customFormat="false" ht="12.8" hidden="false" customHeight="false" outlineLevel="0" collapsed="false">
      <c r="B10685" s="0" t="s">
        <v>7</v>
      </c>
      <c r="F10685" s="0" t="s">
        <v>3180</v>
      </c>
    </row>
    <row r="10686" customFormat="false" ht="12.8" hidden="false" customHeight="false" outlineLevel="0" collapsed="false">
      <c r="B10686" s="0" t="s">
        <v>712</v>
      </c>
      <c r="F10686" s="0" t="s">
        <v>1522</v>
      </c>
    </row>
    <row r="10688" customFormat="false" ht="12.8" hidden="false" customHeight="false" outlineLevel="0" collapsed="false">
      <c r="A10688" s="0" t="s">
        <v>4372</v>
      </c>
      <c r="B10688" s="0" t="str">
        <f aca="false">HYPERLINK("https://lindat.mff.cuni.cz/services/teitok/pdtc10/index.php?action=vallex&amp;frame=v-w1346f1", "joggovat (v-w1346f1)")</f>
        <v>joggovat (v-w1346f1)</v>
      </c>
    </row>
    <row r="10689" customFormat="false" ht="12.8" hidden="false" customHeight="false" outlineLevel="0" collapsed="false">
      <c r="B10689" s="0" t="s">
        <v>7</v>
      </c>
    </row>
    <row r="10691" customFormat="false" ht="12.8" hidden="false" customHeight="false" outlineLevel="0" collapsed="false">
      <c r="A10691" s="0" t="s">
        <v>4373</v>
      </c>
      <c r="B10691" s="0" t="str">
        <f aca="false">HYPERLINK("https://lindat.mff.cuni.cz/services/teitok/pdtc10/index.php?action=vallex&amp;frame=v-w11039f3", "jásat (v-w11039f3)")</f>
        <v>jásat (v-w11039f3)</v>
      </c>
    </row>
    <row r="10692" customFormat="false" ht="12.8" hidden="false" customHeight="false" outlineLevel="0" collapsed="false">
      <c r="B10692" s="0" t="s">
        <v>7</v>
      </c>
      <c r="C10692" s="0" t="s">
        <v>113</v>
      </c>
      <c r="D10692" s="0" t="s">
        <v>149</v>
      </c>
      <c r="E10692" s="0" t="s">
        <v>149</v>
      </c>
      <c r="F10692" s="0" t="s">
        <v>149</v>
      </c>
    </row>
    <row r="10693" customFormat="false" ht="12.8" hidden="false" customHeight="false" outlineLevel="0" collapsed="false">
      <c r="B10693" s="0" t="s">
        <v>3620</v>
      </c>
      <c r="C10693" s="0" t="s">
        <v>384</v>
      </c>
      <c r="D10693" s="0" t="s">
        <v>1405</v>
      </c>
      <c r="E10693" s="0" t="s">
        <v>1405</v>
      </c>
      <c r="F10693" s="0" t="s">
        <v>1405</v>
      </c>
    </row>
    <row r="10695" customFormat="false" ht="12.8" hidden="false" customHeight="false" outlineLevel="0" collapsed="false">
      <c r="A10695" s="0" t="s">
        <v>4374</v>
      </c>
      <c r="B10695" s="0" t="str">
        <f aca="false">HYPERLINK("https://lindat.mff.cuni.cz/services/teitok/pdtc10/index.php?action=vallex&amp;frame=v-whsa_1872hsa_1873", "jídávat (v-whsa_1872hsa_1873)")</f>
        <v>jídávat (v-whsa_1872hsa_1873)</v>
      </c>
    </row>
    <row r="10696" customFormat="false" ht="12.8" hidden="false" customHeight="false" outlineLevel="0" collapsed="false">
      <c r="B10696" s="0" t="s">
        <v>7</v>
      </c>
    </row>
    <row r="10698" customFormat="false" ht="12.8" hidden="false" customHeight="false" outlineLevel="0" collapsed="false">
      <c r="A10698" s="0" t="s">
        <v>4375</v>
      </c>
      <c r="B10698" s="0" t="str">
        <f aca="false">HYPERLINK("https://lindat.mff.cuni.cz/services/teitok/pdtc10/index.php?action=vallex&amp;frame=v-whsa_1872hsa_1874", "jídávat (v-whsa_1872hsa_1874)")</f>
        <v>jídávat (v-whsa_1872hsa_1874)</v>
      </c>
    </row>
    <row r="10699" customFormat="false" ht="12.8" hidden="false" customHeight="false" outlineLevel="0" collapsed="false">
      <c r="B10699" s="0" t="s">
        <v>7</v>
      </c>
    </row>
    <row r="10700" customFormat="false" ht="12.8" hidden="false" customHeight="false" outlineLevel="0" collapsed="false">
      <c r="B10700" s="0" t="s">
        <v>14</v>
      </c>
    </row>
    <row r="10702" customFormat="false" ht="12.8" hidden="false" customHeight="false" outlineLevel="0" collapsed="false">
      <c r="A10702" s="0" t="s">
        <v>4376</v>
      </c>
      <c r="B10702" s="0" t="str">
        <f aca="false">HYPERLINK("https://lindat.mff.cuni.cz/services/teitok/pdtc10/index.php?action=vallex&amp;frame=v-w1331f1", "jímat (v-w1331f1)")</f>
        <v>jímat (v-w1331f1)</v>
      </c>
    </row>
    <row r="10703" customFormat="false" ht="12.8" hidden="false" customHeight="false" outlineLevel="0" collapsed="false">
      <c r="B10703" s="0" t="s">
        <v>4377</v>
      </c>
    </row>
    <row r="10704" customFormat="false" ht="12.8" hidden="false" customHeight="false" outlineLevel="0" collapsed="false">
      <c r="B10704" s="0" t="s">
        <v>14</v>
      </c>
    </row>
    <row r="10706" customFormat="false" ht="12.8" hidden="false" customHeight="false" outlineLevel="0" collapsed="false">
      <c r="A10706" s="0" t="s">
        <v>4378</v>
      </c>
      <c r="B10706" s="0" t="str">
        <f aca="false">HYPERLINK("https://lindat.mff.cuni.cz/services/teitok/pdtc10/index.php?action=vallex&amp;frame=v-w1334f1", "jíst (v-w1334f1)")</f>
        <v>jíst (v-w1334f1)</v>
      </c>
    </row>
    <row r="10707" customFormat="false" ht="12.8" hidden="false" customHeight="false" outlineLevel="0" collapsed="false">
      <c r="B10707" s="0" t="s">
        <v>7</v>
      </c>
      <c r="C10707" s="0" t="s">
        <v>4379</v>
      </c>
      <c r="D10707" s="0" t="s">
        <v>4380</v>
      </c>
      <c r="E10707" s="0" t="s">
        <v>4380</v>
      </c>
      <c r="F10707" s="0" t="s">
        <v>4380</v>
      </c>
    </row>
    <row r="10708" customFormat="false" ht="12.8" hidden="false" customHeight="false" outlineLevel="0" collapsed="false">
      <c r="B10708" s="0" t="s">
        <v>4381</v>
      </c>
      <c r="C10708" s="0" t="s">
        <v>1315</v>
      </c>
      <c r="D10708" s="0" t="s">
        <v>151</v>
      </c>
      <c r="E10708" s="0" t="s">
        <v>151</v>
      </c>
      <c r="F10708" s="0" t="s">
        <v>151</v>
      </c>
    </row>
    <row r="10710" customFormat="false" ht="12.8" hidden="false" customHeight="false" outlineLevel="0" collapsed="false">
      <c r="A10710" s="0" t="s">
        <v>4382</v>
      </c>
      <c r="B10710" s="0" t="str">
        <f aca="false">HYPERLINK("https://lindat.mff.cuni.cz/services/teitok/pdtc10/index.php?action=vallex&amp;frame=v-w1334f2", "jíst (v-w1334f2)")</f>
        <v>jíst (v-w1334f2)</v>
      </c>
    </row>
    <row r="10711" customFormat="false" ht="12.8" hidden="false" customHeight="false" outlineLevel="0" collapsed="false">
      <c r="B10711" s="0" t="s">
        <v>7</v>
      </c>
      <c r="C10711" s="0" t="s">
        <v>4379</v>
      </c>
      <c r="D10711" s="0" t="s">
        <v>4380</v>
      </c>
      <c r="E10711" s="0" t="s">
        <v>4380</v>
      </c>
      <c r="F10711" s="0" t="s">
        <v>4380</v>
      </c>
    </row>
    <row r="10713" customFormat="false" ht="12.8" hidden="false" customHeight="false" outlineLevel="0" collapsed="false">
      <c r="A10713" s="0" t="s">
        <v>4383</v>
      </c>
      <c r="B10713" s="0" t="str">
        <f aca="false">HYPERLINK("https://lindat.mff.cuni.cz/services/teitok/pdtc10/index.php?action=vallex&amp;frame=v-w1339f40", "jít (v-w1339f40)")</f>
        <v>jít (v-w1339f40)</v>
      </c>
    </row>
    <row r="10714" customFormat="false" ht="12.8" hidden="false" customHeight="false" outlineLevel="0" collapsed="false">
      <c r="B10714" s="0" t="s">
        <v>7</v>
      </c>
    </row>
    <row r="10715" customFormat="false" ht="12.8" hidden="false" customHeight="false" outlineLevel="0" collapsed="false">
      <c r="B10715" s="0" t="s">
        <v>28</v>
      </c>
    </row>
    <row r="10716" customFormat="false" ht="12.8" hidden="false" customHeight="false" outlineLevel="0" collapsed="false">
      <c r="B10716" s="0" t="s">
        <v>4384</v>
      </c>
    </row>
    <row r="10718" customFormat="false" ht="12.8" hidden="false" customHeight="false" outlineLevel="0" collapsed="false">
      <c r="A10718" s="0" t="s">
        <v>4385</v>
      </c>
      <c r="B10718" s="0" t="str">
        <f aca="false">HYPERLINK("https://lindat.mff.cuni.cz/services/teitok/pdtc10/index.php?action=vallex&amp;frame=v-w1339f49_ZU", "jít (v-w1339f49_ZU)")</f>
        <v>jít (v-w1339f49_ZU)</v>
      </c>
    </row>
    <row r="10719" customFormat="false" ht="12.8" hidden="false" customHeight="false" outlineLevel="0" collapsed="false">
      <c r="B10719" s="0" t="s">
        <v>7</v>
      </c>
      <c r="C10719" s="0" t="s">
        <v>4386</v>
      </c>
    </row>
    <row r="10720" customFormat="false" ht="12.8" hidden="false" customHeight="false" outlineLevel="0" collapsed="false">
      <c r="B10720" s="0" t="s">
        <v>548</v>
      </c>
    </row>
    <row r="10721" customFormat="false" ht="12.8" hidden="false" customHeight="false" outlineLevel="0" collapsed="false">
      <c r="B10721" s="0" t="s">
        <v>124</v>
      </c>
    </row>
    <row r="10723" customFormat="false" ht="12.8" hidden="false" customHeight="false" outlineLevel="0" collapsed="false">
      <c r="A10723" s="0" t="s">
        <v>4387</v>
      </c>
      <c r="B10723" s="0" t="str">
        <f aca="false">HYPERLINK("https://lindat.mff.cuni.cz/services/teitok/pdtc10/index.php?action=vallex&amp;frame=v-w1339f36", "jít (v-w1339f36)")</f>
        <v>jít (v-w1339f36)</v>
      </c>
    </row>
    <row r="10724" customFormat="false" ht="12.8" hidden="false" customHeight="false" outlineLevel="0" collapsed="false">
      <c r="B10724" s="0" t="s">
        <v>457</v>
      </c>
      <c r="C10724" s="0" t="s">
        <v>108</v>
      </c>
      <c r="D10724" s="0" t="s">
        <v>460</v>
      </c>
      <c r="E10724" s="0" t="s">
        <v>460</v>
      </c>
      <c r="F10724" s="0" t="s">
        <v>460</v>
      </c>
    </row>
    <row r="10725" customFormat="false" ht="12.8" hidden="false" customHeight="false" outlineLevel="0" collapsed="false">
      <c r="B10725" s="0" t="s">
        <v>1375</v>
      </c>
      <c r="C10725" s="0" t="s">
        <v>89</v>
      </c>
      <c r="D10725" s="0" t="s">
        <v>1264</v>
      </c>
      <c r="E10725" s="0" t="s">
        <v>1264</v>
      </c>
      <c r="F10725" s="0" t="s">
        <v>1264</v>
      </c>
    </row>
    <row r="10727" customFormat="false" ht="12.8" hidden="false" customHeight="false" outlineLevel="0" collapsed="false">
      <c r="A10727" s="0" t="s">
        <v>4388</v>
      </c>
      <c r="B10727" s="0" t="str">
        <f aca="false">HYPERLINK("https://lindat.mff.cuni.cz/services/teitok/pdtc10/index.php?action=vallex&amp;frame=v-w1339f26", "jít (v-w1339f26)")</f>
        <v>jít (v-w1339f26)</v>
      </c>
    </row>
    <row r="10728" customFormat="false" ht="12.8" hidden="false" customHeight="false" outlineLevel="0" collapsed="false">
      <c r="B10728" s="0" t="s">
        <v>7</v>
      </c>
    </row>
    <row r="10729" customFormat="false" ht="12.8" hidden="false" customHeight="false" outlineLevel="0" collapsed="false">
      <c r="B10729" s="0" t="s">
        <v>14</v>
      </c>
    </row>
    <row r="10731" customFormat="false" ht="12.8" hidden="false" customHeight="false" outlineLevel="0" collapsed="false">
      <c r="A10731" s="0" t="s">
        <v>4389</v>
      </c>
      <c r="B10731" s="0" t="str">
        <f aca="false">HYPERLINK("https://lindat.mff.cuni.cz/services/teitok/pdtc10/index.php?action=vallex&amp;frame=v-w1339f45", "jít (v-w1339f45)")</f>
        <v>jít (v-w1339f45)</v>
      </c>
    </row>
    <row r="10732" customFormat="false" ht="12.8" hidden="false" customHeight="false" outlineLevel="0" collapsed="false">
      <c r="B10732" s="0" t="s">
        <v>7</v>
      </c>
    </row>
    <row r="10733" customFormat="false" ht="12.8" hidden="false" customHeight="false" outlineLevel="0" collapsed="false">
      <c r="B10733" s="0" t="s">
        <v>1172</v>
      </c>
    </row>
    <row r="10735" customFormat="false" ht="12.8" hidden="false" customHeight="false" outlineLevel="0" collapsed="false">
      <c r="A10735" s="0" t="s">
        <v>4390</v>
      </c>
      <c r="B10735" s="0" t="str">
        <f aca="false">HYPERLINK("https://lindat.mff.cuni.cz/services/teitok/pdtc10/index.php?action=vallex&amp;frame=v-w1339f10", "jít (v-w1339f10)")</f>
        <v>jít (v-w1339f10)</v>
      </c>
    </row>
    <row r="10736" customFormat="false" ht="12.8" hidden="false" customHeight="false" outlineLevel="0" collapsed="false">
      <c r="B10736" s="0" t="s">
        <v>7</v>
      </c>
      <c r="C10736" s="0" t="s">
        <v>4391</v>
      </c>
      <c r="D10736" s="0" t="s">
        <v>4392</v>
      </c>
      <c r="E10736" s="0" t="s">
        <v>4392</v>
      </c>
      <c r="F10736" s="0" t="s">
        <v>4392</v>
      </c>
    </row>
    <row r="10737" customFormat="false" ht="12.8" hidden="false" customHeight="false" outlineLevel="0" collapsed="false">
      <c r="B10737" s="0" t="s">
        <v>985</v>
      </c>
      <c r="C10737" s="0" t="s">
        <v>4393</v>
      </c>
      <c r="D10737" s="0" t="s">
        <v>4394</v>
      </c>
      <c r="E10737" s="0" t="s">
        <v>4394</v>
      </c>
      <c r="F10737" s="0" t="s">
        <v>4394</v>
      </c>
    </row>
    <row r="10739" customFormat="false" ht="12.8" hidden="false" customHeight="false" outlineLevel="0" collapsed="false">
      <c r="A10739" s="0" t="s">
        <v>4395</v>
      </c>
      <c r="B10739" s="0" t="str">
        <f aca="false">HYPERLINK("https://lindat.mff.cuni.cz/services/teitok/pdtc10/index.php?action=vallex&amp;frame=v-w1339f47", "jít (v-w1339f47)")</f>
        <v>jít (v-w1339f47)</v>
      </c>
    </row>
    <row r="10740" customFormat="false" ht="12.8" hidden="false" customHeight="false" outlineLevel="0" collapsed="false">
      <c r="B10740" s="0" t="s">
        <v>7</v>
      </c>
    </row>
    <row r="10741" customFormat="false" ht="12.8" hidden="false" customHeight="false" outlineLevel="0" collapsed="false">
      <c r="B10741" s="0" t="s">
        <v>985</v>
      </c>
    </row>
    <row r="10743" customFormat="false" ht="12.8" hidden="false" customHeight="false" outlineLevel="0" collapsed="false">
      <c r="A10743" s="0" t="s">
        <v>4396</v>
      </c>
      <c r="B10743" s="0" t="str">
        <f aca="false">HYPERLINK("https://lindat.mff.cuni.cz/services/teitok/pdtc10/index.php?action=vallex&amp;frame=v-w1339f19", "jít (v-w1339f19)")</f>
        <v>jít (v-w1339f19)</v>
      </c>
    </row>
    <row r="10744" customFormat="false" ht="12.8" hidden="false" customHeight="false" outlineLevel="0" collapsed="false">
      <c r="B10744" s="0" t="s">
        <v>7</v>
      </c>
      <c r="C10744" s="0" t="s">
        <v>4397</v>
      </c>
      <c r="D10744" s="0" t="s">
        <v>4398</v>
      </c>
      <c r="E10744" s="0" t="s">
        <v>4398</v>
      </c>
      <c r="F10744" s="0" t="s">
        <v>4398</v>
      </c>
    </row>
    <row r="10745" customFormat="false" ht="12.8" hidden="false" customHeight="false" outlineLevel="0" collapsed="false">
      <c r="B10745" s="0" t="s">
        <v>41</v>
      </c>
      <c r="C10745" s="0" t="s">
        <v>4399</v>
      </c>
      <c r="D10745" s="0" t="s">
        <v>4400</v>
      </c>
      <c r="E10745" s="0" t="s">
        <v>4400</v>
      </c>
      <c r="F10745" s="0" t="s">
        <v>4400</v>
      </c>
    </row>
    <row r="10747" customFormat="false" ht="12.8" hidden="false" customHeight="false" outlineLevel="0" collapsed="false">
      <c r="A10747" s="0" t="s">
        <v>4401</v>
      </c>
      <c r="B10747" s="0" t="str">
        <f aca="false">HYPERLINK("https://lindat.mff.cuni.cz/services/teitok/pdtc10/index.php?action=vallex&amp;frame=v-w1339f18", "jít (v-w1339f18)")</f>
        <v>jít (v-w1339f18)</v>
      </c>
    </row>
    <row r="10748" customFormat="false" ht="12.8" hidden="false" customHeight="false" outlineLevel="0" collapsed="false">
      <c r="B10748" s="0" t="s">
        <v>7</v>
      </c>
    </row>
    <row r="10749" customFormat="false" ht="12.8" hidden="false" customHeight="false" outlineLevel="0" collapsed="false">
      <c r="B10749" s="0" t="s">
        <v>41</v>
      </c>
    </row>
    <row r="10751" customFormat="false" ht="12.8" hidden="false" customHeight="false" outlineLevel="0" collapsed="false">
      <c r="A10751" s="0" t="s">
        <v>4402</v>
      </c>
      <c r="B10751" s="0" t="str">
        <f aca="false">HYPERLINK("https://lindat.mff.cuni.cz/services/teitok/pdtc10/index.php?action=vallex&amp;frame=v-w1339f33", "jít (v-w1339f33)")</f>
        <v>jít (v-w1339f33)</v>
      </c>
    </row>
    <row r="10752" customFormat="false" ht="12.8" hidden="false" customHeight="false" outlineLevel="0" collapsed="false">
      <c r="B10752" s="0" t="s">
        <v>7</v>
      </c>
    </row>
    <row r="10753" customFormat="false" ht="12.8" hidden="false" customHeight="false" outlineLevel="0" collapsed="false">
      <c r="B10753" s="0" t="s">
        <v>41</v>
      </c>
    </row>
    <row r="10755" customFormat="false" ht="12.8" hidden="false" customHeight="false" outlineLevel="0" collapsed="false">
      <c r="A10755" s="0" t="s">
        <v>4403</v>
      </c>
      <c r="B10755" s="0" t="str">
        <f aca="false">HYPERLINK("https://lindat.mff.cuni.cz/services/teitok/pdtc10/index.php?action=vallex&amp;frame=v-w1339f30", "jít (v-w1339f30)")</f>
        <v>jít (v-w1339f30)</v>
      </c>
    </row>
    <row r="10756" customFormat="false" ht="12.8" hidden="false" customHeight="false" outlineLevel="0" collapsed="false">
      <c r="B10756" s="0" t="s">
        <v>7</v>
      </c>
    </row>
    <row r="10757" customFormat="false" ht="12.8" hidden="false" customHeight="false" outlineLevel="0" collapsed="false">
      <c r="B10757" s="0" t="s">
        <v>1375</v>
      </c>
    </row>
    <row r="10759" customFormat="false" ht="12.8" hidden="false" customHeight="false" outlineLevel="0" collapsed="false">
      <c r="A10759" s="0" t="s">
        <v>4404</v>
      </c>
      <c r="B10759" s="0" t="str">
        <f aca="false">HYPERLINK("https://lindat.mff.cuni.cz/services/teitok/pdtc10/index.php?action=vallex&amp;frame=v-w1339f22", "jít (v-w1339f22)")</f>
        <v>jít (v-w1339f22)</v>
      </c>
    </row>
    <row r="10760" customFormat="false" ht="12.8" hidden="false" customHeight="false" outlineLevel="0" collapsed="false">
      <c r="B10760" s="0" t="s">
        <v>7</v>
      </c>
      <c r="C10760" s="0" t="s">
        <v>4405</v>
      </c>
    </row>
    <row r="10761" customFormat="false" ht="12.8" hidden="false" customHeight="false" outlineLevel="0" collapsed="false">
      <c r="B10761" s="0" t="s">
        <v>4406</v>
      </c>
      <c r="C10761" s="0" t="s">
        <v>4407</v>
      </c>
    </row>
    <row r="10763" customFormat="false" ht="12.8" hidden="false" customHeight="false" outlineLevel="0" collapsed="false">
      <c r="A10763" s="0" t="s">
        <v>4408</v>
      </c>
      <c r="B10763" s="0" t="str">
        <f aca="false">HYPERLINK("https://lindat.mff.cuni.cz/services/teitok/pdtc10/index.php?action=vallex&amp;frame=v-w1339f43", "jít (v-w1339f43)")</f>
        <v>jít (v-w1339f43)</v>
      </c>
    </row>
    <row r="10764" customFormat="false" ht="12.8" hidden="false" customHeight="false" outlineLevel="0" collapsed="false">
      <c r="B10764" s="0" t="s">
        <v>7</v>
      </c>
    </row>
    <row r="10765" customFormat="false" ht="12.8" hidden="false" customHeight="false" outlineLevel="0" collapsed="false">
      <c r="B10765" s="0" t="s">
        <v>1175</v>
      </c>
    </row>
    <row r="10767" customFormat="false" ht="12.8" hidden="false" customHeight="false" outlineLevel="0" collapsed="false">
      <c r="A10767" s="0" t="s">
        <v>4409</v>
      </c>
      <c r="B10767" s="0" t="str">
        <f aca="false">HYPERLINK("https://lindat.mff.cuni.cz/services/teitok/pdtc10/index.php?action=vallex&amp;frame=v-w1339f77_ZU", "jít (v-w1339f77_ZU)")</f>
        <v>jít (v-w1339f77_ZU)</v>
      </c>
    </row>
    <row r="10768" customFormat="false" ht="12.8" hidden="false" customHeight="false" outlineLevel="0" collapsed="false">
      <c r="B10768" s="0" t="s">
        <v>7</v>
      </c>
    </row>
    <row r="10769" customFormat="false" ht="12.8" hidden="false" customHeight="false" outlineLevel="0" collapsed="false">
      <c r="B10769" s="0" t="s">
        <v>3928</v>
      </c>
    </row>
    <row r="10771" customFormat="false" ht="12.8" hidden="false" customHeight="false" outlineLevel="0" collapsed="false">
      <c r="A10771" s="0" t="s">
        <v>4409</v>
      </c>
      <c r="B10771" s="0" t="str">
        <f aca="false">HYPERLINK("https://lindat.mff.cuni.cz/services/teitok/pdtc10/index.php?action=vallex&amp;frame=v-w1339f28", "jít (v-w1339f28) - substituted with v-w1339f77_ZU")</f>
        <v>jít (v-w1339f28) - substituted with v-w1339f77_ZU</v>
      </c>
    </row>
    <row r="10772" customFormat="false" ht="12.8" hidden="false" customHeight="false" outlineLevel="0" collapsed="false">
      <c r="B10772" s="0" t="s">
        <v>7</v>
      </c>
      <c r="C10772" s="0" t="s">
        <v>4410</v>
      </c>
      <c r="D10772" s="0" t="s">
        <v>4198</v>
      </c>
      <c r="E10772" s="0" t="s">
        <v>4198</v>
      </c>
      <c r="F10772" s="0" t="s">
        <v>4198</v>
      </c>
    </row>
    <row r="10773" customFormat="false" ht="12.8" hidden="false" customHeight="false" outlineLevel="0" collapsed="false">
      <c r="B10773" s="0" t="s">
        <v>3928</v>
      </c>
      <c r="C10773" s="0" t="s">
        <v>210</v>
      </c>
      <c r="D10773" s="0" t="s">
        <v>4200</v>
      </c>
      <c r="E10773" s="0" t="s">
        <v>4200</v>
      </c>
      <c r="F10773" s="0" t="s">
        <v>4200</v>
      </c>
    </row>
    <row r="10775" customFormat="false" ht="12.8" hidden="false" customHeight="false" outlineLevel="0" collapsed="false">
      <c r="A10775" s="0" t="s">
        <v>4411</v>
      </c>
      <c r="B10775" s="0" t="str">
        <f aca="false">HYPERLINK("https://lindat.mff.cuni.cz/services/teitok/pdtc10/index.php?action=vallex&amp;frame=v-w1339f17", "jít (v-w1339f17)")</f>
        <v>jít (v-w1339f17)</v>
      </c>
    </row>
    <row r="10776" customFormat="false" ht="12.8" hidden="false" customHeight="false" outlineLevel="0" collapsed="false">
      <c r="B10776" s="0" t="s">
        <v>603</v>
      </c>
    </row>
    <row r="10777" customFormat="false" ht="12.8" hidden="false" customHeight="false" outlineLevel="0" collapsed="false">
      <c r="B10777" s="0" t="s">
        <v>3108</v>
      </c>
    </row>
    <row r="10779" customFormat="false" ht="12.8" hidden="false" customHeight="false" outlineLevel="0" collapsed="false">
      <c r="A10779" s="0" t="s">
        <v>4412</v>
      </c>
      <c r="B10779" s="0" t="str">
        <f aca="false">HYPERLINK("https://lindat.mff.cuni.cz/services/teitok/pdtc10/index.php?action=vallex&amp;frame=v-w1339f46", "jít (v-w1339f46)")</f>
        <v>jít (v-w1339f46)</v>
      </c>
    </row>
    <row r="10780" customFormat="false" ht="12.8" hidden="false" customHeight="false" outlineLevel="0" collapsed="false">
      <c r="B10780" s="0" t="s">
        <v>603</v>
      </c>
    </row>
    <row r="10781" customFormat="false" ht="12.8" hidden="false" customHeight="false" outlineLevel="0" collapsed="false">
      <c r="B10781" s="0" t="s">
        <v>41</v>
      </c>
    </row>
    <row r="10783" customFormat="false" ht="12.8" hidden="false" customHeight="false" outlineLevel="0" collapsed="false">
      <c r="A10783" s="0" t="s">
        <v>4413</v>
      </c>
      <c r="B10783" s="0" t="str">
        <f aca="false">HYPERLINK("https://lindat.mff.cuni.cz/services/teitok/pdtc10/index.php?action=vallex&amp;frame=v-w1339f2", "jít (v-w1339f2)")</f>
        <v>jít (v-w1339f2)</v>
      </c>
    </row>
    <row r="10784" customFormat="false" ht="12.8" hidden="false" customHeight="false" outlineLevel="0" collapsed="false">
      <c r="B10784" s="0" t="s">
        <v>603</v>
      </c>
      <c r="C10784" s="0" t="s">
        <v>191</v>
      </c>
      <c r="D10784" s="0" t="s">
        <v>4414</v>
      </c>
      <c r="E10784" s="0" t="s">
        <v>4414</v>
      </c>
      <c r="F10784" s="0" t="s">
        <v>4414</v>
      </c>
    </row>
    <row r="10785" customFormat="false" ht="12.8" hidden="false" customHeight="false" outlineLevel="0" collapsed="false">
      <c r="B10785" s="0" t="s">
        <v>615</v>
      </c>
      <c r="C10785" s="0" t="s">
        <v>721</v>
      </c>
      <c r="D10785" s="0" t="s">
        <v>2887</v>
      </c>
      <c r="E10785" s="0" t="s">
        <v>2887</v>
      </c>
      <c r="F10785" s="0" t="s">
        <v>2887</v>
      </c>
    </row>
    <row r="10787" customFormat="false" ht="12.8" hidden="false" customHeight="false" outlineLevel="0" collapsed="false">
      <c r="A10787" s="0" t="s">
        <v>4415</v>
      </c>
      <c r="B10787" s="0" t="str">
        <f aca="false">HYPERLINK("https://lindat.mff.cuni.cz/services/teitok/pdtc10/index.php?action=vallex&amp;frame=v-w1339f72_ZU", "jít (v-w1339f72_ZU)")</f>
        <v>jít (v-w1339f72_ZU)</v>
      </c>
    </row>
    <row r="10788" customFormat="false" ht="12.8" hidden="false" customHeight="false" outlineLevel="0" collapsed="false">
      <c r="B10788" s="0" t="s">
        <v>7</v>
      </c>
    </row>
    <row r="10789" customFormat="false" ht="12.8" hidden="false" customHeight="false" outlineLevel="0" collapsed="false">
      <c r="B10789" s="0" t="s">
        <v>3892</v>
      </c>
    </row>
    <row r="10791" customFormat="false" ht="12.8" hidden="false" customHeight="false" outlineLevel="0" collapsed="false">
      <c r="A10791" s="0" t="s">
        <v>4415</v>
      </c>
      <c r="B10791" s="0" t="str">
        <f aca="false">HYPERLINK("https://lindat.mff.cuni.cz/services/teitok/pdtc10/index.php?action=vallex&amp;frame=v-w1339f50_ZU", "jít (v-w1339f50_ZU) - substituted with v-w1339f72_ZU")</f>
        <v>jít (v-w1339f50_ZU) - substituted with v-w1339f72_ZU</v>
      </c>
    </row>
    <row r="10792" customFormat="false" ht="12.8" hidden="false" customHeight="false" outlineLevel="0" collapsed="false">
      <c r="B10792" s="0" t="s">
        <v>7</v>
      </c>
      <c r="C10792" s="0" t="s">
        <v>4398</v>
      </c>
      <c r="D10792" s="0" t="s">
        <v>4398</v>
      </c>
      <c r="E10792" s="0" t="s">
        <v>4398</v>
      </c>
      <c r="F10792" s="0" t="s">
        <v>4398</v>
      </c>
    </row>
    <row r="10793" customFormat="false" ht="12.8" hidden="false" customHeight="false" outlineLevel="0" collapsed="false">
      <c r="B10793" s="0" t="s">
        <v>3892</v>
      </c>
      <c r="C10793" s="0" t="s">
        <v>4400</v>
      </c>
      <c r="D10793" s="0" t="s">
        <v>4400</v>
      </c>
      <c r="E10793" s="0" t="s">
        <v>4400</v>
      </c>
      <c r="F10793" s="0" t="s">
        <v>4400</v>
      </c>
    </row>
    <row r="10795" customFormat="false" ht="12.8" hidden="false" customHeight="false" outlineLevel="0" collapsed="false">
      <c r="A10795" s="0" t="s">
        <v>4416</v>
      </c>
      <c r="B10795" s="0" t="str">
        <f aca="false">HYPERLINK("https://lindat.mff.cuni.cz/services/teitok/pdtc10/index.php?action=vallex&amp;frame=v-w1339f85_ZU", "jít (v-w1339f85_ZU)")</f>
        <v>jít (v-w1339f85_ZU)</v>
      </c>
    </row>
    <row r="10796" customFormat="false" ht="12.8" hidden="false" customHeight="false" outlineLevel="0" collapsed="false">
      <c r="B10796" s="0" t="s">
        <v>7</v>
      </c>
    </row>
    <row r="10797" customFormat="false" ht="12.8" hidden="false" customHeight="false" outlineLevel="0" collapsed="false">
      <c r="B10797" s="0" t="s">
        <v>459</v>
      </c>
    </row>
    <row r="10799" customFormat="false" ht="12.8" hidden="false" customHeight="false" outlineLevel="0" collapsed="false">
      <c r="A10799" s="0" t="s">
        <v>4416</v>
      </c>
      <c r="B10799" s="0" t="str">
        <f aca="false">HYPERLINK("https://lindat.mff.cuni.cz/services/teitok/pdtc10/index.php?action=vallex&amp;frame=v-w1339f23", "jít (v-w1339f23) - substituted with v-w1339f85_ZU")</f>
        <v>jít (v-w1339f23) - substituted with v-w1339f85_ZU</v>
      </c>
    </row>
    <row r="10800" customFormat="false" ht="12.8" hidden="false" customHeight="false" outlineLevel="0" collapsed="false">
      <c r="B10800" s="0" t="s">
        <v>7</v>
      </c>
    </row>
    <row r="10801" customFormat="false" ht="12.8" hidden="false" customHeight="false" outlineLevel="0" collapsed="false">
      <c r="B10801" s="0" t="s">
        <v>459</v>
      </c>
    </row>
    <row r="10803" customFormat="false" ht="12.8" hidden="false" customHeight="false" outlineLevel="0" collapsed="false">
      <c r="A10803" s="0" t="s">
        <v>4417</v>
      </c>
      <c r="B10803" s="0" t="str">
        <f aca="false">HYPERLINK("https://lindat.mff.cuni.cz/services/teitok/pdtc10/index.php?action=vallex&amp;frame=v-w1339f5", "jít (v-w1339f5)")</f>
        <v>jít (v-w1339f5)</v>
      </c>
    </row>
    <row r="10804" customFormat="false" ht="12.8" hidden="false" customHeight="false" outlineLevel="0" collapsed="false">
      <c r="B10804" s="0" t="s">
        <v>7</v>
      </c>
      <c r="C10804" s="0" t="s">
        <v>4418</v>
      </c>
      <c r="D10804" s="0" t="s">
        <v>1152</v>
      </c>
      <c r="E10804" s="0" t="s">
        <v>1152</v>
      </c>
      <c r="F10804" s="0" t="s">
        <v>1152</v>
      </c>
    </row>
    <row r="10805" customFormat="false" ht="12.8" hidden="false" customHeight="false" outlineLevel="0" collapsed="false">
      <c r="B10805" s="0" t="s">
        <v>259</v>
      </c>
      <c r="C10805" s="0" t="s">
        <v>260</v>
      </c>
      <c r="D10805" s="0" t="s">
        <v>4419</v>
      </c>
      <c r="E10805" s="0" t="s">
        <v>4419</v>
      </c>
      <c r="F10805" s="0" t="s">
        <v>4419</v>
      </c>
    </row>
    <row r="10807" customFormat="false" ht="12.8" hidden="false" customHeight="false" outlineLevel="0" collapsed="false">
      <c r="A10807" s="0" t="s">
        <v>4420</v>
      </c>
      <c r="B10807" s="0" t="str">
        <f aca="false">HYPERLINK("https://lindat.mff.cuni.cz/services/teitok/pdtc10/index.php?action=vallex&amp;frame=v-w1339f96_ZU", "jít (v-w1339f96_ZU)")</f>
        <v>jít (v-w1339f96_ZU)</v>
      </c>
    </row>
    <row r="10808" customFormat="false" ht="12.8" hidden="false" customHeight="false" outlineLevel="0" collapsed="false">
      <c r="B10808" s="0" t="s">
        <v>7</v>
      </c>
    </row>
    <row r="10809" customFormat="false" ht="12.8" hidden="false" customHeight="false" outlineLevel="0" collapsed="false">
      <c r="B10809" s="0" t="s">
        <v>279</v>
      </c>
    </row>
    <row r="10811" customFormat="false" ht="12.8" hidden="false" customHeight="false" outlineLevel="0" collapsed="false">
      <c r="A10811" s="0" t="s">
        <v>4420</v>
      </c>
      <c r="B10811" s="0" t="str">
        <f aca="false">HYPERLINK("https://lindat.mff.cuni.cz/services/teitok/pdtc10/index.php?action=vallex&amp;frame=v-w1339f7", "jít (v-w1339f7) - substituted with v-w1339f96_ZU")</f>
        <v>jít (v-w1339f7) - substituted with v-w1339f96_ZU</v>
      </c>
    </row>
    <row r="10812" customFormat="false" ht="12.8" hidden="false" customHeight="false" outlineLevel="0" collapsed="false">
      <c r="B10812" s="0" t="s">
        <v>7</v>
      </c>
      <c r="C10812" s="0" t="s">
        <v>4421</v>
      </c>
      <c r="D10812" s="0" t="s">
        <v>4422</v>
      </c>
      <c r="E10812" s="0" t="s">
        <v>4423</v>
      </c>
      <c r="F10812" s="0" t="s">
        <v>4423</v>
      </c>
    </row>
    <row r="10813" customFormat="false" ht="12.8" hidden="false" customHeight="false" outlineLevel="0" collapsed="false">
      <c r="B10813" s="0" t="s">
        <v>279</v>
      </c>
      <c r="C10813" s="0" t="s">
        <v>4424</v>
      </c>
      <c r="D10813" s="0" t="s">
        <v>4425</v>
      </c>
      <c r="E10813" s="0" t="s">
        <v>4425</v>
      </c>
      <c r="F10813" s="0" t="s">
        <v>4425</v>
      </c>
    </row>
    <row r="10815" customFormat="false" ht="12.8" hidden="false" customHeight="false" outlineLevel="0" collapsed="false">
      <c r="A10815" s="0" t="s">
        <v>4426</v>
      </c>
      <c r="B10815" s="0" t="str">
        <f aca="false">HYPERLINK("https://lindat.mff.cuni.cz/services/teitok/pdtc10/index.php?action=vallex&amp;frame=v-w1339f84_ZU", "jít (v-w1339f84_ZU)")</f>
        <v>jít (v-w1339f84_ZU)</v>
      </c>
    </row>
    <row r="10816" customFormat="false" ht="12.8" hidden="false" customHeight="false" outlineLevel="0" collapsed="false">
      <c r="B10816" s="0" t="s">
        <v>7</v>
      </c>
    </row>
    <row r="10817" customFormat="false" ht="12.8" hidden="false" customHeight="false" outlineLevel="0" collapsed="false">
      <c r="B10817" s="0" t="s">
        <v>124</v>
      </c>
    </row>
    <row r="10819" customFormat="false" ht="12.8" hidden="false" customHeight="false" outlineLevel="0" collapsed="false">
      <c r="A10819" s="0" t="s">
        <v>4426</v>
      </c>
      <c r="B10819" s="0" t="str">
        <f aca="false">HYPERLINK("https://lindat.mff.cuni.cz/services/teitok/pdtc10/index.php?action=vallex&amp;frame=v-w1339f3", "jít (v-w1339f3) - substituted with v-w1339f84_ZU")</f>
        <v>jít (v-w1339f3) - substituted with v-w1339f84_ZU</v>
      </c>
    </row>
    <row r="10820" customFormat="false" ht="12.8" hidden="false" customHeight="false" outlineLevel="0" collapsed="false">
      <c r="B10820" s="0" t="s">
        <v>7</v>
      </c>
      <c r="C10820" s="0" t="s">
        <v>4427</v>
      </c>
      <c r="D10820" s="0" t="s">
        <v>4428</v>
      </c>
      <c r="E10820" s="0" t="s">
        <v>4428</v>
      </c>
      <c r="F10820" s="0" t="s">
        <v>4428</v>
      </c>
    </row>
    <row r="10821" customFormat="false" ht="12.8" hidden="false" customHeight="false" outlineLevel="0" collapsed="false">
      <c r="B10821" s="0" t="s">
        <v>124</v>
      </c>
      <c r="C10821" s="0" t="s">
        <v>4429</v>
      </c>
    </row>
    <row r="10823" customFormat="false" ht="12.8" hidden="false" customHeight="false" outlineLevel="0" collapsed="false">
      <c r="A10823" s="0" t="s">
        <v>4426</v>
      </c>
      <c r="B10823" s="0" t="str">
        <f aca="false">HYPERLINK("https://lindat.mff.cuni.cz/services/teitok/pdtc10/index.php?action=vallex&amp;frame=v-w1339f82_ZU", "jít (v-w1339f82_ZU) - substituted with v-w1339f84_ZU")</f>
        <v>jít (v-w1339f82_ZU) - substituted with v-w1339f84_ZU</v>
      </c>
    </row>
    <row r="10824" customFormat="false" ht="12.8" hidden="false" customHeight="false" outlineLevel="0" collapsed="false">
      <c r="B10824" s="0" t="s">
        <v>7</v>
      </c>
    </row>
    <row r="10825" customFormat="false" ht="12.8" hidden="false" customHeight="false" outlineLevel="0" collapsed="false">
      <c r="B10825" s="0" t="s">
        <v>124</v>
      </c>
    </row>
    <row r="10827" customFormat="false" ht="12.8" hidden="false" customHeight="false" outlineLevel="0" collapsed="false">
      <c r="A10827" s="0" t="s">
        <v>4430</v>
      </c>
      <c r="B10827" s="0" t="str">
        <f aca="false">HYPERLINK("https://lindat.mff.cuni.cz/services/teitok/pdtc10/index.php?action=vallex&amp;frame=v-w1339f6", "jít (v-w1339f6)")</f>
        <v>jít (v-w1339f6)</v>
      </c>
    </row>
    <row r="10828" customFormat="false" ht="12.8" hidden="false" customHeight="false" outlineLevel="0" collapsed="false">
      <c r="B10828" s="0" t="s">
        <v>7</v>
      </c>
      <c r="C10828" s="0" t="s">
        <v>4431</v>
      </c>
    </row>
    <row r="10829" customFormat="false" ht="12.8" hidden="false" customHeight="false" outlineLevel="0" collapsed="false">
      <c r="B10829" s="0" t="s">
        <v>124</v>
      </c>
      <c r="C10829" s="0" t="s">
        <v>4432</v>
      </c>
    </row>
    <row r="10831" customFormat="false" ht="12.8" hidden="false" customHeight="false" outlineLevel="0" collapsed="false">
      <c r="A10831" s="0" t="s">
        <v>4433</v>
      </c>
      <c r="B10831" s="0" t="str">
        <f aca="false">HYPERLINK("https://lindat.mff.cuni.cz/services/teitok/pdtc10/index.php?action=vallex&amp;frame=v-w1339f9", "jít (v-w1339f9)")</f>
        <v>jít (v-w1339f9)</v>
      </c>
    </row>
    <row r="10832" customFormat="false" ht="12.8" hidden="false" customHeight="false" outlineLevel="0" collapsed="false">
      <c r="B10832" s="0" t="s">
        <v>7</v>
      </c>
      <c r="C10832" s="0" t="s">
        <v>4398</v>
      </c>
      <c r="D10832" s="0" t="s">
        <v>4398</v>
      </c>
      <c r="E10832" s="0" t="s">
        <v>4398</v>
      </c>
      <c r="F10832" s="0" t="s">
        <v>4398</v>
      </c>
    </row>
    <row r="10833" customFormat="false" ht="12.8" hidden="false" customHeight="false" outlineLevel="0" collapsed="false">
      <c r="B10833" s="0" t="s">
        <v>124</v>
      </c>
      <c r="C10833" s="0" t="s">
        <v>4434</v>
      </c>
      <c r="D10833" s="0" t="s">
        <v>4434</v>
      </c>
      <c r="E10833" s="0" t="s">
        <v>4434</v>
      </c>
      <c r="F10833" s="0" t="s">
        <v>4434</v>
      </c>
    </row>
    <row r="10835" customFormat="false" ht="12.8" hidden="false" customHeight="false" outlineLevel="0" collapsed="false">
      <c r="A10835" s="0" t="s">
        <v>4435</v>
      </c>
      <c r="B10835" s="0" t="str">
        <f aca="false">HYPERLINK("https://lindat.mff.cuni.cz/services/teitok/pdtc10/index.php?action=vallex&amp;frame=v-w1339f79_ZU", "jít (v-w1339f79_ZU)")</f>
        <v>jít (v-w1339f79_ZU)</v>
      </c>
    </row>
    <row r="10836" customFormat="false" ht="12.8" hidden="false" customHeight="false" outlineLevel="0" collapsed="false">
      <c r="B10836" s="0" t="s">
        <v>7</v>
      </c>
    </row>
    <row r="10837" customFormat="false" ht="12.8" hidden="false" customHeight="false" outlineLevel="0" collapsed="false">
      <c r="B10837" s="0" t="s">
        <v>124</v>
      </c>
    </row>
    <row r="10839" customFormat="false" ht="12.8" hidden="false" customHeight="false" outlineLevel="0" collapsed="false">
      <c r="A10839" s="0" t="s">
        <v>4435</v>
      </c>
      <c r="B10839" s="0" t="str">
        <f aca="false">HYPERLINK("https://lindat.mff.cuni.cz/services/teitok/pdtc10/index.php?action=vallex&amp;frame=v-w1339f12", "jít (v-w1339f12) - substituted with v-w1339f79_ZU")</f>
        <v>jít (v-w1339f12) - substituted with v-w1339f79_ZU</v>
      </c>
    </row>
    <row r="10840" customFormat="false" ht="12.8" hidden="false" customHeight="false" outlineLevel="0" collapsed="false">
      <c r="B10840" s="0" t="s">
        <v>7</v>
      </c>
      <c r="C10840" s="0" t="s">
        <v>4436</v>
      </c>
      <c r="D10840" s="0" t="s">
        <v>1705</v>
      </c>
      <c r="E10840" s="0" t="s">
        <v>1706</v>
      </c>
      <c r="F10840" s="0" t="s">
        <v>1706</v>
      </c>
    </row>
    <row r="10841" customFormat="false" ht="12.8" hidden="false" customHeight="false" outlineLevel="0" collapsed="false">
      <c r="B10841" s="0" t="s">
        <v>124</v>
      </c>
      <c r="C10841" s="0" t="s">
        <v>4437</v>
      </c>
      <c r="D10841" s="0" t="s">
        <v>1707</v>
      </c>
      <c r="E10841" s="0" t="s">
        <v>1707</v>
      </c>
      <c r="F10841" s="0" t="s">
        <v>1707</v>
      </c>
    </row>
    <row r="10843" customFormat="false" ht="12.8" hidden="false" customHeight="false" outlineLevel="0" collapsed="false">
      <c r="A10843" s="0" t="s">
        <v>4438</v>
      </c>
      <c r="B10843" s="0" t="str">
        <f aca="false">HYPERLINK("https://lindat.mff.cuni.cz/services/teitok/pdtc10/index.php?action=vallex&amp;frame=v-w1339f94_ZU", "jít (v-w1339f94_ZU)")</f>
        <v>jít (v-w1339f94_ZU)</v>
      </c>
    </row>
    <row r="10844" customFormat="false" ht="12.8" hidden="false" customHeight="false" outlineLevel="0" collapsed="false">
      <c r="B10844" s="0" t="s">
        <v>7</v>
      </c>
    </row>
    <row r="10845" customFormat="false" ht="12.8" hidden="false" customHeight="false" outlineLevel="0" collapsed="false">
      <c r="B10845" s="0" t="s">
        <v>124</v>
      </c>
    </row>
    <row r="10847" customFormat="false" ht="12.8" hidden="false" customHeight="false" outlineLevel="0" collapsed="false">
      <c r="A10847" s="0" t="s">
        <v>4438</v>
      </c>
      <c r="B10847" s="0" t="str">
        <f aca="false">HYPERLINK("https://lindat.mff.cuni.cz/services/teitok/pdtc10/index.php?action=vallex&amp;frame=v-w1339f13", "jít (v-w1339f13) - substituted with v-w1339f94_ZU")</f>
        <v>jít (v-w1339f13) - substituted with v-w1339f94_ZU</v>
      </c>
    </row>
    <row r="10848" customFormat="false" ht="12.8" hidden="false" customHeight="false" outlineLevel="0" collapsed="false">
      <c r="B10848" s="0" t="s">
        <v>7</v>
      </c>
      <c r="C10848" s="0" t="s">
        <v>4439</v>
      </c>
    </row>
    <row r="10849" customFormat="false" ht="12.8" hidden="false" customHeight="false" outlineLevel="0" collapsed="false">
      <c r="B10849" s="0" t="s">
        <v>124</v>
      </c>
      <c r="C10849" s="0" t="s">
        <v>4440</v>
      </c>
    </row>
    <row r="10851" customFormat="false" ht="12.8" hidden="false" customHeight="false" outlineLevel="0" collapsed="false">
      <c r="A10851" s="0" t="s">
        <v>4441</v>
      </c>
      <c r="B10851" s="0" t="str">
        <f aca="false">HYPERLINK("https://lindat.mff.cuni.cz/services/teitok/pdtc10/index.php?action=vallex&amp;frame=v-w1339f24", "jít (v-w1339f24)")</f>
        <v>jít (v-w1339f24)</v>
      </c>
    </row>
    <row r="10852" customFormat="false" ht="12.8" hidden="false" customHeight="false" outlineLevel="0" collapsed="false">
      <c r="B10852" s="0" t="s">
        <v>7</v>
      </c>
      <c r="C10852" s="0" t="s">
        <v>4442</v>
      </c>
      <c r="D10852" s="0" t="s">
        <v>1705</v>
      </c>
      <c r="E10852" s="0" t="s">
        <v>1706</v>
      </c>
      <c r="F10852" s="0" t="s">
        <v>1706</v>
      </c>
    </row>
    <row r="10853" customFormat="false" ht="12.8" hidden="false" customHeight="false" outlineLevel="0" collapsed="false">
      <c r="B10853" s="0" t="s">
        <v>124</v>
      </c>
      <c r="C10853" s="0" t="s">
        <v>4443</v>
      </c>
      <c r="D10853" s="0" t="s">
        <v>1707</v>
      </c>
      <c r="E10853" s="0" t="s">
        <v>1707</v>
      </c>
      <c r="F10853" s="0" t="s">
        <v>1707</v>
      </c>
    </row>
    <row r="10855" customFormat="false" ht="12.8" hidden="false" customHeight="false" outlineLevel="0" collapsed="false">
      <c r="A10855" s="0" t="s">
        <v>4444</v>
      </c>
      <c r="B10855" s="0" t="str">
        <f aca="false">HYPERLINK("https://lindat.mff.cuni.cz/services/teitok/pdtc10/index.php?action=vallex&amp;frame=v-w1339f25", "jít (v-w1339f25)")</f>
        <v>jít (v-w1339f25)</v>
      </c>
    </row>
    <row r="10856" customFormat="false" ht="12.8" hidden="false" customHeight="false" outlineLevel="0" collapsed="false">
      <c r="B10856" s="0" t="s">
        <v>7</v>
      </c>
      <c r="C10856" s="0" t="s">
        <v>4445</v>
      </c>
      <c r="D10856" s="0" t="s">
        <v>1705</v>
      </c>
      <c r="E10856" s="0" t="s">
        <v>1706</v>
      </c>
      <c r="F10856" s="0" t="s">
        <v>1706</v>
      </c>
    </row>
    <row r="10857" customFormat="false" ht="12.8" hidden="false" customHeight="false" outlineLevel="0" collapsed="false">
      <c r="B10857" s="0" t="s">
        <v>124</v>
      </c>
      <c r="D10857" s="0" t="s">
        <v>1707</v>
      </c>
      <c r="E10857" s="0" t="s">
        <v>1707</v>
      </c>
      <c r="F10857" s="0" t="s">
        <v>1707</v>
      </c>
    </row>
    <row r="10859" customFormat="false" ht="12.8" hidden="false" customHeight="false" outlineLevel="0" collapsed="false">
      <c r="A10859" s="0" t="s">
        <v>4446</v>
      </c>
      <c r="B10859" s="0" t="str">
        <f aca="false">HYPERLINK("https://lindat.mff.cuni.cz/services/teitok/pdtc10/index.php?action=vallex&amp;frame=v-w1339f14", "jít (v-w1339f14)")</f>
        <v>jít (v-w1339f14)</v>
      </c>
    </row>
    <row r="10860" customFormat="false" ht="12.8" hidden="false" customHeight="false" outlineLevel="0" collapsed="false">
      <c r="B10860" s="0" t="s">
        <v>4447</v>
      </c>
    </row>
    <row r="10862" customFormat="false" ht="12.8" hidden="false" customHeight="false" outlineLevel="0" collapsed="false">
      <c r="A10862" s="0" t="s">
        <v>4448</v>
      </c>
      <c r="B10862" s="0" t="str">
        <f aca="false">HYPERLINK("https://lindat.mff.cuni.cz/services/teitok/pdtc10/index.php?action=vallex&amp;frame=v-w1339f8", "jít (v-w1339f8)")</f>
        <v>jít (v-w1339f8)</v>
      </c>
    </row>
    <row r="10863" customFormat="false" ht="12.8" hidden="false" customHeight="false" outlineLevel="0" collapsed="false">
      <c r="B10863" s="0" t="s">
        <v>265</v>
      </c>
      <c r="C10863" s="0" t="s">
        <v>580</v>
      </c>
    </row>
    <row r="10865" customFormat="false" ht="12.8" hidden="false" customHeight="false" outlineLevel="0" collapsed="false">
      <c r="A10865" s="0" t="s">
        <v>4449</v>
      </c>
      <c r="B10865" s="0" t="str">
        <f aca="false">HYPERLINK("https://lindat.mff.cuni.cz/services/teitok/pdtc10/index.php?action=vallex&amp;frame=v-w1339f4", "jít (v-w1339f4)")</f>
        <v>jít (v-w1339f4)</v>
      </c>
    </row>
    <row r="10866" customFormat="false" ht="12.8" hidden="false" customHeight="false" outlineLevel="0" collapsed="false">
      <c r="B10866" s="0" t="s">
        <v>7</v>
      </c>
      <c r="C10866" s="0" t="s">
        <v>4450</v>
      </c>
      <c r="D10866" s="0" t="s">
        <v>868</v>
      </c>
      <c r="E10866" s="0" t="s">
        <v>868</v>
      </c>
      <c r="F10866" s="0" t="s">
        <v>868</v>
      </c>
    </row>
    <row r="10868" customFormat="false" ht="12.8" hidden="false" customHeight="false" outlineLevel="0" collapsed="false">
      <c r="A10868" s="0" t="s">
        <v>4451</v>
      </c>
      <c r="B10868" s="0" t="str">
        <f aca="false">HYPERLINK("https://lindat.mff.cuni.cz/services/teitok/pdtc10/index.php?action=vallex&amp;frame=v-w1339f20", "jít (v-w1339f20)")</f>
        <v>jít (v-w1339f20)</v>
      </c>
    </row>
    <row r="10869" customFormat="false" ht="12.8" hidden="false" customHeight="false" outlineLevel="0" collapsed="false">
      <c r="B10869" s="0" t="s">
        <v>7</v>
      </c>
      <c r="C10869" s="0" t="s">
        <v>4452</v>
      </c>
    </row>
    <row r="10871" customFormat="false" ht="12.8" hidden="false" customHeight="false" outlineLevel="0" collapsed="false">
      <c r="A10871" s="0" t="s">
        <v>4453</v>
      </c>
      <c r="B10871" s="0" t="str">
        <f aca="false">HYPERLINK("https://lindat.mff.cuni.cz/services/teitok/pdtc10/index.php?action=vallex&amp;frame=v-w1339f35", "jít (v-w1339f35)")</f>
        <v>jít (v-w1339f35)</v>
      </c>
    </row>
    <row r="10872" customFormat="false" ht="12.8" hidden="false" customHeight="false" outlineLevel="0" collapsed="false">
      <c r="B10872" s="0" t="s">
        <v>7</v>
      </c>
    </row>
    <row r="10874" customFormat="false" ht="12.8" hidden="false" customHeight="false" outlineLevel="0" collapsed="false">
      <c r="A10874" s="0" t="s">
        <v>4454</v>
      </c>
      <c r="B10874" s="0" t="str">
        <f aca="false">HYPERLINK("https://lindat.mff.cuni.cz/services/teitok/pdtc10/index.php?action=vallex&amp;frame=v-w1339f88_ZU", "jít (v-w1339f88_ZU)")</f>
        <v>jít (v-w1339f88_ZU)</v>
      </c>
    </row>
    <row r="10875" customFormat="false" ht="12.8" hidden="false" customHeight="false" outlineLevel="0" collapsed="false">
      <c r="B10875" s="0" t="s">
        <v>7</v>
      </c>
    </row>
    <row r="10877" customFormat="false" ht="12.8" hidden="false" customHeight="false" outlineLevel="0" collapsed="false">
      <c r="A10877" s="0" t="s">
        <v>4454</v>
      </c>
      <c r="B10877" s="0" t="str">
        <f aca="false">HYPERLINK("https://lindat.mff.cuni.cz/services/teitok/pdtc10/index.php?action=vallex&amp;frame=v-w1339f34", "jít (v-w1339f34) - substituted with v-w1339f88_ZU")</f>
        <v>jít (v-w1339f34) - substituted with v-w1339f88_ZU</v>
      </c>
    </row>
    <row r="10878" customFormat="false" ht="12.8" hidden="false" customHeight="false" outlineLevel="0" collapsed="false">
      <c r="B10878" s="0" t="s">
        <v>7</v>
      </c>
    </row>
    <row r="10880" customFormat="false" ht="12.8" hidden="false" customHeight="false" outlineLevel="0" collapsed="false">
      <c r="A10880" s="0" t="s">
        <v>4455</v>
      </c>
      <c r="B10880" s="0" t="str">
        <f aca="false">HYPERLINK("https://lindat.mff.cuni.cz/services/teitok/pdtc10/index.php?action=vallex&amp;frame=v-w1339f1", "jít (v-w1339f1)")</f>
        <v>jít (v-w1339f1)</v>
      </c>
    </row>
    <row r="10881" customFormat="false" ht="12.8" hidden="false" customHeight="false" outlineLevel="0" collapsed="false">
      <c r="B10881" s="0" t="s">
        <v>4274</v>
      </c>
      <c r="C10881" s="0" t="s">
        <v>4456</v>
      </c>
    </row>
    <row r="10883" customFormat="false" ht="12.8" hidden="false" customHeight="false" outlineLevel="0" collapsed="false">
      <c r="A10883" s="0" t="s">
        <v>4457</v>
      </c>
      <c r="B10883" s="0" t="str">
        <f aca="false">HYPERLINK("https://lindat.mff.cuni.cz/services/teitok/pdtc10/index.php?action=vallex&amp;frame=v-w1339f42", "jít (v-w1339f42)")</f>
        <v>jít (v-w1339f42)</v>
      </c>
    </row>
    <row r="10884" customFormat="false" ht="12.8" hidden="false" customHeight="false" outlineLevel="0" collapsed="false">
      <c r="B10884" s="0" t="s">
        <v>7</v>
      </c>
    </row>
    <row r="10885" customFormat="false" ht="12.8" hidden="false" customHeight="false" outlineLevel="0" collapsed="false">
      <c r="B10885" s="0" t="s">
        <v>3088</v>
      </c>
    </row>
    <row r="10886" customFormat="false" ht="12.8" hidden="false" customHeight="false" outlineLevel="0" collapsed="false">
      <c r="B10886" s="0" t="s">
        <v>548</v>
      </c>
    </row>
    <row r="10888" customFormat="false" ht="12.8" hidden="false" customHeight="false" outlineLevel="0" collapsed="false">
      <c r="A10888" s="0" t="s">
        <v>4458</v>
      </c>
      <c r="B10888" s="0" t="str">
        <f aca="false">HYPERLINK("https://lindat.mff.cuni.cz/services/teitok/pdtc10/index.php?action=vallex&amp;frame=v-w1339f29", "jít (v-w1339f29)")</f>
        <v>jít (v-w1339f29)</v>
      </c>
    </row>
    <row r="10889" customFormat="false" ht="12.8" hidden="false" customHeight="false" outlineLevel="0" collapsed="false">
      <c r="B10889" s="0" t="s">
        <v>7</v>
      </c>
      <c r="C10889" s="0" t="s">
        <v>4459</v>
      </c>
    </row>
    <row r="10890" customFormat="false" ht="12.8" hidden="false" customHeight="false" outlineLevel="0" collapsed="false">
      <c r="B10890" s="0" t="s">
        <v>4460</v>
      </c>
    </row>
    <row r="10891" customFormat="false" ht="12.8" hidden="false" customHeight="false" outlineLevel="0" collapsed="false">
      <c r="B10891" s="0" t="s">
        <v>142</v>
      </c>
      <c r="C10891" s="0" t="s">
        <v>33</v>
      </c>
    </row>
    <row r="10893" customFormat="false" ht="12.8" hidden="false" customHeight="false" outlineLevel="0" collapsed="false">
      <c r="A10893" s="0" t="s">
        <v>4461</v>
      </c>
      <c r="B10893" s="0" t="str">
        <f aca="false">HYPERLINK("https://lindat.mff.cuni.cz/services/teitok/pdtc10/index.php?action=vallex&amp;frame=v-w1339f31", "jít (v-w1339f31)")</f>
        <v>jít (v-w1339f31)</v>
      </c>
    </row>
    <row r="10894" customFormat="false" ht="12.8" hidden="false" customHeight="false" outlineLevel="0" collapsed="false">
      <c r="B10894" s="0" t="s">
        <v>7</v>
      </c>
    </row>
    <row r="10895" customFormat="false" ht="12.8" hidden="false" customHeight="false" outlineLevel="0" collapsed="false">
      <c r="B10895" s="0" t="s">
        <v>4462</v>
      </c>
    </row>
    <row r="10896" customFormat="false" ht="12.8" hidden="false" customHeight="false" outlineLevel="0" collapsed="false">
      <c r="B10896" s="0" t="s">
        <v>142</v>
      </c>
    </row>
    <row r="10898" customFormat="false" ht="12.8" hidden="false" customHeight="false" outlineLevel="0" collapsed="false">
      <c r="A10898" s="0" t="s">
        <v>4463</v>
      </c>
      <c r="B10898" s="0" t="str">
        <f aca="false">HYPERLINK("https://lindat.mff.cuni.cz/services/teitok/pdtc10/index.php?action=vallex&amp;frame=v-w1339f32", "jít (v-w1339f32)")</f>
        <v>jít (v-w1339f32)</v>
      </c>
    </row>
    <row r="10899" customFormat="false" ht="12.8" hidden="false" customHeight="false" outlineLevel="0" collapsed="false">
      <c r="B10899" s="0" t="s">
        <v>7</v>
      </c>
    </row>
    <row r="10900" customFormat="false" ht="12.8" hidden="false" customHeight="false" outlineLevel="0" collapsed="false">
      <c r="B10900" s="0" t="s">
        <v>4464</v>
      </c>
    </row>
    <row r="10901" customFormat="false" ht="12.8" hidden="false" customHeight="false" outlineLevel="0" collapsed="false">
      <c r="B10901" s="0" t="s">
        <v>142</v>
      </c>
    </row>
    <row r="10903" customFormat="false" ht="12.8" hidden="false" customHeight="false" outlineLevel="0" collapsed="false">
      <c r="A10903" s="0" t="s">
        <v>4465</v>
      </c>
      <c r="B10903" s="0" t="str">
        <f aca="false">HYPERLINK("https://lindat.mff.cuni.cz/services/teitok/pdtc10/index.php?action=vallex&amp;frame=v-w1339f60_ZU", "jít (v-w1339f60_ZU)")</f>
        <v>jít (v-w1339f60_ZU)</v>
      </c>
    </row>
    <row r="10904" customFormat="false" ht="12.8" hidden="false" customHeight="false" outlineLevel="0" collapsed="false">
      <c r="B10904" s="0" t="s">
        <v>7</v>
      </c>
    </row>
    <row r="10905" customFormat="false" ht="12.8" hidden="false" customHeight="false" outlineLevel="0" collapsed="false">
      <c r="B10905" s="0" t="s">
        <v>4466</v>
      </c>
      <c r="D10905" s="0" t="s">
        <v>852</v>
      </c>
      <c r="E10905" s="0" t="s">
        <v>852</v>
      </c>
      <c r="F10905" s="0" t="s">
        <v>852</v>
      </c>
    </row>
    <row r="10906" customFormat="false" ht="12.8" hidden="false" customHeight="false" outlineLevel="0" collapsed="false">
      <c r="B10906" s="0" t="s">
        <v>548</v>
      </c>
      <c r="D10906" s="0" t="s">
        <v>4467</v>
      </c>
      <c r="E10906" s="0" t="s">
        <v>4467</v>
      </c>
      <c r="F10906" s="0" t="s">
        <v>4467</v>
      </c>
    </row>
    <row r="10908" customFormat="false" ht="12.8" hidden="false" customHeight="false" outlineLevel="0" collapsed="false">
      <c r="A10908" s="0" t="s">
        <v>4465</v>
      </c>
      <c r="B10908" s="0" t="str">
        <f aca="false">HYPERLINK("https://lindat.mff.cuni.cz/services/teitok/pdtc10/index.php?action=vallex&amp;frame=v-w1339f38", "jít (v-w1339f38) - substituted with v-w1339f60_ZU")</f>
        <v>jít (v-w1339f38) - substituted with v-w1339f60_ZU</v>
      </c>
    </row>
    <row r="10909" customFormat="false" ht="12.8" hidden="false" customHeight="false" outlineLevel="0" collapsed="false">
      <c r="B10909" s="0" t="s">
        <v>7</v>
      </c>
      <c r="C10909" s="0" t="s">
        <v>4468</v>
      </c>
    </row>
    <row r="10910" customFormat="false" ht="12.8" hidden="false" customHeight="false" outlineLevel="0" collapsed="false">
      <c r="B10910" s="0" t="s">
        <v>4466</v>
      </c>
      <c r="C10910" s="0" t="s">
        <v>707</v>
      </c>
    </row>
    <row r="10911" customFormat="false" ht="12.8" hidden="false" customHeight="false" outlineLevel="0" collapsed="false">
      <c r="B10911" s="0" t="s">
        <v>548</v>
      </c>
    </row>
    <row r="10913" customFormat="false" ht="12.8" hidden="false" customHeight="false" outlineLevel="0" collapsed="false">
      <c r="A10913" s="0" t="s">
        <v>4469</v>
      </c>
      <c r="B10913" s="0" t="str">
        <f aca="false">HYPERLINK("https://lindat.mff.cuni.cz/services/teitok/pdtc10/index.php?action=vallex&amp;frame=v-w1339f39", "jít (v-w1339f39)")</f>
        <v>jít (v-w1339f39)</v>
      </c>
    </row>
    <row r="10914" customFormat="false" ht="12.8" hidden="false" customHeight="false" outlineLevel="0" collapsed="false">
      <c r="B10914" s="0" t="s">
        <v>7</v>
      </c>
    </row>
    <row r="10915" customFormat="false" ht="12.8" hidden="false" customHeight="false" outlineLevel="0" collapsed="false">
      <c r="B10915" s="0" t="s">
        <v>4470</v>
      </c>
    </row>
    <row r="10916" customFormat="false" ht="12.8" hidden="false" customHeight="false" outlineLevel="0" collapsed="false">
      <c r="B10916" s="0" t="s">
        <v>124</v>
      </c>
    </row>
    <row r="10918" customFormat="false" ht="12.8" hidden="false" customHeight="false" outlineLevel="0" collapsed="false">
      <c r="A10918" s="0" t="s">
        <v>4471</v>
      </c>
      <c r="B10918" s="0" t="str">
        <f aca="false">HYPERLINK("https://lindat.mff.cuni.cz/services/teitok/pdtc10/index.php?action=vallex&amp;frame=v-w1339f11", "jít (v-w1339f11)")</f>
        <v>jít (v-w1339f11)</v>
      </c>
    </row>
    <row r="10919" customFormat="false" ht="12.8" hidden="false" customHeight="false" outlineLevel="0" collapsed="false">
      <c r="B10919" s="0" t="s">
        <v>7</v>
      </c>
      <c r="C10919" s="0" t="s">
        <v>4472</v>
      </c>
    </row>
    <row r="10920" customFormat="false" ht="12.8" hidden="false" customHeight="false" outlineLevel="0" collapsed="false">
      <c r="B10920" s="0" t="s">
        <v>1906</v>
      </c>
    </row>
    <row r="10922" customFormat="false" ht="12.8" hidden="false" customHeight="false" outlineLevel="0" collapsed="false">
      <c r="A10922" s="0" t="s">
        <v>4473</v>
      </c>
      <c r="B10922" s="0" t="str">
        <f aca="false">HYPERLINK("https://lindat.mff.cuni.cz/services/teitok/pdtc10/index.php?action=vallex&amp;frame=v-w1339f41", "jít (v-w1339f41)")</f>
        <v>jít (v-w1339f41)</v>
      </c>
    </row>
    <row r="10923" customFormat="false" ht="12.8" hidden="false" customHeight="false" outlineLevel="0" collapsed="false">
      <c r="B10923" s="0" t="s">
        <v>7</v>
      </c>
    </row>
    <row r="10924" customFormat="false" ht="12.8" hidden="false" customHeight="false" outlineLevel="0" collapsed="false">
      <c r="B10924" s="0" t="s">
        <v>4474</v>
      </c>
    </row>
    <row r="10926" customFormat="false" ht="12.8" hidden="false" customHeight="false" outlineLevel="0" collapsed="false">
      <c r="A10926" s="0" t="s">
        <v>4475</v>
      </c>
      <c r="B10926" s="0" t="str">
        <f aca="false">HYPERLINK("https://lindat.mff.cuni.cz/services/teitok/pdtc10/index.php?action=vallex&amp;frame=v-w1339f15", "jít (v-w1339f15)")</f>
        <v>jít (v-w1339f15)</v>
      </c>
    </row>
    <row r="10927" customFormat="false" ht="12.8" hidden="false" customHeight="false" outlineLevel="0" collapsed="false">
      <c r="B10927" s="0" t="s">
        <v>7</v>
      </c>
      <c r="C10927" s="0" t="s">
        <v>4476</v>
      </c>
    </row>
    <row r="10928" customFormat="false" ht="12.8" hidden="false" customHeight="false" outlineLevel="0" collapsed="false">
      <c r="B10928" s="0" t="s">
        <v>4477</v>
      </c>
    </row>
    <row r="10930" customFormat="false" ht="12.8" hidden="false" customHeight="false" outlineLevel="0" collapsed="false">
      <c r="A10930" s="0" t="s">
        <v>4478</v>
      </c>
      <c r="B10930" s="0" t="str">
        <f aca="false">HYPERLINK("https://lindat.mff.cuni.cz/services/teitok/pdtc10/index.php?action=vallex&amp;frame=v-w1339f27", "jít (v-w1339f27)")</f>
        <v>jít (v-w1339f27)</v>
      </c>
    </row>
    <row r="10931" customFormat="false" ht="12.8" hidden="false" customHeight="false" outlineLevel="0" collapsed="false">
      <c r="B10931" s="0" t="s">
        <v>7</v>
      </c>
    </row>
    <row r="10932" customFormat="false" ht="12.8" hidden="false" customHeight="false" outlineLevel="0" collapsed="false">
      <c r="B10932" s="0" t="s">
        <v>4479</v>
      </c>
    </row>
    <row r="10934" customFormat="false" ht="12.8" hidden="false" customHeight="false" outlineLevel="0" collapsed="false">
      <c r="A10934" s="0" t="s">
        <v>4480</v>
      </c>
      <c r="B10934" s="0" t="str">
        <f aca="false">HYPERLINK("https://lindat.mff.cuni.cz/services/teitok/pdtc10/index.php?action=vallex&amp;frame=v-w1339f48", "jít (v-w1339f48)")</f>
        <v>jít (v-w1339f48)</v>
      </c>
    </row>
    <row r="10935" customFormat="false" ht="12.8" hidden="false" customHeight="false" outlineLevel="0" collapsed="false">
      <c r="B10935" s="0" t="s">
        <v>7</v>
      </c>
    </row>
    <row r="10936" customFormat="false" ht="12.8" hidden="false" customHeight="false" outlineLevel="0" collapsed="false">
      <c r="B10936" s="0" t="s">
        <v>4481</v>
      </c>
    </row>
    <row r="10938" customFormat="false" ht="12.8" hidden="false" customHeight="false" outlineLevel="0" collapsed="false">
      <c r="A10938" s="0" t="s">
        <v>4482</v>
      </c>
      <c r="B10938" s="0" t="str">
        <f aca="false">HYPERLINK("https://lindat.mff.cuni.cz/services/teitok/pdtc10/index.php?action=vallex&amp;frame=v-w1339f58_ZU", "jít (v-w1339f58_ZU)")</f>
        <v>jít (v-w1339f58_ZU)</v>
      </c>
    </row>
    <row r="10939" customFormat="false" ht="12.8" hidden="false" customHeight="false" outlineLevel="0" collapsed="false">
      <c r="B10939" s="0" t="s">
        <v>7</v>
      </c>
      <c r="C10939" s="0" t="s">
        <v>580</v>
      </c>
    </row>
    <row r="10940" customFormat="false" ht="12.8" hidden="false" customHeight="false" outlineLevel="0" collapsed="false">
      <c r="B10940" s="0" t="s">
        <v>4483</v>
      </c>
    </row>
    <row r="10941" customFormat="false" ht="12.8" hidden="false" customHeight="false" outlineLevel="0" collapsed="false">
      <c r="B10941" s="0" t="s">
        <v>548</v>
      </c>
      <c r="C10941" s="0" t="s">
        <v>1544</v>
      </c>
    </row>
    <row r="10943" customFormat="false" ht="12.8" hidden="false" customHeight="false" outlineLevel="0" collapsed="false">
      <c r="A10943" s="0" t="s">
        <v>4482</v>
      </c>
      <c r="B10943" s="0" t="str">
        <f aca="false">HYPERLINK("https://lindat.mff.cuni.cz/services/teitok/pdtc10/index.php?action=vallex&amp;frame=v-w1339f21", "jít (v-w1339f21) - substituted with v-w1339f58_ZU")</f>
        <v>jít (v-w1339f21) - substituted with v-w1339f58_ZU</v>
      </c>
    </row>
    <row r="10944" customFormat="false" ht="12.8" hidden="false" customHeight="false" outlineLevel="0" collapsed="false">
      <c r="B10944" s="0" t="s">
        <v>7</v>
      </c>
    </row>
    <row r="10945" customFormat="false" ht="12.8" hidden="false" customHeight="false" outlineLevel="0" collapsed="false">
      <c r="B10945" s="0" t="s">
        <v>4483</v>
      </c>
    </row>
    <row r="10946" customFormat="false" ht="12.8" hidden="false" customHeight="false" outlineLevel="0" collapsed="false">
      <c r="B10946" s="0" t="s">
        <v>548</v>
      </c>
    </row>
    <row r="10948" customFormat="false" ht="12.8" hidden="false" customHeight="false" outlineLevel="0" collapsed="false">
      <c r="A10948" s="0" t="s">
        <v>4484</v>
      </c>
      <c r="B10948" s="0" t="str">
        <f aca="false">HYPERLINK("https://lindat.mff.cuni.cz/services/teitok/pdtc10/index.php?action=vallex&amp;frame=v-w1339f44", "jít (v-w1339f44)")</f>
        <v>jít (v-w1339f44)</v>
      </c>
    </row>
    <row r="10949" customFormat="false" ht="12.8" hidden="false" customHeight="false" outlineLevel="0" collapsed="false">
      <c r="B10949" s="0" t="s">
        <v>7</v>
      </c>
    </row>
    <row r="10950" customFormat="false" ht="12.8" hidden="false" customHeight="false" outlineLevel="0" collapsed="false">
      <c r="B10950" s="0" t="s">
        <v>4485</v>
      </c>
    </row>
    <row r="10952" customFormat="false" ht="12.8" hidden="false" customHeight="false" outlineLevel="0" collapsed="false">
      <c r="A10952" s="0" t="s">
        <v>4486</v>
      </c>
      <c r="B10952" s="0" t="str">
        <f aca="false">HYPERLINK("https://lindat.mff.cuni.cz/services/teitok/pdtc10/index.php?action=vallex&amp;frame=v-w1339f51_ZU", "jít (v-w1339f51_ZU)")</f>
        <v>jít (v-w1339f51_ZU)</v>
      </c>
    </row>
    <row r="10953" customFormat="false" ht="12.8" hidden="false" customHeight="false" outlineLevel="0" collapsed="false">
      <c r="B10953" s="0" t="s">
        <v>7</v>
      </c>
    </row>
    <row r="10954" customFormat="false" ht="12.8" hidden="false" customHeight="false" outlineLevel="0" collapsed="false">
      <c r="B10954" s="0" t="s">
        <v>4487</v>
      </c>
      <c r="C10954" s="0" t="s">
        <v>3589</v>
      </c>
    </row>
    <row r="10956" customFormat="false" ht="12.8" hidden="false" customHeight="false" outlineLevel="0" collapsed="false">
      <c r="A10956" s="0" t="s">
        <v>4488</v>
      </c>
      <c r="B10956" s="0" t="str">
        <f aca="false">HYPERLINK("https://lindat.mff.cuni.cz/services/teitok/pdtc10/index.php?action=vallex&amp;frame=v-w1339f16", "jít (v-w1339f16)")</f>
        <v>jít (v-w1339f16)</v>
      </c>
    </row>
    <row r="10957" customFormat="false" ht="12.8" hidden="false" customHeight="false" outlineLevel="0" collapsed="false">
      <c r="B10957" s="0" t="s">
        <v>4489</v>
      </c>
      <c r="C10957" s="0" t="s">
        <v>4490</v>
      </c>
    </row>
    <row r="10959" customFormat="false" ht="12.8" hidden="false" customHeight="false" outlineLevel="0" collapsed="false">
      <c r="A10959" s="0" t="s">
        <v>4491</v>
      </c>
      <c r="B10959" s="0" t="str">
        <f aca="false">HYPERLINK("https://lindat.mff.cuni.cz/services/teitok/pdtc10/index.php?action=vallex&amp;frame=v-w1339f37", "jít (v-w1339f37)")</f>
        <v>jít (v-w1339f37)</v>
      </c>
    </row>
    <row r="10960" customFormat="false" ht="12.8" hidden="false" customHeight="false" outlineLevel="0" collapsed="false">
      <c r="B10960" s="0" t="s">
        <v>4492</v>
      </c>
    </row>
    <row r="10962" customFormat="false" ht="12.8" hidden="false" customHeight="false" outlineLevel="0" collapsed="false">
      <c r="A10962" s="0" t="s">
        <v>4493</v>
      </c>
      <c r="B10962" s="0" t="str">
        <f aca="false">HYPERLINK("https://lindat.mff.cuni.cz/services/teitok/pdtc10/index.php?action=vallex&amp;frame=v-w1339f59_ZU", "jít (v-w1339f59_ZU)")</f>
        <v>jít (v-w1339f59_ZU)</v>
      </c>
    </row>
    <row r="10963" customFormat="false" ht="12.8" hidden="false" customHeight="false" outlineLevel="0" collapsed="false">
      <c r="B10963" s="0" t="s">
        <v>7</v>
      </c>
    </row>
    <row r="10964" customFormat="false" ht="12.8" hidden="false" customHeight="false" outlineLevel="0" collapsed="false">
      <c r="B10964" s="0" t="s">
        <v>548</v>
      </c>
    </row>
    <row r="10966" customFormat="false" ht="12.8" hidden="false" customHeight="false" outlineLevel="0" collapsed="false">
      <c r="A10966" s="0" t="s">
        <v>4493</v>
      </c>
      <c r="B10966" s="0" t="str">
        <f aca="false">HYPERLINK("https://lindat.mff.cuni.cz/services/teitok/pdtc10/index.php?action=vallex&amp;frame=v-w1339hsa_478", "jít (v-w1339hsa_478) - substituted with v-w1339f59_ZU")</f>
        <v>jít (v-w1339hsa_478) - substituted with v-w1339f59_ZU</v>
      </c>
    </row>
    <row r="10967" customFormat="false" ht="12.8" hidden="false" customHeight="false" outlineLevel="0" collapsed="false">
      <c r="B10967" s="0" t="s">
        <v>7</v>
      </c>
    </row>
    <row r="10968" customFormat="false" ht="12.8" hidden="false" customHeight="false" outlineLevel="0" collapsed="false">
      <c r="B10968" s="0" t="s">
        <v>548</v>
      </c>
    </row>
    <row r="10970" customFormat="false" ht="12.8" hidden="false" customHeight="false" outlineLevel="0" collapsed="false">
      <c r="A10970" s="0" t="s">
        <v>4494</v>
      </c>
      <c r="B10970" s="0" t="str">
        <f aca="false">HYPERLINK("https://lindat.mff.cuni.cz/services/teitok/pdtc10/index.php?action=vallex&amp;frame=v-w1339hsa_479", "jít (v-w1339hsa_479)")</f>
        <v>jít (v-w1339hsa_479)</v>
      </c>
    </row>
    <row r="10971" customFormat="false" ht="12.8" hidden="false" customHeight="false" outlineLevel="0" collapsed="false">
      <c r="B10971" s="0" t="s">
        <v>7</v>
      </c>
      <c r="D10971" s="0" t="s">
        <v>4495</v>
      </c>
      <c r="E10971" s="0" t="s">
        <v>4495</v>
      </c>
      <c r="F10971" s="0" t="s">
        <v>4495</v>
      </c>
    </row>
    <row r="10972" customFormat="false" ht="12.8" hidden="false" customHeight="false" outlineLevel="0" collapsed="false">
      <c r="B10972" s="0" t="s">
        <v>63</v>
      </c>
      <c r="D10972" s="0" t="s">
        <v>4496</v>
      </c>
      <c r="E10972" s="0" t="s">
        <v>4496</v>
      </c>
      <c r="F10972" s="0" t="s">
        <v>4496</v>
      </c>
    </row>
    <row r="10973" customFormat="false" ht="12.8" hidden="false" customHeight="false" outlineLevel="0" collapsed="false">
      <c r="B10973" s="0" t="s">
        <v>35</v>
      </c>
      <c r="D10973" s="0" t="s">
        <v>4497</v>
      </c>
      <c r="E10973" s="0" t="s">
        <v>4497</v>
      </c>
      <c r="F10973" s="0" t="s">
        <v>4497</v>
      </c>
    </row>
    <row r="10975" customFormat="false" ht="12.8" hidden="false" customHeight="false" outlineLevel="0" collapsed="false">
      <c r="A10975" s="0" t="s">
        <v>4498</v>
      </c>
      <c r="B10975" s="0" t="str">
        <f aca="false">HYPERLINK("https://lindat.mff.cuni.cz/services/teitok/pdtc10/index.php?action=vallex&amp;frame=v-w1339f54_ZU", "jít (v-w1339f54_ZU)")</f>
        <v>jít (v-w1339f54_ZU)</v>
      </c>
    </row>
    <row r="10976" customFormat="false" ht="12.8" hidden="false" customHeight="false" outlineLevel="0" collapsed="false">
      <c r="B10976" s="0" t="s">
        <v>7</v>
      </c>
    </row>
    <row r="10977" customFormat="false" ht="12.8" hidden="false" customHeight="false" outlineLevel="0" collapsed="false">
      <c r="B10977" s="0" t="s">
        <v>4499</v>
      </c>
    </row>
    <row r="10979" customFormat="false" ht="12.8" hidden="false" customHeight="false" outlineLevel="0" collapsed="false">
      <c r="A10979" s="0" t="s">
        <v>4498</v>
      </c>
      <c r="B10979" s="0" t="str">
        <f aca="false">HYPERLINK("https://lindat.mff.cuni.cz/services/teitok/pdtc10/index.php?action=vallex&amp;frame=v-w1339hsa_480", "jít (v-w1339hsa_480) - substituted with v-w1339f54_ZU")</f>
        <v>jít (v-w1339hsa_480) - substituted with v-w1339f54_ZU</v>
      </c>
    </row>
    <row r="10980" customFormat="false" ht="12.8" hidden="false" customHeight="false" outlineLevel="0" collapsed="false">
      <c r="B10980" s="0" t="s">
        <v>7</v>
      </c>
    </row>
    <row r="10981" customFormat="false" ht="12.8" hidden="false" customHeight="false" outlineLevel="0" collapsed="false">
      <c r="B10981" s="0" t="s">
        <v>4499</v>
      </c>
    </row>
    <row r="10983" customFormat="false" ht="12.8" hidden="false" customHeight="false" outlineLevel="0" collapsed="false">
      <c r="A10983" s="0" t="s">
        <v>4500</v>
      </c>
      <c r="B10983" s="0" t="str">
        <f aca="false">HYPERLINK("https://lindat.mff.cuni.cz/services/teitok/pdtc10/index.php?action=vallex&amp;frame=v-w1339f53_ZU", "jít (v-w1339f53_ZU)")</f>
        <v>jít (v-w1339f53_ZU)</v>
      </c>
    </row>
    <row r="10984" customFormat="false" ht="12.8" hidden="false" customHeight="false" outlineLevel="0" collapsed="false">
      <c r="B10984" s="0" t="s">
        <v>7</v>
      </c>
    </row>
    <row r="10985" customFormat="false" ht="12.8" hidden="false" customHeight="false" outlineLevel="0" collapsed="false">
      <c r="B10985" s="0" t="s">
        <v>4501</v>
      </c>
    </row>
    <row r="10987" customFormat="false" ht="12.8" hidden="false" customHeight="false" outlineLevel="0" collapsed="false">
      <c r="A10987" s="0" t="s">
        <v>4500</v>
      </c>
      <c r="B10987" s="0" t="str">
        <f aca="false">HYPERLINK("https://lindat.mff.cuni.cz/services/teitok/pdtc10/index.php?action=vallex&amp;frame=v-w1339hsa_481", "jít (v-w1339hsa_481) - substituted with v-w1339f53_ZU")</f>
        <v>jít (v-w1339hsa_481) - substituted with v-w1339f53_ZU</v>
      </c>
    </row>
    <row r="10988" customFormat="false" ht="12.8" hidden="false" customHeight="false" outlineLevel="0" collapsed="false">
      <c r="B10988" s="0" t="s">
        <v>7</v>
      </c>
    </row>
    <row r="10989" customFormat="false" ht="12.8" hidden="false" customHeight="false" outlineLevel="0" collapsed="false">
      <c r="B10989" s="0" t="s">
        <v>4501</v>
      </c>
    </row>
    <row r="10991" customFormat="false" ht="12.8" hidden="false" customHeight="false" outlineLevel="0" collapsed="false">
      <c r="A10991" s="0" t="s">
        <v>4502</v>
      </c>
      <c r="B10991" s="0" t="str">
        <f aca="false">HYPERLINK("https://lindat.mff.cuni.cz/services/teitok/pdtc10/index.php?action=vallex&amp;frame=v-w1339f55_ZU", "jít (v-w1339f55_ZU)")</f>
        <v>jít (v-w1339f55_ZU)</v>
      </c>
    </row>
    <row r="10992" customFormat="false" ht="12.8" hidden="false" customHeight="false" outlineLevel="0" collapsed="false">
      <c r="B10992" s="0" t="s">
        <v>7</v>
      </c>
    </row>
    <row r="10993" customFormat="false" ht="12.8" hidden="false" customHeight="false" outlineLevel="0" collapsed="false">
      <c r="B10993" s="0" t="s">
        <v>4503</v>
      </c>
    </row>
    <row r="10995" customFormat="false" ht="12.8" hidden="false" customHeight="false" outlineLevel="0" collapsed="false">
      <c r="A10995" s="0" t="s">
        <v>4502</v>
      </c>
      <c r="B10995" s="0" t="str">
        <f aca="false">HYPERLINK("https://lindat.mff.cuni.cz/services/teitok/pdtc10/index.php?action=vallex&amp;frame=v-w1339hsa_482", "jít (v-w1339hsa_482) - substituted with v-w1339f55_ZU")</f>
        <v>jít (v-w1339hsa_482) - substituted with v-w1339f55_ZU</v>
      </c>
    </row>
    <row r="10996" customFormat="false" ht="12.8" hidden="false" customHeight="false" outlineLevel="0" collapsed="false">
      <c r="B10996" s="0" t="s">
        <v>7</v>
      </c>
    </row>
    <row r="10997" customFormat="false" ht="12.8" hidden="false" customHeight="false" outlineLevel="0" collapsed="false">
      <c r="B10997" s="0" t="s">
        <v>4503</v>
      </c>
    </row>
    <row r="10999" customFormat="false" ht="12.8" hidden="false" customHeight="false" outlineLevel="0" collapsed="false">
      <c r="A10999" s="0" t="s">
        <v>4504</v>
      </c>
      <c r="B10999" s="0" t="str">
        <f aca="false">HYPERLINK("https://lindat.mff.cuni.cz/services/teitok/pdtc10/index.php?action=vallex&amp;frame=v-w1339f56_ZU", "jít (v-w1339f56_ZU)")</f>
        <v>jít (v-w1339f56_ZU)</v>
      </c>
    </row>
    <row r="11000" customFormat="false" ht="12.8" hidden="false" customHeight="false" outlineLevel="0" collapsed="false">
      <c r="B11000" s="0" t="s">
        <v>7</v>
      </c>
    </row>
    <row r="11001" customFormat="false" ht="12.8" hidden="false" customHeight="false" outlineLevel="0" collapsed="false">
      <c r="B11001" s="0" t="s">
        <v>1042</v>
      </c>
    </row>
    <row r="11002" customFormat="false" ht="12.8" hidden="false" customHeight="false" outlineLevel="0" collapsed="false">
      <c r="B11002" s="0" t="s">
        <v>142</v>
      </c>
    </row>
    <row r="11004" customFormat="false" ht="12.8" hidden="false" customHeight="false" outlineLevel="0" collapsed="false">
      <c r="A11004" s="0" t="s">
        <v>4504</v>
      </c>
      <c r="B11004" s="0" t="str">
        <f aca="false">HYPERLINK("https://lindat.mff.cuni.cz/services/teitok/pdtc10/index.php?action=vallex&amp;frame=v-w1339hsa_483", "jít (v-w1339hsa_483) - substituted with v-w1339f56_ZU")</f>
        <v>jít (v-w1339hsa_483) - substituted with v-w1339f56_ZU</v>
      </c>
    </row>
    <row r="11005" customFormat="false" ht="12.8" hidden="false" customHeight="false" outlineLevel="0" collapsed="false">
      <c r="B11005" s="0" t="s">
        <v>7</v>
      </c>
    </row>
    <row r="11006" customFormat="false" ht="12.8" hidden="false" customHeight="false" outlineLevel="0" collapsed="false">
      <c r="B11006" s="0" t="s">
        <v>1042</v>
      </c>
    </row>
    <row r="11007" customFormat="false" ht="12.8" hidden="false" customHeight="false" outlineLevel="0" collapsed="false">
      <c r="B11007" s="0" t="s">
        <v>142</v>
      </c>
    </row>
    <row r="11009" customFormat="false" ht="12.8" hidden="false" customHeight="false" outlineLevel="0" collapsed="false">
      <c r="A11009" s="0" t="s">
        <v>4505</v>
      </c>
      <c r="B11009" s="0" t="str">
        <f aca="false">HYPERLINK("https://lindat.mff.cuni.cz/services/teitok/pdtc10/index.php?action=vallex&amp;frame=v-w1339f52_ZU", "jít (v-w1339f52_ZU)")</f>
        <v>jít (v-w1339f52_ZU)</v>
      </c>
    </row>
    <row r="11010" customFormat="false" ht="12.8" hidden="false" customHeight="false" outlineLevel="0" collapsed="false">
      <c r="B11010" s="0" t="s">
        <v>7</v>
      </c>
      <c r="C11010" s="0" t="s">
        <v>4445</v>
      </c>
    </row>
    <row r="11011" customFormat="false" ht="12.8" hidden="false" customHeight="false" outlineLevel="0" collapsed="false">
      <c r="B11011" s="0" t="s">
        <v>4506</v>
      </c>
    </row>
    <row r="11013" customFormat="false" ht="12.8" hidden="false" customHeight="false" outlineLevel="0" collapsed="false">
      <c r="A11013" s="0" t="s">
        <v>4505</v>
      </c>
      <c r="B11013" s="0" t="str">
        <f aca="false">HYPERLINK("https://lindat.mff.cuni.cz/services/teitok/pdtc10/index.php?action=vallex&amp;frame=v-w1339hsa_484", "jít (v-w1339hsa_484) - substituted with v-w1339f52_ZU")</f>
        <v>jít (v-w1339hsa_484) - substituted with v-w1339f52_ZU</v>
      </c>
    </row>
    <row r="11014" customFormat="false" ht="12.8" hidden="false" customHeight="false" outlineLevel="0" collapsed="false">
      <c r="B11014" s="0" t="s">
        <v>7</v>
      </c>
    </row>
    <row r="11015" customFormat="false" ht="12.8" hidden="false" customHeight="false" outlineLevel="0" collapsed="false">
      <c r="B11015" s="0" t="s">
        <v>4506</v>
      </c>
    </row>
    <row r="11017" customFormat="false" ht="12.8" hidden="false" customHeight="false" outlineLevel="0" collapsed="false">
      <c r="A11017" s="0" t="s">
        <v>4507</v>
      </c>
      <c r="B11017" s="0" t="str">
        <f aca="false">HYPERLINK("https://lindat.mff.cuni.cz/services/teitok/pdtc10/index.php?action=vallex&amp;frame=v-w1339f57_ZU", "jít (v-w1339f57_ZU)")</f>
        <v>jít (v-w1339f57_ZU)</v>
      </c>
    </row>
    <row r="11018" customFormat="false" ht="12.8" hidden="false" customHeight="false" outlineLevel="0" collapsed="false">
      <c r="B11018" s="0" t="s">
        <v>7</v>
      </c>
    </row>
    <row r="11019" customFormat="false" ht="12.8" hidden="false" customHeight="false" outlineLevel="0" collapsed="false">
      <c r="B11019" s="0" t="s">
        <v>4508</v>
      </c>
    </row>
    <row r="11020" customFormat="false" ht="12.8" hidden="false" customHeight="false" outlineLevel="0" collapsed="false">
      <c r="B11020" s="0" t="s">
        <v>142</v>
      </c>
    </row>
    <row r="11022" customFormat="false" ht="12.8" hidden="false" customHeight="false" outlineLevel="0" collapsed="false">
      <c r="A11022" s="0" t="s">
        <v>4507</v>
      </c>
      <c r="B11022" s="0" t="str">
        <f aca="false">HYPERLINK("https://lindat.mff.cuni.cz/services/teitok/pdtc10/index.php?action=vallex&amp;frame=v-w1339hsa_485", "jít (v-w1339hsa_485) - substituted with v-w1339f57_ZU")</f>
        <v>jít (v-w1339hsa_485) - substituted with v-w1339f57_ZU</v>
      </c>
    </row>
    <row r="11023" customFormat="false" ht="12.8" hidden="false" customHeight="false" outlineLevel="0" collapsed="false">
      <c r="B11023" s="0" t="s">
        <v>7</v>
      </c>
    </row>
    <row r="11024" customFormat="false" ht="12.8" hidden="false" customHeight="false" outlineLevel="0" collapsed="false">
      <c r="B11024" s="0" t="s">
        <v>4508</v>
      </c>
    </row>
    <row r="11025" customFormat="false" ht="12.8" hidden="false" customHeight="false" outlineLevel="0" collapsed="false">
      <c r="B11025" s="0" t="s">
        <v>142</v>
      </c>
    </row>
    <row r="11027" customFormat="false" ht="12.8" hidden="false" customHeight="false" outlineLevel="0" collapsed="false">
      <c r="A11027" s="0" t="s">
        <v>4509</v>
      </c>
      <c r="B11027" s="0" t="str">
        <f aca="false">HYPERLINK("https://lindat.mff.cuni.cz/services/teitok/pdtc10/index.php?action=vallex&amp;frame=v-w1339f61_ZU", "jít (v-w1339f61_ZU)")</f>
        <v>jít (v-w1339f61_ZU)</v>
      </c>
    </row>
    <row r="11028" customFormat="false" ht="12.8" hidden="false" customHeight="false" outlineLevel="0" collapsed="false">
      <c r="B11028" s="0" t="s">
        <v>7</v>
      </c>
    </row>
    <row r="11029" customFormat="false" ht="12.8" hidden="false" customHeight="false" outlineLevel="0" collapsed="false">
      <c r="B11029" s="0" t="s">
        <v>237</v>
      </c>
    </row>
    <row r="11031" customFormat="false" ht="12.8" hidden="false" customHeight="false" outlineLevel="0" collapsed="false">
      <c r="A11031" s="0" t="s">
        <v>4509</v>
      </c>
      <c r="B11031" s="0" t="str">
        <f aca="false">HYPERLINK("https://lindat.mff.cuni.cz/services/teitok/pdtc10/index.php?action=vallex&amp;frame=v-w1339hsa_401", "jít (v-w1339hsa_401) - substituted with v-w1339f61_ZU")</f>
        <v>jít (v-w1339hsa_401) - substituted with v-w1339f61_ZU</v>
      </c>
    </row>
    <row r="11032" customFormat="false" ht="12.8" hidden="false" customHeight="false" outlineLevel="0" collapsed="false">
      <c r="B11032" s="0" t="s">
        <v>7</v>
      </c>
    </row>
    <row r="11033" customFormat="false" ht="12.8" hidden="false" customHeight="false" outlineLevel="0" collapsed="false">
      <c r="B11033" s="0" t="s">
        <v>237</v>
      </c>
    </row>
    <row r="11035" customFormat="false" ht="12.8" hidden="false" customHeight="false" outlineLevel="0" collapsed="false">
      <c r="A11035" s="0" t="s">
        <v>4510</v>
      </c>
      <c r="B11035" s="0" t="str">
        <f aca="false">HYPERLINK("https://lindat.mff.cuni.cz/services/teitok/pdtc10/index.php?action=vallex&amp;frame=v-w1339f62_ZU", "jít (v-w1339f62_ZU)")</f>
        <v>jít (v-w1339f62_ZU)</v>
      </c>
    </row>
    <row r="11036" customFormat="false" ht="12.8" hidden="false" customHeight="false" outlineLevel="0" collapsed="false">
      <c r="B11036" s="0" t="s">
        <v>7</v>
      </c>
    </row>
    <row r="11037" customFormat="false" ht="12.8" hidden="false" customHeight="false" outlineLevel="0" collapsed="false">
      <c r="B11037" s="0" t="s">
        <v>4501</v>
      </c>
    </row>
    <row r="11039" customFormat="false" ht="12.8" hidden="false" customHeight="false" outlineLevel="0" collapsed="false">
      <c r="A11039" s="0" t="s">
        <v>4510</v>
      </c>
      <c r="B11039" s="0" t="str">
        <f aca="false">HYPERLINK("https://lindat.mff.cuni.cz/services/teitok/pdtc10/index.php?action=vallex&amp;frame=v-w1339hsa_405", "jít (v-w1339hsa_405) - substituted with v-w1339f62_ZU")</f>
        <v>jít (v-w1339hsa_405) - substituted with v-w1339f62_ZU</v>
      </c>
    </row>
    <row r="11040" customFormat="false" ht="12.8" hidden="false" customHeight="false" outlineLevel="0" collapsed="false">
      <c r="B11040" s="0" t="s">
        <v>7</v>
      </c>
    </row>
    <row r="11041" customFormat="false" ht="12.8" hidden="false" customHeight="false" outlineLevel="0" collapsed="false">
      <c r="B11041" s="0" t="s">
        <v>4501</v>
      </c>
    </row>
    <row r="11043" customFormat="false" ht="12.8" hidden="false" customHeight="false" outlineLevel="0" collapsed="false">
      <c r="A11043" s="0" t="s">
        <v>4511</v>
      </c>
      <c r="B11043" s="0" t="str">
        <f aca="false">HYPERLINK("https://lindat.mff.cuni.cz/services/teitok/pdtc10/index.php?action=vallex&amp;frame=v-w1339f63_ZU", "jít (v-w1339f63_ZU)")</f>
        <v>jít (v-w1339f63_ZU)</v>
      </c>
    </row>
    <row r="11044" customFormat="false" ht="12.8" hidden="false" customHeight="false" outlineLevel="0" collapsed="false">
      <c r="B11044" s="0" t="s">
        <v>7</v>
      </c>
    </row>
    <row r="11045" customFormat="false" ht="12.8" hidden="false" customHeight="false" outlineLevel="0" collapsed="false">
      <c r="B11045" s="0" t="s">
        <v>4512</v>
      </c>
    </row>
    <row r="11047" customFormat="false" ht="12.8" hidden="false" customHeight="false" outlineLevel="0" collapsed="false">
      <c r="A11047" s="0" t="s">
        <v>4511</v>
      </c>
      <c r="B11047" s="0" t="str">
        <f aca="false">HYPERLINK("https://lindat.mff.cuni.cz/services/teitok/pdtc10/index.php?action=vallex&amp;frame=v-w1339hsa_406", "jít (v-w1339hsa_406) - substituted with v-w1339f63_ZU")</f>
        <v>jít (v-w1339hsa_406) - substituted with v-w1339f63_ZU</v>
      </c>
    </row>
    <row r="11048" customFormat="false" ht="12.8" hidden="false" customHeight="false" outlineLevel="0" collapsed="false">
      <c r="B11048" s="0" t="s">
        <v>7</v>
      </c>
    </row>
    <row r="11049" customFormat="false" ht="12.8" hidden="false" customHeight="false" outlineLevel="0" collapsed="false">
      <c r="B11049" s="0" t="s">
        <v>4512</v>
      </c>
    </row>
    <row r="11051" customFormat="false" ht="12.8" hidden="false" customHeight="false" outlineLevel="0" collapsed="false">
      <c r="A11051" s="0" t="s">
        <v>4513</v>
      </c>
      <c r="B11051" s="0" t="str">
        <f aca="false">HYPERLINK("https://lindat.mff.cuni.cz/services/teitok/pdtc10/index.php?action=vallex&amp;frame=v-w1339f64_ZU", "jít (v-w1339f64_ZU)")</f>
        <v>jít (v-w1339f64_ZU)</v>
      </c>
    </row>
    <row r="11052" customFormat="false" ht="12.8" hidden="false" customHeight="false" outlineLevel="0" collapsed="false">
      <c r="B11052" s="0" t="s">
        <v>7</v>
      </c>
    </row>
    <row r="11053" customFormat="false" ht="12.8" hidden="false" customHeight="false" outlineLevel="0" collapsed="false">
      <c r="B11053" s="0" t="s">
        <v>4514</v>
      </c>
    </row>
    <row r="11055" customFormat="false" ht="12.8" hidden="false" customHeight="false" outlineLevel="0" collapsed="false">
      <c r="A11055" s="0" t="s">
        <v>4513</v>
      </c>
      <c r="B11055" s="0" t="str">
        <f aca="false">HYPERLINK("https://lindat.mff.cuni.cz/services/teitok/pdtc10/index.php?action=vallex&amp;frame=v-w1339hsa_407", "jít (v-w1339hsa_407) - substituted with v-w1339f64_ZU")</f>
        <v>jít (v-w1339hsa_407) - substituted with v-w1339f64_ZU</v>
      </c>
    </row>
    <row r="11056" customFormat="false" ht="12.8" hidden="false" customHeight="false" outlineLevel="0" collapsed="false">
      <c r="B11056" s="0" t="s">
        <v>7</v>
      </c>
    </row>
    <row r="11057" customFormat="false" ht="12.8" hidden="false" customHeight="false" outlineLevel="0" collapsed="false">
      <c r="B11057" s="0" t="s">
        <v>4514</v>
      </c>
    </row>
    <row r="11059" customFormat="false" ht="12.8" hidden="false" customHeight="false" outlineLevel="0" collapsed="false">
      <c r="A11059" s="0" t="s">
        <v>4515</v>
      </c>
      <c r="B11059" s="0" t="str">
        <f aca="false">HYPERLINK("https://lindat.mff.cuni.cz/services/teitok/pdtc10/index.php?action=vallex&amp;frame=v-w1339f65_ZU", "jít (v-w1339f65_ZU)")</f>
        <v>jít (v-w1339f65_ZU)</v>
      </c>
    </row>
    <row r="11060" customFormat="false" ht="12.8" hidden="false" customHeight="false" outlineLevel="0" collapsed="false">
      <c r="B11060" s="0" t="s">
        <v>7</v>
      </c>
    </row>
    <row r="11061" customFormat="false" ht="12.8" hidden="false" customHeight="false" outlineLevel="0" collapsed="false">
      <c r="B11061" s="0" t="s">
        <v>4516</v>
      </c>
    </row>
    <row r="11062" customFormat="false" ht="12.8" hidden="false" customHeight="false" outlineLevel="0" collapsed="false">
      <c r="B11062" s="0" t="s">
        <v>142</v>
      </c>
    </row>
    <row r="11064" customFormat="false" ht="12.8" hidden="false" customHeight="false" outlineLevel="0" collapsed="false">
      <c r="A11064" s="0" t="s">
        <v>4515</v>
      </c>
      <c r="B11064" s="0" t="str">
        <f aca="false">HYPERLINK("https://lindat.mff.cuni.cz/services/teitok/pdtc10/index.php?action=vallex&amp;frame=v-w1339hsa_408", "jít (v-w1339hsa_408) - substituted with v-w1339f65_ZU")</f>
        <v>jít (v-w1339hsa_408) - substituted with v-w1339f65_ZU</v>
      </c>
    </row>
    <row r="11065" customFormat="false" ht="12.8" hidden="false" customHeight="false" outlineLevel="0" collapsed="false">
      <c r="B11065" s="0" t="s">
        <v>7</v>
      </c>
    </row>
    <row r="11066" customFormat="false" ht="12.8" hidden="false" customHeight="false" outlineLevel="0" collapsed="false">
      <c r="B11066" s="0" t="s">
        <v>4516</v>
      </c>
    </row>
    <row r="11067" customFormat="false" ht="12.8" hidden="false" customHeight="false" outlineLevel="0" collapsed="false">
      <c r="B11067" s="0" t="s">
        <v>142</v>
      </c>
    </row>
    <row r="11069" customFormat="false" ht="12.8" hidden="false" customHeight="false" outlineLevel="0" collapsed="false">
      <c r="A11069" s="0" t="s">
        <v>4517</v>
      </c>
      <c r="B11069" s="0" t="str">
        <f aca="false">HYPERLINK("https://lindat.mff.cuni.cz/services/teitok/pdtc10/index.php?action=vallex&amp;frame=v-w1339f66_ZU", "jít (v-w1339f66_ZU)")</f>
        <v>jít (v-w1339f66_ZU)</v>
      </c>
    </row>
    <row r="11070" customFormat="false" ht="12.8" hidden="false" customHeight="false" outlineLevel="0" collapsed="false">
      <c r="B11070" s="0" t="s">
        <v>7</v>
      </c>
    </row>
    <row r="11071" customFormat="false" ht="12.8" hidden="false" customHeight="false" outlineLevel="0" collapsed="false">
      <c r="B11071" s="0" t="s">
        <v>4518</v>
      </c>
    </row>
    <row r="11073" customFormat="false" ht="12.8" hidden="false" customHeight="false" outlineLevel="0" collapsed="false">
      <c r="A11073" s="0" t="s">
        <v>4517</v>
      </c>
      <c r="B11073" s="0" t="str">
        <f aca="false">HYPERLINK("https://lindat.mff.cuni.cz/services/teitok/pdtc10/index.php?action=vallex&amp;frame=v-w1339hsa_411", "jít (v-w1339hsa_411) - substituted with v-w1339f66_ZU")</f>
        <v>jít (v-w1339hsa_411) - substituted with v-w1339f66_ZU</v>
      </c>
    </row>
    <row r="11074" customFormat="false" ht="12.8" hidden="false" customHeight="false" outlineLevel="0" collapsed="false">
      <c r="B11074" s="0" t="s">
        <v>7</v>
      </c>
    </row>
    <row r="11075" customFormat="false" ht="12.8" hidden="false" customHeight="false" outlineLevel="0" collapsed="false">
      <c r="B11075" s="0" t="s">
        <v>4518</v>
      </c>
    </row>
    <row r="11077" customFormat="false" ht="12.8" hidden="false" customHeight="false" outlineLevel="0" collapsed="false">
      <c r="A11077" s="0" t="s">
        <v>4519</v>
      </c>
      <c r="B11077" s="0" t="str">
        <f aca="false">HYPERLINK("https://lindat.mff.cuni.cz/services/teitok/pdtc10/index.php?action=vallex&amp;frame=v-w1339f67_ZU", "jít (v-w1339f67_ZU)")</f>
        <v>jít (v-w1339f67_ZU)</v>
      </c>
    </row>
    <row r="11078" customFormat="false" ht="12.8" hidden="false" customHeight="false" outlineLevel="0" collapsed="false">
      <c r="B11078" s="0" t="s">
        <v>603</v>
      </c>
    </row>
    <row r="11079" customFormat="false" ht="12.8" hidden="false" customHeight="false" outlineLevel="0" collapsed="false">
      <c r="B11079" s="0" t="s">
        <v>4520</v>
      </c>
    </row>
    <row r="11081" customFormat="false" ht="12.8" hidden="false" customHeight="false" outlineLevel="0" collapsed="false">
      <c r="A11081" s="0" t="s">
        <v>4519</v>
      </c>
      <c r="B11081" s="0" t="str">
        <f aca="false">HYPERLINK("https://lindat.mff.cuni.cz/services/teitok/pdtc10/index.php?action=vallex&amp;frame=v-w1339hsa_412", "jít (v-w1339hsa_412) - substituted with v-w1339f67_ZU")</f>
        <v>jít (v-w1339hsa_412) - substituted with v-w1339f67_ZU</v>
      </c>
    </row>
    <row r="11082" customFormat="false" ht="12.8" hidden="false" customHeight="false" outlineLevel="0" collapsed="false">
      <c r="B11082" s="0" t="s">
        <v>603</v>
      </c>
    </row>
    <row r="11083" customFormat="false" ht="12.8" hidden="false" customHeight="false" outlineLevel="0" collapsed="false">
      <c r="B11083" s="0" t="s">
        <v>4520</v>
      </c>
    </row>
    <row r="11085" customFormat="false" ht="12.8" hidden="false" customHeight="false" outlineLevel="0" collapsed="false">
      <c r="A11085" s="0" t="s">
        <v>4521</v>
      </c>
      <c r="B11085" s="0" t="str">
        <f aca="false">HYPERLINK("https://lindat.mff.cuni.cz/services/teitok/pdtc10/index.php?action=vallex&amp;frame=v-w1339f68_ZU", "jít (v-w1339f68_ZU)")</f>
        <v>jít (v-w1339f68_ZU)</v>
      </c>
    </row>
    <row r="11086" customFormat="false" ht="12.8" hidden="false" customHeight="false" outlineLevel="0" collapsed="false">
      <c r="B11086" s="0" t="s">
        <v>7</v>
      </c>
    </row>
    <row r="11087" customFormat="false" ht="12.8" hidden="false" customHeight="false" outlineLevel="0" collapsed="false">
      <c r="B11087" s="0" t="s">
        <v>4522</v>
      </c>
    </row>
    <row r="11088" customFormat="false" ht="12.8" hidden="false" customHeight="false" outlineLevel="0" collapsed="false">
      <c r="B11088" s="0" t="s">
        <v>548</v>
      </c>
    </row>
    <row r="11090" customFormat="false" ht="12.8" hidden="false" customHeight="false" outlineLevel="0" collapsed="false">
      <c r="A11090" s="0" t="s">
        <v>4521</v>
      </c>
      <c r="B11090" s="0" t="str">
        <f aca="false">HYPERLINK("https://lindat.mff.cuni.cz/services/teitok/pdtc10/index.php?action=vallex&amp;frame=v-w1339hsa_409", "jít (v-w1339hsa_409) - substituted with v-w1339f68_ZU")</f>
        <v>jít (v-w1339hsa_409) - substituted with v-w1339f68_ZU</v>
      </c>
    </row>
    <row r="11091" customFormat="false" ht="12.8" hidden="false" customHeight="false" outlineLevel="0" collapsed="false">
      <c r="B11091" s="0" t="s">
        <v>7</v>
      </c>
    </row>
    <row r="11092" customFormat="false" ht="12.8" hidden="false" customHeight="false" outlineLevel="0" collapsed="false">
      <c r="B11092" s="0" t="s">
        <v>4522</v>
      </c>
    </row>
    <row r="11093" customFormat="false" ht="12.8" hidden="false" customHeight="false" outlineLevel="0" collapsed="false">
      <c r="B11093" s="0" t="s">
        <v>548</v>
      </c>
    </row>
    <row r="11095" customFormat="false" ht="12.8" hidden="false" customHeight="false" outlineLevel="0" collapsed="false">
      <c r="A11095" s="0" t="s">
        <v>4523</v>
      </c>
      <c r="B11095" s="0" t="str">
        <f aca="false">HYPERLINK("https://lindat.mff.cuni.cz/services/teitok/pdtc10/index.php?action=vallex&amp;frame=v-w1339f69_ZU", "jít (v-w1339f69_ZU)")</f>
        <v>jít (v-w1339f69_ZU)</v>
      </c>
    </row>
    <row r="11096" customFormat="false" ht="12.8" hidden="false" customHeight="false" outlineLevel="0" collapsed="false">
      <c r="B11096" s="0" t="s">
        <v>7</v>
      </c>
    </row>
    <row r="11097" customFormat="false" ht="12.8" hidden="false" customHeight="false" outlineLevel="0" collapsed="false">
      <c r="B11097" s="0" t="s">
        <v>4524</v>
      </c>
    </row>
    <row r="11099" customFormat="false" ht="12.8" hidden="false" customHeight="false" outlineLevel="0" collapsed="false">
      <c r="A11099" s="0" t="s">
        <v>4523</v>
      </c>
      <c r="B11099" s="0" t="str">
        <f aca="false">HYPERLINK("https://lindat.mff.cuni.cz/services/teitok/pdtc10/index.php?action=vallex&amp;frame=v-w1339hsa_410", "jít (v-w1339hsa_410) - substituted with v-w1339f69_ZU")</f>
        <v>jít (v-w1339hsa_410) - substituted with v-w1339f69_ZU</v>
      </c>
    </row>
    <row r="11100" customFormat="false" ht="12.8" hidden="false" customHeight="false" outlineLevel="0" collapsed="false">
      <c r="B11100" s="0" t="s">
        <v>7</v>
      </c>
    </row>
    <row r="11101" customFormat="false" ht="12.8" hidden="false" customHeight="false" outlineLevel="0" collapsed="false">
      <c r="B11101" s="0" t="s">
        <v>4524</v>
      </c>
    </row>
    <row r="11103" customFormat="false" ht="12.8" hidden="false" customHeight="false" outlineLevel="0" collapsed="false">
      <c r="A11103" s="0" t="s">
        <v>4525</v>
      </c>
      <c r="B11103" s="0" t="str">
        <f aca="false">HYPERLINK("https://lindat.mff.cuni.cz/services/teitok/pdtc10/index.php?action=vallex&amp;frame=v-w1339f73_ZU", "jít (v-w1339f73_ZU)")</f>
        <v>jít (v-w1339f73_ZU)</v>
      </c>
    </row>
    <row r="11104" customFormat="false" ht="12.8" hidden="false" customHeight="false" outlineLevel="0" collapsed="false">
      <c r="B11104" s="0" t="s">
        <v>7</v>
      </c>
    </row>
    <row r="11105" customFormat="false" ht="12.8" hidden="false" customHeight="false" outlineLevel="0" collapsed="false">
      <c r="B11105" s="0" t="s">
        <v>4526</v>
      </c>
    </row>
    <row r="11107" customFormat="false" ht="12.8" hidden="false" customHeight="false" outlineLevel="0" collapsed="false">
      <c r="A11107" s="0" t="s">
        <v>4527</v>
      </c>
      <c r="B11107" s="0" t="str">
        <f aca="false">HYPERLINK("https://lindat.mff.cuni.cz/services/teitok/pdtc10/index.php?action=vallex&amp;frame=v-w1339f74_ZU", "jít (v-w1339f74_ZU)")</f>
        <v>jít (v-w1339f74_ZU)</v>
      </c>
    </row>
    <row r="11108" customFormat="false" ht="12.8" hidden="false" customHeight="false" outlineLevel="0" collapsed="false">
      <c r="B11108" s="0" t="s">
        <v>7</v>
      </c>
    </row>
    <row r="11109" customFormat="false" ht="12.8" hidden="false" customHeight="false" outlineLevel="0" collapsed="false">
      <c r="B11109" s="0" t="s">
        <v>4528</v>
      </c>
    </row>
    <row r="11110" customFormat="false" ht="12.8" hidden="false" customHeight="false" outlineLevel="0" collapsed="false">
      <c r="B11110" s="0" t="s">
        <v>666</v>
      </c>
    </row>
    <row r="11112" customFormat="false" ht="12.8" hidden="false" customHeight="false" outlineLevel="0" collapsed="false">
      <c r="A11112" s="0" t="s">
        <v>4529</v>
      </c>
      <c r="B11112" s="0" t="str">
        <f aca="false">HYPERLINK("https://lindat.mff.cuni.cz/services/teitok/pdtc10/index.php?action=vallex&amp;frame=v-w1339f76_ZU", "jít (v-w1339f76_ZU)")</f>
        <v>jít (v-w1339f76_ZU)</v>
      </c>
    </row>
    <row r="11113" customFormat="false" ht="12.8" hidden="false" customHeight="false" outlineLevel="0" collapsed="false">
      <c r="B11113" s="0" t="s">
        <v>7</v>
      </c>
    </row>
    <row r="11114" customFormat="false" ht="12.8" hidden="false" customHeight="false" outlineLevel="0" collapsed="false">
      <c r="B11114" s="0" t="s">
        <v>41</v>
      </c>
    </row>
    <row r="11116" customFormat="false" ht="12.8" hidden="false" customHeight="false" outlineLevel="0" collapsed="false">
      <c r="A11116" s="0" t="s">
        <v>4530</v>
      </c>
      <c r="B11116" s="0" t="str">
        <f aca="false">HYPERLINK("https://lindat.mff.cuni.cz/services/teitok/pdtc10/index.php?action=vallex&amp;frame=v-w1339f80_ZU", "jít (v-w1339f80_ZU)")</f>
        <v>jít (v-w1339f80_ZU)</v>
      </c>
    </row>
    <row r="11117" customFormat="false" ht="12.8" hidden="false" customHeight="false" outlineLevel="0" collapsed="false">
      <c r="B11117" s="0" t="s">
        <v>7</v>
      </c>
    </row>
    <row r="11118" customFormat="false" ht="12.8" hidden="false" customHeight="false" outlineLevel="0" collapsed="false">
      <c r="B11118" s="0" t="s">
        <v>338</v>
      </c>
    </row>
    <row r="11120" customFormat="false" ht="12.8" hidden="false" customHeight="false" outlineLevel="0" collapsed="false">
      <c r="A11120" s="0" t="s">
        <v>4530</v>
      </c>
      <c r="B11120" s="0" t="str">
        <f aca="false">HYPERLINK("https://lindat.mff.cuni.cz/services/teitok/pdtc10/index.php?action=vallex&amp;frame=v-w1339f70_ZU", "jít (v-w1339f70_ZU) - substituted with v-w1339f80_ZU")</f>
        <v>jít (v-w1339f70_ZU) - substituted with v-w1339f80_ZU</v>
      </c>
    </row>
    <row r="11121" customFormat="false" ht="12.8" hidden="false" customHeight="false" outlineLevel="0" collapsed="false">
      <c r="B11121" s="0" t="s">
        <v>7</v>
      </c>
    </row>
    <row r="11122" customFormat="false" ht="12.8" hidden="false" customHeight="false" outlineLevel="0" collapsed="false">
      <c r="B11122" s="0" t="s">
        <v>338</v>
      </c>
    </row>
    <row r="11124" customFormat="false" ht="12.8" hidden="false" customHeight="false" outlineLevel="0" collapsed="false">
      <c r="A11124" s="0" t="s">
        <v>4530</v>
      </c>
      <c r="B11124" s="0" t="str">
        <f aca="false">HYPERLINK("https://lindat.mff.cuni.cz/services/teitok/pdtc10/index.php?action=vallex&amp;frame=v-w1339f71_ZU", "jít (v-w1339f71_ZU) - substituted with v-w1339f80_ZU")</f>
        <v>jít (v-w1339f71_ZU) - substituted with v-w1339f80_ZU</v>
      </c>
    </row>
    <row r="11125" customFormat="false" ht="12.8" hidden="false" customHeight="false" outlineLevel="0" collapsed="false">
      <c r="B11125" s="0" t="s">
        <v>7</v>
      </c>
    </row>
    <row r="11126" customFormat="false" ht="12.8" hidden="false" customHeight="false" outlineLevel="0" collapsed="false">
      <c r="B11126" s="0" t="s">
        <v>338</v>
      </c>
    </row>
    <row r="11128" customFormat="false" ht="12.8" hidden="false" customHeight="false" outlineLevel="0" collapsed="false">
      <c r="A11128" s="0" t="s">
        <v>4530</v>
      </c>
      <c r="B11128" s="0" t="str">
        <f aca="false">HYPERLINK("https://lindat.mff.cuni.cz/services/teitok/pdtc10/index.php?action=vallex&amp;frame=v-w1339f78_ZU", "jít (v-w1339f78_ZU) - substituted with v-w1339f80_ZU")</f>
        <v>jít (v-w1339f78_ZU) - substituted with v-w1339f80_ZU</v>
      </c>
    </row>
    <row r="11129" customFormat="false" ht="12.8" hidden="false" customHeight="false" outlineLevel="0" collapsed="false">
      <c r="B11129" s="0" t="s">
        <v>7</v>
      </c>
    </row>
    <row r="11130" customFormat="false" ht="12.8" hidden="false" customHeight="false" outlineLevel="0" collapsed="false">
      <c r="B11130" s="0" t="s">
        <v>338</v>
      </c>
    </row>
    <row r="11132" customFormat="false" ht="12.8" hidden="false" customHeight="false" outlineLevel="0" collapsed="false">
      <c r="A11132" s="0" t="s">
        <v>4531</v>
      </c>
      <c r="B11132" s="0" t="str">
        <f aca="false">HYPERLINK("https://lindat.mff.cuni.cz/services/teitok/pdtc10/index.php?action=vallex&amp;frame=v-w1339f81_ZU", "jít (v-w1339f81_ZU)")</f>
        <v>jít (v-w1339f81_ZU)</v>
      </c>
    </row>
    <row r="11133" customFormat="false" ht="12.8" hidden="false" customHeight="false" outlineLevel="0" collapsed="false">
      <c r="B11133" s="0" t="s">
        <v>7</v>
      </c>
    </row>
    <row r="11134" customFormat="false" ht="12.8" hidden="false" customHeight="false" outlineLevel="0" collapsed="false">
      <c r="B11134" s="0" t="s">
        <v>338</v>
      </c>
    </row>
    <row r="11136" customFormat="false" ht="12.8" hidden="false" customHeight="false" outlineLevel="0" collapsed="false">
      <c r="A11136" s="0" t="s">
        <v>4531</v>
      </c>
      <c r="B11136" s="0" t="str">
        <f aca="false">HYPERLINK("https://lindat.mff.cuni.cz/services/teitok/pdtc10/index.php?action=vallex&amp;frame=v-w1339f75_ZU", "jít (v-w1339f75_ZU) - substituted with v-w1339f81_ZU")</f>
        <v>jít (v-w1339f75_ZU) - substituted with v-w1339f81_ZU</v>
      </c>
    </row>
    <row r="11137" customFormat="false" ht="12.8" hidden="false" customHeight="false" outlineLevel="0" collapsed="false">
      <c r="B11137" s="0" t="s">
        <v>7</v>
      </c>
    </row>
    <row r="11138" customFormat="false" ht="12.8" hidden="false" customHeight="false" outlineLevel="0" collapsed="false">
      <c r="B11138" s="0" t="s">
        <v>338</v>
      </c>
    </row>
    <row r="11140" customFormat="false" ht="12.8" hidden="false" customHeight="false" outlineLevel="0" collapsed="false">
      <c r="A11140" s="0" t="s">
        <v>4532</v>
      </c>
      <c r="B11140" s="0" t="str">
        <f aca="false">HYPERLINK("https://lindat.mff.cuni.cz/services/teitok/pdtc10/index.php?action=vallex&amp;frame=v-w1339f83_ZU", "jít (v-w1339f83_ZU)")</f>
        <v>jít (v-w1339f83_ZU)</v>
      </c>
    </row>
    <row r="11141" customFormat="false" ht="12.8" hidden="false" customHeight="false" outlineLevel="0" collapsed="false">
      <c r="B11141" s="0" t="s">
        <v>7</v>
      </c>
    </row>
    <row r="11142" customFormat="false" ht="12.8" hidden="false" customHeight="false" outlineLevel="0" collapsed="false">
      <c r="B11142" s="0" t="s">
        <v>4533</v>
      </c>
    </row>
    <row r="11144" customFormat="false" ht="12.8" hidden="false" customHeight="false" outlineLevel="0" collapsed="false">
      <c r="A11144" s="0" t="s">
        <v>4534</v>
      </c>
      <c r="B11144" s="0" t="str">
        <f aca="false">HYPERLINK("https://lindat.mff.cuni.cz/services/teitok/pdtc10/index.php?action=vallex&amp;frame=v-w1339f86_ZU", "jít (v-w1339f86_ZU)")</f>
        <v>jít (v-w1339f86_ZU)</v>
      </c>
    </row>
    <row r="11145" customFormat="false" ht="12.8" hidden="false" customHeight="false" outlineLevel="0" collapsed="false">
      <c r="B11145" s="0" t="s">
        <v>7</v>
      </c>
    </row>
    <row r="11146" customFormat="false" ht="12.8" hidden="false" customHeight="false" outlineLevel="0" collapsed="false">
      <c r="B11146" s="0" t="s">
        <v>4535</v>
      </c>
    </row>
    <row r="11148" customFormat="false" ht="12.8" hidden="false" customHeight="false" outlineLevel="0" collapsed="false">
      <c r="A11148" s="0" t="s">
        <v>4534</v>
      </c>
      <c r="B11148" s="0" t="str">
        <f aca="false">HYPERLINK("https://lindat.mff.cuni.cz/services/teitok/pdtc10/index.php?action=vallex&amp;frame=v-w1339hsa_402", "jít (v-w1339hsa_402) - substituted with v-w1339f86_ZU")</f>
        <v>jít (v-w1339hsa_402) - substituted with v-w1339f86_ZU</v>
      </c>
    </row>
    <row r="11149" customFormat="false" ht="12.8" hidden="false" customHeight="false" outlineLevel="0" collapsed="false">
      <c r="B11149" s="0" t="s">
        <v>7</v>
      </c>
    </row>
    <row r="11150" customFormat="false" ht="12.8" hidden="false" customHeight="false" outlineLevel="0" collapsed="false">
      <c r="B11150" s="0" t="s">
        <v>4535</v>
      </c>
    </row>
    <row r="11152" customFormat="false" ht="12.8" hidden="false" customHeight="false" outlineLevel="0" collapsed="false">
      <c r="A11152" s="0" t="s">
        <v>4536</v>
      </c>
      <c r="B11152" s="0" t="str">
        <f aca="false">HYPERLINK("https://lindat.mff.cuni.cz/services/teitok/pdtc10/index.php?action=vallex&amp;frame=v-w1339f89_ZU", "jít (v-w1339f89_ZU)")</f>
        <v>jít (v-w1339f89_ZU)</v>
      </c>
    </row>
    <row r="11153" customFormat="false" ht="12.8" hidden="false" customHeight="false" outlineLevel="0" collapsed="false">
      <c r="B11153" s="0" t="s">
        <v>7</v>
      </c>
    </row>
    <row r="11155" customFormat="false" ht="12.8" hidden="false" customHeight="false" outlineLevel="0" collapsed="false">
      <c r="A11155" s="0" t="s">
        <v>4536</v>
      </c>
      <c r="B11155" s="0" t="str">
        <f aca="false">HYPERLINK("https://lindat.mff.cuni.cz/services/teitok/pdtc10/index.php?action=vallex&amp;frame=v-w1339f87_ZU", "jít (v-w1339f87_ZU) - substituted with v-w1339f89_ZU")</f>
        <v>jít (v-w1339f87_ZU) - substituted with v-w1339f89_ZU</v>
      </c>
    </row>
    <row r="11156" customFormat="false" ht="12.8" hidden="false" customHeight="false" outlineLevel="0" collapsed="false">
      <c r="B11156" s="0" t="s">
        <v>7</v>
      </c>
    </row>
    <row r="11158" customFormat="false" ht="12.8" hidden="false" customHeight="false" outlineLevel="0" collapsed="false">
      <c r="A11158" s="0" t="s">
        <v>4537</v>
      </c>
      <c r="B11158" s="0" t="str">
        <f aca="false">HYPERLINK("https://lindat.mff.cuni.cz/services/teitok/pdtc10/index.php?action=vallex&amp;frame=v-w1339f90_ZU", "jít (v-w1339f90_ZU)")</f>
        <v>jít (v-w1339f90_ZU)</v>
      </c>
    </row>
    <row r="11159" customFormat="false" ht="12.8" hidden="false" customHeight="false" outlineLevel="0" collapsed="false">
      <c r="B11159" s="0" t="s">
        <v>7</v>
      </c>
    </row>
    <row r="11161" customFormat="false" ht="12.8" hidden="false" customHeight="false" outlineLevel="0" collapsed="false">
      <c r="A11161" s="0" t="s">
        <v>4537</v>
      </c>
      <c r="B11161" s="0" t="str">
        <f aca="false">HYPERLINK("https://lindat.mff.cuni.cz/services/teitok/pdtc10/index.php?action=vallex&amp;frame=v-w1339hsa_400", "jít (v-w1339hsa_400) - substituted with v-w1339f90_ZU")</f>
        <v>jít (v-w1339hsa_400) - substituted with v-w1339f90_ZU</v>
      </c>
    </row>
    <row r="11162" customFormat="false" ht="12.8" hidden="false" customHeight="false" outlineLevel="0" collapsed="false">
      <c r="B11162" s="0" t="s">
        <v>7</v>
      </c>
    </row>
    <row r="11164" customFormat="false" ht="12.8" hidden="false" customHeight="false" outlineLevel="0" collapsed="false">
      <c r="A11164" s="0" t="s">
        <v>4538</v>
      </c>
      <c r="B11164" s="0" t="str">
        <f aca="false">HYPERLINK("https://lindat.mff.cuni.cz/services/teitok/pdtc10/index.php?action=vallex&amp;frame=v-w1339f91_ZU", "jít (v-w1339f91_ZU)")</f>
        <v>jít (v-w1339f91_ZU)</v>
      </c>
    </row>
    <row r="11165" customFormat="false" ht="12.8" hidden="false" customHeight="false" outlineLevel="0" collapsed="false">
      <c r="B11165" s="0" t="s">
        <v>7</v>
      </c>
    </row>
    <row r="11167" customFormat="false" ht="12.8" hidden="false" customHeight="false" outlineLevel="0" collapsed="false">
      <c r="A11167" s="0" t="s">
        <v>4539</v>
      </c>
      <c r="B11167" s="0" t="str">
        <f aca="false">HYPERLINK("https://lindat.mff.cuni.cz/services/teitok/pdtc10/index.php?action=vallex&amp;frame=v-w1339f92_ZU", "jít (v-w1339f92_ZU)")</f>
        <v>jít (v-w1339f92_ZU)</v>
      </c>
    </row>
    <row r="11168" customFormat="false" ht="12.8" hidden="false" customHeight="false" outlineLevel="0" collapsed="false">
      <c r="B11168" s="0" t="s">
        <v>7</v>
      </c>
    </row>
    <row r="11170" customFormat="false" ht="12.8" hidden="false" customHeight="false" outlineLevel="0" collapsed="false">
      <c r="A11170" s="0" t="s">
        <v>4540</v>
      </c>
      <c r="B11170" s="0" t="str">
        <f aca="false">HYPERLINK("https://lindat.mff.cuni.cz/services/teitok/pdtc10/index.php?action=vallex&amp;frame=v-w1339f93_ZU", "jít (v-w1339f93_ZU)")</f>
        <v>jít (v-w1339f93_ZU)</v>
      </c>
    </row>
    <row r="11171" customFormat="false" ht="12.8" hidden="false" customHeight="false" outlineLevel="0" collapsed="false">
      <c r="B11171" s="0" t="s">
        <v>7</v>
      </c>
    </row>
    <row r="11172" customFormat="false" ht="12.8" hidden="false" customHeight="false" outlineLevel="0" collapsed="false">
      <c r="B11172" s="0" t="s">
        <v>4541</v>
      </c>
    </row>
    <row r="11174" customFormat="false" ht="12.8" hidden="false" customHeight="false" outlineLevel="0" collapsed="false">
      <c r="A11174" s="0" t="s">
        <v>4542</v>
      </c>
      <c r="B11174" s="0" t="str">
        <f aca="false">HYPERLINK("https://lindat.mff.cuni.cz/services/teitok/pdtc10/index.php?action=vallex&amp;frame=v-w1339f95_ZU", "jít (v-w1339f95_ZU)")</f>
        <v>jít (v-w1339f95_ZU)</v>
      </c>
    </row>
    <row r="11175" customFormat="false" ht="12.8" hidden="false" customHeight="false" outlineLevel="0" collapsed="false">
      <c r="B11175" s="0" t="s">
        <v>7</v>
      </c>
    </row>
    <row r="11176" customFormat="false" ht="12.8" hidden="false" customHeight="false" outlineLevel="0" collapsed="false">
      <c r="B11176" s="0" t="s">
        <v>4543</v>
      </c>
    </row>
    <row r="11178" customFormat="false" ht="12.8" hidden="false" customHeight="false" outlineLevel="0" collapsed="false">
      <c r="A11178" s="0" t="s">
        <v>4544</v>
      </c>
      <c r="B11178" s="0" t="str">
        <f aca="false">HYPERLINK("https://lindat.mff.cuni.cz/services/teitok/pdtc10/index.php?action=vallex&amp;frame=v-w1339f97_ZU", "jít (v-w1339f97_ZU)")</f>
        <v>jít (v-w1339f97_ZU)</v>
      </c>
    </row>
    <row r="11179" customFormat="false" ht="12.8" hidden="false" customHeight="false" outlineLevel="0" collapsed="false">
      <c r="B11179" s="0" t="s">
        <v>7</v>
      </c>
    </row>
    <row r="11180" customFormat="false" ht="12.8" hidden="false" customHeight="false" outlineLevel="0" collapsed="false">
      <c r="B11180" s="0" t="s">
        <v>548</v>
      </c>
    </row>
    <row r="11181" customFormat="false" ht="12.8" hidden="false" customHeight="false" outlineLevel="0" collapsed="false">
      <c r="B11181" s="0" t="s">
        <v>4545</v>
      </c>
    </row>
    <row r="11183" customFormat="false" ht="12.8" hidden="false" customHeight="false" outlineLevel="0" collapsed="false">
      <c r="A11183" s="0" t="s">
        <v>4546</v>
      </c>
      <c r="B11183" s="0" t="str">
        <f aca="false">HYPERLINK("https://lindat.mff.cuni.cz/services/teitok/pdtc10/index.php?action=vallex&amp;frame=v-w1339hsa_403", "jít (v-w1339hsa_403)")</f>
        <v>jít (v-w1339hsa_403)</v>
      </c>
    </row>
    <row r="11184" customFormat="false" ht="12.8" hidden="false" customHeight="false" outlineLevel="0" collapsed="false">
      <c r="B11184" s="0" t="s">
        <v>7</v>
      </c>
    </row>
    <row r="11185" customFormat="false" ht="12.8" hidden="false" customHeight="false" outlineLevel="0" collapsed="false">
      <c r="B11185" s="0" t="s">
        <v>548</v>
      </c>
    </row>
    <row r="11187" customFormat="false" ht="12.8" hidden="false" customHeight="false" outlineLevel="0" collapsed="false">
      <c r="A11187" s="0" t="s">
        <v>4547</v>
      </c>
      <c r="B11187" s="0" t="str">
        <f aca="false">HYPERLINK("https://lindat.mff.cuni.cz/services/teitok/pdtc10/index.php?action=vallex&amp;frame=v-w1339hsa_404", "jít (v-w1339hsa_404)")</f>
        <v>jít (v-w1339hsa_404)</v>
      </c>
    </row>
    <row r="11189" customFormat="false" ht="12.8" hidden="false" customHeight="false" outlineLevel="0" collapsed="false">
      <c r="A11189" s="0" t="s">
        <v>4548</v>
      </c>
      <c r="B11189" s="0" t="str">
        <f aca="false">HYPERLINK("https://lindat.mff.cuni.cz/services/teitok/pdtc10/index.php?action=vallex&amp;frame=v-w1339hsa_486", "jít (v-w1339hsa_486)")</f>
        <v>jít (v-w1339hsa_486)</v>
      </c>
    </row>
    <row r="11190" customFormat="false" ht="12.8" hidden="false" customHeight="false" outlineLevel="0" collapsed="false">
      <c r="B11190" s="0" t="s">
        <v>7</v>
      </c>
    </row>
    <row r="11191" customFormat="false" ht="12.8" hidden="false" customHeight="false" outlineLevel="0" collapsed="false">
      <c r="B11191" s="0" t="s">
        <v>4549</v>
      </c>
    </row>
    <row r="11192" customFormat="false" ht="12.8" hidden="false" customHeight="false" outlineLevel="0" collapsed="false">
      <c r="B11192" s="0" t="s">
        <v>548</v>
      </c>
    </row>
    <row r="11194" customFormat="false" ht="12.8" hidden="false" customHeight="false" outlineLevel="0" collapsed="false">
      <c r="A11194" s="0" t="s">
        <v>4550</v>
      </c>
      <c r="B11194" s="0" t="str">
        <f aca="false">HYPERLINK("https://lindat.mff.cuni.cz/services/teitok/pdtc10/index.php?action=vallex&amp;frame=v-w11513_ZUf4_ZU", "jít si (v-w11513_ZUf4_ZU)")</f>
        <v>jít si (v-w11513_ZUf4_ZU)</v>
      </c>
    </row>
    <row r="11195" customFormat="false" ht="12.8" hidden="false" customHeight="false" outlineLevel="0" collapsed="false">
      <c r="B11195" s="0" t="s">
        <v>7</v>
      </c>
    </row>
    <row r="11196" customFormat="false" ht="12.8" hidden="false" customHeight="false" outlineLevel="0" collapsed="false">
      <c r="B11196" s="0" t="s">
        <v>4551</v>
      </c>
    </row>
    <row r="11198" customFormat="false" ht="12.8" hidden="false" customHeight="false" outlineLevel="0" collapsed="false">
      <c r="A11198" s="0" t="s">
        <v>4550</v>
      </c>
      <c r="B11198" s="0" t="str">
        <f aca="false">HYPERLINK("https://lindat.mff.cuni.cz/services/teitok/pdtc10/index.php?action=vallex&amp;frame=v-w11513_ZUf1_ZU", "jít si (v-w11513_ZUf1_ZU) - substituted with v-w11513_ZUf4_ZU")</f>
        <v>jít si (v-w11513_ZUf1_ZU) - substituted with v-w11513_ZUf4_ZU</v>
      </c>
    </row>
    <row r="11199" customFormat="false" ht="12.8" hidden="false" customHeight="false" outlineLevel="0" collapsed="false">
      <c r="B11199" s="0" t="s">
        <v>7</v>
      </c>
    </row>
    <row r="11200" customFormat="false" ht="12.8" hidden="false" customHeight="false" outlineLevel="0" collapsed="false">
      <c r="B11200" s="0" t="s">
        <v>4551</v>
      </c>
    </row>
    <row r="11202" customFormat="false" ht="12.8" hidden="false" customHeight="false" outlineLevel="0" collapsed="false">
      <c r="A11202" s="0" t="s">
        <v>4550</v>
      </c>
      <c r="B11202" s="0" t="str">
        <f aca="false">HYPERLINK("https://lindat.mff.cuni.cz/services/teitok/pdtc10/index.php?action=vallex&amp;frame=v-w11513_ZUf2_ZU", "jít si (v-w11513_ZUf2_ZU) - substituted with v-w11513_ZUf4_ZU")</f>
        <v>jít si (v-w11513_ZUf2_ZU) - substituted with v-w11513_ZUf4_ZU</v>
      </c>
    </row>
    <row r="11203" customFormat="false" ht="12.8" hidden="false" customHeight="false" outlineLevel="0" collapsed="false">
      <c r="B11203" s="0" t="s">
        <v>7</v>
      </c>
    </row>
    <row r="11204" customFormat="false" ht="12.8" hidden="false" customHeight="false" outlineLevel="0" collapsed="false">
      <c r="B11204" s="0" t="s">
        <v>4551</v>
      </c>
    </row>
    <row r="11206" customFormat="false" ht="12.8" hidden="false" customHeight="false" outlineLevel="0" collapsed="false">
      <c r="A11206" s="0" t="s">
        <v>4552</v>
      </c>
      <c r="B11206" s="0" t="str">
        <f aca="false">HYPERLINK("https://lindat.mff.cuni.cz/services/teitok/pdtc10/index.php?action=vallex&amp;frame=v-w11513_ZUf3_ZU", "jít si (v-w11513_ZUf3_ZU)")</f>
        <v>jít si (v-w11513_ZUf3_ZU)</v>
      </c>
    </row>
    <row r="11207" customFormat="false" ht="12.8" hidden="false" customHeight="false" outlineLevel="0" collapsed="false">
      <c r="B11207" s="0" t="s">
        <v>7</v>
      </c>
      <c r="C11207" s="0" t="s">
        <v>4431</v>
      </c>
    </row>
    <row r="11208" customFormat="false" ht="12.8" hidden="false" customHeight="false" outlineLevel="0" collapsed="false">
      <c r="B11208" s="0" t="s">
        <v>4553</v>
      </c>
      <c r="C11208" s="0" t="s">
        <v>4554</v>
      </c>
    </row>
    <row r="11210" customFormat="false" ht="12.8" hidden="false" customHeight="false" outlineLevel="0" collapsed="false">
      <c r="A11210" s="0" t="s">
        <v>4555</v>
      </c>
      <c r="B11210" s="0" t="str">
        <f aca="false">HYPERLINK("https://lindat.mff.cuni.cz/services/teitok/pdtc10/index.php?action=vallex&amp;frame=v-w11982_ZUf1_ZU", "kakat (v-w11982_ZUf1_ZU)")</f>
        <v>kakat (v-w11982_ZUf1_ZU)</v>
      </c>
    </row>
    <row r="11211" customFormat="false" ht="12.8" hidden="false" customHeight="false" outlineLevel="0" collapsed="false">
      <c r="B11211" s="0" t="s">
        <v>7</v>
      </c>
    </row>
    <row r="11213" customFormat="false" ht="12.8" hidden="false" customHeight="false" outlineLevel="0" collapsed="false">
      <c r="A11213" s="0" t="s">
        <v>4556</v>
      </c>
      <c r="B11213" s="0" t="str">
        <f aca="false">HYPERLINK("https://lindat.mff.cuni.cz/services/teitok/pdtc10/index.php?action=vallex&amp;frame=v-w1347f1", "kalit (v-w1347f1)")</f>
        <v>kalit (v-w1347f1)</v>
      </c>
    </row>
    <row r="11214" customFormat="false" ht="12.8" hidden="false" customHeight="false" outlineLevel="0" collapsed="false">
      <c r="B11214" s="0" t="s">
        <v>7</v>
      </c>
    </row>
    <row r="11215" customFormat="false" ht="12.8" hidden="false" customHeight="false" outlineLevel="0" collapsed="false">
      <c r="B11215" s="0" t="s">
        <v>14</v>
      </c>
    </row>
    <row r="11217" customFormat="false" ht="12.8" hidden="false" customHeight="false" outlineLevel="0" collapsed="false">
      <c r="A11217" s="0" t="s">
        <v>4557</v>
      </c>
      <c r="B11217" s="0" t="str">
        <f aca="false">HYPERLINK("https://lindat.mff.cuni.cz/services/teitok/pdtc10/index.php?action=vallex&amp;frame=v-w1349f2", "kalkulovat (v-w1349f2)")</f>
        <v>kalkulovat (v-w1349f2)</v>
      </c>
    </row>
    <row r="11218" customFormat="false" ht="12.8" hidden="false" customHeight="false" outlineLevel="0" collapsed="false">
      <c r="B11218" s="0" t="s">
        <v>7</v>
      </c>
    </row>
    <row r="11219" customFormat="false" ht="12.8" hidden="false" customHeight="false" outlineLevel="0" collapsed="false">
      <c r="B11219" s="0" t="s">
        <v>1520</v>
      </c>
    </row>
    <row r="11220" customFormat="false" ht="12.8" hidden="false" customHeight="false" outlineLevel="0" collapsed="false">
      <c r="B11220" s="0" t="s">
        <v>35</v>
      </c>
    </row>
    <row r="11222" customFormat="false" ht="12.8" hidden="false" customHeight="false" outlineLevel="0" collapsed="false">
      <c r="A11222" s="0" t="s">
        <v>4558</v>
      </c>
      <c r="B11222" s="0" t="str">
        <f aca="false">HYPERLINK("https://lindat.mff.cuni.cz/services/teitok/pdtc10/index.php?action=vallex&amp;frame=v-w1349f1", "kalkulovat (v-w1349f1)")</f>
        <v>kalkulovat (v-w1349f1)</v>
      </c>
    </row>
    <row r="11223" customFormat="false" ht="12.8" hidden="false" customHeight="false" outlineLevel="0" collapsed="false">
      <c r="B11223" s="0" t="s">
        <v>7</v>
      </c>
    </row>
    <row r="11224" customFormat="false" ht="12.8" hidden="false" customHeight="false" outlineLevel="0" collapsed="false">
      <c r="B11224" s="0" t="s">
        <v>4559</v>
      </c>
    </row>
    <row r="11226" customFormat="false" ht="12.8" hidden="false" customHeight="false" outlineLevel="0" collapsed="false">
      <c r="A11226" s="0" t="s">
        <v>4560</v>
      </c>
      <c r="B11226" s="0" t="str">
        <f aca="false">HYPERLINK("https://lindat.mff.cuni.cz/services/teitok/pdtc10/index.php?action=vallex&amp;frame=v-whsb_1178hsa_1179", "kamarádit (v-whsb_1178hsa_1179)")</f>
        <v>kamarádit (v-whsb_1178hsa_1179)</v>
      </c>
    </row>
    <row r="11227" customFormat="false" ht="12.8" hidden="false" customHeight="false" outlineLevel="0" collapsed="false">
      <c r="B11227" s="0" t="s">
        <v>7</v>
      </c>
    </row>
    <row r="11228" customFormat="false" ht="12.8" hidden="false" customHeight="false" outlineLevel="0" collapsed="false">
      <c r="B11228" s="0" t="s">
        <v>548</v>
      </c>
    </row>
    <row r="11230" customFormat="false" ht="12.8" hidden="false" customHeight="false" outlineLevel="0" collapsed="false">
      <c r="A11230" s="0" t="s">
        <v>4561</v>
      </c>
      <c r="B11230" s="0" t="str">
        <f aca="false">HYPERLINK("https://lindat.mff.cuni.cz/services/teitok/pdtc10/index.php?action=vallex&amp;frame=v-whsa_1760hsa_1761", "kamarádit se (v-whsa_1760hsa_1761)")</f>
        <v>kamarádit se (v-whsa_1760hsa_1761)</v>
      </c>
    </row>
    <row r="11231" customFormat="false" ht="12.8" hidden="false" customHeight="false" outlineLevel="0" collapsed="false">
      <c r="B11231" s="0" t="s">
        <v>7</v>
      </c>
    </row>
    <row r="11232" customFormat="false" ht="12.8" hidden="false" customHeight="false" outlineLevel="0" collapsed="false">
      <c r="B11232" s="0" t="s">
        <v>548</v>
      </c>
    </row>
    <row r="11234" customFormat="false" ht="12.8" hidden="false" customHeight="false" outlineLevel="0" collapsed="false">
      <c r="A11234" s="0" t="s">
        <v>4562</v>
      </c>
      <c r="B11234" s="0" t="str">
        <f aca="false">HYPERLINK("https://lindat.mff.cuni.cz/services/teitok/pdtc10/index.php?action=vallex&amp;frame=v-w1355f2", "kandidovat (v-w1355f2)")</f>
        <v>kandidovat (v-w1355f2)</v>
      </c>
    </row>
    <row r="11235" customFormat="false" ht="12.8" hidden="false" customHeight="false" outlineLevel="0" collapsed="false">
      <c r="B11235" s="0" t="s">
        <v>7</v>
      </c>
    </row>
    <row r="11236" customFormat="false" ht="12.8" hidden="false" customHeight="false" outlineLevel="0" collapsed="false">
      <c r="B11236" s="0" t="s">
        <v>14</v>
      </c>
    </row>
    <row r="11237" customFormat="false" ht="12.8" hidden="false" customHeight="false" outlineLevel="0" collapsed="false">
      <c r="B11237" s="0" t="s">
        <v>84</v>
      </c>
    </row>
    <row r="11239" customFormat="false" ht="12.8" hidden="false" customHeight="false" outlineLevel="0" collapsed="false">
      <c r="A11239" s="0" t="s">
        <v>4563</v>
      </c>
      <c r="B11239" s="0" t="str">
        <f aca="false">HYPERLINK("https://lindat.mff.cuni.cz/services/teitok/pdtc10/index.php?action=vallex&amp;frame=v-w1355f1", "kandidovat (v-w1355f1)")</f>
        <v>kandidovat (v-w1355f1)</v>
      </c>
    </row>
    <row r="11240" customFormat="false" ht="12.8" hidden="false" customHeight="false" outlineLevel="0" collapsed="false">
      <c r="B11240" s="0" t="s">
        <v>7</v>
      </c>
      <c r="C11240" s="0" t="s">
        <v>108</v>
      </c>
      <c r="D11240" s="0" t="s">
        <v>108</v>
      </c>
      <c r="E11240" s="0" t="s">
        <v>108</v>
      </c>
      <c r="F11240" s="0" t="s">
        <v>108</v>
      </c>
    </row>
    <row r="11241" customFormat="false" ht="12.8" hidden="false" customHeight="false" outlineLevel="0" collapsed="false">
      <c r="B11241" s="0" t="s">
        <v>63</v>
      </c>
      <c r="C11241" s="0" t="s">
        <v>74</v>
      </c>
      <c r="D11241" s="0" t="s">
        <v>74</v>
      </c>
      <c r="E11241" s="0" t="s">
        <v>74</v>
      </c>
      <c r="F11241" s="0" t="s">
        <v>74</v>
      </c>
    </row>
    <row r="11243" customFormat="false" ht="12.8" hidden="false" customHeight="false" outlineLevel="0" collapsed="false">
      <c r="A11243" s="0" t="s">
        <v>4564</v>
      </c>
      <c r="B11243" s="0" t="str">
        <f aca="false">HYPERLINK("https://lindat.mff.cuni.cz/services/teitok/pdtc10/index.php?action=vallex&amp;frame=v-w1358f1", "kapat (v-w1358f1)")</f>
        <v>kapat (v-w1358f1)</v>
      </c>
    </row>
    <row r="11244" customFormat="false" ht="12.8" hidden="false" customHeight="false" outlineLevel="0" collapsed="false">
      <c r="B11244" s="0" t="s">
        <v>7</v>
      </c>
    </row>
    <row r="11246" customFormat="false" ht="12.8" hidden="false" customHeight="false" outlineLevel="0" collapsed="false">
      <c r="A11246" s="0" t="s">
        <v>4565</v>
      </c>
      <c r="B11246" s="0" t="str">
        <f aca="false">HYPERLINK("https://lindat.mff.cuni.cz/services/teitok/pdtc10/index.php?action=vallex&amp;frame=v-w10968f3_ZU", "kapitalizovat (v-w10968f3_ZU)")</f>
        <v>kapitalizovat (v-w10968f3_ZU)</v>
      </c>
    </row>
    <row r="11247" customFormat="false" ht="12.8" hidden="false" customHeight="false" outlineLevel="0" collapsed="false">
      <c r="B11247" s="0" t="s">
        <v>7</v>
      </c>
    </row>
    <row r="11248" customFormat="false" ht="12.8" hidden="false" customHeight="false" outlineLevel="0" collapsed="false">
      <c r="B11248" s="0" t="s">
        <v>14</v>
      </c>
      <c r="C11248" s="0" t="s">
        <v>1170</v>
      </c>
      <c r="D11248" s="0" t="s">
        <v>1170</v>
      </c>
      <c r="E11248" s="0" t="s">
        <v>1170</v>
      </c>
      <c r="F11248" s="0" t="s">
        <v>1170</v>
      </c>
    </row>
    <row r="11249" customFormat="false" ht="12.8" hidden="false" customHeight="false" outlineLevel="0" collapsed="false">
      <c r="B11249" s="0" t="s">
        <v>84</v>
      </c>
      <c r="C11249" s="0" t="s">
        <v>182</v>
      </c>
      <c r="D11249" s="0" t="s">
        <v>182</v>
      </c>
      <c r="E11249" s="0" t="s">
        <v>182</v>
      </c>
      <c r="F11249" s="0" t="s">
        <v>182</v>
      </c>
    </row>
    <row r="11251" customFormat="false" ht="12.8" hidden="false" customHeight="false" outlineLevel="0" collapsed="false">
      <c r="A11251" s="0" t="s">
        <v>4565</v>
      </c>
      <c r="B11251" s="0" t="str">
        <f aca="false">HYPERLINK("https://lindat.mff.cuni.cz/services/teitok/pdtc10/index.php?action=vallex&amp;frame=v-w10968f2", "kapitalizovat (v-w10968f2) - substituted with v-w10968f3_ZU")</f>
        <v>kapitalizovat (v-w10968f2) - substituted with v-w10968f3_ZU</v>
      </c>
    </row>
    <row r="11252" customFormat="false" ht="12.8" hidden="false" customHeight="false" outlineLevel="0" collapsed="false">
      <c r="B11252" s="0" t="s">
        <v>7</v>
      </c>
    </row>
    <row r="11253" customFormat="false" ht="12.8" hidden="false" customHeight="false" outlineLevel="0" collapsed="false">
      <c r="B11253" s="0" t="s">
        <v>14</v>
      </c>
    </row>
    <row r="11254" customFormat="false" ht="12.8" hidden="false" customHeight="false" outlineLevel="0" collapsed="false">
      <c r="B11254" s="0" t="s">
        <v>84</v>
      </c>
    </row>
    <row r="11256" customFormat="false" ht="12.8" hidden="false" customHeight="false" outlineLevel="0" collapsed="false">
      <c r="A11256" s="0" t="s">
        <v>4566</v>
      </c>
      <c r="B11256" s="0" t="str">
        <f aca="false">HYPERLINK("https://lindat.mff.cuni.cz/services/teitok/pdtc10/index.php?action=vallex&amp;frame=v-w1363f1", "kapitulovat (v-w1363f1)")</f>
        <v>kapitulovat (v-w1363f1)</v>
      </c>
    </row>
    <row r="11257" customFormat="false" ht="12.8" hidden="false" customHeight="false" outlineLevel="0" collapsed="false">
      <c r="B11257" s="0" t="s">
        <v>7</v>
      </c>
      <c r="C11257" s="0" t="s">
        <v>569</v>
      </c>
      <c r="D11257" s="0" t="s">
        <v>4567</v>
      </c>
      <c r="E11257" s="0" t="s">
        <v>4567</v>
      </c>
      <c r="F11257" s="0" t="s">
        <v>4568</v>
      </c>
    </row>
    <row r="11258" customFormat="false" ht="12.8" hidden="false" customHeight="false" outlineLevel="0" collapsed="false">
      <c r="B11258" s="0" t="s">
        <v>1400</v>
      </c>
      <c r="C11258" s="0" t="s">
        <v>1588</v>
      </c>
      <c r="D11258" s="0" t="s">
        <v>4569</v>
      </c>
      <c r="E11258" s="0" t="s">
        <v>4569</v>
      </c>
      <c r="F11258" s="0" t="s">
        <v>4570</v>
      </c>
    </row>
    <row r="11260" customFormat="false" ht="12.8" hidden="false" customHeight="false" outlineLevel="0" collapsed="false">
      <c r="A11260" s="0" t="s">
        <v>4571</v>
      </c>
      <c r="B11260" s="0" t="str">
        <f aca="false">HYPERLINK("https://lindat.mff.cuni.cz/services/teitok/pdtc10/index.php?action=vallex&amp;frame=v-whsa_1324hsa_1325", "karikovat (v-whsa_1324hsa_1325)")</f>
        <v>karikovat (v-whsa_1324hsa_1325)</v>
      </c>
    </row>
    <row r="11261" customFormat="false" ht="12.8" hidden="false" customHeight="false" outlineLevel="0" collapsed="false">
      <c r="B11261" s="0" t="s">
        <v>7</v>
      </c>
      <c r="C11261" s="0" t="s">
        <v>191</v>
      </c>
      <c r="D11261" s="0" t="s">
        <v>191</v>
      </c>
      <c r="E11261" s="0" t="s">
        <v>191</v>
      </c>
      <c r="F11261" s="0" t="s">
        <v>191</v>
      </c>
    </row>
    <row r="11262" customFormat="false" ht="12.8" hidden="false" customHeight="false" outlineLevel="0" collapsed="false">
      <c r="B11262" s="0" t="s">
        <v>14</v>
      </c>
      <c r="C11262" s="0" t="s">
        <v>155</v>
      </c>
      <c r="D11262" s="0" t="s">
        <v>155</v>
      </c>
      <c r="E11262" s="0" t="s">
        <v>155</v>
      </c>
      <c r="F11262" s="0" t="s">
        <v>155</v>
      </c>
    </row>
    <row r="11264" customFormat="false" ht="12.8" hidden="false" customHeight="false" outlineLevel="0" collapsed="false">
      <c r="A11264" s="0" t="s">
        <v>4572</v>
      </c>
      <c r="B11264" s="0" t="str">
        <f aca="false">HYPERLINK("https://lindat.mff.cuni.cz/services/teitok/pdtc10/index.php?action=vallex&amp;frame=v-w1369f1", "katalyzovat (v-w1369f1)")</f>
        <v>katalyzovat (v-w1369f1)</v>
      </c>
    </row>
    <row r="11265" customFormat="false" ht="12.8" hidden="false" customHeight="false" outlineLevel="0" collapsed="false">
      <c r="B11265" s="0" t="s">
        <v>7</v>
      </c>
    </row>
    <row r="11266" customFormat="false" ht="12.8" hidden="false" customHeight="false" outlineLevel="0" collapsed="false">
      <c r="B11266" s="0" t="s">
        <v>14</v>
      </c>
    </row>
    <row r="11268" customFormat="false" ht="12.8" hidden="false" customHeight="false" outlineLevel="0" collapsed="false">
      <c r="A11268" s="0" t="s">
        <v>4573</v>
      </c>
      <c r="B11268" s="0" t="str">
        <f aca="false">HYPERLINK("https://lindat.mff.cuni.cz/services/teitok/pdtc10/index.php?action=vallex&amp;frame=v-w1370f1", "katapultovat (v-w1370f1)")</f>
        <v>katapultovat (v-w1370f1)</v>
      </c>
    </row>
    <row r="11269" customFormat="false" ht="12.8" hidden="false" customHeight="false" outlineLevel="0" collapsed="false">
      <c r="B11269" s="0" t="s">
        <v>7</v>
      </c>
      <c r="C11269" s="0" t="s">
        <v>191</v>
      </c>
      <c r="D11269" s="0" t="s">
        <v>191</v>
      </c>
      <c r="E11269" s="0" t="s">
        <v>191</v>
      </c>
      <c r="F11269" s="0" t="s">
        <v>191</v>
      </c>
    </row>
    <row r="11270" customFormat="false" ht="12.8" hidden="false" customHeight="false" outlineLevel="0" collapsed="false">
      <c r="B11270" s="0" t="s">
        <v>14</v>
      </c>
      <c r="C11270" s="0" t="s">
        <v>155</v>
      </c>
      <c r="D11270" s="0" t="s">
        <v>155</v>
      </c>
      <c r="E11270" s="0" t="s">
        <v>155</v>
      </c>
      <c r="F11270" s="0" t="s">
        <v>155</v>
      </c>
    </row>
    <row r="11272" customFormat="false" ht="12.8" hidden="false" customHeight="false" outlineLevel="0" collapsed="false">
      <c r="A11272" s="0" t="s">
        <v>4574</v>
      </c>
      <c r="B11272" s="0" t="str">
        <f aca="false">HYPERLINK("https://lindat.mff.cuni.cz/services/teitok/pdtc10/index.php?action=vallex&amp;frame=v-w11262f1", "katapultovat se (v-w11262f1)")</f>
        <v>katapultovat se (v-w11262f1)</v>
      </c>
    </row>
    <row r="11273" customFormat="false" ht="12.8" hidden="false" customHeight="false" outlineLevel="0" collapsed="false">
      <c r="B11273" s="0" t="s">
        <v>7</v>
      </c>
    </row>
    <row r="11275" customFormat="false" ht="12.8" hidden="false" customHeight="false" outlineLevel="0" collapsed="false">
      <c r="A11275" s="0" t="s">
        <v>4575</v>
      </c>
      <c r="B11275" s="0" t="str">
        <f aca="false">HYPERLINK("https://lindat.mff.cuni.cz/services/teitok/pdtc10/index.php?action=vallex&amp;frame=v-w1376f1", "kazit (v-w1376f1)")</f>
        <v>kazit (v-w1376f1)</v>
      </c>
    </row>
    <row r="11276" customFormat="false" ht="12.8" hidden="false" customHeight="false" outlineLevel="0" collapsed="false">
      <c r="B11276" s="0" t="s">
        <v>7</v>
      </c>
      <c r="C11276" s="0" t="s">
        <v>4576</v>
      </c>
      <c r="D11276" s="0" t="s">
        <v>1549</v>
      </c>
      <c r="E11276" s="0" t="s">
        <v>1550</v>
      </c>
      <c r="F11276" s="0" t="s">
        <v>1550</v>
      </c>
    </row>
    <row r="11277" customFormat="false" ht="12.8" hidden="false" customHeight="false" outlineLevel="0" collapsed="false">
      <c r="B11277" s="0" t="s">
        <v>14</v>
      </c>
      <c r="C11277" s="0" t="s">
        <v>4577</v>
      </c>
      <c r="D11277" s="0" t="s">
        <v>1164</v>
      </c>
      <c r="E11277" s="0" t="s">
        <v>1551</v>
      </c>
      <c r="F11277" s="0" t="s">
        <v>1551</v>
      </c>
    </row>
    <row r="11279" customFormat="false" ht="12.8" hidden="false" customHeight="false" outlineLevel="0" collapsed="false">
      <c r="A11279" s="0" t="s">
        <v>4578</v>
      </c>
      <c r="B11279" s="0" t="str">
        <f aca="false">HYPERLINK("https://lindat.mff.cuni.cz/services/teitok/pdtc10/index.php?action=vallex&amp;frame=v-w12364_MMf1_MM", "kazit se (v-w12364_MMf1_MM)")</f>
        <v>kazit se (v-w12364_MMf1_MM)</v>
      </c>
    </row>
    <row r="11280" customFormat="false" ht="12.8" hidden="false" customHeight="false" outlineLevel="0" collapsed="false">
      <c r="B11280" s="0" t="s">
        <v>7</v>
      </c>
    </row>
    <row r="11282" customFormat="false" ht="12.8" hidden="false" customHeight="false" outlineLevel="0" collapsed="false">
      <c r="A11282" s="0" t="s">
        <v>4579</v>
      </c>
      <c r="B11282" s="0" t="str">
        <f aca="false">HYPERLINK("https://lindat.mff.cuni.cz/services/teitok/pdtc10/index.php?action=vallex&amp;frame=v-w10866f2", "kašlat (v-w10866f2)")</f>
        <v>kašlat (v-w10866f2)</v>
      </c>
    </row>
    <row r="11283" customFormat="false" ht="12.8" hidden="false" customHeight="false" outlineLevel="0" collapsed="false">
      <c r="B11283" s="0" t="s">
        <v>7</v>
      </c>
    </row>
    <row r="11284" customFormat="false" ht="12.8" hidden="false" customHeight="false" outlineLevel="0" collapsed="false">
      <c r="B11284" s="0" t="s">
        <v>41</v>
      </c>
    </row>
    <row r="11286" customFormat="false" ht="12.8" hidden="false" customHeight="false" outlineLevel="0" collapsed="false">
      <c r="A11286" s="0" t="s">
        <v>4580</v>
      </c>
      <c r="B11286" s="0" t="str">
        <f aca="false">HYPERLINK("https://lindat.mff.cuni.cz/services/teitok/pdtc10/index.php?action=vallex&amp;frame=v-w10866hsa_730", "kašlat (v-w10866hsa_730)")</f>
        <v>kašlat (v-w10866hsa_730)</v>
      </c>
    </row>
    <row r="11287" customFormat="false" ht="12.8" hidden="false" customHeight="false" outlineLevel="0" collapsed="false">
      <c r="B11287" s="0" t="s">
        <v>7</v>
      </c>
    </row>
    <row r="11289" customFormat="false" ht="12.8" hidden="false" customHeight="false" outlineLevel="0" collapsed="false">
      <c r="A11289" s="0" t="s">
        <v>4581</v>
      </c>
      <c r="B11289" s="0" t="str">
        <f aca="false">HYPERLINK("https://lindat.mff.cuni.cz/services/teitok/pdtc10/index.php?action=vallex&amp;frame=v-whsa_771f1_ZU", "kecat (v-whsa_771f1_ZU)")</f>
        <v>kecat (v-whsa_771f1_ZU)</v>
      </c>
    </row>
    <row r="11290" customFormat="false" ht="12.8" hidden="false" customHeight="false" outlineLevel="0" collapsed="false">
      <c r="B11290" s="0" t="s">
        <v>7</v>
      </c>
    </row>
    <row r="11291" customFormat="false" ht="12.8" hidden="false" customHeight="false" outlineLevel="0" collapsed="false">
      <c r="B11291" s="0" t="s">
        <v>2766</v>
      </c>
    </row>
    <row r="11292" customFormat="false" ht="12.8" hidden="false" customHeight="false" outlineLevel="0" collapsed="false">
      <c r="B11292" s="0" t="s">
        <v>2767</v>
      </c>
    </row>
    <row r="11294" customFormat="false" ht="12.8" hidden="false" customHeight="false" outlineLevel="0" collapsed="false">
      <c r="A11294" s="0" t="s">
        <v>4581</v>
      </c>
      <c r="B11294" s="0" t="str">
        <f aca="false">HYPERLINK("https://lindat.mff.cuni.cz/services/teitok/pdtc10/index.php?action=vallex&amp;frame=v-whsa_771hsa_772", "kecat (v-whsa_771hsa_772) - substituted with v-whsa_771f1_ZU")</f>
        <v>kecat (v-whsa_771hsa_772) - substituted with v-whsa_771f1_ZU</v>
      </c>
    </row>
    <row r="11295" customFormat="false" ht="12.8" hidden="false" customHeight="false" outlineLevel="0" collapsed="false">
      <c r="B11295" s="0" t="s">
        <v>7</v>
      </c>
    </row>
    <row r="11296" customFormat="false" ht="12.8" hidden="false" customHeight="false" outlineLevel="0" collapsed="false">
      <c r="B11296" s="0" t="s">
        <v>2766</v>
      </c>
    </row>
    <row r="11297" customFormat="false" ht="12.8" hidden="false" customHeight="false" outlineLevel="0" collapsed="false">
      <c r="B11297" s="0" t="s">
        <v>2767</v>
      </c>
    </row>
    <row r="11299" customFormat="false" ht="12.8" hidden="false" customHeight="false" outlineLevel="0" collapsed="false">
      <c r="A11299" s="0" t="s">
        <v>4582</v>
      </c>
      <c r="B11299" s="0" t="str">
        <f aca="false">HYPERLINK("https://lindat.mff.cuni.cz/services/teitok/pdtc10/index.php?action=vallex&amp;frame=v-whsa_771f2_ZU", "kecat (v-whsa_771f2_ZU)")</f>
        <v>kecat (v-whsa_771f2_ZU)</v>
      </c>
    </row>
    <row r="11300" customFormat="false" ht="12.8" hidden="false" customHeight="false" outlineLevel="0" collapsed="false">
      <c r="B11300" s="0" t="s">
        <v>7</v>
      </c>
    </row>
    <row r="11301" customFormat="false" ht="12.8" hidden="false" customHeight="false" outlineLevel="0" collapsed="false">
      <c r="B11301" s="0" t="s">
        <v>106</v>
      </c>
    </row>
    <row r="11302" customFormat="false" ht="12.8" hidden="false" customHeight="false" outlineLevel="0" collapsed="false">
      <c r="B11302" s="0" t="s">
        <v>297</v>
      </c>
    </row>
    <row r="11304" customFormat="false" ht="12.8" hidden="false" customHeight="false" outlineLevel="0" collapsed="false">
      <c r="A11304" s="0" t="s">
        <v>4583</v>
      </c>
      <c r="B11304" s="0" t="str">
        <f aca="false">HYPERLINK("https://lindat.mff.cuni.cz/services/teitok/pdtc10/index.php?action=vallex&amp;frame=v-whsa_771hsa_773", "kecat (v-whsa_771hsa_773)")</f>
        <v>kecat (v-whsa_771hsa_773)</v>
      </c>
    </row>
    <row r="11305" customFormat="false" ht="12.8" hidden="false" customHeight="false" outlineLevel="0" collapsed="false">
      <c r="B11305" s="0" t="s">
        <v>7</v>
      </c>
    </row>
    <row r="11306" customFormat="false" ht="12.8" hidden="false" customHeight="false" outlineLevel="0" collapsed="false">
      <c r="B11306" s="0" t="s">
        <v>985</v>
      </c>
    </row>
    <row r="11307" customFormat="false" ht="12.8" hidden="false" customHeight="false" outlineLevel="0" collapsed="false">
      <c r="B11307" s="0" t="s">
        <v>106</v>
      </c>
    </row>
    <row r="11309" customFormat="false" ht="12.8" hidden="false" customHeight="false" outlineLevel="0" collapsed="false">
      <c r="A11309" s="0" t="s">
        <v>4584</v>
      </c>
      <c r="B11309" s="0" t="str">
        <f aca="false">HYPERLINK("https://lindat.mff.cuni.cz/services/teitok/pdtc10/index.php?action=vallex&amp;frame=v-w11890_ZUf1_ZU", "kibicovat (v-w11890_ZUf1_ZU)")</f>
        <v>kibicovat (v-w11890_ZUf1_ZU)</v>
      </c>
    </row>
    <row r="11310" customFormat="false" ht="12.8" hidden="false" customHeight="false" outlineLevel="0" collapsed="false">
      <c r="B11310" s="0" t="s">
        <v>7</v>
      </c>
    </row>
    <row r="11311" customFormat="false" ht="12.8" hidden="false" customHeight="false" outlineLevel="0" collapsed="false">
      <c r="B11311" s="0" t="s">
        <v>119</v>
      </c>
    </row>
    <row r="11313" customFormat="false" ht="12.8" hidden="false" customHeight="false" outlineLevel="0" collapsed="false">
      <c r="A11313" s="0" t="s">
        <v>4585</v>
      </c>
      <c r="B11313" s="0" t="str">
        <f aca="false">HYPERLINK("https://lindat.mff.cuni.cz/services/teitok/pdtc10/index.php?action=vallex&amp;frame=v-w1382f1", "klamat (v-w1382f1)")</f>
        <v>klamat (v-w1382f1)</v>
      </c>
    </row>
    <row r="11314" customFormat="false" ht="12.8" hidden="false" customHeight="false" outlineLevel="0" collapsed="false">
      <c r="B11314" s="0" t="s">
        <v>7</v>
      </c>
      <c r="C11314" s="0" t="s">
        <v>46</v>
      </c>
      <c r="D11314" s="0" t="s">
        <v>4342</v>
      </c>
      <c r="E11314" s="0" t="s">
        <v>4342</v>
      </c>
      <c r="F11314" s="0" t="s">
        <v>4342</v>
      </c>
    </row>
    <row r="11315" customFormat="false" ht="12.8" hidden="false" customHeight="false" outlineLevel="0" collapsed="false">
      <c r="B11315" s="0" t="s">
        <v>14</v>
      </c>
      <c r="C11315" s="0" t="s">
        <v>33</v>
      </c>
      <c r="D11315" s="0" t="s">
        <v>4586</v>
      </c>
      <c r="E11315" s="0" t="s">
        <v>4586</v>
      </c>
      <c r="F11315" s="0" t="s">
        <v>4586</v>
      </c>
    </row>
    <row r="11317" customFormat="false" ht="12.8" hidden="false" customHeight="false" outlineLevel="0" collapsed="false">
      <c r="A11317" s="0" t="s">
        <v>4587</v>
      </c>
      <c r="B11317" s="0" t="str">
        <f aca="false">HYPERLINK("https://lindat.mff.cuni.cz/services/teitok/pdtc10/index.php?action=vallex&amp;frame=v-w11364f1", "klanět se (v-w11364f1)")</f>
        <v>klanět se (v-w11364f1)</v>
      </c>
    </row>
    <row r="11318" customFormat="false" ht="12.8" hidden="false" customHeight="false" outlineLevel="0" collapsed="false">
      <c r="B11318" s="0" t="s">
        <v>7</v>
      </c>
    </row>
    <row r="11319" customFormat="false" ht="12.8" hidden="false" customHeight="false" outlineLevel="0" collapsed="false">
      <c r="B11319" s="0" t="s">
        <v>119</v>
      </c>
    </row>
    <row r="11321" customFormat="false" ht="12.8" hidden="false" customHeight="false" outlineLevel="0" collapsed="false">
      <c r="A11321" s="0" t="s">
        <v>4588</v>
      </c>
      <c r="B11321" s="0" t="str">
        <f aca="false">HYPERLINK("https://lindat.mff.cuni.cz/services/teitok/pdtc10/index.php?action=vallex&amp;frame=v-w1384f1", "klapat (v-w1384f1)")</f>
        <v>klapat (v-w1384f1)</v>
      </c>
    </row>
    <row r="11322" customFormat="false" ht="12.8" hidden="false" customHeight="false" outlineLevel="0" collapsed="false">
      <c r="B11322" s="0" t="s">
        <v>7</v>
      </c>
    </row>
    <row r="11324" customFormat="false" ht="12.8" hidden="false" customHeight="false" outlineLevel="0" collapsed="false">
      <c r="A11324" s="0" t="s">
        <v>4589</v>
      </c>
      <c r="B11324" s="0" t="str">
        <f aca="false">HYPERLINK("https://lindat.mff.cuni.cz/services/teitok/pdtc10/index.php?action=vallex&amp;frame=v-w1384f2_ZU", "klapat (v-w1384f2_ZU)")</f>
        <v>klapat (v-w1384f2_ZU)</v>
      </c>
    </row>
    <row r="11325" customFormat="false" ht="12.8" hidden="false" customHeight="false" outlineLevel="0" collapsed="false">
      <c r="B11325" s="0" t="s">
        <v>7</v>
      </c>
    </row>
    <row r="11326" customFormat="false" ht="12.8" hidden="false" customHeight="false" outlineLevel="0" collapsed="false">
      <c r="B11326" s="0" t="s">
        <v>216</v>
      </c>
    </row>
    <row r="11328" customFormat="false" ht="12.8" hidden="false" customHeight="false" outlineLevel="0" collapsed="false">
      <c r="A11328" s="0" t="s">
        <v>4590</v>
      </c>
      <c r="B11328" s="0" t="str">
        <f aca="false">HYPERLINK("https://lindat.mff.cuni.cz/services/teitok/pdtc10/index.php?action=vallex&amp;frame=v-w1384hsa_1154", "klapat (v-w1384hsa_1154)")</f>
        <v>klapat (v-w1384hsa_1154)</v>
      </c>
    </row>
    <row r="11329" customFormat="false" ht="12.8" hidden="false" customHeight="false" outlineLevel="0" collapsed="false">
      <c r="B11329" s="0" t="s">
        <v>7</v>
      </c>
    </row>
    <row r="11331" customFormat="false" ht="12.8" hidden="false" customHeight="false" outlineLevel="0" collapsed="false">
      <c r="A11331" s="0" t="s">
        <v>4591</v>
      </c>
      <c r="B11331" s="0" t="str">
        <f aca="false">HYPERLINK("https://lindat.mff.cuni.cz/services/teitok/pdtc10/index.php?action=vallex&amp;frame=v-w11732_ZUf1_ZU", "klapnout (v-w11732_ZUf1_ZU)")</f>
        <v>klapnout (v-w11732_ZUf1_ZU)</v>
      </c>
    </row>
    <row r="11332" customFormat="false" ht="12.8" hidden="false" customHeight="false" outlineLevel="0" collapsed="false">
      <c r="B11332" s="0" t="s">
        <v>7</v>
      </c>
    </row>
    <row r="11334" customFormat="false" ht="12.8" hidden="false" customHeight="false" outlineLevel="0" collapsed="false">
      <c r="A11334" s="0" t="s">
        <v>4592</v>
      </c>
      <c r="B11334" s="0" t="str">
        <f aca="false">HYPERLINK("https://lindat.mff.cuni.cz/services/teitok/pdtc10/index.php?action=vallex&amp;frame=v-w1386f4_ZU", "klasifikovat (v-w1386f4_ZU)")</f>
        <v>klasifikovat (v-w1386f4_ZU)</v>
      </c>
    </row>
    <row r="11335" customFormat="false" ht="12.8" hidden="false" customHeight="false" outlineLevel="0" collapsed="false">
      <c r="B11335" s="0" t="s">
        <v>7</v>
      </c>
      <c r="C11335" s="0" t="s">
        <v>88</v>
      </c>
      <c r="D11335" s="0" t="s">
        <v>460</v>
      </c>
      <c r="E11335" s="0" t="s">
        <v>460</v>
      </c>
      <c r="F11335" s="0" t="s">
        <v>460</v>
      </c>
    </row>
    <row r="11336" customFormat="false" ht="12.8" hidden="false" customHeight="false" outlineLevel="0" collapsed="false">
      <c r="B11336" s="0" t="s">
        <v>14</v>
      </c>
      <c r="C11336" s="0" t="s">
        <v>4593</v>
      </c>
      <c r="D11336" s="0" t="s">
        <v>110</v>
      </c>
      <c r="E11336" s="0" t="s">
        <v>110</v>
      </c>
      <c r="F11336" s="0" t="s">
        <v>110</v>
      </c>
    </row>
    <row r="11337" customFormat="false" ht="12.8" hidden="false" customHeight="false" outlineLevel="0" collapsed="false">
      <c r="B11337" s="0" t="s">
        <v>1358</v>
      </c>
      <c r="C11337" s="0" t="s">
        <v>4594</v>
      </c>
      <c r="D11337" s="0" t="s">
        <v>4595</v>
      </c>
      <c r="E11337" s="0" t="s">
        <v>4595</v>
      </c>
      <c r="F11337" s="0" t="s">
        <v>4595</v>
      </c>
    </row>
    <row r="11339" customFormat="false" ht="12.8" hidden="false" customHeight="false" outlineLevel="0" collapsed="false">
      <c r="A11339" s="0" t="s">
        <v>4592</v>
      </c>
      <c r="B11339" s="0" t="str">
        <f aca="false">HYPERLINK("https://lindat.mff.cuni.cz/services/teitok/pdtc10/index.php?action=vallex&amp;frame=v-w1386f3_ZU", "klasifikovat (v-w1386f3_ZU) - substituted with v-w1386f4_ZU")</f>
        <v>klasifikovat (v-w1386f3_ZU) - substituted with v-w1386f4_ZU</v>
      </c>
    </row>
    <row r="11340" customFormat="false" ht="12.8" hidden="false" customHeight="false" outlineLevel="0" collapsed="false">
      <c r="B11340" s="0" t="s">
        <v>7</v>
      </c>
    </row>
    <row r="11341" customFormat="false" ht="12.8" hidden="false" customHeight="false" outlineLevel="0" collapsed="false">
      <c r="B11341" s="0" t="s">
        <v>14</v>
      </c>
    </row>
    <row r="11342" customFormat="false" ht="12.8" hidden="false" customHeight="false" outlineLevel="0" collapsed="false">
      <c r="B11342" s="0" t="s">
        <v>1358</v>
      </c>
    </row>
    <row r="11344" customFormat="false" ht="12.8" hidden="false" customHeight="false" outlineLevel="0" collapsed="false">
      <c r="A11344" s="0" t="s">
        <v>4596</v>
      </c>
      <c r="B11344" s="0" t="str">
        <f aca="false">HYPERLINK("https://lindat.mff.cuni.cz/services/teitok/pdtc10/index.php?action=vallex&amp;frame=v-w1386f1", "klasifikovat (v-w1386f1)")</f>
        <v>klasifikovat (v-w1386f1)</v>
      </c>
    </row>
    <row r="11345" customFormat="false" ht="12.8" hidden="false" customHeight="false" outlineLevel="0" collapsed="false">
      <c r="B11345" s="0" t="s">
        <v>7</v>
      </c>
      <c r="C11345" s="0" t="s">
        <v>191</v>
      </c>
      <c r="D11345" s="0" t="s">
        <v>1287</v>
      </c>
      <c r="E11345" s="0" t="s">
        <v>1287</v>
      </c>
      <c r="F11345" s="0" t="s">
        <v>1287</v>
      </c>
    </row>
    <row r="11346" customFormat="false" ht="12.8" hidden="false" customHeight="false" outlineLevel="0" collapsed="false">
      <c r="B11346" s="0" t="s">
        <v>14</v>
      </c>
      <c r="C11346" s="0" t="s">
        <v>47</v>
      </c>
      <c r="D11346" s="0" t="s">
        <v>2517</v>
      </c>
      <c r="E11346" s="0" t="s">
        <v>2517</v>
      </c>
      <c r="F11346" s="0" t="s">
        <v>2517</v>
      </c>
    </row>
    <row r="11347" customFormat="false" ht="12.8" hidden="false" customHeight="false" outlineLevel="0" collapsed="false">
      <c r="B11347" s="0" t="s">
        <v>2773</v>
      </c>
      <c r="C11347" s="0" t="s">
        <v>4597</v>
      </c>
      <c r="D11347" s="0" t="s">
        <v>4598</v>
      </c>
      <c r="E11347" s="0" t="s">
        <v>4598</v>
      </c>
      <c r="F11347" s="0" t="s">
        <v>4598</v>
      </c>
    </row>
    <row r="11349" customFormat="false" ht="12.8" hidden="false" customHeight="false" outlineLevel="0" collapsed="false">
      <c r="A11349" s="0" t="s">
        <v>4599</v>
      </c>
      <c r="B11349" s="0" t="str">
        <f aca="false">HYPERLINK("https://lindat.mff.cuni.cz/services/teitok/pdtc10/index.php?action=vallex&amp;frame=v-w1386f2", "klasifikovat (v-w1386f2)")</f>
        <v>klasifikovat (v-w1386f2)</v>
      </c>
    </row>
    <row r="11350" customFormat="false" ht="12.8" hidden="false" customHeight="false" outlineLevel="0" collapsed="false">
      <c r="B11350" s="0" t="s">
        <v>7</v>
      </c>
    </row>
    <row r="11351" customFormat="false" ht="12.8" hidden="false" customHeight="false" outlineLevel="0" collapsed="false">
      <c r="B11351" s="0" t="s">
        <v>14</v>
      </c>
    </row>
    <row r="11353" customFormat="false" ht="12.8" hidden="false" customHeight="false" outlineLevel="0" collapsed="false">
      <c r="A11353" s="0" t="s">
        <v>4600</v>
      </c>
      <c r="B11353" s="0" t="str">
        <f aca="false">HYPERLINK("https://lindat.mff.cuni.cz/services/teitok/pdtc10/index.php?action=vallex&amp;frame=v-w11788_ZUf1_ZU", "klekat si (v-w11788_ZUf1_ZU)")</f>
        <v>klekat si (v-w11788_ZUf1_ZU)</v>
      </c>
    </row>
    <row r="11354" customFormat="false" ht="12.8" hidden="false" customHeight="false" outlineLevel="0" collapsed="false">
      <c r="B11354" s="0" t="s">
        <v>7</v>
      </c>
    </row>
    <row r="11355" customFormat="false" ht="12.8" hidden="false" customHeight="false" outlineLevel="0" collapsed="false">
      <c r="B11355" s="0" t="s">
        <v>338</v>
      </c>
    </row>
    <row r="11357" customFormat="false" ht="12.8" hidden="false" customHeight="false" outlineLevel="0" collapsed="false">
      <c r="A11357" s="0" t="s">
        <v>4601</v>
      </c>
      <c r="B11357" s="0" t="str">
        <f aca="false">HYPERLINK("https://lindat.mff.cuni.cz/services/teitok/pdtc10/index.php?action=vallex&amp;frame=v-w1390f1", "kleknout (v-w1390f1)")</f>
        <v>kleknout (v-w1390f1)</v>
      </c>
    </row>
    <row r="11358" customFormat="false" ht="12.8" hidden="false" customHeight="false" outlineLevel="0" collapsed="false">
      <c r="B11358" s="0" t="s">
        <v>7</v>
      </c>
    </row>
    <row r="11359" customFormat="false" ht="12.8" hidden="false" customHeight="false" outlineLevel="0" collapsed="false">
      <c r="B11359" s="0" t="s">
        <v>124</v>
      </c>
    </row>
    <row r="11361" customFormat="false" ht="12.8" hidden="false" customHeight="false" outlineLevel="0" collapsed="false">
      <c r="A11361" s="0" t="s">
        <v>4602</v>
      </c>
      <c r="B11361" s="0" t="str">
        <f aca="false">HYPERLINK("https://lindat.mff.cuni.cz/services/teitok/pdtc10/index.php?action=vallex&amp;frame=v-whsa_1383hsa_1384", "kleknout si (v-whsa_1383hsa_1384)")</f>
        <v>kleknout si (v-whsa_1383hsa_1384)</v>
      </c>
    </row>
    <row r="11362" customFormat="false" ht="12.8" hidden="false" customHeight="false" outlineLevel="0" collapsed="false">
      <c r="B11362" s="0" t="s">
        <v>7</v>
      </c>
    </row>
    <row r="11363" customFormat="false" ht="12.8" hidden="false" customHeight="false" outlineLevel="0" collapsed="false">
      <c r="B11363" s="0" t="s">
        <v>124</v>
      </c>
    </row>
    <row r="11365" customFormat="false" ht="12.8" hidden="false" customHeight="false" outlineLevel="0" collapsed="false">
      <c r="A11365" s="0" t="s">
        <v>4603</v>
      </c>
      <c r="B11365" s="0" t="str">
        <f aca="false">HYPERLINK("https://lindat.mff.cuni.cz/services/teitok/pdtc10/index.php?action=vallex&amp;frame=v-w1391f1", "klenout se (v-w1391f1)")</f>
        <v>klenout se (v-w1391f1)</v>
      </c>
    </row>
    <row r="11366" customFormat="false" ht="12.8" hidden="false" customHeight="false" outlineLevel="0" collapsed="false">
      <c r="B11366" s="0" t="s">
        <v>7</v>
      </c>
      <c r="D11366" s="0" t="s">
        <v>191</v>
      </c>
      <c r="E11366" s="0" t="s">
        <v>191</v>
      </c>
      <c r="F11366" s="0" t="s">
        <v>191</v>
      </c>
    </row>
    <row r="11368" customFormat="false" ht="12.8" hidden="false" customHeight="false" outlineLevel="0" collapsed="false">
      <c r="A11368" s="0" t="s">
        <v>4604</v>
      </c>
      <c r="B11368" s="0" t="str">
        <f aca="false">HYPERLINK("https://lindat.mff.cuni.cz/services/teitok/pdtc10/index.php?action=vallex&amp;frame=v-w1393f2", "klepat (v-w1393f2)")</f>
        <v>klepat (v-w1393f2)</v>
      </c>
    </row>
    <row r="11369" customFormat="false" ht="12.8" hidden="false" customHeight="false" outlineLevel="0" collapsed="false">
      <c r="B11369" s="0" t="s">
        <v>7</v>
      </c>
    </row>
    <row r="11370" customFormat="false" ht="12.8" hidden="false" customHeight="false" outlineLevel="0" collapsed="false">
      <c r="B11370" s="0" t="s">
        <v>14</v>
      </c>
    </row>
    <row r="11372" customFormat="false" ht="12.8" hidden="false" customHeight="false" outlineLevel="0" collapsed="false">
      <c r="A11372" s="0" t="s">
        <v>4605</v>
      </c>
      <c r="B11372" s="0" t="str">
        <f aca="false">HYPERLINK("https://lindat.mff.cuni.cz/services/teitok/pdtc10/index.php?action=vallex&amp;frame=v-w1393f1", "klepat (v-w1393f1)")</f>
        <v>klepat (v-w1393f1)</v>
      </c>
    </row>
    <row r="11373" customFormat="false" ht="12.8" hidden="false" customHeight="false" outlineLevel="0" collapsed="false">
      <c r="B11373" s="0" t="s">
        <v>7</v>
      </c>
      <c r="C11373" s="0" t="s">
        <v>335</v>
      </c>
      <c r="D11373" s="0" t="s">
        <v>335</v>
      </c>
      <c r="E11373" s="0" t="s">
        <v>335</v>
      </c>
      <c r="F11373" s="0" t="s">
        <v>335</v>
      </c>
    </row>
    <row r="11375" customFormat="false" ht="12.8" hidden="false" customHeight="false" outlineLevel="0" collapsed="false">
      <c r="A11375" s="0" t="s">
        <v>4606</v>
      </c>
      <c r="B11375" s="0" t="str">
        <f aca="false">HYPERLINK("https://lindat.mff.cuni.cz/services/teitok/pdtc10/index.php?action=vallex&amp;frame=v-w1393f3_ZU", "klepat (v-w1393f3_ZU)")</f>
        <v>klepat (v-w1393f3_ZU)</v>
      </c>
    </row>
    <row r="11376" customFormat="false" ht="12.8" hidden="false" customHeight="false" outlineLevel="0" collapsed="false">
      <c r="B11376" s="0" t="s">
        <v>7</v>
      </c>
    </row>
    <row r="11377" customFormat="false" ht="12.8" hidden="false" customHeight="false" outlineLevel="0" collapsed="false">
      <c r="B11377" s="0" t="s">
        <v>14</v>
      </c>
    </row>
    <row r="11379" customFormat="false" ht="12.8" hidden="false" customHeight="false" outlineLevel="0" collapsed="false">
      <c r="A11379" s="0" t="s">
        <v>4607</v>
      </c>
      <c r="B11379" s="0" t="str">
        <f aca="false">HYPERLINK("https://lindat.mff.cuni.cz/services/teitok/pdtc10/index.php?action=vallex&amp;frame=v-w1393f4_ZU", "klepat (v-w1393f4_ZU)")</f>
        <v>klepat (v-w1393f4_ZU)</v>
      </c>
    </row>
    <row r="11380" customFormat="false" ht="12.8" hidden="false" customHeight="false" outlineLevel="0" collapsed="false">
      <c r="B11380" s="0" t="s">
        <v>7</v>
      </c>
    </row>
    <row r="11382" customFormat="false" ht="12.8" hidden="false" customHeight="false" outlineLevel="0" collapsed="false">
      <c r="A11382" s="0" t="s">
        <v>4608</v>
      </c>
      <c r="B11382" s="0" t="str">
        <f aca="false">HYPERLINK("https://lindat.mff.cuni.cz/services/teitok/pdtc10/index.php?action=vallex&amp;frame=v-whsa_433hsa_434", "klepetat (v-whsa_433hsa_434)")</f>
        <v>klepetat (v-whsa_433hsa_434)</v>
      </c>
    </row>
    <row r="11383" customFormat="false" ht="12.8" hidden="false" customHeight="false" outlineLevel="0" collapsed="false">
      <c r="B11383" s="0" t="s">
        <v>7</v>
      </c>
    </row>
    <row r="11384" customFormat="false" ht="12.8" hidden="false" customHeight="false" outlineLevel="0" collapsed="false">
      <c r="B11384" s="0" t="s">
        <v>216</v>
      </c>
    </row>
    <row r="11386" customFormat="false" ht="12.8" hidden="false" customHeight="false" outlineLevel="0" collapsed="false">
      <c r="A11386" s="0" t="s">
        <v>4609</v>
      </c>
      <c r="B11386" s="0" t="str">
        <f aca="false">HYPERLINK("https://lindat.mff.cuni.cz/services/teitok/pdtc10/index.php?action=vallex&amp;frame=v-w1394f1", "klepnout (v-w1394f1)")</f>
        <v>klepnout (v-w1394f1)</v>
      </c>
    </row>
    <row r="11387" customFormat="false" ht="12.8" hidden="false" customHeight="false" outlineLevel="0" collapsed="false">
      <c r="B11387" s="0" t="s">
        <v>7</v>
      </c>
    </row>
    <row r="11388" customFormat="false" ht="12.8" hidden="false" customHeight="false" outlineLevel="0" collapsed="false">
      <c r="B11388" s="0" t="s">
        <v>14</v>
      </c>
    </row>
    <row r="11390" customFormat="false" ht="12.8" hidden="false" customHeight="false" outlineLevel="0" collapsed="false">
      <c r="A11390" s="0" t="s">
        <v>4610</v>
      </c>
      <c r="B11390" s="0" t="str">
        <f aca="false">HYPERLINK("https://lindat.mff.cuni.cz/services/teitok/pdtc10/index.php?action=vallex&amp;frame=v-w1394f2_ZU", "klepnout (v-w1394f2_ZU)")</f>
        <v>klepnout (v-w1394f2_ZU)</v>
      </c>
    </row>
    <row r="11391" customFormat="false" ht="12.8" hidden="false" customHeight="false" outlineLevel="0" collapsed="false">
      <c r="B11391" s="0" t="s">
        <v>7</v>
      </c>
    </row>
    <row r="11392" customFormat="false" ht="12.8" hidden="false" customHeight="false" outlineLevel="0" collapsed="false">
      <c r="B11392" s="0" t="s">
        <v>14</v>
      </c>
    </row>
    <row r="11394" customFormat="false" ht="12.8" hidden="false" customHeight="false" outlineLevel="0" collapsed="false">
      <c r="A11394" s="0" t="s">
        <v>4611</v>
      </c>
      <c r="B11394" s="0" t="str">
        <f aca="false">HYPERLINK("https://lindat.mff.cuni.cz/services/teitok/pdtc10/index.php?action=vallex&amp;frame=v-w1394f3_ZU", "klepnout (v-w1394f3_ZU)")</f>
        <v>klepnout (v-w1394f3_ZU)</v>
      </c>
    </row>
    <row r="11395" customFormat="false" ht="12.8" hidden="false" customHeight="false" outlineLevel="0" collapsed="false">
      <c r="B11395" s="0" t="s">
        <v>7</v>
      </c>
    </row>
    <row r="11396" customFormat="false" ht="12.8" hidden="false" customHeight="false" outlineLevel="0" collapsed="false">
      <c r="B11396" s="0" t="s">
        <v>338</v>
      </c>
    </row>
    <row r="11398" customFormat="false" ht="12.8" hidden="false" customHeight="false" outlineLevel="0" collapsed="false">
      <c r="A11398" s="0" t="s">
        <v>4612</v>
      </c>
      <c r="B11398" s="0" t="str">
        <f aca="false">HYPERLINK("https://lindat.mff.cuni.cz/services/teitok/pdtc10/index.php?action=vallex&amp;frame=v-w1395f1", "klesat (v-w1395f1)")</f>
        <v>klesat (v-w1395f1)</v>
      </c>
    </row>
    <row r="11399" customFormat="false" ht="12.8" hidden="false" customHeight="false" outlineLevel="0" collapsed="false">
      <c r="B11399" s="0" t="s">
        <v>7</v>
      </c>
      <c r="C11399" s="0" t="s">
        <v>4613</v>
      </c>
      <c r="D11399" s="0" t="s">
        <v>4614</v>
      </c>
      <c r="E11399" s="0" t="s">
        <v>4615</v>
      </c>
      <c r="F11399" s="0" t="s">
        <v>4615</v>
      </c>
    </row>
    <row r="11400" customFormat="false" ht="12.8" hidden="false" customHeight="false" outlineLevel="0" collapsed="false">
      <c r="B11400" s="0" t="s">
        <v>63</v>
      </c>
      <c r="C11400" s="0" t="s">
        <v>4616</v>
      </c>
      <c r="D11400" s="0" t="s">
        <v>4617</v>
      </c>
      <c r="E11400" s="0" t="s">
        <v>4618</v>
      </c>
      <c r="F11400" s="0" t="s">
        <v>4618</v>
      </c>
    </row>
    <row r="11401" customFormat="false" ht="12.8" hidden="false" customHeight="false" outlineLevel="0" collapsed="false">
      <c r="B11401" s="0" t="s">
        <v>35</v>
      </c>
      <c r="C11401" s="0" t="s">
        <v>4619</v>
      </c>
      <c r="D11401" s="0" t="s">
        <v>4620</v>
      </c>
      <c r="E11401" s="0" t="s">
        <v>4621</v>
      </c>
      <c r="F11401" s="0" t="s">
        <v>4621</v>
      </c>
    </row>
    <row r="11403" customFormat="false" ht="12.8" hidden="false" customHeight="false" outlineLevel="0" collapsed="false">
      <c r="A11403" s="0" t="s">
        <v>4622</v>
      </c>
      <c r="B11403" s="0" t="str">
        <f aca="false">HYPERLINK("https://lindat.mff.cuni.cz/services/teitok/pdtc10/index.php?action=vallex&amp;frame=v-w1396f3_ZU", "klesnout (v-w1396f3_ZU)")</f>
        <v>klesnout (v-w1396f3_ZU)</v>
      </c>
    </row>
    <row r="11404" customFormat="false" ht="12.8" hidden="false" customHeight="false" outlineLevel="0" collapsed="false">
      <c r="B11404" s="0" t="s">
        <v>7</v>
      </c>
      <c r="C11404" s="0" t="s">
        <v>4623</v>
      </c>
      <c r="D11404" s="0" t="s">
        <v>4614</v>
      </c>
      <c r="E11404" s="0" t="s">
        <v>4615</v>
      </c>
      <c r="F11404" s="0" t="s">
        <v>4615</v>
      </c>
    </row>
    <row r="11405" customFormat="false" ht="12.8" hidden="false" customHeight="false" outlineLevel="0" collapsed="false">
      <c r="B11405" s="0" t="s">
        <v>4624</v>
      </c>
      <c r="C11405" s="0" t="s">
        <v>4625</v>
      </c>
      <c r="D11405" s="0" t="s">
        <v>4617</v>
      </c>
      <c r="E11405" s="0" t="s">
        <v>4618</v>
      </c>
      <c r="F11405" s="0" t="s">
        <v>4618</v>
      </c>
    </row>
    <row r="11406" customFormat="false" ht="12.8" hidden="false" customHeight="false" outlineLevel="0" collapsed="false">
      <c r="B11406" s="0" t="s">
        <v>35</v>
      </c>
      <c r="C11406" s="0" t="s">
        <v>4626</v>
      </c>
      <c r="D11406" s="0" t="s">
        <v>4620</v>
      </c>
      <c r="E11406" s="0" t="s">
        <v>4621</v>
      </c>
      <c r="F11406" s="0" t="s">
        <v>4621</v>
      </c>
    </row>
    <row r="11408" customFormat="false" ht="12.8" hidden="false" customHeight="false" outlineLevel="0" collapsed="false">
      <c r="A11408" s="0" t="s">
        <v>4622</v>
      </c>
      <c r="B11408" s="0" t="str">
        <f aca="false">HYPERLINK("https://lindat.mff.cuni.cz/services/teitok/pdtc10/index.php?action=vallex&amp;frame=v-w1396f1", "klesnout (v-w1396f1) - substituted with v-w1396f3_ZU")</f>
        <v>klesnout (v-w1396f1) - substituted with v-w1396f3_ZU</v>
      </c>
    </row>
    <row r="11409" customFormat="false" ht="12.8" hidden="false" customHeight="false" outlineLevel="0" collapsed="false">
      <c r="B11409" s="0" t="s">
        <v>7</v>
      </c>
      <c r="C11409" s="0" t="s">
        <v>4627</v>
      </c>
    </row>
    <row r="11410" customFormat="false" ht="12.8" hidden="false" customHeight="false" outlineLevel="0" collapsed="false">
      <c r="B11410" s="0" t="s">
        <v>4624</v>
      </c>
      <c r="C11410" s="0" t="s">
        <v>4628</v>
      </c>
    </row>
    <row r="11411" customFormat="false" ht="12.8" hidden="false" customHeight="false" outlineLevel="0" collapsed="false">
      <c r="B11411" s="0" t="s">
        <v>35</v>
      </c>
      <c r="C11411" s="0" t="s">
        <v>4629</v>
      </c>
    </row>
    <row r="11413" customFormat="false" ht="12.8" hidden="false" customHeight="false" outlineLevel="0" collapsed="false">
      <c r="A11413" s="0" t="s">
        <v>4622</v>
      </c>
      <c r="B11413" s="0" t="str">
        <f aca="false">HYPERLINK("https://lindat.mff.cuni.cz/services/teitok/pdtc10/index.php?action=vallex&amp;frame=v-w1396f2_ZU", "klesnout (v-w1396f2_ZU) - substituted with v-w1396f3_ZU")</f>
        <v>klesnout (v-w1396f2_ZU) - substituted with v-w1396f3_ZU</v>
      </c>
    </row>
    <row r="11414" customFormat="false" ht="12.8" hidden="false" customHeight="false" outlineLevel="0" collapsed="false">
      <c r="B11414" s="0" t="s">
        <v>7</v>
      </c>
      <c r="C11414" s="0" t="s">
        <v>4630</v>
      </c>
    </row>
    <row r="11415" customFormat="false" ht="12.8" hidden="false" customHeight="false" outlineLevel="0" collapsed="false">
      <c r="B11415" s="0" t="s">
        <v>4624</v>
      </c>
      <c r="C11415" s="0" t="s">
        <v>4631</v>
      </c>
    </row>
    <row r="11416" customFormat="false" ht="12.8" hidden="false" customHeight="false" outlineLevel="0" collapsed="false">
      <c r="B11416" s="0" t="s">
        <v>35</v>
      </c>
      <c r="C11416" s="0" t="s">
        <v>4632</v>
      </c>
    </row>
    <row r="11418" customFormat="false" ht="12.8" hidden="false" customHeight="false" outlineLevel="0" collapsed="false">
      <c r="A11418" s="0" t="s">
        <v>4633</v>
      </c>
      <c r="B11418" s="0" t="str">
        <f aca="false">HYPERLINK("https://lindat.mff.cuni.cz/services/teitok/pdtc10/index.php?action=vallex&amp;frame=v-w1396f4_ZU", "klesnout (v-w1396f4_ZU)")</f>
        <v>klesnout (v-w1396f4_ZU)</v>
      </c>
    </row>
    <row r="11419" customFormat="false" ht="12.8" hidden="false" customHeight="false" outlineLevel="0" collapsed="false">
      <c r="B11419" s="0" t="s">
        <v>7</v>
      </c>
    </row>
    <row r="11421" customFormat="false" ht="12.8" hidden="false" customHeight="false" outlineLevel="0" collapsed="false">
      <c r="A11421" s="0" t="s">
        <v>4634</v>
      </c>
      <c r="B11421" s="0" t="str">
        <f aca="false">HYPERLINK("https://lindat.mff.cuni.cz/services/teitok/pdtc10/index.php?action=vallex&amp;frame=v-w10164f2", "klestit (v-w10164f2)")</f>
        <v>klestit (v-w10164f2)</v>
      </c>
    </row>
    <row r="11422" customFormat="false" ht="12.8" hidden="false" customHeight="false" outlineLevel="0" collapsed="false">
      <c r="B11422" s="0" t="s">
        <v>7</v>
      </c>
    </row>
    <row r="11423" customFormat="false" ht="12.8" hidden="false" customHeight="false" outlineLevel="0" collapsed="false">
      <c r="B11423" s="0" t="s">
        <v>1659</v>
      </c>
    </row>
    <row r="11425" customFormat="false" ht="12.8" hidden="false" customHeight="false" outlineLevel="0" collapsed="false">
      <c r="A11425" s="0" t="s">
        <v>4635</v>
      </c>
      <c r="B11425" s="0" t="str">
        <f aca="false">HYPERLINK("https://lindat.mff.cuni.cz/services/teitok/pdtc10/index.php?action=vallex&amp;frame=v-w10188f2", "klečet (v-w10188f2)")</f>
        <v>klečet (v-w10188f2)</v>
      </c>
    </row>
    <row r="11426" customFormat="false" ht="12.8" hidden="false" customHeight="false" outlineLevel="0" collapsed="false">
      <c r="B11426" s="0" t="s">
        <v>7</v>
      </c>
      <c r="C11426" s="0" t="s">
        <v>113</v>
      </c>
    </row>
    <row r="11428" customFormat="false" ht="12.8" hidden="false" customHeight="false" outlineLevel="0" collapsed="false">
      <c r="A11428" s="0" t="s">
        <v>4636</v>
      </c>
      <c r="B11428" s="0" t="str">
        <f aca="false">HYPERLINK("https://lindat.mff.cuni.cz/services/teitok/pdtc10/index.php?action=vallex&amp;frame=v-w10772f2", "klidit (v-w10772f2)")</f>
        <v>klidit (v-w10772f2)</v>
      </c>
    </row>
    <row r="11429" customFormat="false" ht="12.8" hidden="false" customHeight="false" outlineLevel="0" collapsed="false">
      <c r="B11429" s="0" t="s">
        <v>7</v>
      </c>
    </row>
    <row r="11430" customFormat="false" ht="12.8" hidden="false" customHeight="false" outlineLevel="0" collapsed="false">
      <c r="B11430" s="0" t="s">
        <v>14</v>
      </c>
    </row>
    <row r="11432" customFormat="false" ht="12.8" hidden="false" customHeight="false" outlineLevel="0" collapsed="false">
      <c r="A11432" s="0" t="s">
        <v>4637</v>
      </c>
      <c r="B11432" s="0" t="str">
        <f aca="false">HYPERLINK("https://lindat.mff.cuni.cz/services/teitok/pdtc10/index.php?action=vallex&amp;frame=v-w1401f1", "klikatit se (v-w1401f1)")</f>
        <v>klikatit se (v-w1401f1)</v>
      </c>
    </row>
    <row r="11433" customFormat="false" ht="12.8" hidden="false" customHeight="false" outlineLevel="0" collapsed="false">
      <c r="B11433" s="0" t="s">
        <v>7</v>
      </c>
      <c r="D11433" s="0" t="s">
        <v>4638</v>
      </c>
      <c r="E11433" s="0" t="s">
        <v>4638</v>
      </c>
      <c r="F11433" s="0" t="s">
        <v>4638</v>
      </c>
    </row>
    <row r="11435" customFormat="false" ht="12.8" hidden="false" customHeight="false" outlineLevel="0" collapsed="false">
      <c r="A11435" s="0" t="s">
        <v>4639</v>
      </c>
      <c r="B11435" s="0" t="str">
        <f aca="false">HYPERLINK("https://lindat.mff.cuni.cz/services/teitok/pdtc10/index.php?action=vallex&amp;frame=v-whsa_1459hsa_1460", "kliknout (v-whsa_1459hsa_1460)")</f>
        <v>kliknout (v-whsa_1459hsa_1460)</v>
      </c>
    </row>
    <row r="11436" customFormat="false" ht="12.8" hidden="false" customHeight="false" outlineLevel="0" collapsed="false">
      <c r="B11436" s="0" t="s">
        <v>7</v>
      </c>
    </row>
    <row r="11437" customFormat="false" ht="12.8" hidden="false" customHeight="false" outlineLevel="0" collapsed="false">
      <c r="B11437" s="0" t="s">
        <v>124</v>
      </c>
    </row>
    <row r="11439" customFormat="false" ht="12.8" hidden="false" customHeight="false" outlineLevel="0" collapsed="false">
      <c r="A11439" s="0" t="s">
        <v>4640</v>
      </c>
      <c r="B11439" s="0" t="str">
        <f aca="false">HYPERLINK("https://lindat.mff.cuni.cz/services/teitok/pdtc10/index.php?action=vallex&amp;frame=v-w1398f1", "kličkovat (v-w1398f1)")</f>
        <v>kličkovat (v-w1398f1)</v>
      </c>
    </row>
    <row r="11440" customFormat="false" ht="12.8" hidden="false" customHeight="false" outlineLevel="0" collapsed="false">
      <c r="B11440" s="0" t="s">
        <v>7</v>
      </c>
      <c r="C11440" s="0" t="s">
        <v>191</v>
      </c>
    </row>
    <row r="11442" customFormat="false" ht="12.8" hidden="false" customHeight="false" outlineLevel="0" collapsed="false">
      <c r="A11442" s="0" t="s">
        <v>4641</v>
      </c>
      <c r="B11442" s="0" t="str">
        <f aca="false">HYPERLINK("https://lindat.mff.cuni.cz/services/teitok/pdtc10/index.php?action=vallex&amp;frame=v-w11496f1", "klonit se (v-w11496f1)")</f>
        <v>klonit se (v-w11496f1)</v>
      </c>
    </row>
    <row r="11443" customFormat="false" ht="12.8" hidden="false" customHeight="false" outlineLevel="0" collapsed="false">
      <c r="B11443" s="0" t="s">
        <v>7</v>
      </c>
      <c r="C11443" s="0" t="s">
        <v>4197</v>
      </c>
      <c r="D11443" s="0" t="s">
        <v>3054</v>
      </c>
      <c r="E11443" s="0" t="s">
        <v>3054</v>
      </c>
      <c r="F11443" s="0" t="s">
        <v>3054</v>
      </c>
    </row>
    <row r="11444" customFormat="false" ht="12.8" hidden="false" customHeight="false" outlineLevel="0" collapsed="false">
      <c r="B11444" s="0" t="s">
        <v>237</v>
      </c>
      <c r="C11444" s="0" t="s">
        <v>4642</v>
      </c>
      <c r="D11444" s="0" t="s">
        <v>4344</v>
      </c>
      <c r="E11444" s="0" t="s">
        <v>4344</v>
      </c>
      <c r="F11444" s="0" t="s">
        <v>4344</v>
      </c>
    </row>
    <row r="11446" customFormat="false" ht="12.8" hidden="false" customHeight="false" outlineLevel="0" collapsed="false">
      <c r="A11446" s="0" t="s">
        <v>4643</v>
      </c>
      <c r="B11446" s="0" t="str">
        <f aca="false">HYPERLINK("https://lindat.mff.cuni.cz/services/teitok/pdtc10/index.php?action=vallex&amp;frame=v-w10139f3", "klonovat (v-w10139f3)")</f>
        <v>klonovat (v-w10139f3)</v>
      </c>
    </row>
    <row r="11447" customFormat="false" ht="12.8" hidden="false" customHeight="false" outlineLevel="0" collapsed="false">
      <c r="B11447" s="0" t="s">
        <v>7</v>
      </c>
      <c r="D11447" s="0" t="s">
        <v>2808</v>
      </c>
      <c r="E11447" s="0" t="s">
        <v>2808</v>
      </c>
      <c r="F11447" s="0" t="s">
        <v>2808</v>
      </c>
    </row>
    <row r="11448" customFormat="false" ht="12.8" hidden="false" customHeight="false" outlineLevel="0" collapsed="false">
      <c r="B11448" s="0" t="s">
        <v>14</v>
      </c>
      <c r="D11448" s="0" t="s">
        <v>4644</v>
      </c>
      <c r="E11448" s="0" t="s">
        <v>4644</v>
      </c>
      <c r="F11448" s="0" t="s">
        <v>4644</v>
      </c>
    </row>
    <row r="11449" customFormat="false" ht="12.8" hidden="false" customHeight="false" outlineLevel="0" collapsed="false">
      <c r="B11449" s="0" t="s">
        <v>35</v>
      </c>
      <c r="D11449" s="0" t="s">
        <v>4253</v>
      </c>
      <c r="E11449" s="0" t="s">
        <v>4253</v>
      </c>
      <c r="F11449" s="0" t="s">
        <v>4253</v>
      </c>
    </row>
    <row r="11451" customFormat="false" ht="12.8" hidden="false" customHeight="false" outlineLevel="0" collapsed="false">
      <c r="A11451" s="0" t="s">
        <v>4645</v>
      </c>
      <c r="B11451" s="0" t="str">
        <f aca="false">HYPERLINK("https://lindat.mff.cuni.cz/services/teitok/pdtc10/index.php?action=vallex&amp;frame=v-w1402f3", "klopýtat (v-w1402f3)")</f>
        <v>klopýtat (v-w1402f3)</v>
      </c>
    </row>
    <row r="11452" customFormat="false" ht="12.8" hidden="false" customHeight="false" outlineLevel="0" collapsed="false">
      <c r="B11452" s="0" t="s">
        <v>7</v>
      </c>
      <c r="C11452" s="0" t="s">
        <v>31</v>
      </c>
    </row>
    <row r="11453" customFormat="false" ht="12.8" hidden="false" customHeight="false" outlineLevel="0" collapsed="false">
      <c r="B11453" s="0" t="s">
        <v>4646</v>
      </c>
    </row>
    <row r="11455" customFormat="false" ht="12.8" hidden="false" customHeight="false" outlineLevel="0" collapsed="false">
      <c r="A11455" s="0" t="s">
        <v>4645</v>
      </c>
      <c r="B11455" s="0" t="str">
        <f aca="false">HYPERLINK("https://lindat.mff.cuni.cz/services/teitok/pdtc10/index.php?action=vallex&amp;frame=v-w1402f1", "klopýtat (v-w1402f1) - substituted with v-w1402f3")</f>
        <v>klopýtat (v-w1402f1) - substituted with v-w1402f3</v>
      </c>
    </row>
    <row r="11456" customFormat="false" ht="12.8" hidden="false" customHeight="false" outlineLevel="0" collapsed="false">
      <c r="B11456" s="0" t="s">
        <v>7</v>
      </c>
    </row>
    <row r="11457" customFormat="false" ht="12.8" hidden="false" customHeight="false" outlineLevel="0" collapsed="false">
      <c r="B11457" s="0" t="s">
        <v>4646</v>
      </c>
    </row>
    <row r="11459" customFormat="false" ht="12.8" hidden="false" customHeight="false" outlineLevel="0" collapsed="false">
      <c r="A11459" s="0" t="s">
        <v>4647</v>
      </c>
      <c r="B11459" s="0" t="str">
        <f aca="false">HYPERLINK("https://lindat.mff.cuni.cz/services/teitok/pdtc10/index.php?action=vallex&amp;frame=v-w1402f4", "klopýtat (v-w1402f4)")</f>
        <v>klopýtat (v-w1402f4)</v>
      </c>
    </row>
    <row r="11460" customFormat="false" ht="12.8" hidden="false" customHeight="false" outlineLevel="0" collapsed="false">
      <c r="B11460" s="0" t="s">
        <v>7</v>
      </c>
      <c r="C11460" s="0" t="s">
        <v>4648</v>
      </c>
      <c r="D11460" s="0" t="s">
        <v>31</v>
      </c>
      <c r="E11460" s="0" t="s">
        <v>31</v>
      </c>
      <c r="F11460" s="0" t="s">
        <v>31</v>
      </c>
    </row>
    <row r="11462" customFormat="false" ht="12.8" hidden="false" customHeight="false" outlineLevel="0" collapsed="false">
      <c r="A11462" s="0" t="s">
        <v>4649</v>
      </c>
      <c r="B11462" s="0" t="str">
        <f aca="false">HYPERLINK("https://lindat.mff.cuni.cz/services/teitok/pdtc10/index.php?action=vallex&amp;frame=v-w10902f2", "klopýtnout (v-w10902f2)")</f>
        <v>klopýtnout (v-w10902f2)</v>
      </c>
    </row>
    <row r="11463" customFormat="false" ht="12.8" hidden="false" customHeight="false" outlineLevel="0" collapsed="false">
      <c r="B11463" s="0" t="s">
        <v>7</v>
      </c>
      <c r="C11463" s="0" t="s">
        <v>31</v>
      </c>
    </row>
    <row r="11464" customFormat="false" ht="12.8" hidden="false" customHeight="false" outlineLevel="0" collapsed="false">
      <c r="B11464" s="0" t="s">
        <v>2721</v>
      </c>
      <c r="C11464" s="0" t="s">
        <v>567</v>
      </c>
    </row>
    <row r="11466" customFormat="false" ht="12.8" hidden="false" customHeight="false" outlineLevel="0" collapsed="false">
      <c r="A11466" s="0" t="s">
        <v>4650</v>
      </c>
      <c r="B11466" s="0" t="str">
        <f aca="false">HYPERLINK("https://lindat.mff.cuni.cz/services/teitok/pdtc10/index.php?action=vallex&amp;frame=v-w11397f1", "klouzat (v-w11397f1)")</f>
        <v>klouzat (v-w11397f1)</v>
      </c>
    </row>
    <row r="11467" customFormat="false" ht="12.8" hidden="false" customHeight="false" outlineLevel="0" collapsed="false">
      <c r="B11467" s="0" t="s">
        <v>7</v>
      </c>
      <c r="C11467" s="0" t="s">
        <v>4651</v>
      </c>
      <c r="D11467" s="0" t="s">
        <v>247</v>
      </c>
      <c r="E11467" s="0" t="s">
        <v>247</v>
      </c>
      <c r="F11467" s="0" t="s">
        <v>247</v>
      </c>
    </row>
    <row r="11469" customFormat="false" ht="12.8" hidden="false" customHeight="false" outlineLevel="0" collapsed="false">
      <c r="A11469" s="0" t="s">
        <v>4652</v>
      </c>
      <c r="B11469" s="0" t="str">
        <f aca="false">HYPERLINK("https://lindat.mff.cuni.cz/services/teitok/pdtc10/index.php?action=vallex&amp;frame=v-w1404f1", "klouzat se (v-w1404f1)")</f>
        <v>klouzat se (v-w1404f1)</v>
      </c>
    </row>
    <row r="11470" customFormat="false" ht="12.8" hidden="false" customHeight="false" outlineLevel="0" collapsed="false">
      <c r="B11470" s="0" t="s">
        <v>7</v>
      </c>
      <c r="D11470" s="0" t="s">
        <v>247</v>
      </c>
      <c r="E11470" s="0" t="s">
        <v>247</v>
      </c>
      <c r="F11470" s="0" t="s">
        <v>247</v>
      </c>
    </row>
    <row r="11472" customFormat="false" ht="12.8" hidden="false" customHeight="false" outlineLevel="0" collapsed="false">
      <c r="A11472" s="0" t="s">
        <v>4653</v>
      </c>
      <c r="B11472" s="0" t="str">
        <f aca="false">HYPERLINK("https://lindat.mff.cuni.cz/services/teitok/pdtc10/index.php?action=vallex&amp;frame=v-w1405f1", "klubat se (v-w1405f1)")</f>
        <v>klubat se (v-w1405f1)</v>
      </c>
    </row>
    <row r="11473" customFormat="false" ht="12.8" hidden="false" customHeight="false" outlineLevel="0" collapsed="false">
      <c r="B11473" s="0" t="s">
        <v>7</v>
      </c>
    </row>
    <row r="11474" customFormat="false" ht="12.8" hidden="false" customHeight="false" outlineLevel="0" collapsed="false">
      <c r="B11474" s="0" t="s">
        <v>581</v>
      </c>
    </row>
    <row r="11476" customFormat="false" ht="12.8" hidden="false" customHeight="false" outlineLevel="0" collapsed="false">
      <c r="A11476" s="0" t="s">
        <v>4654</v>
      </c>
      <c r="B11476" s="0" t="str">
        <f aca="false">HYPERLINK("https://lindat.mff.cuni.cz/services/teitok/pdtc10/index.php?action=vallex&amp;frame=v-w12113_ZUf1_ZU", "klábosit (v-w12113_ZUf1_ZU)")</f>
        <v>klábosit (v-w12113_ZUf1_ZU)</v>
      </c>
    </row>
    <row r="11477" customFormat="false" ht="12.8" hidden="false" customHeight="false" outlineLevel="0" collapsed="false">
      <c r="B11477" s="0" t="s">
        <v>7</v>
      </c>
    </row>
    <row r="11478" customFormat="false" ht="12.8" hidden="false" customHeight="false" outlineLevel="0" collapsed="false">
      <c r="B11478" s="0" t="s">
        <v>363</v>
      </c>
    </row>
    <row r="11479" customFormat="false" ht="12.8" hidden="false" customHeight="false" outlineLevel="0" collapsed="false">
      <c r="B11479" s="0" t="s">
        <v>2767</v>
      </c>
    </row>
    <row r="11481" customFormat="false" ht="12.8" hidden="false" customHeight="false" outlineLevel="0" collapsed="false">
      <c r="A11481" s="0" t="s">
        <v>4655</v>
      </c>
      <c r="B11481" s="0" t="str">
        <f aca="false">HYPERLINK("https://lindat.mff.cuni.cz/services/teitok/pdtc10/index.php?action=vallex&amp;frame=v-w1387f3", "klást (v-w1387f3)")</f>
        <v>klást (v-w1387f3)</v>
      </c>
    </row>
    <row r="11482" customFormat="false" ht="12.8" hidden="false" customHeight="false" outlineLevel="0" collapsed="false">
      <c r="B11482" s="0" t="s">
        <v>7</v>
      </c>
    </row>
    <row r="11483" customFormat="false" ht="12.8" hidden="false" customHeight="false" outlineLevel="0" collapsed="false">
      <c r="B11483" s="0" t="s">
        <v>2313</v>
      </c>
    </row>
    <row r="11484" customFormat="false" ht="12.8" hidden="false" customHeight="false" outlineLevel="0" collapsed="false">
      <c r="B11484" s="0" t="s">
        <v>48</v>
      </c>
      <c r="C11484" s="0" t="s">
        <v>4656</v>
      </c>
    </row>
    <row r="11485" customFormat="false" ht="12.8" hidden="false" customHeight="false" outlineLevel="0" collapsed="false">
      <c r="B11485" s="0" t="s">
        <v>4657</v>
      </c>
      <c r="C11485" s="0" t="s">
        <v>4658</v>
      </c>
    </row>
    <row r="11487" customFormat="false" ht="12.8" hidden="false" customHeight="false" outlineLevel="0" collapsed="false">
      <c r="A11487" s="0" t="s">
        <v>4659</v>
      </c>
      <c r="B11487" s="0" t="str">
        <f aca="false">HYPERLINK("https://lindat.mff.cuni.cz/services/teitok/pdtc10/index.php?action=vallex&amp;frame=v-w1387f6", "klást (v-w1387f6)")</f>
        <v>klást (v-w1387f6)</v>
      </c>
    </row>
    <row r="11488" customFormat="false" ht="12.8" hidden="false" customHeight="false" outlineLevel="0" collapsed="false">
      <c r="B11488" s="0" t="s">
        <v>7</v>
      </c>
      <c r="C11488" s="0" t="s">
        <v>21</v>
      </c>
      <c r="D11488" s="0" t="s">
        <v>2323</v>
      </c>
      <c r="E11488" s="0" t="s">
        <v>2323</v>
      </c>
      <c r="F11488" s="0" t="s">
        <v>2323</v>
      </c>
    </row>
    <row r="11489" customFormat="false" ht="12.8" hidden="false" customHeight="false" outlineLevel="0" collapsed="false">
      <c r="B11489" s="0" t="s">
        <v>14</v>
      </c>
      <c r="C11489" s="0" t="s">
        <v>151</v>
      </c>
      <c r="D11489" s="0" t="s">
        <v>1918</v>
      </c>
      <c r="E11489" s="0" t="s">
        <v>1918</v>
      </c>
      <c r="F11489" s="0" t="s">
        <v>1918</v>
      </c>
    </row>
    <row r="11490" customFormat="false" ht="12.8" hidden="false" customHeight="false" outlineLevel="0" collapsed="false">
      <c r="B11490" s="0" t="s">
        <v>279</v>
      </c>
      <c r="C11490" s="0" t="s">
        <v>4660</v>
      </c>
      <c r="D11490" s="0" t="s">
        <v>2325</v>
      </c>
      <c r="E11490" s="0" t="s">
        <v>2325</v>
      </c>
      <c r="F11490" s="0" t="s">
        <v>2325</v>
      </c>
    </row>
    <row r="11492" customFormat="false" ht="12.8" hidden="false" customHeight="false" outlineLevel="0" collapsed="false">
      <c r="A11492" s="0" t="s">
        <v>4661</v>
      </c>
      <c r="B11492" s="0" t="str">
        <f aca="false">HYPERLINK("https://lindat.mff.cuni.cz/services/teitok/pdtc10/index.php?action=vallex&amp;frame=v-w1387f9", "klást (v-w1387f9)")</f>
        <v>klást (v-w1387f9)</v>
      </c>
    </row>
    <row r="11493" customFormat="false" ht="12.8" hidden="false" customHeight="false" outlineLevel="0" collapsed="false">
      <c r="B11493" s="0" t="s">
        <v>7</v>
      </c>
      <c r="C11493" s="0" t="s">
        <v>1142</v>
      </c>
      <c r="D11493" s="0" t="s">
        <v>2235</v>
      </c>
      <c r="E11493" s="0" t="s">
        <v>2235</v>
      </c>
      <c r="F11493" s="0" t="s">
        <v>2235</v>
      </c>
    </row>
    <row r="11494" customFormat="false" ht="12.8" hidden="false" customHeight="false" outlineLevel="0" collapsed="false">
      <c r="B11494" s="0" t="s">
        <v>14</v>
      </c>
      <c r="C11494" s="0" t="s">
        <v>173</v>
      </c>
      <c r="D11494" s="0" t="s">
        <v>2237</v>
      </c>
      <c r="E11494" s="0" t="s">
        <v>2237</v>
      </c>
      <c r="F11494" s="0" t="s">
        <v>2237</v>
      </c>
    </row>
    <row r="11495" customFormat="false" ht="12.8" hidden="false" customHeight="false" outlineLevel="0" collapsed="false">
      <c r="B11495" s="0" t="s">
        <v>124</v>
      </c>
      <c r="C11495" s="0" t="s">
        <v>4660</v>
      </c>
      <c r="D11495" s="0" t="s">
        <v>2238</v>
      </c>
      <c r="E11495" s="0" t="s">
        <v>2238</v>
      </c>
      <c r="F11495" s="0" t="s">
        <v>2238</v>
      </c>
    </row>
    <row r="11497" customFormat="false" ht="12.8" hidden="false" customHeight="false" outlineLevel="0" collapsed="false">
      <c r="A11497" s="0" t="s">
        <v>4662</v>
      </c>
      <c r="B11497" s="0" t="str">
        <f aca="false">HYPERLINK("https://lindat.mff.cuni.cz/services/teitok/pdtc10/index.php?action=vallex&amp;frame=v-w1387f7", "klást (v-w1387f7)")</f>
        <v>klást (v-w1387f7)</v>
      </c>
    </row>
    <row r="11498" customFormat="false" ht="12.8" hidden="false" customHeight="false" outlineLevel="0" collapsed="false">
      <c r="B11498" s="0" t="s">
        <v>7</v>
      </c>
    </row>
    <row r="11499" customFormat="false" ht="12.8" hidden="false" customHeight="false" outlineLevel="0" collapsed="false">
      <c r="B11499" s="0" t="s">
        <v>14</v>
      </c>
    </row>
    <row r="11501" customFormat="false" ht="12.8" hidden="false" customHeight="false" outlineLevel="0" collapsed="false">
      <c r="A11501" s="0" t="s">
        <v>4663</v>
      </c>
      <c r="B11501" s="0" t="str">
        <f aca="false">HYPERLINK("https://lindat.mff.cuni.cz/services/teitok/pdtc10/index.php?action=vallex&amp;frame=v-w1387f8", "klást (v-w1387f8)")</f>
        <v>klást (v-w1387f8)</v>
      </c>
    </row>
    <row r="11502" customFormat="false" ht="12.8" hidden="false" customHeight="false" outlineLevel="0" collapsed="false">
      <c r="B11502" s="0" t="s">
        <v>7</v>
      </c>
      <c r="C11502" s="0" t="s">
        <v>46</v>
      </c>
      <c r="D11502" s="0" t="s">
        <v>46</v>
      </c>
      <c r="E11502" s="0" t="s">
        <v>46</v>
      </c>
      <c r="F11502" s="0" t="s">
        <v>46</v>
      </c>
    </row>
    <row r="11503" customFormat="false" ht="12.8" hidden="false" customHeight="false" outlineLevel="0" collapsed="false">
      <c r="B11503" s="0" t="s">
        <v>14</v>
      </c>
      <c r="C11503" s="0" t="s">
        <v>1170</v>
      </c>
      <c r="D11503" s="0" t="s">
        <v>1170</v>
      </c>
      <c r="E11503" s="0" t="s">
        <v>1170</v>
      </c>
      <c r="F11503" s="0" t="s">
        <v>1170</v>
      </c>
    </row>
    <row r="11505" customFormat="false" ht="12.8" hidden="false" customHeight="false" outlineLevel="0" collapsed="false">
      <c r="A11505" s="0" t="s">
        <v>4664</v>
      </c>
      <c r="B11505" s="0" t="str">
        <f aca="false">HYPERLINK("https://lindat.mff.cuni.cz/services/teitok/pdtc10/index.php?action=vallex&amp;frame=v-w1387f5", "klást (v-w1387f5)")</f>
        <v>klást (v-w1387f5)</v>
      </c>
    </row>
    <row r="11506" customFormat="false" ht="12.8" hidden="false" customHeight="false" outlineLevel="0" collapsed="false">
      <c r="B11506" s="0" t="s">
        <v>7</v>
      </c>
    </row>
    <row r="11507" customFormat="false" ht="12.8" hidden="false" customHeight="false" outlineLevel="0" collapsed="false">
      <c r="B11507" s="0" t="s">
        <v>4665</v>
      </c>
    </row>
    <row r="11508" customFormat="false" ht="12.8" hidden="false" customHeight="false" outlineLevel="0" collapsed="false">
      <c r="B11508" s="0" t="s">
        <v>48</v>
      </c>
    </row>
    <row r="11510" customFormat="false" ht="12.8" hidden="false" customHeight="false" outlineLevel="0" collapsed="false">
      <c r="A11510" s="0" t="s">
        <v>4666</v>
      </c>
      <c r="B11510" s="0" t="str">
        <f aca="false">HYPERLINK("https://lindat.mff.cuni.cz/services/teitok/pdtc10/index.php?action=vallex&amp;frame=v-w1387f1", "klást (v-w1387f1)")</f>
        <v>klást (v-w1387f1)</v>
      </c>
    </row>
    <row r="11511" customFormat="false" ht="12.8" hidden="false" customHeight="false" outlineLevel="0" collapsed="false">
      <c r="B11511" s="0" t="s">
        <v>7</v>
      </c>
      <c r="C11511" s="0" t="s">
        <v>4667</v>
      </c>
      <c r="D11511" s="0" t="s">
        <v>2534</v>
      </c>
      <c r="E11511" s="0" t="s">
        <v>2534</v>
      </c>
      <c r="F11511" s="0" t="s">
        <v>2534</v>
      </c>
    </row>
    <row r="11512" customFormat="false" ht="12.8" hidden="false" customHeight="false" outlineLevel="0" collapsed="false">
      <c r="B11512" s="0" t="s">
        <v>4668</v>
      </c>
      <c r="C11512" s="0" t="s">
        <v>4669</v>
      </c>
      <c r="D11512" s="0" t="s">
        <v>4670</v>
      </c>
      <c r="E11512" s="0" t="s">
        <v>4670</v>
      </c>
      <c r="F11512" s="0" t="s">
        <v>4670</v>
      </c>
    </row>
    <row r="11513" customFormat="false" ht="12.8" hidden="false" customHeight="false" outlineLevel="0" collapsed="false">
      <c r="B11513" s="0" t="s">
        <v>48</v>
      </c>
      <c r="C11513" s="0" t="s">
        <v>4671</v>
      </c>
      <c r="D11513" s="0" t="s">
        <v>2540</v>
      </c>
      <c r="E11513" s="0" t="s">
        <v>2540</v>
      </c>
      <c r="F11513" s="0" t="s">
        <v>2540</v>
      </c>
    </row>
    <row r="11515" customFormat="false" ht="12.8" hidden="false" customHeight="false" outlineLevel="0" collapsed="false">
      <c r="A11515" s="0" t="s">
        <v>4672</v>
      </c>
      <c r="B11515" s="0" t="str">
        <f aca="false">HYPERLINK("https://lindat.mff.cuni.cz/services/teitok/pdtc10/index.php?action=vallex&amp;frame=v-w1387hsa_549", "klást (v-w1387hsa_549)")</f>
        <v>klást (v-w1387hsa_549)</v>
      </c>
    </row>
    <row r="11516" customFormat="false" ht="12.8" hidden="false" customHeight="false" outlineLevel="0" collapsed="false">
      <c r="B11516" s="0" t="s">
        <v>7</v>
      </c>
      <c r="C11516" s="0" t="s">
        <v>2736</v>
      </c>
    </row>
    <row r="11517" customFormat="false" ht="12.8" hidden="false" customHeight="false" outlineLevel="0" collapsed="false">
      <c r="B11517" s="0" t="s">
        <v>4673</v>
      </c>
      <c r="C11517" s="0" t="s">
        <v>4674</v>
      </c>
    </row>
    <row r="11518" customFormat="false" ht="12.8" hidden="false" customHeight="false" outlineLevel="0" collapsed="false">
      <c r="B11518" s="0" t="s">
        <v>122</v>
      </c>
    </row>
    <row r="11520" customFormat="false" ht="12.8" hidden="false" customHeight="false" outlineLevel="0" collapsed="false">
      <c r="A11520" s="0" t="s">
        <v>4672</v>
      </c>
      <c r="B11520" s="0" t="str">
        <f aca="false">HYPERLINK("https://lindat.mff.cuni.cz/services/teitok/pdtc10/index.php?action=vallex&amp;frame=v-w1387f4", "klást (v-w1387f4) - substituted with v-w1387hsa_549")</f>
        <v>klást (v-w1387f4) - substituted with v-w1387hsa_549</v>
      </c>
    </row>
    <row r="11521" customFormat="false" ht="12.8" hidden="false" customHeight="false" outlineLevel="0" collapsed="false">
      <c r="B11521" s="0" t="s">
        <v>7</v>
      </c>
      <c r="C11521" s="0" t="s">
        <v>3028</v>
      </c>
    </row>
    <row r="11522" customFormat="false" ht="12.8" hidden="false" customHeight="false" outlineLevel="0" collapsed="false">
      <c r="B11522" s="0" t="s">
        <v>4673</v>
      </c>
      <c r="C11522" s="0" t="s">
        <v>3029</v>
      </c>
    </row>
    <row r="11523" customFormat="false" ht="12.8" hidden="false" customHeight="false" outlineLevel="0" collapsed="false">
      <c r="B11523" s="0" t="s">
        <v>122</v>
      </c>
    </row>
    <row r="11525" customFormat="false" ht="12.8" hidden="false" customHeight="false" outlineLevel="0" collapsed="false">
      <c r="A11525" s="0" t="s">
        <v>4675</v>
      </c>
      <c r="B11525" s="0" t="str">
        <f aca="false">HYPERLINK("https://lindat.mff.cuni.cz/services/teitok/pdtc10/index.php?action=vallex&amp;frame=v-w1387f2", "klást (v-w1387f2)")</f>
        <v>klást (v-w1387f2)</v>
      </c>
    </row>
    <row r="11526" customFormat="false" ht="12.8" hidden="false" customHeight="false" outlineLevel="0" collapsed="false">
      <c r="B11526" s="0" t="s">
        <v>7</v>
      </c>
      <c r="C11526" s="0" t="s">
        <v>4676</v>
      </c>
      <c r="D11526" s="0" t="s">
        <v>4677</v>
      </c>
      <c r="E11526" s="0" t="s">
        <v>4677</v>
      </c>
      <c r="F11526" s="0" t="s">
        <v>4677</v>
      </c>
    </row>
    <row r="11527" customFormat="false" ht="12.8" hidden="false" customHeight="false" outlineLevel="0" collapsed="false">
      <c r="B11527" s="0" t="s">
        <v>3063</v>
      </c>
      <c r="C11527" s="0" t="s">
        <v>4678</v>
      </c>
      <c r="D11527" s="0" t="s">
        <v>4679</v>
      </c>
      <c r="E11527" s="0" t="s">
        <v>4679</v>
      </c>
      <c r="F11527" s="0" t="s">
        <v>4679</v>
      </c>
    </row>
    <row r="11529" customFormat="false" ht="12.8" hidden="false" customHeight="false" outlineLevel="0" collapsed="false">
      <c r="A11529" s="0" t="s">
        <v>4680</v>
      </c>
      <c r="B11529" s="0" t="str">
        <f aca="false">HYPERLINK("https://lindat.mff.cuni.cz/services/teitok/pdtc10/index.php?action=vallex&amp;frame=v-w1387hsa_547", "klást (v-w1387hsa_547)")</f>
        <v>klást (v-w1387hsa_547)</v>
      </c>
    </row>
    <row r="11530" customFormat="false" ht="12.8" hidden="false" customHeight="false" outlineLevel="0" collapsed="false">
      <c r="B11530" s="0" t="s">
        <v>7</v>
      </c>
      <c r="C11530" s="0" t="s">
        <v>191</v>
      </c>
    </row>
    <row r="11531" customFormat="false" ht="12.8" hidden="false" customHeight="false" outlineLevel="0" collapsed="false">
      <c r="B11531" s="0" t="s">
        <v>14</v>
      </c>
    </row>
    <row r="11532" customFormat="false" ht="12.8" hidden="false" customHeight="false" outlineLevel="0" collapsed="false">
      <c r="B11532" s="0" t="s">
        <v>124</v>
      </c>
      <c r="C11532" s="0" t="s">
        <v>4681</v>
      </c>
    </row>
    <row r="11534" customFormat="false" ht="12.8" hidden="false" customHeight="false" outlineLevel="0" collapsed="false">
      <c r="A11534" s="0" t="s">
        <v>4682</v>
      </c>
      <c r="B11534" s="0" t="str">
        <f aca="false">HYPERLINK("https://lindat.mff.cuni.cz/services/teitok/pdtc10/index.php?action=vallex&amp;frame=v-w1387f10_ZU", "klást (v-w1387f10_ZU)")</f>
        <v>klást (v-w1387f10_ZU)</v>
      </c>
    </row>
    <row r="11535" customFormat="false" ht="12.8" hidden="false" customHeight="false" outlineLevel="0" collapsed="false">
      <c r="B11535" s="0" t="s">
        <v>7</v>
      </c>
    </row>
    <row r="11536" customFormat="false" ht="12.8" hidden="false" customHeight="false" outlineLevel="0" collapsed="false">
      <c r="B11536" s="0" t="s">
        <v>4683</v>
      </c>
    </row>
    <row r="11537" customFormat="false" ht="12.8" hidden="false" customHeight="false" outlineLevel="0" collapsed="false">
      <c r="B11537" s="0" t="s">
        <v>124</v>
      </c>
    </row>
    <row r="11539" customFormat="false" ht="12.8" hidden="false" customHeight="false" outlineLevel="0" collapsed="false">
      <c r="A11539" s="0" t="s">
        <v>4682</v>
      </c>
      <c r="B11539" s="0" t="str">
        <f aca="false">HYPERLINK("https://lindat.mff.cuni.cz/services/teitok/pdtc10/index.php?action=vallex&amp;frame=v-w1387hsa_548", "klást (v-w1387hsa_548) - substituted with v-w1387f10_ZU")</f>
        <v>klást (v-w1387hsa_548) - substituted with v-w1387f10_ZU</v>
      </c>
    </row>
    <row r="11540" customFormat="false" ht="12.8" hidden="false" customHeight="false" outlineLevel="0" collapsed="false">
      <c r="B11540" s="0" t="s">
        <v>7</v>
      </c>
    </row>
    <row r="11541" customFormat="false" ht="12.8" hidden="false" customHeight="false" outlineLevel="0" collapsed="false">
      <c r="B11541" s="0" t="s">
        <v>4683</v>
      </c>
    </row>
    <row r="11542" customFormat="false" ht="12.8" hidden="false" customHeight="false" outlineLevel="0" collapsed="false">
      <c r="B11542" s="0" t="s">
        <v>124</v>
      </c>
    </row>
    <row r="11544" customFormat="false" ht="12.8" hidden="false" customHeight="false" outlineLevel="0" collapsed="false">
      <c r="A11544" s="0" t="s">
        <v>4684</v>
      </c>
      <c r="B11544" s="0" t="str">
        <f aca="false">HYPERLINK("https://lindat.mff.cuni.cz/services/teitok/pdtc10/index.php?action=vallex&amp;frame=v-w1387f11_ZU", "klást (v-w1387f11_ZU)")</f>
        <v>klást (v-w1387f11_ZU)</v>
      </c>
    </row>
    <row r="11545" customFormat="false" ht="12.8" hidden="false" customHeight="false" outlineLevel="0" collapsed="false">
      <c r="B11545" s="0" t="s">
        <v>7</v>
      </c>
    </row>
    <row r="11546" customFormat="false" ht="12.8" hidden="false" customHeight="false" outlineLevel="0" collapsed="false">
      <c r="B11546" s="0" t="s">
        <v>4685</v>
      </c>
    </row>
    <row r="11547" customFormat="false" ht="12.8" hidden="false" customHeight="false" outlineLevel="0" collapsed="false">
      <c r="B11547" s="0" t="s">
        <v>54</v>
      </c>
    </row>
    <row r="11549" customFormat="false" ht="12.8" hidden="false" customHeight="false" outlineLevel="0" collapsed="false">
      <c r="A11549" s="0" t="s">
        <v>4686</v>
      </c>
      <c r="B11549" s="0" t="str">
        <f aca="false">HYPERLINK("https://lindat.mff.cuni.cz/services/teitok/pdtc10/index.php?action=vallex&amp;frame=v-w1388f1", "klást se (v-w1388f1)")</f>
        <v>klást se (v-w1388f1)</v>
      </c>
    </row>
    <row r="11550" customFormat="false" ht="12.8" hidden="false" customHeight="false" outlineLevel="0" collapsed="false">
      <c r="B11550" s="0" t="s">
        <v>7</v>
      </c>
    </row>
    <row r="11552" customFormat="false" ht="12.8" hidden="false" customHeight="false" outlineLevel="0" collapsed="false">
      <c r="A11552" s="0" t="s">
        <v>4687</v>
      </c>
      <c r="B11552" s="0" t="str">
        <f aca="false">HYPERLINK("https://lindat.mff.cuni.cz/services/teitok/pdtc10/index.php?action=vallex&amp;frame=v-w10591f2", "klátit (v-w10591f2)")</f>
        <v>klátit (v-w10591f2)</v>
      </c>
    </row>
    <row r="11553" customFormat="false" ht="12.8" hidden="false" customHeight="false" outlineLevel="0" collapsed="false">
      <c r="B11553" s="0" t="s">
        <v>7</v>
      </c>
    </row>
    <row r="11554" customFormat="false" ht="12.8" hidden="false" customHeight="false" outlineLevel="0" collapsed="false">
      <c r="B11554" s="0" t="s">
        <v>3760</v>
      </c>
    </row>
    <row r="11556" customFormat="false" ht="12.8" hidden="false" customHeight="false" outlineLevel="0" collapsed="false">
      <c r="A11556" s="0" t="s">
        <v>4688</v>
      </c>
      <c r="B11556" s="0" t="str">
        <f aca="false">HYPERLINK("https://lindat.mff.cuni.cz/services/teitok/pdtc10/index.php?action=vallex&amp;frame=v-w10591f3_ZU", "klátit (v-w10591f3_ZU)")</f>
        <v>klátit (v-w10591f3_ZU)</v>
      </c>
    </row>
    <row r="11557" customFormat="false" ht="12.8" hidden="false" customHeight="false" outlineLevel="0" collapsed="false">
      <c r="B11557" s="0" t="s">
        <v>7</v>
      </c>
    </row>
    <row r="11558" customFormat="false" ht="12.8" hidden="false" customHeight="false" outlineLevel="0" collapsed="false">
      <c r="B11558" s="0" t="s">
        <v>14</v>
      </c>
      <c r="C11558" s="0" t="s">
        <v>47</v>
      </c>
    </row>
    <row r="11560" customFormat="false" ht="12.8" hidden="false" customHeight="false" outlineLevel="0" collapsed="false">
      <c r="A11560" s="0" t="s">
        <v>4689</v>
      </c>
      <c r="B11560" s="0" t="str">
        <f aca="false">HYPERLINK("https://lindat.mff.cuni.cz/services/teitok/pdtc10/index.php?action=vallex&amp;frame=v-w10967f2", "klít (v-w10967f2)")</f>
        <v>klít (v-w10967f2)</v>
      </c>
    </row>
    <row r="11561" customFormat="false" ht="12.8" hidden="false" customHeight="false" outlineLevel="0" collapsed="false">
      <c r="B11561" s="0" t="s">
        <v>7</v>
      </c>
    </row>
    <row r="11562" customFormat="false" ht="12.8" hidden="false" customHeight="false" outlineLevel="0" collapsed="false">
      <c r="B11562" s="0" t="s">
        <v>4690</v>
      </c>
    </row>
    <row r="11564" customFormat="false" ht="12.8" hidden="false" customHeight="false" outlineLevel="0" collapsed="false">
      <c r="A11564" s="0" t="s">
        <v>4691</v>
      </c>
      <c r="B11564" s="0" t="str">
        <f aca="false">HYPERLINK("https://lindat.mff.cuni.cz/services/teitok/pdtc10/index.php?action=vallex&amp;frame=v-w10411f2", "kmitat (v-w10411f2)")</f>
        <v>kmitat (v-w10411f2)</v>
      </c>
    </row>
    <row r="11565" customFormat="false" ht="12.8" hidden="false" customHeight="false" outlineLevel="0" collapsed="false">
      <c r="B11565" s="0" t="s">
        <v>7</v>
      </c>
      <c r="F11565" s="0" t="s">
        <v>3768</v>
      </c>
    </row>
    <row r="11567" customFormat="false" ht="12.8" hidden="false" customHeight="false" outlineLevel="0" collapsed="false">
      <c r="A11567" s="0" t="s">
        <v>4692</v>
      </c>
      <c r="B11567" s="0" t="str">
        <f aca="false">HYPERLINK("https://lindat.mff.cuni.cz/services/teitok/pdtc10/index.php?action=vallex&amp;frame=v-w10734f2", "knokautovat (v-w10734f2)")</f>
        <v>knokautovat (v-w10734f2)</v>
      </c>
    </row>
    <row r="11568" customFormat="false" ht="12.8" hidden="false" customHeight="false" outlineLevel="0" collapsed="false">
      <c r="B11568" s="0" t="s">
        <v>7</v>
      </c>
      <c r="D11568" s="0" t="s">
        <v>335</v>
      </c>
      <c r="E11568" s="0" t="s">
        <v>31</v>
      </c>
      <c r="F11568" s="0" t="s">
        <v>31</v>
      </c>
    </row>
    <row r="11569" customFormat="false" ht="12.8" hidden="false" customHeight="false" outlineLevel="0" collapsed="false">
      <c r="B11569" s="0" t="s">
        <v>14</v>
      </c>
      <c r="C11569" s="0" t="s">
        <v>47</v>
      </c>
      <c r="D11569" s="0" t="s">
        <v>1209</v>
      </c>
      <c r="E11569" s="0" t="s">
        <v>1289</v>
      </c>
      <c r="F11569" s="0" t="s">
        <v>1289</v>
      </c>
    </row>
    <row r="11571" customFormat="false" ht="12.8" hidden="false" customHeight="false" outlineLevel="0" collapsed="false">
      <c r="A11571" s="0" t="s">
        <v>4693</v>
      </c>
      <c r="B11571" s="0" t="str">
        <f aca="false">HYPERLINK("https://lindat.mff.cuni.cz/services/teitok/pdtc10/index.php?action=vallex&amp;frame=v-w1417f1", "kochat se (v-w1417f1)")</f>
        <v>kochat se (v-w1417f1)</v>
      </c>
    </row>
    <row r="11572" customFormat="false" ht="12.8" hidden="false" customHeight="false" outlineLevel="0" collapsed="false">
      <c r="B11572" s="0" t="s">
        <v>7</v>
      </c>
    </row>
    <row r="11573" customFormat="false" ht="12.8" hidden="false" customHeight="false" outlineLevel="0" collapsed="false">
      <c r="B11573" s="0" t="s">
        <v>216</v>
      </c>
    </row>
    <row r="11575" customFormat="false" ht="12.8" hidden="false" customHeight="false" outlineLevel="0" collapsed="false">
      <c r="A11575" s="0" t="s">
        <v>4694</v>
      </c>
      <c r="B11575" s="0" t="str">
        <f aca="false">HYPERLINK("https://lindat.mff.cuni.cz/services/teitok/pdtc10/index.php?action=vallex&amp;frame=v-w1414f1", "kodifikovat (v-w1414f1)")</f>
        <v>kodifikovat (v-w1414f1)</v>
      </c>
    </row>
    <row r="11576" customFormat="false" ht="12.8" hidden="false" customHeight="false" outlineLevel="0" collapsed="false">
      <c r="B11576" s="0" t="s">
        <v>7</v>
      </c>
      <c r="D11576" s="0" t="s">
        <v>4695</v>
      </c>
      <c r="E11576" s="0" t="s">
        <v>4695</v>
      </c>
      <c r="F11576" s="0" t="s">
        <v>4695</v>
      </c>
    </row>
    <row r="11577" customFormat="false" ht="12.8" hidden="false" customHeight="false" outlineLevel="0" collapsed="false">
      <c r="B11577" s="0" t="s">
        <v>1520</v>
      </c>
      <c r="C11577" s="0" t="s">
        <v>155</v>
      </c>
      <c r="D11577" s="0" t="s">
        <v>413</v>
      </c>
      <c r="E11577" s="0" t="s">
        <v>413</v>
      </c>
      <c r="F11577" s="0" t="s">
        <v>413</v>
      </c>
    </row>
    <row r="11579" customFormat="false" ht="12.8" hidden="false" customHeight="false" outlineLevel="0" collapsed="false">
      <c r="A11579" s="0" t="s">
        <v>4696</v>
      </c>
      <c r="B11579" s="0" t="str">
        <f aca="false">HYPERLINK("https://lindat.mff.cuni.cz/services/teitok/pdtc10/index.php?action=vallex&amp;frame=v-w10580f2", "kodrcat (v-w10580f2)")</f>
        <v>kodrcat (v-w10580f2)</v>
      </c>
    </row>
    <row r="11580" customFormat="false" ht="12.8" hidden="false" customHeight="false" outlineLevel="0" collapsed="false">
      <c r="B11580" s="0" t="s">
        <v>7</v>
      </c>
      <c r="C11580" s="0" t="s">
        <v>184</v>
      </c>
    </row>
    <row r="11582" customFormat="false" ht="12.8" hidden="false" customHeight="false" outlineLevel="0" collapsed="false">
      <c r="A11582" s="0" t="s">
        <v>4697</v>
      </c>
      <c r="B11582" s="0" t="str">
        <f aca="false">HYPERLINK("https://lindat.mff.cuni.cz/services/teitok/pdtc10/index.php?action=vallex&amp;frame=v-w10780f2", "koexistovat (v-w10780f2)")</f>
        <v>koexistovat (v-w10780f2)</v>
      </c>
    </row>
    <row r="11583" customFormat="false" ht="12.8" hidden="false" customHeight="false" outlineLevel="0" collapsed="false">
      <c r="B11583" s="0" t="s">
        <v>7</v>
      </c>
    </row>
    <row r="11584" customFormat="false" ht="12.8" hidden="false" customHeight="false" outlineLevel="0" collapsed="false">
      <c r="B11584" s="0" t="s">
        <v>548</v>
      </c>
    </row>
    <row r="11586" customFormat="false" ht="12.8" hidden="false" customHeight="false" outlineLevel="0" collapsed="false">
      <c r="A11586" s="0" t="s">
        <v>4698</v>
      </c>
      <c r="B11586" s="0" t="str">
        <f aca="false">HYPERLINK("https://lindat.mff.cuni.cz/services/teitok/pdtc10/index.php?action=vallex&amp;frame=v-w1418f1", "kojit (v-w1418f1)")</f>
        <v>kojit (v-w1418f1)</v>
      </c>
    </row>
    <row r="11587" customFormat="false" ht="12.8" hidden="false" customHeight="false" outlineLevel="0" collapsed="false">
      <c r="B11587" s="0" t="s">
        <v>7</v>
      </c>
    </row>
    <row r="11588" customFormat="false" ht="12.8" hidden="false" customHeight="false" outlineLevel="0" collapsed="false">
      <c r="B11588" s="0" t="s">
        <v>14</v>
      </c>
    </row>
    <row r="11590" customFormat="false" ht="12.8" hidden="false" customHeight="false" outlineLevel="0" collapsed="false">
      <c r="A11590" s="0" t="s">
        <v>4699</v>
      </c>
      <c r="B11590" s="0" t="str">
        <f aca="false">HYPERLINK("https://lindat.mff.cuni.cz/services/teitok/pdtc10/index.php?action=vallex&amp;frame=v-w1420f1", "koketovat (v-w1420f1)")</f>
        <v>koketovat (v-w1420f1)</v>
      </c>
    </row>
    <row r="11591" customFormat="false" ht="12.8" hidden="false" customHeight="false" outlineLevel="0" collapsed="false">
      <c r="B11591" s="0" t="s">
        <v>7</v>
      </c>
      <c r="C11591" s="0" t="s">
        <v>113</v>
      </c>
      <c r="D11591" s="0" t="s">
        <v>31</v>
      </c>
      <c r="E11591" s="0" t="s">
        <v>31</v>
      </c>
      <c r="F11591" s="0" t="s">
        <v>31</v>
      </c>
    </row>
    <row r="11592" customFormat="false" ht="12.8" hidden="false" customHeight="false" outlineLevel="0" collapsed="false">
      <c r="B11592" s="0" t="s">
        <v>2871</v>
      </c>
      <c r="C11592" s="0" t="s">
        <v>33</v>
      </c>
      <c r="D11592" s="0" t="s">
        <v>33</v>
      </c>
      <c r="E11592" s="0" t="s">
        <v>33</v>
      </c>
      <c r="F11592" s="0" t="s">
        <v>33</v>
      </c>
    </row>
    <row r="11594" customFormat="false" ht="12.8" hidden="false" customHeight="false" outlineLevel="0" collapsed="false">
      <c r="A11594" s="0" t="s">
        <v>4700</v>
      </c>
      <c r="B11594" s="0" t="str">
        <f aca="false">HYPERLINK("https://lindat.mff.cuni.cz/services/teitok/pdtc10/index.php?action=vallex&amp;frame=v-w12101_ZUf1_ZU", "koktat (v-w12101_ZUf1_ZU)")</f>
        <v>koktat (v-w12101_ZUf1_ZU)</v>
      </c>
    </row>
    <row r="11595" customFormat="false" ht="12.8" hidden="false" customHeight="false" outlineLevel="0" collapsed="false">
      <c r="B11595" s="0" t="s">
        <v>7</v>
      </c>
    </row>
    <row r="11597" customFormat="false" ht="12.8" hidden="false" customHeight="false" outlineLevel="0" collapsed="false">
      <c r="A11597" s="0" t="s">
        <v>4701</v>
      </c>
      <c r="B11597" s="0" t="str">
        <f aca="false">HYPERLINK("https://lindat.mff.cuni.cz/services/teitok/pdtc10/index.php?action=vallex&amp;frame=v-w10664f2", "kolaborovat (v-w10664f2)")</f>
        <v>kolaborovat (v-w10664f2)</v>
      </c>
    </row>
    <row r="11598" customFormat="false" ht="12.8" hidden="false" customHeight="false" outlineLevel="0" collapsed="false">
      <c r="B11598" s="0" t="s">
        <v>7</v>
      </c>
      <c r="C11598" s="0" t="s">
        <v>460</v>
      </c>
      <c r="D11598" s="0" t="s">
        <v>4702</v>
      </c>
      <c r="E11598" s="0" t="s">
        <v>4702</v>
      </c>
      <c r="F11598" s="0" t="s">
        <v>4702</v>
      </c>
    </row>
    <row r="11599" customFormat="false" ht="12.8" hidden="false" customHeight="false" outlineLevel="0" collapsed="false">
      <c r="B11599" s="0" t="s">
        <v>4703</v>
      </c>
      <c r="D11599" s="0" t="s">
        <v>4704</v>
      </c>
      <c r="E11599" s="0" t="s">
        <v>4704</v>
      </c>
      <c r="F11599" s="0" t="s">
        <v>4704</v>
      </c>
    </row>
    <row r="11600" customFormat="false" ht="12.8" hidden="false" customHeight="false" outlineLevel="0" collapsed="false">
      <c r="B11600" s="0" t="s">
        <v>4705</v>
      </c>
      <c r="C11600" s="0" t="s">
        <v>4706</v>
      </c>
      <c r="D11600" s="0" t="s">
        <v>4707</v>
      </c>
      <c r="E11600" s="0" t="s">
        <v>4707</v>
      </c>
      <c r="F11600" s="0" t="s">
        <v>4707</v>
      </c>
    </row>
    <row r="11602" customFormat="false" ht="12.8" hidden="false" customHeight="false" outlineLevel="0" collapsed="false">
      <c r="A11602" s="0" t="s">
        <v>4708</v>
      </c>
      <c r="B11602" s="0" t="str">
        <f aca="false">HYPERLINK("https://lindat.mff.cuni.cz/services/teitok/pdtc10/index.php?action=vallex&amp;frame=v-whsa_1628hsa_1629", "koledovat (v-whsa_1628hsa_1629)")</f>
        <v>koledovat (v-whsa_1628hsa_1629)</v>
      </c>
    </row>
    <row r="11603" customFormat="false" ht="12.8" hidden="false" customHeight="false" outlineLevel="0" collapsed="false">
      <c r="B11603" s="0" t="s">
        <v>7</v>
      </c>
    </row>
    <row r="11605" customFormat="false" ht="12.8" hidden="false" customHeight="false" outlineLevel="0" collapsed="false">
      <c r="A11605" s="0" t="s">
        <v>4709</v>
      </c>
      <c r="B11605" s="0" t="str">
        <f aca="false">HYPERLINK("https://lindat.mff.cuni.cz/services/teitok/pdtc10/index.php?action=vallex&amp;frame=v-w1429f1", "kolidovat (v-w1429f1)")</f>
        <v>kolidovat (v-w1429f1)</v>
      </c>
    </row>
    <row r="11606" customFormat="false" ht="12.8" hidden="false" customHeight="false" outlineLevel="0" collapsed="false">
      <c r="B11606" s="0" t="s">
        <v>7</v>
      </c>
    </row>
    <row r="11607" customFormat="false" ht="12.8" hidden="false" customHeight="false" outlineLevel="0" collapsed="false">
      <c r="B11607" s="0" t="s">
        <v>548</v>
      </c>
    </row>
    <row r="11609" customFormat="false" ht="12.8" hidden="false" customHeight="false" outlineLevel="0" collapsed="false">
      <c r="A11609" s="0" t="s">
        <v>4710</v>
      </c>
      <c r="B11609" s="0" t="str">
        <f aca="false">HYPERLINK("https://lindat.mff.cuni.cz/services/teitok/pdtc10/index.php?action=vallex&amp;frame=v-w11856_ZUf1_ZU", "kolorovat (v-w11856_ZUf1_ZU)")</f>
        <v>kolorovat (v-w11856_ZUf1_ZU)</v>
      </c>
    </row>
    <row r="11610" customFormat="false" ht="12.8" hidden="false" customHeight="false" outlineLevel="0" collapsed="false">
      <c r="B11610" s="0" t="s">
        <v>7</v>
      </c>
    </row>
    <row r="11611" customFormat="false" ht="12.8" hidden="false" customHeight="false" outlineLevel="0" collapsed="false">
      <c r="B11611" s="0" t="s">
        <v>14</v>
      </c>
    </row>
    <row r="11613" customFormat="false" ht="12.8" hidden="false" customHeight="false" outlineLevel="0" collapsed="false">
      <c r="A11613" s="0" t="s">
        <v>4711</v>
      </c>
      <c r="B11613" s="0" t="str">
        <f aca="false">HYPERLINK("https://lindat.mff.cuni.cz/services/teitok/pdtc10/index.php?action=vallex&amp;frame=v-w1435f1", "kolovat (v-w1435f1)")</f>
        <v>kolovat (v-w1435f1)</v>
      </c>
    </row>
    <row r="11614" customFormat="false" ht="12.8" hidden="false" customHeight="false" outlineLevel="0" collapsed="false">
      <c r="B11614" s="0" t="s">
        <v>7</v>
      </c>
      <c r="C11614" s="0" t="s">
        <v>4712</v>
      </c>
      <c r="D11614" s="0" t="s">
        <v>776</v>
      </c>
      <c r="E11614" s="0" t="s">
        <v>776</v>
      </c>
      <c r="F11614" s="0" t="s">
        <v>776</v>
      </c>
    </row>
    <row r="11616" customFormat="false" ht="12.8" hidden="false" customHeight="false" outlineLevel="0" collapsed="false">
      <c r="A11616" s="0" t="s">
        <v>4713</v>
      </c>
      <c r="B11616" s="0" t="str">
        <f aca="false">HYPERLINK("https://lindat.mff.cuni.cz/services/teitok/pdtc10/index.php?action=vallex&amp;frame=v-w11239f1", "kolébat se (v-w11239f1)")</f>
        <v>kolébat se (v-w11239f1)</v>
      </c>
    </row>
    <row r="11617" customFormat="false" ht="12.8" hidden="false" customHeight="false" outlineLevel="0" collapsed="false">
      <c r="B11617" s="0" t="s">
        <v>7</v>
      </c>
      <c r="D11617" s="0" t="s">
        <v>4431</v>
      </c>
      <c r="E11617" s="0" t="s">
        <v>4431</v>
      </c>
      <c r="F11617" s="0" t="s">
        <v>4431</v>
      </c>
    </row>
    <row r="11619" customFormat="false" ht="12.8" hidden="false" customHeight="false" outlineLevel="0" collapsed="false">
      <c r="A11619" s="0" t="s">
        <v>4714</v>
      </c>
      <c r="B11619" s="0" t="str">
        <f aca="false">HYPERLINK("https://lindat.mff.cuni.cz/services/teitok/pdtc10/index.php?action=vallex&amp;frame=v-w1428f1", "kolíbat (v-w1428f1)")</f>
        <v>kolíbat (v-w1428f1)</v>
      </c>
    </row>
    <row r="11620" customFormat="false" ht="12.8" hidden="false" customHeight="false" outlineLevel="0" collapsed="false">
      <c r="B11620" s="0" t="s">
        <v>7</v>
      </c>
    </row>
    <row r="11621" customFormat="false" ht="12.8" hidden="false" customHeight="false" outlineLevel="0" collapsed="false">
      <c r="B11621" s="0" t="s">
        <v>14</v>
      </c>
    </row>
    <row r="11623" customFormat="false" ht="12.8" hidden="false" customHeight="false" outlineLevel="0" collapsed="false">
      <c r="A11623" s="0" t="s">
        <v>4715</v>
      </c>
      <c r="B11623" s="0" t="str">
        <f aca="false">HYPERLINK("https://lindat.mff.cuni.cz/services/teitok/pdtc10/index.php?action=vallex&amp;frame=v-w1430f1", "kolísat (v-w1430f1)")</f>
        <v>kolísat (v-w1430f1)</v>
      </c>
    </row>
    <row r="11624" customFormat="false" ht="12.8" hidden="false" customHeight="false" outlineLevel="0" collapsed="false">
      <c r="B11624" s="0" t="s">
        <v>7</v>
      </c>
      <c r="C11624" s="0" t="s">
        <v>4716</v>
      </c>
      <c r="D11624" s="0" t="s">
        <v>3954</v>
      </c>
      <c r="E11624" s="0" t="s">
        <v>3954</v>
      </c>
      <c r="F11624" s="0" t="s">
        <v>3954</v>
      </c>
    </row>
    <row r="11626" customFormat="false" ht="12.8" hidden="false" customHeight="false" outlineLevel="0" collapsed="false">
      <c r="A11626" s="0" t="s">
        <v>4717</v>
      </c>
      <c r="B11626" s="0" t="str">
        <f aca="false">HYPERLINK("https://lindat.mff.cuni.cz/services/teitok/pdtc10/index.php?action=vallex&amp;frame=v-w1430hsa_1800", "kolísat (v-w1430hsa_1800)")</f>
        <v>kolísat (v-w1430hsa_1800)</v>
      </c>
    </row>
    <row r="11627" customFormat="false" ht="12.8" hidden="false" customHeight="false" outlineLevel="0" collapsed="false">
      <c r="B11627" s="0" t="s">
        <v>7</v>
      </c>
    </row>
    <row r="11628" customFormat="false" ht="12.8" hidden="false" customHeight="false" outlineLevel="0" collapsed="false">
      <c r="B11628" s="0" t="s">
        <v>4718</v>
      </c>
    </row>
    <row r="11630" customFormat="false" ht="12.8" hidden="false" customHeight="false" outlineLevel="0" collapsed="false">
      <c r="A11630" s="0" t="s">
        <v>4719</v>
      </c>
      <c r="B11630" s="0" t="str">
        <f aca="false">HYPERLINK("https://lindat.mff.cuni.cz/services/teitok/pdtc10/index.php?action=vallex&amp;frame=v-whsa_499hsa_500", "komandovat (v-whsa_499hsa_500)")</f>
        <v>komandovat (v-whsa_499hsa_500)</v>
      </c>
    </row>
    <row r="11631" customFormat="false" ht="12.8" hidden="false" customHeight="false" outlineLevel="0" collapsed="false">
      <c r="B11631" s="0" t="s">
        <v>7</v>
      </c>
    </row>
    <row r="11632" customFormat="false" ht="12.8" hidden="false" customHeight="false" outlineLevel="0" collapsed="false">
      <c r="B11632" s="0" t="s">
        <v>14</v>
      </c>
    </row>
    <row r="11634" customFormat="false" ht="12.8" hidden="false" customHeight="false" outlineLevel="0" collapsed="false">
      <c r="A11634" s="0" t="s">
        <v>4720</v>
      </c>
      <c r="B11634" s="0" t="str">
        <f aca="false">HYPERLINK("https://lindat.mff.cuni.cz/services/teitok/pdtc10/index.php?action=vallex&amp;frame=v-w1437f1", "kombinovat (v-w1437f1)")</f>
        <v>kombinovat (v-w1437f1)</v>
      </c>
    </row>
    <row r="11635" customFormat="false" ht="12.8" hidden="false" customHeight="false" outlineLevel="0" collapsed="false">
      <c r="B11635" s="0" t="s">
        <v>7</v>
      </c>
      <c r="C11635" s="0" t="s">
        <v>157</v>
      </c>
      <c r="D11635" s="0" t="s">
        <v>4721</v>
      </c>
      <c r="E11635" s="0" t="s">
        <v>4721</v>
      </c>
      <c r="F11635" s="0" t="s">
        <v>4721</v>
      </c>
    </row>
    <row r="11636" customFormat="false" ht="12.8" hidden="false" customHeight="false" outlineLevel="0" collapsed="false">
      <c r="B11636" s="0" t="s">
        <v>14</v>
      </c>
      <c r="C11636" s="0" t="s">
        <v>4722</v>
      </c>
      <c r="D11636" s="0" t="s">
        <v>4723</v>
      </c>
      <c r="E11636" s="0" t="s">
        <v>4723</v>
      </c>
      <c r="F11636" s="0" t="s">
        <v>4723</v>
      </c>
    </row>
    <row r="11637" customFormat="false" ht="12.8" hidden="false" customHeight="false" outlineLevel="0" collapsed="false">
      <c r="B11637" s="0" t="s">
        <v>3086</v>
      </c>
      <c r="C11637" s="0" t="s">
        <v>4724</v>
      </c>
      <c r="D11637" s="0" t="s">
        <v>4725</v>
      </c>
      <c r="E11637" s="0" t="s">
        <v>4725</v>
      </c>
      <c r="F11637" s="0" t="s">
        <v>4725</v>
      </c>
    </row>
    <row r="11639" customFormat="false" ht="12.8" hidden="false" customHeight="false" outlineLevel="0" collapsed="false">
      <c r="A11639" s="0" t="s">
        <v>4726</v>
      </c>
      <c r="B11639" s="0" t="str">
        <f aca="false">HYPERLINK("https://lindat.mff.cuni.cz/services/teitok/pdtc10/index.php?action=vallex&amp;frame=v-w1443hsa_395", "komentovat (v-w1443hsa_395)")</f>
        <v>komentovat (v-w1443hsa_395)</v>
      </c>
    </row>
    <row r="11640" customFormat="false" ht="12.8" hidden="false" customHeight="false" outlineLevel="0" collapsed="false">
      <c r="B11640" s="0" t="s">
        <v>7</v>
      </c>
      <c r="C11640" s="0" t="s">
        <v>3028</v>
      </c>
      <c r="D11640" s="0" t="s">
        <v>2668</v>
      </c>
      <c r="E11640" s="0" t="s">
        <v>2668</v>
      </c>
      <c r="F11640" s="0" t="s">
        <v>2668</v>
      </c>
    </row>
    <row r="11641" customFormat="false" ht="12.8" hidden="false" customHeight="false" outlineLevel="0" collapsed="false">
      <c r="B11641" s="0" t="s">
        <v>4727</v>
      </c>
      <c r="C11641" s="0" t="s">
        <v>469</v>
      </c>
      <c r="D11641" s="0" t="s">
        <v>469</v>
      </c>
      <c r="E11641" s="0" t="s">
        <v>469</v>
      </c>
      <c r="F11641" s="0" t="s">
        <v>469</v>
      </c>
    </row>
    <row r="11643" customFormat="false" ht="12.8" hidden="false" customHeight="false" outlineLevel="0" collapsed="false">
      <c r="A11643" s="0" t="s">
        <v>4726</v>
      </c>
      <c r="B11643" s="0" t="str">
        <f aca="false">HYPERLINK("https://lindat.mff.cuni.cz/services/teitok/pdtc10/index.php?action=vallex&amp;frame=v-w1443f1", "komentovat (v-w1443f1) - substituted with v-w1443hsa_395")</f>
        <v>komentovat (v-w1443f1) - substituted with v-w1443hsa_395</v>
      </c>
    </row>
    <row r="11644" customFormat="false" ht="12.8" hidden="false" customHeight="false" outlineLevel="0" collapsed="false">
      <c r="B11644" s="0" t="s">
        <v>7</v>
      </c>
      <c r="C11644" s="0" t="s">
        <v>4728</v>
      </c>
    </row>
    <row r="11645" customFormat="false" ht="12.8" hidden="false" customHeight="false" outlineLevel="0" collapsed="false">
      <c r="B11645" s="0" t="s">
        <v>4727</v>
      </c>
      <c r="C11645" s="0" t="s">
        <v>4729</v>
      </c>
    </row>
    <row r="11647" customFormat="false" ht="12.8" hidden="false" customHeight="false" outlineLevel="0" collapsed="false">
      <c r="A11647" s="0" t="s">
        <v>4730</v>
      </c>
      <c r="B11647" s="0" t="str">
        <f aca="false">HYPERLINK("https://lindat.mff.cuni.cz/services/teitok/pdtc10/index.php?action=vallex&amp;frame=v-w1446f1", "komolit (v-w1446f1)")</f>
        <v>komolit (v-w1446f1)</v>
      </c>
    </row>
    <row r="11648" customFormat="false" ht="12.8" hidden="false" customHeight="false" outlineLevel="0" collapsed="false">
      <c r="B11648" s="0" t="s">
        <v>7</v>
      </c>
    </row>
    <row r="11649" customFormat="false" ht="12.8" hidden="false" customHeight="false" outlineLevel="0" collapsed="false">
      <c r="B11649" s="0" t="s">
        <v>54</v>
      </c>
    </row>
    <row r="11651" customFormat="false" ht="12.8" hidden="false" customHeight="false" outlineLevel="0" collapsed="false">
      <c r="A11651" s="0" t="s">
        <v>4731</v>
      </c>
      <c r="B11651" s="0" t="str">
        <f aca="false">HYPERLINK("https://lindat.mff.cuni.cz/services/teitok/pdtc10/index.php?action=vallex&amp;frame=v-w1451f1", "kompenzovat (v-w1451f1)")</f>
        <v>kompenzovat (v-w1451f1)</v>
      </c>
    </row>
    <row r="11652" customFormat="false" ht="12.8" hidden="false" customHeight="false" outlineLevel="0" collapsed="false">
      <c r="B11652" s="0" t="s">
        <v>7</v>
      </c>
      <c r="C11652" s="0" t="s">
        <v>4732</v>
      </c>
    </row>
    <row r="11653" customFormat="false" ht="12.8" hidden="false" customHeight="false" outlineLevel="0" collapsed="false">
      <c r="B11653" s="0" t="s">
        <v>14</v>
      </c>
      <c r="C11653" s="0" t="s">
        <v>4733</v>
      </c>
    </row>
    <row r="11654" customFormat="false" ht="12.8" hidden="false" customHeight="false" outlineLevel="0" collapsed="false">
      <c r="B11654" s="0" t="s">
        <v>106</v>
      </c>
    </row>
    <row r="11655" customFormat="false" ht="12.8" hidden="false" customHeight="false" outlineLevel="0" collapsed="false">
      <c r="B11655" s="0" t="s">
        <v>550</v>
      </c>
    </row>
    <row r="11657" customFormat="false" ht="12.8" hidden="false" customHeight="false" outlineLevel="0" collapsed="false">
      <c r="A11657" s="0" t="s">
        <v>4734</v>
      </c>
      <c r="B11657" s="0" t="str">
        <f aca="false">HYPERLINK("https://lindat.mff.cuni.cz/services/teitok/pdtc10/index.php?action=vallex&amp;frame=v-w1451f2", "kompenzovat (v-w1451f2)")</f>
        <v>kompenzovat (v-w1451f2)</v>
      </c>
    </row>
    <row r="11658" customFormat="false" ht="12.8" hidden="false" customHeight="false" outlineLevel="0" collapsed="false">
      <c r="B11658" s="0" t="s">
        <v>7</v>
      </c>
      <c r="C11658" s="0" t="s">
        <v>4735</v>
      </c>
      <c r="D11658" s="0" t="s">
        <v>4732</v>
      </c>
      <c r="E11658" s="0" t="s">
        <v>4732</v>
      </c>
      <c r="F11658" s="0" t="s">
        <v>4732</v>
      </c>
    </row>
    <row r="11659" customFormat="false" ht="12.8" hidden="false" customHeight="false" outlineLevel="0" collapsed="false">
      <c r="B11659" s="0" t="s">
        <v>14</v>
      </c>
      <c r="C11659" s="0" t="s">
        <v>4736</v>
      </c>
      <c r="D11659" s="0" t="s">
        <v>4737</v>
      </c>
      <c r="E11659" s="0" t="s">
        <v>4737</v>
      </c>
      <c r="F11659" s="0" t="s">
        <v>4737</v>
      </c>
    </row>
    <row r="11661" customFormat="false" ht="12.8" hidden="false" customHeight="false" outlineLevel="0" collapsed="false">
      <c r="A11661" s="0" t="s">
        <v>4738</v>
      </c>
      <c r="B11661" s="0" t="str">
        <f aca="false">HYPERLINK("https://lindat.mff.cuni.cz/services/teitok/pdtc10/index.php?action=vallex&amp;frame=v-w1457f1", "komplikovat (v-w1457f1)")</f>
        <v>komplikovat (v-w1457f1)</v>
      </c>
    </row>
    <row r="11662" customFormat="false" ht="12.8" hidden="false" customHeight="false" outlineLevel="0" collapsed="false">
      <c r="B11662" s="0" t="s">
        <v>7</v>
      </c>
      <c r="C11662" s="0" t="s">
        <v>1637</v>
      </c>
      <c r="D11662" s="0" t="s">
        <v>4739</v>
      </c>
      <c r="E11662" s="0" t="s">
        <v>4740</v>
      </c>
      <c r="F11662" s="0" t="s">
        <v>4740</v>
      </c>
    </row>
    <row r="11663" customFormat="false" ht="12.8" hidden="false" customHeight="false" outlineLevel="0" collapsed="false">
      <c r="B11663" s="0" t="s">
        <v>14</v>
      </c>
      <c r="C11663" s="0" t="s">
        <v>4569</v>
      </c>
      <c r="D11663" s="0" t="s">
        <v>4741</v>
      </c>
      <c r="E11663" s="0" t="s">
        <v>4742</v>
      </c>
      <c r="F11663" s="0" t="s">
        <v>4742</v>
      </c>
    </row>
    <row r="11665" customFormat="false" ht="12.8" hidden="false" customHeight="false" outlineLevel="0" collapsed="false">
      <c r="A11665" s="0" t="s">
        <v>4743</v>
      </c>
      <c r="B11665" s="0" t="str">
        <f aca="false">HYPERLINK("https://lindat.mff.cuni.cz/services/teitok/pdtc10/index.php?action=vallex&amp;frame=v-w1458f1", "komponovat (v-w1458f1)")</f>
        <v>komponovat (v-w1458f1)</v>
      </c>
    </row>
    <row r="11666" customFormat="false" ht="12.8" hidden="false" customHeight="false" outlineLevel="0" collapsed="false">
      <c r="B11666" s="0" t="s">
        <v>7</v>
      </c>
    </row>
    <row r="11667" customFormat="false" ht="12.8" hidden="false" customHeight="false" outlineLevel="0" collapsed="false">
      <c r="B11667" s="0" t="s">
        <v>14</v>
      </c>
    </row>
    <row r="11669" customFormat="false" ht="12.8" hidden="false" customHeight="false" outlineLevel="0" collapsed="false">
      <c r="A11669" s="0" t="s">
        <v>4744</v>
      </c>
      <c r="B11669" s="0" t="str">
        <f aca="false">HYPERLINK("https://lindat.mff.cuni.cz/services/teitok/pdtc10/index.php?action=vallex&amp;frame=v-w10175f2", "komputerizovat (v-w10175f2)")</f>
        <v>komputerizovat (v-w10175f2)</v>
      </c>
    </row>
    <row r="11670" customFormat="false" ht="12.8" hidden="false" customHeight="false" outlineLevel="0" collapsed="false">
      <c r="B11670" s="0" t="s">
        <v>7</v>
      </c>
    </row>
    <row r="11671" customFormat="false" ht="12.8" hidden="false" customHeight="false" outlineLevel="0" collapsed="false">
      <c r="B11671" s="0" t="s">
        <v>14</v>
      </c>
    </row>
    <row r="11673" customFormat="false" ht="12.8" hidden="false" customHeight="false" outlineLevel="0" collapsed="false">
      <c r="A11673" s="0" t="s">
        <v>4745</v>
      </c>
      <c r="B11673" s="0" t="str">
        <f aca="false">HYPERLINK("https://lindat.mff.cuni.cz/services/teitok/pdtc10/index.php?action=vallex&amp;frame=v-w1464f1", "komunikovat (v-w1464f1)")</f>
        <v>komunikovat (v-w1464f1)</v>
      </c>
    </row>
    <row r="11674" customFormat="false" ht="12.8" hidden="false" customHeight="false" outlineLevel="0" collapsed="false">
      <c r="B11674" s="0" t="s">
        <v>7</v>
      </c>
      <c r="C11674" s="0" t="s">
        <v>1456</v>
      </c>
      <c r="D11674" s="0" t="s">
        <v>209</v>
      </c>
      <c r="E11674" s="0" t="s">
        <v>209</v>
      </c>
      <c r="F11674" s="0" t="s">
        <v>209</v>
      </c>
    </row>
    <row r="11675" customFormat="false" ht="12.8" hidden="false" customHeight="false" outlineLevel="0" collapsed="false">
      <c r="B11675" s="0" t="s">
        <v>207</v>
      </c>
      <c r="C11675" s="0" t="s">
        <v>4746</v>
      </c>
      <c r="D11675" s="0" t="s">
        <v>213</v>
      </c>
      <c r="E11675" s="0" t="s">
        <v>213</v>
      </c>
      <c r="F11675" s="0" t="s">
        <v>213</v>
      </c>
    </row>
    <row r="11676" customFormat="false" ht="12.8" hidden="false" customHeight="false" outlineLevel="0" collapsed="false">
      <c r="B11676" s="0" t="s">
        <v>363</v>
      </c>
      <c r="C11676" s="0" t="s">
        <v>1313</v>
      </c>
      <c r="D11676" s="0" t="s">
        <v>211</v>
      </c>
      <c r="E11676" s="0" t="s">
        <v>211</v>
      </c>
      <c r="F11676" s="0" t="s">
        <v>211</v>
      </c>
    </row>
    <row r="11678" customFormat="false" ht="12.8" hidden="false" customHeight="false" outlineLevel="0" collapsed="false">
      <c r="A11678" s="0" t="s">
        <v>4747</v>
      </c>
      <c r="B11678" s="0" t="str">
        <f aca="false">HYPERLINK("https://lindat.mff.cuni.cz/services/teitok/pdtc10/index.php?action=vallex&amp;frame=v-w1467f2", "konat (v-w1467f2)")</f>
        <v>konat (v-w1467f2)</v>
      </c>
    </row>
    <row r="11679" customFormat="false" ht="12.8" hidden="false" customHeight="false" outlineLevel="0" collapsed="false">
      <c r="B11679" s="0" t="s">
        <v>7</v>
      </c>
      <c r="C11679" s="0" t="s">
        <v>465</v>
      </c>
      <c r="D11679" s="0" t="s">
        <v>4748</v>
      </c>
      <c r="E11679" s="0" t="s">
        <v>4748</v>
      </c>
      <c r="F11679" s="0" t="s">
        <v>4748</v>
      </c>
    </row>
    <row r="11680" customFormat="false" ht="12.8" hidden="false" customHeight="false" outlineLevel="0" collapsed="false">
      <c r="B11680" s="0" t="s">
        <v>3457</v>
      </c>
      <c r="D11680" s="0" t="s">
        <v>4749</v>
      </c>
      <c r="E11680" s="0" t="s">
        <v>4749</v>
      </c>
      <c r="F11680" s="0" t="s">
        <v>4749</v>
      </c>
    </row>
    <row r="11682" customFormat="false" ht="12.8" hidden="false" customHeight="false" outlineLevel="0" collapsed="false">
      <c r="A11682" s="0" t="s">
        <v>4750</v>
      </c>
      <c r="B11682" s="0" t="str">
        <f aca="false">HYPERLINK("https://lindat.mff.cuni.cz/services/teitok/pdtc10/index.php?action=vallex&amp;frame=v-w1467hsa_802", "konat (v-w1467hsa_802)")</f>
        <v>konat (v-w1467hsa_802)</v>
      </c>
    </row>
    <row r="11683" customFormat="false" ht="12.8" hidden="false" customHeight="false" outlineLevel="0" collapsed="false">
      <c r="B11683" s="0" t="s">
        <v>7</v>
      </c>
      <c r="C11683" s="0" t="s">
        <v>2431</v>
      </c>
      <c r="D11683" s="0" t="s">
        <v>4751</v>
      </c>
      <c r="E11683" s="0" t="s">
        <v>4751</v>
      </c>
      <c r="F11683" s="0" t="s">
        <v>4751</v>
      </c>
    </row>
    <row r="11684" customFormat="false" ht="12.8" hidden="false" customHeight="false" outlineLevel="0" collapsed="false">
      <c r="B11684" s="0" t="s">
        <v>4752</v>
      </c>
      <c r="C11684" s="0" t="s">
        <v>3475</v>
      </c>
      <c r="D11684" s="0" t="s">
        <v>4753</v>
      </c>
      <c r="E11684" s="0" t="s">
        <v>4753</v>
      </c>
      <c r="F11684" s="0" t="s">
        <v>4753</v>
      </c>
    </row>
    <row r="11686" customFormat="false" ht="12.8" hidden="false" customHeight="false" outlineLevel="0" collapsed="false">
      <c r="A11686" s="0" t="s">
        <v>4750</v>
      </c>
      <c r="B11686" s="0" t="str">
        <f aca="false">HYPERLINK("https://lindat.mff.cuni.cz/services/teitok/pdtc10/index.php?action=vallex&amp;frame=v-w1467f1", "konat (v-w1467f1) - substituted with v-w1467hsa_802")</f>
        <v>konat (v-w1467f1) - substituted with v-w1467hsa_802</v>
      </c>
    </row>
    <row r="11687" customFormat="false" ht="12.8" hidden="false" customHeight="false" outlineLevel="0" collapsed="false">
      <c r="B11687" s="0" t="s">
        <v>7</v>
      </c>
    </row>
    <row r="11688" customFormat="false" ht="12.8" hidden="false" customHeight="false" outlineLevel="0" collapsed="false">
      <c r="B11688" s="0" t="s">
        <v>4752</v>
      </c>
    </row>
    <row r="11690" customFormat="false" ht="12.8" hidden="false" customHeight="false" outlineLevel="0" collapsed="false">
      <c r="A11690" s="0" t="s">
        <v>4750</v>
      </c>
      <c r="B11690" s="0" t="str">
        <f aca="false">HYPERLINK("https://lindat.mff.cuni.cz/services/teitok/pdtc10/index.php?action=vallex&amp;frame=v-w1467f3_ZU", "konat (v-w1467f3_ZU) - substituted with v-w1467hsa_802")</f>
        <v>konat (v-w1467f3_ZU) - substituted with v-w1467hsa_802</v>
      </c>
    </row>
    <row r="11691" customFormat="false" ht="12.8" hidden="false" customHeight="false" outlineLevel="0" collapsed="false">
      <c r="B11691" s="0" t="s">
        <v>7</v>
      </c>
      <c r="C11691" s="0" t="s">
        <v>2199</v>
      </c>
    </row>
    <row r="11692" customFormat="false" ht="12.8" hidden="false" customHeight="false" outlineLevel="0" collapsed="false">
      <c r="B11692" s="0" t="s">
        <v>4752</v>
      </c>
      <c r="C11692" s="0" t="s">
        <v>4754</v>
      </c>
    </row>
    <row r="11694" customFormat="false" ht="12.8" hidden="false" customHeight="false" outlineLevel="0" collapsed="false">
      <c r="A11694" s="0" t="s">
        <v>4755</v>
      </c>
      <c r="B11694" s="0" t="str">
        <f aca="false">HYPERLINK("https://lindat.mff.cuni.cz/services/teitok/pdtc10/index.php?action=vallex&amp;frame=v-w1468f1", "konat se (v-w1468f1)")</f>
        <v>konat se (v-w1468f1)</v>
      </c>
    </row>
    <row r="11695" customFormat="false" ht="12.8" hidden="false" customHeight="false" outlineLevel="0" collapsed="false">
      <c r="B11695" s="0" t="s">
        <v>7</v>
      </c>
      <c r="C11695" s="0" t="s">
        <v>4756</v>
      </c>
      <c r="D11695" s="0" t="s">
        <v>288</v>
      </c>
      <c r="E11695" s="0" t="s">
        <v>288</v>
      </c>
      <c r="F11695" s="0" t="s">
        <v>288</v>
      </c>
    </row>
    <row r="11697" customFormat="false" ht="12.8" hidden="false" customHeight="false" outlineLevel="0" collapsed="false">
      <c r="A11697" s="0" t="s">
        <v>4757</v>
      </c>
      <c r="B11697" s="0" t="str">
        <f aca="false">HYPERLINK("https://lindat.mff.cuni.cz/services/teitok/pdtc10/index.php?action=vallex&amp;frame=v-w1470f1", "koncentrovat (v-w1470f1)")</f>
        <v>koncentrovat (v-w1470f1)</v>
      </c>
    </row>
    <row r="11698" customFormat="false" ht="12.8" hidden="false" customHeight="false" outlineLevel="0" collapsed="false">
      <c r="B11698" s="0" t="s">
        <v>7</v>
      </c>
      <c r="C11698" s="0" t="s">
        <v>46</v>
      </c>
    </row>
    <row r="11699" customFormat="false" ht="12.8" hidden="false" customHeight="false" outlineLevel="0" collapsed="false">
      <c r="B11699" s="0" t="s">
        <v>14</v>
      </c>
      <c r="C11699" s="0" t="s">
        <v>4758</v>
      </c>
    </row>
    <row r="11700" customFormat="false" ht="12.8" hidden="false" customHeight="false" outlineLevel="0" collapsed="false">
      <c r="B11700" s="0" t="s">
        <v>11</v>
      </c>
      <c r="C11700" s="0" t="s">
        <v>4759</v>
      </c>
    </row>
    <row r="11702" customFormat="false" ht="12.8" hidden="false" customHeight="false" outlineLevel="0" collapsed="false">
      <c r="A11702" s="0" t="s">
        <v>4760</v>
      </c>
      <c r="B11702" s="0" t="str">
        <f aca="false">HYPERLINK("https://lindat.mff.cuni.cz/services/teitok/pdtc10/index.php?action=vallex&amp;frame=v-w1470f2", "koncentrovat (v-w1470f2)")</f>
        <v>koncentrovat (v-w1470f2)</v>
      </c>
    </row>
    <row r="11703" customFormat="false" ht="12.8" hidden="false" customHeight="false" outlineLevel="0" collapsed="false">
      <c r="B11703" s="0" t="s">
        <v>7</v>
      </c>
    </row>
    <row r="11704" customFormat="false" ht="12.8" hidden="false" customHeight="false" outlineLevel="0" collapsed="false">
      <c r="B11704" s="0" t="s">
        <v>14</v>
      </c>
    </row>
    <row r="11705" customFormat="false" ht="12.8" hidden="false" customHeight="false" outlineLevel="0" collapsed="false">
      <c r="B11705" s="0" t="s">
        <v>124</v>
      </c>
    </row>
    <row r="11707" customFormat="false" ht="12.8" hidden="false" customHeight="false" outlineLevel="0" collapsed="false">
      <c r="A11707" s="0" t="s">
        <v>4761</v>
      </c>
      <c r="B11707" s="0" t="str">
        <f aca="false">HYPERLINK("https://lindat.mff.cuni.cz/services/teitok/pdtc10/index.php?action=vallex&amp;frame=v-w1471f2", "koncentrovat se (v-w1471f2)")</f>
        <v>koncentrovat se (v-w1471f2)</v>
      </c>
    </row>
    <row r="11708" customFormat="false" ht="12.8" hidden="false" customHeight="false" outlineLevel="0" collapsed="false">
      <c r="B11708" s="0" t="s">
        <v>7</v>
      </c>
      <c r="C11708" s="0" t="s">
        <v>4762</v>
      </c>
      <c r="D11708" s="0" t="s">
        <v>4763</v>
      </c>
      <c r="E11708" s="0" t="s">
        <v>4763</v>
      </c>
      <c r="F11708" s="0" t="s">
        <v>4763</v>
      </c>
    </row>
    <row r="11709" customFormat="false" ht="12.8" hidden="false" customHeight="false" outlineLevel="0" collapsed="false">
      <c r="B11709" s="0" t="s">
        <v>41</v>
      </c>
      <c r="C11709" s="0" t="s">
        <v>44</v>
      </c>
      <c r="D11709" s="0" t="s">
        <v>4764</v>
      </c>
      <c r="E11709" s="0" t="s">
        <v>4764</v>
      </c>
      <c r="F11709" s="0" t="s">
        <v>4764</v>
      </c>
    </row>
    <row r="11711" customFormat="false" ht="12.8" hidden="false" customHeight="false" outlineLevel="0" collapsed="false">
      <c r="A11711" s="0" t="s">
        <v>4765</v>
      </c>
      <c r="B11711" s="0" t="str">
        <f aca="false">HYPERLINK("https://lindat.mff.cuni.cz/services/teitok/pdtc10/index.php?action=vallex&amp;frame=v-w1471f1", "koncentrovat se (v-w1471f1)")</f>
        <v>koncentrovat se (v-w1471f1)</v>
      </c>
    </row>
    <row r="11712" customFormat="false" ht="12.8" hidden="false" customHeight="false" outlineLevel="0" collapsed="false">
      <c r="B11712" s="0" t="s">
        <v>7</v>
      </c>
      <c r="C11712" s="0" t="s">
        <v>4766</v>
      </c>
      <c r="D11712" s="0" t="s">
        <v>4767</v>
      </c>
      <c r="E11712" s="0" t="s">
        <v>4767</v>
      </c>
      <c r="F11712" s="0" t="s">
        <v>4767</v>
      </c>
    </row>
    <row r="11713" customFormat="false" ht="12.8" hidden="false" customHeight="false" outlineLevel="0" collapsed="false">
      <c r="B11713" s="0" t="s">
        <v>11</v>
      </c>
      <c r="C11713" s="0" t="s">
        <v>4759</v>
      </c>
    </row>
    <row r="11715" customFormat="false" ht="12.8" hidden="false" customHeight="false" outlineLevel="0" collapsed="false">
      <c r="A11715" s="0" t="s">
        <v>4768</v>
      </c>
      <c r="B11715" s="0" t="str">
        <f aca="false">HYPERLINK("https://lindat.mff.cuni.cz/services/teitok/pdtc10/index.php?action=vallex&amp;frame=v-w1471f3", "koncentrovat se (v-w1471f3)")</f>
        <v>koncentrovat se (v-w1471f3)</v>
      </c>
    </row>
    <row r="11716" customFormat="false" ht="12.8" hidden="false" customHeight="false" outlineLevel="0" collapsed="false">
      <c r="B11716" s="0" t="s">
        <v>7</v>
      </c>
    </row>
    <row r="11717" customFormat="false" ht="12.8" hidden="false" customHeight="false" outlineLevel="0" collapsed="false">
      <c r="B11717" s="0" t="s">
        <v>124</v>
      </c>
    </row>
    <row r="11719" customFormat="false" ht="12.8" hidden="false" customHeight="false" outlineLevel="0" collapsed="false">
      <c r="A11719" s="0" t="s">
        <v>4769</v>
      </c>
      <c r="B11719" s="0" t="str">
        <f aca="false">HYPERLINK("https://lindat.mff.cuni.cz/services/teitok/pdtc10/index.php?action=vallex&amp;frame=v-w1476f1", "koncertovat (v-w1476f1)")</f>
        <v>koncertovat (v-w1476f1)</v>
      </c>
    </row>
    <row r="11720" customFormat="false" ht="12.8" hidden="false" customHeight="false" outlineLevel="0" collapsed="false">
      <c r="B11720" s="0" t="s">
        <v>7</v>
      </c>
    </row>
    <row r="11722" customFormat="false" ht="12.8" hidden="false" customHeight="false" outlineLevel="0" collapsed="false">
      <c r="A11722" s="0" t="s">
        <v>4770</v>
      </c>
      <c r="B11722" s="0" t="str">
        <f aca="false">HYPERLINK("https://lindat.mff.cuni.cz/services/teitok/pdtc10/index.php?action=vallex&amp;frame=v-w1478f1", "koncipovat (v-w1478f1)")</f>
        <v>koncipovat (v-w1478f1)</v>
      </c>
    </row>
    <row r="11723" customFormat="false" ht="12.8" hidden="false" customHeight="false" outlineLevel="0" collapsed="false">
      <c r="B11723" s="0" t="s">
        <v>7</v>
      </c>
      <c r="C11723" s="0" t="s">
        <v>194</v>
      </c>
      <c r="D11723" s="0" t="s">
        <v>4771</v>
      </c>
      <c r="E11723" s="0" t="s">
        <v>4771</v>
      </c>
      <c r="F11723" s="0" t="s">
        <v>4771</v>
      </c>
    </row>
    <row r="11724" customFormat="false" ht="12.8" hidden="false" customHeight="false" outlineLevel="0" collapsed="false">
      <c r="B11724" s="0" t="s">
        <v>14</v>
      </c>
      <c r="C11724" s="0" t="s">
        <v>4772</v>
      </c>
      <c r="D11724" s="0" t="s">
        <v>4773</v>
      </c>
      <c r="E11724" s="0" t="s">
        <v>4773</v>
      </c>
      <c r="F11724" s="0" t="s">
        <v>4773</v>
      </c>
    </row>
    <row r="11726" customFormat="false" ht="12.8" hidden="false" customHeight="false" outlineLevel="0" collapsed="false">
      <c r="A11726" s="0" t="s">
        <v>4774</v>
      </c>
      <c r="B11726" s="0" t="str">
        <f aca="false">HYPERLINK("https://lindat.mff.cuni.cz/services/teitok/pdtc10/index.php?action=vallex&amp;frame=v-w1483f1", "kondolovat (v-w1483f1)")</f>
        <v>kondolovat (v-w1483f1)</v>
      </c>
    </row>
    <row r="11727" customFormat="false" ht="12.8" hidden="false" customHeight="false" outlineLevel="0" collapsed="false">
      <c r="B11727" s="0" t="s">
        <v>7</v>
      </c>
    </row>
    <row r="11728" customFormat="false" ht="12.8" hidden="false" customHeight="false" outlineLevel="0" collapsed="false">
      <c r="B11728" s="0" t="s">
        <v>237</v>
      </c>
    </row>
    <row r="11729" customFormat="false" ht="12.8" hidden="false" customHeight="false" outlineLevel="0" collapsed="false">
      <c r="B11729" s="0" t="s">
        <v>48</v>
      </c>
    </row>
    <row r="11731" customFormat="false" ht="12.8" hidden="false" customHeight="false" outlineLevel="0" collapsed="false">
      <c r="A11731" s="0" t="s">
        <v>4775</v>
      </c>
      <c r="B11731" s="0" t="str">
        <f aca="false">HYPERLINK("https://lindat.mff.cuni.cz/services/teitok/pdtc10/index.php?action=vallex&amp;frame=v-w1485f1", "konejšit (v-w1485f1)")</f>
        <v>konejšit (v-w1485f1)</v>
      </c>
    </row>
    <row r="11732" customFormat="false" ht="12.8" hidden="false" customHeight="false" outlineLevel="0" collapsed="false">
      <c r="B11732" s="0" t="s">
        <v>7</v>
      </c>
    </row>
    <row r="11733" customFormat="false" ht="12.8" hidden="false" customHeight="false" outlineLevel="0" collapsed="false">
      <c r="B11733" s="0" t="s">
        <v>14</v>
      </c>
    </row>
    <row r="11735" customFormat="false" ht="12.8" hidden="false" customHeight="false" outlineLevel="0" collapsed="false">
      <c r="A11735" s="0" t="s">
        <v>4776</v>
      </c>
      <c r="B11735" s="0" t="str">
        <f aca="false">HYPERLINK("https://lindat.mff.cuni.cz/services/teitok/pdtc10/index.php?action=vallex&amp;frame=v-w1489f1", "konferovat (v-w1489f1)")</f>
        <v>konferovat (v-w1489f1)</v>
      </c>
    </row>
    <row r="11736" customFormat="false" ht="12.8" hidden="false" customHeight="false" outlineLevel="0" collapsed="false">
      <c r="B11736" s="0" t="s">
        <v>7</v>
      </c>
    </row>
    <row r="11737" customFormat="false" ht="12.8" hidden="false" customHeight="false" outlineLevel="0" collapsed="false">
      <c r="B11737" s="0" t="s">
        <v>14</v>
      </c>
    </row>
    <row r="11739" customFormat="false" ht="12.8" hidden="false" customHeight="false" outlineLevel="0" collapsed="false">
      <c r="A11739" s="0" t="s">
        <v>4777</v>
      </c>
      <c r="B11739" s="0" t="str">
        <f aca="false">HYPERLINK("https://lindat.mff.cuni.cz/services/teitok/pdtc10/index.php?action=vallex&amp;frame=v-w1491f1", "konfiskovat (v-w1491f1)")</f>
        <v>konfiskovat (v-w1491f1)</v>
      </c>
    </row>
    <row r="11740" customFormat="false" ht="12.8" hidden="false" customHeight="false" outlineLevel="0" collapsed="false">
      <c r="B11740" s="0" t="s">
        <v>7</v>
      </c>
      <c r="C11740" s="0" t="s">
        <v>335</v>
      </c>
      <c r="D11740" s="0" t="s">
        <v>3051</v>
      </c>
      <c r="E11740" s="0" t="s">
        <v>3051</v>
      </c>
      <c r="F11740" s="0" t="s">
        <v>3051</v>
      </c>
    </row>
    <row r="11741" customFormat="false" ht="12.8" hidden="false" customHeight="false" outlineLevel="0" collapsed="false">
      <c r="B11741" s="0" t="s">
        <v>14</v>
      </c>
      <c r="C11741" s="0" t="s">
        <v>1209</v>
      </c>
      <c r="D11741" s="0" t="s">
        <v>2394</v>
      </c>
      <c r="E11741" s="0" t="s">
        <v>2394</v>
      </c>
      <c r="F11741" s="0" t="s">
        <v>2394</v>
      </c>
    </row>
    <row r="11742" customFormat="false" ht="12.8" hidden="false" customHeight="false" outlineLevel="0" collapsed="false">
      <c r="B11742" s="0" t="s">
        <v>4778</v>
      </c>
      <c r="C11742" s="0" t="s">
        <v>1165</v>
      </c>
      <c r="D11742" s="0" t="s">
        <v>4779</v>
      </c>
      <c r="E11742" s="0" t="s">
        <v>4779</v>
      </c>
      <c r="F11742" s="0" t="s">
        <v>4779</v>
      </c>
    </row>
    <row r="11744" customFormat="false" ht="12.8" hidden="false" customHeight="false" outlineLevel="0" collapsed="false">
      <c r="A11744" s="0" t="s">
        <v>4780</v>
      </c>
      <c r="B11744" s="0" t="str">
        <f aca="false">HYPERLINK("https://lindat.mff.cuni.cz/services/teitok/pdtc10/index.php?action=vallex&amp;frame=v-w1495f2_ZU", "konfrontovat (v-w1495f2_ZU)")</f>
        <v>konfrontovat (v-w1495f2_ZU)</v>
      </c>
    </row>
    <row r="11745" customFormat="false" ht="12.8" hidden="false" customHeight="false" outlineLevel="0" collapsed="false">
      <c r="B11745" s="0" t="s">
        <v>7</v>
      </c>
    </row>
    <row r="11746" customFormat="false" ht="12.8" hidden="false" customHeight="false" outlineLevel="0" collapsed="false">
      <c r="B11746" s="0" t="s">
        <v>14</v>
      </c>
    </row>
    <row r="11747" customFormat="false" ht="12.8" hidden="false" customHeight="false" outlineLevel="0" collapsed="false">
      <c r="B11747" s="0" t="s">
        <v>4781</v>
      </c>
    </row>
    <row r="11749" customFormat="false" ht="12.8" hidden="false" customHeight="false" outlineLevel="0" collapsed="false">
      <c r="A11749" s="0" t="s">
        <v>4780</v>
      </c>
      <c r="B11749" s="0" t="str">
        <f aca="false">HYPERLINK("https://lindat.mff.cuni.cz/services/teitok/pdtc10/index.php?action=vallex&amp;frame=v-w1495f1", "konfrontovat (v-w1495f1) - substituted with v-w1495f2_ZU")</f>
        <v>konfrontovat (v-w1495f1) - substituted with v-w1495f2_ZU</v>
      </c>
    </row>
    <row r="11750" customFormat="false" ht="12.8" hidden="false" customHeight="false" outlineLevel="0" collapsed="false">
      <c r="B11750" s="0" t="s">
        <v>7</v>
      </c>
      <c r="C11750" s="0" t="s">
        <v>184</v>
      </c>
      <c r="D11750" s="0" t="s">
        <v>184</v>
      </c>
      <c r="E11750" s="0" t="s">
        <v>184</v>
      </c>
      <c r="F11750" s="0" t="s">
        <v>184</v>
      </c>
    </row>
    <row r="11751" customFormat="false" ht="12.8" hidden="false" customHeight="false" outlineLevel="0" collapsed="false">
      <c r="B11751" s="0" t="s">
        <v>14</v>
      </c>
      <c r="C11751" s="0" t="s">
        <v>567</v>
      </c>
      <c r="D11751" s="0" t="s">
        <v>567</v>
      </c>
      <c r="E11751" s="0" t="s">
        <v>567</v>
      </c>
      <c r="F11751" s="0" t="s">
        <v>567</v>
      </c>
    </row>
    <row r="11752" customFormat="false" ht="12.8" hidden="false" customHeight="false" outlineLevel="0" collapsed="false">
      <c r="B11752" s="0" t="s">
        <v>4781</v>
      </c>
      <c r="C11752" s="0" t="s">
        <v>1234</v>
      </c>
      <c r="D11752" s="0" t="s">
        <v>1234</v>
      </c>
      <c r="E11752" s="0" t="s">
        <v>1234</v>
      </c>
      <c r="F11752" s="0" t="s">
        <v>1234</v>
      </c>
    </row>
    <row r="11754" customFormat="false" ht="12.8" hidden="false" customHeight="false" outlineLevel="0" collapsed="false">
      <c r="A11754" s="0" t="s">
        <v>4782</v>
      </c>
      <c r="B11754" s="0" t="str">
        <f aca="false">HYPERLINK("https://lindat.mff.cuni.cz/services/teitok/pdtc10/index.php?action=vallex&amp;frame=v-w1498f1", "konkretizovat (v-w1498f1)")</f>
        <v>konkretizovat (v-w1498f1)</v>
      </c>
    </row>
    <row r="11755" customFormat="false" ht="12.8" hidden="false" customHeight="false" outlineLevel="0" collapsed="false">
      <c r="B11755" s="0" t="s">
        <v>7</v>
      </c>
      <c r="D11755" s="0" t="s">
        <v>4783</v>
      </c>
      <c r="E11755" s="0" t="s">
        <v>4783</v>
      </c>
      <c r="F11755" s="0" t="s">
        <v>4783</v>
      </c>
    </row>
    <row r="11756" customFormat="false" ht="12.8" hidden="false" customHeight="false" outlineLevel="0" collapsed="false">
      <c r="B11756" s="0" t="s">
        <v>232</v>
      </c>
      <c r="D11756" s="0" t="s">
        <v>152</v>
      </c>
      <c r="E11756" s="0" t="s">
        <v>152</v>
      </c>
      <c r="F11756" s="0" t="s">
        <v>152</v>
      </c>
    </row>
    <row r="11758" customFormat="false" ht="12.8" hidden="false" customHeight="false" outlineLevel="0" collapsed="false">
      <c r="A11758" s="0" t="s">
        <v>4784</v>
      </c>
      <c r="B11758" s="0" t="str">
        <f aca="false">HYPERLINK("https://lindat.mff.cuni.cz/services/teitok/pdtc10/index.php?action=vallex&amp;frame=v-w1501f1", "konkurovat (v-w1501f1)")</f>
        <v>konkurovat (v-w1501f1)</v>
      </c>
    </row>
    <row r="11759" customFormat="false" ht="12.8" hidden="false" customHeight="false" outlineLevel="0" collapsed="false">
      <c r="B11759" s="0" t="s">
        <v>7</v>
      </c>
      <c r="C11759" s="0" t="s">
        <v>1826</v>
      </c>
      <c r="D11759" s="0" t="s">
        <v>316</v>
      </c>
      <c r="E11759" s="0" t="s">
        <v>316</v>
      </c>
      <c r="F11759" s="0" t="s">
        <v>316</v>
      </c>
    </row>
    <row r="11760" customFormat="false" ht="12.8" hidden="false" customHeight="false" outlineLevel="0" collapsed="false">
      <c r="B11760" s="0" t="s">
        <v>142</v>
      </c>
      <c r="C11760" s="0" t="s">
        <v>4785</v>
      </c>
      <c r="D11760" s="0" t="s">
        <v>4786</v>
      </c>
      <c r="E11760" s="0" t="s">
        <v>4786</v>
      </c>
      <c r="F11760" s="0" t="s">
        <v>4786</v>
      </c>
    </row>
    <row r="11762" customFormat="false" ht="12.8" hidden="false" customHeight="false" outlineLevel="0" collapsed="false">
      <c r="A11762" s="0" t="s">
        <v>4787</v>
      </c>
      <c r="B11762" s="0" t="str">
        <f aca="false">HYPERLINK("https://lindat.mff.cuni.cz/services/teitok/pdtc10/index.php?action=vallex&amp;frame=v-w1504f1", "konsolidovat (v-w1504f1)")</f>
        <v>konsolidovat (v-w1504f1)</v>
      </c>
    </row>
    <row r="11763" customFormat="false" ht="12.8" hidden="false" customHeight="false" outlineLevel="0" collapsed="false">
      <c r="B11763" s="0" t="s">
        <v>7</v>
      </c>
      <c r="C11763" s="0" t="s">
        <v>1332</v>
      </c>
    </row>
    <row r="11764" customFormat="false" ht="12.8" hidden="false" customHeight="false" outlineLevel="0" collapsed="false">
      <c r="B11764" s="0" t="s">
        <v>14</v>
      </c>
      <c r="C11764" s="0" t="s">
        <v>89</v>
      </c>
    </row>
    <row r="11766" customFormat="false" ht="12.8" hidden="false" customHeight="false" outlineLevel="0" collapsed="false">
      <c r="A11766" s="0" t="s">
        <v>4788</v>
      </c>
      <c r="B11766" s="0" t="str">
        <f aca="false">HYPERLINK("https://lindat.mff.cuni.cz/services/teitok/pdtc10/index.php?action=vallex&amp;frame=v-w1505f1", "konspirovat (v-w1505f1)")</f>
        <v>konspirovat (v-w1505f1)</v>
      </c>
    </row>
    <row r="11767" customFormat="false" ht="12.8" hidden="false" customHeight="false" outlineLevel="0" collapsed="false">
      <c r="B11767" s="0" t="s">
        <v>7</v>
      </c>
      <c r="F11767" s="0" t="s">
        <v>118</v>
      </c>
    </row>
    <row r="11769" customFormat="false" ht="12.8" hidden="false" customHeight="false" outlineLevel="0" collapsed="false">
      <c r="A11769" s="0" t="s">
        <v>4789</v>
      </c>
      <c r="B11769" s="0" t="str">
        <f aca="false">HYPERLINK("https://lindat.mff.cuni.cz/services/teitok/pdtc10/index.php?action=vallex&amp;frame=v-w1508f2", "konstatovat (v-w1508f2)")</f>
        <v>konstatovat (v-w1508f2)</v>
      </c>
    </row>
    <row r="11770" customFormat="false" ht="12.8" hidden="false" customHeight="false" outlineLevel="0" collapsed="false">
      <c r="B11770" s="0" t="s">
        <v>7</v>
      </c>
    </row>
    <row r="11771" customFormat="false" ht="12.8" hidden="false" customHeight="false" outlineLevel="0" collapsed="false">
      <c r="B11771" s="0" t="s">
        <v>14</v>
      </c>
    </row>
    <row r="11773" customFormat="false" ht="12.8" hidden="false" customHeight="false" outlineLevel="0" collapsed="false">
      <c r="A11773" s="0" t="s">
        <v>4790</v>
      </c>
      <c r="B11773" s="0" t="str">
        <f aca="false">HYPERLINK("https://lindat.mff.cuni.cz/services/teitok/pdtc10/index.php?action=vallex&amp;frame=v-w1508f1", "konstatovat (v-w1508f1)")</f>
        <v>konstatovat (v-w1508f1)</v>
      </c>
    </row>
    <row r="11774" customFormat="false" ht="12.8" hidden="false" customHeight="false" outlineLevel="0" collapsed="false">
      <c r="B11774" s="0" t="s">
        <v>7</v>
      </c>
      <c r="C11774" s="0" t="s">
        <v>4791</v>
      </c>
      <c r="D11774" s="0" t="s">
        <v>164</v>
      </c>
      <c r="E11774" s="0" t="s">
        <v>164</v>
      </c>
      <c r="F11774" s="0" t="s">
        <v>164</v>
      </c>
    </row>
    <row r="11775" customFormat="false" ht="12.8" hidden="false" customHeight="false" outlineLevel="0" collapsed="false">
      <c r="B11775" s="0" t="s">
        <v>4792</v>
      </c>
      <c r="C11775" s="0" t="s">
        <v>4793</v>
      </c>
      <c r="D11775" s="0" t="s">
        <v>1766</v>
      </c>
      <c r="E11775" s="0" t="s">
        <v>1766</v>
      </c>
      <c r="F11775" s="0" t="s">
        <v>1766</v>
      </c>
    </row>
    <row r="11776" customFormat="false" ht="12.8" hidden="false" customHeight="false" outlineLevel="0" collapsed="false">
      <c r="B11776" s="0" t="s">
        <v>363</v>
      </c>
      <c r="C11776" s="0" t="s">
        <v>1768</v>
      </c>
      <c r="D11776" s="0" t="s">
        <v>167</v>
      </c>
      <c r="E11776" s="0" t="s">
        <v>167</v>
      </c>
      <c r="F11776" s="0" t="s">
        <v>167</v>
      </c>
    </row>
    <row r="11778" customFormat="false" ht="12.8" hidden="false" customHeight="false" outlineLevel="0" collapsed="false">
      <c r="A11778" s="0" t="s">
        <v>4794</v>
      </c>
      <c r="B11778" s="0" t="str">
        <f aca="false">HYPERLINK("https://lindat.mff.cuni.cz/services/teitok/pdtc10/index.php?action=vallex&amp;frame=v-whsa_1086hsa_1087", "konsternovat (v-whsa_1086hsa_1087)")</f>
        <v>konsternovat (v-whsa_1086hsa_1087)</v>
      </c>
    </row>
    <row r="11779" customFormat="false" ht="12.8" hidden="false" customHeight="false" outlineLevel="0" collapsed="false">
      <c r="B11779" s="0" t="s">
        <v>7</v>
      </c>
      <c r="D11779" s="0" t="s">
        <v>4795</v>
      </c>
      <c r="E11779" s="0" t="s">
        <v>4795</v>
      </c>
      <c r="F11779" s="0" t="s">
        <v>4795</v>
      </c>
    </row>
    <row r="11780" customFormat="false" ht="12.8" hidden="false" customHeight="false" outlineLevel="0" collapsed="false">
      <c r="B11780" s="0" t="s">
        <v>14</v>
      </c>
      <c r="D11780" s="0" t="s">
        <v>4796</v>
      </c>
      <c r="E11780" s="0" t="s">
        <v>4796</v>
      </c>
      <c r="F11780" s="0" t="s">
        <v>4796</v>
      </c>
    </row>
    <row r="11782" customFormat="false" ht="12.8" hidden="false" customHeight="false" outlineLevel="0" collapsed="false">
      <c r="A11782" s="0" t="s">
        <v>4797</v>
      </c>
      <c r="B11782" s="0" t="str">
        <f aca="false">HYPERLINK("https://lindat.mff.cuni.cz/services/teitok/pdtc10/index.php?action=vallex&amp;frame=v-w1511f1", "konstituovat (v-w1511f1)")</f>
        <v>konstituovat (v-w1511f1)</v>
      </c>
    </row>
    <row r="11783" customFormat="false" ht="12.8" hidden="false" customHeight="false" outlineLevel="0" collapsed="false">
      <c r="B11783" s="0" t="s">
        <v>7</v>
      </c>
    </row>
    <row r="11784" customFormat="false" ht="12.8" hidden="false" customHeight="false" outlineLevel="0" collapsed="false">
      <c r="B11784" s="0" t="s">
        <v>54</v>
      </c>
    </row>
    <row r="11786" customFormat="false" ht="12.8" hidden="false" customHeight="false" outlineLevel="0" collapsed="false">
      <c r="A11786" s="0" t="s">
        <v>4798</v>
      </c>
      <c r="B11786" s="0" t="str">
        <f aca="false">HYPERLINK("https://lindat.mff.cuni.cz/services/teitok/pdtc10/index.php?action=vallex&amp;frame=v-w1514f1", "konstruovat (v-w1514f1)")</f>
        <v>konstruovat (v-w1514f1)</v>
      </c>
    </row>
    <row r="11787" customFormat="false" ht="12.8" hidden="false" customHeight="false" outlineLevel="0" collapsed="false">
      <c r="B11787" s="0" t="s">
        <v>7</v>
      </c>
      <c r="C11787" s="0" t="s">
        <v>514</v>
      </c>
      <c r="D11787" s="0" t="s">
        <v>4799</v>
      </c>
      <c r="E11787" s="0" t="s">
        <v>4799</v>
      </c>
      <c r="F11787" s="0" t="s">
        <v>4799</v>
      </c>
    </row>
    <row r="11788" customFormat="false" ht="12.8" hidden="false" customHeight="false" outlineLevel="0" collapsed="false">
      <c r="B11788" s="0" t="s">
        <v>14</v>
      </c>
      <c r="C11788" s="0" t="s">
        <v>4800</v>
      </c>
      <c r="D11788" s="0" t="s">
        <v>4801</v>
      </c>
      <c r="E11788" s="0" t="s">
        <v>4801</v>
      </c>
      <c r="F11788" s="0" t="s">
        <v>4801</v>
      </c>
    </row>
    <row r="11790" customFormat="false" ht="12.8" hidden="false" customHeight="false" outlineLevel="0" collapsed="false">
      <c r="A11790" s="0" t="s">
        <v>4802</v>
      </c>
      <c r="B11790" s="0" t="str">
        <f aca="false">HYPERLINK("https://lindat.mff.cuni.cz/services/teitok/pdtc10/index.php?action=vallex&amp;frame=v-w1518f3_ZU", "kontaktovat (v-w1518f3_ZU)")</f>
        <v>kontaktovat (v-w1518f3_ZU)</v>
      </c>
    </row>
    <row r="11791" customFormat="false" ht="12.8" hidden="false" customHeight="false" outlineLevel="0" collapsed="false">
      <c r="B11791" s="0" t="s">
        <v>7</v>
      </c>
    </row>
    <row r="11792" customFormat="false" ht="12.8" hidden="false" customHeight="false" outlineLevel="0" collapsed="false">
      <c r="B11792" s="0" t="s">
        <v>548</v>
      </c>
    </row>
    <row r="11793" customFormat="false" ht="12.8" hidden="false" customHeight="false" outlineLevel="0" collapsed="false">
      <c r="B11793" s="0" t="s">
        <v>81</v>
      </c>
    </row>
    <row r="11795" customFormat="false" ht="12.8" hidden="false" customHeight="false" outlineLevel="0" collapsed="false">
      <c r="A11795" s="0" t="s">
        <v>4802</v>
      </c>
      <c r="B11795" s="0" t="str">
        <f aca="false">HYPERLINK("https://lindat.mff.cuni.cz/services/teitok/pdtc10/index.php?action=vallex&amp;frame=v-w1518f2", "kontaktovat (v-w1518f2) - substituted with v-w1518f3_ZU")</f>
        <v>kontaktovat (v-w1518f2) - substituted with v-w1518f3_ZU</v>
      </c>
    </row>
    <row r="11796" customFormat="false" ht="12.8" hidden="false" customHeight="false" outlineLevel="0" collapsed="false">
      <c r="B11796" s="0" t="s">
        <v>7</v>
      </c>
    </row>
    <row r="11797" customFormat="false" ht="12.8" hidden="false" customHeight="false" outlineLevel="0" collapsed="false">
      <c r="B11797" s="0" t="s">
        <v>548</v>
      </c>
    </row>
    <row r="11798" customFormat="false" ht="12.8" hidden="false" customHeight="false" outlineLevel="0" collapsed="false">
      <c r="B11798" s="0" t="s">
        <v>81</v>
      </c>
    </row>
    <row r="11800" customFormat="false" ht="12.8" hidden="false" customHeight="false" outlineLevel="0" collapsed="false">
      <c r="A11800" s="0" t="s">
        <v>4803</v>
      </c>
      <c r="B11800" s="0" t="str">
        <f aca="false">HYPERLINK("https://lindat.mff.cuni.cz/services/teitok/pdtc10/index.php?action=vallex&amp;frame=v-w1518f1", "kontaktovat (v-w1518f1)")</f>
        <v>kontaktovat (v-w1518f1)</v>
      </c>
    </row>
    <row r="11801" customFormat="false" ht="12.8" hidden="false" customHeight="false" outlineLevel="0" collapsed="false">
      <c r="B11801" s="0" t="s">
        <v>7</v>
      </c>
      <c r="C11801" s="0" t="s">
        <v>4804</v>
      </c>
      <c r="D11801" s="0" t="s">
        <v>114</v>
      </c>
      <c r="E11801" s="0" t="s">
        <v>4805</v>
      </c>
      <c r="F11801" s="0" t="s">
        <v>4805</v>
      </c>
    </row>
    <row r="11802" customFormat="false" ht="12.8" hidden="false" customHeight="false" outlineLevel="0" collapsed="false">
      <c r="B11802" s="0" t="s">
        <v>14</v>
      </c>
      <c r="C11802" s="0" t="s">
        <v>4806</v>
      </c>
      <c r="D11802" s="0" t="s">
        <v>116</v>
      </c>
      <c r="E11802" s="0" t="s">
        <v>4807</v>
      </c>
      <c r="F11802" s="0" t="s">
        <v>4807</v>
      </c>
    </row>
    <row r="11804" customFormat="false" ht="12.8" hidden="false" customHeight="false" outlineLevel="0" collapsed="false">
      <c r="A11804" s="0" t="s">
        <v>4808</v>
      </c>
      <c r="B11804" s="0" t="str">
        <f aca="false">HYPERLINK("https://lindat.mff.cuni.cz/services/teitok/pdtc10/index.php?action=vallex&amp;frame=v-w1521f1", "kontaminovat (v-w1521f1)")</f>
        <v>kontaminovat (v-w1521f1)</v>
      </c>
    </row>
    <row r="11805" customFormat="false" ht="12.8" hidden="false" customHeight="false" outlineLevel="0" collapsed="false">
      <c r="B11805" s="0" t="s">
        <v>7</v>
      </c>
    </row>
    <row r="11806" customFormat="false" ht="12.8" hidden="false" customHeight="false" outlineLevel="0" collapsed="false">
      <c r="B11806" s="0" t="s">
        <v>14</v>
      </c>
    </row>
    <row r="11808" customFormat="false" ht="12.8" hidden="false" customHeight="false" outlineLevel="0" collapsed="false">
      <c r="A11808" s="0" t="s">
        <v>4809</v>
      </c>
      <c r="B11808" s="0" t="str">
        <f aca="false">HYPERLINK("https://lindat.mff.cuni.cz/services/teitok/pdtc10/index.php?action=vallex&amp;frame=v-w1522f1", "kontinuovat (v-w1522f1)")</f>
        <v>kontinuovat (v-w1522f1)</v>
      </c>
    </row>
    <row r="11809" customFormat="false" ht="12.8" hidden="false" customHeight="false" outlineLevel="0" collapsed="false">
      <c r="B11809" s="0" t="s">
        <v>7</v>
      </c>
    </row>
    <row r="11811" customFormat="false" ht="12.8" hidden="false" customHeight="false" outlineLevel="0" collapsed="false">
      <c r="A11811" s="0" t="s">
        <v>4810</v>
      </c>
      <c r="B11811" s="0" t="str">
        <f aca="false">HYPERLINK("https://lindat.mff.cuni.cz/services/teitok/pdtc10/index.php?action=vallex&amp;frame=v-w1523f1", "kontrahovat (v-w1523f1)")</f>
        <v>kontrahovat (v-w1523f1)</v>
      </c>
    </row>
    <row r="11812" customFormat="false" ht="12.8" hidden="false" customHeight="false" outlineLevel="0" collapsed="false">
      <c r="B11812" s="0" t="s">
        <v>7</v>
      </c>
    </row>
    <row r="11813" customFormat="false" ht="12.8" hidden="false" customHeight="false" outlineLevel="0" collapsed="false">
      <c r="B11813" s="0" t="s">
        <v>14</v>
      </c>
    </row>
    <row r="11815" customFormat="false" ht="12.8" hidden="false" customHeight="false" outlineLevel="0" collapsed="false">
      <c r="A11815" s="0" t="s">
        <v>4811</v>
      </c>
      <c r="B11815" s="0" t="str">
        <f aca="false">HYPERLINK("https://lindat.mff.cuni.cz/services/teitok/pdtc10/index.php?action=vallex&amp;frame=v-w1526f1", "kontrastovat (v-w1526f1)")</f>
        <v>kontrastovat (v-w1526f1)</v>
      </c>
    </row>
    <row r="11816" customFormat="false" ht="12.8" hidden="false" customHeight="false" outlineLevel="0" collapsed="false">
      <c r="B11816" s="0" t="s">
        <v>7</v>
      </c>
      <c r="C11816" s="0" t="s">
        <v>708</v>
      </c>
      <c r="D11816" s="0" t="s">
        <v>4812</v>
      </c>
      <c r="E11816" s="0" t="s">
        <v>4812</v>
      </c>
      <c r="F11816" s="0" t="s">
        <v>4812</v>
      </c>
    </row>
    <row r="11817" customFormat="false" ht="12.8" hidden="false" customHeight="false" outlineLevel="0" collapsed="false">
      <c r="B11817" s="0" t="s">
        <v>548</v>
      </c>
      <c r="C11817" s="0" t="s">
        <v>4813</v>
      </c>
      <c r="D11817" s="0" t="s">
        <v>4814</v>
      </c>
      <c r="E11817" s="0" t="s">
        <v>4814</v>
      </c>
      <c r="F11817" s="0" t="s">
        <v>4814</v>
      </c>
    </row>
    <row r="11819" customFormat="false" ht="12.8" hidden="false" customHeight="false" outlineLevel="0" collapsed="false">
      <c r="A11819" s="0" t="s">
        <v>4815</v>
      </c>
      <c r="B11819" s="0" t="str">
        <f aca="false">HYPERLINK("https://lindat.mff.cuni.cz/services/teitok/pdtc10/index.php?action=vallex&amp;frame=v-w1529f1", "kontrolovat (v-w1529f1)")</f>
        <v>kontrolovat (v-w1529f1)</v>
      </c>
    </row>
    <row r="11820" customFormat="false" ht="12.8" hidden="false" customHeight="false" outlineLevel="0" collapsed="false">
      <c r="B11820" s="0" t="s">
        <v>7</v>
      </c>
      <c r="C11820" s="0" t="s">
        <v>4816</v>
      </c>
      <c r="D11820" s="0" t="s">
        <v>4817</v>
      </c>
      <c r="E11820" s="0" t="s">
        <v>4817</v>
      </c>
      <c r="F11820" s="0" t="s">
        <v>4817</v>
      </c>
    </row>
    <row r="11821" customFormat="false" ht="12.8" hidden="false" customHeight="false" outlineLevel="0" collapsed="false">
      <c r="B11821" s="0" t="s">
        <v>2030</v>
      </c>
      <c r="C11821" s="0" t="s">
        <v>4818</v>
      </c>
      <c r="D11821" s="0" t="s">
        <v>4819</v>
      </c>
      <c r="E11821" s="0" t="s">
        <v>4819</v>
      </c>
      <c r="F11821" s="0" t="s">
        <v>4819</v>
      </c>
    </row>
    <row r="11823" customFormat="false" ht="12.8" hidden="false" customHeight="false" outlineLevel="0" collapsed="false">
      <c r="A11823" s="0" t="s">
        <v>4820</v>
      </c>
      <c r="B11823" s="0" t="str">
        <f aca="false">HYPERLINK("https://lindat.mff.cuni.cz/services/teitok/pdtc10/index.php?action=vallex&amp;frame=v-w1529f2_ZU", "kontrolovat (v-w1529f2_ZU)")</f>
        <v>kontrolovat (v-w1529f2_ZU)</v>
      </c>
    </row>
    <row r="11824" customFormat="false" ht="12.8" hidden="false" customHeight="false" outlineLevel="0" collapsed="false">
      <c r="B11824" s="0" t="s">
        <v>7</v>
      </c>
      <c r="C11824" s="0" t="s">
        <v>4821</v>
      </c>
      <c r="D11824" s="0" t="s">
        <v>1604</v>
      </c>
      <c r="E11824" s="0" t="s">
        <v>1604</v>
      </c>
      <c r="F11824" s="0" t="s">
        <v>1604</v>
      </c>
    </row>
    <row r="11825" customFormat="false" ht="12.8" hidden="false" customHeight="false" outlineLevel="0" collapsed="false">
      <c r="B11825" s="0" t="s">
        <v>14</v>
      </c>
      <c r="C11825" s="0" t="s">
        <v>4822</v>
      </c>
      <c r="D11825" s="0" t="s">
        <v>1606</v>
      </c>
      <c r="E11825" s="0" t="s">
        <v>1606</v>
      </c>
      <c r="F11825" s="0" t="s">
        <v>1606</v>
      </c>
    </row>
    <row r="11827" customFormat="false" ht="12.8" hidden="false" customHeight="false" outlineLevel="0" collapsed="false">
      <c r="A11827" s="0" t="s">
        <v>4823</v>
      </c>
      <c r="B11827" s="0" t="str">
        <f aca="false">HYPERLINK("https://lindat.mff.cuni.cz/services/teitok/pdtc10/index.php?action=vallex&amp;frame=v-w1532f2", "kontrovat (v-w1532f2)")</f>
        <v>kontrovat (v-w1532f2)</v>
      </c>
    </row>
    <row r="11828" customFormat="false" ht="12.8" hidden="false" customHeight="false" outlineLevel="0" collapsed="false">
      <c r="B11828" s="0" t="s">
        <v>7</v>
      </c>
      <c r="C11828" s="0" t="s">
        <v>460</v>
      </c>
      <c r="D11828" s="0" t="s">
        <v>4824</v>
      </c>
      <c r="E11828" s="0" t="s">
        <v>4824</v>
      </c>
      <c r="F11828" s="0" t="s">
        <v>4824</v>
      </c>
    </row>
    <row r="11829" customFormat="false" ht="12.8" hidden="false" customHeight="false" outlineLevel="0" collapsed="false">
      <c r="B11829" s="0" t="s">
        <v>48</v>
      </c>
      <c r="D11829" s="0" t="s">
        <v>1165</v>
      </c>
      <c r="E11829" s="0" t="s">
        <v>1165</v>
      </c>
      <c r="F11829" s="0" t="s">
        <v>1165</v>
      </c>
    </row>
    <row r="11830" customFormat="false" ht="12.8" hidden="false" customHeight="false" outlineLevel="0" collapsed="false">
      <c r="B11830" s="0" t="s">
        <v>4825</v>
      </c>
      <c r="C11830" s="0" t="s">
        <v>4826</v>
      </c>
      <c r="D11830" s="0" t="s">
        <v>361</v>
      </c>
      <c r="E11830" s="0" t="s">
        <v>361</v>
      </c>
      <c r="F11830" s="0" t="s">
        <v>361</v>
      </c>
    </row>
    <row r="11831" customFormat="false" ht="12.8" hidden="false" customHeight="false" outlineLevel="0" collapsed="false">
      <c r="B11831" s="0" t="s">
        <v>63</v>
      </c>
      <c r="C11831" s="0" t="s">
        <v>4827</v>
      </c>
      <c r="D11831" s="0" t="s">
        <v>173</v>
      </c>
      <c r="E11831" s="0" t="s">
        <v>173</v>
      </c>
      <c r="F11831" s="0" t="s">
        <v>173</v>
      </c>
    </row>
    <row r="11833" customFormat="false" ht="12.8" hidden="false" customHeight="false" outlineLevel="0" collapsed="false">
      <c r="A11833" s="0" t="s">
        <v>4828</v>
      </c>
      <c r="B11833" s="0" t="str">
        <f aca="false">HYPERLINK("https://lindat.mff.cuni.cz/services/teitok/pdtc10/index.php?action=vallex&amp;frame=v-w1532f1", "kontrovat (v-w1532f1)")</f>
        <v>kontrovat (v-w1532f1)</v>
      </c>
    </row>
    <row r="11834" customFormat="false" ht="12.8" hidden="false" customHeight="false" outlineLevel="0" collapsed="false">
      <c r="B11834" s="0" t="s">
        <v>7</v>
      </c>
    </row>
    <row r="11836" customFormat="false" ht="12.8" hidden="false" customHeight="false" outlineLevel="0" collapsed="false">
      <c r="A11836" s="0" t="s">
        <v>4829</v>
      </c>
      <c r="B11836" s="0" t="str">
        <f aca="false">HYPERLINK("https://lindat.mff.cuni.cz/services/teitok/pdtc10/index.php?action=vallex&amp;frame=v-w10251f2", "konvertovat (v-w10251f2)")</f>
        <v>konvertovat (v-w10251f2)</v>
      </c>
    </row>
    <row r="11837" customFormat="false" ht="12.8" hidden="false" customHeight="false" outlineLevel="0" collapsed="false">
      <c r="B11837" s="0" t="s">
        <v>7</v>
      </c>
      <c r="C11837" s="0" t="s">
        <v>157</v>
      </c>
      <c r="D11837" s="0" t="s">
        <v>32</v>
      </c>
      <c r="E11837" s="0" t="s">
        <v>32</v>
      </c>
      <c r="F11837" s="0" t="s">
        <v>32</v>
      </c>
    </row>
    <row r="11838" customFormat="false" ht="12.8" hidden="false" customHeight="false" outlineLevel="0" collapsed="false">
      <c r="B11838" s="0" t="s">
        <v>14</v>
      </c>
      <c r="C11838" s="0" t="s">
        <v>4830</v>
      </c>
      <c r="D11838" s="0" t="s">
        <v>34</v>
      </c>
      <c r="E11838" s="0" t="s">
        <v>34</v>
      </c>
      <c r="F11838" s="0" t="s">
        <v>34</v>
      </c>
    </row>
    <row r="11839" customFormat="false" ht="12.8" hidden="false" customHeight="false" outlineLevel="0" collapsed="false">
      <c r="B11839" s="0" t="s">
        <v>35</v>
      </c>
      <c r="D11839" s="0" t="s">
        <v>36</v>
      </c>
      <c r="E11839" s="0" t="s">
        <v>36</v>
      </c>
      <c r="F11839" s="0" t="s">
        <v>36</v>
      </c>
    </row>
    <row r="11840" customFormat="false" ht="12.8" hidden="false" customHeight="false" outlineLevel="0" collapsed="false">
      <c r="B11840" s="0" t="s">
        <v>4831</v>
      </c>
      <c r="C11840" s="0" t="s">
        <v>4832</v>
      </c>
      <c r="D11840" s="0" t="s">
        <v>39</v>
      </c>
      <c r="E11840" s="0" t="s">
        <v>39</v>
      </c>
      <c r="F11840" s="0" t="s">
        <v>39</v>
      </c>
    </row>
    <row r="11842" customFormat="false" ht="12.8" hidden="false" customHeight="false" outlineLevel="0" collapsed="false">
      <c r="A11842" s="0" t="s">
        <v>4833</v>
      </c>
      <c r="B11842" s="0" t="str">
        <f aca="false">HYPERLINK("https://lindat.mff.cuni.cz/services/teitok/pdtc10/index.php?action=vallex&amp;frame=v-w1537f1", "konverzovat (v-w1537f1)")</f>
        <v>konverzovat (v-w1537f1)</v>
      </c>
    </row>
    <row r="11843" customFormat="false" ht="12.8" hidden="false" customHeight="false" outlineLevel="0" collapsed="false">
      <c r="B11843" s="0" t="s">
        <v>7</v>
      </c>
      <c r="D11843" s="0" t="s">
        <v>209</v>
      </c>
      <c r="E11843" s="0" t="s">
        <v>209</v>
      </c>
      <c r="F11843" s="0" t="s">
        <v>209</v>
      </c>
    </row>
    <row r="11844" customFormat="false" ht="12.8" hidden="false" customHeight="false" outlineLevel="0" collapsed="false">
      <c r="B11844" s="0" t="s">
        <v>207</v>
      </c>
      <c r="D11844" s="0" t="s">
        <v>213</v>
      </c>
      <c r="E11844" s="0" t="s">
        <v>213</v>
      </c>
      <c r="F11844" s="0" t="s">
        <v>213</v>
      </c>
    </row>
    <row r="11845" customFormat="false" ht="12.8" hidden="false" customHeight="false" outlineLevel="0" collapsed="false">
      <c r="B11845" s="0" t="s">
        <v>363</v>
      </c>
      <c r="D11845" s="0" t="s">
        <v>211</v>
      </c>
      <c r="E11845" s="0" t="s">
        <v>211</v>
      </c>
      <c r="F11845" s="0" t="s">
        <v>211</v>
      </c>
    </row>
    <row r="11847" customFormat="false" ht="12.8" hidden="false" customHeight="false" outlineLevel="0" collapsed="false">
      <c r="A11847" s="0" t="s">
        <v>4834</v>
      </c>
      <c r="B11847" s="0" t="str">
        <f aca="false">HYPERLINK("https://lindat.mff.cuni.cz/services/teitok/pdtc10/index.php?action=vallex&amp;frame=v-w1538f1", "konzervovat (v-w1538f1)")</f>
        <v>konzervovat (v-w1538f1)</v>
      </c>
    </row>
    <row r="11848" customFormat="false" ht="12.8" hidden="false" customHeight="false" outlineLevel="0" collapsed="false">
      <c r="B11848" s="0" t="s">
        <v>7</v>
      </c>
      <c r="D11848" s="0" t="s">
        <v>108</v>
      </c>
      <c r="E11848" s="0" t="s">
        <v>108</v>
      </c>
      <c r="F11848" s="0" t="s">
        <v>108</v>
      </c>
    </row>
    <row r="11849" customFormat="false" ht="12.8" hidden="false" customHeight="false" outlineLevel="0" collapsed="false">
      <c r="B11849" s="0" t="s">
        <v>14</v>
      </c>
      <c r="C11849" s="0" t="s">
        <v>47</v>
      </c>
      <c r="D11849" s="0" t="s">
        <v>180</v>
      </c>
      <c r="E11849" s="0" t="s">
        <v>180</v>
      </c>
      <c r="F11849" s="0" t="s">
        <v>180</v>
      </c>
    </row>
    <row r="11850" customFormat="false" ht="12.8" hidden="false" customHeight="false" outlineLevel="0" collapsed="false">
      <c r="B11850" s="0" t="s">
        <v>35</v>
      </c>
    </row>
    <row r="11852" customFormat="false" ht="12.8" hidden="false" customHeight="false" outlineLevel="0" collapsed="false">
      <c r="A11852" s="0" t="s">
        <v>4835</v>
      </c>
      <c r="B11852" s="0" t="str">
        <f aca="false">HYPERLINK("https://lindat.mff.cuni.cz/services/teitok/pdtc10/index.php?action=vallex&amp;frame=v-w1540f1", "konzultovat (v-w1540f1)")</f>
        <v>konzultovat (v-w1540f1)</v>
      </c>
    </row>
    <row r="11853" customFormat="false" ht="12.8" hidden="false" customHeight="false" outlineLevel="0" collapsed="false">
      <c r="B11853" s="0" t="s">
        <v>7</v>
      </c>
      <c r="D11853" s="0" t="s">
        <v>209</v>
      </c>
      <c r="E11853" s="0" t="s">
        <v>209</v>
      </c>
      <c r="F11853" s="0" t="s">
        <v>209</v>
      </c>
    </row>
    <row r="11854" customFormat="false" ht="12.8" hidden="false" customHeight="false" outlineLevel="0" collapsed="false">
      <c r="B11854" s="0" t="s">
        <v>207</v>
      </c>
      <c r="D11854" s="0" t="s">
        <v>213</v>
      </c>
      <c r="E11854" s="0" t="s">
        <v>213</v>
      </c>
      <c r="F11854" s="0" t="s">
        <v>213</v>
      </c>
    </row>
    <row r="11855" customFormat="false" ht="12.8" hidden="false" customHeight="false" outlineLevel="0" collapsed="false">
      <c r="B11855" s="0" t="s">
        <v>4836</v>
      </c>
      <c r="D11855" s="0" t="s">
        <v>211</v>
      </c>
      <c r="E11855" s="0" t="s">
        <v>211</v>
      </c>
      <c r="F11855" s="0" t="s">
        <v>211</v>
      </c>
    </row>
    <row r="11857" customFormat="false" ht="12.8" hidden="false" customHeight="false" outlineLevel="0" collapsed="false">
      <c r="A11857" s="0" t="s">
        <v>4837</v>
      </c>
      <c r="B11857" s="0" t="str">
        <f aca="false">HYPERLINK("https://lindat.mff.cuni.cz/services/teitok/pdtc10/index.php?action=vallex&amp;frame=v-w1542f1", "konzumovat (v-w1542f1)")</f>
        <v>konzumovat (v-w1542f1)</v>
      </c>
    </row>
    <row r="11858" customFormat="false" ht="12.8" hidden="false" customHeight="false" outlineLevel="0" collapsed="false">
      <c r="B11858" s="0" t="s">
        <v>7</v>
      </c>
    </row>
    <row r="11859" customFormat="false" ht="12.8" hidden="false" customHeight="false" outlineLevel="0" collapsed="false">
      <c r="B11859" s="0" t="s">
        <v>14</v>
      </c>
    </row>
    <row r="11861" customFormat="false" ht="12.8" hidden="false" customHeight="false" outlineLevel="0" collapsed="false">
      <c r="A11861" s="0" t="s">
        <v>4838</v>
      </c>
      <c r="B11861" s="0" t="str">
        <f aca="false">HYPERLINK("https://lindat.mff.cuni.cz/services/teitok/pdtc10/index.php?action=vallex&amp;frame=v-w1542hsa_325", "konzumovat (v-w1542hsa_325)")</f>
        <v>konzumovat (v-w1542hsa_325)</v>
      </c>
    </row>
    <row r="11862" customFormat="false" ht="12.8" hidden="false" customHeight="false" outlineLevel="0" collapsed="false">
      <c r="B11862" s="0" t="s">
        <v>7</v>
      </c>
    </row>
    <row r="11863" customFormat="false" ht="12.8" hidden="false" customHeight="false" outlineLevel="0" collapsed="false">
      <c r="B11863" s="0" t="s">
        <v>14</v>
      </c>
    </row>
    <row r="11865" customFormat="false" ht="12.8" hidden="false" customHeight="false" outlineLevel="0" collapsed="false">
      <c r="A11865" s="0" t="s">
        <v>4839</v>
      </c>
      <c r="B11865" s="0" t="str">
        <f aca="false">HYPERLINK("https://lindat.mff.cuni.cz/services/teitok/pdtc10/index.php?action=vallex&amp;frame=v-w1480f2", "končit (v-w1480f2)")</f>
        <v>končit (v-w1480f2)</v>
      </c>
    </row>
    <row r="11866" customFormat="false" ht="12.8" hidden="false" customHeight="false" outlineLevel="0" collapsed="false">
      <c r="B11866" s="0" t="s">
        <v>7</v>
      </c>
      <c r="C11866" s="0" t="s">
        <v>4840</v>
      </c>
      <c r="D11866" s="0" t="s">
        <v>1943</v>
      </c>
      <c r="E11866" s="0" t="s">
        <v>1944</v>
      </c>
      <c r="F11866" s="0" t="s">
        <v>1944</v>
      </c>
    </row>
    <row r="11867" customFormat="false" ht="12.8" hidden="false" customHeight="false" outlineLevel="0" collapsed="false">
      <c r="B11867" s="0" t="s">
        <v>14</v>
      </c>
      <c r="C11867" s="0" t="s">
        <v>4841</v>
      </c>
      <c r="D11867" s="0" t="s">
        <v>1946</v>
      </c>
      <c r="E11867" s="0" t="s">
        <v>1947</v>
      </c>
      <c r="F11867" s="0" t="s">
        <v>1947</v>
      </c>
    </row>
    <row r="11869" customFormat="false" ht="12.8" hidden="false" customHeight="false" outlineLevel="0" collapsed="false">
      <c r="A11869" s="0" t="s">
        <v>4842</v>
      </c>
      <c r="B11869" s="0" t="str">
        <f aca="false">HYPERLINK("https://lindat.mff.cuni.cz/services/teitok/pdtc10/index.php?action=vallex&amp;frame=v-w1480f3", "končit (v-w1480f3)")</f>
        <v>končit (v-w1480f3)</v>
      </c>
    </row>
    <row r="11870" customFormat="false" ht="12.8" hidden="false" customHeight="false" outlineLevel="0" collapsed="false">
      <c r="B11870" s="0" t="s">
        <v>7</v>
      </c>
      <c r="C11870" s="0" t="s">
        <v>1261</v>
      </c>
    </row>
    <row r="11871" customFormat="false" ht="12.8" hidden="false" customHeight="false" outlineLevel="0" collapsed="false">
      <c r="B11871" s="0" t="s">
        <v>14</v>
      </c>
      <c r="C11871" s="0" t="s">
        <v>3599</v>
      </c>
    </row>
    <row r="11873" customFormat="false" ht="12.8" hidden="false" customHeight="false" outlineLevel="0" collapsed="false">
      <c r="A11873" s="0" t="s">
        <v>4843</v>
      </c>
      <c r="B11873" s="0" t="str">
        <f aca="false">HYPERLINK("https://lindat.mff.cuni.cz/services/teitok/pdtc10/index.php?action=vallex&amp;frame=v-w1480f5", "končit (v-w1480f5)")</f>
        <v>končit (v-w1480f5)</v>
      </c>
    </row>
    <row r="11874" customFormat="false" ht="12.8" hidden="false" customHeight="false" outlineLevel="0" collapsed="false">
      <c r="B11874" s="0" t="s">
        <v>7</v>
      </c>
      <c r="C11874" s="0" t="s">
        <v>4844</v>
      </c>
      <c r="D11874" s="0" t="s">
        <v>1943</v>
      </c>
      <c r="E11874" s="0" t="s">
        <v>1944</v>
      </c>
      <c r="F11874" s="0" t="s">
        <v>1944</v>
      </c>
    </row>
    <row r="11875" customFormat="false" ht="12.8" hidden="false" customHeight="false" outlineLevel="0" collapsed="false">
      <c r="B11875" s="0" t="s">
        <v>548</v>
      </c>
      <c r="C11875" s="0" t="s">
        <v>4845</v>
      </c>
      <c r="D11875" s="0" t="s">
        <v>1946</v>
      </c>
      <c r="E11875" s="0" t="s">
        <v>1947</v>
      </c>
      <c r="F11875" s="0" t="s">
        <v>1947</v>
      </c>
    </row>
    <row r="11877" customFormat="false" ht="12.8" hidden="false" customHeight="false" outlineLevel="0" collapsed="false">
      <c r="A11877" s="0" t="s">
        <v>4846</v>
      </c>
      <c r="B11877" s="0" t="str">
        <f aca="false">HYPERLINK("https://lindat.mff.cuni.cz/services/teitok/pdtc10/index.php?action=vallex&amp;frame=v-w1480f1", "končit (v-w1480f1)")</f>
        <v>končit (v-w1480f1)</v>
      </c>
    </row>
    <row r="11878" customFormat="false" ht="12.8" hidden="false" customHeight="false" outlineLevel="0" collapsed="false">
      <c r="B11878" s="0" t="s">
        <v>7</v>
      </c>
      <c r="C11878" s="0" t="s">
        <v>4847</v>
      </c>
      <c r="D11878" s="0" t="s">
        <v>3676</v>
      </c>
      <c r="E11878" s="0" t="s">
        <v>3676</v>
      </c>
      <c r="F11878" s="0" t="s">
        <v>3676</v>
      </c>
    </row>
    <row r="11880" customFormat="false" ht="12.8" hidden="false" customHeight="false" outlineLevel="0" collapsed="false">
      <c r="A11880" s="0" t="s">
        <v>4848</v>
      </c>
      <c r="B11880" s="0" t="str">
        <f aca="false">HYPERLINK("https://lindat.mff.cuni.cz/services/teitok/pdtc10/index.php?action=vallex&amp;frame=v-w1480f4", "končit (v-w1480f4)")</f>
        <v>končit (v-w1480f4)</v>
      </c>
    </row>
    <row r="11881" customFormat="false" ht="12.8" hidden="false" customHeight="false" outlineLevel="0" collapsed="false">
      <c r="B11881" s="0" t="s">
        <v>7</v>
      </c>
      <c r="C11881" s="0" t="s">
        <v>4849</v>
      </c>
    </row>
    <row r="11882" customFormat="false" ht="12.8" hidden="false" customHeight="false" outlineLevel="0" collapsed="false">
      <c r="B11882" s="0" t="s">
        <v>552</v>
      </c>
    </row>
    <row r="11883" customFormat="false" ht="12.8" hidden="false" customHeight="false" outlineLevel="0" collapsed="false">
      <c r="B11883" s="0" t="s">
        <v>474</v>
      </c>
      <c r="C11883" s="0" t="s">
        <v>4850</v>
      </c>
    </row>
    <row r="11884" customFormat="false" ht="12.8" hidden="false" customHeight="false" outlineLevel="0" collapsed="false">
      <c r="B11884" s="0" t="s">
        <v>477</v>
      </c>
      <c r="C11884" s="0" t="s">
        <v>4851</v>
      </c>
    </row>
    <row r="11885" customFormat="false" ht="12.8" hidden="false" customHeight="false" outlineLevel="0" collapsed="false">
      <c r="B11885" s="0" t="s">
        <v>479</v>
      </c>
      <c r="C11885" s="0" t="s">
        <v>2082</v>
      </c>
    </row>
    <row r="11886" customFormat="false" ht="12.8" hidden="false" customHeight="false" outlineLevel="0" collapsed="false">
      <c r="B11886" s="0" t="s">
        <v>481</v>
      </c>
    </row>
    <row r="11888" customFormat="false" ht="12.8" hidden="false" customHeight="false" outlineLevel="0" collapsed="false">
      <c r="A11888" s="0" t="s">
        <v>4852</v>
      </c>
      <c r="B11888" s="0" t="str">
        <f aca="false">HYPERLINK("https://lindat.mff.cuni.cz/services/teitok/pdtc10/index.php?action=vallex&amp;frame=v-w1480hsa_1280", "končit (v-w1480hsa_1280)")</f>
        <v>končit (v-w1480hsa_1280)</v>
      </c>
    </row>
    <row r="11889" customFormat="false" ht="12.8" hidden="false" customHeight="false" outlineLevel="0" collapsed="false">
      <c r="B11889" s="0" t="s">
        <v>7</v>
      </c>
      <c r="C11889" s="0" t="s">
        <v>4853</v>
      </c>
      <c r="D11889" s="0" t="s">
        <v>4854</v>
      </c>
      <c r="E11889" s="0" t="s">
        <v>4854</v>
      </c>
      <c r="F11889" s="0" t="s">
        <v>4854</v>
      </c>
    </row>
    <row r="11890" customFormat="false" ht="12.8" hidden="false" customHeight="false" outlineLevel="0" collapsed="false">
      <c r="B11890" s="0" t="s">
        <v>1471</v>
      </c>
      <c r="C11890" s="0" t="s">
        <v>4855</v>
      </c>
      <c r="D11890" s="0" t="s">
        <v>4856</v>
      </c>
      <c r="E11890" s="0" t="s">
        <v>4856</v>
      </c>
      <c r="F11890" s="0" t="s">
        <v>4856</v>
      </c>
    </row>
    <row r="11891" customFormat="false" ht="12.8" hidden="false" customHeight="false" outlineLevel="0" collapsed="false">
      <c r="B11891" s="0" t="s">
        <v>474</v>
      </c>
      <c r="D11891" s="0" t="s">
        <v>4857</v>
      </c>
      <c r="E11891" s="0" t="s">
        <v>4857</v>
      </c>
      <c r="F11891" s="0" t="s">
        <v>4857</v>
      </c>
    </row>
    <row r="11892" customFormat="false" ht="12.8" hidden="false" customHeight="false" outlineLevel="0" collapsed="false">
      <c r="B11892" s="0" t="s">
        <v>479</v>
      </c>
      <c r="D11892" s="0" t="s">
        <v>4858</v>
      </c>
      <c r="E11892" s="0" t="s">
        <v>4858</v>
      </c>
      <c r="F11892" s="0" t="s">
        <v>4858</v>
      </c>
    </row>
    <row r="11894" customFormat="false" ht="12.8" hidden="false" customHeight="false" outlineLevel="0" collapsed="false">
      <c r="A11894" s="0" t="s">
        <v>4859</v>
      </c>
      <c r="B11894" s="0" t="str">
        <f aca="false">HYPERLINK("https://lindat.mff.cuni.cz/services/teitok/pdtc10/index.php?action=vallex&amp;frame=v-w1481f1", "končit se (v-w1481f1)")</f>
        <v>končit se (v-w1481f1)</v>
      </c>
    </row>
    <row r="11895" customFormat="false" ht="12.8" hidden="false" customHeight="false" outlineLevel="0" collapsed="false">
      <c r="B11895" s="0" t="s">
        <v>7</v>
      </c>
    </row>
    <row r="11897" customFormat="false" ht="12.8" hidden="false" customHeight="false" outlineLevel="0" collapsed="false">
      <c r="A11897" s="0" t="s">
        <v>4860</v>
      </c>
      <c r="B11897" s="0" t="str">
        <f aca="false">HYPERLINK("https://lindat.mff.cuni.cz/services/teitok/pdtc10/index.php?action=vallex&amp;frame=v-w1482f1", "končívat (v-w1482f1)")</f>
        <v>končívat (v-w1482f1)</v>
      </c>
    </row>
    <row r="11898" customFormat="false" ht="12.8" hidden="false" customHeight="false" outlineLevel="0" collapsed="false">
      <c r="B11898" s="0" t="s">
        <v>7</v>
      </c>
      <c r="D11898" s="0" t="s">
        <v>3676</v>
      </c>
      <c r="E11898" s="0" t="s">
        <v>3676</v>
      </c>
      <c r="F11898" s="0" t="s">
        <v>3676</v>
      </c>
    </row>
    <row r="11900" customFormat="false" ht="12.8" hidden="false" customHeight="false" outlineLevel="0" collapsed="false">
      <c r="A11900" s="0" t="s">
        <v>4861</v>
      </c>
      <c r="B11900" s="0" t="str">
        <f aca="false">HYPERLINK("https://lindat.mff.cuni.cz/services/teitok/pdtc10/index.php?action=vallex&amp;frame=v-w1544f1", "kooperovat (v-w1544f1)")</f>
        <v>kooperovat (v-w1544f1)</v>
      </c>
    </row>
    <row r="11901" customFormat="false" ht="12.8" hidden="false" customHeight="false" outlineLevel="0" collapsed="false">
      <c r="B11901" s="0" t="s">
        <v>7</v>
      </c>
    </row>
    <row r="11902" customFormat="false" ht="12.8" hidden="false" customHeight="false" outlineLevel="0" collapsed="false">
      <c r="B11902" s="0" t="s">
        <v>4703</v>
      </c>
    </row>
    <row r="11903" customFormat="false" ht="12.8" hidden="false" customHeight="false" outlineLevel="0" collapsed="false">
      <c r="B11903" s="0" t="s">
        <v>4862</v>
      </c>
    </row>
    <row r="11905" customFormat="false" ht="12.8" hidden="false" customHeight="false" outlineLevel="0" collapsed="false">
      <c r="A11905" s="0" t="s">
        <v>4863</v>
      </c>
      <c r="B11905" s="0" t="str">
        <f aca="false">HYPERLINK("https://lindat.mff.cuni.cz/services/teitok/pdtc10/index.php?action=vallex&amp;frame=v-w11802_ZUf1_ZU", "kooptovat (v-w11802_ZUf1_ZU)")</f>
        <v>kooptovat (v-w11802_ZUf1_ZU)</v>
      </c>
    </row>
    <row r="11906" customFormat="false" ht="12.8" hidden="false" customHeight="false" outlineLevel="0" collapsed="false">
      <c r="B11906" s="0" t="s">
        <v>7</v>
      </c>
    </row>
    <row r="11907" customFormat="false" ht="12.8" hidden="false" customHeight="false" outlineLevel="0" collapsed="false">
      <c r="B11907" s="0" t="s">
        <v>14</v>
      </c>
    </row>
    <row r="11909" customFormat="false" ht="12.8" hidden="false" customHeight="false" outlineLevel="0" collapsed="false">
      <c r="A11909" s="0" t="s">
        <v>4864</v>
      </c>
      <c r="B11909" s="0" t="str">
        <f aca="false">HYPERLINK("https://lindat.mff.cuni.cz/services/teitok/pdtc10/index.php?action=vallex&amp;frame=v-w1548f1", "koordinovat (v-w1548f1)")</f>
        <v>koordinovat (v-w1548f1)</v>
      </c>
    </row>
    <row r="11910" customFormat="false" ht="12.8" hidden="false" customHeight="false" outlineLevel="0" collapsed="false">
      <c r="B11910" s="0" t="s">
        <v>7</v>
      </c>
      <c r="C11910" s="0" t="s">
        <v>88</v>
      </c>
      <c r="D11910" s="0" t="s">
        <v>460</v>
      </c>
      <c r="E11910" s="0" t="s">
        <v>460</v>
      </c>
      <c r="F11910" s="0" t="s">
        <v>460</v>
      </c>
    </row>
    <row r="11911" customFormat="false" ht="12.8" hidden="false" customHeight="false" outlineLevel="0" collapsed="false">
      <c r="B11911" s="0" t="s">
        <v>14</v>
      </c>
      <c r="C11911" s="0" t="s">
        <v>4865</v>
      </c>
      <c r="D11911" s="0" t="s">
        <v>4866</v>
      </c>
      <c r="E11911" s="0" t="s">
        <v>4866</v>
      </c>
      <c r="F11911" s="0" t="s">
        <v>4866</v>
      </c>
    </row>
    <row r="11912" customFormat="false" ht="12.8" hidden="false" customHeight="false" outlineLevel="0" collapsed="false">
      <c r="B11912" s="0" t="s">
        <v>3086</v>
      </c>
      <c r="C11912" s="0" t="s">
        <v>38</v>
      </c>
      <c r="D11912" s="0" t="s">
        <v>1527</v>
      </c>
      <c r="E11912" s="0" t="s">
        <v>1527</v>
      </c>
      <c r="F11912" s="0" t="s">
        <v>1527</v>
      </c>
    </row>
    <row r="11914" customFormat="false" ht="12.8" hidden="false" customHeight="false" outlineLevel="0" collapsed="false">
      <c r="A11914" s="0" t="s">
        <v>4867</v>
      </c>
      <c r="B11914" s="0" t="str">
        <f aca="false">HYPERLINK("https://lindat.mff.cuni.cz/services/teitok/pdtc10/index.php?action=vallex&amp;frame=v-w1550f2", "kopat (v-w1550f2)")</f>
        <v>kopat (v-w1550f2)</v>
      </c>
    </row>
    <row r="11915" customFormat="false" ht="12.8" hidden="false" customHeight="false" outlineLevel="0" collapsed="false">
      <c r="B11915" s="0" t="s">
        <v>7</v>
      </c>
    </row>
    <row r="11916" customFormat="false" ht="12.8" hidden="false" customHeight="false" outlineLevel="0" collapsed="false">
      <c r="B11916" s="0" t="s">
        <v>14</v>
      </c>
    </row>
    <row r="11918" customFormat="false" ht="12.8" hidden="false" customHeight="false" outlineLevel="0" collapsed="false">
      <c r="A11918" s="0" t="s">
        <v>4868</v>
      </c>
      <c r="B11918" s="0" t="str">
        <f aca="false">HYPERLINK("https://lindat.mff.cuni.cz/services/teitok/pdtc10/index.php?action=vallex&amp;frame=v-w1550f3", "kopat (v-w1550f3)")</f>
        <v>kopat (v-w1550f3)</v>
      </c>
    </row>
    <row r="11919" customFormat="false" ht="12.8" hidden="false" customHeight="false" outlineLevel="0" collapsed="false">
      <c r="B11919" s="0" t="s">
        <v>7</v>
      </c>
      <c r="C11919" s="0" t="s">
        <v>191</v>
      </c>
      <c r="D11919" s="0" t="s">
        <v>31</v>
      </c>
      <c r="E11919" s="0" t="s">
        <v>31</v>
      </c>
      <c r="F11919" s="0" t="s">
        <v>31</v>
      </c>
    </row>
    <row r="11920" customFormat="false" ht="12.8" hidden="false" customHeight="false" outlineLevel="0" collapsed="false">
      <c r="B11920" s="0" t="s">
        <v>14</v>
      </c>
      <c r="C11920" s="0" t="s">
        <v>115</v>
      </c>
      <c r="D11920" s="0" t="s">
        <v>624</v>
      </c>
      <c r="E11920" s="0" t="s">
        <v>624</v>
      </c>
      <c r="F11920" s="0" t="s">
        <v>624</v>
      </c>
    </row>
    <row r="11922" customFormat="false" ht="12.8" hidden="false" customHeight="false" outlineLevel="0" collapsed="false">
      <c r="A11922" s="0" t="s">
        <v>4869</v>
      </c>
      <c r="B11922" s="0" t="str">
        <f aca="false">HYPERLINK("https://lindat.mff.cuni.cz/services/teitok/pdtc10/index.php?action=vallex&amp;frame=v-w1550f1", "kopat (v-w1550f1)")</f>
        <v>kopat (v-w1550f1)</v>
      </c>
    </row>
    <row r="11923" customFormat="false" ht="12.8" hidden="false" customHeight="false" outlineLevel="0" collapsed="false">
      <c r="B11923" s="0" t="s">
        <v>7</v>
      </c>
      <c r="C11923" s="0" t="s">
        <v>191</v>
      </c>
      <c r="D11923" s="0" t="s">
        <v>191</v>
      </c>
      <c r="E11923" s="0" t="s">
        <v>191</v>
      </c>
      <c r="F11923" s="0" t="s">
        <v>191</v>
      </c>
    </row>
    <row r="11925" customFormat="false" ht="12.8" hidden="false" customHeight="false" outlineLevel="0" collapsed="false">
      <c r="A11925" s="0" t="s">
        <v>4870</v>
      </c>
      <c r="B11925" s="0" t="str">
        <f aca="false">HYPERLINK("https://lindat.mff.cuni.cz/services/teitok/pdtc10/index.php?action=vallex&amp;frame=v-w1550f5_ZU", "kopat (v-w1550f5_ZU)")</f>
        <v>kopat (v-w1550f5_ZU)</v>
      </c>
    </row>
    <row r="11926" customFormat="false" ht="12.8" hidden="false" customHeight="false" outlineLevel="0" collapsed="false">
      <c r="B11926" s="0" t="s">
        <v>7</v>
      </c>
    </row>
    <row r="11927" customFormat="false" ht="12.8" hidden="false" customHeight="false" outlineLevel="0" collapsed="false">
      <c r="B11927" s="0" t="s">
        <v>14</v>
      </c>
    </row>
    <row r="11929" customFormat="false" ht="12.8" hidden="false" customHeight="false" outlineLevel="0" collapsed="false">
      <c r="A11929" s="0" t="s">
        <v>4870</v>
      </c>
      <c r="B11929" s="0" t="str">
        <f aca="false">HYPERLINK("https://lindat.mff.cuni.cz/services/teitok/pdtc10/index.php?action=vallex&amp;frame=v-w1550f4_ZU", "kopat (v-w1550f4_ZU) - substituted with v-w1550f5_ZU")</f>
        <v>kopat (v-w1550f4_ZU) - substituted with v-w1550f5_ZU</v>
      </c>
    </row>
    <row r="11930" customFormat="false" ht="12.8" hidden="false" customHeight="false" outlineLevel="0" collapsed="false">
      <c r="B11930" s="0" t="s">
        <v>7</v>
      </c>
    </row>
    <row r="11931" customFormat="false" ht="12.8" hidden="false" customHeight="false" outlineLevel="0" collapsed="false">
      <c r="B11931" s="0" t="s">
        <v>14</v>
      </c>
    </row>
    <row r="11933" customFormat="false" ht="12.8" hidden="false" customHeight="false" outlineLevel="0" collapsed="false">
      <c r="A11933" s="0" t="s">
        <v>4871</v>
      </c>
      <c r="B11933" s="0" t="str">
        <f aca="false">HYPERLINK("https://lindat.mff.cuni.cz/services/teitok/pdtc10/index.php?action=vallex&amp;frame=v-w1550hsa_1193", "kopat (v-w1550hsa_1193)")</f>
        <v>kopat (v-w1550hsa_1193)</v>
      </c>
    </row>
    <row r="11934" customFormat="false" ht="12.8" hidden="false" customHeight="false" outlineLevel="0" collapsed="false">
      <c r="B11934" s="0" t="s">
        <v>7</v>
      </c>
    </row>
    <row r="11935" customFormat="false" ht="12.8" hidden="false" customHeight="false" outlineLevel="0" collapsed="false">
      <c r="B11935" s="0" t="s">
        <v>14</v>
      </c>
    </row>
    <row r="11937" customFormat="false" ht="12.8" hidden="false" customHeight="false" outlineLevel="0" collapsed="false">
      <c r="A11937" s="0" t="s">
        <v>4872</v>
      </c>
      <c r="B11937" s="0" t="str">
        <f aca="false">HYPERLINK("https://lindat.mff.cuni.cz/services/teitok/pdtc10/index.php?action=vallex&amp;frame=v-whsa_501hsa_502", "kopat si (v-whsa_501hsa_502)")</f>
        <v>kopat si (v-whsa_501hsa_502)</v>
      </c>
    </row>
    <row r="11938" customFormat="false" ht="12.8" hidden="false" customHeight="false" outlineLevel="0" collapsed="false">
      <c r="B11938" s="0" t="s">
        <v>7</v>
      </c>
    </row>
    <row r="11939" customFormat="false" ht="12.8" hidden="false" customHeight="false" outlineLevel="0" collapsed="false">
      <c r="B11939" s="0" t="s">
        <v>4873</v>
      </c>
    </row>
    <row r="11941" customFormat="false" ht="12.8" hidden="false" customHeight="false" outlineLevel="0" collapsed="false">
      <c r="A11941" s="0" t="s">
        <v>4874</v>
      </c>
      <c r="B11941" s="0" t="str">
        <f aca="false">HYPERLINK("https://lindat.mff.cuni.cz/services/teitok/pdtc10/index.php?action=vallex&amp;frame=v-w1554f1", "kopnout (v-w1554f1)")</f>
        <v>kopnout (v-w1554f1)</v>
      </c>
    </row>
    <row r="11942" customFormat="false" ht="12.8" hidden="false" customHeight="false" outlineLevel="0" collapsed="false">
      <c r="B11942" s="0" t="s">
        <v>7</v>
      </c>
      <c r="D11942" s="0" t="s">
        <v>191</v>
      </c>
      <c r="E11942" s="0" t="s">
        <v>191</v>
      </c>
      <c r="F11942" s="0" t="s">
        <v>191</v>
      </c>
    </row>
    <row r="11943" customFormat="false" ht="12.8" hidden="false" customHeight="false" outlineLevel="0" collapsed="false">
      <c r="B11943" s="0" t="s">
        <v>14</v>
      </c>
      <c r="D11943" s="0" t="s">
        <v>115</v>
      </c>
      <c r="E11943" s="0" t="s">
        <v>115</v>
      </c>
      <c r="F11943" s="0" t="s">
        <v>115</v>
      </c>
    </row>
    <row r="11945" customFormat="false" ht="12.8" hidden="false" customHeight="false" outlineLevel="0" collapsed="false">
      <c r="A11945" s="0" t="s">
        <v>4875</v>
      </c>
      <c r="B11945" s="0" t="str">
        <f aca="false">HYPERLINK("https://lindat.mff.cuni.cz/services/teitok/pdtc10/index.php?action=vallex&amp;frame=v-w1552f2", "kopírovat (v-w1552f2)")</f>
        <v>kopírovat (v-w1552f2)</v>
      </c>
    </row>
    <row r="11946" customFormat="false" ht="12.8" hidden="false" customHeight="false" outlineLevel="0" collapsed="false">
      <c r="B11946" s="0" t="s">
        <v>7</v>
      </c>
      <c r="C11946" s="0" t="s">
        <v>4876</v>
      </c>
      <c r="D11946" s="0" t="s">
        <v>2736</v>
      </c>
      <c r="E11946" s="0" t="s">
        <v>2736</v>
      </c>
      <c r="F11946" s="0" t="s">
        <v>2736</v>
      </c>
    </row>
    <row r="11947" customFormat="false" ht="12.8" hidden="false" customHeight="false" outlineLevel="0" collapsed="false">
      <c r="B11947" s="0" t="s">
        <v>93</v>
      </c>
      <c r="C11947" s="0" t="s">
        <v>4877</v>
      </c>
      <c r="D11947" s="0" t="s">
        <v>624</v>
      </c>
      <c r="E11947" s="0" t="s">
        <v>624</v>
      </c>
      <c r="F11947" s="0" t="s">
        <v>624</v>
      </c>
    </row>
    <row r="11949" customFormat="false" ht="12.8" hidden="false" customHeight="false" outlineLevel="0" collapsed="false">
      <c r="A11949" s="0" t="s">
        <v>4878</v>
      </c>
      <c r="B11949" s="0" t="str">
        <f aca="false">HYPERLINK("https://lindat.mff.cuni.cz/services/teitok/pdtc10/index.php?action=vallex&amp;frame=v-w1552f1", "kopírovat (v-w1552f1)")</f>
        <v>kopírovat (v-w1552f1)</v>
      </c>
    </row>
    <row r="11950" customFormat="false" ht="12.8" hidden="false" customHeight="false" outlineLevel="0" collapsed="false">
      <c r="B11950" s="0" t="s">
        <v>7</v>
      </c>
      <c r="C11950" s="0" t="s">
        <v>335</v>
      </c>
      <c r="D11950" s="0" t="s">
        <v>113</v>
      </c>
      <c r="E11950" s="0" t="s">
        <v>113</v>
      </c>
      <c r="F11950" s="0" t="s">
        <v>113</v>
      </c>
    </row>
    <row r="11951" customFormat="false" ht="12.8" hidden="false" customHeight="false" outlineLevel="0" collapsed="false">
      <c r="B11951" s="0" t="s">
        <v>14</v>
      </c>
      <c r="C11951" s="0" t="s">
        <v>78</v>
      </c>
      <c r="D11951" s="0" t="s">
        <v>624</v>
      </c>
      <c r="E11951" s="0" t="s">
        <v>624</v>
      </c>
      <c r="F11951" s="0" t="s">
        <v>624</v>
      </c>
    </row>
    <row r="11953" customFormat="false" ht="12.8" hidden="false" customHeight="false" outlineLevel="0" collapsed="false">
      <c r="A11953" s="0" t="s">
        <v>4879</v>
      </c>
      <c r="B11953" s="0" t="str">
        <f aca="false">HYPERLINK("https://lindat.mff.cuni.cz/services/teitok/pdtc10/index.php?action=vallex&amp;frame=v-whsa_1878hsa_1879", "korepetovat (v-whsa_1878hsa_1879)")</f>
        <v>korepetovat (v-whsa_1878hsa_1879)</v>
      </c>
    </row>
    <row r="11954" customFormat="false" ht="12.8" hidden="false" customHeight="false" outlineLevel="0" collapsed="false">
      <c r="B11954" s="0" t="s">
        <v>7</v>
      </c>
    </row>
    <row r="11955" customFormat="false" ht="12.8" hidden="false" customHeight="false" outlineLevel="0" collapsed="false">
      <c r="B11955" s="0" t="s">
        <v>14</v>
      </c>
    </row>
    <row r="11957" customFormat="false" ht="12.8" hidden="false" customHeight="false" outlineLevel="0" collapsed="false">
      <c r="A11957" s="0" t="s">
        <v>4880</v>
      </c>
      <c r="B11957" s="0" t="str">
        <f aca="false">HYPERLINK("https://lindat.mff.cuni.cz/services/teitok/pdtc10/index.php?action=vallex&amp;frame=v-w1559f1", "korespondovat (v-w1559f1)")</f>
        <v>korespondovat (v-w1559f1)</v>
      </c>
    </row>
    <row r="11958" customFormat="false" ht="12.8" hidden="false" customHeight="false" outlineLevel="0" collapsed="false">
      <c r="B11958" s="0" t="s">
        <v>7</v>
      </c>
      <c r="C11958" s="0" t="s">
        <v>396</v>
      </c>
      <c r="D11958" s="0" t="s">
        <v>396</v>
      </c>
      <c r="E11958" s="0" t="s">
        <v>396</v>
      </c>
      <c r="F11958" s="0" t="s">
        <v>396</v>
      </c>
    </row>
    <row r="11959" customFormat="false" ht="12.8" hidden="false" customHeight="false" outlineLevel="0" collapsed="false">
      <c r="B11959" s="0" t="s">
        <v>548</v>
      </c>
      <c r="C11959" s="0" t="s">
        <v>3694</v>
      </c>
      <c r="D11959" s="0" t="s">
        <v>3694</v>
      </c>
      <c r="E11959" s="0" t="s">
        <v>3694</v>
      </c>
      <c r="F11959" s="0" t="s">
        <v>3694</v>
      </c>
    </row>
    <row r="11961" customFormat="false" ht="12.8" hidden="false" customHeight="false" outlineLevel="0" collapsed="false">
      <c r="A11961" s="0" t="s">
        <v>4881</v>
      </c>
      <c r="B11961" s="0" t="str">
        <f aca="false">HYPERLINK("https://lindat.mff.cuni.cz/services/teitok/pdtc10/index.php?action=vallex&amp;frame=v-w1559f2", "korespondovat (v-w1559f2)")</f>
        <v>korespondovat (v-w1559f2)</v>
      </c>
    </row>
    <row r="11962" customFormat="false" ht="12.8" hidden="false" customHeight="false" outlineLevel="0" collapsed="false">
      <c r="B11962" s="0" t="s">
        <v>7</v>
      </c>
    </row>
    <row r="11963" customFormat="false" ht="12.8" hidden="false" customHeight="false" outlineLevel="0" collapsed="false">
      <c r="B11963" s="0" t="s">
        <v>207</v>
      </c>
    </row>
    <row r="11964" customFormat="false" ht="12.8" hidden="false" customHeight="false" outlineLevel="0" collapsed="false">
      <c r="B11964" s="0" t="s">
        <v>363</v>
      </c>
    </row>
    <row r="11966" customFormat="false" ht="12.8" hidden="false" customHeight="false" outlineLevel="0" collapsed="false">
      <c r="A11966" s="0" t="s">
        <v>4882</v>
      </c>
      <c r="B11966" s="0" t="str">
        <f aca="false">HYPERLINK("https://lindat.mff.cuni.cz/services/teitok/pdtc10/index.php?action=vallex&amp;frame=v-w1559f3_ZU", "korespondovat (v-w1559f3_ZU)")</f>
        <v>korespondovat (v-w1559f3_ZU)</v>
      </c>
    </row>
    <row r="11967" customFormat="false" ht="12.8" hidden="false" customHeight="false" outlineLevel="0" collapsed="false">
      <c r="B11967" s="0" t="s">
        <v>7</v>
      </c>
    </row>
    <row r="11968" customFormat="false" ht="12.8" hidden="false" customHeight="false" outlineLevel="0" collapsed="false">
      <c r="B11968" s="0" t="s">
        <v>14</v>
      </c>
    </row>
    <row r="11970" customFormat="false" ht="12.8" hidden="false" customHeight="false" outlineLevel="0" collapsed="false">
      <c r="A11970" s="0" t="s">
        <v>4883</v>
      </c>
      <c r="B11970" s="0" t="str">
        <f aca="false">HYPERLINK("https://lindat.mff.cuni.cz/services/teitok/pdtc10/index.php?action=vallex&amp;frame=v-w1560f1", "korigovat (v-w1560f1)")</f>
        <v>korigovat (v-w1560f1)</v>
      </c>
    </row>
    <row r="11971" customFormat="false" ht="12.8" hidden="false" customHeight="false" outlineLevel="0" collapsed="false">
      <c r="B11971" s="0" t="s">
        <v>7</v>
      </c>
      <c r="D11971" s="0" t="s">
        <v>3610</v>
      </c>
      <c r="E11971" s="0" t="s">
        <v>3610</v>
      </c>
      <c r="F11971" s="0" t="s">
        <v>3610</v>
      </c>
    </row>
    <row r="11972" customFormat="false" ht="12.8" hidden="false" customHeight="false" outlineLevel="0" collapsed="false">
      <c r="B11972" s="0" t="s">
        <v>14</v>
      </c>
      <c r="D11972" s="0" t="s">
        <v>4884</v>
      </c>
      <c r="E11972" s="0" t="s">
        <v>4884</v>
      </c>
      <c r="F11972" s="0" t="s">
        <v>4884</v>
      </c>
    </row>
    <row r="11973" customFormat="false" ht="12.8" hidden="false" customHeight="false" outlineLevel="0" collapsed="false">
      <c r="B11973" s="0" t="s">
        <v>4885</v>
      </c>
    </row>
    <row r="11975" customFormat="false" ht="12.8" hidden="false" customHeight="false" outlineLevel="0" collapsed="false">
      <c r="A11975" s="0" t="s">
        <v>4886</v>
      </c>
      <c r="B11975" s="0" t="str">
        <f aca="false">HYPERLINK("https://lindat.mff.cuni.cz/services/teitok/pdtc10/index.php?action=vallex&amp;frame=v-w10472f2", "kormidlovat (v-w10472f2)")</f>
        <v>kormidlovat (v-w10472f2)</v>
      </c>
    </row>
    <row r="11976" customFormat="false" ht="12.8" hidden="false" customHeight="false" outlineLevel="0" collapsed="false">
      <c r="B11976" s="0" t="s">
        <v>7</v>
      </c>
      <c r="C11976" s="0" t="s">
        <v>569</v>
      </c>
      <c r="D11976" s="0" t="s">
        <v>569</v>
      </c>
      <c r="E11976" s="0" t="s">
        <v>569</v>
      </c>
      <c r="F11976" s="0" t="s">
        <v>569</v>
      </c>
    </row>
    <row r="11977" customFormat="false" ht="12.8" hidden="false" customHeight="false" outlineLevel="0" collapsed="false">
      <c r="B11977" s="0" t="s">
        <v>14</v>
      </c>
      <c r="C11977" s="0" t="s">
        <v>78</v>
      </c>
      <c r="D11977" s="0" t="s">
        <v>78</v>
      </c>
      <c r="E11977" s="0" t="s">
        <v>78</v>
      </c>
      <c r="F11977" s="0" t="s">
        <v>78</v>
      </c>
    </row>
    <row r="11979" customFormat="false" ht="12.8" hidden="false" customHeight="false" outlineLevel="0" collapsed="false">
      <c r="A11979" s="0" t="s">
        <v>4887</v>
      </c>
      <c r="B11979" s="0" t="str">
        <f aca="false">HYPERLINK("https://lindat.mff.cuni.cz/services/teitok/pdtc10/index.php?action=vallex&amp;frame=v-w1561f1", "korodovat (v-w1561f1)")</f>
        <v>korodovat (v-w1561f1)</v>
      </c>
    </row>
    <row r="11980" customFormat="false" ht="12.8" hidden="false" customHeight="false" outlineLevel="0" collapsed="false">
      <c r="B11980" s="0" t="s">
        <v>7</v>
      </c>
    </row>
    <row r="11982" customFormat="false" ht="12.8" hidden="false" customHeight="false" outlineLevel="0" collapsed="false">
      <c r="A11982" s="0" t="s">
        <v>4888</v>
      </c>
      <c r="B11982" s="0" t="str">
        <f aca="false">HYPERLINK("https://lindat.mff.cuni.cz/services/teitok/pdtc10/index.php?action=vallex&amp;frame=v-w1563f1", "korumpovat (v-w1563f1)")</f>
        <v>korumpovat (v-w1563f1)</v>
      </c>
    </row>
    <row r="11983" customFormat="false" ht="12.8" hidden="false" customHeight="false" outlineLevel="0" collapsed="false">
      <c r="B11983" s="0" t="s">
        <v>7</v>
      </c>
    </row>
    <row r="11984" customFormat="false" ht="12.8" hidden="false" customHeight="false" outlineLevel="0" collapsed="false">
      <c r="B11984" s="0" t="s">
        <v>14</v>
      </c>
    </row>
    <row r="11986" customFormat="false" ht="12.8" hidden="false" customHeight="false" outlineLevel="0" collapsed="false">
      <c r="A11986" s="0" t="s">
        <v>4889</v>
      </c>
      <c r="B11986" s="0" t="str">
        <f aca="false">HYPERLINK("https://lindat.mff.cuni.cz/services/teitok/pdtc10/index.php?action=vallex&amp;frame=v-w11514_ZUf2_ZU", "korunovat (v-w11514_ZUf2_ZU)")</f>
        <v>korunovat (v-w11514_ZUf2_ZU)</v>
      </c>
    </row>
    <row r="11987" customFormat="false" ht="12.8" hidden="false" customHeight="false" outlineLevel="0" collapsed="false">
      <c r="B11987" s="0" t="s">
        <v>7</v>
      </c>
    </row>
    <row r="11988" customFormat="false" ht="12.8" hidden="false" customHeight="false" outlineLevel="0" collapsed="false">
      <c r="B11988" s="0" t="s">
        <v>14</v>
      </c>
    </row>
    <row r="11989" customFormat="false" ht="12.8" hidden="false" customHeight="false" outlineLevel="0" collapsed="false">
      <c r="B11989" s="0" t="s">
        <v>4890</v>
      </c>
    </row>
    <row r="11991" customFormat="false" ht="12.8" hidden="false" customHeight="false" outlineLevel="0" collapsed="false">
      <c r="A11991" s="0" t="s">
        <v>4889</v>
      </c>
      <c r="B11991" s="0" t="str">
        <f aca="false">HYPERLINK("https://lindat.mff.cuni.cz/services/teitok/pdtc10/index.php?action=vallex&amp;frame=v-w11514_ZUf1_ZU", "korunovat (v-w11514_ZUf1_ZU) - substituted with v-w11514_ZUf2_ZU")</f>
        <v>korunovat (v-w11514_ZUf1_ZU) - substituted with v-w11514_ZUf2_ZU</v>
      </c>
    </row>
    <row r="11992" customFormat="false" ht="12.8" hidden="false" customHeight="false" outlineLevel="0" collapsed="false">
      <c r="B11992" s="0" t="s">
        <v>7</v>
      </c>
    </row>
    <row r="11993" customFormat="false" ht="12.8" hidden="false" customHeight="false" outlineLevel="0" collapsed="false">
      <c r="B11993" s="0" t="s">
        <v>14</v>
      </c>
    </row>
    <row r="11994" customFormat="false" ht="12.8" hidden="false" customHeight="false" outlineLevel="0" collapsed="false">
      <c r="B11994" s="0" t="s">
        <v>4890</v>
      </c>
    </row>
    <row r="11996" customFormat="false" ht="12.8" hidden="false" customHeight="false" outlineLevel="0" collapsed="false">
      <c r="A11996" s="0" t="s">
        <v>4891</v>
      </c>
      <c r="B11996" s="0" t="str">
        <f aca="false">HYPERLINK("https://lindat.mff.cuni.cz/services/teitok/pdtc10/index.php?action=vallex&amp;frame=v-w1564f1", "korunovat (v-w1564f1)")</f>
        <v>korunovat (v-w1564f1)</v>
      </c>
    </row>
    <row r="11997" customFormat="false" ht="12.8" hidden="false" customHeight="false" outlineLevel="0" collapsed="false">
      <c r="B11997" s="0" t="s">
        <v>7</v>
      </c>
    </row>
    <row r="11998" customFormat="false" ht="12.8" hidden="false" customHeight="false" outlineLevel="0" collapsed="false">
      <c r="B11998" s="0" t="s">
        <v>14</v>
      </c>
    </row>
    <row r="12000" customFormat="false" ht="12.8" hidden="false" customHeight="false" outlineLevel="0" collapsed="false">
      <c r="A12000" s="0" t="s">
        <v>4892</v>
      </c>
      <c r="B12000" s="0" t="str">
        <f aca="false">HYPERLINK("https://lindat.mff.cuni.cz/services/teitok/pdtc10/index.php?action=vallex&amp;frame=v-whsa_192hsa_193", "korzovat (v-whsa_192hsa_193)")</f>
        <v>korzovat (v-whsa_192hsa_193)</v>
      </c>
    </row>
    <row r="12001" customFormat="false" ht="12.8" hidden="false" customHeight="false" outlineLevel="0" collapsed="false">
      <c r="B12001" s="0" t="s">
        <v>7</v>
      </c>
      <c r="C12001" s="0" t="s">
        <v>191</v>
      </c>
      <c r="D12001" s="0" t="s">
        <v>126</v>
      </c>
      <c r="E12001" s="0" t="s">
        <v>194</v>
      </c>
      <c r="F12001" s="0" t="s">
        <v>194</v>
      </c>
    </row>
    <row r="12003" customFormat="false" ht="12.8" hidden="false" customHeight="false" outlineLevel="0" collapsed="false">
      <c r="A12003" s="0" t="s">
        <v>4893</v>
      </c>
      <c r="B12003" s="0" t="str">
        <f aca="false">HYPERLINK("https://lindat.mff.cuni.cz/services/teitok/pdtc10/index.php?action=vallex&amp;frame=v-whsb_671hsa_672", "kosit (v-whsb_671hsa_672)")</f>
        <v>kosit (v-whsb_671hsa_672)</v>
      </c>
    </row>
    <row r="12004" customFormat="false" ht="12.8" hidden="false" customHeight="false" outlineLevel="0" collapsed="false">
      <c r="B12004" s="0" t="s">
        <v>7</v>
      </c>
    </row>
    <row r="12005" customFormat="false" ht="12.8" hidden="false" customHeight="false" outlineLevel="0" collapsed="false">
      <c r="B12005" s="0" t="s">
        <v>14</v>
      </c>
    </row>
    <row r="12007" customFormat="false" ht="12.8" hidden="false" customHeight="false" outlineLevel="0" collapsed="false">
      <c r="A12007" s="0" t="s">
        <v>4894</v>
      </c>
      <c r="B12007" s="0" t="str">
        <f aca="false">HYPERLINK("https://lindat.mff.cuni.cz/services/teitok/pdtc10/index.php?action=vallex&amp;frame=v-whsa_126f1_ZU", "kotovat (v-whsa_126f1_ZU)")</f>
        <v>kotovat (v-whsa_126f1_ZU)</v>
      </c>
    </row>
    <row r="12008" customFormat="false" ht="12.8" hidden="false" customHeight="false" outlineLevel="0" collapsed="false">
      <c r="B12008" s="0" t="s">
        <v>7</v>
      </c>
      <c r="C12008" s="0" t="s">
        <v>4895</v>
      </c>
      <c r="D12008" s="0" t="s">
        <v>1135</v>
      </c>
      <c r="E12008" s="0" t="s">
        <v>1135</v>
      </c>
      <c r="F12008" s="0" t="s">
        <v>1135</v>
      </c>
    </row>
    <row r="12009" customFormat="false" ht="12.8" hidden="false" customHeight="false" outlineLevel="0" collapsed="false">
      <c r="B12009" s="0" t="s">
        <v>14</v>
      </c>
      <c r="C12009" s="0" t="s">
        <v>4896</v>
      </c>
      <c r="D12009" s="0" t="s">
        <v>1137</v>
      </c>
      <c r="E12009" s="0" t="s">
        <v>1137</v>
      </c>
      <c r="F12009" s="0" t="s">
        <v>1137</v>
      </c>
    </row>
    <row r="12010" customFormat="false" ht="12.8" hidden="false" customHeight="false" outlineLevel="0" collapsed="false">
      <c r="B12010" s="0" t="s">
        <v>84</v>
      </c>
      <c r="C12010" s="0" t="s">
        <v>4897</v>
      </c>
      <c r="D12010" s="0" t="s">
        <v>1139</v>
      </c>
      <c r="E12010" s="0" t="s">
        <v>1139</v>
      </c>
      <c r="F12010" s="0" t="s">
        <v>1139</v>
      </c>
    </row>
    <row r="12012" customFormat="false" ht="12.8" hidden="false" customHeight="false" outlineLevel="0" collapsed="false">
      <c r="A12012" s="0" t="s">
        <v>4894</v>
      </c>
      <c r="B12012" s="0" t="str">
        <f aca="false">HYPERLINK("https://lindat.mff.cuni.cz/services/teitok/pdtc10/index.php?action=vallex&amp;frame=v-whsa_126hsa_127", "kotovat (v-whsa_126hsa_127) - substituted with v-whsa_126f1_ZU")</f>
        <v>kotovat (v-whsa_126hsa_127) - substituted with v-whsa_126f1_ZU</v>
      </c>
    </row>
    <row r="12013" customFormat="false" ht="12.8" hidden="false" customHeight="false" outlineLevel="0" collapsed="false">
      <c r="B12013" s="0" t="s">
        <v>7</v>
      </c>
    </row>
    <row r="12014" customFormat="false" ht="12.8" hidden="false" customHeight="false" outlineLevel="0" collapsed="false">
      <c r="B12014" s="0" t="s">
        <v>14</v>
      </c>
    </row>
    <row r="12015" customFormat="false" ht="12.8" hidden="false" customHeight="false" outlineLevel="0" collapsed="false">
      <c r="B12015" s="0" t="s">
        <v>84</v>
      </c>
    </row>
    <row r="12017" customFormat="false" ht="12.8" hidden="false" customHeight="false" outlineLevel="0" collapsed="false">
      <c r="A12017" s="0" t="s">
        <v>4898</v>
      </c>
      <c r="B12017" s="0" t="str">
        <f aca="false">HYPERLINK("https://lindat.mff.cuni.cz/services/teitok/pdtc10/index.php?action=vallex&amp;frame=v-w1568f2", "kotvit (v-w1568f2)")</f>
        <v>kotvit (v-w1568f2)</v>
      </c>
    </row>
    <row r="12018" customFormat="false" ht="12.8" hidden="false" customHeight="false" outlineLevel="0" collapsed="false">
      <c r="B12018" s="0" t="s">
        <v>7</v>
      </c>
    </row>
    <row r="12019" customFormat="false" ht="12.8" hidden="false" customHeight="false" outlineLevel="0" collapsed="false">
      <c r="B12019" s="0" t="s">
        <v>14</v>
      </c>
    </row>
    <row r="12020" customFormat="false" ht="12.8" hidden="false" customHeight="false" outlineLevel="0" collapsed="false">
      <c r="B12020" s="0" t="s">
        <v>124</v>
      </c>
    </row>
    <row r="12022" customFormat="false" ht="12.8" hidden="false" customHeight="false" outlineLevel="0" collapsed="false">
      <c r="A12022" s="0" t="s">
        <v>4899</v>
      </c>
      <c r="B12022" s="0" t="str">
        <f aca="false">HYPERLINK("https://lindat.mff.cuni.cz/services/teitok/pdtc10/index.php?action=vallex&amp;frame=v-w1568f1", "kotvit (v-w1568f1)")</f>
        <v>kotvit (v-w1568f1)</v>
      </c>
    </row>
    <row r="12023" customFormat="false" ht="12.8" hidden="false" customHeight="false" outlineLevel="0" collapsed="false">
      <c r="B12023" s="0" t="s">
        <v>7</v>
      </c>
    </row>
    <row r="12025" customFormat="false" ht="12.8" hidden="false" customHeight="false" outlineLevel="0" collapsed="false">
      <c r="A12025" s="0" t="s">
        <v>4900</v>
      </c>
      <c r="B12025" s="0" t="str">
        <f aca="false">HYPERLINK("https://lindat.mff.cuni.cz/services/teitok/pdtc10/index.php?action=vallex&amp;frame=v-w1570f5_ZU", "koukat (v-w1570f5_ZU)")</f>
        <v>koukat (v-w1570f5_ZU)</v>
      </c>
    </row>
    <row r="12026" customFormat="false" ht="12.8" hidden="false" customHeight="false" outlineLevel="0" collapsed="false">
      <c r="B12026" s="0" t="s">
        <v>7</v>
      </c>
    </row>
    <row r="12027" customFormat="false" ht="12.8" hidden="false" customHeight="false" outlineLevel="0" collapsed="false">
      <c r="B12027" s="0" t="s">
        <v>4901</v>
      </c>
    </row>
    <row r="12029" customFormat="false" ht="12.8" hidden="false" customHeight="false" outlineLevel="0" collapsed="false">
      <c r="A12029" s="0" t="s">
        <v>4900</v>
      </c>
      <c r="B12029" s="0" t="str">
        <f aca="false">HYPERLINK("https://lindat.mff.cuni.cz/services/teitok/pdtc10/index.php?action=vallex&amp;frame=v-w1570f2", "koukat (v-w1570f2) - substituted with v-w1570f5_ZU")</f>
        <v>koukat (v-w1570f2) - substituted with v-w1570f5_ZU</v>
      </c>
    </row>
    <row r="12030" customFormat="false" ht="12.8" hidden="false" customHeight="false" outlineLevel="0" collapsed="false">
      <c r="B12030" s="0" t="s">
        <v>7</v>
      </c>
    </row>
    <row r="12031" customFormat="false" ht="12.8" hidden="false" customHeight="false" outlineLevel="0" collapsed="false">
      <c r="B12031" s="0" t="s">
        <v>4901</v>
      </c>
    </row>
    <row r="12033" customFormat="false" ht="12.8" hidden="false" customHeight="false" outlineLevel="0" collapsed="false">
      <c r="A12033" s="0" t="s">
        <v>4902</v>
      </c>
      <c r="B12033" s="0" t="str">
        <f aca="false">HYPERLINK("https://lindat.mff.cuni.cz/services/teitok/pdtc10/index.php?action=vallex&amp;frame=v-w1570f12_ZU", "koukat (v-w1570f12_ZU)")</f>
        <v>koukat (v-w1570f12_ZU)</v>
      </c>
    </row>
    <row r="12034" customFormat="false" ht="12.8" hidden="false" customHeight="false" outlineLevel="0" collapsed="false">
      <c r="B12034" s="0" t="s">
        <v>7</v>
      </c>
    </row>
    <row r="12035" customFormat="false" ht="12.8" hidden="false" customHeight="false" outlineLevel="0" collapsed="false">
      <c r="B12035" s="0" t="s">
        <v>4903</v>
      </c>
    </row>
    <row r="12037" customFormat="false" ht="12.8" hidden="false" customHeight="false" outlineLevel="0" collapsed="false">
      <c r="A12037" s="0" t="s">
        <v>4902</v>
      </c>
      <c r="B12037" s="0" t="str">
        <f aca="false">HYPERLINK("https://lindat.mff.cuni.cz/services/teitok/pdtc10/index.php?action=vallex&amp;frame=v-w1570f1", "koukat (v-w1570f1) - substituted with v-w1570f12_ZU")</f>
        <v>koukat (v-w1570f1) - substituted with v-w1570f12_ZU</v>
      </c>
    </row>
    <row r="12038" customFormat="false" ht="12.8" hidden="false" customHeight="false" outlineLevel="0" collapsed="false">
      <c r="B12038" s="0" t="s">
        <v>7</v>
      </c>
    </row>
    <row r="12039" customFormat="false" ht="12.8" hidden="false" customHeight="false" outlineLevel="0" collapsed="false">
      <c r="B12039" s="0" t="s">
        <v>4903</v>
      </c>
    </row>
    <row r="12041" customFormat="false" ht="12.8" hidden="false" customHeight="false" outlineLevel="0" collapsed="false">
      <c r="A12041" s="0" t="s">
        <v>4902</v>
      </c>
      <c r="B12041" s="0" t="str">
        <f aca="false">HYPERLINK("https://lindat.mff.cuni.cz/services/teitok/pdtc10/index.php?action=vallex&amp;frame=v-w1570f11_ZU", "koukat (v-w1570f11_ZU) - substituted with v-w1570f12_ZU")</f>
        <v>koukat (v-w1570f11_ZU) - substituted with v-w1570f12_ZU</v>
      </c>
    </row>
    <row r="12042" customFormat="false" ht="12.8" hidden="false" customHeight="false" outlineLevel="0" collapsed="false">
      <c r="B12042" s="0" t="s">
        <v>7</v>
      </c>
    </row>
    <row r="12043" customFormat="false" ht="12.8" hidden="false" customHeight="false" outlineLevel="0" collapsed="false">
      <c r="B12043" s="0" t="s">
        <v>4903</v>
      </c>
    </row>
    <row r="12045" customFormat="false" ht="12.8" hidden="false" customHeight="false" outlineLevel="0" collapsed="false">
      <c r="A12045" s="0" t="s">
        <v>4902</v>
      </c>
      <c r="B12045" s="0" t="str">
        <f aca="false">HYPERLINK("https://lindat.mff.cuni.cz/services/teitok/pdtc10/index.php?action=vallex&amp;frame=v-w1570f4_ZU", "koukat (v-w1570f4_ZU) - substituted with v-w1570f12_ZU")</f>
        <v>koukat (v-w1570f4_ZU) - substituted with v-w1570f12_ZU</v>
      </c>
    </row>
    <row r="12046" customFormat="false" ht="12.8" hidden="false" customHeight="false" outlineLevel="0" collapsed="false">
      <c r="B12046" s="0" t="s">
        <v>7</v>
      </c>
    </row>
    <row r="12047" customFormat="false" ht="12.8" hidden="false" customHeight="false" outlineLevel="0" collapsed="false">
      <c r="B12047" s="0" t="s">
        <v>4903</v>
      </c>
    </row>
    <row r="12049" customFormat="false" ht="12.8" hidden="false" customHeight="false" outlineLevel="0" collapsed="false">
      <c r="A12049" s="0" t="s">
        <v>4902</v>
      </c>
      <c r="B12049" s="0" t="str">
        <f aca="false">HYPERLINK("https://lindat.mff.cuni.cz/services/teitok/pdtc10/index.php?action=vallex&amp;frame=v-w1570f7_ZU", "koukat (v-w1570f7_ZU) - substituted with v-w1570f12_ZU")</f>
        <v>koukat (v-w1570f7_ZU) - substituted with v-w1570f12_ZU</v>
      </c>
    </row>
    <row r="12050" customFormat="false" ht="12.8" hidden="false" customHeight="false" outlineLevel="0" collapsed="false">
      <c r="B12050" s="0" t="s">
        <v>7</v>
      </c>
    </row>
    <row r="12051" customFormat="false" ht="12.8" hidden="false" customHeight="false" outlineLevel="0" collapsed="false">
      <c r="B12051" s="0" t="s">
        <v>4903</v>
      </c>
    </row>
    <row r="12053" customFormat="false" ht="12.8" hidden="false" customHeight="false" outlineLevel="0" collapsed="false">
      <c r="A12053" s="0" t="s">
        <v>4902</v>
      </c>
      <c r="B12053" s="0" t="str">
        <f aca="false">HYPERLINK("https://lindat.mff.cuni.cz/services/teitok/pdtc10/index.php?action=vallex&amp;frame=v-w1570f8_ZU", "koukat (v-w1570f8_ZU) - substituted with v-w1570f12_ZU")</f>
        <v>koukat (v-w1570f8_ZU) - substituted with v-w1570f12_ZU</v>
      </c>
    </row>
    <row r="12054" customFormat="false" ht="12.8" hidden="false" customHeight="false" outlineLevel="0" collapsed="false">
      <c r="B12054" s="0" t="s">
        <v>7</v>
      </c>
    </row>
    <row r="12055" customFormat="false" ht="12.8" hidden="false" customHeight="false" outlineLevel="0" collapsed="false">
      <c r="B12055" s="0" t="s">
        <v>4903</v>
      </c>
    </row>
    <row r="12057" customFormat="false" ht="12.8" hidden="false" customHeight="false" outlineLevel="0" collapsed="false">
      <c r="A12057" s="0" t="s">
        <v>4902</v>
      </c>
      <c r="B12057" s="0" t="str">
        <f aca="false">HYPERLINK("https://lindat.mff.cuni.cz/services/teitok/pdtc10/index.php?action=vallex&amp;frame=v-w1570f9_ZU", "koukat (v-w1570f9_ZU) - substituted with v-w1570f12_ZU")</f>
        <v>koukat (v-w1570f9_ZU) - substituted with v-w1570f12_ZU</v>
      </c>
    </row>
    <row r="12058" customFormat="false" ht="12.8" hidden="false" customHeight="false" outlineLevel="0" collapsed="false">
      <c r="B12058" s="0" t="s">
        <v>7</v>
      </c>
    </row>
    <row r="12059" customFormat="false" ht="12.8" hidden="false" customHeight="false" outlineLevel="0" collapsed="false">
      <c r="B12059" s="0" t="s">
        <v>4903</v>
      </c>
    </row>
    <row r="12061" customFormat="false" ht="12.8" hidden="false" customHeight="false" outlineLevel="0" collapsed="false">
      <c r="A12061" s="0" t="s">
        <v>4904</v>
      </c>
      <c r="B12061" s="0" t="str">
        <f aca="false">HYPERLINK("https://lindat.mff.cuni.cz/services/teitok/pdtc10/index.php?action=vallex&amp;frame=v-w1570f3", "koukat (v-w1570f3)")</f>
        <v>koukat (v-w1570f3)</v>
      </c>
    </row>
    <row r="12062" customFormat="false" ht="12.8" hidden="false" customHeight="false" outlineLevel="0" collapsed="false">
      <c r="B12062" s="0" t="s">
        <v>7</v>
      </c>
      <c r="C12062" s="0" t="s">
        <v>2736</v>
      </c>
      <c r="D12062" s="0" t="s">
        <v>428</v>
      </c>
      <c r="E12062" s="0" t="s">
        <v>428</v>
      </c>
      <c r="F12062" s="0" t="s">
        <v>428</v>
      </c>
    </row>
    <row r="12063" customFormat="false" ht="12.8" hidden="false" customHeight="false" outlineLevel="0" collapsed="false">
      <c r="B12063" s="0" t="s">
        <v>124</v>
      </c>
      <c r="D12063" s="0" t="s">
        <v>3412</v>
      </c>
      <c r="E12063" s="0" t="s">
        <v>3412</v>
      </c>
      <c r="F12063" s="0" t="s">
        <v>3412</v>
      </c>
    </row>
    <row r="12065" customFormat="false" ht="12.8" hidden="false" customHeight="false" outlineLevel="0" collapsed="false">
      <c r="A12065" s="0" t="s">
        <v>4905</v>
      </c>
      <c r="B12065" s="0" t="str">
        <f aca="false">HYPERLINK("https://lindat.mff.cuni.cz/services/teitok/pdtc10/index.php?action=vallex&amp;frame=v-w1570f6_ZU", "koukat (v-w1570f6_ZU)")</f>
        <v>koukat (v-w1570f6_ZU)</v>
      </c>
    </row>
    <row r="12066" customFormat="false" ht="12.8" hidden="false" customHeight="false" outlineLevel="0" collapsed="false">
      <c r="B12066" s="0" t="s">
        <v>7</v>
      </c>
    </row>
    <row r="12067" customFormat="false" ht="12.8" hidden="false" customHeight="false" outlineLevel="0" collapsed="false">
      <c r="B12067" s="0" t="s">
        <v>41</v>
      </c>
    </row>
    <row r="12069" customFormat="false" ht="12.8" hidden="false" customHeight="false" outlineLevel="0" collapsed="false">
      <c r="A12069" s="0" t="s">
        <v>4906</v>
      </c>
      <c r="B12069" s="0" t="str">
        <f aca="false">HYPERLINK("https://lindat.mff.cuni.cz/services/teitok/pdtc10/index.php?action=vallex&amp;frame=v-w1570f10_ZU", "koukat (v-w1570f10_ZU)")</f>
        <v>koukat (v-w1570f10_ZU)</v>
      </c>
    </row>
    <row r="12070" customFormat="false" ht="12.8" hidden="false" customHeight="false" outlineLevel="0" collapsed="false">
      <c r="B12070" s="0" t="s">
        <v>7</v>
      </c>
    </row>
    <row r="12071" customFormat="false" ht="12.8" hidden="false" customHeight="false" outlineLevel="0" collapsed="false">
      <c r="B12071" s="0" t="s">
        <v>1375</v>
      </c>
    </row>
    <row r="12073" customFormat="false" ht="12.8" hidden="false" customHeight="false" outlineLevel="0" collapsed="false">
      <c r="A12073" s="0" t="s">
        <v>4906</v>
      </c>
      <c r="B12073" s="0" t="str">
        <f aca="false">HYPERLINK("https://lindat.mff.cuni.cz/services/teitok/pdtc10/index.php?action=vallex&amp;frame=v-w1570hsa_1671", "koukat (v-w1570hsa_1671) - substituted with v-w1570f10_ZU")</f>
        <v>koukat (v-w1570hsa_1671) - substituted with v-w1570f10_ZU</v>
      </c>
    </row>
    <row r="12074" customFormat="false" ht="12.8" hidden="false" customHeight="false" outlineLevel="0" collapsed="false">
      <c r="B12074" s="0" t="s">
        <v>7</v>
      </c>
    </row>
    <row r="12075" customFormat="false" ht="12.8" hidden="false" customHeight="false" outlineLevel="0" collapsed="false">
      <c r="B12075" s="0" t="s">
        <v>1375</v>
      </c>
    </row>
    <row r="12077" customFormat="false" ht="12.8" hidden="false" customHeight="false" outlineLevel="0" collapsed="false">
      <c r="A12077" s="0" t="s">
        <v>4907</v>
      </c>
      <c r="B12077" s="0" t="str">
        <f aca="false">HYPERLINK("https://lindat.mff.cuni.cz/services/teitok/pdtc10/index.php?action=vallex&amp;frame=v-w1570f13_MM", "koukat (v-w1570f13_MM)")</f>
        <v>koukat (v-w1570f13_MM)</v>
      </c>
    </row>
    <row r="12078" customFormat="false" ht="12.8" hidden="false" customHeight="false" outlineLevel="0" collapsed="false">
      <c r="B12078" s="0" t="s">
        <v>7</v>
      </c>
    </row>
    <row r="12079" customFormat="false" ht="12.8" hidden="false" customHeight="false" outlineLevel="0" collapsed="false">
      <c r="B12079" s="0" t="s">
        <v>4908</v>
      </c>
    </row>
    <row r="12081" customFormat="false" ht="12.8" hidden="false" customHeight="false" outlineLevel="0" collapsed="false">
      <c r="A12081" s="0" t="s">
        <v>4909</v>
      </c>
      <c r="B12081" s="0" t="str">
        <f aca="false">HYPERLINK("https://lindat.mff.cuni.cz/services/teitok/pdtc10/index.php?action=vallex&amp;frame=v-w1570hsa_1670", "koukat (v-w1570hsa_1670)")</f>
        <v>koukat (v-w1570hsa_1670)</v>
      </c>
    </row>
    <row r="12082" customFormat="false" ht="12.8" hidden="false" customHeight="false" outlineLevel="0" collapsed="false">
      <c r="B12082" s="0" t="s">
        <v>7</v>
      </c>
    </row>
    <row r="12084" customFormat="false" ht="12.8" hidden="false" customHeight="false" outlineLevel="0" collapsed="false">
      <c r="A12084" s="0" t="s">
        <v>4910</v>
      </c>
      <c r="B12084" s="0" t="str">
        <f aca="false">HYPERLINK("https://lindat.mff.cuni.cz/services/teitok/pdtc10/index.php?action=vallex&amp;frame=v-w1570hsa_1672", "koukat (v-w1570hsa_1672)")</f>
        <v>koukat (v-w1570hsa_1672)</v>
      </c>
    </row>
    <row r="12085" customFormat="false" ht="12.8" hidden="false" customHeight="false" outlineLevel="0" collapsed="false">
      <c r="B12085" s="0" t="s">
        <v>3809</v>
      </c>
    </row>
    <row r="12087" customFormat="false" ht="12.8" hidden="false" customHeight="false" outlineLevel="0" collapsed="false">
      <c r="A12087" s="0" t="s">
        <v>4911</v>
      </c>
      <c r="B12087" s="0" t="str">
        <f aca="false">HYPERLINK("https://lindat.mff.cuni.cz/services/teitok/pdtc10/index.php?action=vallex&amp;frame=v-w1571hsa_723", "koukat se (v-w1571hsa_723)")</f>
        <v>koukat se (v-w1571hsa_723)</v>
      </c>
    </row>
    <row r="12088" customFormat="false" ht="12.8" hidden="false" customHeight="false" outlineLevel="0" collapsed="false">
      <c r="B12088" s="0" t="s">
        <v>7</v>
      </c>
    </row>
    <row r="12089" customFormat="false" ht="12.8" hidden="false" customHeight="false" outlineLevel="0" collapsed="false">
      <c r="B12089" s="0" t="s">
        <v>4912</v>
      </c>
    </row>
    <row r="12091" customFormat="false" ht="12.8" hidden="false" customHeight="false" outlineLevel="0" collapsed="false">
      <c r="A12091" s="0" t="s">
        <v>4911</v>
      </c>
      <c r="B12091" s="0" t="str">
        <f aca="false">HYPERLINK("https://lindat.mff.cuni.cz/services/teitok/pdtc10/index.php?action=vallex&amp;frame=v-w1571f2", "koukat se (v-w1571f2) - substituted with v-w1571hsa_723")</f>
        <v>koukat se (v-w1571f2) - substituted with v-w1571hsa_723</v>
      </c>
    </row>
    <row r="12092" customFormat="false" ht="12.8" hidden="false" customHeight="false" outlineLevel="0" collapsed="false">
      <c r="B12092" s="0" t="s">
        <v>7</v>
      </c>
      <c r="E12092" s="0" t="s">
        <v>1448</v>
      </c>
      <c r="F12092" s="0" t="s">
        <v>1448</v>
      </c>
    </row>
    <row r="12093" customFormat="false" ht="12.8" hidden="false" customHeight="false" outlineLevel="0" collapsed="false">
      <c r="B12093" s="0" t="s">
        <v>4912</v>
      </c>
      <c r="E12093" s="0" t="s">
        <v>414</v>
      </c>
      <c r="F12093" s="0" t="s">
        <v>414</v>
      </c>
    </row>
    <row r="12095" customFormat="false" ht="12.8" hidden="false" customHeight="false" outlineLevel="0" collapsed="false">
      <c r="A12095" s="0" t="s">
        <v>4913</v>
      </c>
      <c r="B12095" s="0" t="str">
        <f aca="false">HYPERLINK("https://lindat.mff.cuni.cz/services/teitok/pdtc10/index.php?action=vallex&amp;frame=v-w1571f1", "koukat se (v-w1571f1)")</f>
        <v>koukat se (v-w1571f1)</v>
      </c>
    </row>
    <row r="12096" customFormat="false" ht="12.8" hidden="false" customHeight="false" outlineLevel="0" collapsed="false">
      <c r="B12096" s="0" t="s">
        <v>7</v>
      </c>
      <c r="E12096" s="0" t="s">
        <v>428</v>
      </c>
      <c r="F12096" s="0" t="s">
        <v>428</v>
      </c>
    </row>
    <row r="12097" customFormat="false" ht="12.8" hidden="false" customHeight="false" outlineLevel="0" collapsed="false">
      <c r="B12097" s="0" t="s">
        <v>124</v>
      </c>
      <c r="E12097" s="0" t="s">
        <v>3412</v>
      </c>
      <c r="F12097" s="0" t="s">
        <v>3412</v>
      </c>
    </row>
    <row r="12099" customFormat="false" ht="12.8" hidden="false" customHeight="false" outlineLevel="0" collapsed="false">
      <c r="A12099" s="0" t="s">
        <v>4914</v>
      </c>
      <c r="B12099" s="0" t="str">
        <f aca="false">HYPERLINK("https://lindat.mff.cuni.cz/services/teitok/pdtc10/index.php?action=vallex&amp;frame=v-w11193f2", "kouknout (v-w11193f2)")</f>
        <v>kouknout (v-w11193f2)</v>
      </c>
    </row>
    <row r="12100" customFormat="false" ht="12.8" hidden="false" customHeight="false" outlineLevel="0" collapsed="false">
      <c r="B12100" s="0" t="s">
        <v>7</v>
      </c>
      <c r="E12100" s="0" t="s">
        <v>4915</v>
      </c>
      <c r="F12100" s="0" t="s">
        <v>4915</v>
      </c>
    </row>
    <row r="12101" customFormat="false" ht="12.8" hidden="false" customHeight="false" outlineLevel="0" collapsed="false">
      <c r="B12101" s="0" t="s">
        <v>1391</v>
      </c>
      <c r="E12101" s="0" t="s">
        <v>4916</v>
      </c>
      <c r="F12101" s="0" t="s">
        <v>4916</v>
      </c>
    </row>
    <row r="12103" customFormat="false" ht="12.8" hidden="false" customHeight="false" outlineLevel="0" collapsed="false">
      <c r="A12103" s="0" t="s">
        <v>4917</v>
      </c>
      <c r="B12103" s="0" t="str">
        <f aca="false">HYPERLINK("https://lindat.mff.cuni.cz/services/teitok/pdtc10/index.php?action=vallex&amp;frame=v-w11193hsa_1001", "kouknout (v-w11193hsa_1001)")</f>
        <v>kouknout (v-w11193hsa_1001)</v>
      </c>
    </row>
    <row r="12104" customFormat="false" ht="12.8" hidden="false" customHeight="false" outlineLevel="0" collapsed="false">
      <c r="B12104" s="0" t="s">
        <v>7</v>
      </c>
    </row>
    <row r="12105" customFormat="false" ht="12.8" hidden="false" customHeight="false" outlineLevel="0" collapsed="false">
      <c r="B12105" s="0" t="s">
        <v>124</v>
      </c>
    </row>
    <row r="12107" customFormat="false" ht="12.8" hidden="false" customHeight="false" outlineLevel="0" collapsed="false">
      <c r="A12107" s="0" t="s">
        <v>4918</v>
      </c>
      <c r="B12107" s="0" t="str">
        <f aca="false">HYPERLINK("https://lindat.mff.cuni.cz/services/teitok/pdtc10/index.php?action=vallex&amp;frame=v-whsa_1942hsa_1943", "kouknout se (v-whsa_1942hsa_1943)")</f>
        <v>kouknout se (v-whsa_1942hsa_1943)</v>
      </c>
    </row>
    <row r="12108" customFormat="false" ht="12.8" hidden="false" customHeight="false" outlineLevel="0" collapsed="false">
      <c r="B12108" s="0" t="s">
        <v>7</v>
      </c>
    </row>
    <row r="12109" customFormat="false" ht="12.8" hidden="false" customHeight="false" outlineLevel="0" collapsed="false">
      <c r="B12109" s="0" t="s">
        <v>124</v>
      </c>
    </row>
    <row r="12111" customFormat="false" ht="12.8" hidden="false" customHeight="false" outlineLevel="0" collapsed="false">
      <c r="A12111" s="0" t="s">
        <v>4919</v>
      </c>
      <c r="B12111" s="0" t="str">
        <f aca="false">HYPERLINK("https://lindat.mff.cuni.cz/services/teitok/pdtc10/index.php?action=vallex&amp;frame=v-w12347_MMf1_MM", "koulovat (v-w12347_MMf1_MM)")</f>
        <v>koulovat (v-w12347_MMf1_MM)</v>
      </c>
    </row>
    <row r="12112" customFormat="false" ht="12.8" hidden="false" customHeight="false" outlineLevel="0" collapsed="false">
      <c r="B12112" s="0" t="s">
        <v>7</v>
      </c>
    </row>
    <row r="12113" customFormat="false" ht="12.8" hidden="false" customHeight="false" outlineLevel="0" collapsed="false">
      <c r="B12113" s="0" t="s">
        <v>14</v>
      </c>
    </row>
    <row r="12115" customFormat="false" ht="12.8" hidden="false" customHeight="false" outlineLevel="0" collapsed="false">
      <c r="A12115" s="0" t="s">
        <v>4920</v>
      </c>
      <c r="B12115" s="0" t="str">
        <f aca="false">HYPERLINK("https://lindat.mff.cuni.cz/services/teitok/pdtc10/index.php?action=vallex&amp;frame=v-w1573f1", "koupat (v-w1573f1)")</f>
        <v>koupat (v-w1573f1)</v>
      </c>
    </row>
    <row r="12116" customFormat="false" ht="12.8" hidden="false" customHeight="false" outlineLevel="0" collapsed="false">
      <c r="B12116" s="0" t="s">
        <v>7</v>
      </c>
      <c r="D12116" s="0" t="s">
        <v>31</v>
      </c>
      <c r="E12116" s="0" t="s">
        <v>31</v>
      </c>
      <c r="F12116" s="0" t="s">
        <v>31</v>
      </c>
    </row>
    <row r="12117" customFormat="false" ht="12.8" hidden="false" customHeight="false" outlineLevel="0" collapsed="false">
      <c r="B12117" s="0" t="s">
        <v>14</v>
      </c>
      <c r="D12117" s="0" t="s">
        <v>4921</v>
      </c>
      <c r="E12117" s="0" t="s">
        <v>4921</v>
      </c>
      <c r="F12117" s="0" t="s">
        <v>4921</v>
      </c>
    </row>
    <row r="12119" customFormat="false" ht="12.8" hidden="false" customHeight="false" outlineLevel="0" collapsed="false">
      <c r="A12119" s="0" t="s">
        <v>4922</v>
      </c>
      <c r="B12119" s="0" t="str">
        <f aca="false">HYPERLINK("https://lindat.mff.cuni.cz/services/teitok/pdtc10/index.php?action=vallex&amp;frame=v-w1574f1", "koupat se (v-w1574f1)")</f>
        <v>koupat se (v-w1574f1)</v>
      </c>
    </row>
    <row r="12120" customFormat="false" ht="12.8" hidden="false" customHeight="false" outlineLevel="0" collapsed="false">
      <c r="B12120" s="0" t="s">
        <v>7</v>
      </c>
    </row>
    <row r="12122" customFormat="false" ht="12.8" hidden="false" customHeight="false" outlineLevel="0" collapsed="false">
      <c r="A12122" s="0" t="s">
        <v>4923</v>
      </c>
      <c r="B12122" s="0" t="str">
        <f aca="false">HYPERLINK("https://lindat.mff.cuni.cz/services/teitok/pdtc10/index.php?action=vallex&amp;frame=v-w1574f2", "koupat se (v-w1574f2)")</f>
        <v>koupat se (v-w1574f2)</v>
      </c>
    </row>
    <row r="12123" customFormat="false" ht="12.8" hidden="false" customHeight="false" outlineLevel="0" collapsed="false">
      <c r="B12123" s="0" t="s">
        <v>7</v>
      </c>
      <c r="D12123" s="0" t="s">
        <v>4924</v>
      </c>
      <c r="E12123" s="0" t="s">
        <v>4924</v>
      </c>
      <c r="F12123" s="0" t="s">
        <v>4924</v>
      </c>
    </row>
    <row r="12125" customFormat="false" ht="12.8" hidden="false" customHeight="false" outlineLevel="0" collapsed="false">
      <c r="A12125" s="0" t="s">
        <v>4925</v>
      </c>
      <c r="B12125" s="0" t="str">
        <f aca="false">HYPERLINK("https://lindat.mff.cuni.cz/services/teitok/pdtc10/index.php?action=vallex&amp;frame=v-w1578f2_ZU", "koupit (v-w1578f2_ZU)")</f>
        <v>koupit (v-w1578f2_ZU)</v>
      </c>
    </row>
    <row r="12126" customFormat="false" ht="12.8" hidden="false" customHeight="false" outlineLevel="0" collapsed="false">
      <c r="B12126" s="0" t="s">
        <v>7</v>
      </c>
    </row>
    <row r="12127" customFormat="false" ht="12.8" hidden="false" customHeight="false" outlineLevel="0" collapsed="false">
      <c r="B12127" s="0" t="s">
        <v>232</v>
      </c>
    </row>
    <row r="12128" customFormat="false" ht="12.8" hidden="false" customHeight="false" outlineLevel="0" collapsed="false">
      <c r="B12128" s="0" t="s">
        <v>1953</v>
      </c>
    </row>
    <row r="12129" customFormat="false" ht="12.8" hidden="false" customHeight="false" outlineLevel="0" collapsed="false">
      <c r="B12129" s="0" t="s">
        <v>441</v>
      </c>
    </row>
    <row r="12131" customFormat="false" ht="12.8" hidden="false" customHeight="false" outlineLevel="0" collapsed="false">
      <c r="A12131" s="0" t="s">
        <v>4925</v>
      </c>
      <c r="B12131" s="0" t="str">
        <f aca="false">HYPERLINK("https://lindat.mff.cuni.cz/services/teitok/pdtc10/index.php?action=vallex&amp;frame=v-w1578f1", "koupit (v-w1578f1) - substituted with v-w1578f2_ZU")</f>
        <v>koupit (v-w1578f1) - substituted with v-w1578f2_ZU</v>
      </c>
    </row>
    <row r="12132" customFormat="false" ht="12.8" hidden="false" customHeight="false" outlineLevel="0" collapsed="false">
      <c r="B12132" s="0" t="s">
        <v>7</v>
      </c>
      <c r="C12132" s="0" t="s">
        <v>4926</v>
      </c>
      <c r="D12132" s="0" t="s">
        <v>4927</v>
      </c>
      <c r="E12132" s="0" t="s">
        <v>4927</v>
      </c>
      <c r="F12132" s="0" t="s">
        <v>4927</v>
      </c>
    </row>
    <row r="12133" customFormat="false" ht="12.8" hidden="false" customHeight="false" outlineLevel="0" collapsed="false">
      <c r="B12133" s="0" t="s">
        <v>232</v>
      </c>
      <c r="C12133" s="0" t="s">
        <v>4928</v>
      </c>
      <c r="D12133" s="0" t="s">
        <v>4929</v>
      </c>
      <c r="E12133" s="0" t="s">
        <v>4929</v>
      </c>
      <c r="F12133" s="0" t="s">
        <v>4929</v>
      </c>
    </row>
    <row r="12134" customFormat="false" ht="12.8" hidden="false" customHeight="false" outlineLevel="0" collapsed="false">
      <c r="B12134" s="0" t="s">
        <v>1953</v>
      </c>
      <c r="C12134" s="0" t="s">
        <v>4930</v>
      </c>
      <c r="D12134" s="0" t="s">
        <v>4930</v>
      </c>
      <c r="E12134" s="0" t="s">
        <v>4930</v>
      </c>
      <c r="F12134" s="0" t="s">
        <v>4930</v>
      </c>
    </row>
    <row r="12135" customFormat="false" ht="12.8" hidden="false" customHeight="false" outlineLevel="0" collapsed="false">
      <c r="B12135" s="0" t="s">
        <v>441</v>
      </c>
      <c r="C12135" s="0" t="s">
        <v>4931</v>
      </c>
      <c r="D12135" s="0" t="s">
        <v>4932</v>
      </c>
      <c r="E12135" s="0" t="s">
        <v>4932</v>
      </c>
      <c r="F12135" s="0" t="s">
        <v>4932</v>
      </c>
    </row>
    <row r="12137" customFormat="false" ht="12.8" hidden="false" customHeight="false" outlineLevel="0" collapsed="false">
      <c r="A12137" s="0" t="s">
        <v>4933</v>
      </c>
      <c r="B12137" s="0" t="str">
        <f aca="false">HYPERLINK("https://lindat.mff.cuni.cz/services/teitok/pdtc10/index.php?action=vallex&amp;frame=v-w1581f1", "kousat (v-w1581f1)")</f>
        <v>kousat (v-w1581f1)</v>
      </c>
    </row>
    <row r="12138" customFormat="false" ht="12.8" hidden="false" customHeight="false" outlineLevel="0" collapsed="false">
      <c r="B12138" s="0" t="s">
        <v>7</v>
      </c>
      <c r="E12138" s="0" t="s">
        <v>335</v>
      </c>
      <c r="F12138" s="0" t="s">
        <v>335</v>
      </c>
    </row>
    <row r="12139" customFormat="false" ht="12.8" hidden="false" customHeight="false" outlineLevel="0" collapsed="false">
      <c r="B12139" s="0" t="s">
        <v>14</v>
      </c>
      <c r="E12139" s="0" t="s">
        <v>567</v>
      </c>
      <c r="F12139" s="0" t="s">
        <v>567</v>
      </c>
    </row>
    <row r="12141" customFormat="false" ht="12.8" hidden="false" customHeight="false" outlineLevel="0" collapsed="false">
      <c r="A12141" s="0" t="s">
        <v>4934</v>
      </c>
      <c r="B12141" s="0" t="str">
        <f aca="false">HYPERLINK("https://lindat.mff.cuni.cz/services/teitok/pdtc10/index.php?action=vallex&amp;frame=v-w1581hsa_2058", "kousat (v-w1581hsa_2058)")</f>
        <v>kousat (v-w1581hsa_2058)</v>
      </c>
    </row>
    <row r="12142" customFormat="false" ht="12.8" hidden="false" customHeight="false" outlineLevel="0" collapsed="false">
      <c r="B12142" s="0" t="s">
        <v>7</v>
      </c>
    </row>
    <row r="12143" customFormat="false" ht="12.8" hidden="false" customHeight="false" outlineLevel="0" collapsed="false">
      <c r="B12143" s="0" t="s">
        <v>4935</v>
      </c>
    </row>
    <row r="12145" customFormat="false" ht="12.8" hidden="false" customHeight="false" outlineLevel="0" collapsed="false">
      <c r="A12145" s="0" t="s">
        <v>4936</v>
      </c>
      <c r="B12145" s="0" t="str">
        <f aca="false">HYPERLINK("https://lindat.mff.cuni.cz/services/teitok/pdtc10/index.php?action=vallex&amp;frame=v-w1582f1", "kousat se (v-w1582f1)")</f>
        <v>kousat se (v-w1582f1)</v>
      </c>
    </row>
    <row r="12146" customFormat="false" ht="12.8" hidden="false" customHeight="false" outlineLevel="0" collapsed="false">
      <c r="B12146" s="0" t="s">
        <v>7</v>
      </c>
    </row>
    <row r="12147" customFormat="false" ht="12.8" hidden="false" customHeight="false" outlineLevel="0" collapsed="false">
      <c r="B12147" s="0" t="s">
        <v>4937</v>
      </c>
    </row>
    <row r="12149" customFormat="false" ht="12.8" hidden="false" customHeight="false" outlineLevel="0" collapsed="false">
      <c r="A12149" s="0" t="s">
        <v>4938</v>
      </c>
      <c r="B12149" s="0" t="str">
        <f aca="false">HYPERLINK("https://lindat.mff.cuni.cz/services/teitok/pdtc10/index.php?action=vallex&amp;frame=v-w1583f1", "kouskovat (v-w1583f1)")</f>
        <v>kouskovat (v-w1583f1)</v>
      </c>
    </row>
    <row r="12150" customFormat="false" ht="12.8" hidden="false" customHeight="false" outlineLevel="0" collapsed="false">
      <c r="B12150" s="0" t="s">
        <v>7</v>
      </c>
      <c r="D12150" s="0" t="s">
        <v>4939</v>
      </c>
      <c r="E12150" s="0" t="s">
        <v>4939</v>
      </c>
      <c r="F12150" s="0" t="s">
        <v>4939</v>
      </c>
    </row>
    <row r="12151" customFormat="false" ht="12.8" hidden="false" customHeight="false" outlineLevel="0" collapsed="false">
      <c r="B12151" s="0" t="s">
        <v>14</v>
      </c>
      <c r="D12151" s="0" t="s">
        <v>4940</v>
      </c>
      <c r="E12151" s="0" t="s">
        <v>4940</v>
      </c>
      <c r="F12151" s="0" t="s">
        <v>4940</v>
      </c>
    </row>
    <row r="12152" customFormat="false" ht="12.8" hidden="false" customHeight="false" outlineLevel="0" collapsed="false">
      <c r="B12152" s="0" t="s">
        <v>2773</v>
      </c>
      <c r="D12152" s="0" t="s">
        <v>4941</v>
      </c>
      <c r="E12152" s="0" t="s">
        <v>4941</v>
      </c>
      <c r="F12152" s="0" t="s">
        <v>4941</v>
      </c>
    </row>
    <row r="12154" customFormat="false" ht="12.8" hidden="false" customHeight="false" outlineLevel="0" collapsed="false">
      <c r="A12154" s="0" t="s">
        <v>4942</v>
      </c>
      <c r="B12154" s="0" t="str">
        <f aca="false">HYPERLINK("https://lindat.mff.cuni.cz/services/teitok/pdtc10/index.php?action=vallex&amp;frame=v-w1584f1", "kousnout (v-w1584f1)")</f>
        <v>kousnout (v-w1584f1)</v>
      </c>
    </row>
    <row r="12155" customFormat="false" ht="12.8" hidden="false" customHeight="false" outlineLevel="0" collapsed="false">
      <c r="B12155" s="0" t="s">
        <v>7</v>
      </c>
      <c r="C12155" s="0" t="s">
        <v>335</v>
      </c>
      <c r="D12155" s="0" t="s">
        <v>335</v>
      </c>
      <c r="E12155" s="0" t="s">
        <v>335</v>
      </c>
      <c r="F12155" s="0" t="s">
        <v>335</v>
      </c>
    </row>
    <row r="12156" customFormat="false" ht="12.8" hidden="false" customHeight="false" outlineLevel="0" collapsed="false">
      <c r="B12156" s="0" t="s">
        <v>14</v>
      </c>
      <c r="D12156" s="0" t="s">
        <v>567</v>
      </c>
      <c r="E12156" s="0" t="s">
        <v>567</v>
      </c>
      <c r="F12156" s="0" t="s">
        <v>567</v>
      </c>
    </row>
    <row r="12158" customFormat="false" ht="12.8" hidden="false" customHeight="false" outlineLevel="0" collapsed="false">
      <c r="A12158" s="0" t="s">
        <v>4943</v>
      </c>
      <c r="B12158" s="0" t="str">
        <f aca="false">HYPERLINK("https://lindat.mff.cuni.cz/services/teitok/pdtc10/index.php?action=vallex&amp;frame=v-w1584f2", "kousnout (v-w1584f2)")</f>
        <v>kousnout (v-w1584f2)</v>
      </c>
    </row>
    <row r="12159" customFormat="false" ht="12.8" hidden="false" customHeight="false" outlineLevel="0" collapsed="false">
      <c r="B12159" s="0" t="s">
        <v>7</v>
      </c>
    </row>
    <row r="12160" customFormat="false" ht="12.8" hidden="false" customHeight="false" outlineLevel="0" collapsed="false">
      <c r="B12160" s="0" t="s">
        <v>124</v>
      </c>
    </row>
    <row r="12162" customFormat="false" ht="12.8" hidden="false" customHeight="false" outlineLevel="0" collapsed="false">
      <c r="A12162" s="0" t="s">
        <v>4944</v>
      </c>
      <c r="B12162" s="0" t="str">
        <f aca="false">HYPERLINK("https://lindat.mff.cuni.cz/services/teitok/pdtc10/index.php?action=vallex&amp;frame=v-whsb_56hsa_57", "kousnout se (v-whsb_56hsa_57)")</f>
        <v>kousnout se (v-whsb_56hsa_57)</v>
      </c>
    </row>
    <row r="12163" customFormat="false" ht="12.8" hidden="false" customHeight="false" outlineLevel="0" collapsed="false">
      <c r="B12163" s="0" t="s">
        <v>7</v>
      </c>
    </row>
    <row r="12165" customFormat="false" ht="12.8" hidden="false" customHeight="false" outlineLevel="0" collapsed="false">
      <c r="A12165" s="0" t="s">
        <v>4945</v>
      </c>
      <c r="B12165" s="0" t="str">
        <f aca="false">HYPERLINK("https://lindat.mff.cuni.cz/services/teitok/pdtc10/index.php?action=vallex&amp;frame=v-w11491f1", "kousnout si (v-w11491f1)")</f>
        <v>kousnout si (v-w11491f1)</v>
      </c>
    </row>
    <row r="12166" customFormat="false" ht="12.8" hidden="false" customHeight="false" outlineLevel="0" collapsed="false">
      <c r="B12166" s="0" t="s">
        <v>7</v>
      </c>
      <c r="C12166" s="0" t="s">
        <v>335</v>
      </c>
    </row>
    <row r="12167" customFormat="false" ht="12.8" hidden="false" customHeight="false" outlineLevel="0" collapsed="false">
      <c r="B12167" s="0" t="s">
        <v>124</v>
      </c>
      <c r="C12167" s="0" t="s">
        <v>2054</v>
      </c>
    </row>
    <row r="12169" customFormat="false" ht="12.8" hidden="false" customHeight="false" outlineLevel="0" collapsed="false">
      <c r="A12169" s="0" t="s">
        <v>4946</v>
      </c>
      <c r="B12169" s="0" t="str">
        <f aca="false">HYPERLINK("https://lindat.mff.cuni.cz/services/teitok/pdtc10/index.php?action=vallex&amp;frame=v-w11368f1", "kout (v-w11368f1)")</f>
        <v>kout (v-w11368f1)</v>
      </c>
    </row>
    <row r="12170" customFormat="false" ht="12.8" hidden="false" customHeight="false" outlineLevel="0" collapsed="false">
      <c r="B12170" s="0" t="s">
        <v>7</v>
      </c>
      <c r="C12170" s="0" t="s">
        <v>108</v>
      </c>
      <c r="F12170" s="0" t="s">
        <v>118</v>
      </c>
    </row>
    <row r="12171" customFormat="false" ht="12.8" hidden="false" customHeight="false" outlineLevel="0" collapsed="false">
      <c r="B12171" s="0" t="s">
        <v>4947</v>
      </c>
      <c r="C12171" s="0" t="s">
        <v>890</v>
      </c>
      <c r="F12171" s="0" t="s">
        <v>4948</v>
      </c>
    </row>
    <row r="12173" customFormat="false" ht="12.8" hidden="false" customHeight="false" outlineLevel="0" collapsed="false">
      <c r="A12173" s="0" t="s">
        <v>4949</v>
      </c>
      <c r="B12173" s="0" t="str">
        <f aca="false">HYPERLINK("https://lindat.mff.cuni.cz/services/teitok/pdtc10/index.php?action=vallex&amp;frame=v-whsa_574hsa_575", "kouzlit (v-whsa_574hsa_575)")</f>
        <v>kouzlit (v-whsa_574hsa_575)</v>
      </c>
    </row>
    <row r="12174" customFormat="false" ht="12.8" hidden="false" customHeight="false" outlineLevel="0" collapsed="false">
      <c r="B12174" s="0" t="s">
        <v>7</v>
      </c>
    </row>
    <row r="12176" customFormat="false" ht="12.8" hidden="false" customHeight="false" outlineLevel="0" collapsed="false">
      <c r="A12176" s="0" t="s">
        <v>4950</v>
      </c>
      <c r="B12176" s="0" t="str">
        <f aca="false">HYPERLINK("https://lindat.mff.cuni.cz/services/teitok/pdtc10/index.php?action=vallex&amp;frame=v-w1580f1", "kouřit (v-w1580f1)")</f>
        <v>kouřit (v-w1580f1)</v>
      </c>
    </row>
    <row r="12177" customFormat="false" ht="12.8" hidden="false" customHeight="false" outlineLevel="0" collapsed="false">
      <c r="B12177" s="0" t="s">
        <v>7</v>
      </c>
      <c r="C12177" s="0" t="s">
        <v>113</v>
      </c>
      <c r="D12177" s="0" t="s">
        <v>113</v>
      </c>
      <c r="E12177" s="0" t="s">
        <v>113</v>
      </c>
      <c r="F12177" s="0" t="s">
        <v>113</v>
      </c>
    </row>
    <row r="12178" customFormat="false" ht="12.8" hidden="false" customHeight="false" outlineLevel="0" collapsed="false">
      <c r="B12178" s="0" t="s">
        <v>14</v>
      </c>
      <c r="C12178" s="0" t="s">
        <v>155</v>
      </c>
      <c r="D12178" s="0" t="s">
        <v>155</v>
      </c>
      <c r="E12178" s="0" t="s">
        <v>155</v>
      </c>
      <c r="F12178" s="0" t="s">
        <v>155</v>
      </c>
    </row>
    <row r="12180" customFormat="false" ht="12.8" hidden="false" customHeight="false" outlineLevel="0" collapsed="false">
      <c r="A12180" s="0" t="s">
        <v>4951</v>
      </c>
      <c r="B12180" s="0" t="str">
        <f aca="false">HYPERLINK("https://lindat.mff.cuni.cz/services/teitok/pdtc10/index.php?action=vallex&amp;frame=v-w1580hsa_1245", "kouřit (v-w1580hsa_1245)")</f>
        <v>kouřit (v-w1580hsa_1245)</v>
      </c>
    </row>
    <row r="12181" customFormat="false" ht="12.8" hidden="false" customHeight="false" outlineLevel="0" collapsed="false">
      <c r="B12181" s="0" t="s">
        <v>7</v>
      </c>
    </row>
    <row r="12182" customFormat="false" ht="12.8" hidden="false" customHeight="false" outlineLevel="0" collapsed="false">
      <c r="B12182" s="0" t="s">
        <v>14</v>
      </c>
    </row>
    <row r="12184" customFormat="false" ht="12.8" hidden="false" customHeight="false" outlineLevel="0" collapsed="false">
      <c r="A12184" s="0" t="s">
        <v>4952</v>
      </c>
      <c r="B12184" s="0" t="str">
        <f aca="false">HYPERLINK("https://lindat.mff.cuni.cz/services/teitok/pdtc10/index.php?action=vallex&amp;frame=v-w1411f1", "kočkovat se (v-w1411f1)")</f>
        <v>kočkovat se (v-w1411f1)</v>
      </c>
    </row>
    <row r="12185" customFormat="false" ht="12.8" hidden="false" customHeight="false" outlineLevel="0" collapsed="false">
      <c r="B12185" s="0" t="s">
        <v>7</v>
      </c>
    </row>
    <row r="12186" customFormat="false" ht="12.8" hidden="false" customHeight="false" outlineLevel="0" collapsed="false">
      <c r="B12186" s="0" t="s">
        <v>207</v>
      </c>
    </row>
    <row r="12187" customFormat="false" ht="12.8" hidden="false" customHeight="false" outlineLevel="0" collapsed="false">
      <c r="B12187" s="0" t="s">
        <v>3748</v>
      </c>
    </row>
    <row r="12189" customFormat="false" ht="12.8" hidden="false" customHeight="false" outlineLevel="0" collapsed="false">
      <c r="A12189" s="0" t="s">
        <v>4953</v>
      </c>
      <c r="B12189" s="0" t="str">
        <f aca="false">HYPERLINK("https://lindat.mff.cuni.cz/services/teitok/pdtc10/index.php?action=vallex&amp;frame=v-w1412f1", "kočovat (v-w1412f1)")</f>
        <v>kočovat (v-w1412f1)</v>
      </c>
    </row>
    <row r="12190" customFormat="false" ht="12.8" hidden="false" customHeight="false" outlineLevel="0" collapsed="false">
      <c r="B12190" s="0" t="s">
        <v>7</v>
      </c>
    </row>
    <row r="12192" customFormat="false" ht="12.8" hidden="false" customHeight="false" outlineLevel="0" collapsed="false">
      <c r="A12192" s="0" t="s">
        <v>4954</v>
      </c>
      <c r="B12192" s="0" t="str">
        <f aca="false">HYPERLINK("https://lindat.mff.cuni.cz/services/teitok/pdtc10/index.php?action=vallex&amp;frame=v-w1566f1", "kořenit (v-w1566f1)")</f>
        <v>kořenit (v-w1566f1)</v>
      </c>
    </row>
    <row r="12193" customFormat="false" ht="12.8" hidden="false" customHeight="false" outlineLevel="0" collapsed="false">
      <c r="B12193" s="0" t="s">
        <v>7</v>
      </c>
    </row>
    <row r="12194" customFormat="false" ht="12.8" hidden="false" customHeight="false" outlineLevel="0" collapsed="false">
      <c r="B12194" s="0" t="s">
        <v>14</v>
      </c>
    </row>
    <row r="12196" customFormat="false" ht="12.8" hidden="false" customHeight="false" outlineLevel="0" collapsed="false">
      <c r="A12196" s="0" t="s">
        <v>4955</v>
      </c>
      <c r="B12196" s="0" t="str">
        <f aca="false">HYPERLINK("https://lindat.mff.cuni.cz/services/teitok/pdtc10/index.php?action=vallex&amp;frame=v-w1590f1", "krachovat (v-w1590f1)")</f>
        <v>krachovat (v-w1590f1)</v>
      </c>
    </row>
    <row r="12197" customFormat="false" ht="12.8" hidden="false" customHeight="false" outlineLevel="0" collapsed="false">
      <c r="B12197" s="0" t="s">
        <v>7</v>
      </c>
    </row>
    <row r="12199" customFormat="false" ht="12.8" hidden="false" customHeight="false" outlineLevel="0" collapsed="false">
      <c r="A12199" s="0" t="s">
        <v>4956</v>
      </c>
      <c r="B12199" s="0" t="str">
        <f aca="false">HYPERLINK("https://lindat.mff.cuni.cz/services/teitok/pdtc10/index.php?action=vallex&amp;frame=v-w1599f2_ZU", "kreslit (v-w1599f2_ZU)")</f>
        <v>kreslit (v-w1599f2_ZU)</v>
      </c>
    </row>
    <row r="12200" customFormat="false" ht="12.8" hidden="false" customHeight="false" outlineLevel="0" collapsed="false">
      <c r="B12200" s="0" t="s">
        <v>7</v>
      </c>
    </row>
    <row r="12201" customFormat="false" ht="12.8" hidden="false" customHeight="false" outlineLevel="0" collapsed="false">
      <c r="B12201" s="0" t="s">
        <v>232</v>
      </c>
    </row>
    <row r="12203" customFormat="false" ht="12.8" hidden="false" customHeight="false" outlineLevel="0" collapsed="false">
      <c r="A12203" s="0" t="s">
        <v>4956</v>
      </c>
      <c r="B12203" s="0" t="str">
        <f aca="false">HYPERLINK("https://lindat.mff.cuni.cz/services/teitok/pdtc10/index.php?action=vallex&amp;frame=v-w1599f1", "kreslit (v-w1599f1) - substituted with v-w1599f2_ZU")</f>
        <v>kreslit (v-w1599f1) - substituted with v-w1599f2_ZU</v>
      </c>
    </row>
    <row r="12204" customFormat="false" ht="12.8" hidden="false" customHeight="false" outlineLevel="0" collapsed="false">
      <c r="B12204" s="0" t="s">
        <v>7</v>
      </c>
      <c r="C12204" s="0" t="s">
        <v>46</v>
      </c>
      <c r="D12204" s="0" t="s">
        <v>113</v>
      </c>
      <c r="E12204" s="0" t="s">
        <v>113</v>
      </c>
      <c r="F12204" s="0" t="s">
        <v>113</v>
      </c>
    </row>
    <row r="12205" customFormat="false" ht="12.8" hidden="false" customHeight="false" outlineLevel="0" collapsed="false">
      <c r="B12205" s="0" t="s">
        <v>232</v>
      </c>
      <c r="C12205" s="0" t="s">
        <v>567</v>
      </c>
      <c r="D12205" s="0" t="s">
        <v>78</v>
      </c>
      <c r="E12205" s="0" t="s">
        <v>78</v>
      </c>
      <c r="F12205" s="0" t="s">
        <v>78</v>
      </c>
    </row>
    <row r="12207" customFormat="false" ht="12.8" hidden="false" customHeight="false" outlineLevel="0" collapsed="false">
      <c r="A12207" s="0" t="s">
        <v>4957</v>
      </c>
      <c r="B12207" s="0" t="str">
        <f aca="false">HYPERLINK("https://lindat.mff.cuni.cz/services/teitok/pdtc10/index.php?action=vallex&amp;frame=v-w11181f2", "kriminalizovat (v-w11181f2)")</f>
        <v>kriminalizovat (v-w11181f2)</v>
      </c>
    </row>
    <row r="12208" customFormat="false" ht="12.8" hidden="false" customHeight="false" outlineLevel="0" collapsed="false">
      <c r="B12208" s="0" t="s">
        <v>7</v>
      </c>
      <c r="C12208" s="0" t="s">
        <v>191</v>
      </c>
      <c r="D12208" s="0" t="s">
        <v>113</v>
      </c>
      <c r="E12208" s="0" t="s">
        <v>113</v>
      </c>
      <c r="F12208" s="0" t="s">
        <v>113</v>
      </c>
    </row>
    <row r="12209" customFormat="false" ht="12.8" hidden="false" customHeight="false" outlineLevel="0" collapsed="false">
      <c r="B12209" s="0" t="s">
        <v>14</v>
      </c>
      <c r="C12209" s="0" t="s">
        <v>47</v>
      </c>
      <c r="D12209" s="0" t="s">
        <v>1405</v>
      </c>
      <c r="E12209" s="0" t="s">
        <v>1405</v>
      </c>
      <c r="F12209" s="0" t="s">
        <v>1405</v>
      </c>
    </row>
    <row r="12211" customFormat="false" ht="12.8" hidden="false" customHeight="false" outlineLevel="0" collapsed="false">
      <c r="A12211" s="0" t="s">
        <v>4958</v>
      </c>
      <c r="B12211" s="0" t="str">
        <f aca="false">HYPERLINK("https://lindat.mff.cuni.cz/services/teitok/pdtc10/index.php?action=vallex&amp;frame=v-w1606f1", "kritizovat (v-w1606f1)")</f>
        <v>kritizovat (v-w1606f1)</v>
      </c>
    </row>
    <row r="12212" customFormat="false" ht="12.8" hidden="false" customHeight="false" outlineLevel="0" collapsed="false">
      <c r="B12212" s="0" t="s">
        <v>7</v>
      </c>
      <c r="C12212" s="0" t="s">
        <v>4959</v>
      </c>
      <c r="D12212" s="0" t="s">
        <v>4960</v>
      </c>
      <c r="E12212" s="0" t="s">
        <v>4960</v>
      </c>
      <c r="F12212" s="0" t="s">
        <v>4960</v>
      </c>
    </row>
    <row r="12213" customFormat="false" ht="12.8" hidden="false" customHeight="false" outlineLevel="0" collapsed="false">
      <c r="B12213" s="0" t="s">
        <v>172</v>
      </c>
      <c r="C12213" s="0" t="s">
        <v>135</v>
      </c>
      <c r="D12213" s="0" t="s">
        <v>1631</v>
      </c>
      <c r="E12213" s="0" t="s">
        <v>1631</v>
      </c>
      <c r="F12213" s="0" t="s">
        <v>1631</v>
      </c>
    </row>
    <row r="12215" customFormat="false" ht="12.8" hidden="false" customHeight="false" outlineLevel="0" collapsed="false">
      <c r="A12215" s="0" t="s">
        <v>4961</v>
      </c>
      <c r="B12215" s="0" t="str">
        <f aca="false">HYPERLINK("https://lindat.mff.cuni.cz/services/teitok/pdtc10/index.php?action=vallex&amp;frame=v-w1610f1", "krmit (v-w1610f1)")</f>
        <v>krmit (v-w1610f1)</v>
      </c>
    </row>
    <row r="12216" customFormat="false" ht="12.8" hidden="false" customHeight="false" outlineLevel="0" collapsed="false">
      <c r="B12216" s="0" t="s">
        <v>7</v>
      </c>
      <c r="C12216" s="0" t="s">
        <v>31</v>
      </c>
      <c r="D12216" s="0" t="s">
        <v>569</v>
      </c>
      <c r="E12216" s="0" t="s">
        <v>569</v>
      </c>
      <c r="F12216" s="0" t="s">
        <v>569</v>
      </c>
    </row>
    <row r="12217" customFormat="false" ht="12.8" hidden="false" customHeight="false" outlineLevel="0" collapsed="false">
      <c r="B12217" s="0" t="s">
        <v>14</v>
      </c>
      <c r="C12217" s="0" t="s">
        <v>4962</v>
      </c>
      <c r="D12217" s="0" t="s">
        <v>4963</v>
      </c>
      <c r="E12217" s="0" t="s">
        <v>4963</v>
      </c>
      <c r="F12217" s="0" t="s">
        <v>4963</v>
      </c>
    </row>
    <row r="12219" customFormat="false" ht="12.8" hidden="false" customHeight="false" outlineLevel="0" collapsed="false">
      <c r="A12219" s="0" t="s">
        <v>4964</v>
      </c>
      <c r="B12219" s="0" t="str">
        <f aca="false">HYPERLINK("https://lindat.mff.cuni.cz/services/teitok/pdtc10/index.php?action=vallex&amp;frame=v-whsa_1372hsa_1373", "kropit (v-whsa_1372hsa_1373)")</f>
        <v>kropit (v-whsa_1372hsa_1373)</v>
      </c>
    </row>
    <row r="12220" customFormat="false" ht="12.8" hidden="false" customHeight="false" outlineLevel="0" collapsed="false">
      <c r="B12220" s="0" t="s">
        <v>7</v>
      </c>
    </row>
    <row r="12221" customFormat="false" ht="12.8" hidden="false" customHeight="false" outlineLevel="0" collapsed="false">
      <c r="B12221" s="0" t="s">
        <v>14</v>
      </c>
    </row>
    <row r="12223" customFormat="false" ht="12.8" hidden="false" customHeight="false" outlineLevel="0" collapsed="false">
      <c r="A12223" s="0" t="s">
        <v>4965</v>
      </c>
      <c r="B12223" s="0" t="str">
        <f aca="false">HYPERLINK("https://lindat.mff.cuni.cz/services/teitok/pdtc10/index.php?action=vallex&amp;frame=v-w10571f2", "krotit (v-w10571f2)")</f>
        <v>krotit (v-w10571f2)</v>
      </c>
    </row>
    <row r="12224" customFormat="false" ht="12.8" hidden="false" customHeight="false" outlineLevel="0" collapsed="false">
      <c r="B12224" s="0" t="s">
        <v>7</v>
      </c>
      <c r="D12224" s="0" t="s">
        <v>46</v>
      </c>
      <c r="E12224" s="0" t="s">
        <v>46</v>
      </c>
      <c r="F12224" s="0" t="s">
        <v>46</v>
      </c>
    </row>
    <row r="12225" customFormat="false" ht="12.8" hidden="false" customHeight="false" outlineLevel="0" collapsed="false">
      <c r="B12225" s="0" t="s">
        <v>14</v>
      </c>
      <c r="C12225" s="0" t="s">
        <v>567</v>
      </c>
      <c r="D12225" s="0" t="s">
        <v>115</v>
      </c>
      <c r="E12225" s="0" t="s">
        <v>115</v>
      </c>
      <c r="F12225" s="0" t="s">
        <v>115</v>
      </c>
    </row>
    <row r="12227" customFormat="false" ht="12.8" hidden="false" customHeight="false" outlineLevel="0" collapsed="false">
      <c r="A12227" s="0" t="s">
        <v>4966</v>
      </c>
      <c r="B12227" s="0" t="str">
        <f aca="false">HYPERLINK("https://lindat.mff.cuni.cz/services/teitok/pdtc10/index.php?action=vallex&amp;frame=v-w10571f3_ZU", "krotit (v-w10571f3_ZU)")</f>
        <v>krotit (v-w10571f3_ZU)</v>
      </c>
    </row>
    <row r="12228" customFormat="false" ht="12.8" hidden="false" customHeight="false" outlineLevel="0" collapsed="false">
      <c r="B12228" s="0" t="s">
        <v>7</v>
      </c>
    </row>
    <row r="12229" customFormat="false" ht="12.8" hidden="false" customHeight="false" outlineLevel="0" collapsed="false">
      <c r="B12229" s="0" t="s">
        <v>81</v>
      </c>
      <c r="C12229" s="0" t="s">
        <v>4967</v>
      </c>
    </row>
    <row r="12230" customFormat="false" ht="12.8" hidden="false" customHeight="false" outlineLevel="0" collapsed="false">
      <c r="B12230" s="0" t="s">
        <v>706</v>
      </c>
      <c r="C12230" s="0" t="s">
        <v>3694</v>
      </c>
    </row>
    <row r="12232" customFormat="false" ht="12.8" hidden="false" customHeight="false" outlineLevel="0" collapsed="false">
      <c r="A12232" s="0" t="s">
        <v>4968</v>
      </c>
      <c r="B12232" s="0" t="str">
        <f aca="false">HYPERLINK("https://lindat.mff.cuni.cz/services/teitok/pdtc10/index.php?action=vallex&amp;frame=v-w11689_ZUf1_ZU", "krouhat (v-w11689_ZUf1_ZU)")</f>
        <v>krouhat (v-w11689_ZUf1_ZU)</v>
      </c>
    </row>
    <row r="12233" customFormat="false" ht="12.8" hidden="false" customHeight="false" outlineLevel="0" collapsed="false">
      <c r="B12233" s="0" t="s">
        <v>7</v>
      </c>
    </row>
    <row r="12234" customFormat="false" ht="12.8" hidden="false" customHeight="false" outlineLevel="0" collapsed="false">
      <c r="B12234" s="0" t="s">
        <v>14</v>
      </c>
    </row>
    <row r="12235" customFormat="false" ht="12.8" hidden="false" customHeight="false" outlineLevel="0" collapsed="false">
      <c r="B12235" s="0" t="s">
        <v>84</v>
      </c>
    </row>
    <row r="12237" customFormat="false" ht="12.8" hidden="false" customHeight="false" outlineLevel="0" collapsed="false">
      <c r="A12237" s="0" t="s">
        <v>4969</v>
      </c>
      <c r="B12237" s="0" t="str">
        <f aca="false">HYPERLINK("https://lindat.mff.cuni.cz/services/teitok/pdtc10/index.php?action=vallex&amp;frame=v-w1613f1", "kroutit (v-w1613f1)")</f>
        <v>kroutit (v-w1613f1)</v>
      </c>
    </row>
    <row r="12238" customFormat="false" ht="12.8" hidden="false" customHeight="false" outlineLevel="0" collapsed="false">
      <c r="B12238" s="0" t="s">
        <v>7</v>
      </c>
      <c r="C12238" s="0" t="s">
        <v>335</v>
      </c>
      <c r="D12238" s="0" t="s">
        <v>191</v>
      </c>
      <c r="E12238" s="0" t="s">
        <v>191</v>
      </c>
      <c r="F12238" s="0" t="s">
        <v>191</v>
      </c>
    </row>
    <row r="12239" customFormat="false" ht="12.8" hidden="false" customHeight="false" outlineLevel="0" collapsed="false">
      <c r="B12239" s="0" t="s">
        <v>3760</v>
      </c>
      <c r="C12239" s="0" t="s">
        <v>115</v>
      </c>
      <c r="D12239" s="0" t="s">
        <v>155</v>
      </c>
      <c r="E12239" s="0" t="s">
        <v>155</v>
      </c>
      <c r="F12239" s="0" t="s">
        <v>155</v>
      </c>
    </row>
    <row r="12241" customFormat="false" ht="12.8" hidden="false" customHeight="false" outlineLevel="0" collapsed="false">
      <c r="A12241" s="0" t="s">
        <v>4970</v>
      </c>
      <c r="B12241" s="0" t="str">
        <f aca="false">HYPERLINK("https://lindat.mff.cuni.cz/services/teitok/pdtc10/index.php?action=vallex&amp;frame=v-whsa_1190hsa_1191", "kroutit se (v-whsa_1190hsa_1191)")</f>
        <v>kroutit se (v-whsa_1190hsa_1191)</v>
      </c>
    </row>
    <row r="12242" customFormat="false" ht="12.8" hidden="false" customHeight="false" outlineLevel="0" collapsed="false">
      <c r="B12242" s="0" t="s">
        <v>7</v>
      </c>
    </row>
    <row r="12244" customFormat="false" ht="12.8" hidden="false" customHeight="false" outlineLevel="0" collapsed="false">
      <c r="A12244" s="0" t="s">
        <v>4971</v>
      </c>
      <c r="B12244" s="0" t="str">
        <f aca="false">HYPERLINK("https://lindat.mff.cuni.cz/services/teitok/pdtc10/index.php?action=vallex&amp;frame=v-w1614f1", "kroužit (v-w1614f1)")</f>
        <v>kroužit (v-w1614f1)</v>
      </c>
    </row>
    <row r="12245" customFormat="false" ht="12.8" hidden="false" customHeight="false" outlineLevel="0" collapsed="false">
      <c r="B12245" s="0" t="s">
        <v>7</v>
      </c>
      <c r="C12245" s="0" t="s">
        <v>248</v>
      </c>
      <c r="D12245" s="0" t="s">
        <v>248</v>
      </c>
      <c r="E12245" s="0" t="s">
        <v>248</v>
      </c>
      <c r="F12245" s="0" t="s">
        <v>248</v>
      </c>
    </row>
    <row r="12247" customFormat="false" ht="12.8" hidden="false" customHeight="false" outlineLevel="0" collapsed="false">
      <c r="A12247" s="0" t="s">
        <v>4972</v>
      </c>
      <c r="B12247" s="0" t="str">
        <f aca="false">HYPERLINK("https://lindat.mff.cuni.cz/services/teitok/pdtc10/index.php?action=vallex&amp;frame=v-w1615f2", "kručet (v-w1615f2)")</f>
        <v>kručet (v-w1615f2)</v>
      </c>
    </row>
    <row r="12248" customFormat="false" ht="12.8" hidden="false" customHeight="false" outlineLevel="0" collapsed="false">
      <c r="B12248" s="0" t="s">
        <v>603</v>
      </c>
    </row>
    <row r="12249" customFormat="false" ht="12.8" hidden="false" customHeight="false" outlineLevel="0" collapsed="false">
      <c r="B12249" s="0" t="s">
        <v>328</v>
      </c>
    </row>
    <row r="12251" customFormat="false" ht="12.8" hidden="false" customHeight="false" outlineLevel="0" collapsed="false">
      <c r="A12251" s="0" t="s">
        <v>4973</v>
      </c>
      <c r="B12251" s="0" t="str">
        <f aca="false">HYPERLINK("https://lindat.mff.cuni.cz/services/teitok/pdtc10/index.php?action=vallex&amp;frame=v-w1615f1", "kručet (v-w1615f1)")</f>
        <v>kručet (v-w1615f1)</v>
      </c>
    </row>
    <row r="12252" customFormat="false" ht="12.8" hidden="false" customHeight="false" outlineLevel="0" collapsed="false">
      <c r="B12252" s="0" t="s">
        <v>603</v>
      </c>
    </row>
    <row r="12253" customFormat="false" ht="12.8" hidden="false" customHeight="false" outlineLevel="0" collapsed="false">
      <c r="B12253" s="0" t="s">
        <v>11</v>
      </c>
    </row>
    <row r="12255" customFormat="false" ht="12.8" hidden="false" customHeight="false" outlineLevel="0" collapsed="false">
      <c r="A12255" s="0" t="s">
        <v>4974</v>
      </c>
      <c r="B12255" s="0" t="str">
        <f aca="false">HYPERLINK("https://lindat.mff.cuni.cz/services/teitok/pdtc10/index.php?action=vallex&amp;frame=v-w10727f2", "krvácet (v-w10727f2)")</f>
        <v>krvácet (v-w10727f2)</v>
      </c>
    </row>
    <row r="12256" customFormat="false" ht="12.8" hidden="false" customHeight="false" outlineLevel="0" collapsed="false">
      <c r="B12256" s="0" t="s">
        <v>7</v>
      </c>
    </row>
    <row r="12258" customFormat="false" ht="12.8" hidden="false" customHeight="false" outlineLevel="0" collapsed="false">
      <c r="A12258" s="0" t="s">
        <v>4975</v>
      </c>
      <c r="B12258" s="0" t="str">
        <f aca="false">HYPERLINK("https://lindat.mff.cuni.cz/services/teitok/pdtc10/index.php?action=vallex&amp;frame=v-w10727f3", "krvácet (v-w10727f3)")</f>
        <v>krvácet (v-w10727f3)</v>
      </c>
    </row>
    <row r="12259" customFormat="false" ht="12.8" hidden="false" customHeight="false" outlineLevel="0" collapsed="false">
      <c r="B12259" s="0" t="s">
        <v>7</v>
      </c>
      <c r="C12259" s="0" t="s">
        <v>4976</v>
      </c>
      <c r="D12259" s="0" t="s">
        <v>184</v>
      </c>
      <c r="E12259" s="0" t="s">
        <v>184</v>
      </c>
      <c r="F12259" s="0" t="s">
        <v>184</v>
      </c>
    </row>
    <row r="12261" customFormat="false" ht="12.8" hidden="false" customHeight="false" outlineLevel="0" collapsed="false">
      <c r="A12261" s="0" t="s">
        <v>4977</v>
      </c>
      <c r="B12261" s="0" t="str">
        <f aca="false">HYPERLINK("https://lindat.mff.cuni.cz/services/teitok/pdtc10/index.php?action=vallex&amp;frame=v-w1591f1", "krájet (v-w1591f1)")</f>
        <v>krájet (v-w1591f1)</v>
      </c>
    </row>
    <row r="12262" customFormat="false" ht="12.8" hidden="false" customHeight="false" outlineLevel="0" collapsed="false">
      <c r="B12262" s="0" t="s">
        <v>7</v>
      </c>
      <c r="D12262" s="0" t="s">
        <v>4939</v>
      </c>
      <c r="E12262" s="0" t="s">
        <v>4939</v>
      </c>
      <c r="F12262" s="0" t="s">
        <v>4939</v>
      </c>
    </row>
    <row r="12263" customFormat="false" ht="12.8" hidden="false" customHeight="false" outlineLevel="0" collapsed="false">
      <c r="B12263" s="0" t="s">
        <v>14</v>
      </c>
      <c r="D12263" s="0" t="s">
        <v>4940</v>
      </c>
      <c r="E12263" s="0" t="s">
        <v>4940</v>
      </c>
      <c r="F12263" s="0" t="s">
        <v>4940</v>
      </c>
    </row>
    <row r="12264" customFormat="false" ht="12.8" hidden="false" customHeight="false" outlineLevel="0" collapsed="false">
      <c r="B12264" s="0" t="s">
        <v>4978</v>
      </c>
      <c r="D12264" s="0" t="s">
        <v>4941</v>
      </c>
      <c r="E12264" s="0" t="s">
        <v>4941</v>
      </c>
      <c r="F12264" s="0" t="s">
        <v>4941</v>
      </c>
    </row>
    <row r="12266" customFormat="false" ht="12.8" hidden="false" customHeight="false" outlineLevel="0" collapsed="false">
      <c r="A12266" s="0" t="s">
        <v>4979</v>
      </c>
      <c r="B12266" s="0" t="str">
        <f aca="false">HYPERLINK("https://lindat.mff.cuni.cz/services/teitok/pdtc10/index.php?action=vallex&amp;frame=v-w1593f2", "krást (v-w1593f2)")</f>
        <v>krást (v-w1593f2)</v>
      </c>
    </row>
    <row r="12267" customFormat="false" ht="12.8" hidden="false" customHeight="false" outlineLevel="0" collapsed="false">
      <c r="B12267" s="0" t="s">
        <v>7</v>
      </c>
      <c r="C12267" s="0" t="s">
        <v>460</v>
      </c>
      <c r="D12267" s="0" t="s">
        <v>429</v>
      </c>
      <c r="E12267" s="0" t="s">
        <v>430</v>
      </c>
      <c r="F12267" s="0" t="s">
        <v>431</v>
      </c>
    </row>
    <row r="12268" customFormat="false" ht="12.8" hidden="false" customHeight="false" outlineLevel="0" collapsed="false">
      <c r="B12268" s="0" t="s">
        <v>14</v>
      </c>
      <c r="C12268" s="0" t="s">
        <v>3249</v>
      </c>
      <c r="D12268" s="0" t="s">
        <v>433</v>
      </c>
      <c r="E12268" s="0" t="s">
        <v>434</v>
      </c>
      <c r="F12268" s="0" t="s">
        <v>435</v>
      </c>
    </row>
    <row r="12269" customFormat="false" ht="12.8" hidden="false" customHeight="false" outlineLevel="0" collapsed="false">
      <c r="B12269" s="0" t="s">
        <v>48</v>
      </c>
      <c r="C12269" s="0" t="s">
        <v>4154</v>
      </c>
      <c r="D12269" s="0" t="s">
        <v>437</v>
      </c>
      <c r="E12269" s="0" t="s">
        <v>438</v>
      </c>
      <c r="F12269" s="0" t="s">
        <v>439</v>
      </c>
    </row>
    <row r="12271" customFormat="false" ht="12.8" hidden="false" customHeight="false" outlineLevel="0" collapsed="false">
      <c r="A12271" s="0" t="s">
        <v>4980</v>
      </c>
      <c r="B12271" s="0" t="str">
        <f aca="false">HYPERLINK("https://lindat.mff.cuni.cz/services/teitok/pdtc10/index.php?action=vallex&amp;frame=v-w1593f1", "krást (v-w1593f1)")</f>
        <v>krást (v-w1593f1)</v>
      </c>
    </row>
    <row r="12272" customFormat="false" ht="12.8" hidden="false" customHeight="false" outlineLevel="0" collapsed="false">
      <c r="B12272" s="0" t="s">
        <v>7</v>
      </c>
      <c r="C12272" s="0" t="s">
        <v>460</v>
      </c>
      <c r="D12272" s="0" t="s">
        <v>2530</v>
      </c>
      <c r="E12272" s="0" t="s">
        <v>2530</v>
      </c>
      <c r="F12272" s="0" t="s">
        <v>2530</v>
      </c>
    </row>
    <row r="12274" customFormat="false" ht="12.8" hidden="false" customHeight="false" outlineLevel="0" collapsed="false">
      <c r="A12274" s="0" t="s">
        <v>4981</v>
      </c>
      <c r="B12274" s="0" t="str">
        <f aca="false">HYPERLINK("https://lindat.mff.cuni.cz/services/teitok/pdtc10/index.php?action=vallex&amp;frame=v-w1594f1", "krátit (v-w1594f1)")</f>
        <v>krátit (v-w1594f1)</v>
      </c>
    </row>
    <row r="12275" customFormat="false" ht="12.8" hidden="false" customHeight="false" outlineLevel="0" collapsed="false">
      <c r="B12275" s="0" t="s">
        <v>7</v>
      </c>
      <c r="C12275" s="0" t="s">
        <v>31</v>
      </c>
      <c r="D12275" s="0" t="s">
        <v>4982</v>
      </c>
      <c r="E12275" s="0" t="s">
        <v>4983</v>
      </c>
      <c r="F12275" s="0" t="s">
        <v>4983</v>
      </c>
    </row>
    <row r="12276" customFormat="false" ht="12.8" hidden="false" customHeight="false" outlineLevel="0" collapsed="false">
      <c r="B12276" s="0" t="s">
        <v>14</v>
      </c>
      <c r="C12276" s="0" t="s">
        <v>1289</v>
      </c>
      <c r="D12276" s="0" t="s">
        <v>4984</v>
      </c>
      <c r="E12276" s="0" t="s">
        <v>4985</v>
      </c>
      <c r="F12276" s="0" t="s">
        <v>4985</v>
      </c>
    </row>
    <row r="12277" customFormat="false" ht="12.8" hidden="false" customHeight="false" outlineLevel="0" collapsed="false">
      <c r="B12277" s="0" t="s">
        <v>35</v>
      </c>
      <c r="D12277" s="0" t="s">
        <v>4986</v>
      </c>
      <c r="E12277" s="0" t="s">
        <v>4987</v>
      </c>
      <c r="F12277" s="0" t="s">
        <v>4987</v>
      </c>
    </row>
    <row r="12278" customFormat="false" ht="12.8" hidden="false" customHeight="false" outlineLevel="0" collapsed="false">
      <c r="B12278" s="0" t="s">
        <v>84</v>
      </c>
      <c r="D12278" s="0" t="s">
        <v>4988</v>
      </c>
      <c r="E12278" s="0" t="s">
        <v>4989</v>
      </c>
      <c r="F12278" s="0" t="s">
        <v>4989</v>
      </c>
    </row>
    <row r="12280" customFormat="false" ht="12.8" hidden="false" customHeight="false" outlineLevel="0" collapsed="false">
      <c r="A12280" s="0" t="s">
        <v>4990</v>
      </c>
      <c r="B12280" s="0" t="str">
        <f aca="false">HYPERLINK("https://lindat.mff.cuni.cz/services/teitok/pdtc10/index.php?action=vallex&amp;frame=v-w12080_ZUf1_ZU", "krátit se (v-w12080_ZUf1_ZU)")</f>
        <v>krátit se (v-w12080_ZUf1_ZU)</v>
      </c>
    </row>
    <row r="12281" customFormat="false" ht="12.8" hidden="false" customHeight="false" outlineLevel="0" collapsed="false">
      <c r="B12281" s="0" t="s">
        <v>7</v>
      </c>
    </row>
    <row r="12283" customFormat="false" ht="12.8" hidden="false" customHeight="false" outlineLevel="0" collapsed="false">
      <c r="A12283" s="0" t="s">
        <v>4991</v>
      </c>
      <c r="B12283" s="0" t="str">
        <f aca="false">HYPERLINK("https://lindat.mff.cuni.cz/services/teitok/pdtc10/index.php?action=vallex&amp;frame=v-w1587f1", "kráčet (v-w1587f1)")</f>
        <v>kráčet (v-w1587f1)</v>
      </c>
    </row>
    <row r="12284" customFormat="false" ht="12.8" hidden="false" customHeight="false" outlineLevel="0" collapsed="false">
      <c r="B12284" s="0" t="s">
        <v>7</v>
      </c>
      <c r="C12284" s="0" t="s">
        <v>504</v>
      </c>
      <c r="D12284" s="0" t="s">
        <v>126</v>
      </c>
      <c r="E12284" s="0" t="s">
        <v>194</v>
      </c>
      <c r="F12284" s="0" t="s">
        <v>194</v>
      </c>
    </row>
    <row r="12285" customFormat="false" ht="12.8" hidden="false" customHeight="false" outlineLevel="0" collapsed="false">
      <c r="B12285" s="0" t="s">
        <v>259</v>
      </c>
      <c r="D12285" s="0" t="s">
        <v>260</v>
      </c>
      <c r="E12285" s="0" t="s">
        <v>261</v>
      </c>
      <c r="F12285" s="0" t="s">
        <v>261</v>
      </c>
    </row>
    <row r="12287" customFormat="false" ht="12.8" hidden="false" customHeight="false" outlineLevel="0" collapsed="false">
      <c r="A12287" s="0" t="s">
        <v>4992</v>
      </c>
      <c r="B12287" s="0" t="str">
        <f aca="false">HYPERLINK("https://lindat.mff.cuni.cz/services/teitok/pdtc10/index.php?action=vallex&amp;frame=v-w1587f2", "kráčet (v-w1587f2)")</f>
        <v>kráčet (v-w1587f2)</v>
      </c>
    </row>
    <row r="12288" customFormat="false" ht="12.8" hidden="false" customHeight="false" outlineLevel="0" collapsed="false">
      <c r="B12288" s="0" t="s">
        <v>7</v>
      </c>
      <c r="C12288" s="0" t="s">
        <v>1826</v>
      </c>
      <c r="D12288" s="0" t="s">
        <v>73</v>
      </c>
      <c r="E12288" s="0" t="s">
        <v>73</v>
      </c>
      <c r="F12288" s="0" t="s">
        <v>73</v>
      </c>
    </row>
    <row r="12289" customFormat="false" ht="12.8" hidden="false" customHeight="false" outlineLevel="0" collapsed="false">
      <c r="B12289" s="0" t="s">
        <v>124</v>
      </c>
    </row>
    <row r="12291" customFormat="false" ht="12.8" hidden="false" customHeight="false" outlineLevel="0" collapsed="false">
      <c r="A12291" s="0" t="s">
        <v>4993</v>
      </c>
      <c r="B12291" s="0" t="str">
        <f aca="false">HYPERLINK("https://lindat.mff.cuni.cz/services/teitok/pdtc10/index.php?action=vallex&amp;frame=v-w1587f3", "kráčet (v-w1587f3)")</f>
        <v>kráčet (v-w1587f3)</v>
      </c>
    </row>
    <row r="12292" customFormat="false" ht="12.8" hidden="false" customHeight="false" outlineLevel="0" collapsed="false">
      <c r="B12292" s="0" t="s">
        <v>7</v>
      </c>
    </row>
    <row r="12293" customFormat="false" ht="12.8" hidden="false" customHeight="false" outlineLevel="0" collapsed="false">
      <c r="B12293" s="0" t="s">
        <v>4994</v>
      </c>
    </row>
    <row r="12295" customFormat="false" ht="12.8" hidden="false" customHeight="false" outlineLevel="0" collapsed="false">
      <c r="A12295" s="0" t="s">
        <v>4995</v>
      </c>
      <c r="B12295" s="0" t="str">
        <f aca="false">HYPERLINK("https://lindat.mff.cuni.cz/services/teitok/pdtc10/index.php?action=vallex&amp;frame=v-w1587f4_ZU", "kráčet (v-w1587f4_ZU)")</f>
        <v>kráčet (v-w1587f4_ZU)</v>
      </c>
    </row>
    <row r="12296" customFormat="false" ht="12.8" hidden="false" customHeight="false" outlineLevel="0" collapsed="false">
      <c r="B12296" s="0" t="s">
        <v>7</v>
      </c>
    </row>
    <row r="12297" customFormat="false" ht="12.8" hidden="false" customHeight="false" outlineLevel="0" collapsed="false">
      <c r="B12297" s="0" t="s">
        <v>4996</v>
      </c>
    </row>
    <row r="12299" customFormat="false" ht="12.8" hidden="false" customHeight="false" outlineLevel="0" collapsed="false">
      <c r="A12299" s="0" t="s">
        <v>4997</v>
      </c>
      <c r="B12299" s="0" t="str">
        <f aca="false">HYPERLINK("https://lindat.mff.cuni.cz/services/teitok/pdtc10/index.php?action=vallex&amp;frame=v-w11933_ZUf1_ZU", "kráčet si (v-w11933_ZUf1_ZU)")</f>
        <v>kráčet si (v-w11933_ZUf1_ZU)</v>
      </c>
    </row>
    <row r="12300" customFormat="false" ht="12.8" hidden="false" customHeight="false" outlineLevel="0" collapsed="false">
      <c r="B12300" s="0" t="s">
        <v>7</v>
      </c>
    </row>
    <row r="12302" customFormat="false" ht="12.8" hidden="false" customHeight="false" outlineLevel="0" collapsed="false">
      <c r="A12302" s="0" t="s">
        <v>4998</v>
      </c>
      <c r="B12302" s="0" t="str">
        <f aca="false">HYPERLINK("https://lindat.mff.cuni.cz/services/teitok/pdtc10/index.php?action=vallex&amp;frame=v-w1621f4", "krýt (v-w1621f4)")</f>
        <v>krýt (v-w1621f4)</v>
      </c>
    </row>
    <row r="12303" customFormat="false" ht="12.8" hidden="false" customHeight="false" outlineLevel="0" collapsed="false">
      <c r="B12303" s="0" t="s">
        <v>7</v>
      </c>
      <c r="C12303" s="0" t="s">
        <v>46</v>
      </c>
      <c r="D12303" s="0" t="s">
        <v>4999</v>
      </c>
      <c r="E12303" s="0" t="s">
        <v>4999</v>
      </c>
      <c r="F12303" s="0" t="s">
        <v>4999</v>
      </c>
    </row>
    <row r="12304" customFormat="false" ht="12.8" hidden="false" customHeight="false" outlineLevel="0" collapsed="false">
      <c r="B12304" s="0" t="s">
        <v>3742</v>
      </c>
      <c r="C12304" s="0" t="s">
        <v>33</v>
      </c>
      <c r="D12304" s="0" t="s">
        <v>5000</v>
      </c>
      <c r="E12304" s="0" t="s">
        <v>5000</v>
      </c>
      <c r="F12304" s="0" t="s">
        <v>5000</v>
      </c>
    </row>
    <row r="12305" customFormat="false" ht="12.8" hidden="false" customHeight="false" outlineLevel="0" collapsed="false">
      <c r="B12305" s="0" t="s">
        <v>3743</v>
      </c>
      <c r="D12305" s="0" t="s">
        <v>5001</v>
      </c>
      <c r="E12305" s="0" t="s">
        <v>5001</v>
      </c>
      <c r="F12305" s="0" t="s">
        <v>5001</v>
      </c>
    </row>
    <row r="12307" customFormat="false" ht="12.8" hidden="false" customHeight="false" outlineLevel="0" collapsed="false">
      <c r="A12307" s="0" t="s">
        <v>5002</v>
      </c>
      <c r="B12307" s="0" t="str">
        <f aca="false">HYPERLINK("https://lindat.mff.cuni.cz/services/teitok/pdtc10/index.php?action=vallex&amp;frame=v-w1621f1", "krýt (v-w1621f1)")</f>
        <v>krýt (v-w1621f1)</v>
      </c>
    </row>
    <row r="12308" customFormat="false" ht="12.8" hidden="false" customHeight="false" outlineLevel="0" collapsed="false">
      <c r="B12308" s="0" t="s">
        <v>7</v>
      </c>
    </row>
    <row r="12309" customFormat="false" ht="12.8" hidden="false" customHeight="false" outlineLevel="0" collapsed="false">
      <c r="B12309" s="0" t="s">
        <v>14</v>
      </c>
    </row>
    <row r="12311" customFormat="false" ht="12.8" hidden="false" customHeight="false" outlineLevel="0" collapsed="false">
      <c r="A12311" s="0" t="s">
        <v>5003</v>
      </c>
      <c r="B12311" s="0" t="str">
        <f aca="false">HYPERLINK("https://lindat.mff.cuni.cz/services/teitok/pdtc10/index.php?action=vallex&amp;frame=v-w1621f2", "krýt (v-w1621f2)")</f>
        <v>krýt (v-w1621f2)</v>
      </c>
    </row>
    <row r="12312" customFormat="false" ht="12.8" hidden="false" customHeight="false" outlineLevel="0" collapsed="false">
      <c r="B12312" s="0" t="s">
        <v>7</v>
      </c>
      <c r="C12312" s="0" t="s">
        <v>5004</v>
      </c>
      <c r="D12312" s="0" t="s">
        <v>3994</v>
      </c>
      <c r="E12312" s="0" t="s">
        <v>3994</v>
      </c>
      <c r="F12312" s="0" t="s">
        <v>3994</v>
      </c>
    </row>
    <row r="12313" customFormat="false" ht="12.8" hidden="false" customHeight="false" outlineLevel="0" collapsed="false">
      <c r="B12313" s="0" t="s">
        <v>14</v>
      </c>
      <c r="C12313" s="0" t="s">
        <v>5005</v>
      </c>
      <c r="D12313" s="0" t="s">
        <v>2641</v>
      </c>
      <c r="E12313" s="0" t="s">
        <v>2641</v>
      </c>
      <c r="F12313" s="0" t="s">
        <v>2641</v>
      </c>
    </row>
    <row r="12315" customFormat="false" ht="12.8" hidden="false" customHeight="false" outlineLevel="0" collapsed="false">
      <c r="A12315" s="0" t="s">
        <v>5006</v>
      </c>
      <c r="B12315" s="0" t="str">
        <f aca="false">HYPERLINK("https://lindat.mff.cuni.cz/services/teitok/pdtc10/index.php?action=vallex&amp;frame=v-w1621f3", "krýt (v-w1621f3)")</f>
        <v>krýt (v-w1621f3)</v>
      </c>
    </row>
    <row r="12316" customFormat="false" ht="12.8" hidden="false" customHeight="false" outlineLevel="0" collapsed="false">
      <c r="B12316" s="0" t="s">
        <v>7</v>
      </c>
      <c r="C12316" s="0" t="s">
        <v>5004</v>
      </c>
      <c r="D12316" s="0" t="s">
        <v>2088</v>
      </c>
      <c r="E12316" s="0" t="s">
        <v>2088</v>
      </c>
      <c r="F12316" s="0" t="s">
        <v>2088</v>
      </c>
    </row>
    <row r="12317" customFormat="false" ht="12.8" hidden="false" customHeight="false" outlineLevel="0" collapsed="false">
      <c r="B12317" s="0" t="s">
        <v>14</v>
      </c>
      <c r="C12317" s="0" t="s">
        <v>5007</v>
      </c>
      <c r="D12317" s="0" t="s">
        <v>2089</v>
      </c>
      <c r="E12317" s="0" t="s">
        <v>2089</v>
      </c>
      <c r="F12317" s="0" t="s">
        <v>2089</v>
      </c>
    </row>
    <row r="12319" customFormat="false" ht="12.8" hidden="false" customHeight="false" outlineLevel="0" collapsed="false">
      <c r="A12319" s="0" t="s">
        <v>5008</v>
      </c>
      <c r="B12319" s="0" t="str">
        <f aca="false">HYPERLINK("https://lindat.mff.cuni.cz/services/teitok/pdtc10/index.php?action=vallex&amp;frame=v-w1623f1", "krýt se (v-w1623f1)")</f>
        <v>krýt se (v-w1623f1)</v>
      </c>
    </row>
    <row r="12320" customFormat="false" ht="12.8" hidden="false" customHeight="false" outlineLevel="0" collapsed="false">
      <c r="B12320" s="0" t="s">
        <v>7</v>
      </c>
      <c r="C12320" s="0" t="s">
        <v>247</v>
      </c>
      <c r="D12320" s="0" t="s">
        <v>5009</v>
      </c>
      <c r="E12320" s="0" t="s">
        <v>5009</v>
      </c>
      <c r="F12320" s="0" t="s">
        <v>5009</v>
      </c>
    </row>
    <row r="12321" customFormat="false" ht="12.8" hidden="false" customHeight="false" outlineLevel="0" collapsed="false">
      <c r="B12321" s="0" t="s">
        <v>548</v>
      </c>
      <c r="C12321" s="0" t="s">
        <v>47</v>
      </c>
      <c r="D12321" s="0" t="s">
        <v>115</v>
      </c>
      <c r="E12321" s="0" t="s">
        <v>115</v>
      </c>
      <c r="F12321" s="0" t="s">
        <v>115</v>
      </c>
    </row>
    <row r="12323" customFormat="false" ht="12.8" hidden="false" customHeight="false" outlineLevel="0" collapsed="false">
      <c r="A12323" s="0" t="s">
        <v>5010</v>
      </c>
      <c r="B12323" s="0" t="str">
        <f aca="false">HYPERLINK("https://lindat.mff.cuni.cz/services/teitok/pdtc10/index.php?action=vallex&amp;frame=v-whsa_800hsa_801", "krčit (v-whsa_800hsa_801)")</f>
        <v>krčit (v-whsa_800hsa_801)</v>
      </c>
    </row>
    <row r="12324" customFormat="false" ht="12.8" hidden="false" customHeight="false" outlineLevel="0" collapsed="false">
      <c r="B12324" s="0" t="s">
        <v>7</v>
      </c>
      <c r="C12324" s="0" t="s">
        <v>191</v>
      </c>
      <c r="D12324" s="0" t="s">
        <v>191</v>
      </c>
      <c r="E12324" s="0" t="s">
        <v>191</v>
      </c>
      <c r="F12324" s="0" t="s">
        <v>191</v>
      </c>
    </row>
    <row r="12325" customFormat="false" ht="12.8" hidden="false" customHeight="false" outlineLevel="0" collapsed="false">
      <c r="B12325" s="0" t="s">
        <v>216</v>
      </c>
      <c r="D12325" s="0" t="s">
        <v>155</v>
      </c>
      <c r="E12325" s="0" t="s">
        <v>155</v>
      </c>
      <c r="F12325" s="0" t="s">
        <v>155</v>
      </c>
    </row>
    <row r="12327" customFormat="false" ht="12.8" hidden="false" customHeight="false" outlineLevel="0" collapsed="false">
      <c r="A12327" s="0" t="s">
        <v>5011</v>
      </c>
      <c r="B12327" s="0" t="str">
        <f aca="false">HYPERLINK("https://lindat.mff.cuni.cz/services/teitok/pdtc10/index.php?action=vallex&amp;frame=v-w1596f2", "krčit se (v-w1596f2)")</f>
        <v>krčit se (v-w1596f2)</v>
      </c>
    </row>
    <row r="12328" customFormat="false" ht="12.8" hidden="false" customHeight="false" outlineLevel="0" collapsed="false">
      <c r="B12328" s="0" t="s">
        <v>7</v>
      </c>
    </row>
    <row r="12329" customFormat="false" ht="12.8" hidden="false" customHeight="false" outlineLevel="0" collapsed="false">
      <c r="B12329" s="0" t="s">
        <v>1400</v>
      </c>
    </row>
    <row r="12331" customFormat="false" ht="12.8" hidden="false" customHeight="false" outlineLevel="0" collapsed="false">
      <c r="A12331" s="0" t="s">
        <v>5012</v>
      </c>
      <c r="B12331" s="0" t="str">
        <f aca="false">HYPERLINK("https://lindat.mff.cuni.cz/services/teitok/pdtc10/index.php?action=vallex&amp;frame=v-w1596f1", "krčit se (v-w1596f1)")</f>
        <v>krčit se (v-w1596f1)</v>
      </c>
    </row>
    <row r="12332" customFormat="false" ht="12.8" hidden="false" customHeight="false" outlineLevel="0" collapsed="false">
      <c r="B12332" s="0" t="s">
        <v>7</v>
      </c>
      <c r="C12332" s="0" t="s">
        <v>5013</v>
      </c>
    </row>
    <row r="12334" customFormat="false" ht="12.8" hidden="false" customHeight="false" outlineLevel="0" collapsed="false">
      <c r="A12334" s="0" t="s">
        <v>5014</v>
      </c>
      <c r="B12334" s="0" t="str">
        <f aca="false">HYPERLINK("https://lindat.mff.cuni.cz/services/teitok/pdtc10/index.php?action=vallex&amp;frame=v-w12096_ZUf1_ZU", "kuchat (v-w12096_ZUf1_ZU)")</f>
        <v>kuchat (v-w12096_ZUf1_ZU)</v>
      </c>
    </row>
    <row r="12335" customFormat="false" ht="12.8" hidden="false" customHeight="false" outlineLevel="0" collapsed="false">
      <c r="B12335" s="0" t="s">
        <v>7</v>
      </c>
    </row>
    <row r="12336" customFormat="false" ht="12.8" hidden="false" customHeight="false" outlineLevel="0" collapsed="false">
      <c r="B12336" s="0" t="s">
        <v>14</v>
      </c>
    </row>
    <row r="12338" customFormat="false" ht="12.8" hidden="false" customHeight="false" outlineLevel="0" collapsed="false">
      <c r="A12338" s="0" t="s">
        <v>5015</v>
      </c>
      <c r="B12338" s="0" t="str">
        <f aca="false">HYPERLINK("https://lindat.mff.cuni.cz/services/teitok/pdtc10/index.php?action=vallex&amp;frame=v-w1633f1", "kulminovat (v-w1633f1)")</f>
        <v>kulminovat (v-w1633f1)</v>
      </c>
    </row>
    <row r="12339" customFormat="false" ht="12.8" hidden="false" customHeight="false" outlineLevel="0" collapsed="false">
      <c r="B12339" s="0" t="s">
        <v>7</v>
      </c>
    </row>
    <row r="12341" customFormat="false" ht="12.8" hidden="false" customHeight="false" outlineLevel="0" collapsed="false">
      <c r="A12341" s="0" t="s">
        <v>5016</v>
      </c>
      <c r="B12341" s="0" t="str">
        <f aca="false">HYPERLINK("https://lindat.mff.cuni.cz/services/teitok/pdtc10/index.php?action=vallex&amp;frame=v-w1635f1", "kultivovat (v-w1635f1)")</f>
        <v>kultivovat (v-w1635f1)</v>
      </c>
    </row>
    <row r="12342" customFormat="false" ht="12.8" hidden="false" customHeight="false" outlineLevel="0" collapsed="false">
      <c r="B12342" s="0" t="s">
        <v>7</v>
      </c>
      <c r="D12342" s="0" t="s">
        <v>5017</v>
      </c>
      <c r="E12342" s="0" t="s">
        <v>5017</v>
      </c>
      <c r="F12342" s="0" t="s">
        <v>5017</v>
      </c>
    </row>
    <row r="12343" customFormat="false" ht="12.8" hidden="false" customHeight="false" outlineLevel="0" collapsed="false">
      <c r="B12343" s="0" t="s">
        <v>14</v>
      </c>
      <c r="D12343" s="0" t="s">
        <v>5018</v>
      </c>
      <c r="E12343" s="0" t="s">
        <v>5018</v>
      </c>
      <c r="F12343" s="0" t="s">
        <v>5018</v>
      </c>
    </row>
    <row r="12345" customFormat="false" ht="12.8" hidden="false" customHeight="false" outlineLevel="0" collapsed="false">
      <c r="A12345" s="0" t="s">
        <v>5019</v>
      </c>
      <c r="B12345" s="0" t="str">
        <f aca="false">HYPERLINK("https://lindat.mff.cuni.cz/services/teitok/pdtc10/index.php?action=vallex&amp;frame=v-w1637f1", "kumulovat se (v-w1637f1)")</f>
        <v>kumulovat se (v-w1637f1)</v>
      </c>
    </row>
    <row r="12346" customFormat="false" ht="12.8" hidden="false" customHeight="false" outlineLevel="0" collapsed="false">
      <c r="B12346" s="0" t="s">
        <v>7</v>
      </c>
      <c r="C12346" s="0" t="s">
        <v>200</v>
      </c>
    </row>
    <row r="12348" customFormat="false" ht="12.8" hidden="false" customHeight="false" outlineLevel="0" collapsed="false">
      <c r="A12348" s="0" t="s">
        <v>5020</v>
      </c>
      <c r="B12348" s="0" t="str">
        <f aca="false">HYPERLINK("https://lindat.mff.cuni.cz/services/teitok/pdtc10/index.php?action=vallex&amp;frame=v-w11437f1", "kupit se (v-w11437f1)")</f>
        <v>kupit se (v-w11437f1)</v>
      </c>
    </row>
    <row r="12349" customFormat="false" ht="12.8" hidden="false" customHeight="false" outlineLevel="0" collapsed="false">
      <c r="B12349" s="0" t="s">
        <v>7</v>
      </c>
      <c r="C12349" s="0" t="s">
        <v>514</v>
      </c>
    </row>
    <row r="12351" customFormat="false" ht="12.8" hidden="false" customHeight="false" outlineLevel="0" collapsed="false">
      <c r="A12351" s="0" t="s">
        <v>5021</v>
      </c>
      <c r="B12351" s="0" t="str">
        <f aca="false">HYPERLINK("https://lindat.mff.cuni.cz/services/teitok/pdtc10/index.php?action=vallex&amp;frame=v-w1639f1", "kupovat (v-w1639f1)")</f>
        <v>kupovat (v-w1639f1)</v>
      </c>
    </row>
    <row r="12352" customFormat="false" ht="12.8" hidden="false" customHeight="false" outlineLevel="0" collapsed="false">
      <c r="B12352" s="0" t="s">
        <v>7</v>
      </c>
      <c r="C12352" s="0" t="s">
        <v>5022</v>
      </c>
      <c r="D12352" s="0" t="s">
        <v>4927</v>
      </c>
      <c r="E12352" s="0" t="s">
        <v>4927</v>
      </c>
      <c r="F12352" s="0" t="s">
        <v>4927</v>
      </c>
    </row>
    <row r="12353" customFormat="false" ht="12.8" hidden="false" customHeight="false" outlineLevel="0" collapsed="false">
      <c r="B12353" s="0" t="s">
        <v>14</v>
      </c>
      <c r="C12353" s="0" t="s">
        <v>5023</v>
      </c>
      <c r="D12353" s="0" t="s">
        <v>4929</v>
      </c>
      <c r="E12353" s="0" t="s">
        <v>4929</v>
      </c>
      <c r="F12353" s="0" t="s">
        <v>4929</v>
      </c>
    </row>
    <row r="12354" customFormat="false" ht="12.8" hidden="false" customHeight="false" outlineLevel="0" collapsed="false">
      <c r="B12354" s="0" t="s">
        <v>1953</v>
      </c>
      <c r="C12354" s="0" t="s">
        <v>4930</v>
      </c>
      <c r="D12354" s="0" t="s">
        <v>4930</v>
      </c>
      <c r="E12354" s="0" t="s">
        <v>4930</v>
      </c>
      <c r="F12354" s="0" t="s">
        <v>4930</v>
      </c>
    </row>
    <row r="12355" customFormat="false" ht="12.8" hidden="false" customHeight="false" outlineLevel="0" collapsed="false">
      <c r="B12355" s="0" t="s">
        <v>441</v>
      </c>
      <c r="C12355" s="0" t="s">
        <v>5024</v>
      </c>
      <c r="D12355" s="0" t="s">
        <v>4932</v>
      </c>
      <c r="E12355" s="0" t="s">
        <v>4932</v>
      </c>
      <c r="F12355" s="0" t="s">
        <v>4932</v>
      </c>
    </row>
    <row r="12357" customFormat="false" ht="12.8" hidden="false" customHeight="false" outlineLevel="0" collapsed="false">
      <c r="A12357" s="0" t="s">
        <v>5025</v>
      </c>
      <c r="B12357" s="0" t="str">
        <f aca="false">HYPERLINK("https://lindat.mff.cuni.cz/services/teitok/pdtc10/index.php?action=vallex&amp;frame=v-w1642f1", "kutálet se (v-w1642f1)")</f>
        <v>kutálet se (v-w1642f1)</v>
      </c>
    </row>
    <row r="12358" customFormat="false" ht="12.8" hidden="false" customHeight="false" outlineLevel="0" collapsed="false">
      <c r="B12358" s="0" t="s">
        <v>7</v>
      </c>
      <c r="F12358" s="0" t="s">
        <v>5026</v>
      </c>
    </row>
    <row r="12360" customFormat="false" ht="12.8" hidden="false" customHeight="false" outlineLevel="0" collapsed="false">
      <c r="A12360" s="0" t="s">
        <v>5027</v>
      </c>
      <c r="B12360" s="0" t="str">
        <f aca="false">HYPERLINK("https://lindat.mff.cuni.cz/services/teitok/pdtc10/index.php?action=vallex&amp;frame=v-w1645f1", "kvalifikovat (v-w1645f1)")</f>
        <v>kvalifikovat (v-w1645f1)</v>
      </c>
    </row>
    <row r="12361" customFormat="false" ht="12.8" hidden="false" customHeight="false" outlineLevel="0" collapsed="false">
      <c r="B12361" s="0" t="s">
        <v>7</v>
      </c>
      <c r="C12361" s="0" t="s">
        <v>191</v>
      </c>
      <c r="D12361" s="0" t="s">
        <v>5028</v>
      </c>
      <c r="E12361" s="0" t="s">
        <v>5028</v>
      </c>
      <c r="F12361" s="0" t="s">
        <v>5028</v>
      </c>
    </row>
    <row r="12362" customFormat="false" ht="12.8" hidden="false" customHeight="false" outlineLevel="0" collapsed="false">
      <c r="B12362" s="0" t="s">
        <v>5029</v>
      </c>
      <c r="D12362" s="0" t="s">
        <v>5030</v>
      </c>
      <c r="E12362" s="0" t="s">
        <v>5030</v>
      </c>
      <c r="F12362" s="0" t="s">
        <v>5030</v>
      </c>
    </row>
    <row r="12363" customFormat="false" ht="12.8" hidden="false" customHeight="false" outlineLevel="0" collapsed="false">
      <c r="B12363" s="0" t="s">
        <v>81</v>
      </c>
      <c r="C12363" s="0" t="s">
        <v>397</v>
      </c>
      <c r="D12363" s="0" t="s">
        <v>5031</v>
      </c>
      <c r="E12363" s="0" t="s">
        <v>5031</v>
      </c>
      <c r="F12363" s="0" t="s">
        <v>5031</v>
      </c>
    </row>
    <row r="12365" customFormat="false" ht="12.8" hidden="false" customHeight="false" outlineLevel="0" collapsed="false">
      <c r="A12365" s="0" t="s">
        <v>5032</v>
      </c>
      <c r="B12365" s="0" t="str">
        <f aca="false">HYPERLINK("https://lindat.mff.cuni.cz/services/teitok/pdtc10/index.php?action=vallex&amp;frame=v-w1645f2", "kvalifikovat (v-w1645f2)")</f>
        <v>kvalifikovat (v-w1645f2)</v>
      </c>
    </row>
    <row r="12366" customFormat="false" ht="12.8" hidden="false" customHeight="false" outlineLevel="0" collapsed="false">
      <c r="B12366" s="0" t="s">
        <v>7</v>
      </c>
    </row>
    <row r="12367" customFormat="false" ht="12.8" hidden="false" customHeight="false" outlineLevel="0" collapsed="false">
      <c r="B12367" s="0" t="s">
        <v>14</v>
      </c>
    </row>
    <row r="12368" customFormat="false" ht="12.8" hidden="false" customHeight="false" outlineLevel="0" collapsed="false">
      <c r="B12368" s="0" t="s">
        <v>1358</v>
      </c>
    </row>
    <row r="12370" customFormat="false" ht="12.8" hidden="false" customHeight="false" outlineLevel="0" collapsed="false">
      <c r="A12370" s="0" t="s">
        <v>5033</v>
      </c>
      <c r="B12370" s="0" t="str">
        <f aca="false">HYPERLINK("https://lindat.mff.cuni.cz/services/teitok/pdtc10/index.php?action=vallex&amp;frame=v-w1646f3_ZU", "kvalifikovat se (v-w1646f3_ZU)")</f>
        <v>kvalifikovat se (v-w1646f3_ZU)</v>
      </c>
    </row>
    <row r="12371" customFormat="false" ht="12.8" hidden="false" customHeight="false" outlineLevel="0" collapsed="false">
      <c r="B12371" s="0" t="s">
        <v>7</v>
      </c>
      <c r="C12371" s="0" t="s">
        <v>1371</v>
      </c>
      <c r="D12371" s="0" t="s">
        <v>5034</v>
      </c>
      <c r="E12371" s="0" t="s">
        <v>5034</v>
      </c>
      <c r="F12371" s="0" t="s">
        <v>5034</v>
      </c>
    </row>
    <row r="12372" customFormat="false" ht="12.8" hidden="false" customHeight="false" outlineLevel="0" collapsed="false">
      <c r="B12372" s="0" t="s">
        <v>5035</v>
      </c>
      <c r="C12372" s="0" t="s">
        <v>2526</v>
      </c>
      <c r="D12372" s="0" t="s">
        <v>5030</v>
      </c>
      <c r="E12372" s="0" t="s">
        <v>5030</v>
      </c>
      <c r="F12372" s="0" t="s">
        <v>5030</v>
      </c>
    </row>
    <row r="12374" customFormat="false" ht="12.8" hidden="false" customHeight="false" outlineLevel="0" collapsed="false">
      <c r="A12374" s="0" t="s">
        <v>5036</v>
      </c>
      <c r="B12374" s="0" t="str">
        <f aca="false">HYPERLINK("https://lindat.mff.cuni.cz/services/teitok/pdtc10/index.php?action=vallex&amp;frame=v-w1646f1", "kvalifikovat se (v-w1646f1)")</f>
        <v>kvalifikovat se (v-w1646f1)</v>
      </c>
    </row>
    <row r="12375" customFormat="false" ht="12.8" hidden="false" customHeight="false" outlineLevel="0" collapsed="false">
      <c r="B12375" s="0" t="s">
        <v>7</v>
      </c>
    </row>
    <row r="12376" customFormat="false" ht="12.8" hidden="false" customHeight="false" outlineLevel="0" collapsed="false">
      <c r="B12376" s="0" t="s">
        <v>124</v>
      </c>
    </row>
    <row r="12378" customFormat="false" ht="12.8" hidden="false" customHeight="false" outlineLevel="0" collapsed="false">
      <c r="A12378" s="0" t="s">
        <v>5037</v>
      </c>
      <c r="B12378" s="0" t="str">
        <f aca="false">HYPERLINK("https://lindat.mff.cuni.cz/services/teitok/pdtc10/index.php?action=vallex&amp;frame=v-w1646f2", "kvalifikovat se (v-w1646f2)")</f>
        <v>kvalifikovat se (v-w1646f2)</v>
      </c>
    </row>
    <row r="12379" customFormat="false" ht="12.8" hidden="false" customHeight="false" outlineLevel="0" collapsed="false">
      <c r="B12379" s="0" t="s">
        <v>7</v>
      </c>
      <c r="C12379" s="0" t="s">
        <v>1371</v>
      </c>
      <c r="D12379" s="0" t="s">
        <v>5034</v>
      </c>
      <c r="E12379" s="0" t="s">
        <v>5034</v>
      </c>
      <c r="F12379" s="0" t="s">
        <v>5034</v>
      </c>
    </row>
    <row r="12380" customFormat="false" ht="12.8" hidden="false" customHeight="false" outlineLevel="0" collapsed="false">
      <c r="B12380" s="0" t="s">
        <v>124</v>
      </c>
      <c r="D12380" s="0" t="s">
        <v>5038</v>
      </c>
      <c r="E12380" s="0" t="s">
        <v>5038</v>
      </c>
      <c r="F12380" s="0" t="s">
        <v>5038</v>
      </c>
    </row>
    <row r="12382" customFormat="false" ht="12.8" hidden="false" customHeight="false" outlineLevel="0" collapsed="false">
      <c r="A12382" s="0" t="s">
        <v>5039</v>
      </c>
      <c r="B12382" s="0" t="str">
        <f aca="false">HYPERLINK("https://lindat.mff.cuni.cz/services/teitok/pdtc10/index.php?action=vallex&amp;frame=v-whsa_1622hsa_1623", "kvaltovat (v-whsa_1622hsa_1623)")</f>
        <v>kvaltovat (v-whsa_1622hsa_1623)</v>
      </c>
    </row>
    <row r="12383" customFormat="false" ht="12.8" hidden="false" customHeight="false" outlineLevel="0" collapsed="false">
      <c r="B12383" s="0" t="s">
        <v>7</v>
      </c>
    </row>
    <row r="12385" customFormat="false" ht="12.8" hidden="false" customHeight="false" outlineLevel="0" collapsed="false">
      <c r="A12385" s="0" t="s">
        <v>5040</v>
      </c>
      <c r="B12385" s="0" t="str">
        <f aca="false">HYPERLINK("https://lindat.mff.cuni.cz/services/teitok/pdtc10/index.php?action=vallex&amp;frame=v-w1648f1", "kvantifikovat (v-w1648f1)")</f>
        <v>kvantifikovat (v-w1648f1)</v>
      </c>
    </row>
    <row r="12386" customFormat="false" ht="12.8" hidden="false" customHeight="false" outlineLevel="0" collapsed="false">
      <c r="B12386" s="0" t="s">
        <v>7</v>
      </c>
    </row>
    <row r="12387" customFormat="false" ht="12.8" hidden="false" customHeight="false" outlineLevel="0" collapsed="false">
      <c r="B12387" s="0" t="s">
        <v>232</v>
      </c>
    </row>
    <row r="12389" customFormat="false" ht="12.8" hidden="false" customHeight="false" outlineLevel="0" collapsed="false">
      <c r="A12389" s="0" t="s">
        <v>5041</v>
      </c>
      <c r="B12389" s="0" t="str">
        <f aca="false">HYPERLINK("https://lindat.mff.cuni.cz/services/teitok/pdtc10/index.php?action=vallex&amp;frame=v-w1651f1", "kvitovat (v-w1651f1)")</f>
        <v>kvitovat (v-w1651f1)</v>
      </c>
    </row>
    <row r="12390" customFormat="false" ht="12.8" hidden="false" customHeight="false" outlineLevel="0" collapsed="false">
      <c r="B12390" s="0" t="s">
        <v>7</v>
      </c>
      <c r="C12390" s="0" t="s">
        <v>46</v>
      </c>
    </row>
    <row r="12391" customFormat="false" ht="12.8" hidden="false" customHeight="false" outlineLevel="0" collapsed="false">
      <c r="B12391" s="0" t="s">
        <v>1693</v>
      </c>
      <c r="C12391" s="0" t="s">
        <v>1170</v>
      </c>
    </row>
    <row r="12393" customFormat="false" ht="12.8" hidden="false" customHeight="false" outlineLevel="0" collapsed="false">
      <c r="A12393" s="0" t="s">
        <v>5042</v>
      </c>
      <c r="B12393" s="0" t="str">
        <f aca="false">HYPERLINK("https://lindat.mff.cuni.cz/services/teitok/pdtc10/index.php?action=vallex&amp;frame=v-w10158f2", "kvákat (v-w10158f2)")</f>
        <v>kvákat (v-w10158f2)</v>
      </c>
    </row>
    <row r="12394" customFormat="false" ht="12.8" hidden="false" customHeight="false" outlineLevel="0" collapsed="false">
      <c r="B12394" s="0" t="s">
        <v>7</v>
      </c>
    </row>
    <row r="12396" customFormat="false" ht="12.8" hidden="false" customHeight="false" outlineLevel="0" collapsed="false">
      <c r="A12396" s="0" t="s">
        <v>5043</v>
      </c>
      <c r="B12396" s="0" t="str">
        <f aca="false">HYPERLINK("https://lindat.mff.cuni.cz/services/teitok/pdtc10/index.php?action=vallex&amp;frame=v-whsb_224hsa_225", "kváknout (v-whsb_224hsa_225)")</f>
        <v>kváknout (v-whsb_224hsa_225)</v>
      </c>
    </row>
    <row r="12397" customFormat="false" ht="12.8" hidden="false" customHeight="false" outlineLevel="0" collapsed="false">
      <c r="B12397" s="0" t="s">
        <v>7</v>
      </c>
    </row>
    <row r="12399" customFormat="false" ht="12.8" hidden="false" customHeight="false" outlineLevel="0" collapsed="false">
      <c r="A12399" s="0" t="s">
        <v>5044</v>
      </c>
      <c r="B12399" s="0" t="str">
        <f aca="false">HYPERLINK("https://lindat.mff.cuni.cz/services/teitok/pdtc10/index.php?action=vallex&amp;frame=v-w1649f1", "kvést (v-w1649f1)")</f>
        <v>kvést (v-w1649f1)</v>
      </c>
    </row>
    <row r="12400" customFormat="false" ht="12.8" hidden="false" customHeight="false" outlineLevel="0" collapsed="false">
      <c r="B12400" s="0" t="s">
        <v>7</v>
      </c>
    </row>
    <row r="12402" customFormat="false" ht="12.8" hidden="false" customHeight="false" outlineLevel="0" collapsed="false">
      <c r="A12402" s="0" t="s">
        <v>5045</v>
      </c>
      <c r="B12402" s="0" t="str">
        <f aca="false">HYPERLINK("https://lindat.mff.cuni.cz/services/teitok/pdtc10/index.php?action=vallex&amp;frame=v-w1649f2_ZU", "kvést (v-w1649f2_ZU)")</f>
        <v>kvést (v-w1649f2_ZU)</v>
      </c>
    </row>
    <row r="12403" customFormat="false" ht="12.8" hidden="false" customHeight="false" outlineLevel="0" collapsed="false">
      <c r="B12403" s="0" t="s">
        <v>7</v>
      </c>
      <c r="C12403" s="0" t="s">
        <v>5046</v>
      </c>
      <c r="D12403" s="0" t="s">
        <v>5047</v>
      </c>
      <c r="E12403" s="0" t="s">
        <v>5047</v>
      </c>
      <c r="F12403" s="0" t="s">
        <v>5047</v>
      </c>
    </row>
    <row r="12405" customFormat="false" ht="12.8" hidden="false" customHeight="false" outlineLevel="0" collapsed="false">
      <c r="A12405" s="0" t="s">
        <v>5048</v>
      </c>
      <c r="B12405" s="0" t="str">
        <f aca="false">HYPERLINK("https://lindat.mff.cuni.cz/services/teitok/pdtc10/index.php?action=vallex&amp;frame=v-w11657_ZUf1_ZU", "kvílet (v-w11657_ZUf1_ZU)")</f>
        <v>kvílet (v-w11657_ZUf1_ZU)</v>
      </c>
    </row>
    <row r="12406" customFormat="false" ht="12.8" hidden="false" customHeight="false" outlineLevel="0" collapsed="false">
      <c r="B12406" s="0" t="s">
        <v>7</v>
      </c>
      <c r="C12406" s="0" t="s">
        <v>46</v>
      </c>
    </row>
    <row r="12408" customFormat="false" ht="12.8" hidden="false" customHeight="false" outlineLevel="0" collapsed="false">
      <c r="A12408" s="0" t="s">
        <v>5049</v>
      </c>
      <c r="B12408" s="0" t="str">
        <f aca="false">HYPERLINK("https://lindat.mff.cuni.cz/services/teitok/pdtc10/index.php?action=vallex&amp;frame=v-w11657_ZUf2_ZU", "kvílet (v-w11657_ZUf2_ZU)")</f>
        <v>kvílet (v-w11657_ZUf2_ZU)</v>
      </c>
    </row>
    <row r="12409" customFormat="false" ht="12.8" hidden="false" customHeight="false" outlineLevel="0" collapsed="false">
      <c r="B12409" s="0" t="s">
        <v>7</v>
      </c>
    </row>
    <row r="12411" customFormat="false" ht="12.8" hidden="false" customHeight="false" outlineLevel="0" collapsed="false">
      <c r="A12411" s="0" t="s">
        <v>5050</v>
      </c>
      <c r="B12411" s="0" t="str">
        <f aca="false">HYPERLINK("https://lindat.mff.cuni.cz/services/teitok/pdtc10/index.php?action=vallex&amp;frame=v-w11515_ZUf1_ZU", "kydat (v-w11515_ZUf1_ZU)")</f>
        <v>kydat (v-w11515_ZUf1_ZU)</v>
      </c>
    </row>
    <row r="12412" customFormat="false" ht="12.8" hidden="false" customHeight="false" outlineLevel="0" collapsed="false">
      <c r="B12412" s="0" t="s">
        <v>7</v>
      </c>
      <c r="C12412" s="0" t="s">
        <v>191</v>
      </c>
    </row>
    <row r="12413" customFormat="false" ht="12.8" hidden="false" customHeight="false" outlineLevel="0" collapsed="false">
      <c r="B12413" s="0" t="s">
        <v>5051</v>
      </c>
      <c r="C12413" s="0" t="s">
        <v>378</v>
      </c>
    </row>
    <row r="12414" customFormat="false" ht="12.8" hidden="false" customHeight="false" outlineLevel="0" collapsed="false">
      <c r="B12414" s="0" t="s">
        <v>41</v>
      </c>
    </row>
    <row r="12416" customFormat="false" ht="12.8" hidden="false" customHeight="false" outlineLevel="0" collapsed="false">
      <c r="A12416" s="0" t="s">
        <v>5052</v>
      </c>
      <c r="B12416" s="0" t="str">
        <f aca="false">HYPERLINK("https://lindat.mff.cuni.cz/services/teitok/pdtc10/index.php?action=vallex&amp;frame=v-w11515_ZUf2_ZU", "kydat (v-w11515_ZUf2_ZU)")</f>
        <v>kydat (v-w11515_ZUf2_ZU)</v>
      </c>
    </row>
    <row r="12417" customFormat="false" ht="12.8" hidden="false" customHeight="false" outlineLevel="0" collapsed="false">
      <c r="B12417" s="0" t="s">
        <v>7</v>
      </c>
    </row>
    <row r="12418" customFormat="false" ht="12.8" hidden="false" customHeight="false" outlineLevel="0" collapsed="false">
      <c r="B12418" s="0" t="s">
        <v>14</v>
      </c>
    </row>
    <row r="12420" customFormat="false" ht="12.8" hidden="false" customHeight="false" outlineLevel="0" collapsed="false">
      <c r="A12420" s="0" t="s">
        <v>5053</v>
      </c>
      <c r="B12420" s="0" t="str">
        <f aca="false">HYPERLINK("https://lindat.mff.cuni.cz/services/teitok/pdtc10/index.php?action=vallex&amp;frame=v-w11363f1", "kymácet se (v-w11363f1)")</f>
        <v>kymácet se (v-w11363f1)</v>
      </c>
    </row>
    <row r="12421" customFormat="false" ht="12.8" hidden="false" customHeight="false" outlineLevel="0" collapsed="false">
      <c r="B12421" s="0" t="s">
        <v>7</v>
      </c>
      <c r="C12421" s="0" t="s">
        <v>580</v>
      </c>
      <c r="D12421" s="0" t="s">
        <v>3954</v>
      </c>
      <c r="E12421" s="0" t="s">
        <v>3954</v>
      </c>
      <c r="F12421" s="0" t="s">
        <v>3954</v>
      </c>
    </row>
    <row r="12423" customFormat="false" ht="12.8" hidden="false" customHeight="false" outlineLevel="0" collapsed="false">
      <c r="A12423" s="0" t="s">
        <v>5054</v>
      </c>
      <c r="B12423" s="0" t="str">
        <f aca="false">HYPERLINK("https://lindat.mff.cuni.cz/services/teitok/pdtc10/index.php?action=vallex&amp;frame=v-w1653f1", "kypět (v-w1653f1)")</f>
        <v>kypět (v-w1653f1)</v>
      </c>
    </row>
    <row r="12424" customFormat="false" ht="12.8" hidden="false" customHeight="false" outlineLevel="0" collapsed="false">
      <c r="B12424" s="0" t="s">
        <v>7</v>
      </c>
    </row>
    <row r="12426" customFormat="false" ht="12.8" hidden="false" customHeight="false" outlineLevel="0" collapsed="false">
      <c r="A12426" s="0" t="s">
        <v>5055</v>
      </c>
      <c r="B12426" s="0" t="str">
        <f aca="false">HYPERLINK("https://lindat.mff.cuni.cz/services/teitok/pdtc10/index.php?action=vallex&amp;frame=v-w12377_MMf1_MM", "kácet (v-w12377_MMf1_MM)")</f>
        <v>kácet (v-w12377_MMf1_MM)</v>
      </c>
    </row>
    <row r="12427" customFormat="false" ht="12.8" hidden="false" customHeight="false" outlineLevel="0" collapsed="false">
      <c r="B12427" s="0" t="s">
        <v>7</v>
      </c>
    </row>
    <row r="12428" customFormat="false" ht="12.8" hidden="false" customHeight="false" outlineLevel="0" collapsed="false">
      <c r="B12428" s="0" t="s">
        <v>14</v>
      </c>
    </row>
    <row r="12430" customFormat="false" ht="12.8" hidden="false" customHeight="false" outlineLevel="0" collapsed="false">
      <c r="A12430" s="0" t="s">
        <v>5056</v>
      </c>
      <c r="B12430" s="0" t="str">
        <f aca="false">HYPERLINK("https://lindat.mff.cuni.cz/services/teitok/pdtc10/index.php?action=vallex&amp;frame=v-w1364f1", "kárat (v-w1364f1)")</f>
        <v>kárat (v-w1364f1)</v>
      </c>
    </row>
    <row r="12431" customFormat="false" ht="12.8" hidden="false" customHeight="false" outlineLevel="0" collapsed="false">
      <c r="B12431" s="0" t="s">
        <v>7</v>
      </c>
      <c r="C12431" s="0" t="s">
        <v>31</v>
      </c>
      <c r="D12431" s="0" t="s">
        <v>5057</v>
      </c>
      <c r="E12431" s="0" t="s">
        <v>5057</v>
      </c>
      <c r="F12431" s="0" t="s">
        <v>5057</v>
      </c>
    </row>
    <row r="12432" customFormat="false" ht="12.8" hidden="false" customHeight="false" outlineLevel="0" collapsed="false">
      <c r="B12432" s="0" t="s">
        <v>14</v>
      </c>
      <c r="C12432" s="0" t="s">
        <v>120</v>
      </c>
      <c r="D12432" s="0" t="s">
        <v>5058</v>
      </c>
      <c r="E12432" s="0" t="s">
        <v>5058</v>
      </c>
      <c r="F12432" s="0" t="s">
        <v>5058</v>
      </c>
    </row>
    <row r="12434" customFormat="false" ht="12.8" hidden="false" customHeight="false" outlineLevel="0" collapsed="false">
      <c r="A12434" s="0" t="s">
        <v>5059</v>
      </c>
      <c r="B12434" s="0" t="str">
        <f aca="false">HYPERLINK("https://lindat.mff.cuni.cz/services/teitok/pdtc10/index.php?action=vallex&amp;frame=v-w1371f1", "kát se (v-w1371f1)")</f>
        <v>kát se (v-w1371f1)</v>
      </c>
    </row>
    <row r="12435" customFormat="false" ht="12.8" hidden="false" customHeight="false" outlineLevel="0" collapsed="false">
      <c r="B12435" s="0" t="s">
        <v>7</v>
      </c>
    </row>
    <row r="12437" customFormat="false" ht="12.8" hidden="false" customHeight="false" outlineLevel="0" collapsed="false">
      <c r="A12437" s="0" t="s">
        <v>5060</v>
      </c>
      <c r="B12437" s="0" t="str">
        <f aca="false">HYPERLINK("https://lindat.mff.cuni.cz/services/teitok/pdtc10/index.php?action=vallex&amp;frame=v-w1374f1", "kázat (v-w1374f1)")</f>
        <v>kázat (v-w1374f1)</v>
      </c>
    </row>
    <row r="12438" customFormat="false" ht="12.8" hidden="false" customHeight="false" outlineLevel="0" collapsed="false">
      <c r="B12438" s="0" t="s">
        <v>7</v>
      </c>
      <c r="C12438" s="0" t="s">
        <v>46</v>
      </c>
      <c r="D12438" s="0" t="s">
        <v>46</v>
      </c>
      <c r="E12438" s="0" t="s">
        <v>46</v>
      </c>
      <c r="F12438" s="0" t="s">
        <v>46</v>
      </c>
    </row>
    <row r="12439" customFormat="false" ht="12.8" hidden="false" customHeight="false" outlineLevel="0" collapsed="false">
      <c r="B12439" s="0" t="s">
        <v>360</v>
      </c>
      <c r="D12439" s="0" t="s">
        <v>5061</v>
      </c>
      <c r="E12439" s="0" t="s">
        <v>5061</v>
      </c>
      <c r="F12439" s="0" t="s">
        <v>5061</v>
      </c>
    </row>
    <row r="12440" customFormat="false" ht="12.8" hidden="false" customHeight="false" outlineLevel="0" collapsed="false">
      <c r="B12440" s="0" t="s">
        <v>363</v>
      </c>
      <c r="C12440" s="0" t="s">
        <v>384</v>
      </c>
      <c r="D12440" s="0" t="s">
        <v>384</v>
      </c>
      <c r="E12440" s="0" t="s">
        <v>384</v>
      </c>
      <c r="F12440" s="0" t="s">
        <v>384</v>
      </c>
    </row>
    <row r="12441" customFormat="false" ht="12.8" hidden="false" customHeight="false" outlineLevel="0" collapsed="false">
      <c r="B12441" s="0" t="s">
        <v>106</v>
      </c>
    </row>
    <row r="12443" customFormat="false" ht="12.8" hidden="false" customHeight="false" outlineLevel="0" collapsed="false">
      <c r="A12443" s="0" t="s">
        <v>5062</v>
      </c>
      <c r="B12443" s="0" t="str">
        <f aca="false">HYPERLINK("https://lindat.mff.cuni.cz/services/teitok/pdtc10/index.php?action=vallex&amp;frame=v-w1567f5_ZU", "kótovat (v-w1567f5_ZU)")</f>
        <v>kótovat (v-w1567f5_ZU)</v>
      </c>
    </row>
    <row r="12444" customFormat="false" ht="12.8" hidden="false" customHeight="false" outlineLevel="0" collapsed="false">
      <c r="B12444" s="0" t="s">
        <v>7</v>
      </c>
      <c r="C12444" s="0" t="s">
        <v>5063</v>
      </c>
      <c r="D12444" s="0" t="s">
        <v>1135</v>
      </c>
      <c r="E12444" s="0" t="s">
        <v>1135</v>
      </c>
      <c r="F12444" s="0" t="s">
        <v>1135</v>
      </c>
    </row>
    <row r="12445" customFormat="false" ht="12.8" hidden="false" customHeight="false" outlineLevel="0" collapsed="false">
      <c r="B12445" s="0" t="s">
        <v>14</v>
      </c>
      <c r="C12445" s="0" t="s">
        <v>5064</v>
      </c>
      <c r="D12445" s="0" t="s">
        <v>1137</v>
      </c>
      <c r="E12445" s="0" t="s">
        <v>1137</v>
      </c>
      <c r="F12445" s="0" t="s">
        <v>1137</v>
      </c>
    </row>
    <row r="12446" customFormat="false" ht="12.8" hidden="false" customHeight="false" outlineLevel="0" collapsed="false">
      <c r="B12446" s="0" t="s">
        <v>5065</v>
      </c>
      <c r="C12446" s="0" t="s">
        <v>4897</v>
      </c>
      <c r="D12446" s="0" t="s">
        <v>1139</v>
      </c>
      <c r="E12446" s="0" t="s">
        <v>1139</v>
      </c>
      <c r="F12446" s="0" t="s">
        <v>1139</v>
      </c>
    </row>
    <row r="12448" customFormat="false" ht="12.8" hidden="false" customHeight="false" outlineLevel="0" collapsed="false">
      <c r="A12448" s="0" t="s">
        <v>5062</v>
      </c>
      <c r="B12448" s="0" t="str">
        <f aca="false">HYPERLINK("https://lindat.mff.cuni.cz/services/teitok/pdtc10/index.php?action=vallex&amp;frame=v-w1567f2_ZU", "kótovat (v-w1567f2_ZU) - substituted with v-w1567f5_ZU")</f>
        <v>kótovat (v-w1567f2_ZU) - substituted with v-w1567f5_ZU</v>
      </c>
    </row>
    <row r="12449" customFormat="false" ht="12.8" hidden="false" customHeight="false" outlineLevel="0" collapsed="false">
      <c r="B12449" s="0" t="s">
        <v>7</v>
      </c>
      <c r="C12449" s="0" t="s">
        <v>4895</v>
      </c>
    </row>
    <row r="12450" customFormat="false" ht="12.8" hidden="false" customHeight="false" outlineLevel="0" collapsed="false">
      <c r="B12450" s="0" t="s">
        <v>14</v>
      </c>
      <c r="C12450" s="0" t="s">
        <v>4896</v>
      </c>
    </row>
    <row r="12451" customFormat="false" ht="12.8" hidden="false" customHeight="false" outlineLevel="0" collapsed="false">
      <c r="B12451" s="0" t="s">
        <v>5065</v>
      </c>
    </row>
    <row r="12453" customFormat="false" ht="12.8" hidden="false" customHeight="false" outlineLevel="0" collapsed="false">
      <c r="A12453" s="0" t="s">
        <v>5062</v>
      </c>
      <c r="B12453" s="0" t="str">
        <f aca="false">HYPERLINK("https://lindat.mff.cuni.cz/services/teitok/pdtc10/index.php?action=vallex&amp;frame=v-w1567f3_ZU", "kótovat (v-w1567f3_ZU) - substituted with v-w1567f5_ZU")</f>
        <v>kótovat (v-w1567f3_ZU) - substituted with v-w1567f5_ZU</v>
      </c>
    </row>
    <row r="12454" customFormat="false" ht="12.8" hidden="false" customHeight="false" outlineLevel="0" collapsed="false">
      <c r="B12454" s="0" t="s">
        <v>7</v>
      </c>
      <c r="C12454" s="0" t="s">
        <v>5063</v>
      </c>
    </row>
    <row r="12455" customFormat="false" ht="12.8" hidden="false" customHeight="false" outlineLevel="0" collapsed="false">
      <c r="B12455" s="0" t="s">
        <v>14</v>
      </c>
      <c r="C12455" s="0" t="s">
        <v>5064</v>
      </c>
    </row>
    <row r="12456" customFormat="false" ht="12.8" hidden="false" customHeight="false" outlineLevel="0" collapsed="false">
      <c r="B12456" s="0" t="s">
        <v>5065</v>
      </c>
    </row>
    <row r="12458" customFormat="false" ht="12.8" hidden="false" customHeight="false" outlineLevel="0" collapsed="false">
      <c r="A12458" s="0" t="s">
        <v>5062</v>
      </c>
      <c r="B12458" s="0" t="str">
        <f aca="false">HYPERLINK("https://lindat.mff.cuni.cz/services/teitok/pdtc10/index.php?action=vallex&amp;frame=v-w1567f4_ZU", "kótovat (v-w1567f4_ZU) - substituted with v-w1567f5_ZU")</f>
        <v>kótovat (v-w1567f4_ZU) - substituted with v-w1567f5_ZU</v>
      </c>
    </row>
    <row r="12459" customFormat="false" ht="12.8" hidden="false" customHeight="false" outlineLevel="0" collapsed="false">
      <c r="B12459" s="0" t="s">
        <v>7</v>
      </c>
      <c r="C12459" s="0" t="s">
        <v>5063</v>
      </c>
    </row>
    <row r="12460" customFormat="false" ht="12.8" hidden="false" customHeight="false" outlineLevel="0" collapsed="false">
      <c r="B12460" s="0" t="s">
        <v>14</v>
      </c>
      <c r="C12460" s="0" t="s">
        <v>5064</v>
      </c>
    </row>
    <row r="12461" customFormat="false" ht="12.8" hidden="false" customHeight="false" outlineLevel="0" collapsed="false">
      <c r="B12461" s="0" t="s">
        <v>5065</v>
      </c>
      <c r="C12461" s="0" t="s">
        <v>4897</v>
      </c>
    </row>
    <row r="12463" customFormat="false" ht="12.8" hidden="false" customHeight="false" outlineLevel="0" collapsed="false">
      <c r="A12463" s="0" t="s">
        <v>5062</v>
      </c>
      <c r="B12463" s="0" t="str">
        <f aca="false">HYPERLINK("https://lindat.mff.cuni.cz/services/teitok/pdtc10/index.php?action=vallex&amp;frame=v-w1567hsa_861", "kótovat (v-w1567hsa_861) - substituted with v-w1567f5_ZU")</f>
        <v>kótovat (v-w1567hsa_861) - substituted with v-w1567f5_ZU</v>
      </c>
    </row>
    <row r="12464" customFormat="false" ht="12.8" hidden="false" customHeight="false" outlineLevel="0" collapsed="false">
      <c r="B12464" s="0" t="s">
        <v>7</v>
      </c>
      <c r="C12464" s="0" t="s">
        <v>5063</v>
      </c>
    </row>
    <row r="12465" customFormat="false" ht="12.8" hidden="false" customHeight="false" outlineLevel="0" collapsed="false">
      <c r="B12465" s="0" t="s">
        <v>14</v>
      </c>
      <c r="C12465" s="0" t="s">
        <v>5064</v>
      </c>
    </row>
    <row r="12466" customFormat="false" ht="12.8" hidden="false" customHeight="false" outlineLevel="0" collapsed="false">
      <c r="B12466" s="0" t="s">
        <v>5065</v>
      </c>
      <c r="C12466" s="0" t="s">
        <v>4897</v>
      </c>
    </row>
    <row r="12468" customFormat="false" ht="12.8" hidden="false" customHeight="false" outlineLevel="0" collapsed="false">
      <c r="A12468" s="0" t="s">
        <v>5066</v>
      </c>
      <c r="B12468" s="0" t="str">
        <f aca="false">HYPERLINK("https://lindat.mff.cuni.cz/services/teitok/pdtc10/index.php?action=vallex&amp;frame=v-w1567f1", "kótovat (v-w1567f1)")</f>
        <v>kótovat (v-w1567f1)</v>
      </c>
    </row>
    <row r="12469" customFormat="false" ht="12.8" hidden="false" customHeight="false" outlineLevel="0" collapsed="false">
      <c r="B12469" s="0" t="s">
        <v>7</v>
      </c>
      <c r="C12469" s="0" t="s">
        <v>5067</v>
      </c>
    </row>
    <row r="12470" customFormat="false" ht="12.8" hidden="false" customHeight="false" outlineLevel="0" collapsed="false">
      <c r="B12470" s="0" t="s">
        <v>11</v>
      </c>
      <c r="C12470" s="0" t="s">
        <v>5068</v>
      </c>
    </row>
    <row r="12472" customFormat="false" ht="12.8" hidden="false" customHeight="false" outlineLevel="0" collapsed="false">
      <c r="A12472" s="0" t="s">
        <v>5069</v>
      </c>
      <c r="B12472" s="0" t="str">
        <f aca="false">HYPERLINK("https://lindat.mff.cuni.cz/services/teitok/pdtc10/index.php?action=vallex&amp;frame=v-w11728_ZUf1_ZU", "kýchat (v-w11728_ZUf1_ZU)")</f>
        <v>kýchat (v-w11728_ZUf1_ZU)</v>
      </c>
    </row>
    <row r="12473" customFormat="false" ht="12.8" hidden="false" customHeight="false" outlineLevel="0" collapsed="false">
      <c r="B12473" s="0" t="s">
        <v>7</v>
      </c>
    </row>
    <row r="12475" customFormat="false" ht="12.8" hidden="false" customHeight="false" outlineLevel="0" collapsed="false">
      <c r="A12475" s="0" t="s">
        <v>5070</v>
      </c>
      <c r="B12475" s="0" t="str">
        <f aca="false">HYPERLINK("https://lindat.mff.cuni.cz/services/teitok/pdtc10/index.php?action=vallex&amp;frame=v-w11839_ZUf1_ZU", "kývat (v-w11839_ZUf1_ZU)")</f>
        <v>kývat (v-w11839_ZUf1_ZU)</v>
      </c>
    </row>
    <row r="12476" customFormat="false" ht="12.8" hidden="false" customHeight="false" outlineLevel="0" collapsed="false">
      <c r="B12476" s="0" t="s">
        <v>7</v>
      </c>
    </row>
    <row r="12477" customFormat="false" ht="12.8" hidden="false" customHeight="false" outlineLevel="0" collapsed="false">
      <c r="B12477" s="0" t="s">
        <v>216</v>
      </c>
    </row>
    <row r="12479" customFormat="false" ht="12.8" hidden="false" customHeight="false" outlineLevel="0" collapsed="false">
      <c r="A12479" s="0" t="s">
        <v>5071</v>
      </c>
      <c r="B12479" s="0" t="str">
        <f aca="false">HYPERLINK("https://lindat.mff.cuni.cz/services/teitok/pdtc10/index.php?action=vallex&amp;frame=v-w11449f1", "kývat se (v-w11449f1)")</f>
        <v>kývat se (v-w11449f1)</v>
      </c>
    </row>
    <row r="12480" customFormat="false" ht="12.8" hidden="false" customHeight="false" outlineLevel="0" collapsed="false">
      <c r="B12480" s="0" t="s">
        <v>7</v>
      </c>
    </row>
    <row r="12482" customFormat="false" ht="12.8" hidden="false" customHeight="false" outlineLevel="0" collapsed="false">
      <c r="A12482" s="0" t="s">
        <v>5072</v>
      </c>
      <c r="B12482" s="0" t="str">
        <f aca="false">HYPERLINK("https://lindat.mff.cuni.cz/services/teitok/pdtc10/index.php?action=vallex&amp;frame=v-whsa_1747hsa_1748", "kývnout (v-whsa_1747hsa_1748)")</f>
        <v>kývnout (v-whsa_1747hsa_1748)</v>
      </c>
    </row>
    <row r="12483" customFormat="false" ht="12.8" hidden="false" customHeight="false" outlineLevel="0" collapsed="false">
      <c r="B12483" s="0" t="s">
        <v>7</v>
      </c>
    </row>
    <row r="12484" customFormat="false" ht="12.8" hidden="false" customHeight="false" outlineLevel="0" collapsed="false">
      <c r="B12484" s="0" t="s">
        <v>2193</v>
      </c>
    </row>
    <row r="12485" customFormat="false" ht="12.8" hidden="false" customHeight="false" outlineLevel="0" collapsed="false">
      <c r="B12485" s="0" t="s">
        <v>106</v>
      </c>
    </row>
    <row r="12487" customFormat="false" ht="12.8" hidden="false" customHeight="false" outlineLevel="0" collapsed="false">
      <c r="A12487" s="0" t="s">
        <v>5073</v>
      </c>
      <c r="B12487" s="0" t="str">
        <f aca="false">HYPERLINK("https://lindat.mff.cuni.cz/services/teitok/pdtc10/index.php?action=vallex&amp;frame=v-w11979_ZUf1_ZU", "kňučet (v-w11979_ZUf1_ZU)")</f>
        <v>kňučet (v-w11979_ZUf1_ZU)</v>
      </c>
    </row>
    <row r="12488" customFormat="false" ht="12.8" hidden="false" customHeight="false" outlineLevel="0" collapsed="false">
      <c r="B12488" s="0" t="s">
        <v>7</v>
      </c>
    </row>
    <row r="12490" customFormat="false" ht="12.8" hidden="false" customHeight="false" outlineLevel="0" collapsed="false">
      <c r="A12490" s="0" t="s">
        <v>5074</v>
      </c>
      <c r="B12490" s="0" t="str">
        <f aca="false">HYPERLINK("https://lindat.mff.cuni.cz/services/teitok/pdtc10/index.php?action=vallex&amp;frame=v-w1625f1", "křepčit (v-w1625f1)")</f>
        <v>křepčit (v-w1625f1)</v>
      </c>
    </row>
    <row r="12491" customFormat="false" ht="12.8" hidden="false" customHeight="false" outlineLevel="0" collapsed="false">
      <c r="B12491" s="0" t="s">
        <v>7</v>
      </c>
    </row>
    <row r="12493" customFormat="false" ht="12.8" hidden="false" customHeight="false" outlineLevel="0" collapsed="false">
      <c r="A12493" s="0" t="s">
        <v>5075</v>
      </c>
      <c r="B12493" s="0" t="str">
        <f aca="false">HYPERLINK("https://lindat.mff.cuni.cz/services/teitok/pdtc10/index.php?action=vallex&amp;frame=v-w11195f2", "křečkovat (v-w11195f2)")</f>
        <v>křečkovat (v-w11195f2)</v>
      </c>
    </row>
    <row r="12494" customFormat="false" ht="12.8" hidden="false" customHeight="false" outlineLevel="0" collapsed="false">
      <c r="B12494" s="0" t="s">
        <v>7</v>
      </c>
      <c r="C12494" s="0" t="s">
        <v>46</v>
      </c>
      <c r="D12494" s="0" t="s">
        <v>77</v>
      </c>
      <c r="E12494" s="0" t="s">
        <v>77</v>
      </c>
      <c r="F12494" s="0" t="s">
        <v>77</v>
      </c>
    </row>
    <row r="12495" customFormat="false" ht="12.8" hidden="false" customHeight="false" outlineLevel="0" collapsed="false">
      <c r="B12495" s="0" t="s">
        <v>14</v>
      </c>
      <c r="C12495" s="0" t="s">
        <v>567</v>
      </c>
      <c r="D12495" s="0" t="s">
        <v>79</v>
      </c>
      <c r="E12495" s="0" t="s">
        <v>79</v>
      </c>
      <c r="F12495" s="0" t="s">
        <v>79</v>
      </c>
    </row>
    <row r="12497" customFormat="false" ht="12.8" hidden="false" customHeight="false" outlineLevel="0" collapsed="false">
      <c r="A12497" s="0" t="s">
        <v>5076</v>
      </c>
      <c r="B12497" s="0" t="str">
        <f aca="false">HYPERLINK("https://lindat.mff.cuni.cz/services/teitok/pdtc10/index.php?action=vallex&amp;frame=v-w10347f3", "křivit (v-w10347f3)")</f>
        <v>křivit (v-w10347f3)</v>
      </c>
    </row>
    <row r="12498" customFormat="false" ht="12.8" hidden="false" customHeight="false" outlineLevel="0" collapsed="false">
      <c r="B12498" s="0" t="s">
        <v>7</v>
      </c>
    </row>
    <row r="12499" customFormat="false" ht="12.8" hidden="false" customHeight="false" outlineLevel="0" collapsed="false">
      <c r="B12499" s="0" t="s">
        <v>14</v>
      </c>
    </row>
    <row r="12501" customFormat="false" ht="12.8" hidden="false" customHeight="false" outlineLevel="0" collapsed="false">
      <c r="A12501" s="0" t="s">
        <v>5077</v>
      </c>
      <c r="B12501" s="0" t="str">
        <f aca="false">HYPERLINK("https://lindat.mff.cuni.cz/services/teitok/pdtc10/index.php?action=vallex&amp;frame=v-w1627f1", "křičet (v-w1627f1)")</f>
        <v>křičet (v-w1627f1)</v>
      </c>
    </row>
    <row r="12502" customFormat="false" ht="12.8" hidden="false" customHeight="false" outlineLevel="0" collapsed="false">
      <c r="B12502" s="0" t="s">
        <v>7</v>
      </c>
      <c r="C12502" s="0" t="s">
        <v>1826</v>
      </c>
      <c r="D12502" s="0" t="s">
        <v>3051</v>
      </c>
      <c r="E12502" s="0" t="s">
        <v>3051</v>
      </c>
      <c r="F12502" s="0" t="s">
        <v>3051</v>
      </c>
    </row>
    <row r="12503" customFormat="false" ht="12.8" hidden="false" customHeight="false" outlineLevel="0" collapsed="false">
      <c r="B12503" s="0" t="s">
        <v>4335</v>
      </c>
      <c r="C12503" s="0" t="s">
        <v>2641</v>
      </c>
      <c r="D12503" s="0" t="s">
        <v>466</v>
      </c>
      <c r="E12503" s="0" t="s">
        <v>466</v>
      </c>
      <c r="F12503" s="0" t="s">
        <v>466</v>
      </c>
    </row>
    <row r="12504" customFormat="false" ht="12.8" hidden="false" customHeight="false" outlineLevel="0" collapsed="false">
      <c r="B12504" s="0" t="s">
        <v>4101</v>
      </c>
      <c r="C12504" s="0" t="s">
        <v>4154</v>
      </c>
      <c r="D12504" s="0" t="s">
        <v>4154</v>
      </c>
      <c r="E12504" s="0" t="s">
        <v>4154</v>
      </c>
      <c r="F12504" s="0" t="s">
        <v>4154</v>
      </c>
    </row>
    <row r="12506" customFormat="false" ht="12.8" hidden="false" customHeight="false" outlineLevel="0" collapsed="false">
      <c r="A12506" s="0" t="s">
        <v>5078</v>
      </c>
      <c r="B12506" s="0" t="str">
        <f aca="false">HYPERLINK("https://lindat.mff.cuni.cz/services/teitok/pdtc10/index.php?action=vallex&amp;frame=v-w1627f2_ZU", "křičet (v-w1627f2_ZU)")</f>
        <v>křičet (v-w1627f2_ZU)</v>
      </c>
    </row>
    <row r="12507" customFormat="false" ht="12.8" hidden="false" customHeight="false" outlineLevel="0" collapsed="false">
      <c r="B12507" s="0" t="s">
        <v>7</v>
      </c>
      <c r="C12507" s="0" t="s">
        <v>194</v>
      </c>
    </row>
    <row r="12509" customFormat="false" ht="12.8" hidden="false" customHeight="false" outlineLevel="0" collapsed="false">
      <c r="A12509" s="0" t="s">
        <v>5079</v>
      </c>
      <c r="B12509" s="0" t="str">
        <f aca="false">HYPERLINK("https://lindat.mff.cuni.cz/services/teitok/pdtc10/index.php?action=vallex&amp;frame=v-whsa_576hsa_577", "křižovat (v-whsa_576hsa_577)")</f>
        <v>křižovat (v-whsa_576hsa_577)</v>
      </c>
    </row>
    <row r="12510" customFormat="false" ht="12.8" hidden="false" customHeight="false" outlineLevel="0" collapsed="false">
      <c r="B12510" s="0" t="s">
        <v>7</v>
      </c>
    </row>
    <row r="12511" customFormat="false" ht="12.8" hidden="false" customHeight="false" outlineLevel="0" collapsed="false">
      <c r="B12511" s="0" t="s">
        <v>14</v>
      </c>
    </row>
    <row r="12513" customFormat="false" ht="12.8" hidden="false" customHeight="false" outlineLevel="0" collapsed="false">
      <c r="A12513" s="0" t="s">
        <v>5080</v>
      </c>
      <c r="B12513" s="0" t="str">
        <f aca="false">HYPERLINK("https://lindat.mff.cuni.cz/services/teitok/pdtc10/index.php?action=vallex&amp;frame=v-whsa_438hsa_439", "křtít (v-whsa_438hsa_439)")</f>
        <v>křtít (v-whsa_438hsa_439)</v>
      </c>
    </row>
    <row r="12514" customFormat="false" ht="12.8" hidden="false" customHeight="false" outlineLevel="0" collapsed="false">
      <c r="B12514" s="0" t="s">
        <v>7</v>
      </c>
    </row>
    <row r="12515" customFormat="false" ht="12.8" hidden="false" customHeight="false" outlineLevel="0" collapsed="false">
      <c r="B12515" s="0" t="s">
        <v>14</v>
      </c>
    </row>
    <row r="12517" customFormat="false" ht="12.8" hidden="false" customHeight="false" outlineLevel="0" collapsed="false">
      <c r="A12517" s="0" t="s">
        <v>5081</v>
      </c>
      <c r="B12517" s="0" t="str">
        <f aca="false">HYPERLINK("https://lindat.mff.cuni.cz/services/teitok/pdtc10/index.php?action=vallex&amp;frame=v-w12288_MMf1_MM", "křísit (v-w12288_MMf1_MM)")</f>
        <v>křísit (v-w12288_MMf1_MM)</v>
      </c>
    </row>
    <row r="12518" customFormat="false" ht="12.8" hidden="false" customHeight="false" outlineLevel="0" collapsed="false">
      <c r="B12518" s="0" t="s">
        <v>7</v>
      </c>
    </row>
    <row r="12519" customFormat="false" ht="12.8" hidden="false" customHeight="false" outlineLevel="0" collapsed="false">
      <c r="B12519" s="0" t="s">
        <v>14</v>
      </c>
    </row>
    <row r="12521" customFormat="false" ht="12.8" hidden="false" customHeight="false" outlineLevel="0" collapsed="false">
      <c r="A12521" s="0" t="s">
        <v>5082</v>
      </c>
      <c r="B12521" s="0" t="str">
        <f aca="false">HYPERLINK("https://lindat.mff.cuni.cz/services/teitok/pdtc10/index.php?action=vallex&amp;frame=v-w1629f1", "křížit (v-w1629f1)")</f>
        <v>křížit (v-w1629f1)</v>
      </c>
    </row>
    <row r="12522" customFormat="false" ht="12.8" hidden="false" customHeight="false" outlineLevel="0" collapsed="false">
      <c r="B12522" s="0" t="s">
        <v>7</v>
      </c>
    </row>
    <row r="12523" customFormat="false" ht="12.8" hidden="false" customHeight="false" outlineLevel="0" collapsed="false">
      <c r="B12523" s="0" t="s">
        <v>14</v>
      </c>
    </row>
    <row r="12524" customFormat="false" ht="12.8" hidden="false" customHeight="false" outlineLevel="0" collapsed="false">
      <c r="B12524" s="0" t="s">
        <v>3086</v>
      </c>
    </row>
    <row r="12526" customFormat="false" ht="12.8" hidden="false" customHeight="false" outlineLevel="0" collapsed="false">
      <c r="A12526" s="0" t="s">
        <v>5083</v>
      </c>
      <c r="B12526" s="0" t="str">
        <f aca="false">HYPERLINK("https://lindat.mff.cuni.cz/services/teitok/pdtc10/index.php?action=vallex&amp;frame=v-w1629hsa_1875", "křížit (v-w1629hsa_1875)")</f>
        <v>křížit (v-w1629hsa_1875)</v>
      </c>
    </row>
    <row r="12527" customFormat="false" ht="12.8" hidden="false" customHeight="false" outlineLevel="0" collapsed="false">
      <c r="B12527" s="0" t="s">
        <v>7</v>
      </c>
    </row>
    <row r="12528" customFormat="false" ht="12.8" hidden="false" customHeight="false" outlineLevel="0" collapsed="false">
      <c r="B12528" s="0" t="s">
        <v>14</v>
      </c>
    </row>
    <row r="12529" customFormat="false" ht="12.8" hidden="false" customHeight="false" outlineLevel="0" collapsed="false">
      <c r="B12529" s="0" t="s">
        <v>3086</v>
      </c>
    </row>
    <row r="12531" customFormat="false" ht="12.8" hidden="false" customHeight="false" outlineLevel="0" collapsed="false">
      <c r="A12531" s="0" t="s">
        <v>5084</v>
      </c>
      <c r="B12531" s="0" t="str">
        <f aca="false">HYPERLINK("https://lindat.mff.cuni.cz/services/teitok/pdtc10/index.php?action=vallex&amp;frame=v-w12127_ZUf1_ZU", "kšeftovat (v-w12127_ZUf1_ZU)")</f>
        <v>kšeftovat (v-w12127_ZUf1_ZU)</v>
      </c>
    </row>
    <row r="12532" customFormat="false" ht="12.8" hidden="false" customHeight="false" outlineLevel="0" collapsed="false">
      <c r="B12532" s="0" t="s">
        <v>7</v>
      </c>
    </row>
    <row r="12533" customFormat="false" ht="12.8" hidden="false" customHeight="false" outlineLevel="0" collapsed="false">
      <c r="B12533" s="0" t="s">
        <v>86</v>
      </c>
    </row>
    <row r="12534" customFormat="false" ht="12.8" hidden="false" customHeight="false" outlineLevel="0" collapsed="false">
      <c r="B12534" s="0" t="s">
        <v>207</v>
      </c>
    </row>
    <row r="12536" customFormat="false" ht="12.8" hidden="false" customHeight="false" outlineLevel="0" collapsed="false">
      <c r="A12536" s="0" t="s">
        <v>5085</v>
      </c>
      <c r="B12536" s="0" t="str">
        <f aca="false">HYPERLINK("https://lindat.mff.cuni.cz/services/teitok/pdtc10/index.php?action=vallex&amp;frame=v-w1654f1", "laborovat (v-w1654f1)")</f>
        <v>laborovat (v-w1654f1)</v>
      </c>
    </row>
    <row r="12537" customFormat="false" ht="12.8" hidden="false" customHeight="false" outlineLevel="0" collapsed="false">
      <c r="B12537" s="0" t="s">
        <v>7</v>
      </c>
    </row>
    <row r="12538" customFormat="false" ht="12.8" hidden="false" customHeight="false" outlineLevel="0" collapsed="false">
      <c r="B12538" s="0" t="s">
        <v>548</v>
      </c>
    </row>
    <row r="12540" customFormat="false" ht="12.8" hidden="false" customHeight="false" outlineLevel="0" collapsed="false">
      <c r="A12540" s="0" t="s">
        <v>5086</v>
      </c>
      <c r="B12540" s="0" t="str">
        <f aca="false">HYPERLINK("https://lindat.mff.cuni.cz/services/teitok/pdtc10/index.php?action=vallex&amp;frame=v-w1657f2", "ladit (v-w1657f2)")</f>
        <v>ladit (v-w1657f2)</v>
      </c>
    </row>
    <row r="12541" customFormat="false" ht="12.8" hidden="false" customHeight="false" outlineLevel="0" collapsed="false">
      <c r="B12541" s="0" t="s">
        <v>7</v>
      </c>
    </row>
    <row r="12542" customFormat="false" ht="12.8" hidden="false" customHeight="false" outlineLevel="0" collapsed="false">
      <c r="B12542" s="0" t="s">
        <v>14</v>
      </c>
    </row>
    <row r="12544" customFormat="false" ht="12.8" hidden="false" customHeight="false" outlineLevel="0" collapsed="false">
      <c r="A12544" s="0" t="s">
        <v>5087</v>
      </c>
      <c r="B12544" s="0" t="str">
        <f aca="false">HYPERLINK("https://lindat.mff.cuni.cz/services/teitok/pdtc10/index.php?action=vallex&amp;frame=v-w1657f4", "ladit (v-w1657f4)")</f>
        <v>ladit (v-w1657f4)</v>
      </c>
    </row>
    <row r="12545" customFormat="false" ht="12.8" hidden="false" customHeight="false" outlineLevel="0" collapsed="false">
      <c r="B12545" s="0" t="s">
        <v>7</v>
      </c>
    </row>
    <row r="12546" customFormat="false" ht="12.8" hidden="false" customHeight="false" outlineLevel="0" collapsed="false">
      <c r="B12546" s="0" t="s">
        <v>14</v>
      </c>
    </row>
    <row r="12548" customFormat="false" ht="12.8" hidden="false" customHeight="false" outlineLevel="0" collapsed="false">
      <c r="A12548" s="0" t="s">
        <v>5088</v>
      </c>
      <c r="B12548" s="0" t="str">
        <f aca="false">HYPERLINK("https://lindat.mff.cuni.cz/services/teitok/pdtc10/index.php?action=vallex&amp;frame=v-w1657f3", "ladit (v-w1657f3)")</f>
        <v>ladit (v-w1657f3)</v>
      </c>
    </row>
    <row r="12549" customFormat="false" ht="12.8" hidden="false" customHeight="false" outlineLevel="0" collapsed="false">
      <c r="B12549" s="0" t="s">
        <v>7</v>
      </c>
      <c r="C12549" s="0" t="s">
        <v>5089</v>
      </c>
      <c r="E12549" s="0" t="s">
        <v>3899</v>
      </c>
      <c r="F12549" s="0" t="s">
        <v>3899</v>
      </c>
    </row>
    <row r="12550" customFormat="false" ht="12.8" hidden="false" customHeight="false" outlineLevel="0" collapsed="false">
      <c r="B12550" s="0" t="s">
        <v>5090</v>
      </c>
      <c r="C12550" s="0" t="s">
        <v>5091</v>
      </c>
      <c r="E12550" s="0" t="s">
        <v>5092</v>
      </c>
      <c r="F12550" s="0" t="s">
        <v>5092</v>
      </c>
    </row>
    <row r="12552" customFormat="false" ht="12.8" hidden="false" customHeight="false" outlineLevel="0" collapsed="false">
      <c r="A12552" s="0" t="s">
        <v>5088</v>
      </c>
      <c r="B12552" s="0" t="str">
        <f aca="false">HYPERLINK("https://lindat.mff.cuni.cz/services/teitok/pdtc10/index.php?action=vallex&amp;frame=v-w1657f1", "ladit (v-w1657f1) - substituted with v-w1657f3")</f>
        <v>ladit (v-w1657f1) - substituted with v-w1657f3</v>
      </c>
    </row>
    <row r="12553" customFormat="false" ht="12.8" hidden="false" customHeight="false" outlineLevel="0" collapsed="false">
      <c r="B12553" s="0" t="s">
        <v>7</v>
      </c>
    </row>
    <row r="12554" customFormat="false" ht="12.8" hidden="false" customHeight="false" outlineLevel="0" collapsed="false">
      <c r="B12554" s="0" t="s">
        <v>5090</v>
      </c>
    </row>
    <row r="12556" customFormat="false" ht="12.8" hidden="false" customHeight="false" outlineLevel="0" collapsed="false">
      <c r="A12556" s="0" t="s">
        <v>5093</v>
      </c>
      <c r="B12556" s="0" t="str">
        <f aca="false">HYPERLINK("https://lindat.mff.cuni.cz/services/teitok/pdtc10/index.php?action=vallex&amp;frame=v-w11230f2", "lahodit (v-w11230f2)")</f>
        <v>lahodit (v-w11230f2)</v>
      </c>
    </row>
    <row r="12557" customFormat="false" ht="12.8" hidden="false" customHeight="false" outlineLevel="0" collapsed="false">
      <c r="B12557" s="0" t="s">
        <v>603</v>
      </c>
      <c r="D12557" s="0" t="s">
        <v>5094</v>
      </c>
      <c r="E12557" s="0" t="s">
        <v>5094</v>
      </c>
      <c r="F12557" s="0" t="s">
        <v>5094</v>
      </c>
    </row>
    <row r="12558" customFormat="false" ht="12.8" hidden="false" customHeight="false" outlineLevel="0" collapsed="false">
      <c r="B12558" s="0" t="s">
        <v>5095</v>
      </c>
      <c r="C12558" s="0" t="s">
        <v>155</v>
      </c>
      <c r="D12558" s="0" t="s">
        <v>5096</v>
      </c>
      <c r="E12558" s="0" t="s">
        <v>5096</v>
      </c>
      <c r="F12558" s="0" t="s">
        <v>5096</v>
      </c>
    </row>
    <row r="12560" customFormat="false" ht="12.8" hidden="false" customHeight="false" outlineLevel="0" collapsed="false">
      <c r="A12560" s="0" t="s">
        <v>5097</v>
      </c>
      <c r="B12560" s="0" t="str">
        <f aca="false">HYPERLINK("https://lindat.mff.cuni.cz/services/teitok/pdtc10/index.php?action=vallex&amp;frame=v-whsa_1954hsa_1955", "lajdačit (v-whsa_1954hsa_1955)")</f>
        <v>lajdačit (v-whsa_1954hsa_1955)</v>
      </c>
    </row>
    <row r="12561" customFormat="false" ht="12.8" hidden="false" customHeight="false" outlineLevel="0" collapsed="false">
      <c r="B12561" s="0" t="s">
        <v>7</v>
      </c>
    </row>
    <row r="12563" customFormat="false" ht="12.8" hidden="false" customHeight="false" outlineLevel="0" collapsed="false">
      <c r="A12563" s="0" t="s">
        <v>5098</v>
      </c>
      <c r="B12563" s="0" t="str">
        <f aca="false">HYPERLINK("https://lindat.mff.cuni.cz/services/teitok/pdtc10/index.php?action=vallex&amp;frame=v-w1664f2_ZU", "lamentovat (v-w1664f2_ZU)")</f>
        <v>lamentovat (v-w1664f2_ZU)</v>
      </c>
    </row>
    <row r="12564" customFormat="false" ht="12.8" hidden="false" customHeight="false" outlineLevel="0" collapsed="false">
      <c r="B12564" s="0" t="s">
        <v>7</v>
      </c>
      <c r="C12564" s="0" t="s">
        <v>335</v>
      </c>
      <c r="E12564" s="0" t="s">
        <v>569</v>
      </c>
      <c r="F12564" s="0" t="s">
        <v>569</v>
      </c>
    </row>
    <row r="12565" customFormat="false" ht="12.8" hidden="false" customHeight="false" outlineLevel="0" collapsed="false">
      <c r="B12565" s="0" t="s">
        <v>383</v>
      </c>
      <c r="C12565" s="0" t="s">
        <v>47</v>
      </c>
      <c r="E12565" s="0" t="s">
        <v>567</v>
      </c>
      <c r="F12565" s="0" t="s">
        <v>567</v>
      </c>
    </row>
    <row r="12567" customFormat="false" ht="12.8" hidden="false" customHeight="false" outlineLevel="0" collapsed="false">
      <c r="A12567" s="0" t="s">
        <v>5098</v>
      </c>
      <c r="B12567" s="0" t="str">
        <f aca="false">HYPERLINK("https://lindat.mff.cuni.cz/services/teitok/pdtc10/index.php?action=vallex&amp;frame=v-w1664f1", "lamentovat (v-w1664f1) - substituted with v-w1664f2_ZU")</f>
        <v>lamentovat (v-w1664f1) - substituted with v-w1664f2_ZU</v>
      </c>
    </row>
    <row r="12568" customFormat="false" ht="12.8" hidden="false" customHeight="false" outlineLevel="0" collapsed="false">
      <c r="B12568" s="0" t="s">
        <v>7</v>
      </c>
    </row>
    <row r="12569" customFormat="false" ht="12.8" hidden="false" customHeight="false" outlineLevel="0" collapsed="false">
      <c r="B12569" s="0" t="s">
        <v>383</v>
      </c>
    </row>
    <row r="12571" customFormat="false" ht="12.8" hidden="false" customHeight="false" outlineLevel="0" collapsed="false">
      <c r="A12571" s="0" t="s">
        <v>5099</v>
      </c>
      <c r="B12571" s="0" t="str">
        <f aca="false">HYPERLINK("https://lindat.mff.cuni.cz/services/teitok/pdtc10/index.php?action=vallex&amp;frame=v-w1666f1", "lapat (v-w1666f1)")</f>
        <v>lapat (v-w1666f1)</v>
      </c>
    </row>
    <row r="12572" customFormat="false" ht="12.8" hidden="false" customHeight="false" outlineLevel="0" collapsed="false">
      <c r="B12572" s="0" t="s">
        <v>7</v>
      </c>
      <c r="C12572" s="0" t="s">
        <v>191</v>
      </c>
      <c r="D12572" s="0" t="s">
        <v>191</v>
      </c>
      <c r="E12572" s="0" t="s">
        <v>191</v>
      </c>
      <c r="F12572" s="0" t="s">
        <v>191</v>
      </c>
    </row>
    <row r="12573" customFormat="false" ht="12.8" hidden="false" customHeight="false" outlineLevel="0" collapsed="false">
      <c r="B12573" s="0" t="s">
        <v>5100</v>
      </c>
      <c r="C12573" s="0" t="s">
        <v>532</v>
      </c>
      <c r="D12573" s="0" t="s">
        <v>532</v>
      </c>
      <c r="E12573" s="0" t="s">
        <v>532</v>
      </c>
      <c r="F12573" s="0" t="s">
        <v>532</v>
      </c>
    </row>
    <row r="12575" customFormat="false" ht="12.8" hidden="false" customHeight="false" outlineLevel="0" collapsed="false">
      <c r="A12575" s="0" t="s">
        <v>5101</v>
      </c>
      <c r="B12575" s="0" t="str">
        <f aca="false">HYPERLINK("https://lindat.mff.cuni.cz/services/teitok/pdtc10/index.php?action=vallex&amp;frame=v-w1666hsa_1329", "lapat (v-w1666hsa_1329)")</f>
        <v>lapat (v-w1666hsa_1329)</v>
      </c>
    </row>
    <row r="12576" customFormat="false" ht="12.8" hidden="false" customHeight="false" outlineLevel="0" collapsed="false">
      <c r="B12576" s="0" t="s">
        <v>7</v>
      </c>
    </row>
    <row r="12577" customFormat="false" ht="12.8" hidden="false" customHeight="false" outlineLevel="0" collapsed="false">
      <c r="B12577" s="0" t="s">
        <v>14</v>
      </c>
    </row>
    <row r="12579" customFormat="false" ht="12.8" hidden="false" customHeight="false" outlineLevel="0" collapsed="false">
      <c r="A12579" s="0" t="s">
        <v>5102</v>
      </c>
      <c r="B12579" s="0" t="str">
        <f aca="false">HYPERLINK("https://lindat.mff.cuni.cz/services/teitok/pdtc10/index.php?action=vallex&amp;frame=v-w10350f2", "lapit (v-w10350f2)")</f>
        <v>lapit (v-w10350f2)</v>
      </c>
    </row>
    <row r="12580" customFormat="false" ht="12.8" hidden="false" customHeight="false" outlineLevel="0" collapsed="false">
      <c r="B12580" s="0" t="s">
        <v>7</v>
      </c>
      <c r="C12580" s="0" t="s">
        <v>88</v>
      </c>
      <c r="D12580" s="0" t="s">
        <v>23</v>
      </c>
      <c r="E12580" s="0" t="s">
        <v>23</v>
      </c>
      <c r="F12580" s="0" t="s">
        <v>23</v>
      </c>
    </row>
    <row r="12581" customFormat="false" ht="12.8" hidden="false" customHeight="false" outlineLevel="0" collapsed="false">
      <c r="B12581" s="0" t="s">
        <v>14</v>
      </c>
      <c r="C12581" s="0" t="s">
        <v>74</v>
      </c>
      <c r="D12581" s="0" t="s">
        <v>5103</v>
      </c>
      <c r="E12581" s="0" t="s">
        <v>5103</v>
      </c>
      <c r="F12581" s="0" t="s">
        <v>5103</v>
      </c>
    </row>
    <row r="12583" customFormat="false" ht="12.8" hidden="false" customHeight="false" outlineLevel="0" collapsed="false">
      <c r="A12583" s="0" t="s">
        <v>5104</v>
      </c>
      <c r="B12583" s="0" t="str">
        <f aca="false">HYPERLINK("https://lindat.mff.cuni.cz/services/teitok/pdtc10/index.php?action=vallex&amp;frame=v-w10336f2", "laškovat (v-w10336f2)")</f>
        <v>laškovat (v-w10336f2)</v>
      </c>
    </row>
    <row r="12584" customFormat="false" ht="12.8" hidden="false" customHeight="false" outlineLevel="0" collapsed="false">
      <c r="B12584" s="0" t="s">
        <v>7</v>
      </c>
    </row>
    <row r="12585" customFormat="false" ht="12.8" hidden="false" customHeight="false" outlineLevel="0" collapsed="false">
      <c r="B12585" s="0" t="s">
        <v>3683</v>
      </c>
    </row>
    <row r="12586" customFormat="false" ht="12.8" hidden="false" customHeight="false" outlineLevel="0" collapsed="false">
      <c r="B12586" s="0" t="s">
        <v>2767</v>
      </c>
    </row>
    <row r="12588" customFormat="false" ht="12.8" hidden="false" customHeight="false" outlineLevel="0" collapsed="false">
      <c r="A12588" s="0" t="s">
        <v>5105</v>
      </c>
      <c r="B12588" s="0" t="str">
        <f aca="false">HYPERLINK("https://lindat.mff.cuni.cz/services/teitok/pdtc10/index.php?action=vallex&amp;frame=v-whsa_1424hsa_1425", "lebedit si (v-whsa_1424hsa_1425)")</f>
        <v>lebedit si (v-whsa_1424hsa_1425)</v>
      </c>
    </row>
    <row r="12589" customFormat="false" ht="12.8" hidden="false" customHeight="false" outlineLevel="0" collapsed="false">
      <c r="B12589" s="0" t="s">
        <v>7</v>
      </c>
    </row>
    <row r="12591" customFormat="false" ht="12.8" hidden="false" customHeight="false" outlineLevel="0" collapsed="false">
      <c r="A12591" s="0" t="s">
        <v>5106</v>
      </c>
      <c r="B12591" s="0" t="str">
        <f aca="false">HYPERLINK("https://lindat.mff.cuni.cz/services/teitok/pdtc10/index.php?action=vallex&amp;frame=v-w1673f1", "legalizovat (v-w1673f1)")</f>
        <v>legalizovat (v-w1673f1)</v>
      </c>
    </row>
    <row r="12592" customFormat="false" ht="12.8" hidden="false" customHeight="false" outlineLevel="0" collapsed="false">
      <c r="B12592" s="0" t="s">
        <v>7</v>
      </c>
      <c r="D12592" s="0" t="s">
        <v>5107</v>
      </c>
      <c r="E12592" s="0" t="s">
        <v>5107</v>
      </c>
      <c r="F12592" s="0" t="s">
        <v>5107</v>
      </c>
    </row>
    <row r="12593" customFormat="false" ht="12.8" hidden="false" customHeight="false" outlineLevel="0" collapsed="false">
      <c r="B12593" s="0" t="s">
        <v>14</v>
      </c>
      <c r="C12593" s="0" t="s">
        <v>115</v>
      </c>
      <c r="D12593" s="0" t="s">
        <v>5108</v>
      </c>
      <c r="E12593" s="0" t="s">
        <v>5108</v>
      </c>
      <c r="F12593" s="0" t="s">
        <v>5108</v>
      </c>
    </row>
    <row r="12595" customFormat="false" ht="12.8" hidden="false" customHeight="false" outlineLevel="0" collapsed="false">
      <c r="A12595" s="0" t="s">
        <v>5109</v>
      </c>
      <c r="B12595" s="0" t="str">
        <f aca="false">HYPERLINK("https://lindat.mff.cuni.cz/services/teitok/pdtc10/index.php?action=vallex&amp;frame=v-w1676f1", "legitimizovat (v-w1676f1)")</f>
        <v>legitimizovat (v-w1676f1)</v>
      </c>
    </row>
    <row r="12596" customFormat="false" ht="12.8" hidden="false" customHeight="false" outlineLevel="0" collapsed="false">
      <c r="B12596" s="0" t="s">
        <v>7</v>
      </c>
    </row>
    <row r="12597" customFormat="false" ht="12.8" hidden="false" customHeight="false" outlineLevel="0" collapsed="false">
      <c r="B12597" s="0" t="s">
        <v>172</v>
      </c>
    </row>
    <row r="12599" customFormat="false" ht="12.8" hidden="false" customHeight="false" outlineLevel="0" collapsed="false">
      <c r="A12599" s="0" t="s">
        <v>5110</v>
      </c>
      <c r="B12599" s="0" t="str">
        <f aca="false">HYPERLINK("https://lindat.mff.cuni.cz/services/teitok/pdtc10/index.php?action=vallex&amp;frame=v-whsa_1214hsa_1215", "legitimovat (v-whsa_1214hsa_1215)")</f>
        <v>legitimovat (v-whsa_1214hsa_1215)</v>
      </c>
    </row>
    <row r="12600" customFormat="false" ht="12.8" hidden="false" customHeight="false" outlineLevel="0" collapsed="false">
      <c r="B12600" s="0" t="s">
        <v>7</v>
      </c>
      <c r="C12600" s="0" t="s">
        <v>191</v>
      </c>
      <c r="D12600" s="0" t="s">
        <v>158</v>
      </c>
      <c r="E12600" s="0" t="s">
        <v>158</v>
      </c>
      <c r="F12600" s="0" t="s">
        <v>158</v>
      </c>
    </row>
    <row r="12601" customFormat="false" ht="12.8" hidden="false" customHeight="false" outlineLevel="0" collapsed="false">
      <c r="B12601" s="0" t="s">
        <v>14</v>
      </c>
      <c r="C12601" s="0" t="s">
        <v>47</v>
      </c>
      <c r="D12601" s="0" t="s">
        <v>160</v>
      </c>
      <c r="E12601" s="0" t="s">
        <v>160</v>
      </c>
      <c r="F12601" s="0" t="s">
        <v>160</v>
      </c>
    </row>
    <row r="12603" customFormat="false" ht="12.8" hidden="false" customHeight="false" outlineLevel="0" collapsed="false">
      <c r="A12603" s="0" t="s">
        <v>5111</v>
      </c>
      <c r="B12603" s="0" t="str">
        <f aca="false">HYPERLINK("https://lindat.mff.cuni.cz/services/teitok/pdtc10/index.php?action=vallex&amp;frame=v-whsa_26hsa_27", "legitimovat se (v-whsa_26hsa_27)")</f>
        <v>legitimovat se (v-whsa_26hsa_27)</v>
      </c>
    </row>
    <row r="12604" customFormat="false" ht="12.8" hidden="false" customHeight="false" outlineLevel="0" collapsed="false">
      <c r="B12604" s="0" t="s">
        <v>7</v>
      </c>
    </row>
    <row r="12606" customFormat="false" ht="12.8" hidden="false" customHeight="false" outlineLevel="0" collapsed="false">
      <c r="A12606" s="0" t="s">
        <v>5112</v>
      </c>
      <c r="B12606" s="0" t="str">
        <f aca="false">HYPERLINK("https://lindat.mff.cuni.cz/services/teitok/pdtc10/index.php?action=vallex&amp;frame=v-w1678f1", "lehat si (v-w1678f1)")</f>
        <v>lehat si (v-w1678f1)</v>
      </c>
    </row>
    <row r="12607" customFormat="false" ht="12.8" hidden="false" customHeight="false" outlineLevel="0" collapsed="false">
      <c r="B12607" s="0" t="s">
        <v>7</v>
      </c>
    </row>
    <row r="12608" customFormat="false" ht="12.8" hidden="false" customHeight="false" outlineLevel="0" collapsed="false">
      <c r="B12608" s="0" t="s">
        <v>124</v>
      </c>
    </row>
    <row r="12610" customFormat="false" ht="12.8" hidden="false" customHeight="false" outlineLevel="0" collapsed="false">
      <c r="A12610" s="0" t="s">
        <v>5113</v>
      </c>
      <c r="B12610" s="0" t="str">
        <f aca="false">HYPERLINK("https://lindat.mff.cuni.cz/services/teitok/pdtc10/index.php?action=vallex&amp;frame=v-w1680f1", "lehnout (v-w1680f1)")</f>
        <v>lehnout (v-w1680f1)</v>
      </c>
    </row>
    <row r="12611" customFormat="false" ht="12.8" hidden="false" customHeight="false" outlineLevel="0" collapsed="false">
      <c r="B12611" s="0" t="s">
        <v>7</v>
      </c>
    </row>
    <row r="12612" customFormat="false" ht="12.8" hidden="false" customHeight="false" outlineLevel="0" collapsed="false">
      <c r="B12612" s="0" t="s">
        <v>5114</v>
      </c>
    </row>
    <row r="12614" customFormat="false" ht="12.8" hidden="false" customHeight="false" outlineLevel="0" collapsed="false">
      <c r="A12614" s="0" t="s">
        <v>5115</v>
      </c>
      <c r="B12614" s="0" t="str">
        <f aca="false">HYPERLINK("https://lindat.mff.cuni.cz/services/teitok/pdtc10/index.php?action=vallex&amp;frame=v-w1680f2_ZU", "lehnout (v-w1680f2_ZU)")</f>
        <v>lehnout (v-w1680f2_ZU)</v>
      </c>
    </row>
    <row r="12615" customFormat="false" ht="12.8" hidden="false" customHeight="false" outlineLevel="0" collapsed="false">
      <c r="B12615" s="0" t="s">
        <v>7</v>
      </c>
    </row>
    <row r="12616" customFormat="false" ht="12.8" hidden="false" customHeight="false" outlineLevel="0" collapsed="false">
      <c r="B12616" s="0" t="s">
        <v>338</v>
      </c>
    </row>
    <row r="12618" customFormat="false" ht="12.8" hidden="false" customHeight="false" outlineLevel="0" collapsed="false">
      <c r="A12618" s="0" t="s">
        <v>5116</v>
      </c>
      <c r="B12618" s="0" t="str">
        <f aca="false">HYPERLINK("https://lindat.mff.cuni.cz/services/teitok/pdtc10/index.php?action=vallex&amp;frame=v-w1681f1", "lehnout si (v-w1681f1)")</f>
        <v>lehnout si (v-w1681f1)</v>
      </c>
    </row>
    <row r="12619" customFormat="false" ht="12.8" hidden="false" customHeight="false" outlineLevel="0" collapsed="false">
      <c r="B12619" s="0" t="s">
        <v>7</v>
      </c>
      <c r="C12619" s="0" t="s">
        <v>16</v>
      </c>
      <c r="D12619" s="0" t="s">
        <v>191</v>
      </c>
      <c r="E12619" s="0" t="s">
        <v>191</v>
      </c>
      <c r="F12619" s="0" t="s">
        <v>191</v>
      </c>
    </row>
    <row r="12620" customFormat="false" ht="12.8" hidden="false" customHeight="false" outlineLevel="0" collapsed="false">
      <c r="B12620" s="0" t="s">
        <v>124</v>
      </c>
      <c r="C12620" s="0" t="s">
        <v>4127</v>
      </c>
    </row>
    <row r="12622" customFormat="false" ht="12.8" hidden="false" customHeight="false" outlineLevel="0" collapsed="false">
      <c r="A12622" s="0" t="s">
        <v>5117</v>
      </c>
      <c r="B12622" s="0" t="str">
        <f aca="false">HYPERLINK("https://lindat.mff.cuni.cz/services/teitok/pdtc10/index.php?action=vallex&amp;frame=v-w11903_ZUf1_ZU", "lehávat (v-w11903_ZUf1_ZU)")</f>
        <v>lehávat (v-w11903_ZUf1_ZU)</v>
      </c>
    </row>
    <row r="12623" customFormat="false" ht="12.8" hidden="false" customHeight="false" outlineLevel="0" collapsed="false">
      <c r="B12623" s="0" t="s">
        <v>7</v>
      </c>
    </row>
    <row r="12624" customFormat="false" ht="12.8" hidden="false" customHeight="false" outlineLevel="0" collapsed="false">
      <c r="B12624" s="0" t="s">
        <v>11</v>
      </c>
    </row>
    <row r="12626" customFormat="false" ht="12.8" hidden="false" customHeight="false" outlineLevel="0" collapsed="false">
      <c r="A12626" s="0" t="s">
        <v>5118</v>
      </c>
      <c r="B12626" s="0" t="str">
        <f aca="false">HYPERLINK("https://lindat.mff.cuni.cz/services/teitok/pdtc10/index.php?action=vallex&amp;frame=v-w10236f2", "lekat (v-w10236f2)")</f>
        <v>lekat (v-w10236f2)</v>
      </c>
    </row>
    <row r="12627" customFormat="false" ht="12.8" hidden="false" customHeight="false" outlineLevel="0" collapsed="false">
      <c r="B12627" s="0" t="s">
        <v>7</v>
      </c>
      <c r="C12627" s="0" t="s">
        <v>46</v>
      </c>
    </row>
    <row r="12628" customFormat="false" ht="12.8" hidden="false" customHeight="false" outlineLevel="0" collapsed="false">
      <c r="B12628" s="0" t="s">
        <v>14</v>
      </c>
      <c r="C12628" s="0" t="s">
        <v>567</v>
      </c>
    </row>
    <row r="12630" customFormat="false" ht="12.8" hidden="false" customHeight="false" outlineLevel="0" collapsed="false">
      <c r="A12630" s="0" t="s">
        <v>5119</v>
      </c>
      <c r="B12630" s="0" t="str">
        <f aca="false">HYPERLINK("https://lindat.mff.cuni.cz/services/teitok/pdtc10/index.php?action=vallex&amp;frame=v-whsa_559hsa_560", "leknout se (v-whsa_559hsa_560)")</f>
        <v>leknout se (v-whsa_559hsa_560)</v>
      </c>
    </row>
    <row r="12631" customFormat="false" ht="12.8" hidden="false" customHeight="false" outlineLevel="0" collapsed="false">
      <c r="B12631" s="0" t="s">
        <v>7</v>
      </c>
    </row>
    <row r="12632" customFormat="false" ht="12.8" hidden="false" customHeight="false" outlineLevel="0" collapsed="false">
      <c r="B12632" s="0" t="s">
        <v>5120</v>
      </c>
    </row>
    <row r="12634" customFormat="false" ht="12.8" hidden="false" customHeight="false" outlineLevel="0" collapsed="false">
      <c r="A12634" s="0" t="s">
        <v>5121</v>
      </c>
      <c r="B12634" s="0" t="str">
        <f aca="false">HYPERLINK("https://lindat.mff.cuni.cz/services/teitok/pdtc10/index.php?action=vallex&amp;frame=v-w1685f1", "lemovat (v-w1685f1)")</f>
        <v>lemovat (v-w1685f1)</v>
      </c>
    </row>
    <row r="12635" customFormat="false" ht="12.8" hidden="false" customHeight="false" outlineLevel="0" collapsed="false">
      <c r="B12635" s="0" t="s">
        <v>7</v>
      </c>
      <c r="C12635" s="0" t="s">
        <v>247</v>
      </c>
      <c r="D12635" s="0" t="s">
        <v>5122</v>
      </c>
      <c r="E12635" s="0" t="s">
        <v>5122</v>
      </c>
      <c r="F12635" s="0" t="s">
        <v>5122</v>
      </c>
    </row>
    <row r="12636" customFormat="false" ht="12.8" hidden="false" customHeight="false" outlineLevel="0" collapsed="false">
      <c r="B12636" s="0" t="s">
        <v>14</v>
      </c>
      <c r="D12636" s="0" t="s">
        <v>5123</v>
      </c>
      <c r="E12636" s="0" t="s">
        <v>5123</v>
      </c>
      <c r="F12636" s="0" t="s">
        <v>5123</v>
      </c>
    </row>
    <row r="12638" customFormat="false" ht="12.8" hidden="false" customHeight="false" outlineLevel="0" collapsed="false">
      <c r="A12638" s="0" t="s">
        <v>5124</v>
      </c>
      <c r="B12638" s="0" t="str">
        <f aca="false">HYPERLINK("https://lindat.mff.cuni.cz/services/teitok/pdtc10/index.php?action=vallex&amp;frame=v-w1685f2", "lemovat (v-w1685f2)")</f>
        <v>lemovat (v-w1685f2)</v>
      </c>
    </row>
    <row r="12639" customFormat="false" ht="12.8" hidden="false" customHeight="false" outlineLevel="0" collapsed="false">
      <c r="B12639" s="0" t="s">
        <v>7</v>
      </c>
    </row>
    <row r="12640" customFormat="false" ht="12.8" hidden="false" customHeight="false" outlineLevel="0" collapsed="false">
      <c r="B12640" s="0" t="s">
        <v>14</v>
      </c>
    </row>
    <row r="12642" customFormat="false" ht="12.8" hidden="false" customHeight="false" outlineLevel="0" collapsed="false">
      <c r="A12642" s="0" t="s">
        <v>5125</v>
      </c>
      <c r="B12642" s="0" t="str">
        <f aca="false">HYPERLINK("https://lindat.mff.cuni.cz/services/teitok/pdtc10/index.php?action=vallex&amp;frame=v-w1685hsa_1194", "lemovat (v-w1685hsa_1194)")</f>
        <v>lemovat (v-w1685hsa_1194)</v>
      </c>
    </row>
    <row r="12643" customFormat="false" ht="12.8" hidden="false" customHeight="false" outlineLevel="0" collapsed="false">
      <c r="B12643" s="0" t="s">
        <v>7</v>
      </c>
    </row>
    <row r="12644" customFormat="false" ht="12.8" hidden="false" customHeight="false" outlineLevel="0" collapsed="false">
      <c r="B12644" s="0" t="s">
        <v>14</v>
      </c>
      <c r="C12644" s="0" t="s">
        <v>567</v>
      </c>
    </row>
    <row r="12646" customFormat="false" ht="12.8" hidden="false" customHeight="false" outlineLevel="0" collapsed="false">
      <c r="A12646" s="0" t="s">
        <v>5126</v>
      </c>
      <c r="B12646" s="0" t="str">
        <f aca="false">HYPERLINK("https://lindat.mff.cuni.cz/services/teitok/pdtc10/index.php?action=vallex&amp;frame=v-w1687f1", "lenit (v-w1687f1)")</f>
        <v>lenit (v-w1687f1)</v>
      </c>
    </row>
    <row r="12647" customFormat="false" ht="12.8" hidden="false" customHeight="false" outlineLevel="0" collapsed="false">
      <c r="B12647" s="0" t="s">
        <v>7</v>
      </c>
    </row>
    <row r="12649" customFormat="false" ht="12.8" hidden="false" customHeight="false" outlineLevel="0" collapsed="false">
      <c r="A12649" s="0" t="s">
        <v>5127</v>
      </c>
      <c r="B12649" s="0" t="str">
        <f aca="false">HYPERLINK("https://lindat.mff.cuni.cz/services/teitok/pdtc10/index.php?action=vallex&amp;frame=v-w12166_ZUf1_ZU", "lenošit (v-w12166_ZUf1_ZU)")</f>
        <v>lenošit (v-w12166_ZUf1_ZU)</v>
      </c>
    </row>
    <row r="12650" customFormat="false" ht="12.8" hidden="false" customHeight="false" outlineLevel="0" collapsed="false">
      <c r="B12650" s="0" t="s">
        <v>7</v>
      </c>
    </row>
    <row r="12652" customFormat="false" ht="12.8" hidden="false" customHeight="false" outlineLevel="0" collapsed="false">
      <c r="A12652" s="0" t="s">
        <v>5128</v>
      </c>
      <c r="B12652" s="0" t="str">
        <f aca="false">HYPERLINK("https://lindat.mff.cuni.cz/services/teitok/pdtc10/index.php?action=vallex&amp;frame=v-w1688f1", "lepit (v-w1688f1)")</f>
        <v>lepit (v-w1688f1)</v>
      </c>
    </row>
    <row r="12653" customFormat="false" ht="12.8" hidden="false" customHeight="false" outlineLevel="0" collapsed="false">
      <c r="B12653" s="0" t="s">
        <v>7</v>
      </c>
      <c r="C12653" s="0" t="s">
        <v>184</v>
      </c>
      <c r="D12653" s="0" t="s">
        <v>191</v>
      </c>
      <c r="E12653" s="0" t="s">
        <v>191</v>
      </c>
      <c r="F12653" s="0" t="s">
        <v>191</v>
      </c>
    </row>
    <row r="12654" customFormat="false" ht="12.8" hidden="false" customHeight="false" outlineLevel="0" collapsed="false">
      <c r="B12654" s="0" t="s">
        <v>14</v>
      </c>
      <c r="C12654" s="0" t="s">
        <v>384</v>
      </c>
      <c r="D12654" s="0" t="s">
        <v>115</v>
      </c>
      <c r="E12654" s="0" t="s">
        <v>115</v>
      </c>
      <c r="F12654" s="0" t="s">
        <v>115</v>
      </c>
    </row>
    <row r="12656" customFormat="false" ht="12.8" hidden="false" customHeight="false" outlineLevel="0" collapsed="false">
      <c r="A12656" s="0" t="s">
        <v>5129</v>
      </c>
      <c r="B12656" s="0" t="str">
        <f aca="false">HYPERLINK("https://lindat.mff.cuni.cz/services/teitok/pdtc10/index.php?action=vallex&amp;frame=v-w11748_ZUf1_ZU", "lepit se (v-w11748_ZUf1_ZU)")</f>
        <v>lepit se (v-w11748_ZUf1_ZU)</v>
      </c>
    </row>
    <row r="12657" customFormat="false" ht="12.8" hidden="false" customHeight="false" outlineLevel="0" collapsed="false">
      <c r="B12657" s="0" t="s">
        <v>7</v>
      </c>
    </row>
    <row r="12659" customFormat="false" ht="12.8" hidden="false" customHeight="false" outlineLevel="0" collapsed="false">
      <c r="A12659" s="0" t="s">
        <v>5130</v>
      </c>
      <c r="B12659" s="0" t="str">
        <f aca="false">HYPERLINK("https://lindat.mff.cuni.cz/services/teitok/pdtc10/index.php?action=vallex&amp;frame=v-w1689f1", "lepšit se (v-w1689f1)")</f>
        <v>lepšit se (v-w1689f1)</v>
      </c>
    </row>
    <row r="12660" customFormat="false" ht="12.8" hidden="false" customHeight="false" outlineLevel="0" collapsed="false">
      <c r="B12660" s="0" t="s">
        <v>7</v>
      </c>
    </row>
    <row r="12661" customFormat="false" ht="12.8" hidden="false" customHeight="false" outlineLevel="0" collapsed="false">
      <c r="B12661" s="0" t="s">
        <v>63</v>
      </c>
    </row>
    <row r="12662" customFormat="false" ht="12.8" hidden="false" customHeight="false" outlineLevel="0" collapsed="false">
      <c r="B12662" s="0" t="s">
        <v>35</v>
      </c>
    </row>
    <row r="12664" customFormat="false" ht="12.8" hidden="false" customHeight="false" outlineLevel="0" collapsed="false">
      <c r="A12664" s="0" t="s">
        <v>5131</v>
      </c>
      <c r="B12664" s="0" t="str">
        <f aca="false">HYPERLINK("https://lindat.mff.cuni.cz/services/teitok/pdtc10/index.php?action=vallex&amp;frame=v-w11480f1", "lesknout se (v-w11480f1)")</f>
        <v>lesknout se (v-w11480f1)</v>
      </c>
    </row>
    <row r="12665" customFormat="false" ht="12.8" hidden="false" customHeight="false" outlineLevel="0" collapsed="false">
      <c r="B12665" s="0" t="s">
        <v>7</v>
      </c>
      <c r="F12665" s="0" t="s">
        <v>191</v>
      </c>
    </row>
    <row r="12667" customFormat="false" ht="12.8" hidden="false" customHeight="false" outlineLevel="0" collapsed="false">
      <c r="A12667" s="0" t="s">
        <v>5132</v>
      </c>
      <c r="B12667" s="0" t="str">
        <f aca="false">HYPERLINK("https://lindat.mff.cuni.cz/services/teitok/pdtc10/index.php?action=vallex&amp;frame=v-whsa_215hsa_216", "letovat (v-whsa_215hsa_216)")</f>
        <v>letovat (v-whsa_215hsa_216)</v>
      </c>
    </row>
    <row r="12668" customFormat="false" ht="12.8" hidden="false" customHeight="false" outlineLevel="0" collapsed="false">
      <c r="B12668" s="0" t="s">
        <v>7</v>
      </c>
    </row>
    <row r="12669" customFormat="false" ht="12.8" hidden="false" customHeight="false" outlineLevel="0" collapsed="false">
      <c r="B12669" s="0" t="s">
        <v>14</v>
      </c>
    </row>
    <row r="12671" customFormat="false" ht="12.8" hidden="false" customHeight="false" outlineLevel="0" collapsed="false">
      <c r="A12671" s="0" t="s">
        <v>5133</v>
      </c>
      <c r="B12671" s="0" t="str">
        <f aca="false">HYPERLINK("https://lindat.mff.cuni.cz/services/teitok/pdtc10/index.php?action=vallex&amp;frame=v-w1694f1", "letět (v-w1694f1)")</f>
        <v>letět (v-w1694f1)</v>
      </c>
    </row>
    <row r="12672" customFormat="false" ht="12.8" hidden="false" customHeight="false" outlineLevel="0" collapsed="false">
      <c r="B12672" s="0" t="s">
        <v>7</v>
      </c>
      <c r="C12672" s="0" t="s">
        <v>5134</v>
      </c>
      <c r="D12672" s="0" t="s">
        <v>5135</v>
      </c>
      <c r="E12672" s="0" t="s">
        <v>5135</v>
      </c>
      <c r="F12672" s="0" t="s">
        <v>5135</v>
      </c>
    </row>
    <row r="12674" customFormat="false" ht="12.8" hidden="false" customHeight="false" outlineLevel="0" collapsed="false">
      <c r="A12674" s="0" t="s">
        <v>5136</v>
      </c>
      <c r="B12674" s="0" t="str">
        <f aca="false">HYPERLINK("https://lindat.mff.cuni.cz/services/teitok/pdtc10/index.php?action=vallex&amp;frame=v-w1694f2", "letět (v-w1694f2)")</f>
        <v>letět (v-w1694f2)</v>
      </c>
    </row>
    <row r="12675" customFormat="false" ht="12.8" hidden="false" customHeight="false" outlineLevel="0" collapsed="false">
      <c r="B12675" s="0" t="s">
        <v>7</v>
      </c>
    </row>
    <row r="12677" customFormat="false" ht="12.8" hidden="false" customHeight="false" outlineLevel="0" collapsed="false">
      <c r="A12677" s="0" t="s">
        <v>5137</v>
      </c>
      <c r="B12677" s="0" t="str">
        <f aca="false">HYPERLINK("https://lindat.mff.cuni.cz/services/teitok/pdtc10/index.php?action=vallex&amp;frame=v-w1694f3", "letět (v-w1694f3)")</f>
        <v>letět (v-w1694f3)</v>
      </c>
    </row>
    <row r="12678" customFormat="false" ht="12.8" hidden="false" customHeight="false" outlineLevel="0" collapsed="false">
      <c r="B12678" s="0" t="s">
        <v>7</v>
      </c>
    </row>
    <row r="12680" customFormat="false" ht="12.8" hidden="false" customHeight="false" outlineLevel="0" collapsed="false">
      <c r="A12680" s="0" t="s">
        <v>5138</v>
      </c>
      <c r="B12680" s="0" t="str">
        <f aca="false">HYPERLINK("https://lindat.mff.cuni.cz/services/teitok/pdtc10/index.php?action=vallex&amp;frame=v-w1694hsa_811", "letět (v-w1694hsa_811)")</f>
        <v>letět (v-w1694hsa_811)</v>
      </c>
    </row>
    <row r="12681" customFormat="false" ht="12.8" hidden="false" customHeight="false" outlineLevel="0" collapsed="false">
      <c r="B12681" s="0" t="s">
        <v>7</v>
      </c>
    </row>
    <row r="12682" customFormat="false" ht="12.8" hidden="false" customHeight="false" outlineLevel="0" collapsed="false">
      <c r="B12682" s="0" t="s">
        <v>124</v>
      </c>
    </row>
    <row r="12684" customFormat="false" ht="12.8" hidden="false" customHeight="false" outlineLevel="0" collapsed="false">
      <c r="A12684" s="0" t="s">
        <v>5139</v>
      </c>
      <c r="B12684" s="0" t="str">
        <f aca="false">HYPERLINK("https://lindat.mff.cuni.cz/services/teitok/pdtc10/index.php?action=vallex&amp;frame=v-w1694f4_ZU", "letět (v-w1694f4_ZU)")</f>
        <v>letět (v-w1694f4_ZU)</v>
      </c>
    </row>
    <row r="12685" customFormat="false" ht="12.8" hidden="false" customHeight="false" outlineLevel="0" collapsed="false">
      <c r="B12685" s="0" t="s">
        <v>7</v>
      </c>
    </row>
    <row r="12686" customFormat="false" ht="12.8" hidden="false" customHeight="false" outlineLevel="0" collapsed="false">
      <c r="B12686" s="0" t="s">
        <v>5140</v>
      </c>
    </row>
    <row r="12688" customFormat="false" ht="12.8" hidden="false" customHeight="false" outlineLevel="0" collapsed="false">
      <c r="A12688" s="0" t="s">
        <v>5141</v>
      </c>
      <c r="B12688" s="0" t="str">
        <f aca="false">HYPERLINK("https://lindat.mff.cuni.cz/services/teitok/pdtc10/index.php?action=vallex&amp;frame=v-w1694hsa_1755", "letět (v-w1694hsa_1755)")</f>
        <v>letět (v-w1694hsa_1755)</v>
      </c>
    </row>
    <row r="12689" customFormat="false" ht="12.8" hidden="false" customHeight="false" outlineLevel="0" collapsed="false">
      <c r="B12689" s="0" t="s">
        <v>7</v>
      </c>
    </row>
    <row r="12691" customFormat="false" ht="12.8" hidden="false" customHeight="false" outlineLevel="0" collapsed="false">
      <c r="A12691" s="0" t="s">
        <v>5142</v>
      </c>
      <c r="B12691" s="0" t="str">
        <f aca="false">HYPERLINK("https://lindat.mff.cuni.cz/services/teitok/pdtc10/index.php?action=vallex&amp;frame=v-w1694hsa_1756", "letět (v-w1694hsa_1756)")</f>
        <v>letět (v-w1694hsa_1756)</v>
      </c>
    </row>
    <row r="12692" customFormat="false" ht="12.8" hidden="false" customHeight="false" outlineLevel="0" collapsed="false">
      <c r="B12692" s="0" t="s">
        <v>7</v>
      </c>
    </row>
    <row r="12694" customFormat="false" ht="12.8" hidden="false" customHeight="false" outlineLevel="0" collapsed="false">
      <c r="A12694" s="0" t="s">
        <v>5143</v>
      </c>
      <c r="B12694" s="0" t="str">
        <f aca="false">HYPERLINK("https://lindat.mff.cuni.cz/services/teitok/pdtc10/index.php?action=vallex&amp;frame=v-w1694hsa_1757", "letět (v-w1694hsa_1757)")</f>
        <v>letět (v-w1694hsa_1757)</v>
      </c>
    </row>
    <row r="12695" customFormat="false" ht="12.8" hidden="false" customHeight="false" outlineLevel="0" collapsed="false">
      <c r="B12695" s="0" t="s">
        <v>7</v>
      </c>
    </row>
    <row r="12696" customFormat="false" ht="12.8" hidden="false" customHeight="false" outlineLevel="0" collapsed="false">
      <c r="B12696" s="0" t="s">
        <v>548</v>
      </c>
    </row>
    <row r="12698" customFormat="false" ht="12.8" hidden="false" customHeight="false" outlineLevel="0" collapsed="false">
      <c r="A12698" s="0" t="s">
        <v>5144</v>
      </c>
      <c r="B12698" s="0" t="str">
        <f aca="false">HYPERLINK("https://lindat.mff.cuni.cz/services/teitok/pdtc10/index.php?action=vallex&amp;frame=v-w10599f3", "leštit (v-w10599f3)")</f>
        <v>leštit (v-w10599f3)</v>
      </c>
    </row>
    <row r="12699" customFormat="false" ht="12.8" hidden="false" customHeight="false" outlineLevel="0" collapsed="false">
      <c r="B12699" s="0" t="s">
        <v>7</v>
      </c>
    </row>
    <row r="12700" customFormat="false" ht="12.8" hidden="false" customHeight="false" outlineLevel="0" collapsed="false">
      <c r="B12700" s="0" t="s">
        <v>14</v>
      </c>
    </row>
    <row r="12702" customFormat="false" ht="12.8" hidden="false" customHeight="false" outlineLevel="0" collapsed="false">
      <c r="A12702" s="0" t="s">
        <v>5145</v>
      </c>
      <c r="B12702" s="0" t="str">
        <f aca="false">HYPERLINK("https://lindat.mff.cuni.cz/services/teitok/pdtc10/index.php?action=vallex&amp;frame=v-w10599f2", "leštit (v-w10599f2)")</f>
        <v>leštit (v-w10599f2)</v>
      </c>
    </row>
    <row r="12703" customFormat="false" ht="12.8" hidden="false" customHeight="false" outlineLevel="0" collapsed="false">
      <c r="B12703" s="0" t="s">
        <v>7</v>
      </c>
      <c r="D12703" s="0" t="s">
        <v>108</v>
      </c>
      <c r="E12703" s="0" t="s">
        <v>108</v>
      </c>
      <c r="F12703" s="0" t="s">
        <v>108</v>
      </c>
    </row>
    <row r="12704" customFormat="false" ht="12.8" hidden="false" customHeight="false" outlineLevel="0" collapsed="false">
      <c r="B12704" s="0" t="s">
        <v>14</v>
      </c>
      <c r="D12704" s="0" t="s">
        <v>5146</v>
      </c>
      <c r="E12704" s="0" t="s">
        <v>5146</v>
      </c>
      <c r="F12704" s="0" t="s">
        <v>5146</v>
      </c>
    </row>
    <row r="12706" customFormat="false" ht="12.8" hidden="false" customHeight="false" outlineLevel="0" collapsed="false">
      <c r="A12706" s="0" t="s">
        <v>5147</v>
      </c>
      <c r="B12706" s="0" t="str">
        <f aca="false">HYPERLINK("https://lindat.mff.cuni.cz/services/teitok/pdtc10/index.php?action=vallex&amp;frame=v-w1699f4", "ležet (v-w1699f4)")</f>
        <v>ležet (v-w1699f4)</v>
      </c>
    </row>
    <row r="12707" customFormat="false" ht="12.8" hidden="false" customHeight="false" outlineLevel="0" collapsed="false">
      <c r="B12707" s="0" t="s">
        <v>7</v>
      </c>
    </row>
    <row r="12708" customFormat="false" ht="12.8" hidden="false" customHeight="false" outlineLevel="0" collapsed="false">
      <c r="B12708" s="0" t="s">
        <v>220</v>
      </c>
    </row>
    <row r="12710" customFormat="false" ht="12.8" hidden="false" customHeight="false" outlineLevel="0" collapsed="false">
      <c r="A12710" s="0" t="s">
        <v>5148</v>
      </c>
      <c r="B12710" s="0" t="str">
        <f aca="false">HYPERLINK("https://lindat.mff.cuni.cz/services/teitok/pdtc10/index.php?action=vallex&amp;frame=v-w1699f5", "ležet (v-w1699f5)")</f>
        <v>ležet (v-w1699f5)</v>
      </c>
    </row>
    <row r="12711" customFormat="false" ht="12.8" hidden="false" customHeight="false" outlineLevel="0" collapsed="false">
      <c r="B12711" s="0" t="s">
        <v>7</v>
      </c>
      <c r="C12711" s="0" t="s">
        <v>5149</v>
      </c>
      <c r="D12711" s="0" t="s">
        <v>1715</v>
      </c>
      <c r="E12711" s="0" t="s">
        <v>1715</v>
      </c>
      <c r="F12711" s="0" t="s">
        <v>1715</v>
      </c>
    </row>
    <row r="12712" customFormat="false" ht="12.8" hidden="false" customHeight="false" outlineLevel="0" collapsed="false">
      <c r="B12712" s="0" t="s">
        <v>387</v>
      </c>
      <c r="C12712" s="0" t="s">
        <v>3140</v>
      </c>
      <c r="D12712" s="0" t="s">
        <v>5150</v>
      </c>
      <c r="E12712" s="0" t="s">
        <v>5150</v>
      </c>
      <c r="F12712" s="0" t="s">
        <v>5150</v>
      </c>
    </row>
    <row r="12714" customFormat="false" ht="12.8" hidden="false" customHeight="false" outlineLevel="0" collapsed="false">
      <c r="A12714" s="0" t="s">
        <v>5151</v>
      </c>
      <c r="B12714" s="0" t="str">
        <f aca="false">HYPERLINK("https://lindat.mff.cuni.cz/services/teitok/pdtc10/index.php?action=vallex&amp;frame=v-w1699f6", "ležet (v-w1699f6)")</f>
        <v>ležet (v-w1699f6)</v>
      </c>
    </row>
    <row r="12715" customFormat="false" ht="12.8" hidden="false" customHeight="false" outlineLevel="0" collapsed="false">
      <c r="B12715" s="0" t="s">
        <v>7</v>
      </c>
    </row>
    <row r="12716" customFormat="false" ht="12.8" hidden="false" customHeight="false" outlineLevel="0" collapsed="false">
      <c r="B12716" s="0" t="s">
        <v>2804</v>
      </c>
    </row>
    <row r="12718" customFormat="false" ht="12.8" hidden="false" customHeight="false" outlineLevel="0" collapsed="false">
      <c r="A12718" s="0" t="s">
        <v>5152</v>
      </c>
      <c r="B12718" s="0" t="str">
        <f aca="false">HYPERLINK("https://lindat.mff.cuni.cz/services/teitok/pdtc10/index.php?action=vallex&amp;frame=v-w1699f11_ZU", "ležet (v-w1699f11_ZU)")</f>
        <v>ležet (v-w1699f11_ZU)</v>
      </c>
    </row>
    <row r="12719" customFormat="false" ht="12.8" hidden="false" customHeight="false" outlineLevel="0" collapsed="false">
      <c r="B12719" s="0" t="s">
        <v>7</v>
      </c>
    </row>
    <row r="12720" customFormat="false" ht="12.8" hidden="false" customHeight="false" outlineLevel="0" collapsed="false">
      <c r="B12720" s="0" t="s">
        <v>11</v>
      </c>
    </row>
    <row r="12722" customFormat="false" ht="12.8" hidden="false" customHeight="false" outlineLevel="0" collapsed="false">
      <c r="A12722" s="0" t="s">
        <v>5152</v>
      </c>
      <c r="B12722" s="0" t="str">
        <f aca="false">HYPERLINK("https://lindat.mff.cuni.cz/services/teitok/pdtc10/index.php?action=vallex&amp;frame=v-w1699f1", "ležet (v-w1699f1) - substituted with v-w1699f11_ZU")</f>
        <v>ležet (v-w1699f1) - substituted with v-w1699f11_ZU</v>
      </c>
    </row>
    <row r="12723" customFormat="false" ht="12.8" hidden="false" customHeight="false" outlineLevel="0" collapsed="false">
      <c r="B12723" s="0" t="s">
        <v>7</v>
      </c>
      <c r="C12723" s="0" t="s">
        <v>5153</v>
      </c>
      <c r="D12723" s="0" t="s">
        <v>5154</v>
      </c>
      <c r="E12723" s="0" t="s">
        <v>5155</v>
      </c>
      <c r="F12723" s="0" t="s">
        <v>5155</v>
      </c>
    </row>
    <row r="12724" customFormat="false" ht="12.8" hidden="false" customHeight="false" outlineLevel="0" collapsed="false">
      <c r="B12724" s="0" t="s">
        <v>11</v>
      </c>
      <c r="C12724" s="0" t="s">
        <v>5156</v>
      </c>
      <c r="D12724" s="0" t="s">
        <v>5157</v>
      </c>
      <c r="E12724" s="0" t="s">
        <v>5158</v>
      </c>
      <c r="F12724" s="0" t="s">
        <v>5158</v>
      </c>
    </row>
    <row r="12726" customFormat="false" ht="12.8" hidden="false" customHeight="false" outlineLevel="0" collapsed="false">
      <c r="A12726" s="0" t="s">
        <v>5152</v>
      </c>
      <c r="B12726" s="0" t="str">
        <f aca="false">HYPERLINK("https://lindat.mff.cuni.cz/services/teitok/pdtc10/index.php?action=vallex&amp;frame=v-w1699f10_ZU", "ležet (v-w1699f10_ZU) - substituted with v-w1699f11_ZU")</f>
        <v>ležet (v-w1699f10_ZU) - substituted with v-w1699f11_ZU</v>
      </c>
    </row>
    <row r="12727" customFormat="false" ht="12.8" hidden="false" customHeight="false" outlineLevel="0" collapsed="false">
      <c r="B12727" s="0" t="s">
        <v>7</v>
      </c>
    </row>
    <row r="12728" customFormat="false" ht="12.8" hidden="false" customHeight="false" outlineLevel="0" collapsed="false">
      <c r="B12728" s="0" t="s">
        <v>11</v>
      </c>
    </row>
    <row r="12730" customFormat="false" ht="12.8" hidden="false" customHeight="false" outlineLevel="0" collapsed="false">
      <c r="A12730" s="0" t="s">
        <v>5159</v>
      </c>
      <c r="B12730" s="0" t="str">
        <f aca="false">HYPERLINK("https://lindat.mff.cuni.cz/services/teitok/pdtc10/index.php?action=vallex&amp;frame=v-w1699f7", "ležet (v-w1699f7)")</f>
        <v>ležet (v-w1699f7)</v>
      </c>
    </row>
    <row r="12731" customFormat="false" ht="12.8" hidden="false" customHeight="false" outlineLevel="0" collapsed="false">
      <c r="B12731" s="0" t="s">
        <v>7</v>
      </c>
    </row>
    <row r="12732" customFormat="false" ht="12.8" hidden="false" customHeight="false" outlineLevel="0" collapsed="false">
      <c r="B12732" s="0" t="s">
        <v>2316</v>
      </c>
    </row>
    <row r="12733" customFormat="false" ht="12.8" hidden="false" customHeight="false" outlineLevel="0" collapsed="false">
      <c r="B12733" s="0" t="s">
        <v>279</v>
      </c>
    </row>
    <row r="12735" customFormat="false" ht="12.8" hidden="false" customHeight="false" outlineLevel="0" collapsed="false">
      <c r="A12735" s="0" t="s">
        <v>5160</v>
      </c>
      <c r="B12735" s="0" t="str">
        <f aca="false">HYPERLINK("https://lindat.mff.cuni.cz/services/teitok/pdtc10/index.php?action=vallex&amp;frame=v-w1699f2", "ležet (v-w1699f2)")</f>
        <v>ležet (v-w1699f2)</v>
      </c>
    </row>
    <row r="12736" customFormat="false" ht="12.8" hidden="false" customHeight="false" outlineLevel="0" collapsed="false">
      <c r="B12736" s="0" t="s">
        <v>7</v>
      </c>
      <c r="C12736" s="0" t="s">
        <v>200</v>
      </c>
    </row>
    <row r="12738" customFormat="false" ht="12.8" hidden="false" customHeight="false" outlineLevel="0" collapsed="false">
      <c r="A12738" s="0" t="s">
        <v>5161</v>
      </c>
      <c r="B12738" s="0" t="str">
        <f aca="false">HYPERLINK("https://lindat.mff.cuni.cz/services/teitok/pdtc10/index.php?action=vallex&amp;frame=v-w1699f3", "ležet (v-w1699f3)")</f>
        <v>ležet (v-w1699f3)</v>
      </c>
    </row>
    <row r="12739" customFormat="false" ht="12.8" hidden="false" customHeight="false" outlineLevel="0" collapsed="false">
      <c r="B12739" s="0" t="s">
        <v>7</v>
      </c>
    </row>
    <row r="12740" customFormat="false" ht="12.8" hidden="false" customHeight="false" outlineLevel="0" collapsed="false">
      <c r="B12740" s="0" t="s">
        <v>5162</v>
      </c>
    </row>
    <row r="12742" customFormat="false" ht="12.8" hidden="false" customHeight="false" outlineLevel="0" collapsed="false">
      <c r="A12742" s="0" t="s">
        <v>5163</v>
      </c>
      <c r="B12742" s="0" t="str">
        <f aca="false">HYPERLINK("https://lindat.mff.cuni.cz/services/teitok/pdtc10/index.php?action=vallex&amp;frame=v-w1699f8_ZU", "ležet (v-w1699f8_ZU)")</f>
        <v>ležet (v-w1699f8_ZU)</v>
      </c>
    </row>
    <row r="12743" customFormat="false" ht="12.8" hidden="false" customHeight="false" outlineLevel="0" collapsed="false">
      <c r="B12743" s="0" t="s">
        <v>7</v>
      </c>
      <c r="C12743" s="0" t="s">
        <v>5164</v>
      </c>
    </row>
    <row r="12744" customFormat="false" ht="12.8" hidden="false" customHeight="false" outlineLevel="0" collapsed="false">
      <c r="B12744" s="0" t="s">
        <v>5165</v>
      </c>
      <c r="C12744" s="0" t="s">
        <v>5166</v>
      </c>
    </row>
    <row r="12746" customFormat="false" ht="12.8" hidden="false" customHeight="false" outlineLevel="0" collapsed="false">
      <c r="A12746" s="0" t="s">
        <v>5167</v>
      </c>
      <c r="B12746" s="0" t="str">
        <f aca="false">HYPERLINK("https://lindat.mff.cuni.cz/services/teitok/pdtc10/index.php?action=vallex&amp;frame=v-w1699f9_ZU", "ležet (v-w1699f9_ZU)")</f>
        <v>ležet (v-w1699f9_ZU)</v>
      </c>
    </row>
    <row r="12747" customFormat="false" ht="12.8" hidden="false" customHeight="false" outlineLevel="0" collapsed="false">
      <c r="B12747" s="0" t="s">
        <v>7</v>
      </c>
    </row>
    <row r="12748" customFormat="false" ht="12.8" hidden="false" customHeight="false" outlineLevel="0" collapsed="false">
      <c r="B12748" s="0" t="s">
        <v>5168</v>
      </c>
    </row>
    <row r="12750" customFormat="false" ht="12.8" hidden="false" customHeight="false" outlineLevel="0" collapsed="false">
      <c r="A12750" s="0" t="s">
        <v>5167</v>
      </c>
      <c r="B12750" s="0" t="str">
        <f aca="false">HYPERLINK("https://lindat.mff.cuni.cz/services/teitok/pdtc10/index.php?action=vallex&amp;frame=v-w1699hsa_1082", "ležet (v-w1699hsa_1082) - substituted with v-w1699f9_ZU")</f>
        <v>ležet (v-w1699hsa_1082) - substituted with v-w1699f9_ZU</v>
      </c>
    </row>
    <row r="12751" customFormat="false" ht="12.8" hidden="false" customHeight="false" outlineLevel="0" collapsed="false">
      <c r="B12751" s="0" t="s">
        <v>7</v>
      </c>
    </row>
    <row r="12752" customFormat="false" ht="12.8" hidden="false" customHeight="false" outlineLevel="0" collapsed="false">
      <c r="B12752" s="0" t="s">
        <v>5168</v>
      </c>
    </row>
    <row r="12754" customFormat="false" ht="12.8" hidden="false" customHeight="false" outlineLevel="0" collapsed="false">
      <c r="A12754" s="0" t="s">
        <v>5169</v>
      </c>
      <c r="B12754" s="0" t="str">
        <f aca="false">HYPERLINK("https://lindat.mff.cuni.cz/services/teitok/pdtc10/index.php?action=vallex&amp;frame=v-w1699f12_MM", "ležet (v-w1699f12_MM)")</f>
        <v>ležet (v-w1699f12_MM)</v>
      </c>
    </row>
    <row r="12755" customFormat="false" ht="12.8" hidden="false" customHeight="false" outlineLevel="0" collapsed="false">
      <c r="B12755" s="0" t="s">
        <v>7</v>
      </c>
    </row>
    <row r="12756" customFormat="false" ht="12.8" hidden="false" customHeight="false" outlineLevel="0" collapsed="false">
      <c r="B12756" s="0" t="s">
        <v>142</v>
      </c>
    </row>
    <row r="12757" customFormat="false" ht="12.8" hidden="false" customHeight="false" outlineLevel="0" collapsed="false">
      <c r="B12757" s="0" t="s">
        <v>5170</v>
      </c>
    </row>
    <row r="12759" customFormat="false" ht="12.8" hidden="false" customHeight="false" outlineLevel="0" collapsed="false">
      <c r="A12759" s="0" t="s">
        <v>5171</v>
      </c>
      <c r="B12759" s="0" t="str">
        <f aca="false">HYPERLINK("https://lindat.mff.cuni.cz/services/teitok/pdtc10/index.php?action=vallex&amp;frame=v-w1701f3", "lhát (v-w1701f3)")</f>
        <v>lhát (v-w1701f3)</v>
      </c>
    </row>
    <row r="12760" customFormat="false" ht="12.8" hidden="false" customHeight="false" outlineLevel="0" collapsed="false">
      <c r="B12760" s="0" t="s">
        <v>7</v>
      </c>
      <c r="C12760" s="0" t="s">
        <v>569</v>
      </c>
      <c r="D12760" s="0" t="s">
        <v>46</v>
      </c>
      <c r="E12760" s="0" t="s">
        <v>46</v>
      </c>
      <c r="F12760" s="0" t="s">
        <v>46</v>
      </c>
    </row>
    <row r="12761" customFormat="false" ht="12.8" hidden="false" customHeight="false" outlineLevel="0" collapsed="false">
      <c r="B12761" s="0" t="s">
        <v>5172</v>
      </c>
      <c r="C12761" s="0" t="s">
        <v>47</v>
      </c>
      <c r="D12761" s="0" t="s">
        <v>567</v>
      </c>
      <c r="E12761" s="0" t="s">
        <v>567</v>
      </c>
      <c r="F12761" s="0" t="s">
        <v>567</v>
      </c>
    </row>
    <row r="12762" customFormat="false" ht="12.8" hidden="false" customHeight="false" outlineLevel="0" collapsed="false">
      <c r="B12762" s="0" t="s">
        <v>106</v>
      </c>
      <c r="C12762" s="0" t="s">
        <v>1843</v>
      </c>
    </row>
    <row r="12764" customFormat="false" ht="12.8" hidden="false" customHeight="false" outlineLevel="0" collapsed="false">
      <c r="A12764" s="0" t="s">
        <v>5171</v>
      </c>
      <c r="B12764" s="0" t="str">
        <f aca="false">HYPERLINK("https://lindat.mff.cuni.cz/services/teitok/pdtc10/index.php?action=vallex&amp;frame=v-w1701f1", "lhát (v-w1701f1) - substituted with v-w1701f3")</f>
        <v>lhát (v-w1701f1) - substituted with v-w1701f3</v>
      </c>
    </row>
    <row r="12765" customFormat="false" ht="12.8" hidden="false" customHeight="false" outlineLevel="0" collapsed="false">
      <c r="B12765" s="0" t="s">
        <v>7</v>
      </c>
      <c r="C12765" s="0" t="s">
        <v>569</v>
      </c>
    </row>
    <row r="12766" customFormat="false" ht="12.8" hidden="false" customHeight="false" outlineLevel="0" collapsed="false">
      <c r="B12766" s="0" t="s">
        <v>5172</v>
      </c>
      <c r="C12766" s="0" t="s">
        <v>47</v>
      </c>
    </row>
    <row r="12767" customFormat="false" ht="12.8" hidden="false" customHeight="false" outlineLevel="0" collapsed="false">
      <c r="B12767" s="0" t="s">
        <v>106</v>
      </c>
      <c r="C12767" s="0" t="s">
        <v>1843</v>
      </c>
    </row>
    <row r="12769" customFormat="false" ht="12.8" hidden="false" customHeight="false" outlineLevel="0" collapsed="false">
      <c r="A12769" s="0" t="s">
        <v>5173</v>
      </c>
      <c r="B12769" s="0" t="str">
        <f aca="false">HYPERLINK("https://lindat.mff.cuni.cz/services/teitok/pdtc10/index.php?action=vallex&amp;frame=v-w1701f2", "lhát (v-w1701f2)")</f>
        <v>lhát (v-w1701f2)</v>
      </c>
    </row>
    <row r="12770" customFormat="false" ht="12.8" hidden="false" customHeight="false" outlineLevel="0" collapsed="false">
      <c r="B12770" s="0" t="s">
        <v>7</v>
      </c>
    </row>
    <row r="12771" customFormat="false" ht="12.8" hidden="false" customHeight="false" outlineLevel="0" collapsed="false">
      <c r="B12771" s="0" t="s">
        <v>5174</v>
      </c>
    </row>
    <row r="12773" customFormat="false" ht="12.8" hidden="false" customHeight="false" outlineLevel="0" collapsed="false">
      <c r="A12773" s="0" t="s">
        <v>5175</v>
      </c>
      <c r="B12773" s="0" t="str">
        <f aca="false">HYPERLINK("https://lindat.mff.cuni.cz/services/teitok/pdtc10/index.php?action=vallex&amp;frame=v-w1706f1", "liberalizovat (v-w1706f1)")</f>
        <v>liberalizovat (v-w1706f1)</v>
      </c>
    </row>
    <row r="12774" customFormat="false" ht="12.8" hidden="false" customHeight="false" outlineLevel="0" collapsed="false">
      <c r="B12774" s="0" t="s">
        <v>7</v>
      </c>
      <c r="C12774" s="0" t="s">
        <v>184</v>
      </c>
      <c r="D12774" s="0" t="s">
        <v>569</v>
      </c>
      <c r="E12774" s="0" t="s">
        <v>569</v>
      </c>
      <c r="F12774" s="0" t="s">
        <v>569</v>
      </c>
    </row>
    <row r="12775" customFormat="false" ht="12.8" hidden="false" customHeight="false" outlineLevel="0" collapsed="false">
      <c r="B12775" s="0" t="s">
        <v>14</v>
      </c>
      <c r="C12775" s="0" t="s">
        <v>74</v>
      </c>
      <c r="D12775" s="0" t="s">
        <v>89</v>
      </c>
      <c r="E12775" s="0" t="s">
        <v>89</v>
      </c>
      <c r="F12775" s="0" t="s">
        <v>89</v>
      </c>
    </row>
    <row r="12777" customFormat="false" ht="12.8" hidden="false" customHeight="false" outlineLevel="0" collapsed="false">
      <c r="A12777" s="0" t="s">
        <v>5176</v>
      </c>
      <c r="B12777" s="0" t="str">
        <f aca="false">HYPERLINK("https://lindat.mff.cuni.cz/services/teitok/pdtc10/index.php?action=vallex&amp;frame=v-w1708hsa_1451", "libovat si (v-w1708hsa_1451)")</f>
        <v>libovat si (v-w1708hsa_1451)</v>
      </c>
    </row>
    <row r="12778" customFormat="false" ht="12.8" hidden="false" customHeight="false" outlineLevel="0" collapsed="false">
      <c r="B12778" s="0" t="s">
        <v>7</v>
      </c>
    </row>
    <row r="12779" customFormat="false" ht="12.8" hidden="false" customHeight="false" outlineLevel="0" collapsed="false">
      <c r="B12779" s="0" t="s">
        <v>5177</v>
      </c>
    </row>
    <row r="12781" customFormat="false" ht="12.8" hidden="false" customHeight="false" outlineLevel="0" collapsed="false">
      <c r="A12781" s="0" t="s">
        <v>5176</v>
      </c>
      <c r="B12781" s="0" t="str">
        <f aca="false">HYPERLINK("https://lindat.mff.cuni.cz/services/teitok/pdtc10/index.php?action=vallex&amp;frame=v-w1708f1", "libovat si (v-w1708f1) - substituted with v-w1708hsa_1451")</f>
        <v>libovat si (v-w1708f1) - substituted with v-w1708hsa_1451</v>
      </c>
    </row>
    <row r="12782" customFormat="false" ht="12.8" hidden="false" customHeight="false" outlineLevel="0" collapsed="false">
      <c r="B12782" s="0" t="s">
        <v>7</v>
      </c>
      <c r="C12782" s="0" t="s">
        <v>191</v>
      </c>
      <c r="D12782" s="0" t="s">
        <v>2199</v>
      </c>
      <c r="E12782" s="0" t="s">
        <v>2199</v>
      </c>
      <c r="F12782" s="0" t="s">
        <v>2199</v>
      </c>
    </row>
    <row r="12783" customFormat="false" ht="12.8" hidden="false" customHeight="false" outlineLevel="0" collapsed="false">
      <c r="B12783" s="0" t="s">
        <v>5177</v>
      </c>
      <c r="C12783" s="0" t="s">
        <v>155</v>
      </c>
      <c r="D12783" s="0" t="s">
        <v>2201</v>
      </c>
      <c r="E12783" s="0" t="s">
        <v>2201</v>
      </c>
      <c r="F12783" s="0" t="s">
        <v>2201</v>
      </c>
    </row>
    <row r="12785" customFormat="false" ht="12.8" hidden="false" customHeight="false" outlineLevel="0" collapsed="false">
      <c r="A12785" s="0" t="s">
        <v>5178</v>
      </c>
      <c r="B12785" s="0" t="str">
        <f aca="false">HYPERLINK("https://lindat.mff.cuni.cz/services/teitok/pdtc10/index.php?action=vallex&amp;frame=v-w10717f2", "licencovat (v-w10717f2)")</f>
        <v>licencovat (v-w10717f2)</v>
      </c>
    </row>
    <row r="12786" customFormat="false" ht="12.8" hidden="false" customHeight="false" outlineLevel="0" collapsed="false">
      <c r="B12786" s="0" t="s">
        <v>7</v>
      </c>
      <c r="C12786" s="0" t="s">
        <v>5179</v>
      </c>
      <c r="D12786" s="0" t="s">
        <v>5180</v>
      </c>
      <c r="E12786" s="0" t="s">
        <v>5180</v>
      </c>
      <c r="F12786" s="0" t="s">
        <v>5180</v>
      </c>
    </row>
    <row r="12787" customFormat="false" ht="12.8" hidden="false" customHeight="false" outlineLevel="0" collapsed="false">
      <c r="B12787" s="0" t="s">
        <v>14</v>
      </c>
      <c r="C12787" s="0" t="s">
        <v>487</v>
      </c>
      <c r="D12787" s="0" t="s">
        <v>624</v>
      </c>
      <c r="E12787" s="0" t="s">
        <v>624</v>
      </c>
      <c r="F12787" s="0" t="s">
        <v>624</v>
      </c>
    </row>
    <row r="12789" customFormat="false" ht="12.8" hidden="false" customHeight="false" outlineLevel="0" collapsed="false">
      <c r="A12789" s="0" t="s">
        <v>5181</v>
      </c>
      <c r="B12789" s="0" t="str">
        <f aca="false">HYPERLINK("https://lindat.mff.cuni.cz/services/teitok/pdtc10/index.php?action=vallex&amp;frame=v-w1713f1", "lichotit (v-w1713f1)")</f>
        <v>lichotit (v-w1713f1)</v>
      </c>
    </row>
    <row r="12790" customFormat="false" ht="12.8" hidden="false" customHeight="false" outlineLevel="0" collapsed="false">
      <c r="B12790" s="0" t="s">
        <v>7</v>
      </c>
    </row>
    <row r="12791" customFormat="false" ht="12.8" hidden="false" customHeight="false" outlineLevel="0" collapsed="false">
      <c r="B12791" s="0" t="s">
        <v>142</v>
      </c>
    </row>
    <row r="12793" customFormat="false" ht="12.8" hidden="false" customHeight="false" outlineLevel="0" collapsed="false">
      <c r="A12793" s="0" t="s">
        <v>5182</v>
      </c>
      <c r="B12793" s="0" t="str">
        <f aca="false">HYPERLINK("https://lindat.mff.cuni.cz/services/teitok/pdtc10/index.php?action=vallex&amp;frame=v-w10535f2", "licitovat (v-w10535f2)")</f>
        <v>licitovat (v-w10535f2)</v>
      </c>
    </row>
    <row r="12794" customFormat="false" ht="12.8" hidden="false" customHeight="false" outlineLevel="0" collapsed="false">
      <c r="B12794" s="0" t="s">
        <v>7</v>
      </c>
    </row>
    <row r="12795" customFormat="false" ht="12.8" hidden="false" customHeight="false" outlineLevel="0" collapsed="false">
      <c r="B12795" s="0" t="s">
        <v>1808</v>
      </c>
    </row>
    <row r="12796" customFormat="false" ht="12.8" hidden="false" customHeight="false" outlineLevel="0" collapsed="false">
      <c r="B12796" s="0" t="s">
        <v>207</v>
      </c>
    </row>
    <row r="12798" customFormat="false" ht="12.8" hidden="false" customHeight="false" outlineLevel="0" collapsed="false">
      <c r="A12798" s="0" t="s">
        <v>5183</v>
      </c>
      <c r="B12798" s="0" t="str">
        <f aca="false">HYPERLINK("https://lindat.mff.cuni.cz/services/teitok/pdtc10/index.php?action=vallex&amp;frame=v-w10535f3", "licitovat (v-w10535f3)")</f>
        <v>licitovat (v-w10535f3)</v>
      </c>
    </row>
    <row r="12799" customFormat="false" ht="12.8" hidden="false" customHeight="false" outlineLevel="0" collapsed="false">
      <c r="B12799" s="0" t="s">
        <v>7</v>
      </c>
    </row>
    <row r="12800" customFormat="false" ht="12.8" hidden="false" customHeight="false" outlineLevel="0" collapsed="false">
      <c r="B12800" s="0" t="s">
        <v>14</v>
      </c>
    </row>
    <row r="12802" customFormat="false" ht="12.8" hidden="false" customHeight="false" outlineLevel="0" collapsed="false">
      <c r="A12802" s="0" t="s">
        <v>5184</v>
      </c>
      <c r="B12802" s="0" t="str">
        <f aca="false">HYPERLINK("https://lindat.mff.cuni.cz/services/teitok/pdtc10/index.php?action=vallex&amp;frame=v-w1716f1", "likvidovat (v-w1716f1)")</f>
        <v>likvidovat (v-w1716f1)</v>
      </c>
    </row>
    <row r="12803" customFormat="false" ht="12.8" hidden="false" customHeight="false" outlineLevel="0" collapsed="false">
      <c r="B12803" s="0" t="s">
        <v>7</v>
      </c>
      <c r="C12803" s="0" t="s">
        <v>468</v>
      </c>
      <c r="D12803" s="0" t="s">
        <v>1549</v>
      </c>
      <c r="E12803" s="0" t="s">
        <v>1550</v>
      </c>
      <c r="F12803" s="0" t="s">
        <v>1550</v>
      </c>
    </row>
    <row r="12804" customFormat="false" ht="12.8" hidden="false" customHeight="false" outlineLevel="0" collapsed="false">
      <c r="B12804" s="0" t="s">
        <v>14</v>
      </c>
      <c r="C12804" s="0" t="s">
        <v>5185</v>
      </c>
      <c r="D12804" s="0" t="s">
        <v>1164</v>
      </c>
      <c r="E12804" s="0" t="s">
        <v>1551</v>
      </c>
      <c r="F12804" s="0" t="s">
        <v>1551</v>
      </c>
    </row>
    <row r="12806" customFormat="false" ht="12.8" hidden="false" customHeight="false" outlineLevel="0" collapsed="false">
      <c r="A12806" s="0" t="s">
        <v>5186</v>
      </c>
      <c r="B12806" s="0" t="str">
        <f aca="false">HYPERLINK("https://lindat.mff.cuni.cz/services/teitok/pdtc10/index.php?action=vallex&amp;frame=v-w1717f1", "limitovat (v-w1717f1)")</f>
        <v>limitovat (v-w1717f1)</v>
      </c>
    </row>
    <row r="12807" customFormat="false" ht="12.8" hidden="false" customHeight="false" outlineLevel="0" collapsed="false">
      <c r="B12807" s="0" t="s">
        <v>7</v>
      </c>
      <c r="D12807" s="0" t="s">
        <v>2530</v>
      </c>
      <c r="E12807" s="0" t="s">
        <v>2530</v>
      </c>
      <c r="F12807" s="0" t="s">
        <v>2530</v>
      </c>
    </row>
    <row r="12808" customFormat="false" ht="12.8" hidden="false" customHeight="false" outlineLevel="0" collapsed="false">
      <c r="B12808" s="0" t="s">
        <v>14</v>
      </c>
      <c r="D12808" s="0" t="s">
        <v>5187</v>
      </c>
      <c r="E12808" s="0" t="s">
        <v>5187</v>
      </c>
      <c r="F12808" s="0" t="s">
        <v>5187</v>
      </c>
    </row>
    <row r="12809" customFormat="false" ht="12.8" hidden="false" customHeight="false" outlineLevel="0" collapsed="false">
      <c r="B12809" s="0" t="s">
        <v>84</v>
      </c>
      <c r="D12809" s="0" t="s">
        <v>5188</v>
      </c>
      <c r="E12809" s="0" t="s">
        <v>5188</v>
      </c>
      <c r="F12809" s="0" t="s">
        <v>5188</v>
      </c>
    </row>
    <row r="12811" customFormat="false" ht="12.8" hidden="false" customHeight="false" outlineLevel="0" collapsed="false">
      <c r="A12811" s="0" t="s">
        <v>5189</v>
      </c>
      <c r="B12811" s="0" t="str">
        <f aca="false">HYPERLINK("https://lindat.mff.cuni.cz/services/teitok/pdtc10/index.php?action=vallex&amp;frame=v-w1719f1", "linout se (v-w1719f1)")</f>
        <v>linout se (v-w1719f1)</v>
      </c>
    </row>
    <row r="12812" customFormat="false" ht="12.8" hidden="false" customHeight="false" outlineLevel="0" collapsed="false">
      <c r="B12812" s="0" t="s">
        <v>7</v>
      </c>
    </row>
    <row r="12814" customFormat="false" ht="12.8" hidden="false" customHeight="false" outlineLevel="0" collapsed="false">
      <c r="A12814" s="0" t="s">
        <v>5190</v>
      </c>
      <c r="B12814" s="0" t="str">
        <f aca="false">HYPERLINK("https://lindat.mff.cuni.cz/services/teitok/pdtc10/index.php?action=vallex&amp;frame=v-whsb_134hsa_135", "lisovat (v-whsb_134hsa_135)")</f>
        <v>lisovat (v-whsb_134hsa_135)</v>
      </c>
    </row>
    <row r="12815" customFormat="false" ht="12.8" hidden="false" customHeight="false" outlineLevel="0" collapsed="false">
      <c r="B12815" s="0" t="s">
        <v>7</v>
      </c>
    </row>
    <row r="12816" customFormat="false" ht="12.8" hidden="false" customHeight="false" outlineLevel="0" collapsed="false">
      <c r="B12816" s="0" t="s">
        <v>14</v>
      </c>
    </row>
    <row r="12818" customFormat="false" ht="12.8" hidden="false" customHeight="false" outlineLevel="0" collapsed="false">
      <c r="A12818" s="0" t="s">
        <v>5191</v>
      </c>
      <c r="B12818" s="0" t="str">
        <f aca="false">HYPERLINK("https://lindat.mff.cuni.cz/services/teitok/pdtc10/index.php?action=vallex&amp;frame=v-w1725f1", "listovat (v-w1725f1)")</f>
        <v>listovat (v-w1725f1)</v>
      </c>
    </row>
    <row r="12819" customFormat="false" ht="12.8" hidden="false" customHeight="false" outlineLevel="0" collapsed="false">
      <c r="B12819" s="0" t="s">
        <v>7</v>
      </c>
      <c r="C12819" s="0" t="s">
        <v>184</v>
      </c>
    </row>
    <row r="12820" customFormat="false" ht="12.8" hidden="false" customHeight="false" outlineLevel="0" collapsed="false">
      <c r="B12820" s="0" t="s">
        <v>216</v>
      </c>
      <c r="C12820" s="0" t="s">
        <v>47</v>
      </c>
    </row>
    <row r="12822" customFormat="false" ht="12.8" hidden="false" customHeight="false" outlineLevel="0" collapsed="false">
      <c r="A12822" s="0" t="s">
        <v>5192</v>
      </c>
      <c r="B12822" s="0" t="str">
        <f aca="false">HYPERLINK("https://lindat.mff.cuni.cz/services/teitok/pdtc10/index.php?action=vallex&amp;frame=v-w1732f1", "litovat (v-w1732f1)")</f>
        <v>litovat (v-w1732f1)</v>
      </c>
    </row>
    <row r="12823" customFormat="false" ht="12.8" hidden="false" customHeight="false" outlineLevel="0" collapsed="false">
      <c r="B12823" s="0" t="s">
        <v>7</v>
      </c>
      <c r="C12823" s="0" t="s">
        <v>3051</v>
      </c>
      <c r="D12823" s="0" t="s">
        <v>118</v>
      </c>
      <c r="E12823" s="0" t="s">
        <v>118</v>
      </c>
      <c r="F12823" s="0" t="s">
        <v>118</v>
      </c>
    </row>
    <row r="12824" customFormat="false" ht="12.8" hidden="false" customHeight="false" outlineLevel="0" collapsed="false">
      <c r="B12824" s="0" t="s">
        <v>2661</v>
      </c>
      <c r="C12824" s="0" t="s">
        <v>152</v>
      </c>
      <c r="D12824" s="0" t="s">
        <v>461</v>
      </c>
      <c r="E12824" s="0" t="s">
        <v>461</v>
      </c>
      <c r="F12824" s="0" t="s">
        <v>461</v>
      </c>
    </row>
    <row r="12826" customFormat="false" ht="12.8" hidden="false" customHeight="false" outlineLevel="0" collapsed="false">
      <c r="A12826" s="0" t="s">
        <v>5193</v>
      </c>
      <c r="B12826" s="0" t="str">
        <f aca="false">HYPERLINK("https://lindat.mff.cuni.cz/services/teitok/pdtc10/index.php?action=vallex&amp;frame=v-w1732f2", "litovat (v-w1732f2)")</f>
        <v>litovat (v-w1732f2)</v>
      </c>
    </row>
    <row r="12827" customFormat="false" ht="12.8" hidden="false" customHeight="false" outlineLevel="0" collapsed="false">
      <c r="B12827" s="0" t="s">
        <v>7</v>
      </c>
    </row>
    <row r="12828" customFormat="false" ht="12.8" hidden="false" customHeight="false" outlineLevel="0" collapsed="false">
      <c r="B12828" s="0" t="s">
        <v>14</v>
      </c>
    </row>
    <row r="12830" customFormat="false" ht="12.8" hidden="false" customHeight="false" outlineLevel="0" collapsed="false">
      <c r="A12830" s="0" t="s">
        <v>5194</v>
      </c>
      <c r="B12830" s="0" t="str">
        <f aca="false">HYPERLINK("https://lindat.mff.cuni.cz/services/teitok/pdtc10/index.php?action=vallex&amp;frame=v-w1728f1", "lišit (v-w1728f1)")</f>
        <v>lišit (v-w1728f1)</v>
      </c>
    </row>
    <row r="12831" customFormat="false" ht="12.8" hidden="false" customHeight="false" outlineLevel="0" collapsed="false">
      <c r="B12831" s="0" t="s">
        <v>7</v>
      </c>
    </row>
    <row r="12832" customFormat="false" ht="12.8" hidden="false" customHeight="false" outlineLevel="0" collapsed="false">
      <c r="B12832" s="0" t="s">
        <v>14</v>
      </c>
    </row>
    <row r="12833" customFormat="false" ht="12.8" hidden="false" customHeight="false" outlineLevel="0" collapsed="false">
      <c r="B12833" s="0" t="s">
        <v>1592</v>
      </c>
    </row>
    <row r="12835" customFormat="false" ht="12.8" hidden="false" customHeight="false" outlineLevel="0" collapsed="false">
      <c r="A12835" s="0" t="s">
        <v>5195</v>
      </c>
      <c r="B12835" s="0" t="str">
        <f aca="false">HYPERLINK("https://lindat.mff.cuni.cz/services/teitok/pdtc10/index.php?action=vallex&amp;frame=v-w1729hsa_623", "lišit se (v-w1729hsa_623)")</f>
        <v>lišit se (v-w1729hsa_623)</v>
      </c>
    </row>
    <row r="12836" customFormat="false" ht="12.8" hidden="false" customHeight="false" outlineLevel="0" collapsed="false">
      <c r="B12836" s="0" t="s">
        <v>7</v>
      </c>
      <c r="D12836" s="0" t="s">
        <v>4812</v>
      </c>
      <c r="E12836" s="0" t="s">
        <v>4812</v>
      </c>
      <c r="F12836" s="0" t="s">
        <v>4812</v>
      </c>
    </row>
    <row r="12837" customFormat="false" ht="12.8" hidden="false" customHeight="false" outlineLevel="0" collapsed="false">
      <c r="B12837" s="0" t="s">
        <v>5196</v>
      </c>
      <c r="D12837" s="0" t="s">
        <v>4814</v>
      </c>
      <c r="E12837" s="0" t="s">
        <v>4814</v>
      </c>
      <c r="F12837" s="0" t="s">
        <v>4814</v>
      </c>
    </row>
    <row r="12839" customFormat="false" ht="12.8" hidden="false" customHeight="false" outlineLevel="0" collapsed="false">
      <c r="A12839" s="0" t="s">
        <v>5195</v>
      </c>
      <c r="B12839" s="0" t="str">
        <f aca="false">HYPERLINK("https://lindat.mff.cuni.cz/services/teitok/pdtc10/index.php?action=vallex&amp;frame=v-w1729f1", "lišit se (v-w1729f1) - substituted with v-w1729hsa_623")</f>
        <v>lišit se (v-w1729f1) - substituted with v-w1729hsa_623</v>
      </c>
    </row>
    <row r="12840" customFormat="false" ht="12.8" hidden="false" customHeight="false" outlineLevel="0" collapsed="false">
      <c r="B12840" s="0" t="s">
        <v>7</v>
      </c>
      <c r="C12840" s="0" t="s">
        <v>5197</v>
      </c>
    </row>
    <row r="12841" customFormat="false" ht="12.8" hidden="false" customHeight="false" outlineLevel="0" collapsed="false">
      <c r="B12841" s="0" t="s">
        <v>5196</v>
      </c>
      <c r="C12841" s="0" t="s">
        <v>5198</v>
      </c>
    </row>
    <row r="12843" customFormat="false" ht="12.8" hidden="false" customHeight="false" outlineLevel="0" collapsed="false">
      <c r="A12843" s="0" t="s">
        <v>5199</v>
      </c>
      <c r="B12843" s="0" t="str">
        <f aca="false">HYPERLINK("https://lindat.mff.cuni.cz/services/teitok/pdtc10/index.php?action=vallex&amp;frame=v-w10156f2", "lkát (v-w10156f2)")</f>
        <v>lkát (v-w10156f2)</v>
      </c>
    </row>
    <row r="12844" customFormat="false" ht="12.8" hidden="false" customHeight="false" outlineLevel="0" collapsed="false">
      <c r="B12844" s="0" t="s">
        <v>7</v>
      </c>
    </row>
    <row r="12845" customFormat="false" ht="12.8" hidden="false" customHeight="false" outlineLevel="0" collapsed="false">
      <c r="B12845" s="0" t="s">
        <v>5200</v>
      </c>
    </row>
    <row r="12847" customFormat="false" ht="12.8" hidden="false" customHeight="false" outlineLevel="0" collapsed="false">
      <c r="A12847" s="0" t="s">
        <v>5201</v>
      </c>
      <c r="B12847" s="0" t="str">
        <f aca="false">HYPERLINK("https://lindat.mff.cuni.cz/services/teitok/pdtc10/index.php?action=vallex&amp;frame=v-w10156f3", "lkát (v-w10156f3)")</f>
        <v>lkát (v-w10156f3)</v>
      </c>
    </row>
    <row r="12848" customFormat="false" ht="12.8" hidden="false" customHeight="false" outlineLevel="0" collapsed="false">
      <c r="B12848" s="0" t="s">
        <v>7</v>
      </c>
      <c r="C12848" s="0" t="s">
        <v>191</v>
      </c>
    </row>
    <row r="12850" customFormat="false" ht="12.8" hidden="false" customHeight="false" outlineLevel="0" collapsed="false">
      <c r="A12850" s="0" t="s">
        <v>5202</v>
      </c>
      <c r="B12850" s="0" t="str">
        <f aca="false">HYPERLINK("https://lindat.mff.cuni.cz/services/teitok/pdtc10/index.php?action=vallex&amp;frame=v-w1734f2", "lnout (v-w1734f2)")</f>
        <v>lnout (v-w1734f2)</v>
      </c>
    </row>
    <row r="12851" customFormat="false" ht="12.8" hidden="false" customHeight="false" outlineLevel="0" collapsed="false">
      <c r="B12851" s="0" t="s">
        <v>7</v>
      </c>
    </row>
    <row r="12852" customFormat="false" ht="12.8" hidden="false" customHeight="false" outlineLevel="0" collapsed="false">
      <c r="B12852" s="0" t="s">
        <v>237</v>
      </c>
    </row>
    <row r="12854" customFormat="false" ht="12.8" hidden="false" customHeight="false" outlineLevel="0" collapsed="false">
      <c r="A12854" s="0" t="s">
        <v>5203</v>
      </c>
      <c r="B12854" s="0" t="str">
        <f aca="false">HYPERLINK("https://lindat.mff.cuni.cz/services/teitok/pdtc10/index.php?action=vallex&amp;frame=v-w1734f1", "lnout (v-w1734f1)")</f>
        <v>lnout (v-w1734f1)</v>
      </c>
    </row>
    <row r="12855" customFormat="false" ht="12.8" hidden="false" customHeight="false" outlineLevel="0" collapsed="false">
      <c r="B12855" s="0" t="s">
        <v>7</v>
      </c>
    </row>
    <row r="12856" customFormat="false" ht="12.8" hidden="false" customHeight="false" outlineLevel="0" collapsed="false">
      <c r="B12856" s="0" t="s">
        <v>124</v>
      </c>
    </row>
    <row r="12858" customFormat="false" ht="12.8" hidden="false" customHeight="false" outlineLevel="0" collapsed="false">
      <c r="A12858" s="0" t="s">
        <v>5204</v>
      </c>
      <c r="B12858" s="0" t="str">
        <f aca="false">HYPERLINK("https://lindat.mff.cuni.cz/services/teitok/pdtc10/index.php?action=vallex&amp;frame=v-w1736f2", "lobbovat (v-w1736f2)")</f>
        <v>lobbovat (v-w1736f2)</v>
      </c>
    </row>
    <row r="12859" customFormat="false" ht="12.8" hidden="false" customHeight="false" outlineLevel="0" collapsed="false">
      <c r="B12859" s="0" t="s">
        <v>7</v>
      </c>
      <c r="C12859" s="0" t="s">
        <v>5205</v>
      </c>
      <c r="D12859" s="0" t="s">
        <v>1243</v>
      </c>
      <c r="E12859" s="0" t="s">
        <v>1243</v>
      </c>
      <c r="F12859" s="0" t="s">
        <v>1243</v>
      </c>
    </row>
    <row r="12861" customFormat="false" ht="12.8" hidden="false" customHeight="false" outlineLevel="0" collapsed="false">
      <c r="A12861" s="0" t="s">
        <v>5204</v>
      </c>
      <c r="B12861" s="0" t="str">
        <f aca="false">HYPERLINK("https://lindat.mff.cuni.cz/services/teitok/pdtc10/index.php?action=vallex&amp;frame=v-w1736f1", "lobbovat (v-w1736f1) - substituted with v-w1736f2")</f>
        <v>lobbovat (v-w1736f1) - substituted with v-w1736f2</v>
      </c>
    </row>
    <row r="12862" customFormat="false" ht="12.8" hidden="false" customHeight="false" outlineLevel="0" collapsed="false">
      <c r="B12862" s="0" t="s">
        <v>7</v>
      </c>
    </row>
    <row r="12864" customFormat="false" ht="12.8" hidden="false" customHeight="false" outlineLevel="0" collapsed="false">
      <c r="A12864" s="0" t="s">
        <v>5206</v>
      </c>
      <c r="B12864" s="0" t="str">
        <f aca="false">HYPERLINK("https://lindat.mff.cuni.cz/services/teitok/pdtc10/index.php?action=vallex&amp;frame=v-w1736hsa_227", "lobbovat (v-w1736hsa_227)")</f>
        <v>lobbovat (v-w1736hsa_227)</v>
      </c>
    </row>
    <row r="12865" customFormat="false" ht="12.8" hidden="false" customHeight="false" outlineLevel="0" collapsed="false">
      <c r="B12865" s="0" t="s">
        <v>7</v>
      </c>
      <c r="C12865" s="0" t="s">
        <v>5205</v>
      </c>
      <c r="D12865" s="0" t="s">
        <v>1243</v>
      </c>
      <c r="E12865" s="0" t="s">
        <v>1243</v>
      </c>
      <c r="F12865" s="0" t="s">
        <v>5207</v>
      </c>
    </row>
    <row r="12866" customFormat="false" ht="12.8" hidden="false" customHeight="false" outlineLevel="0" collapsed="false">
      <c r="B12866" s="0" t="s">
        <v>5208</v>
      </c>
      <c r="C12866" s="0" t="s">
        <v>5209</v>
      </c>
      <c r="D12866" s="0" t="s">
        <v>1246</v>
      </c>
      <c r="E12866" s="0" t="s">
        <v>1246</v>
      </c>
      <c r="F12866" s="0" t="s">
        <v>5210</v>
      </c>
    </row>
    <row r="12868" customFormat="false" ht="12.8" hidden="false" customHeight="false" outlineLevel="0" collapsed="false">
      <c r="A12868" s="0" t="s">
        <v>5211</v>
      </c>
      <c r="B12868" s="0" t="str">
        <f aca="false">HYPERLINK("https://lindat.mff.cuni.cz/services/teitok/pdtc10/index.php?action=vallex&amp;frame=v-w10859f4", "lobovat (v-w10859f4)")</f>
        <v>lobovat (v-w10859f4)</v>
      </c>
    </row>
    <row r="12869" customFormat="false" ht="12.8" hidden="false" customHeight="false" outlineLevel="0" collapsed="false">
      <c r="B12869" s="0" t="s">
        <v>7</v>
      </c>
      <c r="C12869" s="0" t="s">
        <v>5212</v>
      </c>
      <c r="D12869" s="0" t="s">
        <v>1243</v>
      </c>
      <c r="E12869" s="0" t="s">
        <v>1243</v>
      </c>
      <c r="F12869" s="0" t="s">
        <v>5207</v>
      </c>
    </row>
    <row r="12870" customFormat="false" ht="12.8" hidden="false" customHeight="false" outlineLevel="0" collapsed="false">
      <c r="B12870" s="0" t="s">
        <v>1654</v>
      </c>
      <c r="C12870" s="0" t="s">
        <v>5213</v>
      </c>
      <c r="D12870" s="0" t="s">
        <v>1246</v>
      </c>
      <c r="E12870" s="0" t="s">
        <v>1246</v>
      </c>
      <c r="F12870" s="0" t="s">
        <v>5210</v>
      </c>
    </row>
    <row r="12872" customFormat="false" ht="12.8" hidden="false" customHeight="false" outlineLevel="0" collapsed="false">
      <c r="A12872" s="0" t="s">
        <v>5214</v>
      </c>
      <c r="B12872" s="0" t="str">
        <f aca="false">HYPERLINK("https://lindat.mff.cuni.cz/services/teitok/pdtc10/index.php?action=vallex&amp;frame=v-w1737f3", "lokalizovat (v-w1737f3)")</f>
        <v>lokalizovat (v-w1737f3)</v>
      </c>
    </row>
    <row r="12873" customFormat="false" ht="12.8" hidden="false" customHeight="false" outlineLevel="0" collapsed="false">
      <c r="B12873" s="0" t="s">
        <v>7</v>
      </c>
      <c r="C12873" s="0" t="s">
        <v>247</v>
      </c>
      <c r="D12873" s="0" t="s">
        <v>2235</v>
      </c>
      <c r="E12873" s="0" t="s">
        <v>2235</v>
      </c>
      <c r="F12873" s="0" t="s">
        <v>2235</v>
      </c>
    </row>
    <row r="12874" customFormat="false" ht="12.8" hidden="false" customHeight="false" outlineLevel="0" collapsed="false">
      <c r="B12874" s="0" t="s">
        <v>14</v>
      </c>
      <c r="C12874" s="0" t="s">
        <v>5215</v>
      </c>
      <c r="D12874" s="0" t="s">
        <v>2237</v>
      </c>
      <c r="E12874" s="0" t="s">
        <v>2237</v>
      </c>
      <c r="F12874" s="0" t="s">
        <v>2237</v>
      </c>
    </row>
    <row r="12875" customFormat="false" ht="12.8" hidden="false" customHeight="false" outlineLevel="0" collapsed="false">
      <c r="B12875" s="0" t="s">
        <v>11</v>
      </c>
      <c r="C12875" s="0" t="s">
        <v>5216</v>
      </c>
      <c r="D12875" s="0" t="s">
        <v>5217</v>
      </c>
      <c r="E12875" s="0" t="s">
        <v>5217</v>
      </c>
      <c r="F12875" s="0" t="s">
        <v>5217</v>
      </c>
    </row>
    <row r="12877" customFormat="false" ht="12.8" hidden="false" customHeight="false" outlineLevel="0" collapsed="false">
      <c r="A12877" s="0" t="s">
        <v>5218</v>
      </c>
      <c r="B12877" s="0" t="str">
        <f aca="false">HYPERLINK("https://lindat.mff.cuni.cz/services/teitok/pdtc10/index.php?action=vallex&amp;frame=v-w1737f1", "lokalizovat (v-w1737f1)")</f>
        <v>lokalizovat (v-w1737f1)</v>
      </c>
    </row>
    <row r="12878" customFormat="false" ht="12.8" hidden="false" customHeight="false" outlineLevel="0" collapsed="false">
      <c r="B12878" s="0" t="s">
        <v>7</v>
      </c>
    </row>
    <row r="12879" customFormat="false" ht="12.8" hidden="false" customHeight="false" outlineLevel="0" collapsed="false">
      <c r="B12879" s="0" t="s">
        <v>14</v>
      </c>
    </row>
    <row r="12880" customFormat="false" ht="12.8" hidden="false" customHeight="false" outlineLevel="0" collapsed="false">
      <c r="B12880" s="0" t="s">
        <v>124</v>
      </c>
    </row>
    <row r="12882" customFormat="false" ht="12.8" hidden="false" customHeight="false" outlineLevel="0" collapsed="false">
      <c r="A12882" s="0" t="s">
        <v>5219</v>
      </c>
      <c r="B12882" s="0" t="str">
        <f aca="false">HYPERLINK("https://lindat.mff.cuni.cz/services/teitok/pdtc10/index.php?action=vallex&amp;frame=v-w1737f4", "lokalizovat (v-w1737f4)")</f>
        <v>lokalizovat (v-w1737f4)</v>
      </c>
    </row>
    <row r="12883" customFormat="false" ht="12.8" hidden="false" customHeight="false" outlineLevel="0" collapsed="false">
      <c r="B12883" s="0" t="s">
        <v>7</v>
      </c>
    </row>
    <row r="12884" customFormat="false" ht="12.8" hidden="false" customHeight="false" outlineLevel="0" collapsed="false">
      <c r="B12884" s="0" t="s">
        <v>232</v>
      </c>
    </row>
    <row r="12886" customFormat="false" ht="12.8" hidden="false" customHeight="false" outlineLevel="0" collapsed="false">
      <c r="A12886" s="0" t="s">
        <v>5220</v>
      </c>
      <c r="B12886" s="0" t="str">
        <f aca="false">HYPERLINK("https://lindat.mff.cuni.cz/services/teitok/pdtc10/index.php?action=vallex&amp;frame=v-w1737f2", "lokalizovat (v-w1737f2)")</f>
        <v>lokalizovat (v-w1737f2)</v>
      </c>
    </row>
    <row r="12887" customFormat="false" ht="12.8" hidden="false" customHeight="false" outlineLevel="0" collapsed="false">
      <c r="B12887" s="0" t="s">
        <v>7</v>
      </c>
    </row>
    <row r="12888" customFormat="false" ht="12.8" hidden="false" customHeight="false" outlineLevel="0" collapsed="false">
      <c r="B12888" s="0" t="s">
        <v>14</v>
      </c>
    </row>
    <row r="12890" customFormat="false" ht="12.8" hidden="false" customHeight="false" outlineLevel="0" collapsed="false">
      <c r="A12890" s="0" t="s">
        <v>5221</v>
      </c>
      <c r="B12890" s="0" t="str">
        <f aca="false">HYPERLINK("https://lindat.mff.cuni.cz/services/teitok/pdtc10/index.php?action=vallex&amp;frame=v-w12190_ZUf1_ZU", "loknout si (v-w12190_ZUf1_ZU)")</f>
        <v>loknout si (v-w12190_ZUf1_ZU)</v>
      </c>
    </row>
    <row r="12891" customFormat="false" ht="12.8" hidden="false" customHeight="false" outlineLevel="0" collapsed="false">
      <c r="B12891" s="0" t="s">
        <v>7</v>
      </c>
    </row>
    <row r="12892" customFormat="false" ht="12.8" hidden="false" customHeight="false" outlineLevel="0" collapsed="false">
      <c r="B12892" s="0" t="s">
        <v>1087</v>
      </c>
    </row>
    <row r="12894" customFormat="false" ht="12.8" hidden="false" customHeight="false" outlineLevel="0" collapsed="false">
      <c r="A12894" s="0" t="s">
        <v>5222</v>
      </c>
      <c r="B12894" s="0" t="str">
        <f aca="false">HYPERLINK("https://lindat.mff.cuni.cz/services/teitok/pdtc10/index.php?action=vallex&amp;frame=v-w1738f1", "lomcovat (v-w1738f1)")</f>
        <v>lomcovat (v-w1738f1)</v>
      </c>
    </row>
    <row r="12895" customFormat="false" ht="12.8" hidden="false" customHeight="false" outlineLevel="0" collapsed="false">
      <c r="B12895" s="0" t="s">
        <v>7</v>
      </c>
    </row>
    <row r="12896" customFormat="false" ht="12.8" hidden="false" customHeight="false" outlineLevel="0" collapsed="false">
      <c r="B12896" s="0" t="s">
        <v>3760</v>
      </c>
    </row>
    <row r="12898" customFormat="false" ht="12.8" hidden="false" customHeight="false" outlineLevel="0" collapsed="false">
      <c r="A12898" s="0" t="s">
        <v>5223</v>
      </c>
      <c r="B12898" s="0" t="str">
        <f aca="false">HYPERLINK("https://lindat.mff.cuni.cz/services/teitok/pdtc10/index.php?action=vallex&amp;frame=v-w11095f4_ZU", "lomit (v-w11095f4_ZU)")</f>
        <v>lomit (v-w11095f4_ZU)</v>
      </c>
    </row>
    <row r="12899" customFormat="false" ht="12.8" hidden="false" customHeight="false" outlineLevel="0" collapsed="false">
      <c r="B12899" s="0" t="s">
        <v>7</v>
      </c>
    </row>
    <row r="12900" customFormat="false" ht="12.8" hidden="false" customHeight="false" outlineLevel="0" collapsed="false">
      <c r="B12900" s="0" t="s">
        <v>5224</v>
      </c>
      <c r="C12900" s="0" t="s">
        <v>532</v>
      </c>
    </row>
    <row r="12901" customFormat="false" ht="12.8" hidden="false" customHeight="false" outlineLevel="0" collapsed="false">
      <c r="B12901" s="0" t="s">
        <v>3620</v>
      </c>
    </row>
    <row r="12903" customFormat="false" ht="12.8" hidden="false" customHeight="false" outlineLevel="0" collapsed="false">
      <c r="A12903" s="0" t="s">
        <v>5223</v>
      </c>
      <c r="B12903" s="0" t="str">
        <f aca="false">HYPERLINK("https://lindat.mff.cuni.cz/services/teitok/pdtc10/index.php?action=vallex&amp;frame=v-w11095f3", "lomit (v-w11095f3) - substituted with v-w11095f4_ZU")</f>
        <v>lomit (v-w11095f3) - substituted with v-w11095f4_ZU</v>
      </c>
    </row>
    <row r="12904" customFormat="false" ht="12.8" hidden="false" customHeight="false" outlineLevel="0" collapsed="false">
      <c r="B12904" s="0" t="s">
        <v>7</v>
      </c>
    </row>
    <row r="12905" customFormat="false" ht="12.8" hidden="false" customHeight="false" outlineLevel="0" collapsed="false">
      <c r="B12905" s="0" t="s">
        <v>5224</v>
      </c>
    </row>
    <row r="12906" customFormat="false" ht="12.8" hidden="false" customHeight="false" outlineLevel="0" collapsed="false">
      <c r="B12906" s="0" t="s">
        <v>3620</v>
      </c>
    </row>
    <row r="12908" customFormat="false" ht="12.8" hidden="false" customHeight="false" outlineLevel="0" collapsed="false">
      <c r="A12908" s="0" t="s">
        <v>5223</v>
      </c>
      <c r="B12908" s="0" t="str">
        <f aca="false">HYPERLINK("https://lindat.mff.cuni.cz/services/teitok/pdtc10/index.php?action=vallex&amp;frame=v-w11095hsa_1002", "lomit (v-w11095hsa_1002) - substituted with v-w11095f4_ZU")</f>
        <v>lomit (v-w11095hsa_1002) - substituted with v-w11095f4_ZU</v>
      </c>
    </row>
    <row r="12909" customFormat="false" ht="12.8" hidden="false" customHeight="false" outlineLevel="0" collapsed="false">
      <c r="B12909" s="0" t="s">
        <v>7</v>
      </c>
    </row>
    <row r="12910" customFormat="false" ht="12.8" hidden="false" customHeight="false" outlineLevel="0" collapsed="false">
      <c r="B12910" s="0" t="s">
        <v>5224</v>
      </c>
    </row>
    <row r="12911" customFormat="false" ht="12.8" hidden="false" customHeight="false" outlineLevel="0" collapsed="false">
      <c r="B12911" s="0" t="s">
        <v>3620</v>
      </c>
    </row>
    <row r="12913" customFormat="false" ht="12.8" hidden="false" customHeight="false" outlineLevel="0" collapsed="false">
      <c r="A12913" s="0" t="s">
        <v>5225</v>
      </c>
      <c r="B12913" s="0" t="str">
        <f aca="false">HYPERLINK("https://lindat.mff.cuni.cz/services/teitok/pdtc10/index.php?action=vallex&amp;frame=v-w1740f1", "losovat (v-w1740f1)")</f>
        <v>losovat (v-w1740f1)</v>
      </c>
    </row>
    <row r="12914" customFormat="false" ht="12.8" hidden="false" customHeight="false" outlineLevel="0" collapsed="false">
      <c r="B12914" s="0" t="s">
        <v>7</v>
      </c>
    </row>
    <row r="12915" customFormat="false" ht="12.8" hidden="false" customHeight="false" outlineLevel="0" collapsed="false">
      <c r="B12915" s="0" t="s">
        <v>14</v>
      </c>
    </row>
    <row r="12917" customFormat="false" ht="12.8" hidden="false" customHeight="false" outlineLevel="0" collapsed="false">
      <c r="A12917" s="0" t="s">
        <v>5226</v>
      </c>
      <c r="B12917" s="0" t="str">
        <f aca="false">HYPERLINK("https://lindat.mff.cuni.cz/services/teitok/pdtc10/index.php?action=vallex&amp;frame=v-w11707_ZUf1_ZU", "loupat (v-w11707_ZUf1_ZU)")</f>
        <v>loupat (v-w11707_ZUf1_ZU)</v>
      </c>
    </row>
    <row r="12918" customFormat="false" ht="12.8" hidden="false" customHeight="false" outlineLevel="0" collapsed="false">
      <c r="B12918" s="0" t="s">
        <v>7</v>
      </c>
    </row>
    <row r="12919" customFormat="false" ht="12.8" hidden="false" customHeight="false" outlineLevel="0" collapsed="false">
      <c r="B12919" s="0" t="s">
        <v>14</v>
      </c>
    </row>
    <row r="12921" customFormat="false" ht="12.8" hidden="false" customHeight="false" outlineLevel="0" collapsed="false">
      <c r="A12921" s="0" t="s">
        <v>5227</v>
      </c>
      <c r="B12921" s="0" t="str">
        <f aca="false">HYPERLINK("https://lindat.mff.cuni.cz/services/teitok/pdtc10/index.php?action=vallex&amp;frame=v-w1743f2", "loupit (v-w1743f2)")</f>
        <v>loupit (v-w1743f2)</v>
      </c>
    </row>
    <row r="12922" customFormat="false" ht="12.8" hidden="false" customHeight="false" outlineLevel="0" collapsed="false">
      <c r="B12922" s="0" t="s">
        <v>7</v>
      </c>
    </row>
    <row r="12923" customFormat="false" ht="12.8" hidden="false" customHeight="false" outlineLevel="0" collapsed="false">
      <c r="B12923" s="0" t="s">
        <v>14</v>
      </c>
    </row>
    <row r="12925" customFormat="false" ht="12.8" hidden="false" customHeight="false" outlineLevel="0" collapsed="false">
      <c r="A12925" s="0" t="s">
        <v>5228</v>
      </c>
      <c r="B12925" s="0" t="str">
        <f aca="false">HYPERLINK("https://lindat.mff.cuni.cz/services/teitok/pdtc10/index.php?action=vallex&amp;frame=v-w1743f1", "loupit (v-w1743f1)")</f>
        <v>loupit (v-w1743f1)</v>
      </c>
    </row>
    <row r="12926" customFormat="false" ht="12.8" hidden="false" customHeight="false" outlineLevel="0" collapsed="false">
      <c r="B12926" s="0" t="s">
        <v>7</v>
      </c>
    </row>
    <row r="12928" customFormat="false" ht="12.8" hidden="false" customHeight="false" outlineLevel="0" collapsed="false">
      <c r="A12928" s="0" t="s">
        <v>5229</v>
      </c>
      <c r="B12928" s="0" t="str">
        <f aca="false">HYPERLINK("https://lindat.mff.cuni.cz/services/teitok/pdtc10/index.php?action=vallex&amp;frame=v-w1744f1", "loutkařit (v-w1744f1)")</f>
        <v>loutkařit (v-w1744f1)</v>
      </c>
    </row>
    <row r="12929" customFormat="false" ht="12.8" hidden="false" customHeight="false" outlineLevel="0" collapsed="false">
      <c r="B12929" s="0" t="s">
        <v>7</v>
      </c>
    </row>
    <row r="12931" customFormat="false" ht="12.8" hidden="false" customHeight="false" outlineLevel="0" collapsed="false">
      <c r="A12931" s="0" t="s">
        <v>5230</v>
      </c>
      <c r="B12931" s="0" t="str">
        <f aca="false">HYPERLINK("https://lindat.mff.cuni.cz/services/teitok/pdtc10/index.php?action=vallex&amp;frame=v-w1741f1", "loučit se (v-w1741f1)")</f>
        <v>loučit se (v-w1741f1)</v>
      </c>
    </row>
    <row r="12932" customFormat="false" ht="12.8" hidden="false" customHeight="false" outlineLevel="0" collapsed="false">
      <c r="B12932" s="0" t="s">
        <v>7</v>
      </c>
      <c r="E12932" s="0" t="s">
        <v>247</v>
      </c>
      <c r="F12932" s="0" t="s">
        <v>247</v>
      </c>
    </row>
    <row r="12933" customFormat="false" ht="12.8" hidden="false" customHeight="false" outlineLevel="0" collapsed="false">
      <c r="B12933" s="0" t="s">
        <v>548</v>
      </c>
    </row>
    <row r="12935" customFormat="false" ht="12.8" hidden="false" customHeight="false" outlineLevel="0" collapsed="false">
      <c r="A12935" s="0" t="s">
        <v>5231</v>
      </c>
      <c r="B12935" s="0" t="str">
        <f aca="false">HYPERLINK("https://lindat.mff.cuni.cz/services/teitok/pdtc10/index.php?action=vallex&amp;frame=v-w1746f1", "lovit (v-w1746f1)")</f>
        <v>lovit (v-w1746f1)</v>
      </c>
    </row>
    <row r="12936" customFormat="false" ht="12.8" hidden="false" customHeight="false" outlineLevel="0" collapsed="false">
      <c r="B12936" s="0" t="s">
        <v>7</v>
      </c>
      <c r="C12936" s="0" t="s">
        <v>2012</v>
      </c>
      <c r="E12936" s="0" t="s">
        <v>149</v>
      </c>
      <c r="F12936" s="0" t="s">
        <v>149</v>
      </c>
    </row>
    <row r="12937" customFormat="false" ht="12.8" hidden="false" customHeight="false" outlineLevel="0" collapsed="false">
      <c r="B12937" s="0" t="s">
        <v>14</v>
      </c>
      <c r="C12937" s="0" t="s">
        <v>5232</v>
      </c>
      <c r="E12937" s="0" t="s">
        <v>1405</v>
      </c>
      <c r="F12937" s="0" t="s">
        <v>1405</v>
      </c>
    </row>
    <row r="12939" customFormat="false" ht="12.8" hidden="false" customHeight="false" outlineLevel="0" collapsed="false">
      <c r="A12939" s="0" t="s">
        <v>5233</v>
      </c>
      <c r="B12939" s="0" t="str">
        <f aca="false">HYPERLINK("https://lindat.mff.cuni.cz/services/teitok/pdtc10/index.php?action=vallex&amp;frame=v-w1746f3_ZU", "lovit (v-w1746f3_ZU)")</f>
        <v>lovit (v-w1746f3_ZU)</v>
      </c>
    </row>
    <row r="12940" customFormat="false" ht="12.8" hidden="false" customHeight="false" outlineLevel="0" collapsed="false">
      <c r="B12940" s="0" t="s">
        <v>7</v>
      </c>
    </row>
    <row r="12941" customFormat="false" ht="12.8" hidden="false" customHeight="false" outlineLevel="0" collapsed="false">
      <c r="B12941" s="0" t="s">
        <v>14</v>
      </c>
    </row>
    <row r="12943" customFormat="false" ht="12.8" hidden="false" customHeight="false" outlineLevel="0" collapsed="false">
      <c r="A12943" s="0" t="s">
        <v>5233</v>
      </c>
      <c r="B12943" s="0" t="str">
        <f aca="false">HYPERLINK("https://lindat.mff.cuni.cz/services/teitok/pdtc10/index.php?action=vallex&amp;frame=v-w1746f2_ZU", "lovit (v-w1746f2_ZU) - substituted with v-w1746f3_ZU")</f>
        <v>lovit (v-w1746f2_ZU) - substituted with v-w1746f3_ZU</v>
      </c>
    </row>
    <row r="12944" customFormat="false" ht="12.8" hidden="false" customHeight="false" outlineLevel="0" collapsed="false">
      <c r="B12944" s="0" t="s">
        <v>7</v>
      </c>
    </row>
    <row r="12945" customFormat="false" ht="12.8" hidden="false" customHeight="false" outlineLevel="0" collapsed="false">
      <c r="B12945" s="0" t="s">
        <v>14</v>
      </c>
    </row>
    <row r="12947" customFormat="false" ht="12.8" hidden="false" customHeight="false" outlineLevel="0" collapsed="false">
      <c r="A12947" s="0" t="s">
        <v>5233</v>
      </c>
      <c r="B12947" s="0" t="str">
        <f aca="false">HYPERLINK("https://lindat.mff.cuni.cz/services/teitok/pdtc10/index.php?action=vallex&amp;frame=v-w1746hsa_462", "lovit (v-w1746hsa_462) - substituted with v-w1746f3_ZU")</f>
        <v>lovit (v-w1746hsa_462) - substituted with v-w1746f3_ZU</v>
      </c>
    </row>
    <row r="12948" customFormat="false" ht="12.8" hidden="false" customHeight="false" outlineLevel="0" collapsed="false">
      <c r="B12948" s="0" t="s">
        <v>7</v>
      </c>
    </row>
    <row r="12949" customFormat="false" ht="12.8" hidden="false" customHeight="false" outlineLevel="0" collapsed="false">
      <c r="B12949" s="0" t="s">
        <v>14</v>
      </c>
    </row>
    <row r="12951" customFormat="false" ht="12.8" hidden="false" customHeight="false" outlineLevel="0" collapsed="false">
      <c r="A12951" s="0" t="s">
        <v>5234</v>
      </c>
      <c r="B12951" s="0" t="str">
        <f aca="false">HYPERLINK("https://lindat.mff.cuni.cz/services/teitok/pdtc10/index.php?action=vallex&amp;frame=v-w1746f4_ZU", "lovit (v-w1746f4_ZU)")</f>
        <v>lovit (v-w1746f4_ZU)</v>
      </c>
    </row>
    <row r="12952" customFormat="false" ht="12.8" hidden="false" customHeight="false" outlineLevel="0" collapsed="false">
      <c r="B12952" s="0" t="s">
        <v>7</v>
      </c>
    </row>
    <row r="12953" customFormat="false" ht="12.8" hidden="false" customHeight="false" outlineLevel="0" collapsed="false">
      <c r="B12953" s="0" t="s">
        <v>14</v>
      </c>
    </row>
    <row r="12955" customFormat="false" ht="12.8" hidden="false" customHeight="false" outlineLevel="0" collapsed="false">
      <c r="A12955" s="0" t="s">
        <v>5235</v>
      </c>
      <c r="B12955" s="0" t="str">
        <f aca="false">HYPERLINK("https://lindat.mff.cuni.cz/services/teitok/pdtc10/index.php?action=vallex&amp;frame=v-w1748f1", "lpět (v-w1748f1)")</f>
        <v>lpět (v-w1748f1)</v>
      </c>
    </row>
    <row r="12956" customFormat="false" ht="12.8" hidden="false" customHeight="false" outlineLevel="0" collapsed="false">
      <c r="B12956" s="0" t="s">
        <v>7</v>
      </c>
      <c r="C12956" s="0" t="s">
        <v>191</v>
      </c>
      <c r="D12956" s="0" t="s">
        <v>5236</v>
      </c>
      <c r="E12956" s="0" t="s">
        <v>5236</v>
      </c>
      <c r="F12956" s="0" t="s">
        <v>5236</v>
      </c>
    </row>
    <row r="12957" customFormat="false" ht="12.8" hidden="false" customHeight="false" outlineLevel="0" collapsed="false">
      <c r="B12957" s="0" t="s">
        <v>220</v>
      </c>
      <c r="C12957" s="0" t="s">
        <v>47</v>
      </c>
      <c r="D12957" s="0" t="s">
        <v>4737</v>
      </c>
      <c r="E12957" s="0" t="s">
        <v>4737</v>
      </c>
      <c r="F12957" s="0" t="s">
        <v>4737</v>
      </c>
    </row>
    <row r="12959" customFormat="false" ht="12.8" hidden="false" customHeight="false" outlineLevel="0" collapsed="false">
      <c r="A12959" s="0" t="s">
        <v>5237</v>
      </c>
      <c r="B12959" s="0" t="str">
        <f aca="false">HYPERLINK("https://lindat.mff.cuni.cz/services/teitok/pdtc10/index.php?action=vallex&amp;frame=v-w1748f2", "lpět (v-w1748f2)")</f>
        <v>lpět (v-w1748f2)</v>
      </c>
    </row>
    <row r="12960" customFormat="false" ht="12.8" hidden="false" customHeight="false" outlineLevel="0" collapsed="false">
      <c r="B12960" s="0" t="s">
        <v>7</v>
      </c>
    </row>
    <row r="12961" customFormat="false" ht="12.8" hidden="false" customHeight="false" outlineLevel="0" collapsed="false">
      <c r="B12961" s="0" t="s">
        <v>11</v>
      </c>
    </row>
    <row r="12963" customFormat="false" ht="12.8" hidden="false" customHeight="false" outlineLevel="0" collapsed="false">
      <c r="A12963" s="0" t="s">
        <v>5238</v>
      </c>
      <c r="B12963" s="0" t="str">
        <f aca="false">HYPERLINK("https://lindat.mff.cuni.cz/services/teitok/pdtc10/index.php?action=vallex&amp;frame=v-w1751f1", "lustrovat (v-w1751f1)")</f>
        <v>lustrovat (v-w1751f1)</v>
      </c>
    </row>
    <row r="12964" customFormat="false" ht="12.8" hidden="false" customHeight="false" outlineLevel="0" collapsed="false">
      <c r="B12964" s="0" t="s">
        <v>7</v>
      </c>
    </row>
    <row r="12965" customFormat="false" ht="12.8" hidden="false" customHeight="false" outlineLevel="0" collapsed="false">
      <c r="B12965" s="0" t="s">
        <v>14</v>
      </c>
    </row>
    <row r="12967" customFormat="false" ht="12.8" hidden="false" customHeight="false" outlineLevel="0" collapsed="false">
      <c r="A12967" s="0" t="s">
        <v>5239</v>
      </c>
      <c r="B12967" s="0" t="str">
        <f aca="false">HYPERLINK("https://lindat.mff.cuni.cz/services/teitok/pdtc10/index.php?action=vallex&amp;frame=v-w1753f1", "luxovat (v-w1753f1)")</f>
        <v>luxovat (v-w1753f1)</v>
      </c>
    </row>
    <row r="12968" customFormat="false" ht="12.8" hidden="false" customHeight="false" outlineLevel="0" collapsed="false">
      <c r="B12968" s="0" t="s">
        <v>7</v>
      </c>
    </row>
    <row r="12969" customFormat="false" ht="12.8" hidden="false" customHeight="false" outlineLevel="0" collapsed="false">
      <c r="B12969" s="0" t="s">
        <v>14</v>
      </c>
    </row>
    <row r="12970" customFormat="false" ht="12.8" hidden="false" customHeight="false" outlineLevel="0" collapsed="false">
      <c r="B12970" s="0" t="s">
        <v>441</v>
      </c>
    </row>
    <row r="12972" customFormat="false" ht="12.8" hidden="false" customHeight="false" outlineLevel="0" collapsed="false">
      <c r="A12972" s="0" t="s">
        <v>5240</v>
      </c>
      <c r="B12972" s="0" t="str">
        <f aca="false">HYPERLINK("https://lindat.mff.cuni.cz/services/teitok/pdtc10/index.php?action=vallex&amp;frame=v-w12388_MMf1_MM", "luštit (v-w12388_MMf1_MM)")</f>
        <v>luštit (v-w12388_MMf1_MM)</v>
      </c>
    </row>
    <row r="12973" customFormat="false" ht="12.8" hidden="false" customHeight="false" outlineLevel="0" collapsed="false">
      <c r="B12973" s="0" t="s">
        <v>7</v>
      </c>
    </row>
    <row r="12974" customFormat="false" ht="12.8" hidden="false" customHeight="false" outlineLevel="0" collapsed="false">
      <c r="B12974" s="0" t="s">
        <v>14</v>
      </c>
    </row>
    <row r="12976" customFormat="false" ht="12.8" hidden="false" customHeight="false" outlineLevel="0" collapsed="false">
      <c r="A12976" s="0" t="s">
        <v>5241</v>
      </c>
      <c r="B12976" s="0" t="str">
        <f aca="false">HYPERLINK("https://lindat.mff.cuni.cz/services/teitok/pdtc10/index.php?action=vallex&amp;frame=v-w1756f1", "lyžovat (v-w1756f1)")</f>
        <v>lyžovat (v-w1756f1)</v>
      </c>
    </row>
    <row r="12977" customFormat="false" ht="12.8" hidden="false" customHeight="false" outlineLevel="0" collapsed="false">
      <c r="B12977" s="0" t="s">
        <v>7</v>
      </c>
      <c r="C12977" s="0" t="s">
        <v>191</v>
      </c>
      <c r="D12977" s="0" t="s">
        <v>191</v>
      </c>
      <c r="E12977" s="0" t="s">
        <v>191</v>
      </c>
      <c r="F12977" s="0" t="s">
        <v>191</v>
      </c>
    </row>
    <row r="12979" customFormat="false" ht="12.8" hidden="false" customHeight="false" outlineLevel="0" collapsed="false">
      <c r="A12979" s="0" t="s">
        <v>5242</v>
      </c>
      <c r="B12979" s="0" t="str">
        <f aca="false">HYPERLINK("https://lindat.mff.cuni.cz/services/teitok/pdtc10/index.php?action=vallex&amp;frame=v-w1757f2_ZU", "lze (v-w1757f2_ZU)")</f>
        <v>lze (v-w1757f2_ZU)</v>
      </c>
    </row>
    <row r="12980" customFormat="false" ht="12.8" hidden="false" customHeight="false" outlineLevel="0" collapsed="false">
      <c r="B12980" s="0" t="s">
        <v>5243</v>
      </c>
    </row>
    <row r="12982" customFormat="false" ht="12.8" hidden="false" customHeight="false" outlineLevel="0" collapsed="false">
      <c r="A12982" s="0" t="s">
        <v>5242</v>
      </c>
      <c r="B12982" s="0" t="str">
        <f aca="false">HYPERLINK("https://lindat.mff.cuni.cz/services/teitok/pdtc10/index.php?action=vallex&amp;frame=v-w1757f1", "lze (v-w1757f1) - substituted with v-w1757f2_ZU")</f>
        <v>lze (v-w1757f1) - substituted with v-w1757f2_ZU</v>
      </c>
    </row>
    <row r="12983" customFormat="false" ht="12.8" hidden="false" customHeight="false" outlineLevel="0" collapsed="false">
      <c r="B12983" s="0" t="s">
        <v>5243</v>
      </c>
      <c r="C12983" s="0" t="s">
        <v>5244</v>
      </c>
    </row>
    <row r="12985" customFormat="false" ht="12.8" hidden="false" customHeight="false" outlineLevel="0" collapsed="false">
      <c r="A12985" s="0" t="s">
        <v>5245</v>
      </c>
      <c r="B12985" s="0" t="str">
        <f aca="false">HYPERLINK("https://lindat.mff.cuni.cz/services/teitok/pdtc10/index.php?action=vallex&amp;frame=v-w1658f1", "ládovat (v-w1658f1)")</f>
        <v>ládovat (v-w1658f1)</v>
      </c>
    </row>
    <row r="12986" customFormat="false" ht="12.8" hidden="false" customHeight="false" outlineLevel="0" collapsed="false">
      <c r="B12986" s="0" t="s">
        <v>7</v>
      </c>
    </row>
    <row r="12987" customFormat="false" ht="12.8" hidden="false" customHeight="false" outlineLevel="0" collapsed="false">
      <c r="B12987" s="0" t="s">
        <v>14</v>
      </c>
    </row>
    <row r="12989" customFormat="false" ht="12.8" hidden="false" customHeight="false" outlineLevel="0" collapsed="false">
      <c r="A12989" s="0" t="s">
        <v>5246</v>
      </c>
      <c r="B12989" s="0" t="str">
        <f aca="false">HYPERLINK("https://lindat.mff.cuni.cz/services/teitok/pdtc10/index.php?action=vallex&amp;frame=v-w1660f1", "lákat (v-w1660f1)")</f>
        <v>lákat (v-w1660f1)</v>
      </c>
    </row>
    <row r="12990" customFormat="false" ht="12.8" hidden="false" customHeight="false" outlineLevel="0" collapsed="false">
      <c r="B12990" s="0" t="s">
        <v>265</v>
      </c>
      <c r="C12990" s="0" t="s">
        <v>5247</v>
      </c>
    </row>
    <row r="12991" customFormat="false" ht="12.8" hidden="false" customHeight="false" outlineLevel="0" collapsed="false">
      <c r="B12991" s="0" t="s">
        <v>14</v>
      </c>
      <c r="C12991" s="0" t="s">
        <v>5248</v>
      </c>
    </row>
    <row r="12993" customFormat="false" ht="12.8" hidden="false" customHeight="false" outlineLevel="0" collapsed="false">
      <c r="A12993" s="0" t="s">
        <v>5249</v>
      </c>
      <c r="B12993" s="0" t="str">
        <f aca="false">HYPERLINK("https://lindat.mff.cuni.cz/services/teitok/pdtc10/index.php?action=vallex&amp;frame=v-w1660hsa_881", "lákat (v-w1660hsa_881)")</f>
        <v>lákat (v-w1660hsa_881)</v>
      </c>
    </row>
    <row r="12994" customFormat="false" ht="12.8" hidden="false" customHeight="false" outlineLevel="0" collapsed="false">
      <c r="B12994" s="0" t="s">
        <v>7</v>
      </c>
    </row>
    <row r="12995" customFormat="false" ht="12.8" hidden="false" customHeight="false" outlineLevel="0" collapsed="false">
      <c r="B12995" s="0" t="s">
        <v>81</v>
      </c>
    </row>
    <row r="12996" customFormat="false" ht="12.8" hidden="false" customHeight="false" outlineLevel="0" collapsed="false">
      <c r="B12996" s="0" t="s">
        <v>5250</v>
      </c>
    </row>
    <row r="12998" customFormat="false" ht="12.8" hidden="false" customHeight="false" outlineLevel="0" collapsed="false">
      <c r="A12998" s="0" t="s">
        <v>5249</v>
      </c>
      <c r="B12998" s="0" t="str">
        <f aca="false">HYPERLINK("https://lindat.mff.cuni.cz/services/teitok/pdtc10/index.php?action=vallex&amp;frame=v-w1660f2", "lákat (v-w1660f2) - substituted with v-w1660hsa_881")</f>
        <v>lákat (v-w1660f2) - substituted with v-w1660hsa_881</v>
      </c>
    </row>
    <row r="12999" customFormat="false" ht="12.8" hidden="false" customHeight="false" outlineLevel="0" collapsed="false">
      <c r="B12999" s="0" t="s">
        <v>7</v>
      </c>
      <c r="C12999" s="0" t="s">
        <v>1263</v>
      </c>
      <c r="D12999" s="0" t="s">
        <v>5251</v>
      </c>
      <c r="E12999" s="0" t="s">
        <v>5251</v>
      </c>
      <c r="F12999" s="0" t="s">
        <v>5251</v>
      </c>
    </row>
    <row r="13000" customFormat="false" ht="12.8" hidden="false" customHeight="false" outlineLevel="0" collapsed="false">
      <c r="B13000" s="0" t="s">
        <v>81</v>
      </c>
      <c r="C13000" s="0" t="s">
        <v>5252</v>
      </c>
      <c r="D13000" s="0" t="s">
        <v>5253</v>
      </c>
      <c r="E13000" s="0" t="s">
        <v>5253</v>
      </c>
      <c r="F13000" s="0" t="s">
        <v>5253</v>
      </c>
    </row>
    <row r="13001" customFormat="false" ht="12.8" hidden="false" customHeight="false" outlineLevel="0" collapsed="false">
      <c r="B13001" s="0" t="s">
        <v>5250</v>
      </c>
      <c r="D13001" s="0" t="s">
        <v>5254</v>
      </c>
      <c r="E13001" s="0" t="s">
        <v>5254</v>
      </c>
      <c r="F13001" s="0" t="s">
        <v>5254</v>
      </c>
    </row>
    <row r="13003" customFormat="false" ht="12.8" hidden="false" customHeight="false" outlineLevel="0" collapsed="false">
      <c r="A13003" s="0" t="s">
        <v>5255</v>
      </c>
      <c r="B13003" s="0" t="str">
        <f aca="false">HYPERLINK("https://lindat.mff.cuni.cz/services/teitok/pdtc10/index.php?action=vallex&amp;frame=v-w1661f1", "lámat (v-w1661f1)")</f>
        <v>lámat (v-w1661f1)</v>
      </c>
    </row>
    <row r="13004" customFormat="false" ht="12.8" hidden="false" customHeight="false" outlineLevel="0" collapsed="false">
      <c r="B13004" s="0" t="s">
        <v>7</v>
      </c>
    </row>
    <row r="13005" customFormat="false" ht="12.8" hidden="false" customHeight="false" outlineLevel="0" collapsed="false">
      <c r="B13005" s="0" t="s">
        <v>14</v>
      </c>
    </row>
    <row r="13006" customFormat="false" ht="12.8" hidden="false" customHeight="false" outlineLevel="0" collapsed="false">
      <c r="B13006" s="0" t="s">
        <v>2773</v>
      </c>
    </row>
    <row r="13008" customFormat="false" ht="12.8" hidden="false" customHeight="false" outlineLevel="0" collapsed="false">
      <c r="A13008" s="0" t="s">
        <v>5256</v>
      </c>
      <c r="B13008" s="0" t="str">
        <f aca="false">HYPERLINK("https://lindat.mff.cuni.cz/services/teitok/pdtc10/index.php?action=vallex&amp;frame=v-w1661f2", "lámat (v-w1661f2)")</f>
        <v>lámat (v-w1661f2)</v>
      </c>
    </row>
    <row r="13009" customFormat="false" ht="12.8" hidden="false" customHeight="false" outlineLevel="0" collapsed="false">
      <c r="B13009" s="0" t="s">
        <v>7</v>
      </c>
    </row>
    <row r="13010" customFormat="false" ht="12.8" hidden="false" customHeight="false" outlineLevel="0" collapsed="false">
      <c r="B13010" s="0" t="s">
        <v>5257</v>
      </c>
    </row>
    <row r="13011" customFormat="false" ht="12.8" hidden="false" customHeight="false" outlineLevel="0" collapsed="false">
      <c r="B13011" s="0" t="s">
        <v>223</v>
      </c>
    </row>
    <row r="13013" customFormat="false" ht="12.8" hidden="false" customHeight="false" outlineLevel="0" collapsed="false">
      <c r="A13013" s="0" t="s">
        <v>5258</v>
      </c>
      <c r="B13013" s="0" t="str">
        <f aca="false">HYPERLINK("https://lindat.mff.cuni.cz/services/teitok/pdtc10/index.php?action=vallex&amp;frame=v-w1661f3", "lámat (v-w1661f3)")</f>
        <v>lámat (v-w1661f3)</v>
      </c>
    </row>
    <row r="13014" customFormat="false" ht="12.8" hidden="false" customHeight="false" outlineLevel="0" collapsed="false">
      <c r="B13014" s="0" t="s">
        <v>7</v>
      </c>
    </row>
    <row r="13015" customFormat="false" ht="12.8" hidden="false" customHeight="false" outlineLevel="0" collapsed="false">
      <c r="B13015" s="0" t="s">
        <v>5259</v>
      </c>
    </row>
    <row r="13016" customFormat="false" ht="12.8" hidden="false" customHeight="false" outlineLevel="0" collapsed="false">
      <c r="B13016" s="0" t="s">
        <v>14</v>
      </c>
    </row>
    <row r="13018" customFormat="false" ht="12.8" hidden="false" customHeight="false" outlineLevel="0" collapsed="false">
      <c r="A13018" s="0" t="s">
        <v>5260</v>
      </c>
      <c r="B13018" s="0" t="str">
        <f aca="false">HYPERLINK("https://lindat.mff.cuni.cz/services/teitok/pdtc10/index.php?action=vallex&amp;frame=v-w1661f4_ZU", "lámat (v-w1661f4_ZU)")</f>
        <v>lámat (v-w1661f4_ZU)</v>
      </c>
    </row>
    <row r="13019" customFormat="false" ht="12.8" hidden="false" customHeight="false" outlineLevel="0" collapsed="false">
      <c r="B13019" s="0" t="s">
        <v>7</v>
      </c>
      <c r="C13019" s="0" t="s">
        <v>2797</v>
      </c>
      <c r="D13019" s="0" t="s">
        <v>2797</v>
      </c>
      <c r="E13019" s="0" t="s">
        <v>2797</v>
      </c>
      <c r="F13019" s="0" t="s">
        <v>2797</v>
      </c>
    </row>
    <row r="13020" customFormat="false" ht="12.8" hidden="false" customHeight="false" outlineLevel="0" collapsed="false">
      <c r="B13020" s="0" t="s">
        <v>5261</v>
      </c>
      <c r="C13020" s="0" t="s">
        <v>5262</v>
      </c>
    </row>
    <row r="13022" customFormat="false" ht="12.8" hidden="false" customHeight="false" outlineLevel="0" collapsed="false">
      <c r="A13022" s="0" t="s">
        <v>5263</v>
      </c>
      <c r="B13022" s="0" t="str">
        <f aca="false">HYPERLINK("https://lindat.mff.cuni.cz/services/teitok/pdtc10/index.php?action=vallex&amp;frame=v-w1661f5_ZU", "lámat (v-w1661f5_ZU)")</f>
        <v>lámat (v-w1661f5_ZU)</v>
      </c>
    </row>
    <row r="13023" customFormat="false" ht="12.8" hidden="false" customHeight="false" outlineLevel="0" collapsed="false">
      <c r="B13023" s="0" t="s">
        <v>7</v>
      </c>
    </row>
    <row r="13024" customFormat="false" ht="12.8" hidden="false" customHeight="false" outlineLevel="0" collapsed="false">
      <c r="B13024" s="0" t="s">
        <v>14</v>
      </c>
    </row>
    <row r="13026" customFormat="false" ht="12.8" hidden="false" customHeight="false" outlineLevel="0" collapsed="false">
      <c r="A13026" s="0" t="s">
        <v>5264</v>
      </c>
      <c r="B13026" s="0" t="str">
        <f aca="false">HYPERLINK("https://lindat.mff.cuni.cz/services/teitok/pdtc10/index.php?action=vallex&amp;frame=v-w1661hsa_212", "lámat (v-w1661hsa_212)")</f>
        <v>lámat (v-w1661hsa_212)</v>
      </c>
    </row>
    <row r="13027" customFormat="false" ht="12.8" hidden="false" customHeight="false" outlineLevel="0" collapsed="false">
      <c r="B13027" s="0" t="s">
        <v>7</v>
      </c>
    </row>
    <row r="13028" customFormat="false" ht="12.8" hidden="false" customHeight="false" outlineLevel="0" collapsed="false">
      <c r="B13028" s="0" t="s">
        <v>14</v>
      </c>
    </row>
    <row r="13030" customFormat="false" ht="12.8" hidden="false" customHeight="false" outlineLevel="0" collapsed="false">
      <c r="A13030" s="0" t="s">
        <v>5265</v>
      </c>
      <c r="B13030" s="0" t="str">
        <f aca="false">HYPERLINK("https://lindat.mff.cuni.cz/services/teitok/pdtc10/index.php?action=vallex&amp;frame=v-w1662f1", "lámat se (v-w1662f1)")</f>
        <v>lámat se (v-w1662f1)</v>
      </c>
    </row>
    <row r="13031" customFormat="false" ht="12.8" hidden="false" customHeight="false" outlineLevel="0" collapsed="false">
      <c r="B13031" s="0" t="s">
        <v>7</v>
      </c>
      <c r="F13031" s="0" t="s">
        <v>5266</v>
      </c>
    </row>
    <row r="13032" customFormat="false" ht="12.8" hidden="false" customHeight="false" outlineLevel="0" collapsed="false">
      <c r="B13032" s="0" t="s">
        <v>5267</v>
      </c>
      <c r="F13032" s="0" t="s">
        <v>5268</v>
      </c>
    </row>
    <row r="13033" customFormat="false" ht="12.8" hidden="false" customHeight="false" outlineLevel="0" collapsed="false">
      <c r="B13033" s="0" t="s">
        <v>35</v>
      </c>
      <c r="F13033" s="0" t="s">
        <v>5269</v>
      </c>
    </row>
    <row r="13035" customFormat="false" ht="12.8" hidden="false" customHeight="false" outlineLevel="0" collapsed="false">
      <c r="A13035" s="0" t="s">
        <v>5270</v>
      </c>
      <c r="B13035" s="0" t="str">
        <f aca="false">HYPERLINK("https://lindat.mff.cuni.cz/services/teitok/pdtc10/index.php?action=vallex&amp;frame=v-w1663hsa_958", "lámat si (v-w1663hsa_958)")</f>
        <v>lámat si (v-w1663hsa_958)</v>
      </c>
    </row>
    <row r="13036" customFormat="false" ht="12.8" hidden="false" customHeight="false" outlineLevel="0" collapsed="false">
      <c r="B13036" s="0" t="s">
        <v>7</v>
      </c>
      <c r="C13036" s="0" t="s">
        <v>194</v>
      </c>
      <c r="D13036" s="0" t="s">
        <v>515</v>
      </c>
      <c r="E13036" s="0" t="s">
        <v>515</v>
      </c>
      <c r="F13036" s="0" t="s">
        <v>515</v>
      </c>
    </row>
    <row r="13037" customFormat="false" ht="12.8" hidden="false" customHeight="false" outlineLevel="0" collapsed="false">
      <c r="B13037" s="0" t="s">
        <v>5271</v>
      </c>
    </row>
    <row r="13038" customFormat="false" ht="12.8" hidden="false" customHeight="false" outlineLevel="0" collapsed="false">
      <c r="B13038" s="0" t="s">
        <v>5272</v>
      </c>
      <c r="C13038" s="0" t="s">
        <v>1833</v>
      </c>
      <c r="D13038" s="0" t="s">
        <v>519</v>
      </c>
      <c r="E13038" s="0" t="s">
        <v>519</v>
      </c>
      <c r="F13038" s="0" t="s">
        <v>519</v>
      </c>
    </row>
    <row r="13040" customFormat="false" ht="12.8" hidden="false" customHeight="false" outlineLevel="0" collapsed="false">
      <c r="A13040" s="0" t="s">
        <v>5270</v>
      </c>
      <c r="B13040" s="0" t="str">
        <f aca="false">HYPERLINK("https://lindat.mff.cuni.cz/services/teitok/pdtc10/index.php?action=vallex&amp;frame=v-w1663f1", "lámat si (v-w1663f1) - substituted with v-w1663hsa_958")</f>
        <v>lámat si (v-w1663f1) - substituted with v-w1663hsa_958</v>
      </c>
    </row>
    <row r="13041" customFormat="false" ht="12.8" hidden="false" customHeight="false" outlineLevel="0" collapsed="false">
      <c r="B13041" s="0" t="s">
        <v>7</v>
      </c>
    </row>
    <row r="13042" customFormat="false" ht="12.8" hidden="false" customHeight="false" outlineLevel="0" collapsed="false">
      <c r="B13042" s="0" t="s">
        <v>5271</v>
      </c>
    </row>
    <row r="13043" customFormat="false" ht="12.8" hidden="false" customHeight="false" outlineLevel="0" collapsed="false">
      <c r="B13043" s="0" t="s">
        <v>5272</v>
      </c>
    </row>
    <row r="13045" customFormat="false" ht="12.8" hidden="false" customHeight="false" outlineLevel="0" collapsed="false">
      <c r="A13045" s="0" t="s">
        <v>5273</v>
      </c>
      <c r="B13045" s="0" t="str">
        <f aca="false">HYPERLINK("https://lindat.mff.cuni.cz/services/teitok/pdtc10/index.php?action=vallex&amp;frame=v-w1693f1", "létat (v-w1693f1)")</f>
        <v>létat (v-w1693f1)</v>
      </c>
    </row>
    <row r="13046" customFormat="false" ht="12.8" hidden="false" customHeight="false" outlineLevel="0" collapsed="false">
      <c r="B13046" s="0" t="s">
        <v>7</v>
      </c>
      <c r="C13046" s="0" t="s">
        <v>5274</v>
      </c>
    </row>
    <row r="13048" customFormat="false" ht="12.8" hidden="false" customHeight="false" outlineLevel="0" collapsed="false">
      <c r="A13048" s="0" t="s">
        <v>5275</v>
      </c>
      <c r="B13048" s="0" t="str">
        <f aca="false">HYPERLINK("https://lindat.mff.cuni.cz/services/teitok/pdtc10/index.php?action=vallex&amp;frame=v-w1693f2", "létat (v-w1693f2)")</f>
        <v>létat (v-w1693f2)</v>
      </c>
    </row>
    <row r="13049" customFormat="false" ht="12.8" hidden="false" customHeight="false" outlineLevel="0" collapsed="false">
      <c r="B13049" s="0" t="s">
        <v>7</v>
      </c>
      <c r="C13049" s="0" t="s">
        <v>5276</v>
      </c>
      <c r="D13049" s="0" t="s">
        <v>5135</v>
      </c>
      <c r="E13049" s="0" t="s">
        <v>5135</v>
      </c>
      <c r="F13049" s="0" t="s">
        <v>5135</v>
      </c>
    </row>
    <row r="13051" customFormat="false" ht="12.8" hidden="false" customHeight="false" outlineLevel="0" collapsed="false">
      <c r="A13051" s="0" t="s">
        <v>5277</v>
      </c>
      <c r="B13051" s="0" t="str">
        <f aca="false">HYPERLINK("https://lindat.mff.cuni.cz/services/teitok/pdtc10/index.php?action=vallex&amp;frame=v-w1693f3_ZU", "létat (v-w1693f3_ZU)")</f>
        <v>létat (v-w1693f3_ZU)</v>
      </c>
    </row>
    <row r="13052" customFormat="false" ht="12.8" hidden="false" customHeight="false" outlineLevel="0" collapsed="false">
      <c r="B13052" s="0" t="s">
        <v>7</v>
      </c>
      <c r="C13052" s="0" t="s">
        <v>5274</v>
      </c>
    </row>
    <row r="13054" customFormat="false" ht="12.8" hidden="false" customHeight="false" outlineLevel="0" collapsed="false">
      <c r="A13054" s="0" t="s">
        <v>5278</v>
      </c>
      <c r="B13054" s="0" t="str">
        <f aca="false">HYPERLINK("https://lindat.mff.cuni.cz/services/teitok/pdtc10/index.php?action=vallex&amp;frame=v-w1693hsa_1025", "létat (v-w1693hsa_1025)")</f>
        <v>létat (v-w1693hsa_1025)</v>
      </c>
    </row>
    <row r="13055" customFormat="false" ht="12.8" hidden="false" customHeight="false" outlineLevel="0" collapsed="false">
      <c r="B13055" s="0" t="s">
        <v>7</v>
      </c>
      <c r="C13055" s="0" t="s">
        <v>5274</v>
      </c>
    </row>
    <row r="13056" customFormat="false" ht="12.8" hidden="false" customHeight="false" outlineLevel="0" collapsed="false">
      <c r="B13056" s="0" t="s">
        <v>14</v>
      </c>
    </row>
    <row r="13058" customFormat="false" ht="12.8" hidden="false" customHeight="false" outlineLevel="0" collapsed="false">
      <c r="A13058" s="0" t="s">
        <v>5279</v>
      </c>
      <c r="B13058" s="0" t="str">
        <f aca="false">HYPERLINK("https://lindat.mff.cuni.cz/services/teitok/pdtc10/index.php?action=vallex&amp;frame=v-w1693hsa_1883", "létat (v-w1693hsa_1883)")</f>
        <v>létat (v-w1693hsa_1883)</v>
      </c>
    </row>
    <row r="13059" customFormat="false" ht="12.8" hidden="false" customHeight="false" outlineLevel="0" collapsed="false">
      <c r="B13059" s="0" t="s">
        <v>7</v>
      </c>
    </row>
    <row r="13061" customFormat="false" ht="12.8" hidden="false" customHeight="false" outlineLevel="0" collapsed="false">
      <c r="A13061" s="0" t="s">
        <v>5280</v>
      </c>
      <c r="B13061" s="0" t="str">
        <f aca="false">HYPERLINK("https://lindat.mff.cuni.cz/services/teitok/pdtc10/index.php?action=vallex&amp;frame=v-w1693hsa_1884", "létat (v-w1693hsa_1884)")</f>
        <v>létat (v-w1693hsa_1884)</v>
      </c>
    </row>
    <row r="13062" customFormat="false" ht="12.8" hidden="false" customHeight="false" outlineLevel="0" collapsed="false">
      <c r="B13062" s="0" t="s">
        <v>7</v>
      </c>
    </row>
    <row r="13063" customFormat="false" ht="12.8" hidden="false" customHeight="false" outlineLevel="0" collapsed="false">
      <c r="B13063" s="0" t="s">
        <v>548</v>
      </c>
    </row>
    <row r="13065" customFormat="false" ht="12.8" hidden="false" customHeight="false" outlineLevel="0" collapsed="false">
      <c r="A13065" s="0" t="s">
        <v>5281</v>
      </c>
      <c r="B13065" s="0" t="str">
        <f aca="false">HYPERLINK("https://lindat.mff.cuni.cz/services/teitok/pdtc10/index.php?action=vallex&amp;frame=v-w1697f1", "lézt (v-w1697f1)")</f>
        <v>lézt (v-w1697f1)</v>
      </c>
    </row>
    <row r="13066" customFormat="false" ht="12.8" hidden="false" customHeight="false" outlineLevel="0" collapsed="false">
      <c r="B13066" s="0" t="s">
        <v>7</v>
      </c>
    </row>
    <row r="13067" customFormat="false" ht="12.8" hidden="false" customHeight="false" outlineLevel="0" collapsed="false">
      <c r="B13067" s="0" t="s">
        <v>124</v>
      </c>
    </row>
    <row r="13069" customFormat="false" ht="12.8" hidden="false" customHeight="false" outlineLevel="0" collapsed="false">
      <c r="A13069" s="0" t="s">
        <v>5282</v>
      </c>
      <c r="B13069" s="0" t="str">
        <f aca="false">HYPERLINK("https://lindat.mff.cuni.cz/services/teitok/pdtc10/index.php?action=vallex&amp;frame=v-w1697f4", "lézt (v-w1697f4)")</f>
        <v>lézt (v-w1697f4)</v>
      </c>
    </row>
    <row r="13070" customFormat="false" ht="12.8" hidden="false" customHeight="false" outlineLevel="0" collapsed="false">
      <c r="B13070" s="0" t="s">
        <v>7</v>
      </c>
    </row>
    <row r="13072" customFormat="false" ht="12.8" hidden="false" customHeight="false" outlineLevel="0" collapsed="false">
      <c r="A13072" s="0" t="s">
        <v>5283</v>
      </c>
      <c r="B13072" s="0" t="str">
        <f aca="false">HYPERLINK("https://lindat.mff.cuni.cz/services/teitok/pdtc10/index.php?action=vallex&amp;frame=v-w1697f2", "lézt (v-w1697f2)")</f>
        <v>lézt (v-w1697f2)</v>
      </c>
    </row>
    <row r="13073" customFormat="false" ht="12.8" hidden="false" customHeight="false" outlineLevel="0" collapsed="false">
      <c r="B13073" s="0" t="s">
        <v>7</v>
      </c>
    </row>
    <row r="13074" customFormat="false" ht="12.8" hidden="false" customHeight="false" outlineLevel="0" collapsed="false">
      <c r="B13074" s="0" t="s">
        <v>5284</v>
      </c>
    </row>
    <row r="13075" customFormat="false" ht="12.8" hidden="false" customHeight="false" outlineLevel="0" collapsed="false">
      <c r="B13075" s="0" t="s">
        <v>142</v>
      </c>
    </row>
    <row r="13077" customFormat="false" ht="12.8" hidden="false" customHeight="false" outlineLevel="0" collapsed="false">
      <c r="A13077" s="0" t="s">
        <v>5285</v>
      </c>
      <c r="B13077" s="0" t="str">
        <f aca="false">HYPERLINK("https://lindat.mff.cuni.cz/services/teitok/pdtc10/index.php?action=vallex&amp;frame=v-w1697f3", "lézt (v-w1697f3)")</f>
        <v>lézt (v-w1697f3)</v>
      </c>
    </row>
    <row r="13078" customFormat="false" ht="12.8" hidden="false" customHeight="false" outlineLevel="0" collapsed="false">
      <c r="B13078" s="0" t="s">
        <v>7</v>
      </c>
    </row>
    <row r="13079" customFormat="false" ht="12.8" hidden="false" customHeight="false" outlineLevel="0" collapsed="false">
      <c r="B13079" s="0" t="s">
        <v>1042</v>
      </c>
    </row>
    <row r="13080" customFormat="false" ht="12.8" hidden="false" customHeight="false" outlineLevel="0" collapsed="false">
      <c r="B13080" s="0" t="s">
        <v>142</v>
      </c>
    </row>
    <row r="13082" customFormat="false" ht="12.8" hidden="false" customHeight="false" outlineLevel="0" collapsed="false">
      <c r="A13082" s="0" t="s">
        <v>5286</v>
      </c>
      <c r="B13082" s="0" t="str">
        <f aca="false">HYPERLINK("https://lindat.mff.cuni.cz/services/teitok/pdtc10/index.php?action=vallex&amp;frame=v-w1697hsa_963", "lézt (v-w1697hsa_963)")</f>
        <v>lézt (v-w1697hsa_963)</v>
      </c>
    </row>
    <row r="13083" customFormat="false" ht="12.8" hidden="false" customHeight="false" outlineLevel="0" collapsed="false">
      <c r="B13083" s="0" t="s">
        <v>7</v>
      </c>
    </row>
    <row r="13085" customFormat="false" ht="12.8" hidden="false" customHeight="false" outlineLevel="0" collapsed="false">
      <c r="A13085" s="0" t="s">
        <v>5287</v>
      </c>
      <c r="B13085" s="0" t="str">
        <f aca="false">HYPERLINK("https://lindat.mff.cuni.cz/services/teitok/pdtc10/index.php?action=vallex&amp;frame=v-w1671f1", "léčit (v-w1671f1)")</f>
        <v>léčit (v-w1671f1)</v>
      </c>
    </row>
    <row r="13086" customFormat="false" ht="12.8" hidden="false" customHeight="false" outlineLevel="0" collapsed="false">
      <c r="B13086" s="0" t="s">
        <v>7</v>
      </c>
      <c r="C13086" s="0" t="s">
        <v>5288</v>
      </c>
      <c r="D13086" s="0" t="s">
        <v>5289</v>
      </c>
      <c r="E13086" s="0" t="s">
        <v>5289</v>
      </c>
      <c r="F13086" s="0" t="s">
        <v>5289</v>
      </c>
    </row>
    <row r="13087" customFormat="false" ht="12.8" hidden="false" customHeight="false" outlineLevel="0" collapsed="false">
      <c r="B13087" s="0" t="s">
        <v>14</v>
      </c>
      <c r="C13087" s="0" t="s">
        <v>5290</v>
      </c>
      <c r="D13087" s="0" t="s">
        <v>5291</v>
      </c>
      <c r="E13087" s="0" t="s">
        <v>5291</v>
      </c>
      <c r="F13087" s="0" t="s">
        <v>5291</v>
      </c>
    </row>
    <row r="13089" customFormat="false" ht="12.8" hidden="false" customHeight="false" outlineLevel="0" collapsed="false">
      <c r="A13089" s="0" t="s">
        <v>5292</v>
      </c>
      <c r="B13089" s="0" t="str">
        <f aca="false">HYPERLINK("https://lindat.mff.cuni.cz/services/teitok/pdtc10/index.php?action=vallex&amp;frame=v-w1671f2", "léčit (v-w1671f2)")</f>
        <v>léčit (v-w1671f2)</v>
      </c>
    </row>
    <row r="13090" customFormat="false" ht="12.8" hidden="false" customHeight="false" outlineLevel="0" collapsed="false">
      <c r="B13090" s="0" t="s">
        <v>7</v>
      </c>
      <c r="C13090" s="0" t="s">
        <v>46</v>
      </c>
      <c r="D13090" s="0" t="s">
        <v>46</v>
      </c>
      <c r="E13090" s="0" t="s">
        <v>46</v>
      </c>
      <c r="F13090" s="0" t="s">
        <v>46</v>
      </c>
    </row>
    <row r="13091" customFormat="false" ht="12.8" hidden="false" customHeight="false" outlineLevel="0" collapsed="false">
      <c r="B13091" s="0" t="s">
        <v>81</v>
      </c>
      <c r="C13091" s="0" t="s">
        <v>5293</v>
      </c>
      <c r="D13091" s="0" t="s">
        <v>5293</v>
      </c>
      <c r="E13091" s="0" t="s">
        <v>5293</v>
      </c>
      <c r="F13091" s="0" t="s">
        <v>5293</v>
      </c>
    </row>
    <row r="13092" customFormat="false" ht="12.8" hidden="false" customHeight="false" outlineLevel="0" collapsed="false">
      <c r="B13092" s="0" t="s">
        <v>581</v>
      </c>
      <c r="C13092" s="0" t="s">
        <v>3694</v>
      </c>
      <c r="D13092" s="0" t="s">
        <v>3694</v>
      </c>
      <c r="E13092" s="0" t="s">
        <v>3694</v>
      </c>
      <c r="F13092" s="0" t="s">
        <v>3694</v>
      </c>
    </row>
    <row r="13094" customFormat="false" ht="12.8" hidden="false" customHeight="false" outlineLevel="0" collapsed="false">
      <c r="A13094" s="0" t="s">
        <v>5294</v>
      </c>
      <c r="B13094" s="0" t="str">
        <f aca="false">HYPERLINK("https://lindat.mff.cuni.cz/services/teitok/pdtc10/index.php?action=vallex&amp;frame=v-whsa_1045hsa_1046", "léčit se (v-whsa_1045hsa_1046)")</f>
        <v>léčit se (v-whsa_1045hsa_1046)</v>
      </c>
    </row>
    <row r="13095" customFormat="false" ht="12.8" hidden="false" customHeight="false" outlineLevel="0" collapsed="false">
      <c r="B13095" s="0" t="s">
        <v>7</v>
      </c>
    </row>
    <row r="13096" customFormat="false" ht="12.8" hidden="false" customHeight="false" outlineLevel="0" collapsed="false">
      <c r="B13096" s="0" t="s">
        <v>5295</v>
      </c>
    </row>
    <row r="13098" customFormat="false" ht="12.8" hidden="false" customHeight="false" outlineLevel="0" collapsed="false">
      <c r="A13098" s="0" t="s">
        <v>5296</v>
      </c>
      <c r="B13098" s="0" t="str">
        <f aca="false">HYPERLINK("https://lindat.mff.cuni.cz/services/teitok/pdtc10/index.php?action=vallex&amp;frame=v-w1704f2", "líbat (v-w1704f2)")</f>
        <v>líbat (v-w1704f2)</v>
      </c>
    </row>
    <row r="13099" customFormat="false" ht="12.8" hidden="false" customHeight="false" outlineLevel="0" collapsed="false">
      <c r="B13099" s="0" t="s">
        <v>7</v>
      </c>
    </row>
    <row r="13100" customFormat="false" ht="12.8" hidden="false" customHeight="false" outlineLevel="0" collapsed="false">
      <c r="B13100" s="0" t="s">
        <v>548</v>
      </c>
      <c r="F13100" s="0" t="s">
        <v>47</v>
      </c>
    </row>
    <row r="13101" customFormat="false" ht="12.8" hidden="false" customHeight="false" outlineLevel="0" collapsed="false">
      <c r="B13101" s="0" t="s">
        <v>1252</v>
      </c>
    </row>
    <row r="13103" customFormat="false" ht="12.8" hidden="false" customHeight="false" outlineLevel="0" collapsed="false">
      <c r="A13103" s="0" t="s">
        <v>5297</v>
      </c>
      <c r="B13103" s="0" t="str">
        <f aca="false">HYPERLINK("https://lindat.mff.cuni.cz/services/teitok/pdtc10/index.php?action=vallex&amp;frame=v-w1704f1", "líbat (v-w1704f1)")</f>
        <v>líbat (v-w1704f1)</v>
      </c>
    </row>
    <row r="13104" customFormat="false" ht="12.8" hidden="false" customHeight="false" outlineLevel="0" collapsed="false">
      <c r="B13104" s="0" t="s">
        <v>7</v>
      </c>
    </row>
    <row r="13105" customFormat="false" ht="12.8" hidden="false" customHeight="false" outlineLevel="0" collapsed="false">
      <c r="B13105" s="0" t="s">
        <v>14</v>
      </c>
      <c r="F13105" s="0" t="s">
        <v>47</v>
      </c>
    </row>
    <row r="13107" customFormat="false" ht="12.8" hidden="false" customHeight="false" outlineLevel="0" collapsed="false">
      <c r="A13107" s="0" t="s">
        <v>5298</v>
      </c>
      <c r="B13107" s="0" t="str">
        <f aca="false">HYPERLINK("https://lindat.mff.cuni.cz/services/teitok/pdtc10/index.php?action=vallex&amp;frame=v-w1707f2_ZU", "líbit se (v-w1707f2_ZU)")</f>
        <v>líbit se (v-w1707f2_ZU)</v>
      </c>
    </row>
    <row r="13108" customFormat="false" ht="12.8" hidden="false" customHeight="false" outlineLevel="0" collapsed="false">
      <c r="B13108" s="0" t="s">
        <v>603</v>
      </c>
    </row>
    <row r="13109" customFormat="false" ht="12.8" hidden="false" customHeight="false" outlineLevel="0" collapsed="false">
      <c r="B13109" s="0" t="s">
        <v>5299</v>
      </c>
    </row>
    <row r="13111" customFormat="false" ht="12.8" hidden="false" customHeight="false" outlineLevel="0" collapsed="false">
      <c r="A13111" s="0" t="s">
        <v>5298</v>
      </c>
      <c r="B13111" s="0" t="str">
        <f aca="false">HYPERLINK("https://lindat.mff.cuni.cz/services/teitok/pdtc10/index.php?action=vallex&amp;frame=v-w1707f1", "líbit se (v-w1707f1) - substituted with v-w1707f2_ZU")</f>
        <v>líbit se (v-w1707f1) - substituted with v-w1707f2_ZU</v>
      </c>
    </row>
    <row r="13112" customFormat="false" ht="12.8" hidden="false" customHeight="false" outlineLevel="0" collapsed="false">
      <c r="B13112" s="0" t="s">
        <v>603</v>
      </c>
      <c r="C13112" s="0" t="s">
        <v>5300</v>
      </c>
      <c r="D13112" s="0" t="s">
        <v>5094</v>
      </c>
      <c r="E13112" s="0" t="s">
        <v>5094</v>
      </c>
      <c r="F13112" s="0" t="s">
        <v>5094</v>
      </c>
    </row>
    <row r="13113" customFormat="false" ht="12.8" hidden="false" customHeight="false" outlineLevel="0" collapsed="false">
      <c r="B13113" s="0" t="s">
        <v>5299</v>
      </c>
      <c r="C13113" s="0" t="s">
        <v>5301</v>
      </c>
      <c r="D13113" s="0" t="s">
        <v>5096</v>
      </c>
      <c r="E13113" s="0" t="s">
        <v>5096</v>
      </c>
      <c r="F13113" s="0" t="s">
        <v>5096</v>
      </c>
    </row>
    <row r="13115" customFormat="false" ht="12.8" hidden="false" customHeight="false" outlineLevel="0" collapsed="false">
      <c r="A13115" s="0" t="s">
        <v>5302</v>
      </c>
      <c r="B13115" s="0" t="str">
        <f aca="false">HYPERLINK("https://lindat.mff.cuni.cz/services/teitok/pdtc10/index.php?action=vallex&amp;frame=v-w12105_ZUf1_ZU", "líhnout se (v-w12105_ZUf1_ZU)")</f>
        <v>líhnout se (v-w12105_ZUf1_ZU)</v>
      </c>
    </row>
    <row r="13116" customFormat="false" ht="12.8" hidden="false" customHeight="false" outlineLevel="0" collapsed="false">
      <c r="B13116" s="0" t="s">
        <v>7</v>
      </c>
    </row>
    <row r="13117" customFormat="false" ht="12.8" hidden="false" customHeight="false" outlineLevel="0" collapsed="false">
      <c r="B13117" s="0" t="s">
        <v>581</v>
      </c>
    </row>
    <row r="13119" customFormat="false" ht="12.8" hidden="false" customHeight="false" outlineLevel="0" collapsed="false">
      <c r="A13119" s="0" t="s">
        <v>5303</v>
      </c>
      <c r="B13119" s="0" t="str">
        <f aca="false">HYPERLINK("https://lindat.mff.cuni.cz/services/teitok/pdtc10/index.php?action=vallex&amp;frame=v-w11855_ZUf1_ZU", "lísknout (v-w11855_ZUf1_ZU)")</f>
        <v>lísknout (v-w11855_ZUf1_ZU)</v>
      </c>
    </row>
    <row r="13120" customFormat="false" ht="12.8" hidden="false" customHeight="false" outlineLevel="0" collapsed="false">
      <c r="B13120" s="0" t="s">
        <v>7</v>
      </c>
    </row>
    <row r="13121" customFormat="false" ht="12.8" hidden="false" customHeight="false" outlineLevel="0" collapsed="false">
      <c r="B13121" s="0" t="s">
        <v>14</v>
      </c>
    </row>
    <row r="13123" customFormat="false" ht="12.8" hidden="false" customHeight="false" outlineLevel="0" collapsed="false">
      <c r="A13123" s="0" t="s">
        <v>5304</v>
      </c>
      <c r="B13123" s="0" t="str">
        <f aca="false">HYPERLINK("https://lindat.mff.cuni.cz/services/teitok/pdtc10/index.php?action=vallex&amp;frame=v-w1730f2", "lít (v-w1730f2)")</f>
        <v>lít (v-w1730f2)</v>
      </c>
    </row>
    <row r="13124" customFormat="false" ht="12.8" hidden="false" customHeight="false" outlineLevel="0" collapsed="false">
      <c r="B13124" s="0" t="s">
        <v>7</v>
      </c>
    </row>
    <row r="13125" customFormat="false" ht="12.8" hidden="false" customHeight="false" outlineLevel="0" collapsed="false">
      <c r="B13125" s="0" t="s">
        <v>14</v>
      </c>
    </row>
    <row r="13126" customFormat="false" ht="12.8" hidden="false" customHeight="false" outlineLevel="0" collapsed="false">
      <c r="B13126" s="0" t="s">
        <v>124</v>
      </c>
    </row>
    <row r="13128" customFormat="false" ht="12.8" hidden="false" customHeight="false" outlineLevel="0" collapsed="false">
      <c r="A13128" s="0" t="s">
        <v>5305</v>
      </c>
      <c r="B13128" s="0" t="str">
        <f aca="false">HYPERLINK("https://lindat.mff.cuni.cz/services/teitok/pdtc10/index.php?action=vallex&amp;frame=v-w1730f3", "lít (v-w1730f3)")</f>
        <v>lít (v-w1730f3)</v>
      </c>
    </row>
    <row r="13129" customFormat="false" ht="12.8" hidden="false" customHeight="false" outlineLevel="0" collapsed="false">
      <c r="B13129" s="0" t="s">
        <v>7</v>
      </c>
      <c r="C13129" s="0" t="s">
        <v>157</v>
      </c>
      <c r="D13129" s="0" t="s">
        <v>1410</v>
      </c>
      <c r="E13129" s="0" t="s">
        <v>1410</v>
      </c>
      <c r="F13129" s="0" t="s">
        <v>1410</v>
      </c>
    </row>
    <row r="13130" customFormat="false" ht="12.8" hidden="false" customHeight="false" outlineLevel="0" collapsed="false">
      <c r="B13130" s="0" t="s">
        <v>14</v>
      </c>
      <c r="C13130" s="0" t="s">
        <v>159</v>
      </c>
      <c r="D13130" s="0" t="s">
        <v>1411</v>
      </c>
      <c r="E13130" s="0" t="s">
        <v>1411</v>
      </c>
      <c r="F13130" s="0" t="s">
        <v>1411</v>
      </c>
    </row>
    <row r="13131" customFormat="false" ht="12.8" hidden="false" customHeight="false" outlineLevel="0" collapsed="false">
      <c r="B13131" s="0" t="s">
        <v>124</v>
      </c>
      <c r="D13131" s="0" t="s">
        <v>1412</v>
      </c>
      <c r="E13131" s="0" t="s">
        <v>1412</v>
      </c>
      <c r="F13131" s="0" t="s">
        <v>1412</v>
      </c>
    </row>
    <row r="13133" customFormat="false" ht="12.8" hidden="false" customHeight="false" outlineLevel="0" collapsed="false">
      <c r="A13133" s="0" t="s">
        <v>5306</v>
      </c>
      <c r="B13133" s="0" t="str">
        <f aca="false">HYPERLINK("https://lindat.mff.cuni.cz/services/teitok/pdtc10/index.php?action=vallex&amp;frame=v-w1730f1", "lít (v-w1730f1)")</f>
        <v>lít (v-w1730f1)</v>
      </c>
    </row>
    <row r="13135" customFormat="false" ht="12.8" hidden="false" customHeight="false" outlineLevel="0" collapsed="false">
      <c r="A13135" s="0" t="s">
        <v>5307</v>
      </c>
      <c r="B13135" s="0" t="str">
        <f aca="false">HYPERLINK("https://lindat.mff.cuni.cz/services/teitok/pdtc10/index.php?action=vallex&amp;frame=v-w1730f4_ZU", "lít (v-w1730f4_ZU)")</f>
        <v>lít (v-w1730f4_ZU)</v>
      </c>
    </row>
    <row r="13136" customFormat="false" ht="12.8" hidden="false" customHeight="false" outlineLevel="0" collapsed="false">
      <c r="B13136" s="0" t="s">
        <v>7</v>
      </c>
    </row>
    <row r="13137" customFormat="false" ht="12.8" hidden="false" customHeight="false" outlineLevel="0" collapsed="false">
      <c r="B13137" s="0" t="s">
        <v>5308</v>
      </c>
    </row>
    <row r="13139" customFormat="false" ht="12.8" hidden="false" customHeight="false" outlineLevel="0" collapsed="false">
      <c r="A13139" s="0" t="s">
        <v>5309</v>
      </c>
      <c r="B13139" s="0" t="str">
        <f aca="false">HYPERLINK("https://lindat.mff.cuni.cz/services/teitok/pdtc10/index.php?action=vallex&amp;frame=v-w1730hsa_295", "lít (v-w1730hsa_295)")</f>
        <v>lít (v-w1730hsa_295)</v>
      </c>
    </row>
    <row r="13140" customFormat="false" ht="12.8" hidden="false" customHeight="false" outlineLevel="0" collapsed="false">
      <c r="B13140" s="0" t="s">
        <v>7</v>
      </c>
    </row>
    <row r="13141" customFormat="false" ht="12.8" hidden="false" customHeight="false" outlineLevel="0" collapsed="false">
      <c r="B13141" s="0" t="s">
        <v>14</v>
      </c>
    </row>
    <row r="13143" customFormat="false" ht="12.8" hidden="false" customHeight="false" outlineLevel="0" collapsed="false">
      <c r="A13143" s="0" t="s">
        <v>5310</v>
      </c>
      <c r="B13143" s="0" t="str">
        <f aca="false">HYPERLINK("https://lindat.mff.cuni.cz/services/teitok/pdtc10/index.php?action=vallex&amp;frame=v-w11516_ZUf4_ZU", "lítat (v-w11516_ZUf4_ZU)")</f>
        <v>lítat (v-w11516_ZUf4_ZU)</v>
      </c>
    </row>
    <row r="13144" customFormat="false" ht="12.8" hidden="false" customHeight="false" outlineLevel="0" collapsed="false">
      <c r="B13144" s="0" t="s">
        <v>7</v>
      </c>
    </row>
    <row r="13146" customFormat="false" ht="12.8" hidden="false" customHeight="false" outlineLevel="0" collapsed="false">
      <c r="A13146" s="0" t="s">
        <v>5310</v>
      </c>
      <c r="B13146" s="0" t="str">
        <f aca="false">HYPERLINK("https://lindat.mff.cuni.cz/services/teitok/pdtc10/index.php?action=vallex&amp;frame=v-w11516_ZUf1_ZU", "lítat (v-w11516_ZUf1_ZU) - substituted with v-w11516_ZUf4_ZU")</f>
        <v>lítat (v-w11516_ZUf1_ZU) - substituted with v-w11516_ZUf4_ZU</v>
      </c>
    </row>
    <row r="13147" customFormat="false" ht="12.8" hidden="false" customHeight="false" outlineLevel="0" collapsed="false">
      <c r="B13147" s="0" t="s">
        <v>7</v>
      </c>
    </row>
    <row r="13149" customFormat="false" ht="12.8" hidden="false" customHeight="false" outlineLevel="0" collapsed="false">
      <c r="A13149" s="0" t="s">
        <v>5310</v>
      </c>
      <c r="B13149" s="0" t="str">
        <f aca="false">HYPERLINK("https://lindat.mff.cuni.cz/services/teitok/pdtc10/index.php?action=vallex&amp;frame=v-w11516_ZUf2_ZU", "lítat (v-w11516_ZUf2_ZU) - substituted with v-w11516_ZUf4_ZU")</f>
        <v>lítat (v-w11516_ZUf2_ZU) - substituted with v-w11516_ZUf4_ZU</v>
      </c>
    </row>
    <row r="13150" customFormat="false" ht="12.8" hidden="false" customHeight="false" outlineLevel="0" collapsed="false">
      <c r="B13150" s="0" t="s">
        <v>7</v>
      </c>
    </row>
    <row r="13152" customFormat="false" ht="12.8" hidden="false" customHeight="false" outlineLevel="0" collapsed="false">
      <c r="A13152" s="0" t="s">
        <v>5310</v>
      </c>
      <c r="B13152" s="0" t="str">
        <f aca="false">HYPERLINK("https://lindat.mff.cuni.cz/services/teitok/pdtc10/index.php?action=vallex&amp;frame=v-w11516_ZUf3_ZU", "lítat (v-w11516_ZUf3_ZU) - substituted with v-w11516_ZUf4_ZU")</f>
        <v>lítat (v-w11516_ZUf3_ZU) - substituted with v-w11516_ZUf4_ZU</v>
      </c>
    </row>
    <row r="13153" customFormat="false" ht="12.8" hidden="false" customHeight="false" outlineLevel="0" collapsed="false">
      <c r="B13153" s="0" t="s">
        <v>7</v>
      </c>
    </row>
    <row r="13155" customFormat="false" ht="12.8" hidden="false" customHeight="false" outlineLevel="0" collapsed="false">
      <c r="A13155" s="0" t="s">
        <v>5311</v>
      </c>
      <c r="B13155" s="0" t="str">
        <f aca="false">HYPERLINK("https://lindat.mff.cuni.cz/services/teitok/pdtc10/index.php?action=vallex&amp;frame=v-w11516_ZUf5_ZU", "lítat (v-w11516_ZUf5_ZU)")</f>
        <v>lítat (v-w11516_ZUf5_ZU)</v>
      </c>
    </row>
    <row r="13156" customFormat="false" ht="12.8" hidden="false" customHeight="false" outlineLevel="0" collapsed="false">
      <c r="B13156" s="0" t="s">
        <v>7</v>
      </c>
    </row>
    <row r="13158" customFormat="false" ht="12.8" hidden="false" customHeight="false" outlineLevel="0" collapsed="false">
      <c r="A13158" s="0" t="s">
        <v>5312</v>
      </c>
      <c r="B13158" s="0" t="str">
        <f aca="false">HYPERLINK("https://lindat.mff.cuni.cz/services/teitok/pdtc10/index.php?action=vallex&amp;frame=v-w11516_ZUhsa_696", "lítat (v-w11516_ZUhsa_696)")</f>
        <v>lítat (v-w11516_ZUhsa_696)</v>
      </c>
    </row>
    <row r="13159" customFormat="false" ht="12.8" hidden="false" customHeight="false" outlineLevel="0" collapsed="false">
      <c r="B13159" s="0" t="s">
        <v>7</v>
      </c>
    </row>
    <row r="13161" customFormat="false" ht="12.8" hidden="false" customHeight="false" outlineLevel="0" collapsed="false">
      <c r="A13161" s="0" t="s">
        <v>5313</v>
      </c>
      <c r="B13161" s="0" t="str">
        <f aca="false">HYPERLINK("https://lindat.mff.cuni.cz/services/teitok/pdtc10/index.php?action=vallex&amp;frame=v-w11516_ZUhsa_697", "lítat (v-w11516_ZUhsa_697)")</f>
        <v>lítat (v-w11516_ZUhsa_697)</v>
      </c>
    </row>
    <row r="13162" customFormat="false" ht="12.8" hidden="false" customHeight="false" outlineLevel="0" collapsed="false">
      <c r="B13162" s="0" t="s">
        <v>7</v>
      </c>
    </row>
    <row r="13164" customFormat="false" ht="12.8" hidden="false" customHeight="false" outlineLevel="0" collapsed="false">
      <c r="A13164" s="0" t="s">
        <v>5314</v>
      </c>
      <c r="B13164" s="0" t="str">
        <f aca="false">HYPERLINK("https://lindat.mff.cuni.cz/services/teitok/pdtc10/index.php?action=vallex&amp;frame=v-w11516_ZUhsa_698", "lítat (v-w11516_ZUhsa_698)")</f>
        <v>lítat (v-w11516_ZUhsa_698)</v>
      </c>
    </row>
    <row r="13165" customFormat="false" ht="12.8" hidden="false" customHeight="false" outlineLevel="0" collapsed="false">
      <c r="B13165" s="0" t="s">
        <v>7</v>
      </c>
    </row>
    <row r="13166" customFormat="false" ht="12.8" hidden="false" customHeight="false" outlineLevel="0" collapsed="false">
      <c r="B13166" s="0" t="s">
        <v>14</v>
      </c>
    </row>
    <row r="13168" customFormat="false" ht="12.8" hidden="false" customHeight="false" outlineLevel="0" collapsed="false">
      <c r="A13168" s="0" t="s">
        <v>5315</v>
      </c>
      <c r="B13168" s="0" t="str">
        <f aca="false">HYPERLINK("https://lindat.mff.cuni.cz/services/teitok/pdtc10/index.php?action=vallex&amp;frame=v-w11516_ZUhsa_699", "lítat (v-w11516_ZUhsa_699)")</f>
        <v>lítat (v-w11516_ZUhsa_699)</v>
      </c>
    </row>
    <row r="13169" customFormat="false" ht="12.8" hidden="false" customHeight="false" outlineLevel="0" collapsed="false">
      <c r="B13169" s="0" t="s">
        <v>7</v>
      </c>
    </row>
    <row r="13170" customFormat="false" ht="12.8" hidden="false" customHeight="false" outlineLevel="0" collapsed="false">
      <c r="B13170" s="0" t="s">
        <v>548</v>
      </c>
    </row>
    <row r="13172" customFormat="false" ht="12.8" hidden="false" customHeight="false" outlineLevel="0" collapsed="false">
      <c r="A13172" s="0" t="s">
        <v>5316</v>
      </c>
      <c r="B13172" s="0" t="str">
        <f aca="false">HYPERLINK("https://lindat.mff.cuni.cz/services/teitok/pdtc10/index.php?action=vallex&amp;frame=v-w10352f2", "lízat (v-w10352f2)")</f>
        <v>lízat (v-w10352f2)</v>
      </c>
    </row>
    <row r="13173" customFormat="false" ht="12.8" hidden="false" customHeight="false" outlineLevel="0" collapsed="false">
      <c r="B13173" s="0" t="s">
        <v>7</v>
      </c>
      <c r="C13173" s="0" t="s">
        <v>191</v>
      </c>
    </row>
    <row r="13174" customFormat="false" ht="12.8" hidden="false" customHeight="false" outlineLevel="0" collapsed="false">
      <c r="B13174" s="0" t="s">
        <v>14</v>
      </c>
      <c r="C13174" s="0" t="s">
        <v>47</v>
      </c>
    </row>
    <row r="13176" customFormat="false" ht="12.8" hidden="false" customHeight="false" outlineLevel="0" collapsed="false">
      <c r="A13176" s="0" t="s">
        <v>5317</v>
      </c>
      <c r="B13176" s="0" t="str">
        <f aca="false">HYPERLINK("https://lindat.mff.cuni.cz/services/teitok/pdtc10/index.php?action=vallex&amp;frame=v-w10352f3_ZU", "lízat (v-w10352f3_ZU)")</f>
        <v>lízat (v-w10352f3_ZU)</v>
      </c>
    </row>
    <row r="13177" customFormat="false" ht="12.8" hidden="false" customHeight="false" outlineLevel="0" collapsed="false">
      <c r="B13177" s="0" t="s">
        <v>7</v>
      </c>
    </row>
    <row r="13178" customFormat="false" ht="12.8" hidden="false" customHeight="false" outlineLevel="0" collapsed="false">
      <c r="B13178" s="0" t="s">
        <v>14</v>
      </c>
    </row>
    <row r="13180" customFormat="false" ht="12.8" hidden="false" customHeight="false" outlineLevel="0" collapsed="false">
      <c r="A13180" s="0" t="s">
        <v>5318</v>
      </c>
      <c r="B13180" s="0" t="str">
        <f aca="false">HYPERLINK("https://lindat.mff.cuni.cz/services/teitok/pdtc10/index.php?action=vallex&amp;frame=v-w10352hsa_247", "lízat (v-w10352hsa_247)")</f>
        <v>lízat (v-w10352hsa_247)</v>
      </c>
    </row>
    <row r="13181" customFormat="false" ht="12.8" hidden="false" customHeight="false" outlineLevel="0" collapsed="false">
      <c r="B13181" s="0" t="s">
        <v>7</v>
      </c>
    </row>
    <row r="13182" customFormat="false" ht="12.8" hidden="false" customHeight="false" outlineLevel="0" collapsed="false">
      <c r="B13182" s="0" t="s">
        <v>14</v>
      </c>
    </row>
    <row r="13184" customFormat="false" ht="12.8" hidden="false" customHeight="false" outlineLevel="0" collapsed="false">
      <c r="A13184" s="0" t="s">
        <v>5319</v>
      </c>
      <c r="B13184" s="0" t="str">
        <f aca="false">HYPERLINK("https://lindat.mff.cuni.cz/services/teitok/pdtc10/index.php?action=vallex&amp;frame=v-w12328_MMf1_MM", "líznout (v-w12328_MMf1_MM)")</f>
        <v>líznout (v-w12328_MMf1_MM)</v>
      </c>
    </row>
    <row r="13185" customFormat="false" ht="12.8" hidden="false" customHeight="false" outlineLevel="0" collapsed="false">
      <c r="B13185" s="0" t="s">
        <v>7</v>
      </c>
    </row>
    <row r="13186" customFormat="false" ht="12.8" hidden="false" customHeight="false" outlineLevel="0" collapsed="false">
      <c r="B13186" s="0" t="s">
        <v>14</v>
      </c>
    </row>
    <row r="13188" customFormat="false" ht="12.8" hidden="false" customHeight="false" outlineLevel="0" collapsed="false">
      <c r="A13188" s="0" t="s">
        <v>5320</v>
      </c>
      <c r="B13188" s="0" t="str">
        <f aca="false">HYPERLINK("https://lindat.mff.cuni.cz/services/teitok/pdtc10/index.php?action=vallex&amp;frame=v-w1712f3_ZU", "líčit (v-w1712f3_ZU)")</f>
        <v>líčit (v-w1712f3_ZU)</v>
      </c>
    </row>
    <row r="13189" customFormat="false" ht="12.8" hidden="false" customHeight="false" outlineLevel="0" collapsed="false">
      <c r="B13189" s="0" t="s">
        <v>7</v>
      </c>
    </row>
    <row r="13190" customFormat="false" ht="12.8" hidden="false" customHeight="false" outlineLevel="0" collapsed="false">
      <c r="B13190" s="0" t="s">
        <v>5321</v>
      </c>
    </row>
    <row r="13191" customFormat="false" ht="12.8" hidden="false" customHeight="false" outlineLevel="0" collapsed="false">
      <c r="B13191" s="0" t="s">
        <v>106</v>
      </c>
    </row>
    <row r="13193" customFormat="false" ht="12.8" hidden="false" customHeight="false" outlineLevel="0" collapsed="false">
      <c r="A13193" s="0" t="s">
        <v>5320</v>
      </c>
      <c r="B13193" s="0" t="str">
        <f aca="false">HYPERLINK("https://lindat.mff.cuni.cz/services/teitok/pdtc10/index.php?action=vallex&amp;frame=v-w1712f1", "líčit (v-w1712f1) - substituted with v-w1712f3_ZU")</f>
        <v>líčit (v-w1712f1) - substituted with v-w1712f3_ZU</v>
      </c>
    </row>
    <row r="13194" customFormat="false" ht="12.8" hidden="false" customHeight="false" outlineLevel="0" collapsed="false">
      <c r="B13194" s="0" t="s">
        <v>7</v>
      </c>
      <c r="C13194" s="0" t="s">
        <v>468</v>
      </c>
      <c r="D13194" s="0" t="s">
        <v>5322</v>
      </c>
      <c r="E13194" s="0" t="s">
        <v>5322</v>
      </c>
      <c r="F13194" s="0" t="s">
        <v>5322</v>
      </c>
    </row>
    <row r="13195" customFormat="false" ht="12.8" hidden="false" customHeight="false" outlineLevel="0" collapsed="false">
      <c r="B13195" s="0" t="s">
        <v>5321</v>
      </c>
      <c r="C13195" s="0" t="s">
        <v>3816</v>
      </c>
      <c r="D13195" s="0" t="s">
        <v>5323</v>
      </c>
      <c r="E13195" s="0" t="s">
        <v>5323</v>
      </c>
      <c r="F13195" s="0" t="s">
        <v>5323</v>
      </c>
    </row>
    <row r="13196" customFormat="false" ht="12.8" hidden="false" customHeight="false" outlineLevel="0" collapsed="false">
      <c r="B13196" s="0" t="s">
        <v>106</v>
      </c>
      <c r="D13196" s="0" t="s">
        <v>5324</v>
      </c>
      <c r="E13196" s="0" t="s">
        <v>5324</v>
      </c>
      <c r="F13196" s="0" t="s">
        <v>5324</v>
      </c>
    </row>
    <row r="13198" customFormat="false" ht="12.8" hidden="false" customHeight="false" outlineLevel="0" collapsed="false">
      <c r="A13198" s="0" t="s">
        <v>5325</v>
      </c>
      <c r="B13198" s="0" t="str">
        <f aca="false">HYPERLINK("https://lindat.mff.cuni.cz/services/teitok/pdtc10/index.php?action=vallex&amp;frame=v-w1712f2", "líčit (v-w1712f2)")</f>
        <v>líčit (v-w1712f2)</v>
      </c>
    </row>
    <row r="13199" customFormat="false" ht="12.8" hidden="false" customHeight="false" outlineLevel="0" collapsed="false">
      <c r="B13199" s="0" t="s">
        <v>7</v>
      </c>
    </row>
    <row r="13200" customFormat="false" ht="12.8" hidden="false" customHeight="false" outlineLevel="0" collapsed="false">
      <c r="B13200" s="0" t="s">
        <v>14</v>
      </c>
    </row>
    <row r="13202" customFormat="false" ht="12.8" hidden="false" customHeight="false" outlineLevel="0" collapsed="false">
      <c r="A13202" s="0" t="s">
        <v>5326</v>
      </c>
      <c r="B13202" s="0" t="str">
        <f aca="false">HYPERLINK("https://lindat.mff.cuni.cz/services/teitok/pdtc10/index.php?action=vallex&amp;frame=v-w1765f1", "makat (v-w1765f1)")</f>
        <v>makat (v-w1765f1)</v>
      </c>
    </row>
    <row r="13203" customFormat="false" ht="12.8" hidden="false" customHeight="false" outlineLevel="0" collapsed="false">
      <c r="B13203" s="0" t="s">
        <v>7</v>
      </c>
    </row>
    <row r="13205" customFormat="false" ht="12.8" hidden="false" customHeight="false" outlineLevel="0" collapsed="false">
      <c r="A13205" s="0" t="s">
        <v>5327</v>
      </c>
      <c r="B13205" s="0" t="str">
        <f aca="false">HYPERLINK("https://lindat.mff.cuni.cz/services/teitok/pdtc10/index.php?action=vallex&amp;frame=v-w1771f4_ZU", "malovat (v-w1771f4_ZU)")</f>
        <v>malovat (v-w1771f4_ZU)</v>
      </c>
    </row>
    <row r="13206" customFormat="false" ht="12.8" hidden="false" customHeight="false" outlineLevel="0" collapsed="false">
      <c r="B13206" s="0" t="s">
        <v>7</v>
      </c>
    </row>
    <row r="13207" customFormat="false" ht="12.8" hidden="false" customHeight="false" outlineLevel="0" collapsed="false">
      <c r="B13207" s="0" t="s">
        <v>14</v>
      </c>
    </row>
    <row r="13209" customFormat="false" ht="12.8" hidden="false" customHeight="false" outlineLevel="0" collapsed="false">
      <c r="A13209" s="0" t="s">
        <v>5327</v>
      </c>
      <c r="B13209" s="0" t="str">
        <f aca="false">HYPERLINK("https://lindat.mff.cuni.cz/services/teitok/pdtc10/index.php?action=vallex&amp;frame=v-w1771f1", "malovat (v-w1771f1) - substituted with v-w1771f4_ZU")</f>
        <v>malovat (v-w1771f1) - substituted with v-w1771f4_ZU</v>
      </c>
    </row>
    <row r="13210" customFormat="false" ht="12.8" hidden="false" customHeight="false" outlineLevel="0" collapsed="false">
      <c r="B13210" s="0" t="s">
        <v>7</v>
      </c>
      <c r="C13210" s="0" t="s">
        <v>46</v>
      </c>
      <c r="D13210" s="0" t="s">
        <v>113</v>
      </c>
      <c r="E13210" s="0" t="s">
        <v>113</v>
      </c>
      <c r="F13210" s="0" t="s">
        <v>113</v>
      </c>
    </row>
    <row r="13211" customFormat="false" ht="12.8" hidden="false" customHeight="false" outlineLevel="0" collapsed="false">
      <c r="B13211" s="0" t="s">
        <v>14</v>
      </c>
      <c r="C13211" s="0" t="s">
        <v>567</v>
      </c>
      <c r="D13211" s="0" t="s">
        <v>78</v>
      </c>
      <c r="E13211" s="0" t="s">
        <v>78</v>
      </c>
      <c r="F13211" s="0" t="s">
        <v>78</v>
      </c>
    </row>
    <row r="13213" customFormat="false" ht="12.8" hidden="false" customHeight="false" outlineLevel="0" collapsed="false">
      <c r="A13213" s="0" t="s">
        <v>5328</v>
      </c>
      <c r="B13213" s="0" t="str">
        <f aca="false">HYPERLINK("https://lindat.mff.cuni.cz/services/teitok/pdtc10/index.php?action=vallex&amp;frame=v-w1771hsa_512", "malovat (v-w1771hsa_512)")</f>
        <v>malovat (v-w1771hsa_512)</v>
      </c>
    </row>
    <row r="13214" customFormat="false" ht="12.8" hidden="false" customHeight="false" outlineLevel="0" collapsed="false">
      <c r="B13214" s="0" t="s">
        <v>7</v>
      </c>
      <c r="C13214" s="0" t="s">
        <v>1332</v>
      </c>
      <c r="D13214" s="0" t="s">
        <v>451</v>
      </c>
      <c r="E13214" s="0" t="s">
        <v>451</v>
      </c>
      <c r="F13214" s="0" t="s">
        <v>451</v>
      </c>
    </row>
    <row r="13215" customFormat="false" ht="12.8" hidden="false" customHeight="false" outlineLevel="0" collapsed="false">
      <c r="B13215" s="0" t="s">
        <v>14</v>
      </c>
      <c r="C13215" s="0" t="s">
        <v>33</v>
      </c>
      <c r="D13215" s="0" t="s">
        <v>5329</v>
      </c>
      <c r="E13215" s="0" t="s">
        <v>5329</v>
      </c>
      <c r="F13215" s="0" t="s">
        <v>5329</v>
      </c>
    </row>
    <row r="13217" customFormat="false" ht="12.8" hidden="false" customHeight="false" outlineLevel="0" collapsed="false">
      <c r="A13217" s="0" t="s">
        <v>5330</v>
      </c>
      <c r="B13217" s="0" t="str">
        <f aca="false">HYPERLINK("https://lindat.mff.cuni.cz/services/teitok/pdtc10/index.php?action=vallex&amp;frame=v-w1771f2_ZU", "malovat (v-w1771f2_ZU)")</f>
        <v>malovat (v-w1771f2_ZU)</v>
      </c>
    </row>
    <row r="13218" customFormat="false" ht="12.8" hidden="false" customHeight="false" outlineLevel="0" collapsed="false">
      <c r="B13218" s="0" t="s">
        <v>7</v>
      </c>
    </row>
    <row r="13219" customFormat="false" ht="12.8" hidden="false" customHeight="false" outlineLevel="0" collapsed="false">
      <c r="B13219" s="0" t="s">
        <v>14</v>
      </c>
    </row>
    <row r="13221" customFormat="false" ht="12.8" hidden="false" customHeight="false" outlineLevel="0" collapsed="false">
      <c r="A13221" s="0" t="s">
        <v>5331</v>
      </c>
      <c r="B13221" s="0" t="str">
        <f aca="false">HYPERLINK("https://lindat.mff.cuni.cz/services/teitok/pdtc10/index.php?action=vallex&amp;frame=v-w1771f3_ZU", "malovat (v-w1771f3_ZU)")</f>
        <v>malovat (v-w1771f3_ZU)</v>
      </c>
    </row>
    <row r="13222" customFormat="false" ht="12.8" hidden="false" customHeight="false" outlineLevel="0" collapsed="false">
      <c r="B13222" s="0" t="s">
        <v>7</v>
      </c>
    </row>
    <row r="13223" customFormat="false" ht="12.8" hidden="false" customHeight="false" outlineLevel="0" collapsed="false">
      <c r="B13223" s="0" t="s">
        <v>14</v>
      </c>
    </row>
    <row r="13225" customFormat="false" ht="12.8" hidden="false" customHeight="false" outlineLevel="0" collapsed="false">
      <c r="A13225" s="0" t="s">
        <v>5332</v>
      </c>
      <c r="B13225" s="0" t="str">
        <f aca="false">HYPERLINK("https://lindat.mff.cuni.cz/services/teitok/pdtc10/index.php?action=vallex&amp;frame=v-w1778f3_ZU", "manipulovat (v-w1778f3_ZU)")</f>
        <v>manipulovat (v-w1778f3_ZU)</v>
      </c>
    </row>
    <row r="13226" customFormat="false" ht="12.8" hidden="false" customHeight="false" outlineLevel="0" collapsed="false">
      <c r="B13226" s="0" t="s">
        <v>7</v>
      </c>
      <c r="D13226" s="0" t="s">
        <v>1637</v>
      </c>
      <c r="E13226" s="0" t="s">
        <v>1637</v>
      </c>
      <c r="F13226" s="0" t="s">
        <v>1637</v>
      </c>
    </row>
    <row r="13227" customFormat="false" ht="12.8" hidden="false" customHeight="false" outlineLevel="0" collapsed="false">
      <c r="B13227" s="0" t="s">
        <v>1623</v>
      </c>
      <c r="D13227" s="0" t="s">
        <v>462</v>
      </c>
      <c r="E13227" s="0" t="s">
        <v>462</v>
      </c>
      <c r="F13227" s="0" t="s">
        <v>462</v>
      </c>
    </row>
    <row r="13229" customFormat="false" ht="12.8" hidden="false" customHeight="false" outlineLevel="0" collapsed="false">
      <c r="A13229" s="0" t="s">
        <v>5332</v>
      </c>
      <c r="B13229" s="0" t="str">
        <f aca="false">HYPERLINK("https://lindat.mff.cuni.cz/services/teitok/pdtc10/index.php?action=vallex&amp;frame=v-w1778f1", "manipulovat (v-w1778f1) - substituted with v-w1778f3_ZU")</f>
        <v>manipulovat (v-w1778f1) - substituted with v-w1778f3_ZU</v>
      </c>
    </row>
    <row r="13230" customFormat="false" ht="12.8" hidden="false" customHeight="false" outlineLevel="0" collapsed="false">
      <c r="B13230" s="0" t="s">
        <v>7</v>
      </c>
      <c r="C13230" s="0" t="s">
        <v>46</v>
      </c>
    </row>
    <row r="13231" customFormat="false" ht="12.8" hidden="false" customHeight="false" outlineLevel="0" collapsed="false">
      <c r="B13231" s="0" t="s">
        <v>1623</v>
      </c>
      <c r="C13231" s="0" t="s">
        <v>1170</v>
      </c>
    </row>
    <row r="13233" customFormat="false" ht="12.8" hidden="false" customHeight="false" outlineLevel="0" collapsed="false">
      <c r="A13233" s="0" t="s">
        <v>5332</v>
      </c>
      <c r="B13233" s="0" t="str">
        <f aca="false">HYPERLINK("https://lindat.mff.cuni.cz/services/teitok/pdtc10/index.php?action=vallex&amp;frame=v-w1778hsa_1044", "manipulovat (v-w1778hsa_1044) - substituted with v-w1778f3_ZU")</f>
        <v>manipulovat (v-w1778hsa_1044) - substituted with v-w1778f3_ZU</v>
      </c>
    </row>
    <row r="13234" customFormat="false" ht="12.8" hidden="false" customHeight="false" outlineLevel="0" collapsed="false">
      <c r="B13234" s="0" t="s">
        <v>7</v>
      </c>
    </row>
    <row r="13235" customFormat="false" ht="12.8" hidden="false" customHeight="false" outlineLevel="0" collapsed="false">
      <c r="B13235" s="0" t="s">
        <v>1623</v>
      </c>
    </row>
    <row r="13237" customFormat="false" ht="12.8" hidden="false" customHeight="false" outlineLevel="0" collapsed="false">
      <c r="A13237" s="0" t="s">
        <v>5333</v>
      </c>
      <c r="B13237" s="0" t="str">
        <f aca="false">HYPERLINK("https://lindat.mff.cuni.cz/services/teitok/pdtc10/index.php?action=vallex&amp;frame=v-w1778f5_ZU", "manipulovat (v-w1778f5_ZU)")</f>
        <v>manipulovat (v-w1778f5_ZU)</v>
      </c>
    </row>
    <row r="13238" customFormat="false" ht="12.8" hidden="false" customHeight="false" outlineLevel="0" collapsed="false">
      <c r="B13238" s="0" t="s">
        <v>7</v>
      </c>
      <c r="C13238" s="0" t="s">
        <v>46</v>
      </c>
      <c r="D13238" s="0" t="s">
        <v>1637</v>
      </c>
      <c r="E13238" s="0" t="s">
        <v>1637</v>
      </c>
      <c r="F13238" s="0" t="s">
        <v>1637</v>
      </c>
    </row>
    <row r="13239" customFormat="false" ht="12.8" hidden="false" customHeight="false" outlineLevel="0" collapsed="false">
      <c r="B13239" s="0" t="s">
        <v>1623</v>
      </c>
      <c r="C13239" s="0" t="s">
        <v>1170</v>
      </c>
      <c r="D13239" s="0" t="s">
        <v>462</v>
      </c>
      <c r="E13239" s="0" t="s">
        <v>462</v>
      </c>
      <c r="F13239" s="0" t="s">
        <v>462</v>
      </c>
    </row>
    <row r="13241" customFormat="false" ht="12.8" hidden="false" customHeight="false" outlineLevel="0" collapsed="false">
      <c r="A13241" s="0" t="s">
        <v>5333</v>
      </c>
      <c r="B13241" s="0" t="str">
        <f aca="false">HYPERLINK("https://lindat.mff.cuni.cz/services/teitok/pdtc10/index.php?action=vallex&amp;frame=v-w1778f2", "manipulovat (v-w1778f2) - substituted with v-w1778f5_ZU")</f>
        <v>manipulovat (v-w1778f2) - substituted with v-w1778f5_ZU</v>
      </c>
    </row>
    <row r="13242" customFormat="false" ht="12.8" hidden="false" customHeight="false" outlineLevel="0" collapsed="false">
      <c r="B13242" s="0" t="s">
        <v>7</v>
      </c>
      <c r="C13242" s="0" t="s">
        <v>191</v>
      </c>
    </row>
    <row r="13243" customFormat="false" ht="12.8" hidden="false" customHeight="false" outlineLevel="0" collapsed="false">
      <c r="B13243" s="0" t="s">
        <v>1623</v>
      </c>
      <c r="C13243" s="0" t="s">
        <v>47</v>
      </c>
    </row>
    <row r="13245" customFormat="false" ht="12.8" hidden="false" customHeight="false" outlineLevel="0" collapsed="false">
      <c r="A13245" s="0" t="s">
        <v>5333</v>
      </c>
      <c r="B13245" s="0" t="str">
        <f aca="false">HYPERLINK("https://lindat.mff.cuni.cz/services/teitok/pdtc10/index.php?action=vallex&amp;frame=v-w1778f4_ZU", "manipulovat (v-w1778f4_ZU) - substituted with v-w1778f5_ZU")</f>
        <v>manipulovat (v-w1778f4_ZU) - substituted with v-w1778f5_ZU</v>
      </c>
    </row>
    <row r="13246" customFormat="false" ht="12.8" hidden="false" customHeight="false" outlineLevel="0" collapsed="false">
      <c r="B13246" s="0" t="s">
        <v>7</v>
      </c>
    </row>
    <row r="13247" customFormat="false" ht="12.8" hidden="false" customHeight="false" outlineLevel="0" collapsed="false">
      <c r="B13247" s="0" t="s">
        <v>1623</v>
      </c>
    </row>
    <row r="13249" customFormat="false" ht="12.8" hidden="false" customHeight="false" outlineLevel="0" collapsed="false">
      <c r="A13249" s="0" t="s">
        <v>5333</v>
      </c>
      <c r="B13249" s="0" t="str">
        <f aca="false">HYPERLINK("https://lindat.mff.cuni.cz/services/teitok/pdtc10/index.php?action=vallex&amp;frame=v-w1778hsa_1045", "manipulovat (v-w1778hsa_1045) - substituted with v-w1778f5_ZU")</f>
        <v>manipulovat (v-w1778hsa_1045) - substituted with v-w1778f5_ZU</v>
      </c>
    </row>
    <row r="13250" customFormat="false" ht="12.8" hidden="false" customHeight="false" outlineLevel="0" collapsed="false">
      <c r="B13250" s="0" t="s">
        <v>7</v>
      </c>
      <c r="C13250" s="0" t="s">
        <v>191</v>
      </c>
    </row>
    <row r="13251" customFormat="false" ht="12.8" hidden="false" customHeight="false" outlineLevel="0" collapsed="false">
      <c r="B13251" s="0" t="s">
        <v>1623</v>
      </c>
      <c r="C13251" s="0" t="s">
        <v>384</v>
      </c>
    </row>
    <row r="13253" customFormat="false" ht="12.8" hidden="false" customHeight="false" outlineLevel="0" collapsed="false">
      <c r="A13253" s="0" t="s">
        <v>5334</v>
      </c>
      <c r="B13253" s="0" t="str">
        <f aca="false">HYPERLINK("https://lindat.mff.cuni.cz/services/teitok/pdtc10/index.php?action=vallex&amp;frame=v-w10868f2", "manévrovat (v-w10868f2)")</f>
        <v>manévrovat (v-w10868f2)</v>
      </c>
    </row>
    <row r="13254" customFormat="false" ht="12.8" hidden="false" customHeight="false" outlineLevel="0" collapsed="false">
      <c r="B13254" s="0" t="s">
        <v>7</v>
      </c>
      <c r="D13254" s="0" t="s">
        <v>5335</v>
      </c>
      <c r="E13254" s="0" t="s">
        <v>5335</v>
      </c>
      <c r="F13254" s="0" t="s">
        <v>5335</v>
      </c>
    </row>
    <row r="13255" customFormat="false" ht="12.8" hidden="false" customHeight="false" outlineLevel="0" collapsed="false">
      <c r="B13255" s="0" t="s">
        <v>11</v>
      </c>
      <c r="C13255" s="0" t="s">
        <v>5336</v>
      </c>
      <c r="D13255" s="0" t="s">
        <v>5337</v>
      </c>
      <c r="E13255" s="0" t="s">
        <v>5337</v>
      </c>
      <c r="F13255" s="0" t="s">
        <v>5337</v>
      </c>
    </row>
    <row r="13257" customFormat="false" ht="12.8" hidden="false" customHeight="false" outlineLevel="0" collapsed="false">
      <c r="A13257" s="0" t="s">
        <v>5338</v>
      </c>
      <c r="B13257" s="0" t="str">
        <f aca="false">HYPERLINK("https://lindat.mff.cuni.cz/services/teitok/pdtc10/index.php?action=vallex&amp;frame=v-w1784f1", "mapovat (v-w1784f1)")</f>
        <v>mapovat (v-w1784f1)</v>
      </c>
    </row>
    <row r="13258" customFormat="false" ht="12.8" hidden="false" customHeight="false" outlineLevel="0" collapsed="false">
      <c r="B13258" s="0" t="s">
        <v>7</v>
      </c>
      <c r="D13258" s="0" t="s">
        <v>5339</v>
      </c>
      <c r="E13258" s="0" t="s">
        <v>5339</v>
      </c>
      <c r="F13258" s="0" t="s">
        <v>5339</v>
      </c>
    </row>
    <row r="13259" customFormat="false" ht="12.8" hidden="false" customHeight="false" outlineLevel="0" collapsed="false">
      <c r="B13259" s="0" t="s">
        <v>14</v>
      </c>
      <c r="C13259" s="0" t="s">
        <v>47</v>
      </c>
      <c r="D13259" s="0" t="s">
        <v>5340</v>
      </c>
      <c r="E13259" s="0" t="s">
        <v>5340</v>
      </c>
      <c r="F13259" s="0" t="s">
        <v>5340</v>
      </c>
    </row>
    <row r="13261" customFormat="false" ht="12.8" hidden="false" customHeight="false" outlineLevel="0" collapsed="false">
      <c r="A13261" s="0" t="s">
        <v>5341</v>
      </c>
      <c r="B13261" s="0" t="str">
        <f aca="false">HYPERLINK("https://lindat.mff.cuni.cz/services/teitok/pdtc10/index.php?action=vallex&amp;frame=v-whsa_1917hsa_1918", "marodit (v-whsa_1917hsa_1918)")</f>
        <v>marodit (v-whsa_1917hsa_1918)</v>
      </c>
    </row>
    <row r="13262" customFormat="false" ht="12.8" hidden="false" customHeight="false" outlineLevel="0" collapsed="false">
      <c r="B13262" s="0" t="s">
        <v>7</v>
      </c>
    </row>
    <row r="13263" customFormat="false" ht="12.8" hidden="false" customHeight="false" outlineLevel="0" collapsed="false">
      <c r="B13263" s="0" t="s">
        <v>2871</v>
      </c>
    </row>
    <row r="13265" customFormat="false" ht="12.8" hidden="false" customHeight="false" outlineLevel="0" collapsed="false">
      <c r="A13265" s="0" t="s">
        <v>5342</v>
      </c>
      <c r="B13265" s="0" t="str">
        <f aca="false">HYPERLINK("https://lindat.mff.cuni.cz/services/teitok/pdtc10/index.php?action=vallex&amp;frame=v-w1790f1", "maskovat (v-w1790f1)")</f>
        <v>maskovat (v-w1790f1)</v>
      </c>
    </row>
    <row r="13266" customFormat="false" ht="12.8" hidden="false" customHeight="false" outlineLevel="0" collapsed="false">
      <c r="B13266" s="0" t="s">
        <v>7</v>
      </c>
      <c r="C13266" s="0" t="s">
        <v>191</v>
      </c>
      <c r="D13266" s="0" t="s">
        <v>4999</v>
      </c>
      <c r="E13266" s="0" t="s">
        <v>4999</v>
      </c>
      <c r="F13266" s="0" t="s">
        <v>4999</v>
      </c>
    </row>
    <row r="13267" customFormat="false" ht="12.8" hidden="false" customHeight="false" outlineLevel="0" collapsed="false">
      <c r="B13267" s="0" t="s">
        <v>3742</v>
      </c>
      <c r="C13267" s="0" t="s">
        <v>1405</v>
      </c>
      <c r="D13267" s="0" t="s">
        <v>5000</v>
      </c>
      <c r="E13267" s="0" t="s">
        <v>5000</v>
      </c>
      <c r="F13267" s="0" t="s">
        <v>5000</v>
      </c>
    </row>
    <row r="13268" customFormat="false" ht="12.8" hidden="false" customHeight="false" outlineLevel="0" collapsed="false">
      <c r="B13268" s="0" t="s">
        <v>3743</v>
      </c>
      <c r="C13268" s="0" t="s">
        <v>1165</v>
      </c>
      <c r="D13268" s="0" t="s">
        <v>5001</v>
      </c>
      <c r="E13268" s="0" t="s">
        <v>5001</v>
      </c>
      <c r="F13268" s="0" t="s">
        <v>5001</v>
      </c>
    </row>
    <row r="13270" customFormat="false" ht="12.8" hidden="false" customHeight="false" outlineLevel="0" collapsed="false">
      <c r="A13270" s="0" t="s">
        <v>5343</v>
      </c>
      <c r="B13270" s="0" t="str">
        <f aca="false">HYPERLINK("https://lindat.mff.cuni.cz/services/teitok/pdtc10/index.php?action=vallex&amp;frame=v-w10044f3_ZU", "masírovat (v-w10044f3_ZU)")</f>
        <v>masírovat (v-w10044f3_ZU)</v>
      </c>
    </row>
    <row r="13271" customFormat="false" ht="12.8" hidden="false" customHeight="false" outlineLevel="0" collapsed="false">
      <c r="B13271" s="0" t="s">
        <v>7</v>
      </c>
    </row>
    <row r="13272" customFormat="false" ht="12.8" hidden="false" customHeight="false" outlineLevel="0" collapsed="false">
      <c r="B13272" s="0" t="s">
        <v>14</v>
      </c>
    </row>
    <row r="13274" customFormat="false" ht="12.8" hidden="false" customHeight="false" outlineLevel="0" collapsed="false">
      <c r="A13274" s="0" t="s">
        <v>5343</v>
      </c>
      <c r="B13274" s="0" t="str">
        <f aca="false">HYPERLINK("https://lindat.mff.cuni.cz/services/teitok/pdtc10/index.php?action=vallex&amp;frame=v-w10044f2", "masírovat (v-w10044f2) - substituted with v-w10044f3_ZU")</f>
        <v>masírovat (v-w10044f2) - substituted with v-w10044f3_ZU</v>
      </c>
    </row>
    <row r="13275" customFormat="false" ht="12.8" hidden="false" customHeight="false" outlineLevel="0" collapsed="false">
      <c r="B13275" s="0" t="s">
        <v>7</v>
      </c>
    </row>
    <row r="13276" customFormat="false" ht="12.8" hidden="false" customHeight="false" outlineLevel="0" collapsed="false">
      <c r="B13276" s="0" t="s">
        <v>14</v>
      </c>
    </row>
    <row r="13278" customFormat="false" ht="12.8" hidden="false" customHeight="false" outlineLevel="0" collapsed="false">
      <c r="A13278" s="0" t="s">
        <v>5344</v>
      </c>
      <c r="B13278" s="0" t="str">
        <f aca="false">HYPERLINK("https://lindat.mff.cuni.cz/services/teitok/pdtc10/index.php?action=vallex&amp;frame=v-w1795f1", "maturovat (v-w1795f1)")</f>
        <v>maturovat (v-w1795f1)</v>
      </c>
    </row>
    <row r="13279" customFormat="false" ht="12.8" hidden="false" customHeight="false" outlineLevel="0" collapsed="false">
      <c r="B13279" s="0" t="s">
        <v>7</v>
      </c>
      <c r="C13279" s="0" t="s">
        <v>335</v>
      </c>
      <c r="D13279" s="0" t="s">
        <v>16</v>
      </c>
      <c r="E13279" s="0" t="s">
        <v>16</v>
      </c>
      <c r="F13279" s="0" t="s">
        <v>16</v>
      </c>
    </row>
    <row r="13280" customFormat="false" ht="12.8" hidden="false" customHeight="false" outlineLevel="0" collapsed="false">
      <c r="B13280" s="0" t="s">
        <v>581</v>
      </c>
      <c r="D13280" s="0" t="s">
        <v>18</v>
      </c>
      <c r="E13280" s="0" t="s">
        <v>18</v>
      </c>
      <c r="F13280" s="0" t="s">
        <v>18</v>
      </c>
    </row>
    <row r="13282" customFormat="false" ht="12.8" hidden="false" customHeight="false" outlineLevel="0" collapsed="false">
      <c r="A13282" s="0" t="s">
        <v>5345</v>
      </c>
      <c r="B13282" s="0" t="str">
        <f aca="false">HYPERLINK("https://lindat.mff.cuni.cz/services/teitok/pdtc10/index.php?action=vallex&amp;frame=v-w1800f1", "maximalizovat (v-w1800f1)")</f>
        <v>maximalizovat (v-w1800f1)</v>
      </c>
    </row>
    <row r="13283" customFormat="false" ht="12.8" hidden="false" customHeight="false" outlineLevel="0" collapsed="false">
      <c r="B13283" s="0" t="s">
        <v>7</v>
      </c>
    </row>
    <row r="13284" customFormat="false" ht="12.8" hidden="false" customHeight="false" outlineLevel="0" collapsed="false">
      <c r="B13284" s="0" t="s">
        <v>14</v>
      </c>
      <c r="C13284" s="0" t="s">
        <v>1170</v>
      </c>
      <c r="D13284" s="0" t="s">
        <v>1170</v>
      </c>
      <c r="E13284" s="0" t="s">
        <v>1170</v>
      </c>
      <c r="F13284" s="0" t="s">
        <v>1170</v>
      </c>
    </row>
    <row r="13286" customFormat="false" ht="12.8" hidden="false" customHeight="false" outlineLevel="0" collapsed="false">
      <c r="A13286" s="0" t="s">
        <v>5346</v>
      </c>
      <c r="B13286" s="0" t="str">
        <f aca="false">HYPERLINK("https://lindat.mff.cuni.cz/services/teitok/pdtc10/index.php?action=vallex&amp;frame=v-w1803f1", "mazat (v-w1803f1)")</f>
        <v>mazat (v-w1803f1)</v>
      </c>
    </row>
    <row r="13287" customFormat="false" ht="12.8" hidden="false" customHeight="false" outlineLevel="0" collapsed="false">
      <c r="B13287" s="0" t="s">
        <v>7</v>
      </c>
      <c r="F13287" s="0" t="s">
        <v>46</v>
      </c>
    </row>
    <row r="13288" customFormat="false" ht="12.8" hidden="false" customHeight="false" outlineLevel="0" collapsed="false">
      <c r="B13288" s="0" t="s">
        <v>14</v>
      </c>
      <c r="F13288" s="0" t="s">
        <v>1170</v>
      </c>
    </row>
    <row r="13290" customFormat="false" ht="12.8" hidden="false" customHeight="false" outlineLevel="0" collapsed="false">
      <c r="A13290" s="0" t="s">
        <v>5347</v>
      </c>
      <c r="B13290" s="0" t="str">
        <f aca="false">HYPERLINK("https://lindat.mff.cuni.cz/services/teitok/pdtc10/index.php?action=vallex&amp;frame=v-w1803hsa_1056", "mazat (v-w1803hsa_1056)")</f>
        <v>mazat (v-w1803hsa_1056)</v>
      </c>
    </row>
    <row r="13291" customFormat="false" ht="12.8" hidden="false" customHeight="false" outlineLevel="0" collapsed="false">
      <c r="B13291" s="0" t="s">
        <v>7</v>
      </c>
    </row>
    <row r="13292" customFormat="false" ht="12.8" hidden="false" customHeight="false" outlineLevel="0" collapsed="false">
      <c r="B13292" s="0" t="s">
        <v>14</v>
      </c>
    </row>
    <row r="13294" customFormat="false" ht="12.8" hidden="false" customHeight="false" outlineLevel="0" collapsed="false">
      <c r="A13294" s="0" t="s">
        <v>5348</v>
      </c>
      <c r="B13294" s="0" t="str">
        <f aca="false">HYPERLINK("https://lindat.mff.cuni.cz/services/teitok/pdtc10/index.php?action=vallex&amp;frame=v-w1804f1", "mazlit se (v-w1804f1)")</f>
        <v>mazlit se (v-w1804f1)</v>
      </c>
    </row>
    <row r="13295" customFormat="false" ht="12.8" hidden="false" customHeight="false" outlineLevel="0" collapsed="false">
      <c r="B13295" s="0" t="s">
        <v>7</v>
      </c>
    </row>
    <row r="13296" customFormat="false" ht="12.8" hidden="false" customHeight="false" outlineLevel="0" collapsed="false">
      <c r="B13296" s="0" t="s">
        <v>548</v>
      </c>
    </row>
    <row r="13298" customFormat="false" ht="12.8" hidden="false" customHeight="false" outlineLevel="0" collapsed="false">
      <c r="A13298" s="0" t="s">
        <v>5349</v>
      </c>
      <c r="B13298" s="0" t="str">
        <f aca="false">HYPERLINK("https://lindat.mff.cuni.cz/services/teitok/pdtc10/index.php?action=vallex&amp;frame=v-w1758f1", "mačkat (v-w1758f1)")</f>
        <v>mačkat (v-w1758f1)</v>
      </c>
    </row>
    <row r="13299" customFormat="false" ht="12.8" hidden="false" customHeight="false" outlineLevel="0" collapsed="false">
      <c r="B13299" s="0" t="s">
        <v>7</v>
      </c>
    </row>
    <row r="13300" customFormat="false" ht="12.8" hidden="false" customHeight="false" outlineLevel="0" collapsed="false">
      <c r="B13300" s="0" t="s">
        <v>14</v>
      </c>
    </row>
    <row r="13302" customFormat="false" ht="12.8" hidden="false" customHeight="false" outlineLevel="0" collapsed="false">
      <c r="A13302" s="0" t="s">
        <v>5350</v>
      </c>
      <c r="B13302" s="0" t="str">
        <f aca="false">HYPERLINK("https://lindat.mff.cuni.cz/services/teitok/pdtc10/index.php?action=vallex&amp;frame=v-w11267f1", "mačkat se (v-w11267f1)")</f>
        <v>mačkat se (v-w11267f1)</v>
      </c>
    </row>
    <row r="13303" customFormat="false" ht="12.8" hidden="false" customHeight="false" outlineLevel="0" collapsed="false">
      <c r="B13303" s="0" t="s">
        <v>7</v>
      </c>
      <c r="C13303" s="0" t="s">
        <v>5351</v>
      </c>
      <c r="D13303" s="0" t="s">
        <v>5352</v>
      </c>
      <c r="E13303" s="0" t="s">
        <v>5352</v>
      </c>
      <c r="F13303" s="0" t="s">
        <v>5352</v>
      </c>
    </row>
    <row r="13304" customFormat="false" ht="12.8" hidden="false" customHeight="false" outlineLevel="0" collapsed="false">
      <c r="B13304" s="0" t="s">
        <v>11</v>
      </c>
      <c r="D13304" s="0" t="s">
        <v>5353</v>
      </c>
      <c r="E13304" s="0" t="s">
        <v>5353</v>
      </c>
      <c r="F13304" s="0" t="s">
        <v>5353</v>
      </c>
    </row>
    <row r="13306" customFormat="false" ht="12.8" hidden="false" customHeight="false" outlineLevel="0" collapsed="false">
      <c r="A13306" s="0" t="s">
        <v>5354</v>
      </c>
      <c r="B13306" s="0" t="str">
        <f aca="false">HYPERLINK("https://lindat.mff.cuni.cz/services/teitok/pdtc10/index.php?action=vallex&amp;frame=v-w11267hsa_799", "mačkat se (v-w11267hsa_799)")</f>
        <v>mačkat se (v-w11267hsa_799)</v>
      </c>
    </row>
    <row r="13307" customFormat="false" ht="12.8" hidden="false" customHeight="false" outlineLevel="0" collapsed="false">
      <c r="B13307" s="0" t="s">
        <v>7</v>
      </c>
    </row>
    <row r="13308" customFormat="false" ht="12.8" hidden="false" customHeight="false" outlineLevel="0" collapsed="false">
      <c r="B13308" s="0" t="s">
        <v>124</v>
      </c>
    </row>
    <row r="13310" customFormat="false" ht="12.8" hidden="false" customHeight="false" outlineLevel="0" collapsed="false">
      <c r="A13310" s="0" t="s">
        <v>5355</v>
      </c>
      <c r="B13310" s="0" t="str">
        <f aca="false">HYPERLINK("https://lindat.mff.cuni.cz/services/teitok/pdtc10/index.php?action=vallex&amp;frame=v-w1788f1", "mařit (v-w1788f1)")</f>
        <v>mařit (v-w1788f1)</v>
      </c>
    </row>
    <row r="13311" customFormat="false" ht="12.8" hidden="false" customHeight="false" outlineLevel="0" collapsed="false">
      <c r="B13311" s="0" t="s">
        <v>7</v>
      </c>
      <c r="C13311" s="0" t="s">
        <v>1263</v>
      </c>
      <c r="D13311" s="0" t="s">
        <v>252</v>
      </c>
      <c r="E13311" s="0" t="s">
        <v>253</v>
      </c>
      <c r="F13311" s="0" t="s">
        <v>253</v>
      </c>
    </row>
    <row r="13312" customFormat="false" ht="12.8" hidden="false" customHeight="false" outlineLevel="0" collapsed="false">
      <c r="B13312" s="0" t="s">
        <v>14</v>
      </c>
      <c r="C13312" s="0" t="s">
        <v>625</v>
      </c>
      <c r="D13312" s="0" t="s">
        <v>255</v>
      </c>
      <c r="E13312" s="0" t="s">
        <v>256</v>
      </c>
      <c r="F13312" s="0" t="s">
        <v>256</v>
      </c>
    </row>
    <row r="13314" customFormat="false" ht="12.8" hidden="false" customHeight="false" outlineLevel="0" collapsed="false">
      <c r="A13314" s="0" t="s">
        <v>5356</v>
      </c>
      <c r="B13314" s="0" t="str">
        <f aca="false">HYPERLINK("https://lindat.mff.cuni.cz/services/teitok/pdtc10/index.php?action=vallex&amp;frame=v-whsa_1830hsa_1831", "mašinovat (v-whsa_1830hsa_1831)")</f>
        <v>mašinovat (v-whsa_1830hsa_1831)</v>
      </c>
    </row>
    <row r="13315" customFormat="false" ht="12.8" hidden="false" customHeight="false" outlineLevel="0" collapsed="false">
      <c r="B13315" s="0" t="s">
        <v>7</v>
      </c>
    </row>
    <row r="13316" customFormat="false" ht="12.8" hidden="false" customHeight="false" outlineLevel="0" collapsed="false">
      <c r="B13316" s="0" t="s">
        <v>14</v>
      </c>
    </row>
    <row r="13318" customFormat="false" ht="12.8" hidden="false" customHeight="false" outlineLevel="0" collapsed="false">
      <c r="A13318" s="0" t="s">
        <v>5357</v>
      </c>
      <c r="B13318" s="0" t="str">
        <f aca="false">HYPERLINK("https://lindat.mff.cuni.cz/services/teitok/pdtc10/index.php?action=vallex&amp;frame=v-w1807f1", "meditovat (v-w1807f1)")</f>
        <v>meditovat (v-w1807f1)</v>
      </c>
    </row>
    <row r="13319" customFormat="false" ht="12.8" hidden="false" customHeight="false" outlineLevel="0" collapsed="false">
      <c r="B13319" s="0" t="s">
        <v>7</v>
      </c>
    </row>
    <row r="13320" customFormat="false" ht="12.8" hidden="false" customHeight="false" outlineLevel="0" collapsed="false">
      <c r="B13320" s="0" t="s">
        <v>5358</v>
      </c>
    </row>
    <row r="13322" customFormat="false" ht="12.8" hidden="false" customHeight="false" outlineLevel="0" collapsed="false">
      <c r="A13322" s="0" t="s">
        <v>5359</v>
      </c>
      <c r="B13322" s="0" t="str">
        <f aca="false">HYPERLINK("https://lindat.mff.cuni.cz/services/teitok/pdtc10/index.php?action=vallex&amp;frame=v-w10494f2", "metabolizovat (v-w10494f2)")</f>
        <v>metabolizovat (v-w10494f2)</v>
      </c>
    </row>
    <row r="13323" customFormat="false" ht="12.8" hidden="false" customHeight="false" outlineLevel="0" collapsed="false">
      <c r="B13323" s="0" t="s">
        <v>7</v>
      </c>
      <c r="D13323" s="0" t="s">
        <v>2808</v>
      </c>
      <c r="E13323" s="0" t="s">
        <v>2808</v>
      </c>
      <c r="F13323" s="0" t="s">
        <v>2808</v>
      </c>
    </row>
    <row r="13324" customFormat="false" ht="12.8" hidden="false" customHeight="false" outlineLevel="0" collapsed="false">
      <c r="B13324" s="0" t="s">
        <v>14</v>
      </c>
      <c r="C13324" s="0" t="s">
        <v>155</v>
      </c>
      <c r="D13324" s="0" t="s">
        <v>4644</v>
      </c>
      <c r="E13324" s="0" t="s">
        <v>4644</v>
      </c>
      <c r="F13324" s="0" t="s">
        <v>4644</v>
      </c>
    </row>
    <row r="13325" customFormat="false" ht="12.8" hidden="false" customHeight="false" outlineLevel="0" collapsed="false">
      <c r="B13325" s="0" t="s">
        <v>35</v>
      </c>
      <c r="C13325" s="0" t="s">
        <v>5360</v>
      </c>
      <c r="D13325" s="0" t="s">
        <v>4253</v>
      </c>
      <c r="E13325" s="0" t="s">
        <v>4253</v>
      </c>
      <c r="F13325" s="0" t="s">
        <v>4253</v>
      </c>
    </row>
    <row r="13327" customFormat="false" ht="12.8" hidden="false" customHeight="false" outlineLevel="0" collapsed="false">
      <c r="A13327" s="0" t="s">
        <v>5361</v>
      </c>
      <c r="B13327" s="0" t="str">
        <f aca="false">HYPERLINK("https://lindat.mff.cuni.cz/services/teitok/pdtc10/index.php?action=vallex&amp;frame=v-whsa_322f1_ZU", "metat (v-whsa_322f1_ZU)")</f>
        <v>metat (v-whsa_322f1_ZU)</v>
      </c>
    </row>
    <row r="13328" customFormat="false" ht="12.8" hidden="false" customHeight="false" outlineLevel="0" collapsed="false">
      <c r="B13328" s="0" t="s">
        <v>7</v>
      </c>
      <c r="C13328" s="0" t="s">
        <v>3469</v>
      </c>
    </row>
    <row r="13329" customFormat="false" ht="12.8" hidden="false" customHeight="false" outlineLevel="0" collapsed="false">
      <c r="B13329" s="0" t="s">
        <v>5362</v>
      </c>
      <c r="C13329" s="0" t="s">
        <v>5363</v>
      </c>
    </row>
    <row r="13331" customFormat="false" ht="12.8" hidden="false" customHeight="false" outlineLevel="0" collapsed="false">
      <c r="A13331" s="0" t="s">
        <v>5361</v>
      </c>
      <c r="B13331" s="0" t="str">
        <f aca="false">HYPERLINK("https://lindat.mff.cuni.cz/services/teitok/pdtc10/index.php?action=vallex&amp;frame=v-whsa_322hsa_323", "metat (v-whsa_322hsa_323) - substituted with v-whsa_322f1_ZU")</f>
        <v>metat (v-whsa_322hsa_323) - substituted with v-whsa_322f1_ZU</v>
      </c>
    </row>
    <row r="13332" customFormat="false" ht="12.8" hidden="false" customHeight="false" outlineLevel="0" collapsed="false">
      <c r="B13332" s="0" t="s">
        <v>7</v>
      </c>
    </row>
    <row r="13333" customFormat="false" ht="12.8" hidden="false" customHeight="false" outlineLevel="0" collapsed="false">
      <c r="B13333" s="0" t="s">
        <v>5362</v>
      </c>
    </row>
    <row r="13335" customFormat="false" ht="12.8" hidden="false" customHeight="false" outlineLevel="0" collapsed="false">
      <c r="A13335" s="0" t="s">
        <v>5364</v>
      </c>
      <c r="B13335" s="0" t="str">
        <f aca="false">HYPERLINK("https://lindat.mff.cuni.cz/services/teitok/pdtc10/index.php?action=vallex&amp;frame=v-whsa_959hsa_960", "mhouřit (v-whsa_959hsa_960)")</f>
        <v>mhouřit (v-whsa_959hsa_960)</v>
      </c>
    </row>
    <row r="13336" customFormat="false" ht="12.8" hidden="false" customHeight="false" outlineLevel="0" collapsed="false">
      <c r="B13336" s="0" t="s">
        <v>7</v>
      </c>
      <c r="C13336" s="0" t="s">
        <v>335</v>
      </c>
    </row>
    <row r="13337" customFormat="false" ht="12.8" hidden="false" customHeight="false" outlineLevel="0" collapsed="false">
      <c r="B13337" s="0" t="s">
        <v>14</v>
      </c>
      <c r="C13337" s="0" t="s">
        <v>155</v>
      </c>
    </row>
    <row r="13339" customFormat="false" ht="12.8" hidden="false" customHeight="false" outlineLevel="0" collapsed="false">
      <c r="A13339" s="0" t="s">
        <v>5365</v>
      </c>
      <c r="B13339" s="0" t="str">
        <f aca="false">HYPERLINK("https://lindat.mff.cuni.cz/services/teitok/pdtc10/index.php?action=vallex&amp;frame=v-w10395f3_ZU", "migrovat (v-w10395f3_ZU)")</f>
        <v>migrovat (v-w10395f3_ZU)</v>
      </c>
    </row>
    <row r="13340" customFormat="false" ht="12.8" hidden="false" customHeight="false" outlineLevel="0" collapsed="false">
      <c r="B13340" s="0" t="s">
        <v>7</v>
      </c>
      <c r="C13340" s="0" t="s">
        <v>191</v>
      </c>
      <c r="D13340" s="0" t="s">
        <v>5366</v>
      </c>
      <c r="E13340" s="0" t="s">
        <v>5366</v>
      </c>
      <c r="F13340" s="0" t="s">
        <v>5366</v>
      </c>
    </row>
    <row r="13341" customFormat="false" ht="12.8" hidden="false" customHeight="false" outlineLevel="0" collapsed="false">
      <c r="B13341" s="0" t="s">
        <v>3902</v>
      </c>
      <c r="D13341" s="0" t="s">
        <v>400</v>
      </c>
      <c r="E13341" s="0" t="s">
        <v>400</v>
      </c>
      <c r="F13341" s="0" t="s">
        <v>400</v>
      </c>
    </row>
    <row r="13342" customFormat="false" ht="12.8" hidden="false" customHeight="false" outlineLevel="0" collapsed="false">
      <c r="B13342" s="0" t="s">
        <v>2339</v>
      </c>
    </row>
    <row r="13344" customFormat="false" ht="12.8" hidden="false" customHeight="false" outlineLevel="0" collapsed="false">
      <c r="A13344" s="0" t="s">
        <v>5367</v>
      </c>
      <c r="B13344" s="0" t="str">
        <f aca="false">HYPERLINK("https://lindat.mff.cuni.cz/services/teitok/pdtc10/index.php?action=vallex&amp;frame=v-w10395f2", "migrovat (v-w10395f2)")</f>
        <v>migrovat (v-w10395f2)</v>
      </c>
    </row>
    <row r="13345" customFormat="false" ht="12.8" hidden="false" customHeight="false" outlineLevel="0" collapsed="false">
      <c r="B13345" s="0" t="s">
        <v>7</v>
      </c>
    </row>
    <row r="13346" customFormat="false" ht="12.8" hidden="false" customHeight="false" outlineLevel="0" collapsed="false">
      <c r="B13346" s="0" t="s">
        <v>124</v>
      </c>
    </row>
    <row r="13348" customFormat="false" ht="12.8" hidden="false" customHeight="false" outlineLevel="0" collapsed="false">
      <c r="A13348" s="0" t="s">
        <v>5368</v>
      </c>
      <c r="B13348" s="0" t="str">
        <f aca="false">HYPERLINK("https://lindat.mff.cuni.cz/services/teitok/pdtc10/index.php?action=vallex&amp;frame=v-w1826f1", "mihnout se (v-w1826f1)")</f>
        <v>mihnout se (v-w1826f1)</v>
      </c>
    </row>
    <row r="13349" customFormat="false" ht="12.8" hidden="false" customHeight="false" outlineLevel="0" collapsed="false">
      <c r="B13349" s="0" t="s">
        <v>7</v>
      </c>
      <c r="C13349" s="0" t="s">
        <v>200</v>
      </c>
      <c r="D13349" s="0" t="s">
        <v>5369</v>
      </c>
      <c r="E13349" s="0" t="s">
        <v>5369</v>
      </c>
      <c r="F13349" s="0" t="s">
        <v>5369</v>
      </c>
    </row>
    <row r="13351" customFormat="false" ht="12.8" hidden="false" customHeight="false" outlineLevel="0" collapsed="false">
      <c r="A13351" s="0" t="s">
        <v>5370</v>
      </c>
      <c r="B13351" s="0" t="str">
        <f aca="false">HYPERLINK("https://lindat.mff.cuni.cz/services/teitok/pdtc10/index.php?action=vallex&amp;frame=v-w1835f1", "milovat (v-w1835f1)")</f>
        <v>milovat (v-w1835f1)</v>
      </c>
    </row>
    <row r="13352" customFormat="false" ht="12.8" hidden="false" customHeight="false" outlineLevel="0" collapsed="false">
      <c r="B13352" s="0" t="s">
        <v>7</v>
      </c>
      <c r="C13352" s="0" t="s">
        <v>1874</v>
      </c>
      <c r="D13352" s="0" t="s">
        <v>1874</v>
      </c>
      <c r="E13352" s="0" t="s">
        <v>1874</v>
      </c>
      <c r="F13352" s="0" t="s">
        <v>1874</v>
      </c>
    </row>
    <row r="13353" customFormat="false" ht="12.8" hidden="false" customHeight="false" outlineLevel="0" collapsed="false">
      <c r="B13353" s="0" t="s">
        <v>54</v>
      </c>
      <c r="C13353" s="0" t="s">
        <v>173</v>
      </c>
      <c r="D13353" s="0" t="s">
        <v>173</v>
      </c>
      <c r="E13353" s="0" t="s">
        <v>173</v>
      </c>
      <c r="F13353" s="0" t="s">
        <v>173</v>
      </c>
    </row>
    <row r="13355" customFormat="false" ht="12.8" hidden="false" customHeight="false" outlineLevel="0" collapsed="false">
      <c r="A13355" s="0" t="s">
        <v>5371</v>
      </c>
      <c r="B13355" s="0" t="str">
        <f aca="false">HYPERLINK("https://lindat.mff.cuni.cz/services/teitok/pdtc10/index.php?action=vallex&amp;frame=v-w1840f1", "minimalizovat (v-w1840f1)")</f>
        <v>minimalizovat (v-w1840f1)</v>
      </c>
    </row>
    <row r="13356" customFormat="false" ht="12.8" hidden="false" customHeight="false" outlineLevel="0" collapsed="false">
      <c r="B13356" s="0" t="s">
        <v>7</v>
      </c>
      <c r="C13356" s="0" t="s">
        <v>191</v>
      </c>
      <c r="D13356" s="0" t="s">
        <v>191</v>
      </c>
      <c r="E13356" s="0" t="s">
        <v>191</v>
      </c>
      <c r="F13356" s="0" t="s">
        <v>191</v>
      </c>
    </row>
    <row r="13357" customFormat="false" ht="12.8" hidden="false" customHeight="false" outlineLevel="0" collapsed="false">
      <c r="B13357" s="0" t="s">
        <v>14</v>
      </c>
      <c r="C13357" s="0" t="s">
        <v>1209</v>
      </c>
      <c r="D13357" s="0" t="s">
        <v>1209</v>
      </c>
      <c r="E13357" s="0" t="s">
        <v>1209</v>
      </c>
      <c r="F13357" s="0" t="s">
        <v>1209</v>
      </c>
    </row>
    <row r="13358" customFormat="false" ht="12.8" hidden="false" customHeight="false" outlineLevel="0" collapsed="false">
      <c r="B13358" s="0" t="s">
        <v>35</v>
      </c>
    </row>
    <row r="13359" customFormat="false" ht="12.8" hidden="false" customHeight="false" outlineLevel="0" collapsed="false">
      <c r="B13359" s="0" t="s">
        <v>84</v>
      </c>
    </row>
    <row r="13361" customFormat="false" ht="12.8" hidden="false" customHeight="false" outlineLevel="0" collapsed="false">
      <c r="A13361" s="0" t="s">
        <v>5372</v>
      </c>
      <c r="B13361" s="0" t="str">
        <f aca="false">HYPERLINK("https://lindat.mff.cuni.cz/services/teitok/pdtc10/index.php?action=vallex&amp;frame=v-w12028_ZUf1_ZU", "ministrovat (v-w12028_ZUf1_ZU)")</f>
        <v>ministrovat (v-w12028_ZUf1_ZU)</v>
      </c>
    </row>
    <row r="13362" customFormat="false" ht="12.8" hidden="false" customHeight="false" outlineLevel="0" collapsed="false">
      <c r="B13362" s="0" t="s">
        <v>7</v>
      </c>
    </row>
    <row r="13364" customFormat="false" ht="12.8" hidden="false" customHeight="false" outlineLevel="0" collapsed="false">
      <c r="A13364" s="0" t="s">
        <v>5373</v>
      </c>
      <c r="B13364" s="0" t="str">
        <f aca="false">HYPERLINK("https://lindat.mff.cuni.cz/services/teitok/pdtc10/index.php?action=vallex&amp;frame=v-w1844f1", "minout (v-w1844f1)")</f>
        <v>minout (v-w1844f1)</v>
      </c>
    </row>
    <row r="13365" customFormat="false" ht="12.8" hidden="false" customHeight="false" outlineLevel="0" collapsed="false">
      <c r="B13365" s="0" t="s">
        <v>7</v>
      </c>
      <c r="C13365" s="0" t="s">
        <v>569</v>
      </c>
      <c r="D13365" s="0" t="s">
        <v>569</v>
      </c>
      <c r="E13365" s="0" t="s">
        <v>569</v>
      </c>
      <c r="F13365" s="0" t="s">
        <v>569</v>
      </c>
    </row>
    <row r="13366" customFormat="false" ht="12.8" hidden="false" customHeight="false" outlineLevel="0" collapsed="false">
      <c r="B13366" s="0" t="s">
        <v>14</v>
      </c>
      <c r="C13366" s="0" t="s">
        <v>1170</v>
      </c>
      <c r="D13366" s="0" t="s">
        <v>1170</v>
      </c>
      <c r="E13366" s="0" t="s">
        <v>1170</v>
      </c>
      <c r="F13366" s="0" t="s">
        <v>1170</v>
      </c>
    </row>
    <row r="13368" customFormat="false" ht="12.8" hidden="false" customHeight="false" outlineLevel="0" collapsed="false">
      <c r="A13368" s="0" t="s">
        <v>5374</v>
      </c>
      <c r="B13368" s="0" t="str">
        <f aca="false">HYPERLINK("https://lindat.mff.cuni.cz/services/teitok/pdtc10/index.php?action=vallex&amp;frame=v-w1844f2", "minout (v-w1844f2)")</f>
        <v>minout (v-w1844f2)</v>
      </c>
    </row>
    <row r="13369" customFormat="false" ht="12.8" hidden="false" customHeight="false" outlineLevel="0" collapsed="false">
      <c r="B13369" s="0" t="s">
        <v>7</v>
      </c>
      <c r="F13369" s="0" t="s">
        <v>5375</v>
      </c>
    </row>
    <row r="13371" customFormat="false" ht="12.8" hidden="false" customHeight="false" outlineLevel="0" collapsed="false">
      <c r="A13371" s="0" t="s">
        <v>5376</v>
      </c>
      <c r="B13371" s="0" t="str">
        <f aca="false">HYPERLINK("https://lindat.mff.cuni.cz/services/teitok/pdtc10/index.php?action=vallex&amp;frame=v-w1844f4_ZU", "minout (v-w1844f4_ZU)")</f>
        <v>minout (v-w1844f4_ZU)</v>
      </c>
    </row>
    <row r="13372" customFormat="false" ht="12.8" hidden="false" customHeight="false" outlineLevel="0" collapsed="false">
      <c r="B13372" s="0" t="s">
        <v>7</v>
      </c>
    </row>
    <row r="13373" customFormat="false" ht="12.8" hidden="false" customHeight="false" outlineLevel="0" collapsed="false">
      <c r="B13373" s="0" t="s">
        <v>14</v>
      </c>
    </row>
    <row r="13375" customFormat="false" ht="12.8" hidden="false" customHeight="false" outlineLevel="0" collapsed="false">
      <c r="A13375" s="0" t="s">
        <v>5376</v>
      </c>
      <c r="B13375" s="0" t="str">
        <f aca="false">HYPERLINK("https://lindat.mff.cuni.cz/services/teitok/pdtc10/index.php?action=vallex&amp;frame=v-w1844f3_ZU", "minout (v-w1844f3_ZU) - substituted with v-w1844f4_ZU")</f>
        <v>minout (v-w1844f3_ZU) - substituted with v-w1844f4_ZU</v>
      </c>
    </row>
    <row r="13376" customFormat="false" ht="12.8" hidden="false" customHeight="false" outlineLevel="0" collapsed="false">
      <c r="B13376" s="0" t="s">
        <v>7</v>
      </c>
    </row>
    <row r="13377" customFormat="false" ht="12.8" hidden="false" customHeight="false" outlineLevel="0" collapsed="false">
      <c r="B13377" s="0" t="s">
        <v>14</v>
      </c>
    </row>
    <row r="13379" customFormat="false" ht="12.8" hidden="false" customHeight="false" outlineLevel="0" collapsed="false">
      <c r="A13379" s="0" t="s">
        <v>5377</v>
      </c>
      <c r="B13379" s="0" t="str">
        <f aca="false">HYPERLINK("https://lindat.mff.cuni.cz/services/teitok/pdtc10/index.php?action=vallex&amp;frame=v-whsa_1308hsa_1309", "minout se (v-whsa_1308hsa_1309)")</f>
        <v>minout se (v-whsa_1308hsa_1309)</v>
      </c>
    </row>
    <row r="13380" customFormat="false" ht="12.8" hidden="false" customHeight="false" outlineLevel="0" collapsed="false">
      <c r="B13380" s="0" t="s">
        <v>7</v>
      </c>
      <c r="C13380" s="0" t="s">
        <v>569</v>
      </c>
      <c r="F13380" s="0" t="s">
        <v>569</v>
      </c>
    </row>
    <row r="13381" customFormat="false" ht="12.8" hidden="false" customHeight="false" outlineLevel="0" collapsed="false">
      <c r="B13381" s="0" t="s">
        <v>216</v>
      </c>
      <c r="C13381" s="0" t="s">
        <v>1170</v>
      </c>
      <c r="F13381" s="0" t="s">
        <v>1170</v>
      </c>
    </row>
    <row r="13383" customFormat="false" ht="12.8" hidden="false" customHeight="false" outlineLevel="0" collapsed="false">
      <c r="A13383" s="0" t="s">
        <v>5378</v>
      </c>
      <c r="B13383" s="0" t="str">
        <f aca="false">HYPERLINK("https://lindat.mff.cuni.cz/services/teitok/pdtc10/index.php?action=vallex&amp;frame=v-w11838_ZUf1_ZU", "mistrovat (v-w11838_ZUf1_ZU)")</f>
        <v>mistrovat (v-w11838_ZUf1_ZU)</v>
      </c>
    </row>
    <row r="13384" customFormat="false" ht="12.8" hidden="false" customHeight="false" outlineLevel="0" collapsed="false">
      <c r="B13384" s="0" t="s">
        <v>7</v>
      </c>
    </row>
    <row r="13386" customFormat="false" ht="12.8" hidden="false" customHeight="false" outlineLevel="0" collapsed="false">
      <c r="A13386" s="0" t="s">
        <v>5379</v>
      </c>
      <c r="B13386" s="0" t="str">
        <f aca="false">HYPERLINK("https://lindat.mff.cuni.cz/services/teitok/pdtc10/index.php?action=vallex&amp;frame=v-w1859f1", "mizet (v-w1859f1)")</f>
        <v>mizet (v-w1859f1)</v>
      </c>
    </row>
    <row r="13387" customFormat="false" ht="12.8" hidden="false" customHeight="false" outlineLevel="0" collapsed="false">
      <c r="B13387" s="0" t="s">
        <v>7</v>
      </c>
      <c r="C13387" s="0" t="s">
        <v>4398</v>
      </c>
      <c r="D13387" s="0" t="s">
        <v>5380</v>
      </c>
      <c r="E13387" s="0" t="s">
        <v>5380</v>
      </c>
      <c r="F13387" s="0" t="s">
        <v>5380</v>
      </c>
    </row>
    <row r="13389" customFormat="false" ht="12.8" hidden="false" customHeight="false" outlineLevel="0" collapsed="false">
      <c r="A13389" s="0" t="s">
        <v>5381</v>
      </c>
      <c r="B13389" s="0" t="str">
        <f aca="false">HYPERLINK("https://lindat.mff.cuni.cz/services/teitok/pdtc10/index.php?action=vallex&amp;frame=v-w1859f2_ZU", "mizet (v-w1859f2_ZU)")</f>
        <v>mizet (v-w1859f2_ZU)</v>
      </c>
    </row>
    <row r="13390" customFormat="false" ht="12.8" hidden="false" customHeight="false" outlineLevel="0" collapsed="false">
      <c r="B13390" s="0" t="s">
        <v>7</v>
      </c>
    </row>
    <row r="13391" customFormat="false" ht="12.8" hidden="false" customHeight="false" outlineLevel="0" collapsed="false">
      <c r="B13391" s="0" t="s">
        <v>5382</v>
      </c>
    </row>
    <row r="13393" customFormat="false" ht="12.8" hidden="false" customHeight="false" outlineLevel="0" collapsed="false">
      <c r="A13393" s="0" t="s">
        <v>5383</v>
      </c>
      <c r="B13393" s="0" t="str">
        <f aca="false">HYPERLINK("https://lindat.mff.cuni.cz/services/teitok/pdtc10/index.php?action=vallex&amp;frame=v-w1868f6", "mluvit (v-w1868f6)")</f>
        <v>mluvit (v-w1868f6)</v>
      </c>
    </row>
    <row r="13394" customFormat="false" ht="12.8" hidden="false" customHeight="false" outlineLevel="0" collapsed="false">
      <c r="B13394" s="0" t="s">
        <v>7</v>
      </c>
    </row>
    <row r="13395" customFormat="false" ht="12.8" hidden="false" customHeight="false" outlineLevel="0" collapsed="false">
      <c r="B13395" s="0" t="s">
        <v>985</v>
      </c>
    </row>
    <row r="13396" customFormat="false" ht="12.8" hidden="false" customHeight="false" outlineLevel="0" collapsed="false">
      <c r="B13396" s="0" t="s">
        <v>106</v>
      </c>
    </row>
    <row r="13398" customFormat="false" ht="12.8" hidden="false" customHeight="false" outlineLevel="0" collapsed="false">
      <c r="A13398" s="0" t="s">
        <v>5384</v>
      </c>
      <c r="B13398" s="0" t="str">
        <f aca="false">HYPERLINK("https://lindat.mff.cuni.cz/services/teitok/pdtc10/index.php?action=vallex&amp;frame=v-w1868f1", "mluvit (v-w1868f1)")</f>
        <v>mluvit (v-w1868f1)</v>
      </c>
    </row>
    <row r="13399" customFormat="false" ht="12.8" hidden="false" customHeight="false" outlineLevel="0" collapsed="false">
      <c r="B13399" s="0" t="s">
        <v>7</v>
      </c>
      <c r="C13399" s="0" t="s">
        <v>5385</v>
      </c>
      <c r="D13399" s="0" t="s">
        <v>209</v>
      </c>
      <c r="E13399" s="0" t="s">
        <v>209</v>
      </c>
      <c r="F13399" s="0" t="s">
        <v>209</v>
      </c>
    </row>
    <row r="13400" customFormat="false" ht="12.8" hidden="false" customHeight="false" outlineLevel="0" collapsed="false">
      <c r="B13400" s="0" t="s">
        <v>5386</v>
      </c>
      <c r="C13400" s="0" t="s">
        <v>5387</v>
      </c>
      <c r="D13400" s="0" t="s">
        <v>211</v>
      </c>
      <c r="E13400" s="0" t="s">
        <v>211</v>
      </c>
      <c r="F13400" s="0" t="s">
        <v>211</v>
      </c>
    </row>
    <row r="13401" customFormat="false" ht="12.8" hidden="false" customHeight="false" outlineLevel="0" collapsed="false">
      <c r="B13401" s="0" t="s">
        <v>2767</v>
      </c>
      <c r="C13401" s="0" t="s">
        <v>5388</v>
      </c>
      <c r="D13401" s="0" t="s">
        <v>213</v>
      </c>
      <c r="E13401" s="0" t="s">
        <v>213</v>
      </c>
      <c r="F13401" s="0" t="s">
        <v>213</v>
      </c>
    </row>
    <row r="13403" customFormat="false" ht="12.8" hidden="false" customHeight="false" outlineLevel="0" collapsed="false">
      <c r="A13403" s="0" t="s">
        <v>5389</v>
      </c>
      <c r="B13403" s="0" t="str">
        <f aca="false">HYPERLINK("https://lindat.mff.cuni.cz/services/teitok/pdtc10/index.php?action=vallex&amp;frame=v-w1868f5", "mluvit (v-w1868f5)")</f>
        <v>mluvit (v-w1868f5)</v>
      </c>
    </row>
    <row r="13404" customFormat="false" ht="12.8" hidden="false" customHeight="false" outlineLevel="0" collapsed="false">
      <c r="B13404" s="0" t="s">
        <v>7</v>
      </c>
      <c r="C13404" s="0" t="s">
        <v>1643</v>
      </c>
      <c r="D13404" s="0" t="s">
        <v>209</v>
      </c>
      <c r="E13404" s="0" t="s">
        <v>209</v>
      </c>
      <c r="F13404" s="0" t="s">
        <v>209</v>
      </c>
    </row>
    <row r="13405" customFormat="false" ht="12.8" hidden="false" customHeight="false" outlineLevel="0" collapsed="false">
      <c r="B13405" s="0" t="s">
        <v>5390</v>
      </c>
      <c r="C13405" s="0" t="s">
        <v>1681</v>
      </c>
      <c r="D13405" s="0" t="s">
        <v>211</v>
      </c>
      <c r="E13405" s="0" t="s">
        <v>211</v>
      </c>
      <c r="F13405" s="0" t="s">
        <v>211</v>
      </c>
    </row>
    <row r="13406" customFormat="false" ht="12.8" hidden="false" customHeight="false" outlineLevel="0" collapsed="false">
      <c r="B13406" s="0" t="s">
        <v>1124</v>
      </c>
      <c r="C13406" s="0" t="s">
        <v>5391</v>
      </c>
      <c r="D13406" s="0" t="s">
        <v>213</v>
      </c>
      <c r="E13406" s="0" t="s">
        <v>213</v>
      </c>
      <c r="F13406" s="0" t="s">
        <v>213</v>
      </c>
    </row>
    <row r="13408" customFormat="false" ht="12.8" hidden="false" customHeight="false" outlineLevel="0" collapsed="false">
      <c r="A13408" s="0" t="s">
        <v>5392</v>
      </c>
      <c r="B13408" s="0" t="str">
        <f aca="false">HYPERLINK("https://lindat.mff.cuni.cz/services/teitok/pdtc10/index.php?action=vallex&amp;frame=v-w1868f3", "mluvit (v-w1868f3)")</f>
        <v>mluvit (v-w1868f3)</v>
      </c>
    </row>
    <row r="13409" customFormat="false" ht="12.8" hidden="false" customHeight="false" outlineLevel="0" collapsed="false">
      <c r="B13409" s="0" t="s">
        <v>7</v>
      </c>
      <c r="C13409" s="0" t="s">
        <v>5393</v>
      </c>
      <c r="F13409" s="0" t="s">
        <v>358</v>
      </c>
    </row>
    <row r="13410" customFormat="false" ht="12.8" hidden="false" customHeight="false" outlineLevel="0" collapsed="false">
      <c r="B13410" s="0" t="s">
        <v>14</v>
      </c>
      <c r="C13410" s="0" t="s">
        <v>5394</v>
      </c>
      <c r="F13410" s="0" t="s">
        <v>89</v>
      </c>
    </row>
    <row r="13412" customFormat="false" ht="12.8" hidden="false" customHeight="false" outlineLevel="0" collapsed="false">
      <c r="A13412" s="0" t="s">
        <v>5395</v>
      </c>
      <c r="B13412" s="0" t="str">
        <f aca="false">HYPERLINK("https://lindat.mff.cuni.cz/services/teitok/pdtc10/index.php?action=vallex&amp;frame=v-w1868f10", "mluvit (v-w1868f10)")</f>
        <v>mluvit (v-w1868f10)</v>
      </c>
    </row>
    <row r="13413" customFormat="false" ht="12.8" hidden="false" customHeight="false" outlineLevel="0" collapsed="false">
      <c r="B13413" s="0" t="s">
        <v>7</v>
      </c>
    </row>
    <row r="13414" customFormat="false" ht="12.8" hidden="false" customHeight="false" outlineLevel="0" collapsed="false">
      <c r="B13414" s="0" t="s">
        <v>14</v>
      </c>
    </row>
    <row r="13416" customFormat="false" ht="12.8" hidden="false" customHeight="false" outlineLevel="0" collapsed="false">
      <c r="A13416" s="0" t="s">
        <v>5396</v>
      </c>
      <c r="B13416" s="0" t="str">
        <f aca="false">HYPERLINK("https://lindat.mff.cuni.cz/services/teitok/pdtc10/index.php?action=vallex&amp;frame=v-w1868f9", "mluvit (v-w1868f9)")</f>
        <v>mluvit (v-w1868f9)</v>
      </c>
    </row>
    <row r="13417" customFormat="false" ht="12.8" hidden="false" customHeight="false" outlineLevel="0" collapsed="false">
      <c r="B13417" s="0" t="s">
        <v>7</v>
      </c>
    </row>
    <row r="13418" customFormat="false" ht="12.8" hidden="false" customHeight="false" outlineLevel="0" collapsed="false">
      <c r="B13418" s="0" t="s">
        <v>244</v>
      </c>
    </row>
    <row r="13420" customFormat="false" ht="12.8" hidden="false" customHeight="false" outlineLevel="0" collapsed="false">
      <c r="A13420" s="0" t="s">
        <v>5397</v>
      </c>
      <c r="B13420" s="0" t="str">
        <f aca="false">HYPERLINK("https://lindat.mff.cuni.cz/services/teitok/pdtc10/index.php?action=vallex&amp;frame=v-w1868f4", "mluvit (v-w1868f4)")</f>
        <v>mluvit (v-w1868f4)</v>
      </c>
    </row>
    <row r="13421" customFormat="false" ht="12.8" hidden="false" customHeight="false" outlineLevel="0" collapsed="false">
      <c r="B13421" s="0" t="s">
        <v>7</v>
      </c>
      <c r="C13421" s="0" t="s">
        <v>1637</v>
      </c>
    </row>
    <row r="13422" customFormat="false" ht="12.8" hidden="false" customHeight="false" outlineLevel="0" collapsed="false">
      <c r="B13422" s="0" t="s">
        <v>5398</v>
      </c>
      <c r="C13422" s="0" t="s">
        <v>5399</v>
      </c>
    </row>
    <row r="13424" customFormat="false" ht="12.8" hidden="false" customHeight="false" outlineLevel="0" collapsed="false">
      <c r="A13424" s="0" t="s">
        <v>5400</v>
      </c>
      <c r="B13424" s="0" t="str">
        <f aca="false">HYPERLINK("https://lindat.mff.cuni.cz/services/teitok/pdtc10/index.php?action=vallex&amp;frame=v-w1868f8", "mluvit (v-w1868f8)")</f>
        <v>mluvit (v-w1868f8)</v>
      </c>
    </row>
    <row r="13425" customFormat="false" ht="12.8" hidden="false" customHeight="false" outlineLevel="0" collapsed="false">
      <c r="B13425" s="0" t="s">
        <v>7</v>
      </c>
      <c r="C13425" s="0" t="s">
        <v>46</v>
      </c>
    </row>
    <row r="13426" customFormat="false" ht="12.8" hidden="false" customHeight="false" outlineLevel="0" collapsed="false">
      <c r="B13426" s="0" t="s">
        <v>5401</v>
      </c>
    </row>
    <row r="13428" customFormat="false" ht="12.8" hidden="false" customHeight="false" outlineLevel="0" collapsed="false">
      <c r="A13428" s="0" t="s">
        <v>5402</v>
      </c>
      <c r="B13428" s="0" t="str">
        <f aca="false">HYPERLINK("https://lindat.mff.cuni.cz/services/teitok/pdtc10/index.php?action=vallex&amp;frame=v-w1868f2", "mluvit (v-w1868f2)")</f>
        <v>mluvit (v-w1868f2)</v>
      </c>
    </row>
    <row r="13429" customFormat="false" ht="12.8" hidden="false" customHeight="false" outlineLevel="0" collapsed="false">
      <c r="B13429" s="0" t="s">
        <v>7</v>
      </c>
      <c r="C13429" s="0" t="s">
        <v>1091</v>
      </c>
      <c r="D13429" s="0" t="s">
        <v>558</v>
      </c>
      <c r="E13429" s="0" t="s">
        <v>558</v>
      </c>
      <c r="F13429" s="0" t="s">
        <v>558</v>
      </c>
    </row>
    <row r="13431" customFormat="false" ht="12.8" hidden="false" customHeight="false" outlineLevel="0" collapsed="false">
      <c r="A13431" s="0" t="s">
        <v>5403</v>
      </c>
      <c r="B13431" s="0" t="str">
        <f aca="false">HYPERLINK("https://lindat.mff.cuni.cz/services/teitok/pdtc10/index.php?action=vallex&amp;frame=v-w1868f11", "mluvit (v-w1868f11)")</f>
        <v>mluvit (v-w1868f11)</v>
      </c>
    </row>
    <row r="13432" customFormat="false" ht="12.8" hidden="false" customHeight="false" outlineLevel="0" collapsed="false">
      <c r="B13432" s="0" t="s">
        <v>7</v>
      </c>
    </row>
    <row r="13433" customFormat="false" ht="12.8" hidden="false" customHeight="false" outlineLevel="0" collapsed="false">
      <c r="B13433" s="0" t="s">
        <v>5404</v>
      </c>
    </row>
    <row r="13434" customFormat="false" ht="12.8" hidden="false" customHeight="false" outlineLevel="0" collapsed="false">
      <c r="B13434" s="0" t="s">
        <v>142</v>
      </c>
    </row>
    <row r="13436" customFormat="false" ht="12.8" hidden="false" customHeight="false" outlineLevel="0" collapsed="false">
      <c r="A13436" s="0" t="s">
        <v>5405</v>
      </c>
      <c r="B13436" s="0" t="str">
        <f aca="false">HYPERLINK("https://lindat.mff.cuni.cz/services/teitok/pdtc10/index.php?action=vallex&amp;frame=v-w1868f7", "mluvit (v-w1868f7)")</f>
        <v>mluvit (v-w1868f7)</v>
      </c>
    </row>
    <row r="13437" customFormat="false" ht="12.8" hidden="false" customHeight="false" outlineLevel="0" collapsed="false">
      <c r="B13437" s="0" t="s">
        <v>7</v>
      </c>
    </row>
    <row r="13438" customFormat="false" ht="12.8" hidden="false" customHeight="false" outlineLevel="0" collapsed="false">
      <c r="B13438" s="0" t="s">
        <v>3985</v>
      </c>
    </row>
    <row r="13440" customFormat="false" ht="12.8" hidden="false" customHeight="false" outlineLevel="0" collapsed="false">
      <c r="A13440" s="0" t="s">
        <v>5406</v>
      </c>
      <c r="B13440" s="0" t="str">
        <f aca="false">HYPERLINK("https://lindat.mff.cuni.cz/services/teitok/pdtc10/index.php?action=vallex&amp;frame=v-w1868f12_ZU", "mluvit (v-w1868f12_ZU)")</f>
        <v>mluvit (v-w1868f12_ZU)</v>
      </c>
    </row>
    <row r="13441" customFormat="false" ht="12.8" hidden="false" customHeight="false" outlineLevel="0" collapsed="false">
      <c r="B13441" s="0" t="s">
        <v>7</v>
      </c>
    </row>
    <row r="13442" customFormat="false" ht="12.8" hidden="false" customHeight="false" outlineLevel="0" collapsed="false">
      <c r="B13442" s="0" t="s">
        <v>1193</v>
      </c>
    </row>
    <row r="13444" customFormat="false" ht="12.8" hidden="false" customHeight="false" outlineLevel="0" collapsed="false">
      <c r="A13444" s="0" t="s">
        <v>5407</v>
      </c>
      <c r="B13444" s="0" t="str">
        <f aca="false">HYPERLINK("https://lindat.mff.cuni.cz/services/teitok/pdtc10/index.php?action=vallex&amp;frame=v-w1868hsa_1783", "mluvit (v-w1868hsa_1783)")</f>
        <v>mluvit (v-w1868hsa_1783)</v>
      </c>
    </row>
    <row r="13445" customFormat="false" ht="12.8" hidden="false" customHeight="false" outlineLevel="0" collapsed="false">
      <c r="B13445" s="0" t="s">
        <v>7</v>
      </c>
    </row>
    <row r="13446" customFormat="false" ht="12.8" hidden="false" customHeight="false" outlineLevel="0" collapsed="false">
      <c r="B13446" s="0" t="s">
        <v>244</v>
      </c>
    </row>
    <row r="13447" customFormat="false" ht="12.8" hidden="false" customHeight="false" outlineLevel="0" collapsed="false">
      <c r="B13447" s="0" t="s">
        <v>2767</v>
      </c>
    </row>
    <row r="13448" customFormat="false" ht="12.8" hidden="false" customHeight="false" outlineLevel="0" collapsed="false">
      <c r="B13448" s="0" t="s">
        <v>3546</v>
      </c>
    </row>
    <row r="13450" customFormat="false" ht="12.8" hidden="false" customHeight="false" outlineLevel="0" collapsed="false">
      <c r="A13450" s="0" t="s">
        <v>5408</v>
      </c>
      <c r="B13450" s="0" t="str">
        <f aca="false">HYPERLINK("https://lindat.mff.cuni.cz/services/teitok/pdtc10/index.php?action=vallex&amp;frame=v-w1860f2", "mlátit (v-w1860f2)")</f>
        <v>mlátit (v-w1860f2)</v>
      </c>
    </row>
    <row r="13451" customFormat="false" ht="12.8" hidden="false" customHeight="false" outlineLevel="0" collapsed="false">
      <c r="B13451" s="0" t="s">
        <v>7</v>
      </c>
      <c r="D13451" s="0" t="s">
        <v>46</v>
      </c>
      <c r="E13451" s="0" t="s">
        <v>113</v>
      </c>
      <c r="F13451" s="0" t="s">
        <v>113</v>
      </c>
    </row>
    <row r="13452" customFormat="false" ht="12.8" hidden="false" customHeight="false" outlineLevel="0" collapsed="false">
      <c r="B13452" s="0" t="s">
        <v>14</v>
      </c>
      <c r="D13452" s="0" t="s">
        <v>115</v>
      </c>
      <c r="E13452" s="0" t="s">
        <v>74</v>
      </c>
      <c r="F13452" s="0" t="s">
        <v>74</v>
      </c>
    </row>
    <row r="13454" customFormat="false" ht="12.8" hidden="false" customHeight="false" outlineLevel="0" collapsed="false">
      <c r="A13454" s="0" t="s">
        <v>5409</v>
      </c>
      <c r="B13454" s="0" t="str">
        <f aca="false">HYPERLINK("https://lindat.mff.cuni.cz/services/teitok/pdtc10/index.php?action=vallex&amp;frame=v-w1860f1", "mlátit (v-w1860f1)")</f>
        <v>mlátit (v-w1860f1)</v>
      </c>
    </row>
    <row r="13455" customFormat="false" ht="12.8" hidden="false" customHeight="false" outlineLevel="0" collapsed="false">
      <c r="B13455" s="0" t="s">
        <v>7</v>
      </c>
      <c r="D13455" s="0" t="s">
        <v>191</v>
      </c>
      <c r="E13455" s="0" t="s">
        <v>5410</v>
      </c>
      <c r="F13455" s="0" t="s">
        <v>5410</v>
      </c>
    </row>
    <row r="13456" customFormat="false" ht="12.8" hidden="false" customHeight="false" outlineLevel="0" collapsed="false">
      <c r="B13456" s="0" t="s">
        <v>216</v>
      </c>
      <c r="D13456" s="0" t="s">
        <v>155</v>
      </c>
      <c r="E13456" s="0" t="s">
        <v>342</v>
      </c>
      <c r="F13456" s="0" t="s">
        <v>342</v>
      </c>
    </row>
    <row r="13458" customFormat="false" ht="12.8" hidden="false" customHeight="false" outlineLevel="0" collapsed="false">
      <c r="A13458" s="0" t="s">
        <v>5411</v>
      </c>
      <c r="B13458" s="0" t="str">
        <f aca="false">HYPERLINK("https://lindat.mff.cuni.cz/services/teitok/pdtc10/index.php?action=vallex&amp;frame=v-w1860f4", "mlátit (v-w1860f4)")</f>
        <v>mlátit (v-w1860f4)</v>
      </c>
    </row>
    <row r="13459" customFormat="false" ht="12.8" hidden="false" customHeight="false" outlineLevel="0" collapsed="false">
      <c r="B13459" s="0" t="s">
        <v>7</v>
      </c>
    </row>
    <row r="13460" customFormat="false" ht="12.8" hidden="false" customHeight="false" outlineLevel="0" collapsed="false">
      <c r="B13460" s="0" t="s">
        <v>124</v>
      </c>
    </row>
    <row r="13462" customFormat="false" ht="12.8" hidden="false" customHeight="false" outlineLevel="0" collapsed="false">
      <c r="A13462" s="0" t="s">
        <v>5412</v>
      </c>
      <c r="B13462" s="0" t="str">
        <f aca="false">HYPERLINK("https://lindat.mff.cuni.cz/services/teitok/pdtc10/index.php?action=vallex&amp;frame=v-w1860f3", "mlátit (v-w1860f3)")</f>
        <v>mlátit (v-w1860f3)</v>
      </c>
    </row>
    <row r="13463" customFormat="false" ht="12.8" hidden="false" customHeight="false" outlineLevel="0" collapsed="false">
      <c r="B13463" s="0" t="s">
        <v>7</v>
      </c>
      <c r="F13463" s="0" t="s">
        <v>358</v>
      </c>
    </row>
    <row r="13464" customFormat="false" ht="12.8" hidden="false" customHeight="false" outlineLevel="0" collapsed="false">
      <c r="B13464" s="0" t="s">
        <v>5413</v>
      </c>
    </row>
    <row r="13466" customFormat="false" ht="12.8" hidden="false" customHeight="false" outlineLevel="0" collapsed="false">
      <c r="A13466" s="0" t="s">
        <v>5414</v>
      </c>
      <c r="B13466" s="0" t="str">
        <f aca="false">HYPERLINK("https://lindat.mff.cuni.cz/services/teitok/pdtc10/index.php?action=vallex&amp;frame=v-w1860hsa_1685", "mlátit (v-w1860hsa_1685)")</f>
        <v>mlátit (v-w1860hsa_1685)</v>
      </c>
    </row>
    <row r="13467" customFormat="false" ht="12.8" hidden="false" customHeight="false" outlineLevel="0" collapsed="false">
      <c r="B13467" s="0" t="s">
        <v>7</v>
      </c>
    </row>
    <row r="13468" customFormat="false" ht="12.8" hidden="false" customHeight="false" outlineLevel="0" collapsed="false">
      <c r="B13468" s="0" t="s">
        <v>14</v>
      </c>
    </row>
    <row r="13470" customFormat="false" ht="12.8" hidden="false" customHeight="false" outlineLevel="0" collapsed="false">
      <c r="A13470" s="0" t="s">
        <v>5415</v>
      </c>
      <c r="B13470" s="0" t="str">
        <f aca="false">HYPERLINK("https://lindat.mff.cuni.cz/services/teitok/pdtc10/index.php?action=vallex&amp;frame=v-w1864f1", "mlít (v-w1864f1)")</f>
        <v>mlít (v-w1864f1)</v>
      </c>
    </row>
    <row r="13471" customFormat="false" ht="12.8" hidden="false" customHeight="false" outlineLevel="0" collapsed="false">
      <c r="B13471" s="0" t="s">
        <v>7</v>
      </c>
      <c r="F13471" s="0" t="s">
        <v>46</v>
      </c>
    </row>
    <row r="13472" customFormat="false" ht="12.8" hidden="false" customHeight="false" outlineLevel="0" collapsed="false">
      <c r="B13472" s="0" t="s">
        <v>14</v>
      </c>
      <c r="F13472" s="0" t="s">
        <v>1209</v>
      </c>
    </row>
    <row r="13473" customFormat="false" ht="12.8" hidden="false" customHeight="false" outlineLevel="0" collapsed="false">
      <c r="B13473" s="0" t="s">
        <v>35</v>
      </c>
    </row>
    <row r="13474" customFormat="false" ht="12.8" hidden="false" customHeight="false" outlineLevel="0" collapsed="false">
      <c r="B13474" s="0" t="s">
        <v>84</v>
      </c>
    </row>
    <row r="13476" customFormat="false" ht="12.8" hidden="false" customHeight="false" outlineLevel="0" collapsed="false">
      <c r="A13476" s="0" t="s">
        <v>5416</v>
      </c>
      <c r="B13476" s="0" t="str">
        <f aca="false">HYPERLINK("https://lindat.mff.cuni.cz/services/teitok/pdtc10/index.php?action=vallex&amp;frame=v-w1864f2_ZU", "mlít (v-w1864f2_ZU)")</f>
        <v>mlít (v-w1864f2_ZU)</v>
      </c>
    </row>
    <row r="13477" customFormat="false" ht="12.8" hidden="false" customHeight="false" outlineLevel="0" collapsed="false">
      <c r="B13477" s="0" t="s">
        <v>7</v>
      </c>
      <c r="F13477" s="0" t="s">
        <v>358</v>
      </c>
    </row>
    <row r="13478" customFormat="false" ht="12.8" hidden="false" customHeight="false" outlineLevel="0" collapsed="false">
      <c r="B13478" s="0" t="s">
        <v>5413</v>
      </c>
    </row>
    <row r="13480" customFormat="false" ht="12.8" hidden="false" customHeight="false" outlineLevel="0" collapsed="false">
      <c r="A13480" s="0" t="s">
        <v>5416</v>
      </c>
      <c r="B13480" s="0" t="str">
        <f aca="false">HYPERLINK("https://lindat.mff.cuni.cz/services/teitok/pdtc10/index.php?action=vallex&amp;frame=v-w1864hsa_1264", "mlít (v-w1864hsa_1264) - substituted with v-w1864f2_ZU")</f>
        <v>mlít (v-w1864hsa_1264) - substituted with v-w1864f2_ZU</v>
      </c>
    </row>
    <row r="13481" customFormat="false" ht="12.8" hidden="false" customHeight="false" outlineLevel="0" collapsed="false">
      <c r="B13481" s="0" t="s">
        <v>7</v>
      </c>
    </row>
    <row r="13482" customFormat="false" ht="12.8" hidden="false" customHeight="false" outlineLevel="0" collapsed="false">
      <c r="B13482" s="0" t="s">
        <v>5413</v>
      </c>
    </row>
    <row r="13484" customFormat="false" ht="12.8" hidden="false" customHeight="false" outlineLevel="0" collapsed="false">
      <c r="A13484" s="0" t="s">
        <v>5417</v>
      </c>
      <c r="B13484" s="0" t="str">
        <f aca="false">HYPERLINK("https://lindat.mff.cuni.cz/services/teitok/pdtc10/index.php?action=vallex&amp;frame=v-w1862f1", "mlčet (v-w1862f1)")</f>
        <v>mlčet (v-w1862f1)</v>
      </c>
    </row>
    <row r="13485" customFormat="false" ht="12.8" hidden="false" customHeight="false" outlineLevel="0" collapsed="false">
      <c r="B13485" s="0" t="s">
        <v>7</v>
      </c>
      <c r="D13485" s="0" t="s">
        <v>4999</v>
      </c>
      <c r="E13485" s="0" t="s">
        <v>4999</v>
      </c>
      <c r="F13485" s="0" t="s">
        <v>4999</v>
      </c>
    </row>
    <row r="13486" customFormat="false" ht="12.8" hidden="false" customHeight="false" outlineLevel="0" collapsed="false">
      <c r="B13486" s="0" t="s">
        <v>363</v>
      </c>
      <c r="D13486" s="0" t="s">
        <v>5000</v>
      </c>
      <c r="E13486" s="0" t="s">
        <v>5000</v>
      </c>
      <c r="F13486" s="0" t="s">
        <v>5000</v>
      </c>
    </row>
    <row r="13488" customFormat="false" ht="12.8" hidden="false" customHeight="false" outlineLevel="0" collapsed="false">
      <c r="A13488" s="0" t="s">
        <v>5418</v>
      </c>
      <c r="B13488" s="0" t="str">
        <f aca="false">HYPERLINK("https://lindat.mff.cuni.cz/services/teitok/pdtc10/index.php?action=vallex&amp;frame=v-w10869f3", "mlžit (v-w10869f3)")</f>
        <v>mlžit (v-w10869f3)</v>
      </c>
    </row>
    <row r="13489" customFormat="false" ht="12.8" hidden="false" customHeight="false" outlineLevel="0" collapsed="false">
      <c r="B13489" s="0" t="s">
        <v>7</v>
      </c>
      <c r="C13489" s="0" t="s">
        <v>46</v>
      </c>
      <c r="D13489" s="0" t="s">
        <v>5419</v>
      </c>
      <c r="E13489" s="0" t="s">
        <v>5419</v>
      </c>
      <c r="F13489" s="0" t="s">
        <v>5419</v>
      </c>
    </row>
    <row r="13490" customFormat="false" ht="12.8" hidden="false" customHeight="false" outlineLevel="0" collapsed="false">
      <c r="B13490" s="0" t="s">
        <v>363</v>
      </c>
      <c r="C13490" s="0" t="s">
        <v>567</v>
      </c>
      <c r="D13490" s="0" t="s">
        <v>5420</v>
      </c>
      <c r="E13490" s="0" t="s">
        <v>5420</v>
      </c>
      <c r="F13490" s="0" t="s">
        <v>5420</v>
      </c>
    </row>
    <row r="13492" customFormat="false" ht="12.8" hidden="false" customHeight="false" outlineLevel="0" collapsed="false">
      <c r="A13492" s="0" t="s">
        <v>5421</v>
      </c>
      <c r="B13492" s="0" t="str">
        <f aca="false">HYPERLINK("https://lindat.mff.cuni.cz/services/teitok/pdtc10/index.php?action=vallex&amp;frame=v-w1869f1", "mnout (v-w1869f1)")</f>
        <v>mnout (v-w1869f1)</v>
      </c>
    </row>
    <row r="13493" customFormat="false" ht="12.8" hidden="false" customHeight="false" outlineLevel="0" collapsed="false">
      <c r="B13493" s="0" t="s">
        <v>7</v>
      </c>
    </row>
    <row r="13494" customFormat="false" ht="12.8" hidden="false" customHeight="false" outlineLevel="0" collapsed="false">
      <c r="B13494" s="0" t="s">
        <v>14</v>
      </c>
    </row>
    <row r="13496" customFormat="false" ht="12.8" hidden="false" customHeight="false" outlineLevel="0" collapsed="false">
      <c r="A13496" s="0" t="s">
        <v>5422</v>
      </c>
      <c r="B13496" s="0" t="str">
        <f aca="false">HYPERLINK("https://lindat.mff.cuni.cz/services/teitok/pdtc10/index.php?action=vallex&amp;frame=v-w11755_ZUf1_ZU", "množit (v-w11755_ZUf1_ZU)")</f>
        <v>množit (v-w11755_ZUf1_ZU)</v>
      </c>
    </row>
    <row r="13497" customFormat="false" ht="12.8" hidden="false" customHeight="false" outlineLevel="0" collapsed="false">
      <c r="B13497" s="0" t="s">
        <v>7</v>
      </c>
    </row>
    <row r="13499" customFormat="false" ht="12.8" hidden="false" customHeight="false" outlineLevel="0" collapsed="false">
      <c r="A13499" s="0" t="s">
        <v>5423</v>
      </c>
      <c r="B13499" s="0" t="str">
        <f aca="false">HYPERLINK("https://lindat.mff.cuni.cz/services/teitok/pdtc10/index.php?action=vallex&amp;frame=v-w1871f1", "množit se (v-w1871f1)")</f>
        <v>množit se (v-w1871f1)</v>
      </c>
    </row>
    <row r="13500" customFormat="false" ht="12.8" hidden="false" customHeight="false" outlineLevel="0" collapsed="false">
      <c r="B13500" s="0" t="s">
        <v>7</v>
      </c>
      <c r="C13500" s="0" t="s">
        <v>5424</v>
      </c>
      <c r="D13500" s="0" t="s">
        <v>4020</v>
      </c>
      <c r="E13500" s="0" t="s">
        <v>4021</v>
      </c>
      <c r="F13500" s="0" t="s">
        <v>4021</v>
      </c>
    </row>
    <row r="13502" customFormat="false" ht="12.8" hidden="false" customHeight="false" outlineLevel="0" collapsed="false">
      <c r="A13502" s="0" t="s">
        <v>5425</v>
      </c>
      <c r="B13502" s="0" t="str">
        <f aca="false">HYPERLINK("https://lindat.mff.cuni.cz/services/teitok/pdtc10/index.php?action=vallex&amp;frame=v-w1872f2", "mobilizovat (v-w1872f2)")</f>
        <v>mobilizovat (v-w1872f2)</v>
      </c>
    </row>
    <row r="13503" customFormat="false" ht="12.8" hidden="false" customHeight="false" outlineLevel="0" collapsed="false">
      <c r="B13503" s="0" t="s">
        <v>7</v>
      </c>
    </row>
    <row r="13504" customFormat="false" ht="12.8" hidden="false" customHeight="false" outlineLevel="0" collapsed="false">
      <c r="B13504" s="0" t="s">
        <v>4406</v>
      </c>
    </row>
    <row r="13505" customFormat="false" ht="12.8" hidden="false" customHeight="false" outlineLevel="0" collapsed="false">
      <c r="B13505" s="0" t="s">
        <v>81</v>
      </c>
    </row>
    <row r="13507" customFormat="false" ht="12.8" hidden="false" customHeight="false" outlineLevel="0" collapsed="false">
      <c r="A13507" s="0" t="s">
        <v>5426</v>
      </c>
      <c r="B13507" s="0" t="str">
        <f aca="false">HYPERLINK("https://lindat.mff.cuni.cz/services/teitok/pdtc10/index.php?action=vallex&amp;frame=v-w1872f1", "mobilizovat (v-w1872f1)")</f>
        <v>mobilizovat (v-w1872f1)</v>
      </c>
    </row>
    <row r="13508" customFormat="false" ht="12.8" hidden="false" customHeight="false" outlineLevel="0" collapsed="false">
      <c r="B13508" s="0" t="s">
        <v>7</v>
      </c>
      <c r="C13508" s="0" t="s">
        <v>113</v>
      </c>
      <c r="D13508" s="0" t="s">
        <v>504</v>
      </c>
      <c r="E13508" s="0" t="s">
        <v>504</v>
      </c>
      <c r="F13508" s="0" t="s">
        <v>504</v>
      </c>
    </row>
    <row r="13509" customFormat="false" ht="12.8" hidden="false" customHeight="false" outlineLevel="0" collapsed="false">
      <c r="B13509" s="0" t="s">
        <v>14</v>
      </c>
      <c r="C13509" s="0" t="s">
        <v>384</v>
      </c>
      <c r="D13509" s="0" t="s">
        <v>1146</v>
      </c>
      <c r="E13509" s="0" t="s">
        <v>1146</v>
      </c>
      <c r="F13509" s="0" t="s">
        <v>1146</v>
      </c>
    </row>
    <row r="13511" customFormat="false" ht="12.8" hidden="false" customHeight="false" outlineLevel="0" collapsed="false">
      <c r="A13511" s="0" t="s">
        <v>5427</v>
      </c>
      <c r="B13511" s="0" t="str">
        <f aca="false">HYPERLINK("https://lindat.mff.cuni.cz/services/teitok/pdtc10/index.php?action=vallex&amp;frame=v-w1875f2", "moci (v-w1875f2)")</f>
        <v>moci (v-w1875f2)</v>
      </c>
    </row>
    <row r="13512" customFormat="false" ht="12.8" hidden="false" customHeight="false" outlineLevel="0" collapsed="false">
      <c r="B13512" s="0" t="s">
        <v>7</v>
      </c>
      <c r="C13512" s="0" t="s">
        <v>5428</v>
      </c>
    </row>
    <row r="13513" customFormat="false" ht="12.8" hidden="false" customHeight="false" outlineLevel="0" collapsed="false">
      <c r="B13513" s="0" t="s">
        <v>2995</v>
      </c>
      <c r="C13513" s="0" t="s">
        <v>5429</v>
      </c>
    </row>
    <row r="13515" customFormat="false" ht="12.8" hidden="false" customHeight="false" outlineLevel="0" collapsed="false">
      <c r="A13515" s="0" t="s">
        <v>5430</v>
      </c>
      <c r="B13515" s="0" t="str">
        <f aca="false">HYPERLINK("https://lindat.mff.cuni.cz/services/teitok/pdtc10/index.php?action=vallex&amp;frame=v-w1875f1", "moci (v-w1875f1)")</f>
        <v>moci (v-w1875f1)</v>
      </c>
    </row>
    <row r="13516" customFormat="false" ht="12.8" hidden="false" customHeight="false" outlineLevel="0" collapsed="false">
      <c r="B13516" s="0" t="s">
        <v>7</v>
      </c>
      <c r="D13516" s="0" t="s">
        <v>5431</v>
      </c>
      <c r="E13516" s="0" t="s">
        <v>5432</v>
      </c>
      <c r="F13516" s="0" t="s">
        <v>5432</v>
      </c>
    </row>
    <row r="13517" customFormat="false" ht="12.8" hidden="false" customHeight="false" outlineLevel="0" collapsed="false">
      <c r="B13517" s="0" t="s">
        <v>491</v>
      </c>
      <c r="D13517" s="0" t="s">
        <v>5433</v>
      </c>
      <c r="E13517" s="0" t="s">
        <v>5434</v>
      </c>
      <c r="F13517" s="0" t="s">
        <v>5434</v>
      </c>
    </row>
    <row r="13519" customFormat="false" ht="12.8" hidden="false" customHeight="false" outlineLevel="0" collapsed="false">
      <c r="A13519" s="0" t="s">
        <v>5435</v>
      </c>
      <c r="B13519" s="0" t="str">
        <f aca="false">HYPERLINK("https://lindat.mff.cuni.cz/services/teitok/pdtc10/index.php?action=vallex&amp;frame=v-w1875f3_ZU", "moci (v-w1875f3_ZU)")</f>
        <v>moci (v-w1875f3_ZU)</v>
      </c>
    </row>
    <row r="13520" customFormat="false" ht="12.8" hidden="false" customHeight="false" outlineLevel="0" collapsed="false">
      <c r="B13520" s="0" t="s">
        <v>7</v>
      </c>
    </row>
    <row r="13521" customFormat="false" ht="12.8" hidden="false" customHeight="false" outlineLevel="0" collapsed="false">
      <c r="B13521" s="0" t="s">
        <v>14</v>
      </c>
    </row>
    <row r="13523" customFormat="false" ht="12.8" hidden="false" customHeight="false" outlineLevel="0" collapsed="false">
      <c r="A13523" s="0" t="s">
        <v>5436</v>
      </c>
      <c r="B13523" s="0" t="str">
        <f aca="false">HYPERLINK("https://lindat.mff.cuni.cz/services/teitok/pdtc10/index.php?action=vallex&amp;frame=v-w1875hsa_1564", "moci (v-w1875hsa_1564)")</f>
        <v>moci (v-w1875hsa_1564)</v>
      </c>
    </row>
    <row r="13524" customFormat="false" ht="12.8" hidden="false" customHeight="false" outlineLevel="0" collapsed="false">
      <c r="B13524" s="0" t="s">
        <v>7</v>
      </c>
    </row>
    <row r="13525" customFormat="false" ht="12.8" hidden="false" customHeight="false" outlineLevel="0" collapsed="false">
      <c r="B13525" s="0" t="s">
        <v>14</v>
      </c>
    </row>
    <row r="13527" customFormat="false" ht="12.8" hidden="false" customHeight="false" outlineLevel="0" collapsed="false">
      <c r="A13527" s="0" t="s">
        <v>5437</v>
      </c>
      <c r="B13527" s="0" t="str">
        <f aca="false">HYPERLINK("https://lindat.mff.cuni.cz/services/teitok/pdtc10/index.php?action=vallex&amp;frame=v-w1876f1", "moci si (v-w1876f1)")</f>
        <v>moci si (v-w1876f1)</v>
      </c>
    </row>
    <row r="13528" customFormat="false" ht="12.8" hidden="false" customHeight="false" outlineLevel="0" collapsed="false">
      <c r="B13528" s="0" t="s">
        <v>7</v>
      </c>
      <c r="D13528" s="0" t="s">
        <v>5431</v>
      </c>
      <c r="E13528" s="0" t="s">
        <v>5431</v>
      </c>
      <c r="F13528" s="0" t="s">
        <v>5431</v>
      </c>
    </row>
    <row r="13529" customFormat="false" ht="12.8" hidden="false" customHeight="false" outlineLevel="0" collapsed="false">
      <c r="B13529" s="0" t="s">
        <v>491</v>
      </c>
      <c r="D13529" s="0" t="s">
        <v>5433</v>
      </c>
      <c r="E13529" s="0" t="s">
        <v>5433</v>
      </c>
      <c r="F13529" s="0" t="s">
        <v>5433</v>
      </c>
    </row>
    <row r="13531" customFormat="false" ht="12.8" hidden="false" customHeight="false" outlineLevel="0" collapsed="false">
      <c r="A13531" s="0" t="s">
        <v>5438</v>
      </c>
      <c r="B13531" s="0" t="str">
        <f aca="false">HYPERLINK("https://lindat.mff.cuni.cz/services/teitok/pdtc10/index.php?action=vallex&amp;frame=v-w11137f2", "modelovat (v-w11137f2)")</f>
        <v>modelovat (v-w11137f2)</v>
      </c>
    </row>
    <row r="13532" customFormat="false" ht="12.8" hidden="false" customHeight="false" outlineLevel="0" collapsed="false">
      <c r="B13532" s="0" t="s">
        <v>7</v>
      </c>
      <c r="D13532" s="0" t="s">
        <v>5439</v>
      </c>
      <c r="E13532" s="0" t="s">
        <v>5439</v>
      </c>
      <c r="F13532" s="0" t="s">
        <v>5439</v>
      </c>
    </row>
    <row r="13533" customFormat="false" ht="12.8" hidden="false" customHeight="false" outlineLevel="0" collapsed="false">
      <c r="B13533" s="0" t="s">
        <v>14</v>
      </c>
      <c r="D13533" s="0" t="s">
        <v>5440</v>
      </c>
      <c r="E13533" s="0" t="s">
        <v>5440</v>
      </c>
      <c r="F13533" s="0" t="s">
        <v>5440</v>
      </c>
    </row>
    <row r="13534" customFormat="false" ht="12.8" hidden="false" customHeight="false" outlineLevel="0" collapsed="false">
      <c r="B13534" s="0" t="s">
        <v>35</v>
      </c>
      <c r="D13534" s="0" t="s">
        <v>5441</v>
      </c>
      <c r="E13534" s="0" t="s">
        <v>5441</v>
      </c>
      <c r="F13534" s="0" t="s">
        <v>5441</v>
      </c>
    </row>
    <row r="13536" customFormat="false" ht="12.8" hidden="false" customHeight="false" outlineLevel="0" collapsed="false">
      <c r="A13536" s="0" t="s">
        <v>5442</v>
      </c>
      <c r="B13536" s="0" t="str">
        <f aca="false">HYPERLINK("https://lindat.mff.cuni.cz/services/teitok/pdtc10/index.php?action=vallex&amp;frame=v-w1881f1", "modernizovat (v-w1881f1)")</f>
        <v>modernizovat (v-w1881f1)</v>
      </c>
    </row>
    <row r="13537" customFormat="false" ht="12.8" hidden="false" customHeight="false" outlineLevel="0" collapsed="false">
      <c r="B13537" s="0" t="s">
        <v>7</v>
      </c>
      <c r="C13537" s="0" t="s">
        <v>5443</v>
      </c>
      <c r="D13537" s="0" t="s">
        <v>73</v>
      </c>
      <c r="E13537" s="0" t="s">
        <v>73</v>
      </c>
      <c r="F13537" s="0" t="s">
        <v>73</v>
      </c>
    </row>
    <row r="13538" customFormat="false" ht="12.8" hidden="false" customHeight="false" outlineLevel="0" collapsed="false">
      <c r="B13538" s="0" t="s">
        <v>14</v>
      </c>
      <c r="C13538" s="0" t="s">
        <v>5444</v>
      </c>
      <c r="D13538" s="0" t="s">
        <v>75</v>
      </c>
      <c r="E13538" s="0" t="s">
        <v>75</v>
      </c>
      <c r="F13538" s="0" t="s">
        <v>75</v>
      </c>
    </row>
    <row r="13540" customFormat="false" ht="12.8" hidden="false" customHeight="false" outlineLevel="0" collapsed="false">
      <c r="A13540" s="0" t="s">
        <v>5445</v>
      </c>
      <c r="B13540" s="0" t="str">
        <f aca="false">HYPERLINK("https://lindat.mff.cuni.cz/services/teitok/pdtc10/index.php?action=vallex&amp;frame=v-w11108f2", "moderovat (v-w11108f2)")</f>
        <v>moderovat (v-w11108f2)</v>
      </c>
    </row>
    <row r="13541" customFormat="false" ht="12.8" hidden="false" customHeight="false" outlineLevel="0" collapsed="false">
      <c r="B13541" s="0" t="s">
        <v>7</v>
      </c>
      <c r="D13541" s="0" t="s">
        <v>1604</v>
      </c>
      <c r="E13541" s="0" t="s">
        <v>1604</v>
      </c>
      <c r="F13541" s="0" t="s">
        <v>1604</v>
      </c>
    </row>
    <row r="13542" customFormat="false" ht="12.8" hidden="false" customHeight="false" outlineLevel="0" collapsed="false">
      <c r="B13542" s="0" t="s">
        <v>14</v>
      </c>
      <c r="D13542" s="0" t="s">
        <v>1606</v>
      </c>
      <c r="E13542" s="0" t="s">
        <v>1606</v>
      </c>
      <c r="F13542" s="0" t="s">
        <v>1606</v>
      </c>
    </row>
    <row r="13544" customFormat="false" ht="12.8" hidden="false" customHeight="false" outlineLevel="0" collapsed="false">
      <c r="A13544" s="0" t="s">
        <v>5446</v>
      </c>
      <c r="B13544" s="0" t="str">
        <f aca="false">HYPERLINK("https://lindat.mff.cuni.cz/services/teitok/pdtc10/index.php?action=vallex&amp;frame=v-w1883f1", "modifikovat (v-w1883f1)")</f>
        <v>modifikovat (v-w1883f1)</v>
      </c>
    </row>
    <row r="13545" customFormat="false" ht="12.8" hidden="false" customHeight="false" outlineLevel="0" collapsed="false">
      <c r="B13545" s="0" t="s">
        <v>7</v>
      </c>
      <c r="C13545" s="0" t="s">
        <v>569</v>
      </c>
      <c r="D13545" s="0" t="s">
        <v>32</v>
      </c>
      <c r="E13545" s="0" t="s">
        <v>32</v>
      </c>
      <c r="F13545" s="0" t="s">
        <v>32</v>
      </c>
    </row>
    <row r="13546" customFormat="false" ht="12.8" hidden="false" customHeight="false" outlineLevel="0" collapsed="false">
      <c r="B13546" s="0" t="s">
        <v>14</v>
      </c>
      <c r="C13546" s="0" t="s">
        <v>120</v>
      </c>
      <c r="D13546" s="0" t="s">
        <v>34</v>
      </c>
      <c r="E13546" s="0" t="s">
        <v>34</v>
      </c>
      <c r="F13546" s="0" t="s">
        <v>34</v>
      </c>
    </row>
    <row r="13548" customFormat="false" ht="12.8" hidden="false" customHeight="false" outlineLevel="0" collapsed="false">
      <c r="A13548" s="0" t="s">
        <v>5447</v>
      </c>
      <c r="B13548" s="0" t="str">
        <f aca="false">HYPERLINK("https://lindat.mff.cuni.cz/services/teitok/pdtc10/index.php?action=vallex&amp;frame=v-w1885f2_ZU", "modlit se (v-w1885f2_ZU)")</f>
        <v>modlit se (v-w1885f2_ZU)</v>
      </c>
    </row>
    <row r="13549" customFormat="false" ht="12.8" hidden="false" customHeight="false" outlineLevel="0" collapsed="false">
      <c r="B13549" s="0" t="s">
        <v>7</v>
      </c>
      <c r="C13549" s="0" t="s">
        <v>191</v>
      </c>
      <c r="D13549" s="0" t="s">
        <v>5448</v>
      </c>
      <c r="E13549" s="0" t="s">
        <v>5448</v>
      </c>
      <c r="F13549" s="0" t="s">
        <v>5448</v>
      </c>
    </row>
    <row r="13550" customFormat="false" ht="12.8" hidden="false" customHeight="false" outlineLevel="0" collapsed="false">
      <c r="B13550" s="0" t="s">
        <v>297</v>
      </c>
      <c r="C13550" s="0" t="s">
        <v>155</v>
      </c>
      <c r="D13550" s="0" t="s">
        <v>5449</v>
      </c>
      <c r="E13550" s="0" t="s">
        <v>5449</v>
      </c>
      <c r="F13550" s="0" t="s">
        <v>5449</v>
      </c>
    </row>
    <row r="13551" customFormat="false" ht="12.8" hidden="false" customHeight="false" outlineLevel="0" collapsed="false">
      <c r="B13551" s="0" t="s">
        <v>550</v>
      </c>
    </row>
    <row r="13553" customFormat="false" ht="12.8" hidden="false" customHeight="false" outlineLevel="0" collapsed="false">
      <c r="A13553" s="0" t="s">
        <v>5447</v>
      </c>
      <c r="B13553" s="0" t="str">
        <f aca="false">HYPERLINK("https://lindat.mff.cuni.cz/services/teitok/pdtc10/index.php?action=vallex&amp;frame=v-w1885f1", "modlit se (v-w1885f1) - substituted with v-w1885f2_ZU")</f>
        <v>modlit se (v-w1885f1) - substituted with v-w1885f2_ZU</v>
      </c>
    </row>
    <row r="13554" customFormat="false" ht="12.8" hidden="false" customHeight="false" outlineLevel="0" collapsed="false">
      <c r="B13554" s="0" t="s">
        <v>7</v>
      </c>
    </row>
    <row r="13555" customFormat="false" ht="12.8" hidden="false" customHeight="false" outlineLevel="0" collapsed="false">
      <c r="B13555" s="0" t="s">
        <v>297</v>
      </c>
    </row>
    <row r="13556" customFormat="false" ht="12.8" hidden="false" customHeight="false" outlineLevel="0" collapsed="false">
      <c r="B13556" s="0" t="s">
        <v>550</v>
      </c>
    </row>
    <row r="13558" customFormat="false" ht="12.8" hidden="false" customHeight="false" outlineLevel="0" collapsed="false">
      <c r="A13558" s="0" t="s">
        <v>5447</v>
      </c>
      <c r="B13558" s="0" t="str">
        <f aca="false">HYPERLINK("https://lindat.mff.cuni.cz/services/teitok/pdtc10/index.php?action=vallex&amp;frame=v-w1885hsa_488", "modlit se (v-w1885hsa_488) - substituted with v-w1885f2_ZU")</f>
        <v>modlit se (v-w1885hsa_488) - substituted with v-w1885f2_ZU</v>
      </c>
    </row>
    <row r="13559" customFormat="false" ht="12.8" hidden="false" customHeight="false" outlineLevel="0" collapsed="false">
      <c r="B13559" s="0" t="s">
        <v>7</v>
      </c>
    </row>
    <row r="13560" customFormat="false" ht="12.8" hidden="false" customHeight="false" outlineLevel="0" collapsed="false">
      <c r="B13560" s="0" t="s">
        <v>297</v>
      </c>
    </row>
    <row r="13561" customFormat="false" ht="12.8" hidden="false" customHeight="false" outlineLevel="0" collapsed="false">
      <c r="B13561" s="0" t="s">
        <v>550</v>
      </c>
    </row>
    <row r="13563" customFormat="false" ht="12.8" hidden="false" customHeight="false" outlineLevel="0" collapsed="false">
      <c r="A13563" s="0" t="s">
        <v>5450</v>
      </c>
      <c r="B13563" s="0" t="str">
        <f aca="false">HYPERLINK("https://lindat.mff.cuni.cz/services/teitok/pdtc10/index.php?action=vallex&amp;frame=v-w11005f2", "modulovat (v-w11005f2)")</f>
        <v>modulovat (v-w11005f2)</v>
      </c>
    </row>
    <row r="13564" customFormat="false" ht="12.8" hidden="false" customHeight="false" outlineLevel="0" collapsed="false">
      <c r="B13564" s="0" t="s">
        <v>7</v>
      </c>
    </row>
    <row r="13565" customFormat="false" ht="12.8" hidden="false" customHeight="false" outlineLevel="0" collapsed="false">
      <c r="B13565" s="0" t="s">
        <v>14</v>
      </c>
    </row>
    <row r="13567" customFormat="false" ht="12.8" hidden="false" customHeight="false" outlineLevel="0" collapsed="false">
      <c r="A13567" s="0" t="s">
        <v>5451</v>
      </c>
      <c r="B13567" s="0" t="str">
        <f aca="false">HYPERLINK("https://lindat.mff.cuni.cz/services/teitok/pdtc10/index.php?action=vallex&amp;frame=v-w1887f3", "monitorovat (v-w1887f3)")</f>
        <v>monitorovat (v-w1887f3)</v>
      </c>
    </row>
    <row r="13568" customFormat="false" ht="12.8" hidden="false" customHeight="false" outlineLevel="0" collapsed="false">
      <c r="B13568" s="0" t="s">
        <v>7</v>
      </c>
      <c r="C13568" s="0" t="s">
        <v>1999</v>
      </c>
      <c r="D13568" s="0" t="s">
        <v>5452</v>
      </c>
      <c r="E13568" s="0" t="s">
        <v>5452</v>
      </c>
      <c r="F13568" s="0" t="s">
        <v>5452</v>
      </c>
    </row>
    <row r="13569" customFormat="false" ht="12.8" hidden="false" customHeight="false" outlineLevel="0" collapsed="false">
      <c r="B13569" s="0" t="s">
        <v>14</v>
      </c>
      <c r="C13569" s="0" t="s">
        <v>5453</v>
      </c>
      <c r="D13569" s="0" t="s">
        <v>5454</v>
      </c>
      <c r="E13569" s="0" t="s">
        <v>5454</v>
      </c>
      <c r="F13569" s="0" t="s">
        <v>5454</v>
      </c>
    </row>
    <row r="13571" customFormat="false" ht="12.8" hidden="false" customHeight="false" outlineLevel="0" collapsed="false">
      <c r="A13571" s="0" t="s">
        <v>5451</v>
      </c>
      <c r="B13571" s="0" t="str">
        <f aca="false">HYPERLINK("https://lindat.mff.cuni.cz/services/teitok/pdtc10/index.php?action=vallex&amp;frame=v-w1887f1", "monitorovat (v-w1887f1) - substituted with v-w1887f3")</f>
        <v>monitorovat (v-w1887f1) - substituted with v-w1887f3</v>
      </c>
    </row>
    <row r="13572" customFormat="false" ht="12.8" hidden="false" customHeight="false" outlineLevel="0" collapsed="false">
      <c r="B13572" s="0" t="s">
        <v>7</v>
      </c>
      <c r="C13572" s="0" t="s">
        <v>309</v>
      </c>
    </row>
    <row r="13573" customFormat="false" ht="12.8" hidden="false" customHeight="false" outlineLevel="0" collapsed="false">
      <c r="B13573" s="0" t="s">
        <v>14</v>
      </c>
      <c r="C13573" s="0" t="s">
        <v>5455</v>
      </c>
    </row>
    <row r="13575" customFormat="false" ht="12.8" hidden="false" customHeight="false" outlineLevel="0" collapsed="false">
      <c r="A13575" s="0" t="s">
        <v>5456</v>
      </c>
      <c r="B13575" s="0" t="str">
        <f aca="false">HYPERLINK("https://lindat.mff.cuni.cz/services/teitok/pdtc10/index.php?action=vallex&amp;frame=v-w1891f1", "monopolizovat (v-w1891f1)")</f>
        <v>monopolizovat (v-w1891f1)</v>
      </c>
    </row>
    <row r="13576" customFormat="false" ht="12.8" hidden="false" customHeight="false" outlineLevel="0" collapsed="false">
      <c r="B13576" s="0" t="s">
        <v>7</v>
      </c>
      <c r="C13576" s="0" t="s">
        <v>335</v>
      </c>
    </row>
    <row r="13577" customFormat="false" ht="12.8" hidden="false" customHeight="false" outlineLevel="0" collapsed="false">
      <c r="B13577" s="0" t="s">
        <v>14</v>
      </c>
      <c r="C13577" s="0" t="s">
        <v>384</v>
      </c>
    </row>
    <row r="13579" customFormat="false" ht="12.8" hidden="false" customHeight="false" outlineLevel="0" collapsed="false">
      <c r="A13579" s="0" t="s">
        <v>5457</v>
      </c>
      <c r="B13579" s="0" t="str">
        <f aca="false">HYPERLINK("https://lindat.mff.cuni.cz/services/teitok/pdtc10/index.php?action=vallex&amp;frame=v-w1893f1", "montovat (v-w1893f1)")</f>
        <v>montovat (v-w1893f1)</v>
      </c>
    </row>
    <row r="13580" customFormat="false" ht="12.8" hidden="false" customHeight="false" outlineLevel="0" collapsed="false">
      <c r="B13580" s="0" t="s">
        <v>7</v>
      </c>
      <c r="C13580" s="0" t="s">
        <v>3243</v>
      </c>
      <c r="D13580" s="0" t="s">
        <v>4799</v>
      </c>
      <c r="E13580" s="0" t="s">
        <v>4799</v>
      </c>
      <c r="F13580" s="0" t="s">
        <v>4799</v>
      </c>
    </row>
    <row r="13581" customFormat="false" ht="12.8" hidden="false" customHeight="false" outlineLevel="0" collapsed="false">
      <c r="B13581" s="0" t="s">
        <v>14</v>
      </c>
      <c r="C13581" s="0" t="s">
        <v>5458</v>
      </c>
      <c r="D13581" s="0" t="s">
        <v>4801</v>
      </c>
      <c r="E13581" s="0" t="s">
        <v>4801</v>
      </c>
      <c r="F13581" s="0" t="s">
        <v>4801</v>
      </c>
    </row>
    <row r="13582" customFormat="false" ht="12.8" hidden="false" customHeight="false" outlineLevel="0" collapsed="false">
      <c r="B13582" s="0" t="s">
        <v>35</v>
      </c>
      <c r="C13582" s="0" t="s">
        <v>5459</v>
      </c>
      <c r="D13582" s="0" t="s">
        <v>5460</v>
      </c>
      <c r="E13582" s="0" t="s">
        <v>5460</v>
      </c>
      <c r="F13582" s="0" t="s">
        <v>5460</v>
      </c>
    </row>
    <row r="13584" customFormat="false" ht="12.8" hidden="false" customHeight="false" outlineLevel="0" collapsed="false">
      <c r="A13584" s="0" t="s">
        <v>5461</v>
      </c>
      <c r="B13584" s="0" t="str">
        <f aca="false">HYPERLINK("https://lindat.mff.cuni.cz/services/teitok/pdtc10/index.php?action=vallex&amp;frame=v-w1896f1", "monumentalizovat (v-w1896f1)")</f>
        <v>monumentalizovat (v-w1896f1)</v>
      </c>
    </row>
    <row r="13585" customFormat="false" ht="12.8" hidden="false" customHeight="false" outlineLevel="0" collapsed="false">
      <c r="B13585" s="0" t="s">
        <v>7</v>
      </c>
    </row>
    <row r="13586" customFormat="false" ht="12.8" hidden="false" customHeight="false" outlineLevel="0" collapsed="false">
      <c r="B13586" s="0" t="s">
        <v>14</v>
      </c>
    </row>
    <row r="13588" customFormat="false" ht="12.8" hidden="false" customHeight="false" outlineLevel="0" collapsed="false">
      <c r="A13588" s="0" t="s">
        <v>5462</v>
      </c>
      <c r="B13588" s="0" t="str">
        <f aca="false">HYPERLINK("https://lindat.mff.cuni.cz/services/teitok/pdtc10/index.php?action=vallex&amp;frame=v-whsb_804hsa_805", "mordovat (v-whsb_804hsa_805)")</f>
        <v>mordovat (v-whsb_804hsa_805)</v>
      </c>
    </row>
    <row r="13589" customFormat="false" ht="12.8" hidden="false" customHeight="false" outlineLevel="0" collapsed="false">
      <c r="B13589" s="0" t="s">
        <v>7</v>
      </c>
    </row>
    <row r="13590" customFormat="false" ht="12.8" hidden="false" customHeight="false" outlineLevel="0" collapsed="false">
      <c r="B13590" s="0" t="s">
        <v>14</v>
      </c>
    </row>
    <row r="13592" customFormat="false" ht="12.8" hidden="false" customHeight="false" outlineLevel="0" collapsed="false">
      <c r="A13592" s="0" t="s">
        <v>5463</v>
      </c>
      <c r="B13592" s="0" t="str">
        <f aca="false">HYPERLINK("https://lindat.mff.cuni.cz/services/teitok/pdtc10/index.php?action=vallex&amp;frame=v-w1897f1", "motat se (v-w1897f1)")</f>
        <v>motat se (v-w1897f1)</v>
      </c>
    </row>
    <row r="13593" customFormat="false" ht="12.8" hidden="false" customHeight="false" outlineLevel="0" collapsed="false">
      <c r="B13593" s="0" t="s">
        <v>7</v>
      </c>
    </row>
    <row r="13594" customFormat="false" ht="12.8" hidden="false" customHeight="false" outlineLevel="0" collapsed="false">
      <c r="B13594" s="0" t="s">
        <v>11</v>
      </c>
    </row>
    <row r="13596" customFormat="false" ht="12.8" hidden="false" customHeight="false" outlineLevel="0" collapsed="false">
      <c r="A13596" s="0" t="s">
        <v>5464</v>
      </c>
      <c r="B13596" s="0" t="str">
        <f aca="false">HYPERLINK("https://lindat.mff.cuni.cz/services/teitok/pdtc10/index.php?action=vallex&amp;frame=v-w1897f2", "motat se (v-w1897f2)")</f>
        <v>motat se (v-w1897f2)</v>
      </c>
    </row>
    <row r="13597" customFormat="false" ht="12.8" hidden="false" customHeight="false" outlineLevel="0" collapsed="false">
      <c r="B13597" s="0" t="s">
        <v>7</v>
      </c>
      <c r="E13597" s="0" t="s">
        <v>3954</v>
      </c>
      <c r="F13597" s="0" t="s">
        <v>3954</v>
      </c>
    </row>
    <row r="13599" customFormat="false" ht="12.8" hidden="false" customHeight="false" outlineLevel="0" collapsed="false">
      <c r="A13599" s="0" t="s">
        <v>5465</v>
      </c>
      <c r="B13599" s="0" t="str">
        <f aca="false">HYPERLINK("https://lindat.mff.cuni.cz/services/teitok/pdtc10/index.php?action=vallex&amp;frame=v-w1897f3_ZU", "motat se (v-w1897f3_ZU)")</f>
        <v>motat se (v-w1897f3_ZU)</v>
      </c>
    </row>
    <row r="13600" customFormat="false" ht="12.8" hidden="false" customHeight="false" outlineLevel="0" collapsed="false">
      <c r="B13600" s="0" t="s">
        <v>7</v>
      </c>
    </row>
    <row r="13601" customFormat="false" ht="12.8" hidden="false" customHeight="false" outlineLevel="0" collapsed="false">
      <c r="B13601" s="0" t="s">
        <v>119</v>
      </c>
    </row>
    <row r="13603" customFormat="false" ht="12.8" hidden="false" customHeight="false" outlineLevel="0" collapsed="false">
      <c r="A13603" s="0" t="s">
        <v>5465</v>
      </c>
      <c r="B13603" s="0" t="str">
        <f aca="false">HYPERLINK("https://lindat.mff.cuni.cz/services/teitok/pdtc10/index.php?action=vallex&amp;frame=v-w1897hsa_1503", "motat se (v-w1897hsa_1503) - substituted with v-w1897f3_ZU")</f>
        <v>motat se (v-w1897hsa_1503) - substituted with v-w1897f3_ZU</v>
      </c>
    </row>
    <row r="13604" customFormat="false" ht="12.8" hidden="false" customHeight="false" outlineLevel="0" collapsed="false">
      <c r="B13604" s="0" t="s">
        <v>7</v>
      </c>
    </row>
    <row r="13605" customFormat="false" ht="12.8" hidden="false" customHeight="false" outlineLevel="0" collapsed="false">
      <c r="B13605" s="0" t="s">
        <v>119</v>
      </c>
    </row>
    <row r="13607" customFormat="false" ht="12.8" hidden="false" customHeight="false" outlineLevel="0" collapsed="false">
      <c r="A13607" s="0" t="s">
        <v>5466</v>
      </c>
      <c r="B13607" s="0" t="str">
        <f aca="false">HYPERLINK("https://lindat.mff.cuni.cz/services/teitok/pdtc10/index.php?action=vallex&amp;frame=v-w1899f2", "motivovat (v-w1899f2)")</f>
        <v>motivovat (v-w1899f2)</v>
      </c>
    </row>
    <row r="13608" customFormat="false" ht="12.8" hidden="false" customHeight="false" outlineLevel="0" collapsed="false">
      <c r="B13608" s="0" t="s">
        <v>7</v>
      </c>
      <c r="C13608" s="0" t="s">
        <v>465</v>
      </c>
    </row>
    <row r="13609" customFormat="false" ht="12.8" hidden="false" customHeight="false" outlineLevel="0" collapsed="false">
      <c r="B13609" s="0" t="s">
        <v>14</v>
      </c>
      <c r="C13609" s="0" t="s">
        <v>195</v>
      </c>
    </row>
    <row r="13611" customFormat="false" ht="12.8" hidden="false" customHeight="false" outlineLevel="0" collapsed="false">
      <c r="A13611" s="0" t="s">
        <v>5467</v>
      </c>
      <c r="B13611" s="0" t="str">
        <f aca="false">HYPERLINK("https://lindat.mff.cuni.cz/services/teitok/pdtc10/index.php?action=vallex&amp;frame=v-w1899f1", "motivovat (v-w1899f1)")</f>
        <v>motivovat (v-w1899f1)</v>
      </c>
    </row>
    <row r="13612" customFormat="false" ht="12.8" hidden="false" customHeight="false" outlineLevel="0" collapsed="false">
      <c r="B13612" s="0" t="s">
        <v>641</v>
      </c>
      <c r="C13612" s="0" t="s">
        <v>5468</v>
      </c>
      <c r="D13612" s="0" t="s">
        <v>2041</v>
      </c>
      <c r="E13612" s="0" t="s">
        <v>2041</v>
      </c>
      <c r="F13612" s="0" t="s">
        <v>2041</v>
      </c>
    </row>
    <row r="13613" customFormat="false" ht="12.8" hidden="false" customHeight="false" outlineLevel="0" collapsed="false">
      <c r="B13613" s="0" t="s">
        <v>81</v>
      </c>
      <c r="C13613" s="0" t="s">
        <v>5469</v>
      </c>
      <c r="D13613" s="0" t="s">
        <v>2045</v>
      </c>
      <c r="E13613" s="0" t="s">
        <v>2045</v>
      </c>
      <c r="F13613" s="0" t="s">
        <v>2045</v>
      </c>
    </row>
    <row r="13614" customFormat="false" ht="12.8" hidden="false" customHeight="false" outlineLevel="0" collapsed="false">
      <c r="B13614" s="0" t="s">
        <v>5470</v>
      </c>
      <c r="C13614" s="0" t="s">
        <v>1588</v>
      </c>
      <c r="D13614" s="0" t="s">
        <v>2043</v>
      </c>
      <c r="E13614" s="0" t="s">
        <v>2043</v>
      </c>
      <c r="F13614" s="0" t="s">
        <v>2043</v>
      </c>
    </row>
    <row r="13616" customFormat="false" ht="12.8" hidden="false" customHeight="false" outlineLevel="0" collapsed="false">
      <c r="A13616" s="0" t="s">
        <v>5471</v>
      </c>
      <c r="B13616" s="0" t="str">
        <f aca="false">HYPERLINK("https://lindat.mff.cuni.cz/services/teitok/pdtc10/index.php?action=vallex&amp;frame=v-w11826_ZUf1_ZU", "močit (v-w11826_ZUf1_ZU)")</f>
        <v>močit (v-w11826_ZUf1_ZU)</v>
      </c>
    </row>
    <row r="13617" customFormat="false" ht="12.8" hidden="false" customHeight="false" outlineLevel="0" collapsed="false">
      <c r="B13617" s="0" t="s">
        <v>7</v>
      </c>
    </row>
    <row r="13618" customFormat="false" ht="12.8" hidden="false" customHeight="false" outlineLevel="0" collapsed="false">
      <c r="B13618" s="0" t="s">
        <v>297</v>
      </c>
    </row>
    <row r="13620" customFormat="false" ht="12.8" hidden="false" customHeight="false" outlineLevel="0" collapsed="false">
      <c r="A13620" s="0" t="s">
        <v>5472</v>
      </c>
      <c r="B13620" s="0" t="str">
        <f aca="false">HYPERLINK("https://lindat.mff.cuni.cz/services/teitok/pdtc10/index.php?action=vallex&amp;frame=v-w12078_ZUf2_ZU", "mrazit (v-w12078_ZUf2_ZU)")</f>
        <v>mrazit (v-w12078_ZUf2_ZU)</v>
      </c>
    </row>
    <row r="13621" customFormat="false" ht="12.8" hidden="false" customHeight="false" outlineLevel="0" collapsed="false">
      <c r="B13621" s="0" t="s">
        <v>7</v>
      </c>
    </row>
    <row r="13622" customFormat="false" ht="12.8" hidden="false" customHeight="false" outlineLevel="0" collapsed="false">
      <c r="B13622" s="0" t="s">
        <v>14</v>
      </c>
    </row>
    <row r="13624" customFormat="false" ht="12.8" hidden="false" customHeight="false" outlineLevel="0" collapsed="false">
      <c r="A13624" s="0" t="s">
        <v>5472</v>
      </c>
      <c r="B13624" s="0" t="str">
        <f aca="false">HYPERLINK("https://lindat.mff.cuni.cz/services/teitok/pdtc10/index.php?action=vallex&amp;frame=v-w12078_ZUf1_ZU", "mrazit (v-w12078_ZUf1_ZU) - substituted with v-w12078_ZUf2_ZU")</f>
        <v>mrazit (v-w12078_ZUf1_ZU) - substituted with v-w12078_ZUf2_ZU</v>
      </c>
    </row>
    <row r="13625" customFormat="false" ht="12.8" hidden="false" customHeight="false" outlineLevel="0" collapsed="false">
      <c r="B13625" s="0" t="s">
        <v>7</v>
      </c>
    </row>
    <row r="13626" customFormat="false" ht="12.8" hidden="false" customHeight="false" outlineLevel="0" collapsed="false">
      <c r="B13626" s="0" t="s">
        <v>14</v>
      </c>
    </row>
    <row r="13628" customFormat="false" ht="12.8" hidden="false" customHeight="false" outlineLevel="0" collapsed="false">
      <c r="A13628" s="0" t="s">
        <v>5473</v>
      </c>
      <c r="B13628" s="0" t="str">
        <f aca="false">HYPERLINK("https://lindat.mff.cuni.cz/services/teitok/pdtc10/index.php?action=vallex&amp;frame=v-w1904f2", "mračit se (v-w1904f2)")</f>
        <v>mračit se (v-w1904f2)</v>
      </c>
    </row>
    <row r="13629" customFormat="false" ht="12.8" hidden="false" customHeight="false" outlineLevel="0" collapsed="false">
      <c r="B13629" s="0" t="s">
        <v>7</v>
      </c>
      <c r="C13629" s="0" t="s">
        <v>46</v>
      </c>
      <c r="D13629" s="0" t="s">
        <v>46</v>
      </c>
      <c r="E13629" s="0" t="s">
        <v>46</v>
      </c>
      <c r="F13629" s="0" t="s">
        <v>46</v>
      </c>
    </row>
    <row r="13631" customFormat="false" ht="12.8" hidden="false" customHeight="false" outlineLevel="0" collapsed="false">
      <c r="A13631" s="0" t="s">
        <v>5474</v>
      </c>
      <c r="B13631" s="0" t="str">
        <f aca="false">HYPERLINK("https://lindat.mff.cuni.cz/services/teitok/pdtc10/index.php?action=vallex&amp;frame=v-w1904f1", "mračit se (v-w1904f1)")</f>
        <v>mračit se (v-w1904f1)</v>
      </c>
    </row>
    <row r="13633" customFormat="false" ht="12.8" hidden="false" customHeight="false" outlineLevel="0" collapsed="false">
      <c r="A13633" s="0" t="s">
        <v>5475</v>
      </c>
      <c r="B13633" s="0" t="str">
        <f aca="false">HYPERLINK("https://lindat.mff.cuni.cz/services/teitok/pdtc10/index.php?action=vallex&amp;frame=v-w11917_ZUf1_ZU", "mrkat (v-w11917_ZUf1_ZU)")</f>
        <v>mrkat (v-w11917_ZUf1_ZU)</v>
      </c>
    </row>
    <row r="13634" customFormat="false" ht="12.8" hidden="false" customHeight="false" outlineLevel="0" collapsed="false">
      <c r="B13634" s="0" t="s">
        <v>7</v>
      </c>
    </row>
    <row r="13636" customFormat="false" ht="12.8" hidden="false" customHeight="false" outlineLevel="0" collapsed="false">
      <c r="A13636" s="0" t="s">
        <v>5476</v>
      </c>
      <c r="B13636" s="0" t="str">
        <f aca="false">HYPERLINK("https://lindat.mff.cuni.cz/services/teitok/pdtc10/index.php?action=vallex&amp;frame=v-whsa_809f2_ZU", "mrknout (v-whsa_809f2_ZU)")</f>
        <v>mrknout (v-whsa_809f2_ZU)</v>
      </c>
    </row>
    <row r="13637" customFormat="false" ht="12.8" hidden="false" customHeight="false" outlineLevel="0" collapsed="false">
      <c r="B13637" s="0" t="s">
        <v>7</v>
      </c>
    </row>
    <row r="13638" customFormat="false" ht="12.8" hidden="false" customHeight="false" outlineLevel="0" collapsed="false">
      <c r="B13638" s="0" t="s">
        <v>63</v>
      </c>
    </row>
    <row r="13640" customFormat="false" ht="12.8" hidden="false" customHeight="false" outlineLevel="0" collapsed="false">
      <c r="A13640" s="0" t="s">
        <v>5476</v>
      </c>
      <c r="B13640" s="0" t="str">
        <f aca="false">HYPERLINK("https://lindat.mff.cuni.cz/services/teitok/pdtc10/index.php?action=vallex&amp;frame=v-whsa_809f1_ZU", "mrknout (v-whsa_809f1_ZU) - substituted with v-whsa_809f2_ZU")</f>
        <v>mrknout (v-whsa_809f1_ZU) - substituted with v-whsa_809f2_ZU</v>
      </c>
    </row>
    <row r="13641" customFormat="false" ht="12.8" hidden="false" customHeight="false" outlineLevel="0" collapsed="false">
      <c r="B13641" s="0" t="s">
        <v>7</v>
      </c>
      <c r="C13641" s="0" t="s">
        <v>184</v>
      </c>
      <c r="D13641" s="0" t="s">
        <v>335</v>
      </c>
      <c r="E13641" s="0" t="s">
        <v>335</v>
      </c>
      <c r="F13641" s="0" t="s">
        <v>335</v>
      </c>
    </row>
    <row r="13642" customFormat="false" ht="12.8" hidden="false" customHeight="false" outlineLevel="0" collapsed="false">
      <c r="B13642" s="0" t="s">
        <v>63</v>
      </c>
      <c r="C13642" s="0" t="s">
        <v>1544</v>
      </c>
    </row>
    <row r="13644" customFormat="false" ht="12.8" hidden="false" customHeight="false" outlineLevel="0" collapsed="false">
      <c r="A13644" s="0" t="s">
        <v>5476</v>
      </c>
      <c r="B13644" s="0" t="str">
        <f aca="false">HYPERLINK("https://lindat.mff.cuni.cz/services/teitok/pdtc10/index.php?action=vallex&amp;frame=v-whsa_809hsa_810", "mrknout (v-whsa_809hsa_810) - substituted with v-whsa_809f2_ZU")</f>
        <v>mrknout (v-whsa_809hsa_810) - substituted with v-whsa_809f2_ZU</v>
      </c>
    </row>
    <row r="13645" customFormat="false" ht="12.8" hidden="false" customHeight="false" outlineLevel="0" collapsed="false">
      <c r="B13645" s="0" t="s">
        <v>7</v>
      </c>
    </row>
    <row r="13646" customFormat="false" ht="12.8" hidden="false" customHeight="false" outlineLevel="0" collapsed="false">
      <c r="B13646" s="0" t="s">
        <v>63</v>
      </c>
    </row>
    <row r="13648" customFormat="false" ht="12.8" hidden="false" customHeight="false" outlineLevel="0" collapsed="false">
      <c r="A13648" s="0" t="s">
        <v>5477</v>
      </c>
      <c r="B13648" s="0" t="str">
        <f aca="false">HYPERLINK("https://lindat.mff.cuni.cz/services/teitok/pdtc10/index.php?action=vallex&amp;frame=v-whsa_807hsa_808", "mrknout (v-whsa_807hsa_808)")</f>
        <v>mrknout (v-whsa_807hsa_808)</v>
      </c>
    </row>
    <row r="13649" customFormat="false" ht="12.8" hidden="false" customHeight="false" outlineLevel="0" collapsed="false">
      <c r="B13649" s="0" t="s">
        <v>7</v>
      </c>
    </row>
    <row r="13651" customFormat="false" ht="12.8" hidden="false" customHeight="false" outlineLevel="0" collapsed="false">
      <c r="A13651" s="0" t="s">
        <v>5478</v>
      </c>
      <c r="B13651" s="0" t="str">
        <f aca="false">HYPERLINK("https://lindat.mff.cuni.cz/services/teitok/pdtc10/index.php?action=vallex&amp;frame=v-w12106_ZUf1_ZU", "mrskat se (v-w12106_ZUf1_ZU)")</f>
        <v>mrskat se (v-w12106_ZUf1_ZU)</v>
      </c>
    </row>
    <row r="13652" customFormat="false" ht="12.8" hidden="false" customHeight="false" outlineLevel="0" collapsed="false">
      <c r="B13652" s="0" t="s">
        <v>7</v>
      </c>
    </row>
    <row r="13654" customFormat="false" ht="12.8" hidden="false" customHeight="false" outlineLevel="0" collapsed="false">
      <c r="A13654" s="0" t="s">
        <v>5479</v>
      </c>
      <c r="B13654" s="0" t="str">
        <f aca="false">HYPERLINK("https://lindat.mff.cuni.cz/services/teitok/pdtc10/index.php?action=vallex&amp;frame=v-w1907f1", "mrzet (v-w1907f1)")</f>
        <v>mrzet (v-w1907f1)</v>
      </c>
    </row>
    <row r="13655" customFormat="false" ht="12.8" hidden="false" customHeight="false" outlineLevel="0" collapsed="false">
      <c r="B13655" s="0" t="s">
        <v>199</v>
      </c>
      <c r="C13655" s="0" t="s">
        <v>460</v>
      </c>
      <c r="D13655" s="0" t="s">
        <v>118</v>
      </c>
      <c r="E13655" s="0" t="s">
        <v>118</v>
      </c>
      <c r="F13655" s="0" t="s">
        <v>118</v>
      </c>
    </row>
    <row r="13656" customFormat="false" ht="12.8" hidden="false" customHeight="false" outlineLevel="0" collapsed="false">
      <c r="B13656" s="0" t="s">
        <v>4305</v>
      </c>
      <c r="C13656" s="0" t="s">
        <v>78</v>
      </c>
      <c r="D13656" s="0" t="s">
        <v>461</v>
      </c>
      <c r="E13656" s="0" t="s">
        <v>461</v>
      </c>
      <c r="F13656" s="0" t="s">
        <v>461</v>
      </c>
    </row>
    <row r="13658" customFormat="false" ht="12.8" hidden="false" customHeight="false" outlineLevel="0" collapsed="false">
      <c r="A13658" s="0" t="s">
        <v>5480</v>
      </c>
      <c r="B13658" s="0" t="str">
        <f aca="false">HYPERLINK("https://lindat.mff.cuni.cz/services/teitok/pdtc10/index.php?action=vallex&amp;frame=v-w1908f2", "mrznout (v-w1908f2)")</f>
        <v>mrznout (v-w1908f2)</v>
      </c>
    </row>
    <row r="13659" customFormat="false" ht="12.8" hidden="false" customHeight="false" outlineLevel="0" collapsed="false">
      <c r="B13659" s="0" t="s">
        <v>7</v>
      </c>
    </row>
    <row r="13661" customFormat="false" ht="12.8" hidden="false" customHeight="false" outlineLevel="0" collapsed="false">
      <c r="A13661" s="0" t="s">
        <v>5481</v>
      </c>
      <c r="B13661" s="0" t="str">
        <f aca="false">HYPERLINK("https://lindat.mff.cuni.cz/services/teitok/pdtc10/index.php?action=vallex&amp;frame=v-w1908f1", "mrznout (v-w1908f1)")</f>
        <v>mrznout (v-w1908f1)</v>
      </c>
    </row>
    <row r="13663" customFormat="false" ht="12.8" hidden="false" customHeight="false" outlineLevel="0" collapsed="false">
      <c r="A13663" s="0" t="s">
        <v>5482</v>
      </c>
      <c r="B13663" s="0" t="str">
        <f aca="false">HYPERLINK("https://lindat.mff.cuni.cz/services/teitok/pdtc10/index.php?action=vallex&amp;frame=v-w1906f1", "mrštit (v-w1906f1)")</f>
        <v>mrštit (v-w1906f1)</v>
      </c>
    </row>
    <row r="13664" customFormat="false" ht="12.8" hidden="false" customHeight="false" outlineLevel="0" collapsed="false">
      <c r="B13664" s="0" t="s">
        <v>7</v>
      </c>
      <c r="C13664" s="0" t="s">
        <v>2736</v>
      </c>
      <c r="D13664" s="0" t="s">
        <v>194</v>
      </c>
      <c r="E13664" s="0" t="s">
        <v>194</v>
      </c>
      <c r="F13664" s="0" t="s">
        <v>194</v>
      </c>
    </row>
    <row r="13665" customFormat="false" ht="12.8" hidden="false" customHeight="false" outlineLevel="0" collapsed="false">
      <c r="B13665" s="0" t="s">
        <v>1836</v>
      </c>
      <c r="C13665" s="0" t="s">
        <v>1315</v>
      </c>
      <c r="D13665" s="0" t="s">
        <v>110</v>
      </c>
      <c r="E13665" s="0" t="s">
        <v>110</v>
      </c>
      <c r="F13665" s="0" t="s">
        <v>110</v>
      </c>
    </row>
    <row r="13667" customFormat="false" ht="12.8" hidden="false" customHeight="false" outlineLevel="0" collapsed="false">
      <c r="A13667" s="0" t="s">
        <v>5483</v>
      </c>
      <c r="B13667" s="0" t="str">
        <f aca="false">HYPERLINK("https://lindat.mff.cuni.cz/services/teitok/pdtc10/index.php?action=vallex&amp;frame=v-w1910f2_ZU", "mstít se (v-w1910f2_ZU)")</f>
        <v>mstít se (v-w1910f2_ZU)</v>
      </c>
    </row>
    <row r="13668" customFormat="false" ht="12.8" hidden="false" customHeight="false" outlineLevel="0" collapsed="false">
      <c r="B13668" s="0" t="s">
        <v>7</v>
      </c>
    </row>
    <row r="13669" customFormat="false" ht="12.8" hidden="false" customHeight="false" outlineLevel="0" collapsed="false">
      <c r="B13669" s="0" t="s">
        <v>5484</v>
      </c>
    </row>
    <row r="13671" customFormat="false" ht="12.8" hidden="false" customHeight="false" outlineLevel="0" collapsed="false">
      <c r="A13671" s="0" t="s">
        <v>5483</v>
      </c>
      <c r="B13671" s="0" t="str">
        <f aca="false">HYPERLINK("https://lindat.mff.cuni.cz/services/teitok/pdtc10/index.php?action=vallex&amp;frame=v-w1910f1", "mstít se (v-w1910f1) - substituted with v-w1910f2_ZU")</f>
        <v>mstít se (v-w1910f1) - substituted with v-w1910f2_ZU</v>
      </c>
    </row>
    <row r="13672" customFormat="false" ht="12.8" hidden="false" customHeight="false" outlineLevel="0" collapsed="false">
      <c r="B13672" s="0" t="s">
        <v>7</v>
      </c>
    </row>
    <row r="13673" customFormat="false" ht="12.8" hidden="false" customHeight="false" outlineLevel="0" collapsed="false">
      <c r="B13673" s="0" t="s">
        <v>5484</v>
      </c>
    </row>
    <row r="13675" customFormat="false" ht="12.8" hidden="false" customHeight="false" outlineLevel="0" collapsed="false">
      <c r="A13675" s="0" t="s">
        <v>5485</v>
      </c>
      <c r="B13675" s="0" t="str">
        <f aca="false">HYPERLINK("https://lindat.mff.cuni.cz/services/teitok/pdtc10/index.php?action=vallex&amp;frame=v-whsb_126f1_ZU", "muknout (v-whsb_126f1_ZU)")</f>
        <v>muknout (v-whsb_126f1_ZU)</v>
      </c>
    </row>
    <row r="13676" customFormat="false" ht="12.8" hidden="false" customHeight="false" outlineLevel="0" collapsed="false">
      <c r="B13676" s="0" t="s">
        <v>7</v>
      </c>
    </row>
    <row r="13678" customFormat="false" ht="12.8" hidden="false" customHeight="false" outlineLevel="0" collapsed="false">
      <c r="A13678" s="0" t="s">
        <v>5486</v>
      </c>
      <c r="B13678" s="0" t="str">
        <f aca="false">HYPERLINK("https://lindat.mff.cuni.cz/services/teitok/pdtc10/index.php?action=vallex&amp;frame=v-whsb_126hsa_127", "muknout (v-whsb_126hsa_127)")</f>
        <v>muknout (v-whsb_126hsa_127)</v>
      </c>
    </row>
    <row r="13679" customFormat="false" ht="12.8" hidden="false" customHeight="false" outlineLevel="0" collapsed="false">
      <c r="B13679" s="0" t="s">
        <v>7</v>
      </c>
    </row>
    <row r="13681" customFormat="false" ht="12.8" hidden="false" customHeight="false" outlineLevel="0" collapsed="false">
      <c r="A13681" s="0" t="s">
        <v>5487</v>
      </c>
      <c r="B13681" s="0" t="str">
        <f aca="false">HYPERLINK("https://lindat.mff.cuni.cz/services/teitok/pdtc10/index.php?action=vallex&amp;frame=v-w11268f2", "mumlat si (v-w11268f2)")</f>
        <v>mumlat si (v-w11268f2)</v>
      </c>
    </row>
    <row r="13682" customFormat="false" ht="12.8" hidden="false" customHeight="false" outlineLevel="0" collapsed="false">
      <c r="B13682" s="0" t="s">
        <v>7</v>
      </c>
      <c r="D13682" s="0" t="s">
        <v>184</v>
      </c>
      <c r="E13682" s="0" t="s">
        <v>184</v>
      </c>
      <c r="F13682" s="0" t="s">
        <v>184</v>
      </c>
    </row>
    <row r="13683" customFormat="false" ht="12.8" hidden="false" customHeight="false" outlineLevel="0" collapsed="false">
      <c r="B13683" s="0" t="s">
        <v>2017</v>
      </c>
      <c r="D13683" s="0" t="s">
        <v>47</v>
      </c>
      <c r="E13683" s="0" t="s">
        <v>47</v>
      </c>
      <c r="F13683" s="0" t="s">
        <v>47</v>
      </c>
    </row>
    <row r="13685" customFormat="false" ht="12.8" hidden="false" customHeight="false" outlineLevel="0" collapsed="false">
      <c r="A13685" s="0" t="s">
        <v>5488</v>
      </c>
      <c r="B13685" s="0" t="str">
        <f aca="false">HYPERLINK("https://lindat.mff.cuni.cz/services/teitok/pdtc10/index.php?action=vallex&amp;frame=v-whsa_483f1_ZU", "muset (v-whsa_483f1_ZU)")</f>
        <v>muset (v-whsa_483f1_ZU)</v>
      </c>
    </row>
    <row r="13686" customFormat="false" ht="12.8" hidden="false" customHeight="false" outlineLevel="0" collapsed="false">
      <c r="B13686" s="0" t="s">
        <v>7</v>
      </c>
    </row>
    <row r="13687" customFormat="false" ht="12.8" hidden="false" customHeight="false" outlineLevel="0" collapsed="false">
      <c r="B13687" s="0" t="s">
        <v>14</v>
      </c>
    </row>
    <row r="13688" customFormat="false" ht="12.8" hidden="false" customHeight="false" outlineLevel="0" collapsed="false">
      <c r="B13688" s="0" t="s">
        <v>666</v>
      </c>
    </row>
    <row r="13690" customFormat="false" ht="12.8" hidden="false" customHeight="false" outlineLevel="0" collapsed="false">
      <c r="A13690" s="0" t="s">
        <v>5488</v>
      </c>
      <c r="B13690" s="0" t="str">
        <f aca="false">HYPERLINK("https://lindat.mff.cuni.cz/services/teitok/pdtc10/index.php?action=vallex&amp;frame=v-whsa_483hsa_484", "muset (v-whsa_483hsa_484) - substituted with v-whsa_483f1_ZU")</f>
        <v>muset (v-whsa_483hsa_484) - substituted with v-whsa_483f1_ZU</v>
      </c>
    </row>
    <row r="13691" customFormat="false" ht="12.8" hidden="false" customHeight="false" outlineLevel="0" collapsed="false">
      <c r="B13691" s="0" t="s">
        <v>7</v>
      </c>
    </row>
    <row r="13692" customFormat="false" ht="12.8" hidden="false" customHeight="false" outlineLevel="0" collapsed="false">
      <c r="B13692" s="0" t="s">
        <v>14</v>
      </c>
    </row>
    <row r="13693" customFormat="false" ht="12.8" hidden="false" customHeight="false" outlineLevel="0" collapsed="false">
      <c r="B13693" s="0" t="s">
        <v>666</v>
      </c>
    </row>
    <row r="13695" customFormat="false" ht="12.8" hidden="false" customHeight="false" outlineLevel="0" collapsed="false">
      <c r="A13695" s="0" t="s">
        <v>5489</v>
      </c>
      <c r="B13695" s="0" t="str">
        <f aca="false">HYPERLINK("https://lindat.mff.cuni.cz/services/teitok/pdtc10/index.php?action=vallex&amp;frame=v-whsa_483f2_MM", "muset (v-whsa_483f2_MM)")</f>
        <v>muset (v-whsa_483f2_MM)</v>
      </c>
    </row>
    <row r="13696" customFormat="false" ht="12.8" hidden="false" customHeight="false" outlineLevel="0" collapsed="false">
      <c r="B13696" s="0" t="s">
        <v>7</v>
      </c>
    </row>
    <row r="13697" customFormat="false" ht="12.8" hidden="false" customHeight="false" outlineLevel="0" collapsed="false">
      <c r="B13697" s="0" t="s">
        <v>712</v>
      </c>
    </row>
    <row r="13699" customFormat="false" ht="12.8" hidden="false" customHeight="false" outlineLevel="0" collapsed="false">
      <c r="A13699" s="0" t="s">
        <v>5490</v>
      </c>
      <c r="B13699" s="0" t="str">
        <f aca="false">HYPERLINK("https://lindat.mff.cuni.cz/services/teitok/pdtc10/index.php?action=vallex&amp;frame=v-w1912f1", "mučit (v-w1912f1)")</f>
        <v>mučit (v-w1912f1)</v>
      </c>
    </row>
    <row r="13700" customFormat="false" ht="12.8" hidden="false" customHeight="false" outlineLevel="0" collapsed="false">
      <c r="B13700" s="0" t="s">
        <v>7</v>
      </c>
      <c r="C13700" s="0" t="s">
        <v>46</v>
      </c>
      <c r="D13700" s="0" t="s">
        <v>88</v>
      </c>
      <c r="E13700" s="0" t="s">
        <v>88</v>
      </c>
      <c r="F13700" s="0" t="s">
        <v>88</v>
      </c>
    </row>
    <row r="13701" customFormat="false" ht="12.8" hidden="false" customHeight="false" outlineLevel="0" collapsed="false">
      <c r="B13701" s="0" t="s">
        <v>14</v>
      </c>
      <c r="C13701" s="0" t="s">
        <v>155</v>
      </c>
      <c r="D13701" s="0" t="s">
        <v>5491</v>
      </c>
      <c r="E13701" s="0" t="s">
        <v>5491</v>
      </c>
      <c r="F13701" s="0" t="s">
        <v>5491</v>
      </c>
    </row>
    <row r="13703" customFormat="false" ht="12.8" hidden="false" customHeight="false" outlineLevel="0" collapsed="false">
      <c r="A13703" s="0" t="s">
        <v>5492</v>
      </c>
      <c r="B13703" s="0" t="str">
        <f aca="false">HYPERLINK("https://lindat.mff.cuni.cz/services/teitok/pdtc10/index.php?action=vallex&amp;frame=v-whsa_283f1_MM", "mydlit (v-whsa_283f1_MM)")</f>
        <v>mydlit (v-whsa_283f1_MM)</v>
      </c>
    </row>
    <row r="13704" customFormat="false" ht="12.8" hidden="false" customHeight="false" outlineLevel="0" collapsed="false">
      <c r="B13704" s="0" t="s">
        <v>7</v>
      </c>
    </row>
    <row r="13705" customFormat="false" ht="12.8" hidden="false" customHeight="false" outlineLevel="0" collapsed="false">
      <c r="B13705" s="0" t="s">
        <v>14</v>
      </c>
    </row>
    <row r="13707" customFormat="false" ht="12.8" hidden="false" customHeight="false" outlineLevel="0" collapsed="false">
      <c r="A13707" s="0" t="s">
        <v>5493</v>
      </c>
      <c r="B13707" s="0" t="str">
        <f aca="false">HYPERLINK("https://lindat.mff.cuni.cz/services/teitok/pdtc10/index.php?action=vallex&amp;frame=v-whsa_283hsa_284", "mydlit (v-whsa_283hsa_284)")</f>
        <v>mydlit (v-whsa_283hsa_284)</v>
      </c>
    </row>
    <row r="13708" customFormat="false" ht="12.8" hidden="false" customHeight="false" outlineLevel="0" collapsed="false">
      <c r="B13708" s="0" t="s">
        <v>7</v>
      </c>
    </row>
    <row r="13709" customFormat="false" ht="12.8" hidden="false" customHeight="false" outlineLevel="0" collapsed="false">
      <c r="B13709" s="0" t="s">
        <v>124</v>
      </c>
    </row>
    <row r="13711" customFormat="false" ht="12.8" hidden="false" customHeight="false" outlineLevel="0" collapsed="false">
      <c r="A13711" s="0" t="s">
        <v>5494</v>
      </c>
      <c r="B13711" s="0" t="str">
        <f aca="false">HYPERLINK("https://lindat.mff.cuni.cz/services/teitok/pdtc10/index.php?action=vallex&amp;frame=v-w1917f4", "myslet (v-w1917f4)")</f>
        <v>myslet (v-w1917f4)</v>
      </c>
    </row>
    <row r="13712" customFormat="false" ht="12.8" hidden="false" customHeight="false" outlineLevel="0" collapsed="false">
      <c r="B13712" s="0" t="s">
        <v>7</v>
      </c>
      <c r="C13712" s="0" t="s">
        <v>5495</v>
      </c>
    </row>
    <row r="13713" customFormat="false" ht="12.8" hidden="false" customHeight="false" outlineLevel="0" collapsed="false">
      <c r="B13713" s="0" t="s">
        <v>14</v>
      </c>
    </row>
    <row r="13714" customFormat="false" ht="12.8" hidden="false" customHeight="false" outlineLevel="0" collapsed="false">
      <c r="B13714" s="0" t="s">
        <v>474</v>
      </c>
      <c r="C13714" s="0" t="s">
        <v>5496</v>
      </c>
    </row>
    <row r="13715" customFormat="false" ht="12.8" hidden="false" customHeight="false" outlineLevel="0" collapsed="false">
      <c r="B13715" s="0" t="s">
        <v>479</v>
      </c>
    </row>
    <row r="13716" customFormat="false" ht="12.8" hidden="false" customHeight="false" outlineLevel="0" collapsed="false">
      <c r="B13716" s="0" t="s">
        <v>481</v>
      </c>
    </row>
    <row r="13717" customFormat="false" ht="12.8" hidden="false" customHeight="false" outlineLevel="0" collapsed="false">
      <c r="B13717" s="0" t="s">
        <v>483</v>
      </c>
    </row>
    <row r="13719" customFormat="false" ht="12.8" hidden="false" customHeight="false" outlineLevel="0" collapsed="false">
      <c r="A13719" s="0" t="s">
        <v>5497</v>
      </c>
      <c r="B13719" s="0" t="str">
        <f aca="false">HYPERLINK("https://lindat.mff.cuni.cz/services/teitok/pdtc10/index.php?action=vallex&amp;frame=v-w1917f1", "myslet (v-w1917f1)")</f>
        <v>myslet (v-w1917f1)</v>
      </c>
    </row>
    <row r="13720" customFormat="false" ht="12.8" hidden="false" customHeight="false" outlineLevel="0" collapsed="false">
      <c r="B13720" s="0" t="s">
        <v>7</v>
      </c>
      <c r="C13720" s="0" t="s">
        <v>5498</v>
      </c>
    </row>
    <row r="13721" customFormat="false" ht="12.8" hidden="false" customHeight="false" outlineLevel="0" collapsed="false">
      <c r="B13721" s="0" t="s">
        <v>41</v>
      </c>
      <c r="C13721" s="0" t="s">
        <v>5499</v>
      </c>
    </row>
    <row r="13723" customFormat="false" ht="12.8" hidden="false" customHeight="false" outlineLevel="0" collapsed="false">
      <c r="A13723" s="0" t="s">
        <v>5500</v>
      </c>
      <c r="B13723" s="0" t="str">
        <f aca="false">HYPERLINK("https://lindat.mff.cuni.cz/services/teitok/pdtc10/index.php?action=vallex&amp;frame=v-w1917f6_ZU", "myslet (v-w1917f6_ZU)")</f>
        <v>myslet (v-w1917f6_ZU)</v>
      </c>
    </row>
    <row r="13724" customFormat="false" ht="12.8" hidden="false" customHeight="false" outlineLevel="0" collapsed="false">
      <c r="B13724" s="0" t="s">
        <v>7</v>
      </c>
    </row>
    <row r="13725" customFormat="false" ht="12.8" hidden="false" customHeight="false" outlineLevel="0" collapsed="false">
      <c r="B13725" s="0" t="s">
        <v>5501</v>
      </c>
    </row>
    <row r="13726" customFormat="false" ht="12.8" hidden="false" customHeight="false" outlineLevel="0" collapsed="false">
      <c r="B13726" s="0" t="s">
        <v>363</v>
      </c>
    </row>
    <row r="13728" customFormat="false" ht="12.8" hidden="false" customHeight="false" outlineLevel="0" collapsed="false">
      <c r="A13728" s="0" t="s">
        <v>5500</v>
      </c>
      <c r="B13728" s="0" t="str">
        <f aca="false">HYPERLINK("https://lindat.mff.cuni.cz/services/teitok/pdtc10/index.php?action=vallex&amp;frame=v-w1917f3", "myslet (v-w1917f3) - substituted with v-w1917f6_ZU")</f>
        <v>myslet (v-w1917f3) - substituted with v-w1917f6_ZU</v>
      </c>
    </row>
    <row r="13729" customFormat="false" ht="12.8" hidden="false" customHeight="false" outlineLevel="0" collapsed="false">
      <c r="B13729" s="0" t="s">
        <v>7</v>
      </c>
      <c r="C13729" s="0" t="s">
        <v>5502</v>
      </c>
      <c r="D13729" s="0" t="s">
        <v>2022</v>
      </c>
      <c r="E13729" s="0" t="s">
        <v>2022</v>
      </c>
      <c r="F13729" s="0" t="s">
        <v>2022</v>
      </c>
    </row>
    <row r="13730" customFormat="false" ht="12.8" hidden="false" customHeight="false" outlineLevel="0" collapsed="false">
      <c r="B13730" s="0" t="s">
        <v>5501</v>
      </c>
      <c r="C13730" s="0" t="s">
        <v>5503</v>
      </c>
      <c r="D13730" s="0" t="s">
        <v>2025</v>
      </c>
      <c r="E13730" s="0" t="s">
        <v>2025</v>
      </c>
      <c r="F13730" s="0" t="s">
        <v>2025</v>
      </c>
    </row>
    <row r="13731" customFormat="false" ht="12.8" hidden="false" customHeight="false" outlineLevel="0" collapsed="false">
      <c r="B13731" s="0" t="s">
        <v>363</v>
      </c>
      <c r="C13731" s="0" t="s">
        <v>185</v>
      </c>
      <c r="D13731" s="0" t="s">
        <v>2027</v>
      </c>
      <c r="E13731" s="0" t="s">
        <v>2027</v>
      </c>
      <c r="F13731" s="0" t="s">
        <v>2027</v>
      </c>
    </row>
    <row r="13733" customFormat="false" ht="12.8" hidden="false" customHeight="false" outlineLevel="0" collapsed="false">
      <c r="A13733" s="0" t="s">
        <v>5504</v>
      </c>
      <c r="B13733" s="0" t="str">
        <f aca="false">HYPERLINK("https://lindat.mff.cuni.cz/services/teitok/pdtc10/index.php?action=vallex&amp;frame=v-w1917f10_ZU", "myslet (v-w1917f10_ZU)")</f>
        <v>myslet (v-w1917f10_ZU)</v>
      </c>
    </row>
    <row r="13734" customFormat="false" ht="12.8" hidden="false" customHeight="false" outlineLevel="0" collapsed="false">
      <c r="B13734" s="0" t="s">
        <v>7</v>
      </c>
    </row>
    <row r="13735" customFormat="false" ht="12.8" hidden="false" customHeight="false" outlineLevel="0" collapsed="false">
      <c r="B13735" s="0" t="s">
        <v>5505</v>
      </c>
    </row>
    <row r="13736" customFormat="false" ht="12.8" hidden="false" customHeight="false" outlineLevel="0" collapsed="false">
      <c r="B13736" s="0" t="s">
        <v>5506</v>
      </c>
    </row>
    <row r="13738" customFormat="false" ht="12.8" hidden="false" customHeight="false" outlineLevel="0" collapsed="false">
      <c r="A13738" s="0" t="s">
        <v>5504</v>
      </c>
      <c r="B13738" s="0" t="str">
        <f aca="false">HYPERLINK("https://lindat.mff.cuni.cz/services/teitok/pdtc10/index.php?action=vallex&amp;frame=v-w1917f5", "myslet (v-w1917f5) - substituted with v-w1917f10_ZU")</f>
        <v>myslet (v-w1917f5) - substituted with v-w1917f10_ZU</v>
      </c>
    </row>
    <row r="13739" customFormat="false" ht="12.8" hidden="false" customHeight="false" outlineLevel="0" collapsed="false">
      <c r="B13739" s="0" t="s">
        <v>7</v>
      </c>
      <c r="C13739" s="0" t="s">
        <v>5507</v>
      </c>
    </row>
    <row r="13740" customFormat="false" ht="12.8" hidden="false" customHeight="false" outlineLevel="0" collapsed="false">
      <c r="B13740" s="0" t="s">
        <v>5505</v>
      </c>
      <c r="C13740" s="0" t="s">
        <v>5508</v>
      </c>
    </row>
    <row r="13741" customFormat="false" ht="12.8" hidden="false" customHeight="false" outlineLevel="0" collapsed="false">
      <c r="B13741" s="0" t="s">
        <v>5506</v>
      </c>
      <c r="C13741" s="0" t="s">
        <v>2026</v>
      </c>
    </row>
    <row r="13743" customFormat="false" ht="12.8" hidden="false" customHeight="false" outlineLevel="0" collapsed="false">
      <c r="A13743" s="0" t="s">
        <v>5504</v>
      </c>
      <c r="B13743" s="0" t="str">
        <f aca="false">HYPERLINK("https://lindat.mff.cuni.cz/services/teitok/pdtc10/index.php?action=vallex&amp;frame=v-w1917f7_ZU", "myslet (v-w1917f7_ZU) - substituted with v-w1917f10_ZU")</f>
        <v>myslet (v-w1917f7_ZU) - substituted with v-w1917f10_ZU</v>
      </c>
    </row>
    <row r="13744" customFormat="false" ht="12.8" hidden="false" customHeight="false" outlineLevel="0" collapsed="false">
      <c r="B13744" s="0" t="s">
        <v>7</v>
      </c>
    </row>
    <row r="13745" customFormat="false" ht="12.8" hidden="false" customHeight="false" outlineLevel="0" collapsed="false">
      <c r="B13745" s="0" t="s">
        <v>5505</v>
      </c>
    </row>
    <row r="13746" customFormat="false" ht="12.8" hidden="false" customHeight="false" outlineLevel="0" collapsed="false">
      <c r="B13746" s="0" t="s">
        <v>5506</v>
      </c>
    </row>
    <row r="13748" customFormat="false" ht="12.8" hidden="false" customHeight="false" outlineLevel="0" collapsed="false">
      <c r="A13748" s="0" t="s">
        <v>5504</v>
      </c>
      <c r="B13748" s="0" t="str">
        <f aca="false">HYPERLINK("https://lindat.mff.cuni.cz/services/teitok/pdtc10/index.php?action=vallex&amp;frame=v-w1917f9_ZU", "myslet (v-w1917f9_ZU) - substituted with v-w1917f10_ZU")</f>
        <v>myslet (v-w1917f9_ZU) - substituted with v-w1917f10_ZU</v>
      </c>
    </row>
    <row r="13749" customFormat="false" ht="12.8" hidden="false" customHeight="false" outlineLevel="0" collapsed="false">
      <c r="B13749" s="0" t="s">
        <v>7</v>
      </c>
    </row>
    <row r="13750" customFormat="false" ht="12.8" hidden="false" customHeight="false" outlineLevel="0" collapsed="false">
      <c r="B13750" s="0" t="s">
        <v>5505</v>
      </c>
    </row>
    <row r="13751" customFormat="false" ht="12.8" hidden="false" customHeight="false" outlineLevel="0" collapsed="false">
      <c r="B13751" s="0" t="s">
        <v>5506</v>
      </c>
    </row>
    <row r="13753" customFormat="false" ht="12.8" hidden="false" customHeight="false" outlineLevel="0" collapsed="false">
      <c r="A13753" s="0" t="s">
        <v>5509</v>
      </c>
      <c r="B13753" s="0" t="str">
        <f aca="false">HYPERLINK("https://lindat.mff.cuni.cz/services/teitok/pdtc10/index.php?action=vallex&amp;frame=v-w1917f2", "myslet (v-w1917f2)")</f>
        <v>myslet (v-w1917f2)</v>
      </c>
    </row>
    <row r="13754" customFormat="false" ht="12.8" hidden="false" customHeight="false" outlineLevel="0" collapsed="false">
      <c r="B13754" s="0" t="s">
        <v>7</v>
      </c>
      <c r="C13754" s="0" t="s">
        <v>3051</v>
      </c>
      <c r="D13754" s="0" t="s">
        <v>623</v>
      </c>
      <c r="E13754" s="0" t="s">
        <v>623</v>
      </c>
      <c r="F13754" s="0" t="s">
        <v>623</v>
      </c>
    </row>
    <row r="13756" customFormat="false" ht="12.8" hidden="false" customHeight="false" outlineLevel="0" collapsed="false">
      <c r="A13756" s="0" t="s">
        <v>5510</v>
      </c>
      <c r="B13756" s="0" t="str">
        <f aca="false">HYPERLINK("https://lindat.mff.cuni.cz/services/teitok/pdtc10/index.php?action=vallex&amp;frame=v-w1917f8_ZU", "myslet (v-w1917f8_ZU)")</f>
        <v>myslet (v-w1917f8_ZU)</v>
      </c>
    </row>
    <row r="13757" customFormat="false" ht="12.8" hidden="false" customHeight="false" outlineLevel="0" collapsed="false">
      <c r="B13757" s="0" t="s">
        <v>603</v>
      </c>
    </row>
    <row r="13758" customFormat="false" ht="12.8" hidden="false" customHeight="false" outlineLevel="0" collapsed="false">
      <c r="B13758" s="0" t="s">
        <v>1193</v>
      </c>
    </row>
    <row r="13760" customFormat="false" ht="12.8" hidden="false" customHeight="false" outlineLevel="0" collapsed="false">
      <c r="A13760" s="0" t="s">
        <v>5510</v>
      </c>
      <c r="B13760" s="0" t="str">
        <f aca="false">HYPERLINK("https://lindat.mff.cuni.cz/services/teitok/pdtc10/index.php?action=vallex&amp;frame=v-w1917hsa_917", "myslet (v-w1917hsa_917) - substituted with v-w1917f8_ZU")</f>
        <v>myslet (v-w1917hsa_917) - substituted with v-w1917f8_ZU</v>
      </c>
    </row>
    <row r="13761" customFormat="false" ht="12.8" hidden="false" customHeight="false" outlineLevel="0" collapsed="false">
      <c r="B13761" s="0" t="s">
        <v>603</v>
      </c>
    </row>
    <row r="13762" customFormat="false" ht="12.8" hidden="false" customHeight="false" outlineLevel="0" collapsed="false">
      <c r="B13762" s="0" t="s">
        <v>1193</v>
      </c>
    </row>
    <row r="13764" customFormat="false" ht="12.8" hidden="false" customHeight="false" outlineLevel="0" collapsed="false">
      <c r="A13764" s="0" t="s">
        <v>5511</v>
      </c>
      <c r="B13764" s="0" t="str">
        <f aca="false">HYPERLINK("https://lindat.mff.cuni.cz/services/teitok/pdtc10/index.php?action=vallex&amp;frame=v-w1918f2", "myslet si (v-w1918f2)")</f>
        <v>myslet si (v-w1918f2)</v>
      </c>
    </row>
    <row r="13765" customFormat="false" ht="12.8" hidden="false" customHeight="false" outlineLevel="0" collapsed="false">
      <c r="B13765" s="0" t="s">
        <v>7</v>
      </c>
      <c r="C13765" s="0" t="s">
        <v>5512</v>
      </c>
      <c r="D13765" s="0" t="s">
        <v>5513</v>
      </c>
      <c r="E13765" s="0" t="s">
        <v>5513</v>
      </c>
      <c r="F13765" s="0" t="s">
        <v>5513</v>
      </c>
    </row>
    <row r="13766" customFormat="false" ht="12.8" hidden="false" customHeight="false" outlineLevel="0" collapsed="false">
      <c r="B13766" s="0" t="s">
        <v>14</v>
      </c>
      <c r="C13766" s="0" t="s">
        <v>5514</v>
      </c>
      <c r="D13766" s="0" t="s">
        <v>5515</v>
      </c>
      <c r="E13766" s="0" t="s">
        <v>5515</v>
      </c>
      <c r="F13766" s="0" t="s">
        <v>5515</v>
      </c>
    </row>
    <row r="13768" customFormat="false" ht="12.8" hidden="false" customHeight="false" outlineLevel="0" collapsed="false">
      <c r="A13768" s="0" t="s">
        <v>5516</v>
      </c>
      <c r="B13768" s="0" t="str">
        <f aca="false">HYPERLINK("https://lindat.mff.cuni.cz/services/teitok/pdtc10/index.php?action=vallex&amp;frame=v-w1918f1", "myslet si (v-w1918f1)")</f>
        <v>myslet si (v-w1918f1)</v>
      </c>
    </row>
    <row r="13769" customFormat="false" ht="12.8" hidden="false" customHeight="false" outlineLevel="0" collapsed="false">
      <c r="B13769" s="0" t="s">
        <v>7</v>
      </c>
      <c r="C13769" s="0" t="s">
        <v>5517</v>
      </c>
      <c r="D13769" s="0" t="s">
        <v>2022</v>
      </c>
      <c r="E13769" s="0" t="s">
        <v>2022</v>
      </c>
      <c r="F13769" s="0" t="s">
        <v>2022</v>
      </c>
    </row>
    <row r="13770" customFormat="false" ht="12.8" hidden="false" customHeight="false" outlineLevel="0" collapsed="false">
      <c r="B13770" s="0" t="s">
        <v>5518</v>
      </c>
      <c r="C13770" s="0" t="s">
        <v>5519</v>
      </c>
      <c r="D13770" s="0" t="s">
        <v>2025</v>
      </c>
      <c r="E13770" s="0" t="s">
        <v>2025</v>
      </c>
      <c r="F13770" s="0" t="s">
        <v>2025</v>
      </c>
    </row>
    <row r="13771" customFormat="false" ht="12.8" hidden="false" customHeight="false" outlineLevel="0" collapsed="false">
      <c r="B13771" s="0" t="s">
        <v>363</v>
      </c>
      <c r="C13771" s="0" t="s">
        <v>5520</v>
      </c>
      <c r="D13771" s="0" t="s">
        <v>2027</v>
      </c>
      <c r="E13771" s="0" t="s">
        <v>2027</v>
      </c>
      <c r="F13771" s="0" t="s">
        <v>2027</v>
      </c>
    </row>
    <row r="13773" customFormat="false" ht="12.8" hidden="false" customHeight="false" outlineLevel="0" collapsed="false">
      <c r="A13773" s="0" t="s">
        <v>5521</v>
      </c>
      <c r="B13773" s="0" t="str">
        <f aca="false">HYPERLINK("https://lindat.mff.cuni.cz/services/teitok/pdtc10/index.php?action=vallex&amp;frame=v-w1918f3_ZU", "myslet si (v-w1918f3_ZU)")</f>
        <v>myslet si (v-w1918f3_ZU)</v>
      </c>
    </row>
    <row r="13774" customFormat="false" ht="12.8" hidden="false" customHeight="false" outlineLevel="0" collapsed="false">
      <c r="B13774" s="0" t="s">
        <v>7</v>
      </c>
    </row>
    <row r="13775" customFormat="false" ht="12.8" hidden="false" customHeight="false" outlineLevel="0" collapsed="false">
      <c r="B13775" s="0" t="s">
        <v>41</v>
      </c>
    </row>
    <row r="13777" customFormat="false" ht="12.8" hidden="false" customHeight="false" outlineLevel="0" collapsed="false">
      <c r="A13777" s="0" t="s">
        <v>5522</v>
      </c>
      <c r="B13777" s="0" t="str">
        <f aca="false">HYPERLINK("https://lindat.mff.cuni.cz/services/teitok/pdtc10/index.php?action=vallex&amp;frame=v-w1919f3", "myslit (v-w1919f3)")</f>
        <v>myslit (v-w1919f3)</v>
      </c>
    </row>
    <row r="13778" customFormat="false" ht="12.8" hidden="false" customHeight="false" outlineLevel="0" collapsed="false">
      <c r="B13778" s="0" t="s">
        <v>7</v>
      </c>
    </row>
    <row r="13779" customFormat="false" ht="12.8" hidden="false" customHeight="false" outlineLevel="0" collapsed="false">
      <c r="B13779" s="0" t="s">
        <v>14</v>
      </c>
    </row>
    <row r="13780" customFormat="false" ht="12.8" hidden="false" customHeight="false" outlineLevel="0" collapsed="false">
      <c r="B13780" s="0" t="s">
        <v>552</v>
      </c>
    </row>
    <row r="13781" customFormat="false" ht="12.8" hidden="false" customHeight="false" outlineLevel="0" collapsed="false">
      <c r="B13781" s="0" t="s">
        <v>474</v>
      </c>
    </row>
    <row r="13782" customFormat="false" ht="12.8" hidden="false" customHeight="false" outlineLevel="0" collapsed="false">
      <c r="B13782" s="0" t="s">
        <v>477</v>
      </c>
    </row>
    <row r="13783" customFormat="false" ht="12.8" hidden="false" customHeight="false" outlineLevel="0" collapsed="false">
      <c r="B13783" s="0" t="s">
        <v>479</v>
      </c>
    </row>
    <row r="13784" customFormat="false" ht="12.8" hidden="false" customHeight="false" outlineLevel="0" collapsed="false">
      <c r="B13784" s="0" t="s">
        <v>481</v>
      </c>
    </row>
    <row r="13785" customFormat="false" ht="12.8" hidden="false" customHeight="false" outlineLevel="0" collapsed="false">
      <c r="B13785" s="0" t="s">
        <v>483</v>
      </c>
    </row>
    <row r="13787" customFormat="false" ht="12.8" hidden="false" customHeight="false" outlineLevel="0" collapsed="false">
      <c r="A13787" s="0" t="s">
        <v>5523</v>
      </c>
      <c r="B13787" s="0" t="str">
        <f aca="false">HYPERLINK("https://lindat.mff.cuni.cz/services/teitok/pdtc10/index.php?action=vallex&amp;frame=v-w1919f2", "myslit (v-w1919f2)")</f>
        <v>myslit (v-w1919f2)</v>
      </c>
    </row>
    <row r="13788" customFormat="false" ht="12.8" hidden="false" customHeight="false" outlineLevel="0" collapsed="false">
      <c r="B13788" s="0" t="s">
        <v>7</v>
      </c>
    </row>
    <row r="13789" customFormat="false" ht="12.8" hidden="false" customHeight="false" outlineLevel="0" collapsed="false">
      <c r="B13789" s="0" t="s">
        <v>41</v>
      </c>
    </row>
    <row r="13791" customFormat="false" ht="12.8" hidden="false" customHeight="false" outlineLevel="0" collapsed="false">
      <c r="A13791" s="0" t="s">
        <v>5524</v>
      </c>
      <c r="B13791" s="0" t="str">
        <f aca="false">HYPERLINK("https://lindat.mff.cuni.cz/services/teitok/pdtc10/index.php?action=vallex&amp;frame=v-w1919f1", "myslit (v-w1919f1)")</f>
        <v>myslit (v-w1919f1)</v>
      </c>
    </row>
    <row r="13792" customFormat="false" ht="12.8" hidden="false" customHeight="false" outlineLevel="0" collapsed="false">
      <c r="B13792" s="0" t="s">
        <v>7</v>
      </c>
    </row>
    <row r="13793" customFormat="false" ht="12.8" hidden="false" customHeight="false" outlineLevel="0" collapsed="false">
      <c r="B13793" s="0" t="s">
        <v>5525</v>
      </c>
    </row>
    <row r="13794" customFormat="false" ht="12.8" hidden="false" customHeight="false" outlineLevel="0" collapsed="false">
      <c r="B13794" s="0" t="s">
        <v>363</v>
      </c>
    </row>
    <row r="13796" customFormat="false" ht="12.8" hidden="false" customHeight="false" outlineLevel="0" collapsed="false">
      <c r="A13796" s="0" t="s">
        <v>5526</v>
      </c>
      <c r="B13796" s="0" t="str">
        <f aca="false">HYPERLINK("https://lindat.mff.cuni.cz/services/teitok/pdtc10/index.php?action=vallex&amp;frame=v-w1919f6_ZU", "myslit (v-w1919f6_ZU)")</f>
        <v>myslit (v-w1919f6_ZU)</v>
      </c>
    </row>
    <row r="13797" customFormat="false" ht="12.8" hidden="false" customHeight="false" outlineLevel="0" collapsed="false">
      <c r="B13797" s="0" t="s">
        <v>7</v>
      </c>
    </row>
    <row r="13798" customFormat="false" ht="12.8" hidden="false" customHeight="false" outlineLevel="0" collapsed="false">
      <c r="B13798" s="0" t="s">
        <v>5527</v>
      </c>
    </row>
    <row r="13799" customFormat="false" ht="12.8" hidden="false" customHeight="false" outlineLevel="0" collapsed="false">
      <c r="B13799" s="0" t="s">
        <v>5506</v>
      </c>
    </row>
    <row r="13801" customFormat="false" ht="12.8" hidden="false" customHeight="false" outlineLevel="0" collapsed="false">
      <c r="A13801" s="0" t="s">
        <v>5526</v>
      </c>
      <c r="B13801" s="0" t="str">
        <f aca="false">HYPERLINK("https://lindat.mff.cuni.cz/services/teitok/pdtc10/index.php?action=vallex&amp;frame=v-w1919f4", "myslit (v-w1919f4) - substituted with v-w1919f6_ZU")</f>
        <v>myslit (v-w1919f4) - substituted with v-w1919f6_ZU</v>
      </c>
    </row>
    <row r="13802" customFormat="false" ht="12.8" hidden="false" customHeight="false" outlineLevel="0" collapsed="false">
      <c r="B13802" s="0" t="s">
        <v>7</v>
      </c>
    </row>
    <row r="13803" customFormat="false" ht="12.8" hidden="false" customHeight="false" outlineLevel="0" collapsed="false">
      <c r="B13803" s="0" t="s">
        <v>5527</v>
      </c>
    </row>
    <row r="13804" customFormat="false" ht="12.8" hidden="false" customHeight="false" outlineLevel="0" collapsed="false">
      <c r="B13804" s="0" t="s">
        <v>5506</v>
      </c>
    </row>
    <row r="13806" customFormat="false" ht="12.8" hidden="false" customHeight="false" outlineLevel="0" collapsed="false">
      <c r="A13806" s="0" t="s">
        <v>5528</v>
      </c>
      <c r="B13806" s="0" t="str">
        <f aca="false">HYPERLINK("https://lindat.mff.cuni.cz/services/teitok/pdtc10/index.php?action=vallex&amp;frame=v-w1919f5", "myslit (v-w1919f5)")</f>
        <v>myslit (v-w1919f5)</v>
      </c>
    </row>
    <row r="13807" customFormat="false" ht="12.8" hidden="false" customHeight="false" outlineLevel="0" collapsed="false">
      <c r="B13807" s="0" t="s">
        <v>7</v>
      </c>
    </row>
    <row r="13809" customFormat="false" ht="12.8" hidden="false" customHeight="false" outlineLevel="0" collapsed="false">
      <c r="A13809" s="0" t="s">
        <v>5529</v>
      </c>
      <c r="B13809" s="0" t="str">
        <f aca="false">HYPERLINK("https://lindat.mff.cuni.cz/services/teitok/pdtc10/index.php?action=vallex&amp;frame=v-w1919f7_MM", "myslit (v-w1919f7_MM)")</f>
        <v>myslit (v-w1919f7_MM)</v>
      </c>
    </row>
    <row r="13810" customFormat="false" ht="12.8" hidden="false" customHeight="false" outlineLevel="0" collapsed="false">
      <c r="B13810" s="0" t="s">
        <v>603</v>
      </c>
    </row>
    <row r="13811" customFormat="false" ht="12.8" hidden="false" customHeight="false" outlineLevel="0" collapsed="false">
      <c r="B13811" s="0" t="s">
        <v>1193</v>
      </c>
    </row>
    <row r="13813" customFormat="false" ht="12.8" hidden="false" customHeight="false" outlineLevel="0" collapsed="false">
      <c r="A13813" s="0" t="s">
        <v>5530</v>
      </c>
      <c r="B13813" s="0" t="str">
        <f aca="false">HYPERLINK("https://lindat.mff.cuni.cz/services/teitok/pdtc10/index.php?action=vallex&amp;frame=v-w1920f3", "myslit si (v-w1920f3)")</f>
        <v>myslit si (v-w1920f3)</v>
      </c>
    </row>
    <row r="13814" customFormat="false" ht="12.8" hidden="false" customHeight="false" outlineLevel="0" collapsed="false">
      <c r="B13814" s="0" t="s">
        <v>7</v>
      </c>
    </row>
    <row r="13815" customFormat="false" ht="12.8" hidden="false" customHeight="false" outlineLevel="0" collapsed="false">
      <c r="B13815" s="0" t="s">
        <v>14</v>
      </c>
    </row>
    <row r="13817" customFormat="false" ht="12.8" hidden="false" customHeight="false" outlineLevel="0" collapsed="false">
      <c r="A13817" s="0" t="s">
        <v>5531</v>
      </c>
      <c r="B13817" s="0" t="str">
        <f aca="false">HYPERLINK("https://lindat.mff.cuni.cz/services/teitok/pdtc10/index.php?action=vallex&amp;frame=v-w1920f2", "myslit si (v-w1920f2)")</f>
        <v>myslit si (v-w1920f2)</v>
      </c>
    </row>
    <row r="13818" customFormat="false" ht="12.8" hidden="false" customHeight="false" outlineLevel="0" collapsed="false">
      <c r="B13818" s="0" t="s">
        <v>7</v>
      </c>
    </row>
    <row r="13819" customFormat="false" ht="12.8" hidden="false" customHeight="false" outlineLevel="0" collapsed="false">
      <c r="B13819" s="0" t="s">
        <v>41</v>
      </c>
    </row>
    <row r="13821" customFormat="false" ht="12.8" hidden="false" customHeight="false" outlineLevel="0" collapsed="false">
      <c r="A13821" s="0" t="s">
        <v>5532</v>
      </c>
      <c r="B13821" s="0" t="str">
        <f aca="false">HYPERLINK("https://lindat.mff.cuni.cz/services/teitok/pdtc10/index.php?action=vallex&amp;frame=v-w1920f1", "myslit si (v-w1920f1)")</f>
        <v>myslit si (v-w1920f1)</v>
      </c>
    </row>
    <row r="13822" customFormat="false" ht="12.8" hidden="false" customHeight="false" outlineLevel="0" collapsed="false">
      <c r="B13822" s="0" t="s">
        <v>7</v>
      </c>
    </row>
    <row r="13823" customFormat="false" ht="12.8" hidden="false" customHeight="false" outlineLevel="0" collapsed="false">
      <c r="B13823" s="0" t="s">
        <v>5525</v>
      </c>
    </row>
    <row r="13824" customFormat="false" ht="12.8" hidden="false" customHeight="false" outlineLevel="0" collapsed="false">
      <c r="B13824" s="0" t="s">
        <v>363</v>
      </c>
    </row>
    <row r="13826" customFormat="false" ht="12.8" hidden="false" customHeight="false" outlineLevel="0" collapsed="false">
      <c r="A13826" s="0" t="s">
        <v>5533</v>
      </c>
      <c r="B13826" s="0" t="str">
        <f aca="false">HYPERLINK("https://lindat.mff.cuni.cz/services/teitok/pdtc10/index.php?action=vallex&amp;frame=v-w1759f1", "máchat (v-w1759f1)")</f>
        <v>máchat (v-w1759f1)</v>
      </c>
    </row>
    <row r="13827" customFormat="false" ht="12.8" hidden="false" customHeight="false" outlineLevel="0" collapsed="false">
      <c r="B13827" s="0" t="s">
        <v>7</v>
      </c>
      <c r="C13827" s="0" t="s">
        <v>191</v>
      </c>
      <c r="D13827" s="0" t="s">
        <v>504</v>
      </c>
      <c r="E13827" s="0" t="s">
        <v>149</v>
      </c>
      <c r="F13827" s="0" t="s">
        <v>149</v>
      </c>
    </row>
    <row r="13828" customFormat="false" ht="12.8" hidden="false" customHeight="false" outlineLevel="0" collapsed="false">
      <c r="B13828" s="0" t="s">
        <v>3771</v>
      </c>
      <c r="C13828" s="0" t="s">
        <v>47</v>
      </c>
      <c r="D13828" s="0" t="s">
        <v>493</v>
      </c>
      <c r="E13828" s="0" t="s">
        <v>624</v>
      </c>
      <c r="F13828" s="0" t="s">
        <v>624</v>
      </c>
    </row>
    <row r="13829" customFormat="false" ht="12.8" hidden="false" customHeight="false" outlineLevel="0" collapsed="false">
      <c r="B13829" s="0" t="s">
        <v>4101</v>
      </c>
      <c r="D13829" s="0" t="s">
        <v>5534</v>
      </c>
      <c r="E13829" s="0" t="s">
        <v>5534</v>
      </c>
      <c r="F13829" s="0" t="s">
        <v>5534</v>
      </c>
    </row>
    <row r="13831" customFormat="false" ht="12.8" hidden="false" customHeight="false" outlineLevel="0" collapsed="false">
      <c r="A13831" s="0" t="s">
        <v>5535</v>
      </c>
      <c r="B13831" s="0" t="str">
        <f aca="false">HYPERLINK("https://lindat.mff.cuni.cz/services/teitok/pdtc10/index.php?action=vallex&amp;frame=v-w1759f2", "máchat (v-w1759f2)")</f>
        <v>máchat (v-w1759f2)</v>
      </c>
    </row>
    <row r="13832" customFormat="false" ht="12.8" hidden="false" customHeight="false" outlineLevel="0" collapsed="false">
      <c r="B13832" s="0" t="s">
        <v>7</v>
      </c>
    </row>
    <row r="13833" customFormat="false" ht="12.8" hidden="false" customHeight="false" outlineLevel="0" collapsed="false">
      <c r="B13833" s="0" t="s">
        <v>14</v>
      </c>
    </row>
    <row r="13835" customFormat="false" ht="12.8" hidden="false" customHeight="false" outlineLevel="0" collapsed="false">
      <c r="A13835" s="0" t="s">
        <v>5536</v>
      </c>
      <c r="B13835" s="0" t="str">
        <f aca="false">HYPERLINK("https://lindat.mff.cuni.cz/services/teitok/pdtc10/index.php?action=vallex&amp;frame=v-w12214_ZUf1_ZU", "máchat se (v-w12214_ZUf1_ZU)")</f>
        <v>máchat se (v-w12214_ZUf1_ZU)</v>
      </c>
    </row>
    <row r="13836" customFormat="false" ht="12.8" hidden="false" customHeight="false" outlineLevel="0" collapsed="false">
      <c r="B13836" s="0" t="s">
        <v>7</v>
      </c>
    </row>
    <row r="13838" customFormat="false" ht="12.8" hidden="false" customHeight="false" outlineLevel="0" collapsed="false">
      <c r="A13838" s="0" t="s">
        <v>5537</v>
      </c>
      <c r="B13838" s="0" t="str">
        <f aca="false">HYPERLINK("https://lindat.mff.cuni.cz/services/teitok/pdtc10/index.php?action=vallex&amp;frame=v-whsa_948hsa_949", "máchnout (v-whsa_948hsa_949)")</f>
        <v>máchnout (v-whsa_948hsa_949)</v>
      </c>
    </row>
    <row r="13839" customFormat="false" ht="12.8" hidden="false" customHeight="false" outlineLevel="0" collapsed="false">
      <c r="B13839" s="0" t="s">
        <v>7</v>
      </c>
      <c r="D13839" s="0" t="s">
        <v>31</v>
      </c>
      <c r="E13839" s="0" t="s">
        <v>31</v>
      </c>
      <c r="F13839" s="0" t="s">
        <v>31</v>
      </c>
    </row>
    <row r="13840" customFormat="false" ht="12.8" hidden="false" customHeight="false" outlineLevel="0" collapsed="false">
      <c r="B13840" s="0" t="s">
        <v>216</v>
      </c>
      <c r="D13840" s="0" t="s">
        <v>78</v>
      </c>
      <c r="E13840" s="0" t="s">
        <v>78</v>
      </c>
      <c r="F13840" s="0" t="s">
        <v>78</v>
      </c>
    </row>
    <row r="13842" customFormat="false" ht="12.8" hidden="false" customHeight="false" outlineLevel="0" collapsed="false">
      <c r="A13842" s="0" t="s">
        <v>5538</v>
      </c>
      <c r="B13842" s="0" t="str">
        <f aca="false">HYPERLINK("https://lindat.mff.cuni.cz/services/teitok/pdtc10/index.php?action=vallex&amp;frame=v-w10223hsa_33", "mást (v-w10223hsa_33)")</f>
        <v>mást (v-w10223hsa_33)</v>
      </c>
    </row>
    <row r="13843" customFormat="false" ht="12.8" hidden="false" customHeight="false" outlineLevel="0" collapsed="false">
      <c r="B13843" s="0" t="s">
        <v>641</v>
      </c>
    </row>
    <row r="13844" customFormat="false" ht="12.8" hidden="false" customHeight="false" outlineLevel="0" collapsed="false">
      <c r="B13844" s="0" t="s">
        <v>14</v>
      </c>
    </row>
    <row r="13846" customFormat="false" ht="12.8" hidden="false" customHeight="false" outlineLevel="0" collapsed="false">
      <c r="A13846" s="0" t="s">
        <v>5538</v>
      </c>
      <c r="B13846" s="0" t="str">
        <f aca="false">HYPERLINK("https://lindat.mff.cuni.cz/services/teitok/pdtc10/index.php?action=vallex&amp;frame=v-w10223f2", "mást (v-w10223f2) - substituted with v-w10223hsa_33")</f>
        <v>mást (v-w10223f2) - substituted with v-w10223hsa_33</v>
      </c>
    </row>
    <row r="13847" customFormat="false" ht="12.8" hidden="false" customHeight="false" outlineLevel="0" collapsed="false">
      <c r="B13847" s="0" t="s">
        <v>641</v>
      </c>
      <c r="C13847" s="0" t="s">
        <v>5443</v>
      </c>
      <c r="D13847" s="0" t="s">
        <v>4342</v>
      </c>
      <c r="E13847" s="0" t="s">
        <v>4342</v>
      </c>
      <c r="F13847" s="0" t="s">
        <v>4342</v>
      </c>
    </row>
    <row r="13848" customFormat="false" ht="12.8" hidden="false" customHeight="false" outlineLevel="0" collapsed="false">
      <c r="B13848" s="0" t="s">
        <v>14</v>
      </c>
      <c r="C13848" s="0" t="s">
        <v>5539</v>
      </c>
      <c r="D13848" s="0" t="s">
        <v>4586</v>
      </c>
      <c r="E13848" s="0" t="s">
        <v>4586</v>
      </c>
      <c r="F13848" s="0" t="s">
        <v>4586</v>
      </c>
    </row>
    <row r="13850" customFormat="false" ht="12.8" hidden="false" customHeight="false" outlineLevel="0" collapsed="false">
      <c r="A13850" s="0" t="s">
        <v>5540</v>
      </c>
      <c r="B13850" s="0" t="str">
        <f aca="false">HYPERLINK("https://lindat.mff.cuni.cz/services/teitok/pdtc10/index.php?action=vallex&amp;frame=v-w1796f1", "mávat (v-w1796f1)")</f>
        <v>mávat (v-w1796f1)</v>
      </c>
    </row>
    <row r="13851" customFormat="false" ht="12.8" hidden="false" customHeight="false" outlineLevel="0" collapsed="false">
      <c r="B13851" s="0" t="s">
        <v>7</v>
      </c>
      <c r="C13851" s="0" t="s">
        <v>569</v>
      </c>
      <c r="D13851" s="0" t="s">
        <v>2736</v>
      </c>
      <c r="E13851" s="0" t="s">
        <v>31</v>
      </c>
      <c r="F13851" s="0" t="s">
        <v>31</v>
      </c>
    </row>
    <row r="13852" customFormat="false" ht="12.8" hidden="false" customHeight="false" outlineLevel="0" collapsed="false">
      <c r="B13852" s="0" t="s">
        <v>3771</v>
      </c>
      <c r="C13852" s="0" t="s">
        <v>384</v>
      </c>
      <c r="D13852" s="0" t="s">
        <v>487</v>
      </c>
      <c r="E13852" s="0" t="s">
        <v>33</v>
      </c>
      <c r="F13852" s="0" t="s">
        <v>33</v>
      </c>
    </row>
    <row r="13853" customFormat="false" ht="12.8" hidden="false" customHeight="false" outlineLevel="0" collapsed="false">
      <c r="B13853" s="0" t="s">
        <v>5541</v>
      </c>
      <c r="C13853" s="0" t="s">
        <v>5534</v>
      </c>
      <c r="D13853" s="0" t="s">
        <v>5534</v>
      </c>
      <c r="E13853" s="0" t="s">
        <v>5534</v>
      </c>
      <c r="F13853" s="0" t="s">
        <v>5534</v>
      </c>
    </row>
    <row r="13855" customFormat="false" ht="12.8" hidden="false" customHeight="false" outlineLevel="0" collapsed="false">
      <c r="A13855" s="0" t="s">
        <v>5542</v>
      </c>
      <c r="B13855" s="0" t="str">
        <f aca="false">HYPERLINK("https://lindat.mff.cuni.cz/services/teitok/pdtc10/index.php?action=vallex&amp;frame=v-w1796f2_ZU", "mávat (v-w1796f2_ZU)")</f>
        <v>mávat (v-w1796f2_ZU)</v>
      </c>
    </row>
    <row r="13856" customFormat="false" ht="12.8" hidden="false" customHeight="false" outlineLevel="0" collapsed="false">
      <c r="B13856" s="0" t="s">
        <v>7</v>
      </c>
      <c r="C13856" s="0" t="s">
        <v>569</v>
      </c>
      <c r="D13856" s="0" t="s">
        <v>31</v>
      </c>
      <c r="E13856" s="0" t="s">
        <v>31</v>
      </c>
      <c r="F13856" s="0" t="s">
        <v>31</v>
      </c>
    </row>
    <row r="13857" customFormat="false" ht="12.8" hidden="false" customHeight="false" outlineLevel="0" collapsed="false">
      <c r="B13857" s="0" t="s">
        <v>216</v>
      </c>
      <c r="C13857" s="0" t="s">
        <v>1170</v>
      </c>
      <c r="D13857" s="0" t="s">
        <v>78</v>
      </c>
      <c r="E13857" s="0" t="s">
        <v>78</v>
      </c>
      <c r="F13857" s="0" t="s">
        <v>78</v>
      </c>
    </row>
    <row r="13859" customFormat="false" ht="12.8" hidden="false" customHeight="false" outlineLevel="0" collapsed="false">
      <c r="A13859" s="0" t="s">
        <v>5543</v>
      </c>
      <c r="B13859" s="0" t="str">
        <f aca="false">HYPERLINK("https://lindat.mff.cuni.cz/services/teitok/pdtc10/index.php?action=vallex&amp;frame=v-w1797f1", "mávnout (v-w1797f1)")</f>
        <v>mávnout (v-w1797f1)</v>
      </c>
    </row>
    <row r="13860" customFormat="false" ht="12.8" hidden="false" customHeight="false" outlineLevel="0" collapsed="false">
      <c r="B13860" s="0" t="s">
        <v>7</v>
      </c>
      <c r="C13860" s="0" t="s">
        <v>88</v>
      </c>
      <c r="D13860" s="0" t="s">
        <v>2736</v>
      </c>
      <c r="E13860" s="0" t="s">
        <v>31</v>
      </c>
      <c r="F13860" s="0" t="s">
        <v>31</v>
      </c>
    </row>
    <row r="13861" customFormat="false" ht="12.8" hidden="false" customHeight="false" outlineLevel="0" collapsed="false">
      <c r="B13861" s="0" t="s">
        <v>3771</v>
      </c>
      <c r="D13861" s="0" t="s">
        <v>487</v>
      </c>
      <c r="E13861" s="0" t="s">
        <v>33</v>
      </c>
      <c r="F13861" s="0" t="s">
        <v>33</v>
      </c>
    </row>
    <row r="13862" customFormat="false" ht="12.8" hidden="false" customHeight="false" outlineLevel="0" collapsed="false">
      <c r="B13862" s="0" t="s">
        <v>5544</v>
      </c>
      <c r="C13862" s="0" t="s">
        <v>5545</v>
      </c>
      <c r="D13862" s="0" t="s">
        <v>5534</v>
      </c>
      <c r="E13862" s="0" t="s">
        <v>5534</v>
      </c>
      <c r="F13862" s="0" t="s">
        <v>5534</v>
      </c>
    </row>
    <row r="13864" customFormat="false" ht="12.8" hidden="false" customHeight="false" outlineLevel="0" collapsed="false">
      <c r="A13864" s="0" t="s">
        <v>5546</v>
      </c>
      <c r="B13864" s="0" t="str">
        <f aca="false">HYPERLINK("https://lindat.mff.cuni.cz/services/teitok/pdtc10/index.php?action=vallex&amp;frame=v-w11682_ZUf1_ZU", "máčet (v-w11682_ZUf1_ZU)")</f>
        <v>máčet (v-w11682_ZUf1_ZU)</v>
      </c>
    </row>
    <row r="13865" customFormat="false" ht="12.8" hidden="false" customHeight="false" outlineLevel="0" collapsed="false">
      <c r="B13865" s="0" t="s">
        <v>7</v>
      </c>
    </row>
    <row r="13866" customFormat="false" ht="12.8" hidden="false" customHeight="false" outlineLevel="0" collapsed="false">
      <c r="B13866" s="0" t="s">
        <v>14</v>
      </c>
    </row>
    <row r="13868" customFormat="false" ht="12.8" hidden="false" customHeight="false" outlineLevel="0" collapsed="false">
      <c r="A13868" s="0" t="s">
        <v>5547</v>
      </c>
      <c r="B13868" s="0" t="str">
        <f aca="false">HYPERLINK("https://lindat.mff.cuni.cz/services/teitok/pdtc10/index.php?action=vallex&amp;frame=v-w12231_ZUf1_ZU", "mést (v-w12231_ZUf1_ZU)")</f>
        <v>mést (v-w12231_ZUf1_ZU)</v>
      </c>
    </row>
    <row r="13869" customFormat="false" ht="12.8" hidden="false" customHeight="false" outlineLevel="0" collapsed="false">
      <c r="B13869" s="0" t="s">
        <v>7</v>
      </c>
    </row>
    <row r="13870" customFormat="false" ht="12.8" hidden="false" customHeight="false" outlineLevel="0" collapsed="false">
      <c r="B13870" s="0" t="s">
        <v>14</v>
      </c>
    </row>
    <row r="13872" customFormat="false" ht="12.8" hidden="false" customHeight="false" outlineLevel="0" collapsed="false">
      <c r="A13872" s="0" t="s">
        <v>5548</v>
      </c>
      <c r="B13872" s="0" t="str">
        <f aca="false">HYPERLINK("https://lindat.mff.cuni.cz/services/teitok/pdtc10/index.php?action=vallex&amp;frame=v-w1828f1", "míchat (v-w1828f1)")</f>
        <v>míchat (v-w1828f1)</v>
      </c>
    </row>
    <row r="13873" customFormat="false" ht="12.8" hidden="false" customHeight="false" outlineLevel="0" collapsed="false">
      <c r="B13873" s="0" t="s">
        <v>7</v>
      </c>
      <c r="C13873" s="0" t="s">
        <v>46</v>
      </c>
      <c r="D13873" s="0" t="s">
        <v>5549</v>
      </c>
      <c r="E13873" s="0" t="s">
        <v>5549</v>
      </c>
      <c r="F13873" s="0" t="s">
        <v>5549</v>
      </c>
    </row>
    <row r="13874" customFormat="false" ht="12.8" hidden="false" customHeight="false" outlineLevel="0" collapsed="false">
      <c r="B13874" s="0" t="s">
        <v>14</v>
      </c>
      <c r="C13874" s="0" t="s">
        <v>47</v>
      </c>
      <c r="D13874" s="0" t="s">
        <v>5550</v>
      </c>
      <c r="E13874" s="0" t="s">
        <v>5550</v>
      </c>
      <c r="F13874" s="0" t="s">
        <v>5550</v>
      </c>
    </row>
    <row r="13875" customFormat="false" ht="12.8" hidden="false" customHeight="false" outlineLevel="0" collapsed="false">
      <c r="B13875" s="0" t="s">
        <v>35</v>
      </c>
      <c r="D13875" s="0" t="s">
        <v>5551</v>
      </c>
      <c r="E13875" s="0" t="s">
        <v>5551</v>
      </c>
      <c r="F13875" s="0" t="s">
        <v>5551</v>
      </c>
    </row>
    <row r="13877" customFormat="false" ht="12.8" hidden="false" customHeight="false" outlineLevel="0" collapsed="false">
      <c r="A13877" s="0" t="s">
        <v>5552</v>
      </c>
      <c r="B13877" s="0" t="str">
        <f aca="false">HYPERLINK("https://lindat.mff.cuni.cz/services/teitok/pdtc10/index.php?action=vallex&amp;frame=v-w1828f9_ZU", "míchat (v-w1828f9_ZU)")</f>
        <v>míchat (v-w1828f9_ZU)</v>
      </c>
    </row>
    <row r="13878" customFormat="false" ht="12.8" hidden="false" customHeight="false" outlineLevel="0" collapsed="false">
      <c r="B13878" s="0" t="s">
        <v>7</v>
      </c>
    </row>
    <row r="13879" customFormat="false" ht="12.8" hidden="false" customHeight="false" outlineLevel="0" collapsed="false">
      <c r="B13879" s="0" t="s">
        <v>14</v>
      </c>
    </row>
    <row r="13880" customFormat="false" ht="12.8" hidden="false" customHeight="false" outlineLevel="0" collapsed="false">
      <c r="B13880" s="0" t="s">
        <v>3086</v>
      </c>
    </row>
    <row r="13882" customFormat="false" ht="12.8" hidden="false" customHeight="false" outlineLevel="0" collapsed="false">
      <c r="A13882" s="0" t="s">
        <v>5552</v>
      </c>
      <c r="B13882" s="0" t="str">
        <f aca="false">HYPERLINK("https://lindat.mff.cuni.cz/services/teitok/pdtc10/index.php?action=vallex&amp;frame=v-w1828f5", "míchat (v-w1828f5) - substituted with v-w1828f9_ZU")</f>
        <v>míchat (v-w1828f5) - substituted with v-w1828f9_ZU</v>
      </c>
    </row>
    <row r="13883" customFormat="false" ht="12.8" hidden="false" customHeight="false" outlineLevel="0" collapsed="false">
      <c r="B13883" s="0" t="s">
        <v>7</v>
      </c>
    </row>
    <row r="13884" customFormat="false" ht="12.8" hidden="false" customHeight="false" outlineLevel="0" collapsed="false">
      <c r="B13884" s="0" t="s">
        <v>14</v>
      </c>
    </row>
    <row r="13885" customFormat="false" ht="12.8" hidden="false" customHeight="false" outlineLevel="0" collapsed="false">
      <c r="B13885" s="0" t="s">
        <v>3086</v>
      </c>
    </row>
    <row r="13887" customFormat="false" ht="12.8" hidden="false" customHeight="false" outlineLevel="0" collapsed="false">
      <c r="A13887" s="0" t="s">
        <v>5553</v>
      </c>
      <c r="B13887" s="0" t="str">
        <f aca="false">HYPERLINK("https://lindat.mff.cuni.cz/services/teitok/pdtc10/index.php?action=vallex&amp;frame=v-w1828f8_ZU", "míchat (v-w1828f8_ZU)")</f>
        <v>míchat (v-w1828f8_ZU)</v>
      </c>
    </row>
    <row r="13888" customFormat="false" ht="12.8" hidden="false" customHeight="false" outlineLevel="0" collapsed="false">
      <c r="B13888" s="0" t="s">
        <v>7</v>
      </c>
      <c r="D13888" s="0" t="s">
        <v>4721</v>
      </c>
      <c r="E13888" s="0" t="s">
        <v>4721</v>
      </c>
      <c r="F13888" s="0" t="s">
        <v>4721</v>
      </c>
    </row>
    <row r="13889" customFormat="false" ht="12.8" hidden="false" customHeight="false" outlineLevel="0" collapsed="false">
      <c r="B13889" s="0" t="s">
        <v>14</v>
      </c>
      <c r="C13889" s="0" t="s">
        <v>384</v>
      </c>
      <c r="D13889" s="0" t="s">
        <v>4723</v>
      </c>
      <c r="E13889" s="0" t="s">
        <v>4723</v>
      </c>
      <c r="F13889" s="0" t="s">
        <v>4723</v>
      </c>
    </row>
    <row r="13890" customFormat="false" ht="12.8" hidden="false" customHeight="false" outlineLevel="0" collapsed="false">
      <c r="B13890" s="0" t="s">
        <v>3086</v>
      </c>
      <c r="C13890" s="0" t="s">
        <v>5554</v>
      </c>
      <c r="D13890" s="0" t="s">
        <v>4725</v>
      </c>
      <c r="E13890" s="0" t="s">
        <v>4725</v>
      </c>
      <c r="F13890" s="0" t="s">
        <v>4725</v>
      </c>
    </row>
    <row r="13892" customFormat="false" ht="12.8" hidden="false" customHeight="false" outlineLevel="0" collapsed="false">
      <c r="A13892" s="0" t="s">
        <v>5553</v>
      </c>
      <c r="B13892" s="0" t="str">
        <f aca="false">HYPERLINK("https://lindat.mff.cuni.cz/services/teitok/pdtc10/index.php?action=vallex&amp;frame=v-w1828f4", "míchat (v-w1828f4) - substituted with v-w1828f8_ZU")</f>
        <v>míchat (v-w1828f4) - substituted with v-w1828f8_ZU</v>
      </c>
    </row>
    <row r="13893" customFormat="false" ht="12.8" hidden="false" customHeight="false" outlineLevel="0" collapsed="false">
      <c r="B13893" s="0" t="s">
        <v>7</v>
      </c>
    </row>
    <row r="13894" customFormat="false" ht="12.8" hidden="false" customHeight="false" outlineLevel="0" collapsed="false">
      <c r="B13894" s="0" t="s">
        <v>14</v>
      </c>
    </row>
    <row r="13895" customFormat="false" ht="12.8" hidden="false" customHeight="false" outlineLevel="0" collapsed="false">
      <c r="B13895" s="0" t="s">
        <v>3086</v>
      </c>
    </row>
    <row r="13897" customFormat="false" ht="12.8" hidden="false" customHeight="false" outlineLevel="0" collapsed="false">
      <c r="A13897" s="0" t="s">
        <v>5555</v>
      </c>
      <c r="B13897" s="0" t="str">
        <f aca="false">HYPERLINK("https://lindat.mff.cuni.cz/services/teitok/pdtc10/index.php?action=vallex&amp;frame=v-w1828f2", "míchat (v-w1828f2)")</f>
        <v>míchat (v-w1828f2)</v>
      </c>
    </row>
    <row r="13898" customFormat="false" ht="12.8" hidden="false" customHeight="false" outlineLevel="0" collapsed="false">
      <c r="B13898" s="0" t="s">
        <v>7</v>
      </c>
    </row>
    <row r="13899" customFormat="false" ht="12.8" hidden="false" customHeight="false" outlineLevel="0" collapsed="false">
      <c r="B13899" s="0" t="s">
        <v>14</v>
      </c>
    </row>
    <row r="13900" customFormat="false" ht="12.8" hidden="false" customHeight="false" outlineLevel="0" collapsed="false">
      <c r="B13900" s="0" t="s">
        <v>124</v>
      </c>
    </row>
    <row r="13902" customFormat="false" ht="12.8" hidden="false" customHeight="false" outlineLevel="0" collapsed="false">
      <c r="A13902" s="0" t="s">
        <v>5556</v>
      </c>
      <c r="B13902" s="0" t="str">
        <f aca="false">HYPERLINK("https://lindat.mff.cuni.cz/services/teitok/pdtc10/index.php?action=vallex&amp;frame=v-w1828f7", "míchat (v-w1828f7)")</f>
        <v>míchat (v-w1828f7)</v>
      </c>
    </row>
    <row r="13903" customFormat="false" ht="12.8" hidden="false" customHeight="false" outlineLevel="0" collapsed="false">
      <c r="B13903" s="0" t="s">
        <v>7</v>
      </c>
    </row>
    <row r="13904" customFormat="false" ht="12.8" hidden="false" customHeight="false" outlineLevel="0" collapsed="false">
      <c r="B13904" s="0" t="s">
        <v>5557</v>
      </c>
    </row>
    <row r="13906" customFormat="false" ht="12.8" hidden="false" customHeight="false" outlineLevel="0" collapsed="false">
      <c r="A13906" s="0" t="s">
        <v>5558</v>
      </c>
      <c r="B13906" s="0" t="str">
        <f aca="false">HYPERLINK("https://lindat.mff.cuni.cz/services/teitok/pdtc10/index.php?action=vallex&amp;frame=v-w1828f6", "míchat (v-w1828f6)")</f>
        <v>míchat (v-w1828f6)</v>
      </c>
    </row>
    <row r="13907" customFormat="false" ht="12.8" hidden="false" customHeight="false" outlineLevel="0" collapsed="false">
      <c r="B13907" s="0" t="s">
        <v>7</v>
      </c>
    </row>
    <row r="13908" customFormat="false" ht="12.8" hidden="false" customHeight="false" outlineLevel="0" collapsed="false">
      <c r="B13908" s="0" t="s">
        <v>14</v>
      </c>
    </row>
    <row r="13910" customFormat="false" ht="12.8" hidden="false" customHeight="false" outlineLevel="0" collapsed="false">
      <c r="A13910" s="0" t="s">
        <v>5559</v>
      </c>
      <c r="B13910" s="0" t="str">
        <f aca="false">HYPERLINK("https://lindat.mff.cuni.cz/services/teitok/pdtc10/index.php?action=vallex&amp;frame=v-w1828f3", "míchat (v-w1828f3)")</f>
        <v>míchat (v-w1828f3)</v>
      </c>
    </row>
    <row r="13911" customFormat="false" ht="12.8" hidden="false" customHeight="false" outlineLevel="0" collapsed="false">
      <c r="B13911" s="0" t="s">
        <v>7</v>
      </c>
    </row>
    <row r="13912" customFormat="false" ht="12.8" hidden="false" customHeight="false" outlineLevel="0" collapsed="false">
      <c r="B13912" s="0" t="s">
        <v>5560</v>
      </c>
    </row>
    <row r="13914" customFormat="false" ht="12.8" hidden="false" customHeight="false" outlineLevel="0" collapsed="false">
      <c r="A13914" s="0" t="s">
        <v>5561</v>
      </c>
      <c r="B13914" s="0" t="str">
        <f aca="false">HYPERLINK("https://lindat.mff.cuni.cz/services/teitok/pdtc10/index.php?action=vallex&amp;frame=v-whsa_578hsa_579", "míchat se (v-whsa_578hsa_579)")</f>
        <v>míchat se (v-whsa_578hsa_579)</v>
      </c>
    </row>
    <row r="13915" customFormat="false" ht="12.8" hidden="false" customHeight="false" outlineLevel="0" collapsed="false">
      <c r="B13915" s="0" t="s">
        <v>7</v>
      </c>
      <c r="D13915" s="0" t="s">
        <v>4379</v>
      </c>
      <c r="E13915" s="0" t="s">
        <v>4379</v>
      </c>
      <c r="F13915" s="0" t="s">
        <v>4379</v>
      </c>
    </row>
    <row r="13916" customFormat="false" ht="12.8" hidden="false" customHeight="false" outlineLevel="0" collapsed="false">
      <c r="B13916" s="0" t="s">
        <v>985</v>
      </c>
      <c r="C13916" s="0" t="s">
        <v>155</v>
      </c>
      <c r="D13916" s="0" t="s">
        <v>5562</v>
      </c>
      <c r="E13916" s="0" t="s">
        <v>5562</v>
      </c>
      <c r="F13916" s="0" t="s">
        <v>5562</v>
      </c>
    </row>
    <row r="13918" customFormat="false" ht="12.8" hidden="false" customHeight="false" outlineLevel="0" collapsed="false">
      <c r="A13918" s="0" t="s">
        <v>5563</v>
      </c>
      <c r="B13918" s="0" t="str">
        <f aca="false">HYPERLINK("https://lindat.mff.cuni.cz/services/teitok/pdtc10/index.php?action=vallex&amp;frame=v-whsa_578f1_MM", "míchat se (v-whsa_578f1_MM)")</f>
        <v>míchat se (v-whsa_578f1_MM)</v>
      </c>
    </row>
    <row r="13919" customFormat="false" ht="12.8" hidden="false" customHeight="false" outlineLevel="0" collapsed="false">
      <c r="B13919" s="0" t="s">
        <v>7</v>
      </c>
    </row>
    <row r="13920" customFormat="false" ht="12.8" hidden="false" customHeight="false" outlineLevel="0" collapsed="false">
      <c r="B13920" s="0" t="s">
        <v>119</v>
      </c>
    </row>
    <row r="13922" customFormat="false" ht="12.8" hidden="false" customHeight="false" outlineLevel="0" collapsed="false">
      <c r="A13922" s="0" t="s">
        <v>5564</v>
      </c>
      <c r="B13922" s="0" t="str">
        <f aca="false">HYPERLINK("https://lindat.mff.cuni.cz/services/teitok/pdtc10/index.php?action=vallex&amp;frame=v-w1825f1", "míhat se (v-w1825f1)")</f>
        <v>míhat se (v-w1825f1)</v>
      </c>
    </row>
    <row r="13923" customFormat="false" ht="12.8" hidden="false" customHeight="false" outlineLevel="0" collapsed="false">
      <c r="B13923" s="0" t="s">
        <v>7</v>
      </c>
      <c r="F13923" s="0" t="s">
        <v>3768</v>
      </c>
    </row>
    <row r="13925" customFormat="false" ht="12.8" hidden="false" customHeight="false" outlineLevel="0" collapsed="false">
      <c r="A13925" s="0" t="s">
        <v>5565</v>
      </c>
      <c r="B13925" s="0" t="str">
        <f aca="false">HYPERLINK("https://lindat.mff.cuni.cz/services/teitok/pdtc10/index.php?action=vallex&amp;frame=v-w1829f1", "míjet (v-w1829f1)")</f>
        <v>míjet (v-w1829f1)</v>
      </c>
    </row>
    <row r="13926" customFormat="false" ht="12.8" hidden="false" customHeight="false" outlineLevel="0" collapsed="false">
      <c r="B13926" s="0" t="s">
        <v>7</v>
      </c>
      <c r="F13926" s="0" t="s">
        <v>1261</v>
      </c>
    </row>
    <row r="13927" customFormat="false" ht="12.8" hidden="false" customHeight="false" outlineLevel="0" collapsed="false">
      <c r="B13927" s="0" t="s">
        <v>14</v>
      </c>
      <c r="F13927" s="0" t="s">
        <v>74</v>
      </c>
    </row>
    <row r="13929" customFormat="false" ht="12.8" hidden="false" customHeight="false" outlineLevel="0" collapsed="false">
      <c r="A13929" s="0" t="s">
        <v>5566</v>
      </c>
      <c r="B13929" s="0" t="str">
        <f aca="false">HYPERLINK("https://lindat.mff.cuni.cz/services/teitok/pdtc10/index.php?action=vallex&amp;frame=v-w1829f3", "míjet (v-w1829f3)")</f>
        <v>míjet (v-w1829f3)</v>
      </c>
    </row>
    <row r="13930" customFormat="false" ht="12.8" hidden="false" customHeight="false" outlineLevel="0" collapsed="false">
      <c r="B13930" s="0" t="s">
        <v>7</v>
      </c>
      <c r="C13930" s="0" t="s">
        <v>1874</v>
      </c>
      <c r="E13930" s="0" t="s">
        <v>569</v>
      </c>
      <c r="F13930" s="0" t="s">
        <v>569</v>
      </c>
    </row>
    <row r="13931" customFormat="false" ht="12.8" hidden="false" customHeight="false" outlineLevel="0" collapsed="false">
      <c r="B13931" s="0" t="s">
        <v>14</v>
      </c>
      <c r="C13931" s="0" t="s">
        <v>493</v>
      </c>
      <c r="E13931" s="0" t="s">
        <v>1170</v>
      </c>
      <c r="F13931" s="0" t="s">
        <v>1170</v>
      </c>
    </row>
    <row r="13933" customFormat="false" ht="12.8" hidden="false" customHeight="false" outlineLevel="0" collapsed="false">
      <c r="A13933" s="0" t="s">
        <v>5567</v>
      </c>
      <c r="B13933" s="0" t="str">
        <f aca="false">HYPERLINK("https://lindat.mff.cuni.cz/services/teitok/pdtc10/index.php?action=vallex&amp;frame=v-w1829f2", "míjet (v-w1829f2)")</f>
        <v>míjet (v-w1829f2)</v>
      </c>
    </row>
    <row r="13934" customFormat="false" ht="12.8" hidden="false" customHeight="false" outlineLevel="0" collapsed="false">
      <c r="B13934" s="0" t="s">
        <v>7</v>
      </c>
      <c r="F13934" s="0" t="s">
        <v>5375</v>
      </c>
    </row>
    <row r="13936" customFormat="false" ht="12.8" hidden="false" customHeight="false" outlineLevel="0" collapsed="false">
      <c r="A13936" s="0" t="s">
        <v>5568</v>
      </c>
      <c r="B13936" s="0" t="str">
        <f aca="false">HYPERLINK("https://lindat.mff.cuni.cz/services/teitok/pdtc10/index.php?action=vallex&amp;frame=v-w1830f1", "míjet se (v-w1830f1)")</f>
        <v>míjet se (v-w1830f1)</v>
      </c>
    </row>
    <row r="13937" customFormat="false" ht="12.8" hidden="false" customHeight="false" outlineLevel="0" collapsed="false">
      <c r="B13937" s="0" t="s">
        <v>7</v>
      </c>
      <c r="F13937" s="0" t="s">
        <v>569</v>
      </c>
    </row>
    <row r="13938" customFormat="false" ht="12.8" hidden="false" customHeight="false" outlineLevel="0" collapsed="false">
      <c r="B13938" s="0" t="s">
        <v>3760</v>
      </c>
      <c r="F13938" s="0" t="s">
        <v>1170</v>
      </c>
    </row>
    <row r="13940" customFormat="false" ht="12.8" hidden="false" customHeight="false" outlineLevel="0" collapsed="false">
      <c r="A13940" s="0" t="s">
        <v>5569</v>
      </c>
      <c r="B13940" s="0" t="str">
        <f aca="false">HYPERLINK("https://lindat.mff.cuni.cz/services/teitok/pdtc10/index.php?action=vallex&amp;frame=v-w1830hsa_1366", "míjet se (v-w1830hsa_1366)")</f>
        <v>míjet se (v-w1830hsa_1366)</v>
      </c>
    </row>
    <row r="13941" customFormat="false" ht="12.8" hidden="false" customHeight="false" outlineLevel="0" collapsed="false">
      <c r="B13941" s="0" t="s">
        <v>7</v>
      </c>
    </row>
    <row r="13942" customFormat="false" ht="12.8" hidden="false" customHeight="false" outlineLevel="0" collapsed="false">
      <c r="B13942" s="0" t="s">
        <v>548</v>
      </c>
    </row>
    <row r="13944" customFormat="false" ht="12.8" hidden="false" customHeight="false" outlineLevel="0" collapsed="false">
      <c r="A13944" s="0" t="s">
        <v>5570</v>
      </c>
      <c r="B13944" s="0" t="str">
        <f aca="false">HYPERLINK("https://lindat.mff.cuni.cz/services/teitok/pdtc10/index.php?action=vallex&amp;frame=v-w1843f5", "mínit (v-w1843f5)")</f>
        <v>mínit (v-w1843f5)</v>
      </c>
    </row>
    <row r="13945" customFormat="false" ht="12.8" hidden="false" customHeight="false" outlineLevel="0" collapsed="false">
      <c r="B13945" s="0" t="s">
        <v>7</v>
      </c>
      <c r="C13945" s="0" t="s">
        <v>5571</v>
      </c>
      <c r="D13945" s="0" t="s">
        <v>5572</v>
      </c>
      <c r="E13945" s="0" t="s">
        <v>5572</v>
      </c>
      <c r="F13945" s="0" t="s">
        <v>5572</v>
      </c>
    </row>
    <row r="13946" customFormat="false" ht="12.8" hidden="false" customHeight="false" outlineLevel="0" collapsed="false">
      <c r="B13946" s="0" t="s">
        <v>14</v>
      </c>
      <c r="C13946" s="0" t="s">
        <v>5573</v>
      </c>
      <c r="D13946" s="0" t="s">
        <v>5574</v>
      </c>
      <c r="E13946" s="0" t="s">
        <v>5574</v>
      </c>
      <c r="F13946" s="0" t="s">
        <v>5574</v>
      </c>
    </row>
    <row r="13947" customFormat="false" ht="12.8" hidden="false" customHeight="false" outlineLevel="0" collapsed="false">
      <c r="B13947" s="0" t="s">
        <v>5575</v>
      </c>
      <c r="C13947" s="0" t="s">
        <v>5576</v>
      </c>
    </row>
    <row r="13949" customFormat="false" ht="12.8" hidden="false" customHeight="false" outlineLevel="0" collapsed="false">
      <c r="A13949" s="0" t="s">
        <v>5577</v>
      </c>
      <c r="B13949" s="0" t="str">
        <f aca="false">HYPERLINK("https://lindat.mff.cuni.cz/services/teitok/pdtc10/index.php?action=vallex&amp;frame=v-w1843f3", "mínit (v-w1843f3)")</f>
        <v>mínit (v-w1843f3)</v>
      </c>
    </row>
    <row r="13950" customFormat="false" ht="12.8" hidden="false" customHeight="false" outlineLevel="0" collapsed="false">
      <c r="B13950" s="0" t="s">
        <v>7</v>
      </c>
      <c r="C13950" s="0" t="s">
        <v>2736</v>
      </c>
      <c r="D13950" s="0" t="s">
        <v>5572</v>
      </c>
      <c r="E13950" s="0" t="s">
        <v>5572</v>
      </c>
      <c r="F13950" s="0" t="s">
        <v>5572</v>
      </c>
    </row>
    <row r="13951" customFormat="false" ht="12.8" hidden="false" customHeight="false" outlineLevel="0" collapsed="false">
      <c r="B13951" s="0" t="s">
        <v>14</v>
      </c>
      <c r="C13951" s="0" t="s">
        <v>5578</v>
      </c>
      <c r="D13951" s="0" t="s">
        <v>5574</v>
      </c>
      <c r="E13951" s="0" t="s">
        <v>5574</v>
      </c>
      <c r="F13951" s="0" t="s">
        <v>5574</v>
      </c>
    </row>
    <row r="13952" customFormat="false" ht="12.8" hidden="false" customHeight="false" outlineLevel="0" collapsed="false">
      <c r="B13952" s="0" t="s">
        <v>474</v>
      </c>
      <c r="C13952" s="0" t="s">
        <v>5579</v>
      </c>
    </row>
    <row r="13953" customFormat="false" ht="12.8" hidden="false" customHeight="false" outlineLevel="0" collapsed="false">
      <c r="B13953" s="0" t="s">
        <v>479</v>
      </c>
    </row>
    <row r="13954" customFormat="false" ht="12.8" hidden="false" customHeight="false" outlineLevel="0" collapsed="false">
      <c r="B13954" s="0" t="s">
        <v>481</v>
      </c>
    </row>
    <row r="13955" customFormat="false" ht="12.8" hidden="false" customHeight="false" outlineLevel="0" collapsed="false">
      <c r="B13955" s="0" t="s">
        <v>483</v>
      </c>
      <c r="C13955" s="0" t="s">
        <v>5580</v>
      </c>
    </row>
    <row r="13957" customFormat="false" ht="12.8" hidden="false" customHeight="false" outlineLevel="0" collapsed="false">
      <c r="A13957" s="0" t="s">
        <v>5581</v>
      </c>
      <c r="B13957" s="0" t="str">
        <f aca="false">HYPERLINK("https://lindat.mff.cuni.cz/services/teitok/pdtc10/index.php?action=vallex&amp;frame=v-w1843f1", "mínit (v-w1843f1)")</f>
        <v>mínit (v-w1843f1)</v>
      </c>
    </row>
    <row r="13958" customFormat="false" ht="12.8" hidden="false" customHeight="false" outlineLevel="0" collapsed="false">
      <c r="B13958" s="0" t="s">
        <v>7</v>
      </c>
      <c r="C13958" s="0" t="s">
        <v>5582</v>
      </c>
      <c r="D13958" s="0" t="s">
        <v>5583</v>
      </c>
      <c r="E13958" s="0" t="s">
        <v>5583</v>
      </c>
      <c r="F13958" s="0" t="s">
        <v>5583</v>
      </c>
    </row>
    <row r="13959" customFormat="false" ht="12.8" hidden="false" customHeight="false" outlineLevel="0" collapsed="false">
      <c r="B13959" s="0" t="s">
        <v>712</v>
      </c>
      <c r="C13959" s="0" t="s">
        <v>5584</v>
      </c>
      <c r="D13959" s="0" t="s">
        <v>5585</v>
      </c>
      <c r="E13959" s="0" t="s">
        <v>5585</v>
      </c>
      <c r="F13959" s="0" t="s">
        <v>5585</v>
      </c>
    </row>
    <row r="13961" customFormat="false" ht="12.8" hidden="false" customHeight="false" outlineLevel="0" collapsed="false">
      <c r="A13961" s="0" t="s">
        <v>5586</v>
      </c>
      <c r="B13961" s="0" t="str">
        <f aca="false">HYPERLINK("https://lindat.mff.cuni.cz/services/teitok/pdtc10/index.php?action=vallex&amp;frame=v-w1843f2", "mínit (v-w1843f2)")</f>
        <v>mínit (v-w1843f2)</v>
      </c>
    </row>
    <row r="13962" customFormat="false" ht="12.8" hidden="false" customHeight="false" outlineLevel="0" collapsed="false">
      <c r="B13962" s="0" t="s">
        <v>7</v>
      </c>
      <c r="C13962" s="0" t="s">
        <v>3664</v>
      </c>
      <c r="D13962" s="0" t="s">
        <v>2022</v>
      </c>
      <c r="E13962" s="0" t="s">
        <v>2022</v>
      </c>
      <c r="F13962" s="0" t="s">
        <v>2022</v>
      </c>
    </row>
    <row r="13963" customFormat="false" ht="12.8" hidden="false" customHeight="false" outlineLevel="0" collapsed="false">
      <c r="B13963" s="0" t="s">
        <v>2023</v>
      </c>
      <c r="C13963" s="0" t="s">
        <v>5587</v>
      </c>
      <c r="D13963" s="0" t="s">
        <v>2025</v>
      </c>
      <c r="E13963" s="0" t="s">
        <v>2025</v>
      </c>
      <c r="F13963" s="0" t="s">
        <v>2025</v>
      </c>
    </row>
    <row r="13964" customFormat="false" ht="12.8" hidden="false" customHeight="false" outlineLevel="0" collapsed="false">
      <c r="B13964" s="0" t="s">
        <v>363</v>
      </c>
      <c r="D13964" s="0" t="s">
        <v>2027</v>
      </c>
      <c r="E13964" s="0" t="s">
        <v>2027</v>
      </c>
      <c r="F13964" s="0" t="s">
        <v>2027</v>
      </c>
    </row>
    <row r="13966" customFormat="false" ht="12.8" hidden="false" customHeight="false" outlineLevel="0" collapsed="false">
      <c r="A13966" s="0" t="s">
        <v>5588</v>
      </c>
      <c r="B13966" s="0" t="str">
        <f aca="false">HYPERLINK("https://lindat.mff.cuni.cz/services/teitok/pdtc10/index.php?action=vallex&amp;frame=v-w1843f4", "mínit (v-w1843f4)")</f>
        <v>mínit (v-w1843f4)</v>
      </c>
    </row>
    <row r="13967" customFormat="false" ht="12.8" hidden="false" customHeight="false" outlineLevel="0" collapsed="false">
      <c r="B13967" s="0" t="s">
        <v>7</v>
      </c>
    </row>
    <row r="13968" customFormat="false" ht="12.8" hidden="false" customHeight="false" outlineLevel="0" collapsed="false">
      <c r="B13968" s="0" t="s">
        <v>1925</v>
      </c>
      <c r="C13968" s="0" t="s">
        <v>5576</v>
      </c>
    </row>
    <row r="13969" customFormat="false" ht="12.8" hidden="false" customHeight="false" outlineLevel="0" collapsed="false">
      <c r="B13969" s="0" t="s">
        <v>5506</v>
      </c>
      <c r="C13969" s="0" t="s">
        <v>5589</v>
      </c>
    </row>
    <row r="13971" customFormat="false" ht="12.8" hidden="false" customHeight="false" outlineLevel="0" collapsed="false">
      <c r="A13971" s="0" t="s">
        <v>5590</v>
      </c>
      <c r="B13971" s="0" t="str">
        <f aca="false">HYPERLINK("https://lindat.mff.cuni.cz/services/teitok/pdtc10/index.php?action=vallex&amp;frame=v-w1843hsa_907", "mínit (v-w1843hsa_907)")</f>
        <v>mínit (v-w1843hsa_907)</v>
      </c>
    </row>
    <row r="13972" customFormat="false" ht="12.8" hidden="false" customHeight="false" outlineLevel="0" collapsed="false">
      <c r="B13972" s="0" t="s">
        <v>7</v>
      </c>
      <c r="C13972" s="0" t="s">
        <v>5572</v>
      </c>
    </row>
    <row r="13973" customFormat="false" ht="12.8" hidden="false" customHeight="false" outlineLevel="0" collapsed="false">
      <c r="B13973" s="0" t="s">
        <v>14</v>
      </c>
    </row>
    <row r="13974" customFormat="false" ht="12.8" hidden="false" customHeight="false" outlineLevel="0" collapsed="false">
      <c r="B13974" s="0" t="s">
        <v>5591</v>
      </c>
      <c r="C13974" s="0" t="s">
        <v>5592</v>
      </c>
    </row>
    <row r="13976" customFormat="false" ht="12.8" hidden="false" customHeight="false" outlineLevel="0" collapsed="false">
      <c r="A13976" s="0" t="s">
        <v>5593</v>
      </c>
      <c r="B13976" s="0" t="str">
        <f aca="false">HYPERLINK("https://lindat.mff.cuni.cz/services/teitok/pdtc10/index.php?action=vallex&amp;frame=v-w10977f2", "mírnit (v-w10977f2)")</f>
        <v>mírnit (v-w10977f2)</v>
      </c>
    </row>
    <row r="13977" customFormat="false" ht="12.8" hidden="false" customHeight="false" outlineLevel="0" collapsed="false">
      <c r="B13977" s="0" t="s">
        <v>7</v>
      </c>
      <c r="C13977" s="0" t="s">
        <v>5594</v>
      </c>
      <c r="D13977" s="0" t="s">
        <v>1624</v>
      </c>
      <c r="E13977" s="0" t="s">
        <v>1624</v>
      </c>
      <c r="F13977" s="0" t="s">
        <v>1624</v>
      </c>
    </row>
    <row r="13978" customFormat="false" ht="12.8" hidden="false" customHeight="false" outlineLevel="0" collapsed="false">
      <c r="B13978" s="0" t="s">
        <v>14</v>
      </c>
      <c r="C13978" s="0" t="s">
        <v>5595</v>
      </c>
      <c r="D13978" s="0" t="s">
        <v>4345</v>
      </c>
      <c r="E13978" s="0" t="s">
        <v>4345</v>
      </c>
      <c r="F13978" s="0" t="s">
        <v>4345</v>
      </c>
    </row>
    <row r="13980" customFormat="false" ht="12.8" hidden="false" customHeight="false" outlineLevel="0" collapsed="false">
      <c r="A13980" s="0" t="s">
        <v>5596</v>
      </c>
      <c r="B13980" s="0" t="str">
        <f aca="false">HYPERLINK("https://lindat.mff.cuni.cz/services/teitok/pdtc10/index.php?action=vallex&amp;frame=v-w11432f1", "mírnit se (v-w11432f1)")</f>
        <v>mírnit se (v-w11432f1)</v>
      </c>
    </row>
    <row r="13981" customFormat="false" ht="12.8" hidden="false" customHeight="false" outlineLevel="0" collapsed="false">
      <c r="B13981" s="0" t="s">
        <v>7</v>
      </c>
    </row>
    <row r="13983" customFormat="false" ht="12.8" hidden="false" customHeight="false" outlineLevel="0" collapsed="false">
      <c r="A13983" s="0" t="s">
        <v>5597</v>
      </c>
      <c r="B13983" s="0" t="str">
        <f aca="false">HYPERLINK("https://lindat.mff.cuni.cz/services/teitok/pdtc10/index.php?action=vallex&amp;frame=v-w11432f2_ZU", "mírnit se (v-w11432f2_ZU)")</f>
        <v>mírnit se (v-w11432f2_ZU)</v>
      </c>
    </row>
    <row r="13984" customFormat="false" ht="12.8" hidden="false" customHeight="false" outlineLevel="0" collapsed="false">
      <c r="B13984" s="0" t="s">
        <v>7</v>
      </c>
    </row>
    <row r="13986" customFormat="false" ht="12.8" hidden="false" customHeight="false" outlineLevel="0" collapsed="false">
      <c r="A13986" s="0" t="s">
        <v>5598</v>
      </c>
      <c r="B13986" s="0" t="str">
        <f aca="false">HYPERLINK("https://lindat.mff.cuni.cz/services/teitok/pdtc10/index.php?action=vallex&amp;frame=v-w1848f1", "mísit (v-w1848f1)")</f>
        <v>mísit (v-w1848f1)</v>
      </c>
    </row>
    <row r="13987" customFormat="false" ht="12.8" hidden="false" customHeight="false" outlineLevel="0" collapsed="false">
      <c r="B13987" s="0" t="s">
        <v>7</v>
      </c>
    </row>
    <row r="13988" customFormat="false" ht="12.8" hidden="false" customHeight="false" outlineLevel="0" collapsed="false">
      <c r="B13988" s="0" t="s">
        <v>14</v>
      </c>
    </row>
    <row r="13989" customFormat="false" ht="12.8" hidden="false" customHeight="false" outlineLevel="0" collapsed="false">
      <c r="B13989" s="0" t="s">
        <v>3086</v>
      </c>
    </row>
    <row r="13991" customFormat="false" ht="12.8" hidden="false" customHeight="false" outlineLevel="0" collapsed="false">
      <c r="A13991" s="0" t="s">
        <v>5599</v>
      </c>
      <c r="B13991" s="0" t="str">
        <f aca="false">HYPERLINK("https://lindat.mff.cuni.cz/services/teitok/pdtc10/index.php?action=vallex&amp;frame=v-w1848f2", "mísit (v-w1848f2)")</f>
        <v>mísit (v-w1848f2)</v>
      </c>
    </row>
    <row r="13992" customFormat="false" ht="12.8" hidden="false" customHeight="false" outlineLevel="0" collapsed="false">
      <c r="B13992" s="0" t="s">
        <v>7</v>
      </c>
    </row>
    <row r="13993" customFormat="false" ht="12.8" hidden="false" customHeight="false" outlineLevel="0" collapsed="false">
      <c r="B13993" s="0" t="s">
        <v>14</v>
      </c>
    </row>
    <row r="13995" customFormat="false" ht="12.8" hidden="false" customHeight="false" outlineLevel="0" collapsed="false">
      <c r="A13995" s="0" t="s">
        <v>5600</v>
      </c>
      <c r="B13995" s="0" t="str">
        <f aca="false">HYPERLINK("https://lindat.mff.cuni.cz/services/teitok/pdtc10/index.php?action=vallex&amp;frame=v-w1849f2", "mísit se (v-w1849f2)")</f>
        <v>mísit se (v-w1849f2)</v>
      </c>
    </row>
    <row r="13996" customFormat="false" ht="12.8" hidden="false" customHeight="false" outlineLevel="0" collapsed="false">
      <c r="B13996" s="0" t="s">
        <v>7</v>
      </c>
    </row>
    <row r="13997" customFormat="false" ht="12.8" hidden="false" customHeight="false" outlineLevel="0" collapsed="false">
      <c r="B13997" s="0" t="s">
        <v>985</v>
      </c>
    </row>
    <row r="13999" customFormat="false" ht="12.8" hidden="false" customHeight="false" outlineLevel="0" collapsed="false">
      <c r="A13999" s="0" t="s">
        <v>5601</v>
      </c>
      <c r="B13999" s="0" t="str">
        <f aca="false">HYPERLINK("https://lindat.mff.cuni.cz/services/teitok/pdtc10/index.php?action=vallex&amp;frame=v-w1849f1", "mísit se (v-w1849f1)")</f>
        <v>mísit se (v-w1849f1)</v>
      </c>
    </row>
    <row r="14000" customFormat="false" ht="12.8" hidden="false" customHeight="false" outlineLevel="0" collapsed="false">
      <c r="B14000" s="0" t="s">
        <v>7</v>
      </c>
      <c r="C14000" s="0" t="s">
        <v>191</v>
      </c>
      <c r="D14000" s="0" t="s">
        <v>5009</v>
      </c>
      <c r="E14000" s="0" t="s">
        <v>5009</v>
      </c>
      <c r="F14000" s="0" t="s">
        <v>5009</v>
      </c>
    </row>
    <row r="14001" customFormat="false" ht="12.8" hidden="false" customHeight="false" outlineLevel="0" collapsed="false">
      <c r="B14001" s="0" t="s">
        <v>548</v>
      </c>
      <c r="C14001" s="0" t="s">
        <v>155</v>
      </c>
      <c r="D14001" s="0" t="s">
        <v>115</v>
      </c>
      <c r="E14001" s="0" t="s">
        <v>115</v>
      </c>
      <c r="F14001" s="0" t="s">
        <v>115</v>
      </c>
    </row>
    <row r="14003" customFormat="false" ht="12.8" hidden="false" customHeight="false" outlineLevel="0" collapsed="false">
      <c r="A14003" s="0" t="s">
        <v>5602</v>
      </c>
      <c r="B14003" s="0" t="str">
        <f aca="false">HYPERLINK("https://lindat.mff.cuni.cz/services/teitok/pdtc10/index.php?action=vallex&amp;frame=v-w1855f300_ZU", "mít (v-w1855f300_ZU)")</f>
        <v>mít (v-w1855f300_ZU)</v>
      </c>
    </row>
    <row r="14004" customFormat="false" ht="12.8" hidden="false" customHeight="false" outlineLevel="0" collapsed="false">
      <c r="B14004" s="0" t="s">
        <v>7</v>
      </c>
    </row>
    <row r="14005" customFormat="false" ht="12.8" hidden="false" customHeight="false" outlineLevel="0" collapsed="false">
      <c r="B14005" s="0" t="s">
        <v>237</v>
      </c>
    </row>
    <row r="14006" customFormat="false" ht="12.8" hidden="false" customHeight="false" outlineLevel="0" collapsed="false">
      <c r="B14006" s="0" t="s">
        <v>81</v>
      </c>
    </row>
    <row r="14008" customFormat="false" ht="12.8" hidden="false" customHeight="false" outlineLevel="0" collapsed="false">
      <c r="A14008" s="0" t="s">
        <v>5602</v>
      </c>
      <c r="B14008" s="0" t="str">
        <f aca="false">HYPERLINK("https://lindat.mff.cuni.cz/services/teitok/pdtc10/index.php?action=vallex&amp;frame=v-w1855f299_ZU", "mít (v-w1855f299_ZU) - substituted with v-w1855f300_ZU")</f>
        <v>mít (v-w1855f299_ZU) - substituted with v-w1855f300_ZU</v>
      </c>
    </row>
    <row r="14009" customFormat="false" ht="12.8" hidden="false" customHeight="false" outlineLevel="0" collapsed="false">
      <c r="B14009" s="0" t="s">
        <v>7</v>
      </c>
    </row>
    <row r="14010" customFormat="false" ht="12.8" hidden="false" customHeight="false" outlineLevel="0" collapsed="false">
      <c r="B14010" s="0" t="s">
        <v>237</v>
      </c>
    </row>
    <row r="14011" customFormat="false" ht="12.8" hidden="false" customHeight="false" outlineLevel="0" collapsed="false">
      <c r="B14011" s="0" t="s">
        <v>81</v>
      </c>
    </row>
    <row r="14013" customFormat="false" ht="12.8" hidden="false" customHeight="false" outlineLevel="0" collapsed="false">
      <c r="A14013" s="0" t="s">
        <v>5602</v>
      </c>
      <c r="B14013" s="0" t="str">
        <f aca="false">HYPERLINK("https://lindat.mff.cuni.cz/services/teitok/pdtc10/index.php?action=vallex&amp;frame=v-w1855f72", "mít (v-w1855f72) - substituted with v-w1855f300_ZU")</f>
        <v>mít (v-w1855f72) - substituted with v-w1855f300_ZU</v>
      </c>
    </row>
    <row r="14014" customFormat="false" ht="12.8" hidden="false" customHeight="false" outlineLevel="0" collapsed="false">
      <c r="B14014" s="0" t="s">
        <v>7</v>
      </c>
    </row>
    <row r="14015" customFormat="false" ht="12.8" hidden="false" customHeight="false" outlineLevel="0" collapsed="false">
      <c r="B14015" s="0" t="s">
        <v>237</v>
      </c>
    </row>
    <row r="14016" customFormat="false" ht="12.8" hidden="false" customHeight="false" outlineLevel="0" collapsed="false">
      <c r="B14016" s="0" t="s">
        <v>81</v>
      </c>
    </row>
    <row r="14018" customFormat="false" ht="12.8" hidden="false" customHeight="false" outlineLevel="0" collapsed="false">
      <c r="A14018" s="0" t="s">
        <v>5603</v>
      </c>
      <c r="B14018" s="0" t="str">
        <f aca="false">HYPERLINK("https://lindat.mff.cuni.cz/services/teitok/pdtc10/index.php?action=vallex&amp;frame=v-w1855f322_ZU", "mít (v-w1855f322_ZU)")</f>
        <v>mít (v-w1855f322_ZU)</v>
      </c>
    </row>
    <row r="14019" customFormat="false" ht="12.8" hidden="false" customHeight="false" outlineLevel="0" collapsed="false">
      <c r="B14019" s="0" t="s">
        <v>7</v>
      </c>
    </row>
    <row r="14020" customFormat="false" ht="12.8" hidden="false" customHeight="false" outlineLevel="0" collapsed="false">
      <c r="B14020" s="0" t="s">
        <v>14</v>
      </c>
    </row>
    <row r="14021" customFormat="false" ht="12.8" hidden="false" customHeight="false" outlineLevel="0" collapsed="false">
      <c r="B14021" s="0" t="s">
        <v>1349</v>
      </c>
    </row>
    <row r="14023" customFormat="false" ht="12.8" hidden="false" customHeight="false" outlineLevel="0" collapsed="false">
      <c r="A14023" s="0" t="s">
        <v>5603</v>
      </c>
      <c r="B14023" s="0" t="str">
        <f aca="false">HYPERLINK("https://lindat.mff.cuni.cz/services/teitok/pdtc10/index.php?action=vallex&amp;frame=v-w1855f272_ZU", "mít (v-w1855f272_ZU) - substituted with v-w1855f322_ZU")</f>
        <v>mít (v-w1855f272_ZU) - substituted with v-w1855f322_ZU</v>
      </c>
    </row>
    <row r="14024" customFormat="false" ht="12.8" hidden="false" customHeight="false" outlineLevel="0" collapsed="false">
      <c r="B14024" s="0" t="s">
        <v>7</v>
      </c>
    </row>
    <row r="14025" customFormat="false" ht="12.8" hidden="false" customHeight="false" outlineLevel="0" collapsed="false">
      <c r="B14025" s="0" t="s">
        <v>14</v>
      </c>
    </row>
    <row r="14026" customFormat="false" ht="12.8" hidden="false" customHeight="false" outlineLevel="0" collapsed="false">
      <c r="B14026" s="0" t="s">
        <v>1349</v>
      </c>
    </row>
    <row r="14028" customFormat="false" ht="12.8" hidden="false" customHeight="false" outlineLevel="0" collapsed="false">
      <c r="A14028" s="0" t="s">
        <v>5603</v>
      </c>
      <c r="B14028" s="0" t="str">
        <f aca="false">HYPERLINK("https://lindat.mff.cuni.cz/services/teitok/pdtc10/index.php?action=vallex&amp;frame=v-w1855f273_ZU", "mít (v-w1855f273_ZU) - substituted with v-w1855f322_ZU")</f>
        <v>mít (v-w1855f273_ZU) - substituted with v-w1855f322_ZU</v>
      </c>
    </row>
    <row r="14029" customFormat="false" ht="12.8" hidden="false" customHeight="false" outlineLevel="0" collapsed="false">
      <c r="B14029" s="0" t="s">
        <v>7</v>
      </c>
    </row>
    <row r="14030" customFormat="false" ht="12.8" hidden="false" customHeight="false" outlineLevel="0" collapsed="false">
      <c r="B14030" s="0" t="s">
        <v>14</v>
      </c>
    </row>
    <row r="14031" customFormat="false" ht="12.8" hidden="false" customHeight="false" outlineLevel="0" collapsed="false">
      <c r="B14031" s="0" t="s">
        <v>1349</v>
      </c>
    </row>
    <row r="14033" customFormat="false" ht="12.8" hidden="false" customHeight="false" outlineLevel="0" collapsed="false">
      <c r="A14033" s="0" t="s">
        <v>5603</v>
      </c>
      <c r="B14033" s="0" t="str">
        <f aca="false">HYPERLINK("https://lindat.mff.cuni.cz/services/teitok/pdtc10/index.php?action=vallex&amp;frame=v-w1855f275_ZU", "mít (v-w1855f275_ZU) - substituted with v-w1855f322_ZU")</f>
        <v>mít (v-w1855f275_ZU) - substituted with v-w1855f322_ZU</v>
      </c>
    </row>
    <row r="14034" customFormat="false" ht="12.8" hidden="false" customHeight="false" outlineLevel="0" collapsed="false">
      <c r="B14034" s="0" t="s">
        <v>7</v>
      </c>
    </row>
    <row r="14035" customFormat="false" ht="12.8" hidden="false" customHeight="false" outlineLevel="0" collapsed="false">
      <c r="B14035" s="0" t="s">
        <v>14</v>
      </c>
    </row>
    <row r="14036" customFormat="false" ht="12.8" hidden="false" customHeight="false" outlineLevel="0" collapsed="false">
      <c r="B14036" s="0" t="s">
        <v>1349</v>
      </c>
    </row>
    <row r="14038" customFormat="false" ht="12.8" hidden="false" customHeight="false" outlineLevel="0" collapsed="false">
      <c r="A14038" s="0" t="s">
        <v>5603</v>
      </c>
      <c r="B14038" s="0" t="str">
        <f aca="false">HYPERLINK("https://lindat.mff.cuni.cz/services/teitok/pdtc10/index.php?action=vallex&amp;frame=v-w1855f3", "mít (v-w1855f3) - substituted with v-w1855f322_ZU")</f>
        <v>mít (v-w1855f3) - substituted with v-w1855f322_ZU</v>
      </c>
    </row>
    <row r="14039" customFormat="false" ht="12.8" hidden="false" customHeight="false" outlineLevel="0" collapsed="false">
      <c r="B14039" s="0" t="s">
        <v>7</v>
      </c>
      <c r="C14039" s="0" t="s">
        <v>5604</v>
      </c>
    </row>
    <row r="14040" customFormat="false" ht="12.8" hidden="false" customHeight="false" outlineLevel="0" collapsed="false">
      <c r="B14040" s="0" t="s">
        <v>14</v>
      </c>
      <c r="C14040" s="0" t="s">
        <v>5605</v>
      </c>
    </row>
    <row r="14041" customFormat="false" ht="12.8" hidden="false" customHeight="false" outlineLevel="0" collapsed="false">
      <c r="B14041" s="0" t="s">
        <v>1349</v>
      </c>
      <c r="C14041" s="0" t="s">
        <v>5606</v>
      </c>
    </row>
    <row r="14043" customFormat="false" ht="12.8" hidden="false" customHeight="false" outlineLevel="0" collapsed="false">
      <c r="A14043" s="0" t="s">
        <v>5603</v>
      </c>
      <c r="B14043" s="0" t="str">
        <f aca="false">HYPERLINK("https://lindat.mff.cuni.cz/services/teitok/pdtc10/index.php?action=vallex&amp;frame=v-w1855f308_ZU", "mít (v-w1855f308_ZU) - substituted with v-w1855f322_ZU")</f>
        <v>mít (v-w1855f308_ZU) - substituted with v-w1855f322_ZU</v>
      </c>
    </row>
    <row r="14044" customFormat="false" ht="12.8" hidden="false" customHeight="false" outlineLevel="0" collapsed="false">
      <c r="B14044" s="0" t="s">
        <v>7</v>
      </c>
    </row>
    <row r="14045" customFormat="false" ht="12.8" hidden="false" customHeight="false" outlineLevel="0" collapsed="false">
      <c r="B14045" s="0" t="s">
        <v>14</v>
      </c>
    </row>
    <row r="14046" customFormat="false" ht="12.8" hidden="false" customHeight="false" outlineLevel="0" collapsed="false">
      <c r="B14046" s="0" t="s">
        <v>1349</v>
      </c>
    </row>
    <row r="14048" customFormat="false" ht="12.8" hidden="false" customHeight="false" outlineLevel="0" collapsed="false">
      <c r="A14048" s="0" t="s">
        <v>5603</v>
      </c>
      <c r="B14048" s="0" t="str">
        <f aca="false">HYPERLINK("https://lindat.mff.cuni.cz/services/teitok/pdtc10/index.php?action=vallex&amp;frame=v-w1855f313_ZU", "mít (v-w1855f313_ZU) - substituted with v-w1855f322_ZU")</f>
        <v>mít (v-w1855f313_ZU) - substituted with v-w1855f322_ZU</v>
      </c>
    </row>
    <row r="14049" customFormat="false" ht="12.8" hidden="false" customHeight="false" outlineLevel="0" collapsed="false">
      <c r="B14049" s="0" t="s">
        <v>7</v>
      </c>
    </row>
    <row r="14050" customFormat="false" ht="12.8" hidden="false" customHeight="false" outlineLevel="0" collapsed="false">
      <c r="B14050" s="0" t="s">
        <v>14</v>
      </c>
    </row>
    <row r="14051" customFormat="false" ht="12.8" hidden="false" customHeight="false" outlineLevel="0" collapsed="false">
      <c r="B14051" s="0" t="s">
        <v>1349</v>
      </c>
    </row>
    <row r="14053" customFormat="false" ht="12.8" hidden="false" customHeight="false" outlineLevel="0" collapsed="false">
      <c r="A14053" s="0" t="s">
        <v>5603</v>
      </c>
      <c r="B14053" s="0" t="str">
        <f aca="false">HYPERLINK("https://lindat.mff.cuni.cz/services/teitok/pdtc10/index.php?action=vallex&amp;frame=v-w1855f319_ZU", "mít (v-w1855f319_ZU) - substituted with v-w1855f322_ZU")</f>
        <v>mít (v-w1855f319_ZU) - substituted with v-w1855f322_ZU</v>
      </c>
    </row>
    <row r="14054" customFormat="false" ht="12.8" hidden="false" customHeight="false" outlineLevel="0" collapsed="false">
      <c r="B14054" s="0" t="s">
        <v>7</v>
      </c>
    </row>
    <row r="14055" customFormat="false" ht="12.8" hidden="false" customHeight="false" outlineLevel="0" collapsed="false">
      <c r="B14055" s="0" t="s">
        <v>14</v>
      </c>
    </row>
    <row r="14056" customFormat="false" ht="12.8" hidden="false" customHeight="false" outlineLevel="0" collapsed="false">
      <c r="B14056" s="0" t="s">
        <v>1349</v>
      </c>
    </row>
    <row r="14058" customFormat="false" ht="12.8" hidden="false" customHeight="false" outlineLevel="0" collapsed="false">
      <c r="A14058" s="0" t="s">
        <v>5603</v>
      </c>
      <c r="B14058" s="0" t="str">
        <f aca="false">HYPERLINK("https://lindat.mff.cuni.cz/services/teitok/pdtc10/index.php?action=vallex&amp;frame=v-w1855f321_ZU", "mít (v-w1855f321_ZU) - substituted with v-w1855f322_ZU")</f>
        <v>mít (v-w1855f321_ZU) - substituted with v-w1855f322_ZU</v>
      </c>
    </row>
    <row r="14059" customFormat="false" ht="12.8" hidden="false" customHeight="false" outlineLevel="0" collapsed="false">
      <c r="B14059" s="0" t="s">
        <v>7</v>
      </c>
    </row>
    <row r="14060" customFormat="false" ht="12.8" hidden="false" customHeight="false" outlineLevel="0" collapsed="false">
      <c r="B14060" s="0" t="s">
        <v>14</v>
      </c>
    </row>
    <row r="14061" customFormat="false" ht="12.8" hidden="false" customHeight="false" outlineLevel="0" collapsed="false">
      <c r="B14061" s="0" t="s">
        <v>1349</v>
      </c>
    </row>
    <row r="14063" customFormat="false" ht="12.8" hidden="false" customHeight="false" outlineLevel="0" collapsed="false">
      <c r="A14063" s="0" t="s">
        <v>5607</v>
      </c>
      <c r="B14063" s="0" t="str">
        <f aca="false">HYPERLINK("https://lindat.mff.cuni.cz/services/teitok/pdtc10/index.php?action=vallex&amp;frame=v-w1855f81", "mít (v-w1855f81)")</f>
        <v>mít (v-w1855f81)</v>
      </c>
    </row>
    <row r="14064" customFormat="false" ht="12.8" hidden="false" customHeight="false" outlineLevel="0" collapsed="false">
      <c r="B14064" s="0" t="s">
        <v>7</v>
      </c>
      <c r="C14064" s="0" t="s">
        <v>5608</v>
      </c>
    </row>
    <row r="14065" customFormat="false" ht="12.8" hidden="false" customHeight="false" outlineLevel="0" collapsed="false">
      <c r="B14065" s="0" t="s">
        <v>2313</v>
      </c>
      <c r="C14065" s="0" t="s">
        <v>5609</v>
      </c>
    </row>
    <row r="14066" customFormat="false" ht="12.8" hidden="false" customHeight="false" outlineLevel="0" collapsed="false">
      <c r="B14066" s="0" t="s">
        <v>2314</v>
      </c>
      <c r="C14066" s="0" t="s">
        <v>5610</v>
      </c>
    </row>
    <row r="14067" customFormat="false" ht="12.8" hidden="false" customHeight="false" outlineLevel="0" collapsed="false">
      <c r="B14067" s="0" t="s">
        <v>441</v>
      </c>
    </row>
    <row r="14069" customFormat="false" ht="12.8" hidden="false" customHeight="false" outlineLevel="0" collapsed="false">
      <c r="A14069" s="0" t="s">
        <v>5611</v>
      </c>
      <c r="B14069" s="0" t="str">
        <f aca="false">HYPERLINK("https://lindat.mff.cuni.cz/services/teitok/pdtc10/index.php?action=vallex&amp;frame=v-w1855f307_ZU", "mít (v-w1855f307_ZU)")</f>
        <v>mít (v-w1855f307_ZU)</v>
      </c>
    </row>
    <row r="14070" customFormat="false" ht="12.8" hidden="false" customHeight="false" outlineLevel="0" collapsed="false">
      <c r="B14070" s="0" t="s">
        <v>7</v>
      </c>
    </row>
    <row r="14071" customFormat="false" ht="12.8" hidden="false" customHeight="false" outlineLevel="0" collapsed="false">
      <c r="B14071" s="0" t="s">
        <v>306</v>
      </c>
    </row>
    <row r="14072" customFormat="false" ht="12.8" hidden="false" customHeight="false" outlineLevel="0" collapsed="false">
      <c r="B14072" s="0" t="s">
        <v>5612</v>
      </c>
    </row>
    <row r="14074" customFormat="false" ht="12.8" hidden="false" customHeight="false" outlineLevel="0" collapsed="false">
      <c r="A14074" s="0" t="s">
        <v>5611</v>
      </c>
      <c r="B14074" s="0" t="str">
        <f aca="false">HYPERLINK("https://lindat.mff.cuni.cz/services/teitok/pdtc10/index.php?action=vallex&amp;frame=v-w1855f208_ZU", "mít (v-w1855f208_ZU) - substituted with v-w1855f307_ZU")</f>
        <v>mít (v-w1855f208_ZU) - substituted with v-w1855f307_ZU</v>
      </c>
    </row>
    <row r="14075" customFormat="false" ht="12.8" hidden="false" customHeight="false" outlineLevel="0" collapsed="false">
      <c r="B14075" s="0" t="s">
        <v>7</v>
      </c>
    </row>
    <row r="14076" customFormat="false" ht="12.8" hidden="false" customHeight="false" outlineLevel="0" collapsed="false">
      <c r="B14076" s="0" t="s">
        <v>306</v>
      </c>
    </row>
    <row r="14077" customFormat="false" ht="12.8" hidden="false" customHeight="false" outlineLevel="0" collapsed="false">
      <c r="B14077" s="0" t="s">
        <v>5612</v>
      </c>
    </row>
    <row r="14079" customFormat="false" ht="12.8" hidden="false" customHeight="false" outlineLevel="0" collapsed="false">
      <c r="A14079" s="0" t="s">
        <v>5611</v>
      </c>
      <c r="B14079" s="0" t="str">
        <f aca="false">HYPERLINK("https://lindat.mff.cuni.cz/services/teitok/pdtc10/index.php?action=vallex&amp;frame=v-w1855f30", "mít (v-w1855f30) - substituted with v-w1855f307_ZU")</f>
        <v>mít (v-w1855f30) - substituted with v-w1855f307_ZU</v>
      </c>
    </row>
    <row r="14080" customFormat="false" ht="12.8" hidden="false" customHeight="false" outlineLevel="0" collapsed="false">
      <c r="B14080" s="0" t="s">
        <v>7</v>
      </c>
    </row>
    <row r="14081" customFormat="false" ht="12.8" hidden="false" customHeight="false" outlineLevel="0" collapsed="false">
      <c r="B14081" s="0" t="s">
        <v>306</v>
      </c>
    </row>
    <row r="14082" customFormat="false" ht="12.8" hidden="false" customHeight="false" outlineLevel="0" collapsed="false">
      <c r="B14082" s="0" t="s">
        <v>5612</v>
      </c>
    </row>
    <row r="14084" customFormat="false" ht="12.8" hidden="false" customHeight="false" outlineLevel="0" collapsed="false">
      <c r="A14084" s="0" t="s">
        <v>5611</v>
      </c>
      <c r="B14084" s="0" t="str">
        <f aca="false">HYPERLINK("https://lindat.mff.cuni.cz/services/teitok/pdtc10/index.php?action=vallex&amp;frame=v-w1855hsa_1108", "mít (v-w1855hsa_1108) - substituted with v-w1855f307_ZU")</f>
        <v>mít (v-w1855hsa_1108) - substituted with v-w1855f307_ZU</v>
      </c>
    </row>
    <row r="14085" customFormat="false" ht="12.8" hidden="false" customHeight="false" outlineLevel="0" collapsed="false">
      <c r="B14085" s="0" t="s">
        <v>7</v>
      </c>
    </row>
    <row r="14086" customFormat="false" ht="12.8" hidden="false" customHeight="false" outlineLevel="0" collapsed="false">
      <c r="B14086" s="0" t="s">
        <v>306</v>
      </c>
    </row>
    <row r="14087" customFormat="false" ht="12.8" hidden="false" customHeight="false" outlineLevel="0" collapsed="false">
      <c r="B14087" s="0" t="s">
        <v>5612</v>
      </c>
    </row>
    <row r="14089" customFormat="false" ht="12.8" hidden="false" customHeight="false" outlineLevel="0" collapsed="false">
      <c r="A14089" s="0" t="s">
        <v>5613</v>
      </c>
      <c r="B14089" s="0" t="str">
        <f aca="false">HYPERLINK("https://lindat.mff.cuni.cz/services/teitok/pdtc10/index.php?action=vallex&amp;frame=v-w1855f345_MM", "mít (v-w1855f345_MM)")</f>
        <v>mít (v-w1855f345_MM)</v>
      </c>
    </row>
    <row r="14090" customFormat="false" ht="12.8" hidden="false" customHeight="false" outlineLevel="0" collapsed="false">
      <c r="B14090" s="0" t="s">
        <v>7</v>
      </c>
    </row>
    <row r="14091" customFormat="false" ht="12.8" hidden="false" customHeight="false" outlineLevel="0" collapsed="false">
      <c r="B14091" s="0" t="s">
        <v>172</v>
      </c>
    </row>
    <row r="14092" customFormat="false" ht="12.8" hidden="false" customHeight="false" outlineLevel="0" collapsed="false">
      <c r="B14092" s="0" t="s">
        <v>5614</v>
      </c>
    </row>
    <row r="14094" customFormat="false" ht="12.8" hidden="false" customHeight="false" outlineLevel="0" collapsed="false">
      <c r="A14094" s="0" t="s">
        <v>5613</v>
      </c>
      <c r="B14094" s="0" t="str">
        <f aca="false">HYPERLINK("https://lindat.mff.cuni.cz/services/teitok/pdtc10/index.php?action=vallex&amp;frame=v-w1855f241_ZU", "mít (v-w1855f241_ZU) - substituted with v-w1855f345_MM")</f>
        <v>mít (v-w1855f241_ZU) - substituted with v-w1855f345_MM</v>
      </c>
    </row>
    <row r="14095" customFormat="false" ht="12.8" hidden="false" customHeight="false" outlineLevel="0" collapsed="false">
      <c r="B14095" s="0" t="s">
        <v>7</v>
      </c>
    </row>
    <row r="14096" customFormat="false" ht="12.8" hidden="false" customHeight="false" outlineLevel="0" collapsed="false">
      <c r="B14096" s="0" t="s">
        <v>172</v>
      </c>
    </row>
    <row r="14097" customFormat="false" ht="12.8" hidden="false" customHeight="false" outlineLevel="0" collapsed="false">
      <c r="B14097" s="0" t="s">
        <v>5614</v>
      </c>
    </row>
    <row r="14099" customFormat="false" ht="12.8" hidden="false" customHeight="false" outlineLevel="0" collapsed="false">
      <c r="A14099" s="0" t="s">
        <v>5613</v>
      </c>
      <c r="B14099" s="0" t="str">
        <f aca="false">HYPERLINK("https://lindat.mff.cuni.cz/services/teitok/pdtc10/index.php?action=vallex&amp;frame=v-w1855f282_ZU", "mít (v-w1855f282_ZU) - substituted with v-w1855f345_MM")</f>
        <v>mít (v-w1855f282_ZU) - substituted with v-w1855f345_MM</v>
      </c>
    </row>
    <row r="14100" customFormat="false" ht="12.8" hidden="false" customHeight="false" outlineLevel="0" collapsed="false">
      <c r="B14100" s="0" t="s">
        <v>7</v>
      </c>
    </row>
    <row r="14101" customFormat="false" ht="12.8" hidden="false" customHeight="false" outlineLevel="0" collapsed="false">
      <c r="B14101" s="0" t="s">
        <v>172</v>
      </c>
    </row>
    <row r="14102" customFormat="false" ht="12.8" hidden="false" customHeight="false" outlineLevel="0" collapsed="false">
      <c r="B14102" s="0" t="s">
        <v>5614</v>
      </c>
    </row>
    <row r="14104" customFormat="false" ht="12.8" hidden="false" customHeight="false" outlineLevel="0" collapsed="false">
      <c r="A14104" s="0" t="s">
        <v>5613</v>
      </c>
      <c r="B14104" s="0" t="str">
        <f aca="false">HYPERLINK("https://lindat.mff.cuni.cz/services/teitok/pdtc10/index.php?action=vallex&amp;frame=v-w1855f318_ZU", "mít (v-w1855f318_ZU) - substituted with v-w1855f345_MM")</f>
        <v>mít (v-w1855f318_ZU) - substituted with v-w1855f345_MM</v>
      </c>
    </row>
    <row r="14105" customFormat="false" ht="12.8" hidden="false" customHeight="false" outlineLevel="0" collapsed="false">
      <c r="B14105" s="0" t="s">
        <v>7</v>
      </c>
    </row>
    <row r="14106" customFormat="false" ht="12.8" hidden="false" customHeight="false" outlineLevel="0" collapsed="false">
      <c r="B14106" s="0" t="s">
        <v>172</v>
      </c>
    </row>
    <row r="14107" customFormat="false" ht="12.8" hidden="false" customHeight="false" outlineLevel="0" collapsed="false">
      <c r="B14107" s="0" t="s">
        <v>5614</v>
      </c>
    </row>
    <row r="14109" customFormat="false" ht="12.8" hidden="false" customHeight="false" outlineLevel="0" collapsed="false">
      <c r="A14109" s="0" t="s">
        <v>5613</v>
      </c>
      <c r="B14109" s="0" t="str">
        <f aca="false">HYPERLINK("https://lindat.mff.cuni.cz/services/teitok/pdtc10/index.php?action=vallex&amp;frame=v-w1855f337_ZU", "mít (v-w1855f337_ZU) - substituted with v-w1855f345_MM")</f>
        <v>mít (v-w1855f337_ZU) - substituted with v-w1855f345_MM</v>
      </c>
    </row>
    <row r="14110" customFormat="false" ht="12.8" hidden="false" customHeight="false" outlineLevel="0" collapsed="false">
      <c r="B14110" s="0" t="s">
        <v>7</v>
      </c>
    </row>
    <row r="14111" customFormat="false" ht="12.8" hidden="false" customHeight="false" outlineLevel="0" collapsed="false">
      <c r="B14111" s="0" t="s">
        <v>172</v>
      </c>
    </row>
    <row r="14112" customFormat="false" ht="12.8" hidden="false" customHeight="false" outlineLevel="0" collapsed="false">
      <c r="B14112" s="0" t="s">
        <v>5614</v>
      </c>
    </row>
    <row r="14114" customFormat="false" ht="12.8" hidden="false" customHeight="false" outlineLevel="0" collapsed="false">
      <c r="A14114" s="0" t="s">
        <v>5613</v>
      </c>
      <c r="B14114" s="0" t="str">
        <f aca="false">HYPERLINK("https://lindat.mff.cuni.cz/services/teitok/pdtc10/index.php?action=vallex&amp;frame=v-w1855f338_ZU", "mít (v-w1855f338_ZU) - substituted with v-w1855f345_MM")</f>
        <v>mít (v-w1855f338_ZU) - substituted with v-w1855f345_MM</v>
      </c>
    </row>
    <row r="14115" customFormat="false" ht="12.8" hidden="false" customHeight="false" outlineLevel="0" collapsed="false">
      <c r="B14115" s="0" t="s">
        <v>7</v>
      </c>
    </row>
    <row r="14116" customFormat="false" ht="12.8" hidden="false" customHeight="false" outlineLevel="0" collapsed="false">
      <c r="B14116" s="0" t="s">
        <v>172</v>
      </c>
    </row>
    <row r="14117" customFormat="false" ht="12.8" hidden="false" customHeight="false" outlineLevel="0" collapsed="false">
      <c r="B14117" s="0" t="s">
        <v>5614</v>
      </c>
    </row>
    <row r="14119" customFormat="false" ht="12.8" hidden="false" customHeight="false" outlineLevel="0" collapsed="false">
      <c r="A14119" s="0" t="s">
        <v>5613</v>
      </c>
      <c r="B14119" s="0" t="str">
        <f aca="false">HYPERLINK("https://lindat.mff.cuni.cz/services/teitok/pdtc10/index.php?action=vallex&amp;frame=v-w1855f5", "mít (v-w1855f5) - substituted with v-w1855f345_MM")</f>
        <v>mít (v-w1855f5) - substituted with v-w1855f345_MM</v>
      </c>
    </row>
    <row r="14120" customFormat="false" ht="12.8" hidden="false" customHeight="false" outlineLevel="0" collapsed="false">
      <c r="B14120" s="0" t="s">
        <v>7</v>
      </c>
      <c r="C14120" s="0" t="s">
        <v>5615</v>
      </c>
    </row>
    <row r="14121" customFormat="false" ht="12.8" hidden="false" customHeight="false" outlineLevel="0" collapsed="false">
      <c r="B14121" s="0" t="s">
        <v>172</v>
      </c>
      <c r="C14121" s="0" t="s">
        <v>5616</v>
      </c>
    </row>
    <row r="14122" customFormat="false" ht="12.8" hidden="false" customHeight="false" outlineLevel="0" collapsed="false">
      <c r="B14122" s="0" t="s">
        <v>5614</v>
      </c>
      <c r="C14122" s="0" t="s">
        <v>5617</v>
      </c>
    </row>
    <row r="14124" customFormat="false" ht="12.8" hidden="false" customHeight="false" outlineLevel="0" collapsed="false">
      <c r="A14124" s="0" t="s">
        <v>5618</v>
      </c>
      <c r="B14124" s="0" t="str">
        <f aca="false">HYPERLINK("https://lindat.mff.cuni.cz/services/teitok/pdtc10/index.php?action=vallex&amp;frame=v-w1855f286_ZU", "mít (v-w1855f286_ZU)")</f>
        <v>mít (v-w1855f286_ZU)</v>
      </c>
    </row>
    <row r="14125" customFormat="false" ht="12.8" hidden="false" customHeight="false" outlineLevel="0" collapsed="false">
      <c r="B14125" s="0" t="s">
        <v>7</v>
      </c>
    </row>
    <row r="14126" customFormat="false" ht="12.8" hidden="false" customHeight="false" outlineLevel="0" collapsed="false">
      <c r="B14126" s="0" t="s">
        <v>14</v>
      </c>
    </row>
    <row r="14127" customFormat="false" ht="12.8" hidden="false" customHeight="false" outlineLevel="0" collapsed="false">
      <c r="B14127" s="0" t="s">
        <v>5619</v>
      </c>
    </row>
    <row r="14128" customFormat="false" ht="12.8" hidden="false" customHeight="false" outlineLevel="0" collapsed="false">
      <c r="B14128" s="0" t="s">
        <v>479</v>
      </c>
    </row>
    <row r="14129" customFormat="false" ht="12.8" hidden="false" customHeight="false" outlineLevel="0" collapsed="false">
      <c r="B14129" s="0" t="s">
        <v>477</v>
      </c>
    </row>
    <row r="14130" customFormat="false" ht="12.8" hidden="false" customHeight="false" outlineLevel="0" collapsed="false">
      <c r="B14130" s="0" t="s">
        <v>474</v>
      </c>
    </row>
    <row r="14132" customFormat="false" ht="12.8" hidden="false" customHeight="false" outlineLevel="0" collapsed="false">
      <c r="A14132" s="0" t="s">
        <v>5618</v>
      </c>
      <c r="B14132" s="0" t="str">
        <f aca="false">HYPERLINK("https://lindat.mff.cuni.cz/services/teitok/pdtc10/index.php?action=vallex&amp;frame=v-w1855f24", "mít (v-w1855f24) - substituted with v-w1855f286_ZU")</f>
        <v>mít (v-w1855f24) - substituted with v-w1855f286_ZU</v>
      </c>
    </row>
    <row r="14133" customFormat="false" ht="12.8" hidden="false" customHeight="false" outlineLevel="0" collapsed="false">
      <c r="B14133" s="0" t="s">
        <v>7</v>
      </c>
      <c r="C14133" s="0" t="s">
        <v>5620</v>
      </c>
    </row>
    <row r="14134" customFormat="false" ht="12.8" hidden="false" customHeight="false" outlineLevel="0" collapsed="false">
      <c r="B14134" s="0" t="s">
        <v>14</v>
      </c>
      <c r="C14134" s="0" t="s">
        <v>5621</v>
      </c>
    </row>
    <row r="14135" customFormat="false" ht="12.8" hidden="false" customHeight="false" outlineLevel="0" collapsed="false">
      <c r="B14135" s="0" t="s">
        <v>5619</v>
      </c>
      <c r="C14135" s="0" t="s">
        <v>5622</v>
      </c>
    </row>
    <row r="14136" customFormat="false" ht="12.8" hidden="false" customHeight="false" outlineLevel="0" collapsed="false">
      <c r="B14136" s="0" t="s">
        <v>479</v>
      </c>
    </row>
    <row r="14137" customFormat="false" ht="12.8" hidden="false" customHeight="false" outlineLevel="0" collapsed="false">
      <c r="B14137" s="0" t="s">
        <v>477</v>
      </c>
    </row>
    <row r="14138" customFormat="false" ht="12.8" hidden="false" customHeight="false" outlineLevel="0" collapsed="false">
      <c r="B14138" s="0" t="s">
        <v>474</v>
      </c>
    </row>
    <row r="14140" customFormat="false" ht="12.8" hidden="false" customHeight="false" outlineLevel="0" collapsed="false">
      <c r="A14140" s="0" t="s">
        <v>5618</v>
      </c>
      <c r="B14140" s="0" t="str">
        <f aca="false">HYPERLINK("https://lindat.mff.cuni.cz/services/teitok/pdtc10/index.php?action=vallex&amp;frame=v-w1855f240_ZU", "mít (v-w1855f240_ZU) - substituted with v-w1855f286_ZU")</f>
        <v>mít (v-w1855f240_ZU) - substituted with v-w1855f286_ZU</v>
      </c>
    </row>
    <row r="14141" customFormat="false" ht="12.8" hidden="false" customHeight="false" outlineLevel="0" collapsed="false">
      <c r="B14141" s="0" t="s">
        <v>7</v>
      </c>
    </row>
    <row r="14142" customFormat="false" ht="12.8" hidden="false" customHeight="false" outlineLevel="0" collapsed="false">
      <c r="B14142" s="0" t="s">
        <v>14</v>
      </c>
    </row>
    <row r="14143" customFormat="false" ht="12.8" hidden="false" customHeight="false" outlineLevel="0" collapsed="false">
      <c r="B14143" s="0" t="s">
        <v>5619</v>
      </c>
    </row>
    <row r="14144" customFormat="false" ht="12.8" hidden="false" customHeight="false" outlineLevel="0" collapsed="false">
      <c r="B14144" s="0" t="s">
        <v>479</v>
      </c>
    </row>
    <row r="14145" customFormat="false" ht="12.8" hidden="false" customHeight="false" outlineLevel="0" collapsed="false">
      <c r="B14145" s="0" t="s">
        <v>477</v>
      </c>
    </row>
    <row r="14146" customFormat="false" ht="12.8" hidden="false" customHeight="false" outlineLevel="0" collapsed="false">
      <c r="B14146" s="0" t="s">
        <v>474</v>
      </c>
    </row>
    <row r="14148" customFormat="false" ht="12.8" hidden="false" customHeight="false" outlineLevel="0" collapsed="false">
      <c r="A14148" s="0" t="s">
        <v>5618</v>
      </c>
      <c r="B14148" s="0" t="str">
        <f aca="false">HYPERLINK("https://lindat.mff.cuni.cz/services/teitok/pdtc10/index.php?action=vallex&amp;frame=v-w1855f260_ZU", "mít (v-w1855f260_ZU) - substituted with v-w1855f286_ZU")</f>
        <v>mít (v-w1855f260_ZU) - substituted with v-w1855f286_ZU</v>
      </c>
    </row>
    <row r="14149" customFormat="false" ht="12.8" hidden="false" customHeight="false" outlineLevel="0" collapsed="false">
      <c r="B14149" s="0" t="s">
        <v>7</v>
      </c>
    </row>
    <row r="14150" customFormat="false" ht="12.8" hidden="false" customHeight="false" outlineLevel="0" collapsed="false">
      <c r="B14150" s="0" t="s">
        <v>14</v>
      </c>
    </row>
    <row r="14151" customFormat="false" ht="12.8" hidden="false" customHeight="false" outlineLevel="0" collapsed="false">
      <c r="B14151" s="0" t="s">
        <v>5619</v>
      </c>
    </row>
    <row r="14152" customFormat="false" ht="12.8" hidden="false" customHeight="false" outlineLevel="0" collapsed="false">
      <c r="B14152" s="0" t="s">
        <v>479</v>
      </c>
    </row>
    <row r="14153" customFormat="false" ht="12.8" hidden="false" customHeight="false" outlineLevel="0" collapsed="false">
      <c r="B14153" s="0" t="s">
        <v>477</v>
      </c>
    </row>
    <row r="14154" customFormat="false" ht="12.8" hidden="false" customHeight="false" outlineLevel="0" collapsed="false">
      <c r="B14154" s="0" t="s">
        <v>474</v>
      </c>
    </row>
    <row r="14156" customFormat="false" ht="12.8" hidden="false" customHeight="false" outlineLevel="0" collapsed="false">
      <c r="A14156" s="0" t="s">
        <v>5623</v>
      </c>
      <c r="B14156" s="0" t="str">
        <f aca="false">HYPERLINK("https://lindat.mff.cuni.cz/services/teitok/pdtc10/index.php?action=vallex&amp;frame=v-w1855f9", "mít (v-w1855f9)")</f>
        <v>mít (v-w1855f9)</v>
      </c>
    </row>
    <row r="14157" customFormat="false" ht="12.8" hidden="false" customHeight="false" outlineLevel="0" collapsed="false">
      <c r="B14157" s="0" t="s">
        <v>7</v>
      </c>
      <c r="C14157" s="0" t="s">
        <v>5624</v>
      </c>
    </row>
    <row r="14158" customFormat="false" ht="12.8" hidden="false" customHeight="false" outlineLevel="0" collapsed="false">
      <c r="B14158" s="0" t="s">
        <v>14</v>
      </c>
      <c r="C14158" s="0" t="s">
        <v>5625</v>
      </c>
    </row>
    <row r="14159" customFormat="false" ht="12.8" hidden="false" customHeight="false" outlineLevel="0" collapsed="false">
      <c r="B14159" s="0" t="s">
        <v>11</v>
      </c>
      <c r="C14159" s="0" t="s">
        <v>5626</v>
      </c>
    </row>
    <row r="14161" customFormat="false" ht="12.8" hidden="false" customHeight="false" outlineLevel="0" collapsed="false">
      <c r="A14161" s="0" t="s">
        <v>5627</v>
      </c>
      <c r="B14161" s="0" t="str">
        <f aca="false">HYPERLINK("https://lindat.mff.cuni.cz/services/teitok/pdtc10/index.php?action=vallex&amp;frame=v-w1855f311_ZU", "mít (v-w1855f311_ZU)")</f>
        <v>mít (v-w1855f311_ZU)</v>
      </c>
    </row>
    <row r="14162" customFormat="false" ht="12.8" hidden="false" customHeight="false" outlineLevel="0" collapsed="false">
      <c r="B14162" s="0" t="s">
        <v>7</v>
      </c>
    </row>
    <row r="14163" customFormat="false" ht="12.8" hidden="false" customHeight="false" outlineLevel="0" collapsed="false">
      <c r="B14163" s="0" t="s">
        <v>4381</v>
      </c>
    </row>
    <row r="14165" customFormat="false" ht="12.8" hidden="false" customHeight="false" outlineLevel="0" collapsed="false">
      <c r="A14165" s="0" t="s">
        <v>5627</v>
      </c>
      <c r="B14165" s="0" t="str">
        <f aca="false">HYPERLINK("https://lindat.mff.cuni.cz/services/teitok/pdtc10/index.php?action=vallex&amp;frame=v-w1855f1", "mít (v-w1855f1) - substituted with v-w1855f311_ZU")</f>
        <v>mít (v-w1855f1) - substituted with v-w1855f311_ZU</v>
      </c>
    </row>
    <row r="14166" customFormat="false" ht="12.8" hidden="false" customHeight="false" outlineLevel="0" collapsed="false">
      <c r="B14166" s="0" t="s">
        <v>7</v>
      </c>
      <c r="C14166" s="0" t="s">
        <v>5628</v>
      </c>
    </row>
    <row r="14167" customFormat="false" ht="12.8" hidden="false" customHeight="false" outlineLevel="0" collapsed="false">
      <c r="B14167" s="0" t="s">
        <v>4381</v>
      </c>
      <c r="C14167" s="0" t="s">
        <v>5629</v>
      </c>
    </row>
    <row r="14169" customFormat="false" ht="12.8" hidden="false" customHeight="false" outlineLevel="0" collapsed="false">
      <c r="A14169" s="0" t="s">
        <v>5627</v>
      </c>
      <c r="B14169" s="0" t="str">
        <f aca="false">HYPERLINK("https://lindat.mff.cuni.cz/services/teitok/pdtc10/index.php?action=vallex&amp;frame=v-w1855f166_ZU", "mít (v-w1855f166_ZU) - substituted with v-w1855f311_ZU")</f>
        <v>mít (v-w1855f166_ZU) - substituted with v-w1855f311_ZU</v>
      </c>
    </row>
    <row r="14170" customFormat="false" ht="12.8" hidden="false" customHeight="false" outlineLevel="0" collapsed="false">
      <c r="B14170" s="0" t="s">
        <v>7</v>
      </c>
    </row>
    <row r="14171" customFormat="false" ht="12.8" hidden="false" customHeight="false" outlineLevel="0" collapsed="false">
      <c r="B14171" s="0" t="s">
        <v>4381</v>
      </c>
    </row>
    <row r="14173" customFormat="false" ht="12.8" hidden="false" customHeight="false" outlineLevel="0" collapsed="false">
      <c r="A14173" s="0" t="s">
        <v>5627</v>
      </c>
      <c r="B14173" s="0" t="str">
        <f aca="false">HYPERLINK("https://lindat.mff.cuni.cz/services/teitok/pdtc10/index.php?action=vallex&amp;frame=v-w1855f170_ZU", "mít (v-w1855f170_ZU) - substituted with v-w1855f311_ZU")</f>
        <v>mít (v-w1855f170_ZU) - substituted with v-w1855f311_ZU</v>
      </c>
    </row>
    <row r="14174" customFormat="false" ht="12.8" hidden="false" customHeight="false" outlineLevel="0" collapsed="false">
      <c r="B14174" s="0" t="s">
        <v>7</v>
      </c>
    </row>
    <row r="14175" customFormat="false" ht="12.8" hidden="false" customHeight="false" outlineLevel="0" collapsed="false">
      <c r="B14175" s="0" t="s">
        <v>4381</v>
      </c>
    </row>
    <row r="14177" customFormat="false" ht="12.8" hidden="false" customHeight="false" outlineLevel="0" collapsed="false">
      <c r="A14177" s="0" t="s">
        <v>5627</v>
      </c>
      <c r="B14177" s="0" t="str">
        <f aca="false">HYPERLINK("https://lindat.mff.cuni.cz/services/teitok/pdtc10/index.php?action=vallex&amp;frame=v-w1855f190_ZU", "mít (v-w1855f190_ZU) - substituted with v-w1855f311_ZU")</f>
        <v>mít (v-w1855f190_ZU) - substituted with v-w1855f311_ZU</v>
      </c>
    </row>
    <row r="14178" customFormat="false" ht="12.8" hidden="false" customHeight="false" outlineLevel="0" collapsed="false">
      <c r="B14178" s="0" t="s">
        <v>7</v>
      </c>
      <c r="C14178" s="0" t="s">
        <v>1286</v>
      </c>
    </row>
    <row r="14179" customFormat="false" ht="12.8" hidden="false" customHeight="false" outlineLevel="0" collapsed="false">
      <c r="B14179" s="0" t="s">
        <v>4381</v>
      </c>
      <c r="C14179" s="0" t="s">
        <v>1288</v>
      </c>
    </row>
    <row r="14181" customFormat="false" ht="12.8" hidden="false" customHeight="false" outlineLevel="0" collapsed="false">
      <c r="A14181" s="0" t="s">
        <v>5627</v>
      </c>
      <c r="B14181" s="0" t="str">
        <f aca="false">HYPERLINK("https://lindat.mff.cuni.cz/services/teitok/pdtc10/index.php?action=vallex&amp;frame=v-w1855f251_ZU", "mít (v-w1855f251_ZU) - substituted with v-w1855f311_ZU")</f>
        <v>mít (v-w1855f251_ZU) - substituted with v-w1855f311_ZU</v>
      </c>
    </row>
    <row r="14182" customFormat="false" ht="12.8" hidden="false" customHeight="false" outlineLevel="0" collapsed="false">
      <c r="B14182" s="0" t="s">
        <v>7</v>
      </c>
    </row>
    <row r="14183" customFormat="false" ht="12.8" hidden="false" customHeight="false" outlineLevel="0" collapsed="false">
      <c r="B14183" s="0" t="s">
        <v>4381</v>
      </c>
    </row>
    <row r="14185" customFormat="false" ht="12.8" hidden="false" customHeight="false" outlineLevel="0" collapsed="false">
      <c r="A14185" s="0" t="s">
        <v>5627</v>
      </c>
      <c r="B14185" s="0" t="str">
        <f aca="false">HYPERLINK("https://lindat.mff.cuni.cz/services/teitok/pdtc10/index.php?action=vallex&amp;frame=v-w1855f263_ZU", "mít (v-w1855f263_ZU) - substituted with v-w1855f311_ZU")</f>
        <v>mít (v-w1855f263_ZU) - substituted with v-w1855f311_ZU</v>
      </c>
    </row>
    <row r="14186" customFormat="false" ht="12.8" hidden="false" customHeight="false" outlineLevel="0" collapsed="false">
      <c r="B14186" s="0" t="s">
        <v>7</v>
      </c>
    </row>
    <row r="14187" customFormat="false" ht="12.8" hidden="false" customHeight="false" outlineLevel="0" collapsed="false">
      <c r="B14187" s="0" t="s">
        <v>4381</v>
      </c>
    </row>
    <row r="14189" customFormat="false" ht="12.8" hidden="false" customHeight="false" outlineLevel="0" collapsed="false">
      <c r="A14189" s="0" t="s">
        <v>5627</v>
      </c>
      <c r="B14189" s="0" t="str">
        <f aca="false">HYPERLINK("https://lindat.mff.cuni.cz/services/teitok/pdtc10/index.php?action=vallex&amp;frame=v-w1855f268_ZU", "mít (v-w1855f268_ZU) - substituted with v-w1855f311_ZU")</f>
        <v>mít (v-w1855f268_ZU) - substituted with v-w1855f311_ZU</v>
      </c>
    </row>
    <row r="14190" customFormat="false" ht="12.8" hidden="false" customHeight="false" outlineLevel="0" collapsed="false">
      <c r="B14190" s="0" t="s">
        <v>7</v>
      </c>
    </row>
    <row r="14191" customFormat="false" ht="12.8" hidden="false" customHeight="false" outlineLevel="0" collapsed="false">
      <c r="B14191" s="0" t="s">
        <v>4381</v>
      </c>
    </row>
    <row r="14193" customFormat="false" ht="12.8" hidden="false" customHeight="false" outlineLevel="0" collapsed="false">
      <c r="A14193" s="0" t="s">
        <v>5627</v>
      </c>
      <c r="B14193" s="0" t="str">
        <f aca="false">HYPERLINK("https://lindat.mff.cuni.cz/services/teitok/pdtc10/index.php?action=vallex&amp;frame=v-w1855f279_ZU", "mít (v-w1855f279_ZU) - substituted with v-w1855f311_ZU")</f>
        <v>mít (v-w1855f279_ZU) - substituted with v-w1855f311_ZU</v>
      </c>
    </row>
    <row r="14194" customFormat="false" ht="12.8" hidden="false" customHeight="false" outlineLevel="0" collapsed="false">
      <c r="B14194" s="0" t="s">
        <v>7</v>
      </c>
    </row>
    <row r="14195" customFormat="false" ht="12.8" hidden="false" customHeight="false" outlineLevel="0" collapsed="false">
      <c r="B14195" s="0" t="s">
        <v>4381</v>
      </c>
    </row>
    <row r="14197" customFormat="false" ht="12.8" hidden="false" customHeight="false" outlineLevel="0" collapsed="false">
      <c r="A14197" s="0" t="s">
        <v>5627</v>
      </c>
      <c r="B14197" s="0" t="str">
        <f aca="false">HYPERLINK("https://lindat.mff.cuni.cz/services/teitok/pdtc10/index.php?action=vallex&amp;frame=v-w1855f280_ZU", "mít (v-w1855f280_ZU) - substituted with v-w1855f311_ZU")</f>
        <v>mít (v-w1855f280_ZU) - substituted with v-w1855f311_ZU</v>
      </c>
    </row>
    <row r="14198" customFormat="false" ht="12.8" hidden="false" customHeight="false" outlineLevel="0" collapsed="false">
      <c r="B14198" s="0" t="s">
        <v>7</v>
      </c>
    </row>
    <row r="14199" customFormat="false" ht="12.8" hidden="false" customHeight="false" outlineLevel="0" collapsed="false">
      <c r="B14199" s="0" t="s">
        <v>4381</v>
      </c>
    </row>
    <row r="14201" customFormat="false" ht="12.8" hidden="false" customHeight="false" outlineLevel="0" collapsed="false">
      <c r="A14201" s="0" t="s">
        <v>5630</v>
      </c>
      <c r="B14201" s="0" t="str">
        <f aca="false">HYPERLINK("https://lindat.mff.cuni.cz/services/teitok/pdtc10/index.php?action=vallex&amp;frame=v-w1855f329_ZU", "mít (v-w1855f329_ZU)")</f>
        <v>mít (v-w1855f329_ZU)</v>
      </c>
    </row>
    <row r="14202" customFormat="false" ht="12.8" hidden="false" customHeight="false" outlineLevel="0" collapsed="false">
      <c r="B14202" s="0" t="s">
        <v>7</v>
      </c>
    </row>
    <row r="14203" customFormat="false" ht="12.8" hidden="false" customHeight="false" outlineLevel="0" collapsed="false">
      <c r="B14203" s="0" t="s">
        <v>14</v>
      </c>
    </row>
    <row r="14205" customFormat="false" ht="12.8" hidden="false" customHeight="false" outlineLevel="0" collapsed="false">
      <c r="A14205" s="0" t="s">
        <v>5630</v>
      </c>
      <c r="B14205" s="0" t="str">
        <f aca="false">HYPERLINK("https://lindat.mff.cuni.cz/services/teitok/pdtc10/index.php?action=vallex&amp;frame=v-w1855f167_ZU", "mít (v-w1855f167_ZU) - substituted with v-w1855f329_ZU")</f>
        <v>mít (v-w1855f167_ZU) - substituted with v-w1855f329_ZU</v>
      </c>
    </row>
    <row r="14206" customFormat="false" ht="12.8" hidden="false" customHeight="false" outlineLevel="0" collapsed="false">
      <c r="B14206" s="0" t="s">
        <v>7</v>
      </c>
    </row>
    <row r="14207" customFormat="false" ht="12.8" hidden="false" customHeight="false" outlineLevel="0" collapsed="false">
      <c r="B14207" s="0" t="s">
        <v>14</v>
      </c>
    </row>
    <row r="14209" customFormat="false" ht="12.8" hidden="false" customHeight="false" outlineLevel="0" collapsed="false">
      <c r="A14209" s="0" t="s">
        <v>5630</v>
      </c>
      <c r="B14209" s="0" t="str">
        <f aca="false">HYPERLINK("https://lindat.mff.cuni.cz/services/teitok/pdtc10/index.php?action=vallex&amp;frame=v-w1855f168_ZU", "mít (v-w1855f168_ZU) - substituted with v-w1855f329_ZU")</f>
        <v>mít (v-w1855f168_ZU) - substituted with v-w1855f329_ZU</v>
      </c>
    </row>
    <row r="14210" customFormat="false" ht="12.8" hidden="false" customHeight="false" outlineLevel="0" collapsed="false">
      <c r="B14210" s="0" t="s">
        <v>7</v>
      </c>
    </row>
    <row r="14211" customFormat="false" ht="12.8" hidden="false" customHeight="false" outlineLevel="0" collapsed="false">
      <c r="B14211" s="0" t="s">
        <v>14</v>
      </c>
    </row>
    <row r="14213" customFormat="false" ht="12.8" hidden="false" customHeight="false" outlineLevel="0" collapsed="false">
      <c r="A14213" s="0" t="s">
        <v>5630</v>
      </c>
      <c r="B14213" s="0" t="str">
        <f aca="false">HYPERLINK("https://lindat.mff.cuni.cz/services/teitok/pdtc10/index.php?action=vallex&amp;frame=v-w1855f172_ZU", "mít (v-w1855f172_ZU) - substituted with v-w1855f329_ZU")</f>
        <v>mít (v-w1855f172_ZU) - substituted with v-w1855f329_ZU</v>
      </c>
    </row>
    <row r="14214" customFormat="false" ht="12.8" hidden="false" customHeight="false" outlineLevel="0" collapsed="false">
      <c r="B14214" s="0" t="s">
        <v>7</v>
      </c>
      <c r="C14214" s="0" t="s">
        <v>1286</v>
      </c>
    </row>
    <row r="14215" customFormat="false" ht="12.8" hidden="false" customHeight="false" outlineLevel="0" collapsed="false">
      <c r="B14215" s="0" t="s">
        <v>14</v>
      </c>
      <c r="C14215" s="0" t="s">
        <v>1288</v>
      </c>
    </row>
    <row r="14217" customFormat="false" ht="12.8" hidden="false" customHeight="false" outlineLevel="0" collapsed="false">
      <c r="A14217" s="0" t="s">
        <v>5630</v>
      </c>
      <c r="B14217" s="0" t="str">
        <f aca="false">HYPERLINK("https://lindat.mff.cuni.cz/services/teitok/pdtc10/index.php?action=vallex&amp;frame=v-w1855f195_ZU", "mít (v-w1855f195_ZU) - substituted with v-w1855f329_ZU")</f>
        <v>mít (v-w1855f195_ZU) - substituted with v-w1855f329_ZU</v>
      </c>
    </row>
    <row r="14218" customFormat="false" ht="12.8" hidden="false" customHeight="false" outlineLevel="0" collapsed="false">
      <c r="B14218" s="0" t="s">
        <v>7</v>
      </c>
      <c r="C14218" s="0" t="s">
        <v>1286</v>
      </c>
    </row>
    <row r="14219" customFormat="false" ht="12.8" hidden="false" customHeight="false" outlineLevel="0" collapsed="false">
      <c r="B14219" s="0" t="s">
        <v>14</v>
      </c>
      <c r="C14219" s="0" t="s">
        <v>1288</v>
      </c>
    </row>
    <row r="14221" customFormat="false" ht="12.8" hidden="false" customHeight="false" outlineLevel="0" collapsed="false">
      <c r="A14221" s="0" t="s">
        <v>5630</v>
      </c>
      <c r="B14221" s="0" t="str">
        <f aca="false">HYPERLINK("https://lindat.mff.cuni.cz/services/teitok/pdtc10/index.php?action=vallex&amp;frame=v-w1855f2", "mít (v-w1855f2) - substituted with v-w1855f329_ZU")</f>
        <v>mít (v-w1855f2) - substituted with v-w1855f329_ZU</v>
      </c>
    </row>
    <row r="14222" customFormat="false" ht="12.8" hidden="false" customHeight="false" outlineLevel="0" collapsed="false">
      <c r="B14222" s="0" t="s">
        <v>7</v>
      </c>
      <c r="C14222" s="0" t="s">
        <v>5631</v>
      </c>
    </row>
    <row r="14223" customFormat="false" ht="12.8" hidden="false" customHeight="false" outlineLevel="0" collapsed="false">
      <c r="B14223" s="0" t="s">
        <v>14</v>
      </c>
      <c r="C14223" s="0" t="s">
        <v>5632</v>
      </c>
    </row>
    <row r="14225" customFormat="false" ht="12.8" hidden="false" customHeight="false" outlineLevel="0" collapsed="false">
      <c r="A14225" s="0" t="s">
        <v>5630</v>
      </c>
      <c r="B14225" s="0" t="str">
        <f aca="false">HYPERLINK("https://lindat.mff.cuni.cz/services/teitok/pdtc10/index.php?action=vallex&amp;frame=v-w1855f264_ZU", "mít (v-w1855f264_ZU) - substituted with v-w1855f329_ZU")</f>
        <v>mít (v-w1855f264_ZU) - substituted with v-w1855f329_ZU</v>
      </c>
    </row>
    <row r="14226" customFormat="false" ht="12.8" hidden="false" customHeight="false" outlineLevel="0" collapsed="false">
      <c r="B14226" s="0" t="s">
        <v>7</v>
      </c>
    </row>
    <row r="14227" customFormat="false" ht="12.8" hidden="false" customHeight="false" outlineLevel="0" collapsed="false">
      <c r="B14227" s="0" t="s">
        <v>14</v>
      </c>
    </row>
    <row r="14229" customFormat="false" ht="12.8" hidden="false" customHeight="false" outlineLevel="0" collapsed="false">
      <c r="A14229" s="0" t="s">
        <v>5630</v>
      </c>
      <c r="B14229" s="0" t="str">
        <f aca="false">HYPERLINK("https://lindat.mff.cuni.cz/services/teitok/pdtc10/index.php?action=vallex&amp;frame=v-w1855f266_ZU", "mít (v-w1855f266_ZU) - substituted with v-w1855f329_ZU")</f>
        <v>mít (v-w1855f266_ZU) - substituted with v-w1855f329_ZU</v>
      </c>
    </row>
    <row r="14230" customFormat="false" ht="12.8" hidden="false" customHeight="false" outlineLevel="0" collapsed="false">
      <c r="B14230" s="0" t="s">
        <v>7</v>
      </c>
    </row>
    <row r="14231" customFormat="false" ht="12.8" hidden="false" customHeight="false" outlineLevel="0" collapsed="false">
      <c r="B14231" s="0" t="s">
        <v>14</v>
      </c>
    </row>
    <row r="14233" customFormat="false" ht="12.8" hidden="false" customHeight="false" outlineLevel="0" collapsed="false">
      <c r="A14233" s="0" t="s">
        <v>5630</v>
      </c>
      <c r="B14233" s="0" t="str">
        <f aca="false">HYPERLINK("https://lindat.mff.cuni.cz/services/teitok/pdtc10/index.php?action=vallex&amp;frame=v-w1855f276_ZU", "mít (v-w1855f276_ZU) - substituted with v-w1855f329_ZU")</f>
        <v>mít (v-w1855f276_ZU) - substituted with v-w1855f329_ZU</v>
      </c>
    </row>
    <row r="14234" customFormat="false" ht="12.8" hidden="false" customHeight="false" outlineLevel="0" collapsed="false">
      <c r="B14234" s="0" t="s">
        <v>7</v>
      </c>
    </row>
    <row r="14235" customFormat="false" ht="12.8" hidden="false" customHeight="false" outlineLevel="0" collapsed="false">
      <c r="B14235" s="0" t="s">
        <v>14</v>
      </c>
    </row>
    <row r="14237" customFormat="false" ht="12.8" hidden="false" customHeight="false" outlineLevel="0" collapsed="false">
      <c r="A14237" s="0" t="s">
        <v>5630</v>
      </c>
      <c r="B14237" s="0" t="str">
        <f aca="false">HYPERLINK("https://lindat.mff.cuni.cz/services/teitok/pdtc10/index.php?action=vallex&amp;frame=v-w1855f314_ZU", "mít (v-w1855f314_ZU) - substituted with v-w1855f329_ZU")</f>
        <v>mít (v-w1855f314_ZU) - substituted with v-w1855f329_ZU</v>
      </c>
    </row>
    <row r="14238" customFormat="false" ht="12.8" hidden="false" customHeight="false" outlineLevel="0" collapsed="false">
      <c r="B14238" s="0" t="s">
        <v>7</v>
      </c>
    </row>
    <row r="14239" customFormat="false" ht="12.8" hidden="false" customHeight="false" outlineLevel="0" collapsed="false">
      <c r="B14239" s="0" t="s">
        <v>14</v>
      </c>
    </row>
    <row r="14241" customFormat="false" ht="12.8" hidden="false" customHeight="false" outlineLevel="0" collapsed="false">
      <c r="A14241" s="0" t="s">
        <v>5633</v>
      </c>
      <c r="B14241" s="0" t="str">
        <f aca="false">HYPERLINK("https://lindat.mff.cuni.cz/services/teitok/pdtc10/index.php?action=vallex&amp;frame=v-w1855f27", "mít (v-w1855f27)")</f>
        <v>mít (v-w1855f27)</v>
      </c>
    </row>
    <row r="14242" customFormat="false" ht="12.8" hidden="false" customHeight="false" outlineLevel="0" collapsed="false">
      <c r="B14242" s="0" t="s">
        <v>7</v>
      </c>
      <c r="C14242" s="0" t="s">
        <v>5634</v>
      </c>
    </row>
    <row r="14243" customFormat="false" ht="12.8" hidden="false" customHeight="false" outlineLevel="0" collapsed="false">
      <c r="B14243" s="0" t="s">
        <v>5635</v>
      </c>
      <c r="C14243" s="0" t="s">
        <v>5636</v>
      </c>
    </row>
    <row r="14245" customFormat="false" ht="12.8" hidden="false" customHeight="false" outlineLevel="0" collapsed="false">
      <c r="A14245" s="0" t="s">
        <v>5637</v>
      </c>
      <c r="B14245" s="0" t="str">
        <f aca="false">HYPERLINK("https://lindat.mff.cuni.cz/services/teitok/pdtc10/index.php?action=vallex&amp;frame=v-w1855f19", "mít (v-w1855f19)")</f>
        <v>mít (v-w1855f19)</v>
      </c>
    </row>
    <row r="14246" customFormat="false" ht="12.8" hidden="false" customHeight="false" outlineLevel="0" collapsed="false">
      <c r="B14246" s="0" t="s">
        <v>7</v>
      </c>
      <c r="C14246" s="0" t="s">
        <v>1286</v>
      </c>
    </row>
    <row r="14247" customFormat="false" ht="12.8" hidden="false" customHeight="false" outlineLevel="0" collapsed="false">
      <c r="B14247" s="0" t="s">
        <v>41</v>
      </c>
      <c r="C14247" s="0" t="s">
        <v>1288</v>
      </c>
    </row>
    <row r="14249" customFormat="false" ht="12.8" hidden="false" customHeight="false" outlineLevel="0" collapsed="false">
      <c r="A14249" s="0" t="s">
        <v>5638</v>
      </c>
      <c r="B14249" s="0" t="str">
        <f aca="false">HYPERLINK("https://lindat.mff.cuni.cz/services/teitok/pdtc10/index.php?action=vallex&amp;frame=v-w1855f39", "mít (v-w1855f39)")</f>
        <v>mít (v-w1855f39)</v>
      </c>
    </row>
    <row r="14250" customFormat="false" ht="12.8" hidden="false" customHeight="false" outlineLevel="0" collapsed="false">
      <c r="B14250" s="0" t="s">
        <v>7</v>
      </c>
    </row>
    <row r="14251" customFormat="false" ht="12.8" hidden="false" customHeight="false" outlineLevel="0" collapsed="false">
      <c r="B14251" s="0" t="s">
        <v>41</v>
      </c>
    </row>
    <row r="14253" customFormat="false" ht="12.8" hidden="false" customHeight="false" outlineLevel="0" collapsed="false">
      <c r="A14253" s="0" t="s">
        <v>5639</v>
      </c>
      <c r="B14253" s="0" t="str">
        <f aca="false">HYPERLINK("https://lindat.mff.cuni.cz/services/teitok/pdtc10/index.php?action=vallex&amp;frame=v-w1855f305_ZU", "mít (v-w1855f305_ZU)")</f>
        <v>mít (v-w1855f305_ZU)</v>
      </c>
    </row>
    <row r="14254" customFormat="false" ht="12.8" hidden="false" customHeight="false" outlineLevel="0" collapsed="false">
      <c r="B14254" s="0" t="s">
        <v>7</v>
      </c>
    </row>
    <row r="14255" customFormat="false" ht="12.8" hidden="false" customHeight="false" outlineLevel="0" collapsed="false">
      <c r="B14255" s="0" t="s">
        <v>5640</v>
      </c>
    </row>
    <row r="14257" customFormat="false" ht="12.8" hidden="false" customHeight="false" outlineLevel="0" collapsed="false">
      <c r="A14257" s="0" t="s">
        <v>5639</v>
      </c>
      <c r="B14257" s="0" t="str">
        <f aca="false">HYPERLINK("https://lindat.mff.cuni.cz/services/teitok/pdtc10/index.php?action=vallex&amp;frame=v-w1855f261_ZU", "mít (v-w1855f261_ZU) - substituted with v-w1855f305_ZU")</f>
        <v>mít (v-w1855f261_ZU) - substituted with v-w1855f305_ZU</v>
      </c>
    </row>
    <row r="14258" customFormat="false" ht="12.8" hidden="false" customHeight="false" outlineLevel="0" collapsed="false">
      <c r="B14258" s="0" t="s">
        <v>7</v>
      </c>
    </row>
    <row r="14259" customFormat="false" ht="12.8" hidden="false" customHeight="false" outlineLevel="0" collapsed="false">
      <c r="B14259" s="0" t="s">
        <v>5640</v>
      </c>
    </row>
    <row r="14261" customFormat="false" ht="12.8" hidden="false" customHeight="false" outlineLevel="0" collapsed="false">
      <c r="A14261" s="0" t="s">
        <v>5639</v>
      </c>
      <c r="B14261" s="0" t="str">
        <f aca="false">HYPERLINK("https://lindat.mff.cuni.cz/services/teitok/pdtc10/index.php?action=vallex&amp;frame=v-w1855f75", "mít (v-w1855f75) - substituted with v-w1855f305_ZU")</f>
        <v>mít (v-w1855f75) - substituted with v-w1855f305_ZU</v>
      </c>
    </row>
    <row r="14262" customFormat="false" ht="12.8" hidden="false" customHeight="false" outlineLevel="0" collapsed="false">
      <c r="B14262" s="0" t="s">
        <v>7</v>
      </c>
    </row>
    <row r="14263" customFormat="false" ht="12.8" hidden="false" customHeight="false" outlineLevel="0" collapsed="false">
      <c r="B14263" s="0" t="s">
        <v>5640</v>
      </c>
    </row>
    <row r="14265" customFormat="false" ht="12.8" hidden="false" customHeight="false" outlineLevel="0" collapsed="false">
      <c r="A14265" s="0" t="s">
        <v>5641</v>
      </c>
      <c r="B14265" s="0" t="str">
        <f aca="false">HYPERLINK("https://lindat.mff.cuni.cz/services/teitok/pdtc10/index.php?action=vallex&amp;frame=v-w1855f315_ZU", "mít (v-w1855f315_ZU)")</f>
        <v>mít (v-w1855f315_ZU)</v>
      </c>
    </row>
    <row r="14266" customFormat="false" ht="12.8" hidden="false" customHeight="false" outlineLevel="0" collapsed="false">
      <c r="B14266" s="0" t="s">
        <v>7</v>
      </c>
    </row>
    <row r="14267" customFormat="false" ht="12.8" hidden="false" customHeight="false" outlineLevel="0" collapsed="false">
      <c r="B14267" s="0" t="s">
        <v>297</v>
      </c>
    </row>
    <row r="14268" customFormat="false" ht="12.8" hidden="false" customHeight="false" outlineLevel="0" collapsed="false">
      <c r="B14268" s="0" t="s">
        <v>124</v>
      </c>
    </row>
    <row r="14269" customFormat="false" ht="12.8" hidden="false" customHeight="false" outlineLevel="0" collapsed="false">
      <c r="B14269" s="0" t="s">
        <v>679</v>
      </c>
    </row>
    <row r="14271" customFormat="false" ht="12.8" hidden="false" customHeight="false" outlineLevel="0" collapsed="false">
      <c r="A14271" s="0" t="s">
        <v>5641</v>
      </c>
      <c r="B14271" s="0" t="str">
        <f aca="false">HYPERLINK("https://lindat.mff.cuni.cz/services/teitok/pdtc10/index.php?action=vallex&amp;frame=v-w1855f25", "mít (v-w1855f25) - substituted with v-w1855f315_ZU")</f>
        <v>mít (v-w1855f25) - substituted with v-w1855f315_ZU</v>
      </c>
    </row>
    <row r="14272" customFormat="false" ht="12.8" hidden="false" customHeight="false" outlineLevel="0" collapsed="false">
      <c r="B14272" s="0" t="s">
        <v>7</v>
      </c>
      <c r="C14272" s="0" t="s">
        <v>5642</v>
      </c>
    </row>
    <row r="14273" customFormat="false" ht="12.8" hidden="false" customHeight="false" outlineLevel="0" collapsed="false">
      <c r="B14273" s="0" t="s">
        <v>297</v>
      </c>
    </row>
    <row r="14274" customFormat="false" ht="12.8" hidden="false" customHeight="false" outlineLevel="0" collapsed="false">
      <c r="B14274" s="0" t="s">
        <v>124</v>
      </c>
      <c r="C14274" s="0" t="s">
        <v>5643</v>
      </c>
    </row>
    <row r="14275" customFormat="false" ht="12.8" hidden="false" customHeight="false" outlineLevel="0" collapsed="false">
      <c r="B14275" s="0" t="s">
        <v>679</v>
      </c>
      <c r="C14275" s="0" t="s">
        <v>5644</v>
      </c>
    </row>
    <row r="14277" customFormat="false" ht="12.8" hidden="false" customHeight="false" outlineLevel="0" collapsed="false">
      <c r="A14277" s="0" t="s">
        <v>5641</v>
      </c>
      <c r="B14277" s="0" t="str">
        <f aca="false">HYPERLINK("https://lindat.mff.cuni.cz/services/teitok/pdtc10/index.php?action=vallex&amp;frame=v-w1855f285_ZU", "mít (v-w1855f285_ZU) - substituted with v-w1855f315_ZU")</f>
        <v>mít (v-w1855f285_ZU) - substituted with v-w1855f315_ZU</v>
      </c>
    </row>
    <row r="14278" customFormat="false" ht="12.8" hidden="false" customHeight="false" outlineLevel="0" collapsed="false">
      <c r="B14278" s="0" t="s">
        <v>7</v>
      </c>
    </row>
    <row r="14279" customFormat="false" ht="12.8" hidden="false" customHeight="false" outlineLevel="0" collapsed="false">
      <c r="B14279" s="0" t="s">
        <v>297</v>
      </c>
    </row>
    <row r="14280" customFormat="false" ht="12.8" hidden="false" customHeight="false" outlineLevel="0" collapsed="false">
      <c r="B14280" s="0" t="s">
        <v>124</v>
      </c>
    </row>
    <row r="14281" customFormat="false" ht="12.8" hidden="false" customHeight="false" outlineLevel="0" collapsed="false">
      <c r="B14281" s="0" t="s">
        <v>679</v>
      </c>
    </row>
    <row r="14283" customFormat="false" ht="12.8" hidden="false" customHeight="false" outlineLevel="0" collapsed="false">
      <c r="A14283" s="0" t="s">
        <v>5641</v>
      </c>
      <c r="B14283" s="0" t="str">
        <f aca="false">HYPERLINK("https://lindat.mff.cuni.cz/services/teitok/pdtc10/index.php?action=vallex&amp;frame=v-w1855f287_ZU", "mít (v-w1855f287_ZU) - substituted with v-w1855f315_ZU")</f>
        <v>mít (v-w1855f287_ZU) - substituted with v-w1855f315_ZU</v>
      </c>
    </row>
    <row r="14284" customFormat="false" ht="12.8" hidden="false" customHeight="false" outlineLevel="0" collapsed="false">
      <c r="B14284" s="0" t="s">
        <v>7</v>
      </c>
    </row>
    <row r="14285" customFormat="false" ht="12.8" hidden="false" customHeight="false" outlineLevel="0" collapsed="false">
      <c r="B14285" s="0" t="s">
        <v>297</v>
      </c>
    </row>
    <row r="14286" customFormat="false" ht="12.8" hidden="false" customHeight="false" outlineLevel="0" collapsed="false">
      <c r="B14286" s="0" t="s">
        <v>124</v>
      </c>
    </row>
    <row r="14287" customFormat="false" ht="12.8" hidden="false" customHeight="false" outlineLevel="0" collapsed="false">
      <c r="B14287" s="0" t="s">
        <v>679</v>
      </c>
    </row>
    <row r="14289" customFormat="false" ht="12.8" hidden="false" customHeight="false" outlineLevel="0" collapsed="false">
      <c r="A14289" s="0" t="s">
        <v>5645</v>
      </c>
      <c r="B14289" s="0" t="str">
        <f aca="false">HYPERLINK("https://lindat.mff.cuni.cz/services/teitok/pdtc10/index.php?action=vallex&amp;frame=v-w1855f53", "mít (v-w1855f53)")</f>
        <v>mít (v-w1855f53)</v>
      </c>
    </row>
    <row r="14290" customFormat="false" ht="12.8" hidden="false" customHeight="false" outlineLevel="0" collapsed="false">
      <c r="B14290" s="0" t="s">
        <v>7</v>
      </c>
      <c r="C14290" s="0" t="s">
        <v>498</v>
      </c>
    </row>
    <row r="14291" customFormat="false" ht="12.8" hidden="false" customHeight="false" outlineLevel="0" collapsed="false">
      <c r="B14291" s="0" t="s">
        <v>679</v>
      </c>
      <c r="C14291" s="0" t="s">
        <v>5644</v>
      </c>
    </row>
    <row r="14293" customFormat="false" ht="12.8" hidden="false" customHeight="false" outlineLevel="0" collapsed="false">
      <c r="A14293" s="0" t="s">
        <v>5646</v>
      </c>
      <c r="B14293" s="0" t="str">
        <f aca="false">HYPERLINK("https://lindat.mff.cuni.cz/services/teitok/pdtc10/index.php?action=vallex&amp;frame=v-w1855f163_ZU", "mít (v-w1855f163_ZU)")</f>
        <v>mít (v-w1855f163_ZU)</v>
      </c>
    </row>
    <row r="14294" customFormat="false" ht="12.8" hidden="false" customHeight="false" outlineLevel="0" collapsed="false">
      <c r="B14294" s="0" t="s">
        <v>7</v>
      </c>
      <c r="C14294" s="0" t="s">
        <v>1286</v>
      </c>
    </row>
    <row r="14295" customFormat="false" ht="12.8" hidden="false" customHeight="false" outlineLevel="0" collapsed="false">
      <c r="B14295" s="0" t="s">
        <v>5647</v>
      </c>
      <c r="C14295" s="0" t="s">
        <v>2359</v>
      </c>
    </row>
    <row r="14296" customFormat="false" ht="12.8" hidden="false" customHeight="false" outlineLevel="0" collapsed="false">
      <c r="B14296" s="0" t="s">
        <v>441</v>
      </c>
    </row>
    <row r="14298" customFormat="false" ht="12.8" hidden="false" customHeight="false" outlineLevel="0" collapsed="false">
      <c r="A14298" s="0" t="s">
        <v>5646</v>
      </c>
      <c r="B14298" s="0" t="str">
        <f aca="false">HYPERLINK("https://lindat.mff.cuni.cz/services/teitok/pdtc10/index.php?action=vallex&amp;frame=v-w1855f117_ZU", "mít (v-w1855f117_ZU) - substituted with v-w1855f163_ZU")</f>
        <v>mít (v-w1855f117_ZU) - substituted with v-w1855f163_ZU</v>
      </c>
    </row>
    <row r="14299" customFormat="false" ht="12.8" hidden="false" customHeight="false" outlineLevel="0" collapsed="false">
      <c r="B14299" s="0" t="s">
        <v>7</v>
      </c>
      <c r="C14299" s="0" t="s">
        <v>1286</v>
      </c>
    </row>
    <row r="14300" customFormat="false" ht="12.8" hidden="false" customHeight="false" outlineLevel="0" collapsed="false">
      <c r="B14300" s="0" t="s">
        <v>5647</v>
      </c>
      <c r="C14300" s="0" t="s">
        <v>2359</v>
      </c>
    </row>
    <row r="14301" customFormat="false" ht="12.8" hidden="false" customHeight="false" outlineLevel="0" collapsed="false">
      <c r="B14301" s="0" t="s">
        <v>441</v>
      </c>
    </row>
    <row r="14303" customFormat="false" ht="12.8" hidden="false" customHeight="false" outlineLevel="0" collapsed="false">
      <c r="A14303" s="0" t="s">
        <v>5646</v>
      </c>
      <c r="B14303" s="0" t="str">
        <f aca="false">HYPERLINK("https://lindat.mff.cuni.cz/services/teitok/pdtc10/index.php?action=vallex&amp;frame=v-w1855f118_ZU", "mít (v-w1855f118_ZU) - substituted with v-w1855f163_ZU")</f>
        <v>mít (v-w1855f118_ZU) - substituted with v-w1855f163_ZU</v>
      </c>
    </row>
    <row r="14304" customFormat="false" ht="12.8" hidden="false" customHeight="false" outlineLevel="0" collapsed="false">
      <c r="B14304" s="0" t="s">
        <v>7</v>
      </c>
      <c r="C14304" s="0" t="s">
        <v>1286</v>
      </c>
    </row>
    <row r="14305" customFormat="false" ht="12.8" hidden="false" customHeight="false" outlineLevel="0" collapsed="false">
      <c r="B14305" s="0" t="s">
        <v>5647</v>
      </c>
      <c r="C14305" s="0" t="s">
        <v>2359</v>
      </c>
    </row>
    <row r="14306" customFormat="false" ht="12.8" hidden="false" customHeight="false" outlineLevel="0" collapsed="false">
      <c r="B14306" s="0" t="s">
        <v>441</v>
      </c>
    </row>
    <row r="14308" customFormat="false" ht="12.8" hidden="false" customHeight="false" outlineLevel="0" collapsed="false">
      <c r="A14308" s="0" t="s">
        <v>5648</v>
      </c>
      <c r="B14308" s="0" t="str">
        <f aca="false">HYPERLINK("https://lindat.mff.cuni.cz/services/teitok/pdtc10/index.php?action=vallex&amp;frame=v-w1855f296_ZU", "mít (v-w1855f296_ZU)")</f>
        <v>mít (v-w1855f296_ZU)</v>
      </c>
    </row>
    <row r="14309" customFormat="false" ht="12.8" hidden="false" customHeight="false" outlineLevel="0" collapsed="false">
      <c r="B14309" s="0" t="s">
        <v>7</v>
      </c>
    </row>
    <row r="14310" customFormat="false" ht="12.8" hidden="false" customHeight="false" outlineLevel="0" collapsed="false">
      <c r="B14310" s="0" t="s">
        <v>5649</v>
      </c>
    </row>
    <row r="14311" customFormat="false" ht="12.8" hidden="false" customHeight="false" outlineLevel="0" collapsed="false">
      <c r="B14311" s="0" t="s">
        <v>11</v>
      </c>
    </row>
    <row r="14313" customFormat="false" ht="12.8" hidden="false" customHeight="false" outlineLevel="0" collapsed="false">
      <c r="A14313" s="0" t="s">
        <v>5648</v>
      </c>
      <c r="B14313" s="0" t="str">
        <f aca="false">HYPERLINK("https://lindat.mff.cuni.cz/services/teitok/pdtc10/index.php?action=vallex&amp;frame=v-w1855f238_ZU", "mít (v-w1855f238_ZU) - substituted with v-w1855f296_ZU")</f>
        <v>mít (v-w1855f238_ZU) - substituted with v-w1855f296_ZU</v>
      </c>
    </row>
    <row r="14314" customFormat="false" ht="12.8" hidden="false" customHeight="false" outlineLevel="0" collapsed="false">
      <c r="B14314" s="0" t="s">
        <v>7</v>
      </c>
    </row>
    <row r="14315" customFormat="false" ht="12.8" hidden="false" customHeight="false" outlineLevel="0" collapsed="false">
      <c r="B14315" s="0" t="s">
        <v>5649</v>
      </c>
    </row>
    <row r="14316" customFormat="false" ht="12.8" hidden="false" customHeight="false" outlineLevel="0" collapsed="false">
      <c r="B14316" s="0" t="s">
        <v>11</v>
      </c>
    </row>
    <row r="14318" customFormat="false" ht="12.8" hidden="false" customHeight="false" outlineLevel="0" collapsed="false">
      <c r="A14318" s="0" t="s">
        <v>5648</v>
      </c>
      <c r="B14318" s="0" t="str">
        <f aca="false">HYPERLINK("https://lindat.mff.cuni.cz/services/teitok/pdtc10/index.php?action=vallex&amp;frame=v-w1855f40", "mít (v-w1855f40) - substituted with v-w1855f296_ZU")</f>
        <v>mít (v-w1855f40) - substituted with v-w1855f296_ZU</v>
      </c>
    </row>
    <row r="14319" customFormat="false" ht="12.8" hidden="false" customHeight="false" outlineLevel="0" collapsed="false">
      <c r="B14319" s="0" t="s">
        <v>7</v>
      </c>
    </row>
    <row r="14320" customFormat="false" ht="12.8" hidden="false" customHeight="false" outlineLevel="0" collapsed="false">
      <c r="B14320" s="0" t="s">
        <v>5649</v>
      </c>
    </row>
    <row r="14321" customFormat="false" ht="12.8" hidden="false" customHeight="false" outlineLevel="0" collapsed="false">
      <c r="B14321" s="0" t="s">
        <v>11</v>
      </c>
    </row>
    <row r="14323" customFormat="false" ht="12.8" hidden="false" customHeight="false" outlineLevel="0" collapsed="false">
      <c r="A14323" s="0" t="s">
        <v>5650</v>
      </c>
      <c r="B14323" s="0" t="str">
        <f aca="false">HYPERLINK("https://lindat.mff.cuni.cz/services/teitok/pdtc10/index.php?action=vallex&amp;frame=v-w1855f14", "mít (v-w1855f14)")</f>
        <v>mít (v-w1855f14)</v>
      </c>
    </row>
    <row r="14324" customFormat="false" ht="12.8" hidden="false" customHeight="false" outlineLevel="0" collapsed="false">
      <c r="B14324" s="0" t="s">
        <v>5651</v>
      </c>
      <c r="C14324" s="0" t="s">
        <v>5652</v>
      </c>
    </row>
    <row r="14325" customFormat="false" ht="12.8" hidden="false" customHeight="false" outlineLevel="0" collapsed="false">
      <c r="B14325" s="0" t="s">
        <v>5653</v>
      </c>
      <c r="C14325" s="0" t="s">
        <v>5654</v>
      </c>
    </row>
    <row r="14327" customFormat="false" ht="12.8" hidden="false" customHeight="false" outlineLevel="0" collapsed="false">
      <c r="A14327" s="0" t="s">
        <v>5655</v>
      </c>
      <c r="B14327" s="0" t="str">
        <f aca="false">HYPERLINK("https://lindat.mff.cuni.cz/services/teitok/pdtc10/index.php?action=vallex&amp;frame=v-w1855f26", "mít (v-w1855f26)")</f>
        <v>mít (v-w1855f26)</v>
      </c>
    </row>
    <row r="14328" customFormat="false" ht="12.8" hidden="false" customHeight="false" outlineLevel="0" collapsed="false">
      <c r="B14328" s="0" t="s">
        <v>265</v>
      </c>
      <c r="C14328" s="0" t="s">
        <v>5656</v>
      </c>
      <c r="F14328" s="0" t="s">
        <v>5657</v>
      </c>
    </row>
    <row r="14329" customFormat="false" ht="12.8" hidden="false" customHeight="false" outlineLevel="0" collapsed="false">
      <c r="B14329" s="0" t="s">
        <v>5658</v>
      </c>
      <c r="C14329" s="0" t="s">
        <v>5659</v>
      </c>
    </row>
    <row r="14331" customFormat="false" ht="12.8" hidden="false" customHeight="false" outlineLevel="0" collapsed="false">
      <c r="A14331" s="0" t="s">
        <v>5660</v>
      </c>
      <c r="B14331" s="0" t="str">
        <f aca="false">HYPERLINK("https://lindat.mff.cuni.cz/services/teitok/pdtc10/index.php?action=vallex&amp;frame=v-w1855f54", "mít (v-w1855f54)")</f>
        <v>mít (v-w1855f54)</v>
      </c>
    </row>
    <row r="14332" customFormat="false" ht="12.8" hidden="false" customHeight="false" outlineLevel="0" collapsed="false">
      <c r="B14332" s="0" t="s">
        <v>7</v>
      </c>
    </row>
    <row r="14333" customFormat="false" ht="12.8" hidden="false" customHeight="false" outlineLevel="0" collapsed="false">
      <c r="B14333" s="0" t="s">
        <v>5661</v>
      </c>
    </row>
    <row r="14335" customFormat="false" ht="12.8" hidden="false" customHeight="false" outlineLevel="0" collapsed="false">
      <c r="A14335" s="0" t="s">
        <v>5662</v>
      </c>
      <c r="B14335" s="0" t="str">
        <f aca="false">HYPERLINK("https://lindat.mff.cuni.cz/services/teitok/pdtc10/index.php?action=vallex&amp;frame=v-w1855f262_ZU", "mít (v-w1855f262_ZU)")</f>
        <v>mít (v-w1855f262_ZU)</v>
      </c>
    </row>
    <row r="14336" customFormat="false" ht="12.8" hidden="false" customHeight="false" outlineLevel="0" collapsed="false">
      <c r="B14336" s="0" t="s">
        <v>7</v>
      </c>
    </row>
    <row r="14337" customFormat="false" ht="12.8" hidden="false" customHeight="false" outlineLevel="0" collapsed="false">
      <c r="B14337" s="0" t="s">
        <v>5663</v>
      </c>
    </row>
    <row r="14339" customFormat="false" ht="12.8" hidden="false" customHeight="false" outlineLevel="0" collapsed="false">
      <c r="A14339" s="0" t="s">
        <v>5662</v>
      </c>
      <c r="B14339" s="0" t="str">
        <f aca="false">HYPERLINK("https://lindat.mff.cuni.cz/services/teitok/pdtc10/index.php?action=vallex&amp;frame=v-w1855f13", "mít (v-w1855f13) - substituted with v-w1855f262_ZU")</f>
        <v>mít (v-w1855f13) - substituted with v-w1855f262_ZU</v>
      </c>
    </row>
    <row r="14340" customFormat="false" ht="12.8" hidden="false" customHeight="false" outlineLevel="0" collapsed="false">
      <c r="B14340" s="0" t="s">
        <v>7</v>
      </c>
      <c r="C14340" s="0" t="s">
        <v>5664</v>
      </c>
    </row>
    <row r="14341" customFormat="false" ht="12.8" hidden="false" customHeight="false" outlineLevel="0" collapsed="false">
      <c r="B14341" s="0" t="s">
        <v>5663</v>
      </c>
      <c r="C14341" s="0" t="s">
        <v>5665</v>
      </c>
    </row>
    <row r="14343" customFormat="false" ht="12.8" hidden="false" customHeight="false" outlineLevel="0" collapsed="false">
      <c r="A14343" s="0" t="s">
        <v>5662</v>
      </c>
      <c r="B14343" s="0" t="str">
        <f aca="false">HYPERLINK("https://lindat.mff.cuni.cz/services/teitok/pdtc10/index.php?action=vallex&amp;frame=v-w1855f191_ZU", "mít (v-w1855f191_ZU) - substituted with v-w1855f262_ZU")</f>
        <v>mít (v-w1855f191_ZU) - substituted with v-w1855f262_ZU</v>
      </c>
    </row>
    <row r="14344" customFormat="false" ht="12.8" hidden="false" customHeight="false" outlineLevel="0" collapsed="false">
      <c r="B14344" s="0" t="s">
        <v>7</v>
      </c>
    </row>
    <row r="14345" customFormat="false" ht="12.8" hidden="false" customHeight="false" outlineLevel="0" collapsed="false">
      <c r="B14345" s="0" t="s">
        <v>5663</v>
      </c>
    </row>
    <row r="14347" customFormat="false" ht="12.8" hidden="false" customHeight="false" outlineLevel="0" collapsed="false">
      <c r="A14347" s="0" t="s">
        <v>5662</v>
      </c>
      <c r="B14347" s="0" t="str">
        <f aca="false">HYPERLINK("https://lindat.mff.cuni.cz/services/teitok/pdtc10/index.php?action=vallex&amp;frame=v-w1855hsa_1118", "mít (v-w1855hsa_1118) - substituted with v-w1855f262_ZU")</f>
        <v>mít (v-w1855hsa_1118) - substituted with v-w1855f262_ZU</v>
      </c>
    </row>
    <row r="14348" customFormat="false" ht="12.8" hidden="false" customHeight="false" outlineLevel="0" collapsed="false">
      <c r="B14348" s="0" t="s">
        <v>7</v>
      </c>
      <c r="C14348" s="0" t="s">
        <v>1286</v>
      </c>
    </row>
    <row r="14349" customFormat="false" ht="12.8" hidden="false" customHeight="false" outlineLevel="0" collapsed="false">
      <c r="B14349" s="0" t="s">
        <v>5663</v>
      </c>
      <c r="C14349" s="0" t="s">
        <v>2359</v>
      </c>
    </row>
    <row r="14351" customFormat="false" ht="12.8" hidden="false" customHeight="false" outlineLevel="0" collapsed="false">
      <c r="A14351" s="0" t="s">
        <v>5666</v>
      </c>
      <c r="B14351" s="0" t="str">
        <f aca="false">HYPERLINK("https://lindat.mff.cuni.cz/services/teitok/pdtc10/index.php?action=vallex&amp;frame=v-w1855f214_ZU", "mít (v-w1855f214_ZU)")</f>
        <v>mít (v-w1855f214_ZU)</v>
      </c>
    </row>
    <row r="14352" customFormat="false" ht="12.8" hidden="false" customHeight="false" outlineLevel="0" collapsed="false">
      <c r="B14352" s="0" t="s">
        <v>7</v>
      </c>
    </row>
    <row r="14353" customFormat="false" ht="12.8" hidden="false" customHeight="false" outlineLevel="0" collapsed="false">
      <c r="B14353" s="0" t="s">
        <v>5667</v>
      </c>
    </row>
    <row r="14355" customFormat="false" ht="12.8" hidden="false" customHeight="false" outlineLevel="0" collapsed="false">
      <c r="A14355" s="0" t="s">
        <v>5666</v>
      </c>
      <c r="B14355" s="0" t="str">
        <f aca="false">HYPERLINK("https://lindat.mff.cuni.cz/services/teitok/pdtc10/index.php?action=vallex&amp;frame=v-w1855f20", "mít (v-w1855f20) - substituted with v-w1855f214_ZU")</f>
        <v>mít (v-w1855f20) - substituted with v-w1855f214_ZU</v>
      </c>
    </row>
    <row r="14356" customFormat="false" ht="12.8" hidden="false" customHeight="false" outlineLevel="0" collapsed="false">
      <c r="B14356" s="0" t="s">
        <v>7</v>
      </c>
      <c r="C14356" s="0" t="s">
        <v>5668</v>
      </c>
    </row>
    <row r="14357" customFormat="false" ht="12.8" hidden="false" customHeight="false" outlineLevel="0" collapsed="false">
      <c r="B14357" s="0" t="s">
        <v>5667</v>
      </c>
      <c r="C14357" s="0" t="s">
        <v>5669</v>
      </c>
    </row>
    <row r="14359" customFormat="false" ht="12.8" hidden="false" customHeight="false" outlineLevel="0" collapsed="false">
      <c r="A14359" s="0" t="s">
        <v>5666</v>
      </c>
      <c r="B14359" s="0" t="str">
        <f aca="false">HYPERLINK("https://lindat.mff.cuni.cz/services/teitok/pdtc10/index.php?action=vallex&amp;frame=v-w1855f205_ZU", "mít (v-w1855f205_ZU) - substituted with v-w1855f214_ZU")</f>
        <v>mít (v-w1855f205_ZU) - substituted with v-w1855f214_ZU</v>
      </c>
    </row>
    <row r="14360" customFormat="false" ht="12.8" hidden="false" customHeight="false" outlineLevel="0" collapsed="false">
      <c r="B14360" s="0" t="s">
        <v>7</v>
      </c>
      <c r="C14360" s="0" t="s">
        <v>5670</v>
      </c>
    </row>
    <row r="14361" customFormat="false" ht="12.8" hidden="false" customHeight="false" outlineLevel="0" collapsed="false">
      <c r="B14361" s="0" t="s">
        <v>5667</v>
      </c>
      <c r="C14361" s="0" t="s">
        <v>5671</v>
      </c>
    </row>
    <row r="14363" customFormat="false" ht="12.8" hidden="false" customHeight="false" outlineLevel="0" collapsed="false">
      <c r="A14363" s="0" t="s">
        <v>5666</v>
      </c>
      <c r="B14363" s="0" t="str">
        <f aca="false">HYPERLINK("https://lindat.mff.cuni.cz/services/teitok/pdtc10/index.php?action=vallex&amp;frame=v-w1855hsa_1114", "mít (v-w1855hsa_1114) - substituted with v-w1855f214_ZU")</f>
        <v>mít (v-w1855hsa_1114) - substituted with v-w1855f214_ZU</v>
      </c>
    </row>
    <row r="14364" customFormat="false" ht="12.8" hidden="false" customHeight="false" outlineLevel="0" collapsed="false">
      <c r="B14364" s="0" t="s">
        <v>7</v>
      </c>
    </row>
    <row r="14365" customFormat="false" ht="12.8" hidden="false" customHeight="false" outlineLevel="0" collapsed="false">
      <c r="B14365" s="0" t="s">
        <v>5667</v>
      </c>
    </row>
    <row r="14367" customFormat="false" ht="12.8" hidden="false" customHeight="false" outlineLevel="0" collapsed="false">
      <c r="A14367" s="0" t="s">
        <v>5666</v>
      </c>
      <c r="B14367" s="0" t="str">
        <f aca="false">HYPERLINK("https://lindat.mff.cuni.cz/services/teitok/pdtc10/index.php?action=vallex&amp;frame=v-w1855hsa_1124", "mít (v-w1855hsa_1124) - substituted with v-w1855f214_ZU")</f>
        <v>mít (v-w1855hsa_1124) - substituted with v-w1855f214_ZU</v>
      </c>
    </row>
    <row r="14368" customFormat="false" ht="12.8" hidden="false" customHeight="false" outlineLevel="0" collapsed="false">
      <c r="B14368" s="0" t="s">
        <v>7</v>
      </c>
    </row>
    <row r="14369" customFormat="false" ht="12.8" hidden="false" customHeight="false" outlineLevel="0" collapsed="false">
      <c r="B14369" s="0" t="s">
        <v>5667</v>
      </c>
    </row>
    <row r="14371" customFormat="false" ht="12.8" hidden="false" customHeight="false" outlineLevel="0" collapsed="false">
      <c r="A14371" s="0" t="s">
        <v>5672</v>
      </c>
      <c r="B14371" s="0" t="str">
        <f aca="false">HYPERLINK("https://lindat.mff.cuni.cz/services/teitok/pdtc10/index.php?action=vallex&amp;frame=v-w1855f35", "mít (v-w1855f35)")</f>
        <v>mít (v-w1855f35)</v>
      </c>
    </row>
    <row r="14372" customFormat="false" ht="12.8" hidden="false" customHeight="false" outlineLevel="0" collapsed="false">
      <c r="B14372" s="0" t="s">
        <v>7</v>
      </c>
      <c r="C14372" s="0" t="s">
        <v>5673</v>
      </c>
    </row>
    <row r="14373" customFormat="false" ht="12.8" hidden="false" customHeight="false" outlineLevel="0" collapsed="false">
      <c r="B14373" s="0" t="s">
        <v>5674</v>
      </c>
      <c r="C14373" s="0" t="s">
        <v>5675</v>
      </c>
    </row>
    <row r="14375" customFormat="false" ht="12.8" hidden="false" customHeight="false" outlineLevel="0" collapsed="false">
      <c r="A14375" s="0" t="s">
        <v>5676</v>
      </c>
      <c r="B14375" s="0" t="str">
        <f aca="false">HYPERLINK("https://lindat.mff.cuni.cz/services/teitok/pdtc10/index.php?action=vallex&amp;frame=v-w1855f349_MM", "mít (v-w1855f349_MM)")</f>
        <v>mít (v-w1855f349_MM)</v>
      </c>
    </row>
    <row r="14376" customFormat="false" ht="12.8" hidden="false" customHeight="false" outlineLevel="0" collapsed="false">
      <c r="B14376" s="0" t="s">
        <v>7</v>
      </c>
    </row>
    <row r="14377" customFormat="false" ht="12.8" hidden="false" customHeight="false" outlineLevel="0" collapsed="false">
      <c r="B14377" s="0" t="s">
        <v>5677</v>
      </c>
    </row>
    <row r="14379" customFormat="false" ht="12.8" hidden="false" customHeight="false" outlineLevel="0" collapsed="false">
      <c r="A14379" s="0" t="s">
        <v>5676</v>
      </c>
      <c r="B14379" s="0" t="str">
        <f aca="false">HYPERLINK("https://lindat.mff.cuni.cz/services/teitok/pdtc10/index.php?action=vallex&amp;frame=v-w1855f336_ZU", "mít (v-w1855f336_ZU) - substituted with v-w1855f349_MM")</f>
        <v>mít (v-w1855f336_ZU) - substituted with v-w1855f349_MM</v>
      </c>
    </row>
    <row r="14380" customFormat="false" ht="12.8" hidden="false" customHeight="false" outlineLevel="0" collapsed="false">
      <c r="B14380" s="0" t="s">
        <v>7</v>
      </c>
    </row>
    <row r="14381" customFormat="false" ht="12.8" hidden="false" customHeight="false" outlineLevel="0" collapsed="false">
      <c r="B14381" s="0" t="s">
        <v>5677</v>
      </c>
    </row>
    <row r="14383" customFormat="false" ht="12.8" hidden="false" customHeight="false" outlineLevel="0" collapsed="false">
      <c r="A14383" s="0" t="s">
        <v>5676</v>
      </c>
      <c r="B14383" s="0" t="str">
        <f aca="false">HYPERLINK("https://lindat.mff.cuni.cz/services/teitok/pdtc10/index.php?action=vallex&amp;frame=v-w1855f34", "mít (v-w1855f34) - substituted with v-w1855f349_MM")</f>
        <v>mít (v-w1855f34) - substituted with v-w1855f349_MM</v>
      </c>
    </row>
    <row r="14384" customFormat="false" ht="12.8" hidden="false" customHeight="false" outlineLevel="0" collapsed="false">
      <c r="B14384" s="0" t="s">
        <v>7</v>
      </c>
      <c r="C14384" s="0" t="s">
        <v>5678</v>
      </c>
    </row>
    <row r="14385" customFormat="false" ht="12.8" hidden="false" customHeight="false" outlineLevel="0" collapsed="false">
      <c r="B14385" s="0" t="s">
        <v>5677</v>
      </c>
      <c r="C14385" s="0" t="s">
        <v>5679</v>
      </c>
    </row>
    <row r="14387" customFormat="false" ht="12.8" hidden="false" customHeight="false" outlineLevel="0" collapsed="false">
      <c r="A14387" s="0" t="s">
        <v>5676</v>
      </c>
      <c r="B14387" s="0" t="str">
        <f aca="false">HYPERLINK("https://lindat.mff.cuni.cz/services/teitok/pdtc10/index.php?action=vallex&amp;frame=v-w1855hsa_1127", "mít (v-w1855hsa_1127) - substituted with v-w1855f349_MM")</f>
        <v>mít (v-w1855hsa_1127) - substituted with v-w1855f349_MM</v>
      </c>
    </row>
    <row r="14388" customFormat="false" ht="12.8" hidden="false" customHeight="false" outlineLevel="0" collapsed="false">
      <c r="B14388" s="0" t="s">
        <v>7</v>
      </c>
      <c r="C14388" s="0" t="s">
        <v>335</v>
      </c>
    </row>
    <row r="14389" customFormat="false" ht="12.8" hidden="false" customHeight="false" outlineLevel="0" collapsed="false">
      <c r="B14389" s="0" t="s">
        <v>5677</v>
      </c>
      <c r="C14389" s="0" t="s">
        <v>5680</v>
      </c>
    </row>
    <row r="14391" customFormat="false" ht="12.8" hidden="false" customHeight="false" outlineLevel="0" collapsed="false">
      <c r="A14391" s="0" t="s">
        <v>5676</v>
      </c>
      <c r="B14391" s="0" t="str">
        <f aca="false">HYPERLINK("https://lindat.mff.cuni.cz/services/teitok/pdtc10/index.php?action=vallex&amp;frame=v-w1855hsa_979", "mít (v-w1855hsa_979) - substituted with v-w1855f349_MM")</f>
        <v>mít (v-w1855hsa_979) - substituted with v-w1855f349_MM</v>
      </c>
    </row>
    <row r="14392" customFormat="false" ht="12.8" hidden="false" customHeight="false" outlineLevel="0" collapsed="false">
      <c r="B14392" s="0" t="s">
        <v>7</v>
      </c>
    </row>
    <row r="14393" customFormat="false" ht="12.8" hidden="false" customHeight="false" outlineLevel="0" collapsed="false">
      <c r="B14393" s="0" t="s">
        <v>5677</v>
      </c>
    </row>
    <row r="14395" customFormat="false" ht="12.8" hidden="false" customHeight="false" outlineLevel="0" collapsed="false">
      <c r="A14395" s="0" t="s">
        <v>5681</v>
      </c>
      <c r="B14395" s="0" t="str">
        <f aca="false">HYPERLINK("https://lindat.mff.cuni.cz/services/teitok/pdtc10/index.php?action=vallex&amp;frame=v-w1855hsa_980", "mít (v-w1855hsa_980)")</f>
        <v>mít (v-w1855hsa_980)</v>
      </c>
    </row>
    <row r="14396" customFormat="false" ht="12.8" hidden="false" customHeight="false" outlineLevel="0" collapsed="false">
      <c r="B14396" s="0" t="s">
        <v>7</v>
      </c>
    </row>
    <row r="14397" customFormat="false" ht="12.8" hidden="false" customHeight="false" outlineLevel="0" collapsed="false">
      <c r="B14397" s="0" t="s">
        <v>5682</v>
      </c>
    </row>
    <row r="14399" customFormat="false" ht="12.8" hidden="false" customHeight="false" outlineLevel="0" collapsed="false">
      <c r="A14399" s="0" t="s">
        <v>5681</v>
      </c>
      <c r="B14399" s="0" t="str">
        <f aca="false">HYPERLINK("https://lindat.mff.cuni.cz/services/teitok/pdtc10/index.php?action=vallex&amp;frame=v-w1855f6", "mít (v-w1855f6) - substituted with v-w1855hsa_980")</f>
        <v>mít (v-w1855f6) - substituted with v-w1855hsa_980</v>
      </c>
    </row>
    <row r="14400" customFormat="false" ht="12.8" hidden="false" customHeight="false" outlineLevel="0" collapsed="false">
      <c r="B14400" s="0" t="s">
        <v>7</v>
      </c>
      <c r="C14400" s="0" t="s">
        <v>5683</v>
      </c>
    </row>
    <row r="14401" customFormat="false" ht="12.8" hidden="false" customHeight="false" outlineLevel="0" collapsed="false">
      <c r="B14401" s="0" t="s">
        <v>5682</v>
      </c>
      <c r="C14401" s="0" t="s">
        <v>5684</v>
      </c>
    </row>
    <row r="14403" customFormat="false" ht="12.8" hidden="false" customHeight="false" outlineLevel="0" collapsed="false">
      <c r="A14403" s="0" t="s">
        <v>5685</v>
      </c>
      <c r="B14403" s="0" t="str">
        <f aca="false">HYPERLINK("https://lindat.mff.cuni.cz/services/teitok/pdtc10/index.php?action=vallex&amp;frame=v-w1855f173_ZU", "mít (v-w1855f173_ZU)")</f>
        <v>mít (v-w1855f173_ZU)</v>
      </c>
    </row>
    <row r="14404" customFormat="false" ht="12.8" hidden="false" customHeight="false" outlineLevel="0" collapsed="false">
      <c r="B14404" s="0" t="s">
        <v>7</v>
      </c>
      <c r="C14404" s="0" t="s">
        <v>1286</v>
      </c>
    </row>
    <row r="14405" customFormat="false" ht="12.8" hidden="false" customHeight="false" outlineLevel="0" collapsed="false">
      <c r="B14405" s="0" t="s">
        <v>5686</v>
      </c>
      <c r="C14405" s="0" t="s">
        <v>2359</v>
      </c>
    </row>
    <row r="14407" customFormat="false" ht="12.8" hidden="false" customHeight="false" outlineLevel="0" collapsed="false">
      <c r="A14407" s="0" t="s">
        <v>5685</v>
      </c>
      <c r="B14407" s="0" t="str">
        <f aca="false">HYPERLINK("https://lindat.mff.cuni.cz/services/teitok/pdtc10/index.php?action=vallex&amp;frame=v-w1855f45", "mít (v-w1855f45) - substituted with v-w1855f173_ZU")</f>
        <v>mít (v-w1855f45) - substituted with v-w1855f173_ZU</v>
      </c>
    </row>
    <row r="14408" customFormat="false" ht="12.8" hidden="false" customHeight="false" outlineLevel="0" collapsed="false">
      <c r="B14408" s="0" t="s">
        <v>7</v>
      </c>
      <c r="C14408" s="0" t="s">
        <v>1286</v>
      </c>
    </row>
    <row r="14409" customFormat="false" ht="12.8" hidden="false" customHeight="false" outlineLevel="0" collapsed="false">
      <c r="B14409" s="0" t="s">
        <v>5686</v>
      </c>
      <c r="C14409" s="0" t="s">
        <v>2359</v>
      </c>
    </row>
    <row r="14411" customFormat="false" ht="12.8" hidden="false" customHeight="false" outlineLevel="0" collapsed="false">
      <c r="A14411" s="0" t="s">
        <v>5685</v>
      </c>
      <c r="B14411" s="0" t="str">
        <f aca="false">HYPERLINK("https://lindat.mff.cuni.cz/services/teitok/pdtc10/index.php?action=vallex&amp;frame=v-w1855hsa_1113", "mít (v-w1855hsa_1113) - substituted with v-w1855f173_ZU")</f>
        <v>mít (v-w1855hsa_1113) - substituted with v-w1855f173_ZU</v>
      </c>
    </row>
    <row r="14412" customFormat="false" ht="12.8" hidden="false" customHeight="false" outlineLevel="0" collapsed="false">
      <c r="B14412" s="0" t="s">
        <v>7</v>
      </c>
    </row>
    <row r="14413" customFormat="false" ht="12.8" hidden="false" customHeight="false" outlineLevel="0" collapsed="false">
      <c r="B14413" s="0" t="s">
        <v>5686</v>
      </c>
    </row>
    <row r="14415" customFormat="false" ht="12.8" hidden="false" customHeight="false" outlineLevel="0" collapsed="false">
      <c r="A14415" s="0" t="s">
        <v>5687</v>
      </c>
      <c r="B14415" s="0" t="str">
        <f aca="false">HYPERLINK("https://lindat.mff.cuni.cz/services/teitok/pdtc10/index.php?action=vallex&amp;frame=v-w1855f161_ZU", "mít (v-w1855f161_ZU)")</f>
        <v>mít (v-w1855f161_ZU)</v>
      </c>
    </row>
    <row r="14416" customFormat="false" ht="12.8" hidden="false" customHeight="false" outlineLevel="0" collapsed="false">
      <c r="B14416" s="0" t="s">
        <v>7</v>
      </c>
      <c r="C14416" s="0" t="s">
        <v>1286</v>
      </c>
    </row>
    <row r="14417" customFormat="false" ht="12.8" hidden="false" customHeight="false" outlineLevel="0" collapsed="false">
      <c r="B14417" s="0" t="s">
        <v>5688</v>
      </c>
      <c r="C14417" s="0" t="s">
        <v>2359</v>
      </c>
    </row>
    <row r="14419" customFormat="false" ht="12.8" hidden="false" customHeight="false" outlineLevel="0" collapsed="false">
      <c r="A14419" s="0" t="s">
        <v>5687</v>
      </c>
      <c r="B14419" s="0" t="str">
        <f aca="false">HYPERLINK("https://lindat.mff.cuni.cz/services/teitok/pdtc10/index.php?action=vallex&amp;frame=v-w1855f107_ZU", "mít (v-w1855f107_ZU) - substituted with v-w1855f161_ZU")</f>
        <v>mít (v-w1855f107_ZU) - substituted with v-w1855f161_ZU</v>
      </c>
    </row>
    <row r="14420" customFormat="false" ht="12.8" hidden="false" customHeight="false" outlineLevel="0" collapsed="false">
      <c r="B14420" s="0" t="s">
        <v>7</v>
      </c>
    </row>
    <row r="14421" customFormat="false" ht="12.8" hidden="false" customHeight="false" outlineLevel="0" collapsed="false">
      <c r="B14421" s="0" t="s">
        <v>5688</v>
      </c>
    </row>
    <row r="14423" customFormat="false" ht="12.8" hidden="false" customHeight="false" outlineLevel="0" collapsed="false">
      <c r="A14423" s="0" t="s">
        <v>5687</v>
      </c>
      <c r="B14423" s="0" t="str">
        <f aca="false">HYPERLINK("https://lindat.mff.cuni.cz/services/teitok/pdtc10/index.php?action=vallex&amp;frame=v-w1855f108_ZU", "mít (v-w1855f108_ZU) - substituted with v-w1855f161_ZU")</f>
        <v>mít (v-w1855f108_ZU) - substituted with v-w1855f161_ZU</v>
      </c>
    </row>
    <row r="14424" customFormat="false" ht="12.8" hidden="false" customHeight="false" outlineLevel="0" collapsed="false">
      <c r="B14424" s="0" t="s">
        <v>7</v>
      </c>
    </row>
    <row r="14425" customFormat="false" ht="12.8" hidden="false" customHeight="false" outlineLevel="0" collapsed="false">
      <c r="B14425" s="0" t="s">
        <v>5688</v>
      </c>
    </row>
    <row r="14427" customFormat="false" ht="12.8" hidden="false" customHeight="false" outlineLevel="0" collapsed="false">
      <c r="A14427" s="0" t="s">
        <v>5687</v>
      </c>
      <c r="B14427" s="0" t="str">
        <f aca="false">HYPERLINK("https://lindat.mff.cuni.cz/services/teitok/pdtc10/index.php?action=vallex&amp;frame=v-w1855f111_ZU", "mít (v-w1855f111_ZU) - substituted with v-w1855f161_ZU")</f>
        <v>mít (v-w1855f111_ZU) - substituted with v-w1855f161_ZU</v>
      </c>
    </row>
    <row r="14428" customFormat="false" ht="12.8" hidden="false" customHeight="false" outlineLevel="0" collapsed="false">
      <c r="B14428" s="0" t="s">
        <v>7</v>
      </c>
      <c r="C14428" s="0" t="s">
        <v>5689</v>
      </c>
    </row>
    <row r="14429" customFormat="false" ht="12.8" hidden="false" customHeight="false" outlineLevel="0" collapsed="false">
      <c r="B14429" s="0" t="s">
        <v>5688</v>
      </c>
      <c r="C14429" s="0" t="s">
        <v>2359</v>
      </c>
    </row>
    <row r="14431" customFormat="false" ht="12.8" hidden="false" customHeight="false" outlineLevel="0" collapsed="false">
      <c r="A14431" s="0" t="s">
        <v>5690</v>
      </c>
      <c r="B14431" s="0" t="str">
        <f aca="false">HYPERLINK("https://lindat.mff.cuni.cz/services/teitok/pdtc10/index.php?action=vallex&amp;frame=v-w1855f346_MM", "mít (v-w1855f346_MM)")</f>
        <v>mít (v-w1855f346_MM)</v>
      </c>
    </row>
    <row r="14432" customFormat="false" ht="12.8" hidden="false" customHeight="false" outlineLevel="0" collapsed="false">
      <c r="B14432" s="0" t="s">
        <v>7</v>
      </c>
    </row>
    <row r="14433" customFormat="false" ht="12.8" hidden="false" customHeight="false" outlineLevel="0" collapsed="false">
      <c r="B14433" s="0" t="s">
        <v>5691</v>
      </c>
    </row>
    <row r="14435" customFormat="false" ht="12.8" hidden="false" customHeight="false" outlineLevel="0" collapsed="false">
      <c r="A14435" s="0" t="s">
        <v>5690</v>
      </c>
      <c r="B14435" s="0" t="str">
        <f aca="false">HYPERLINK("https://lindat.mff.cuni.cz/services/teitok/pdtc10/index.php?action=vallex&amp;frame=v-w1855f115_ZU", "mít (v-w1855f115_ZU) - substituted with v-w1855f346_MM")</f>
        <v>mít (v-w1855f115_ZU) - substituted with v-w1855f346_MM</v>
      </c>
    </row>
    <row r="14436" customFormat="false" ht="12.8" hidden="false" customHeight="false" outlineLevel="0" collapsed="false">
      <c r="B14436" s="0" t="s">
        <v>7</v>
      </c>
    </row>
    <row r="14437" customFormat="false" ht="12.8" hidden="false" customHeight="false" outlineLevel="0" collapsed="false">
      <c r="B14437" s="0" t="s">
        <v>5691</v>
      </c>
    </row>
    <row r="14439" customFormat="false" ht="12.8" hidden="false" customHeight="false" outlineLevel="0" collapsed="false">
      <c r="A14439" s="0" t="s">
        <v>5690</v>
      </c>
      <c r="B14439" s="0" t="str">
        <f aca="false">HYPERLINK("https://lindat.mff.cuni.cz/services/teitok/pdtc10/index.php?action=vallex&amp;frame=v-w1855f128_ZU", "mít (v-w1855f128_ZU) - substituted with v-w1855f346_MM")</f>
        <v>mít (v-w1855f128_ZU) - substituted with v-w1855f346_MM</v>
      </c>
    </row>
    <row r="14440" customFormat="false" ht="12.8" hidden="false" customHeight="false" outlineLevel="0" collapsed="false">
      <c r="B14440" s="0" t="s">
        <v>7</v>
      </c>
      <c r="C14440" s="0" t="s">
        <v>1286</v>
      </c>
    </row>
    <row r="14441" customFormat="false" ht="12.8" hidden="false" customHeight="false" outlineLevel="0" collapsed="false">
      <c r="B14441" s="0" t="s">
        <v>5691</v>
      </c>
      <c r="C14441" s="0" t="s">
        <v>2359</v>
      </c>
    </row>
    <row r="14443" customFormat="false" ht="12.8" hidden="false" customHeight="false" outlineLevel="0" collapsed="false">
      <c r="A14443" s="0" t="s">
        <v>5690</v>
      </c>
      <c r="B14443" s="0" t="str">
        <f aca="false">HYPERLINK("https://lindat.mff.cuni.cz/services/teitok/pdtc10/index.php?action=vallex&amp;frame=v-w1855f156_ZU", "mít (v-w1855f156_ZU) - substituted with v-w1855f346_MM")</f>
        <v>mít (v-w1855f156_ZU) - substituted with v-w1855f346_MM</v>
      </c>
    </row>
    <row r="14444" customFormat="false" ht="12.8" hidden="false" customHeight="false" outlineLevel="0" collapsed="false">
      <c r="B14444" s="0" t="s">
        <v>7</v>
      </c>
    </row>
    <row r="14445" customFormat="false" ht="12.8" hidden="false" customHeight="false" outlineLevel="0" collapsed="false">
      <c r="B14445" s="0" t="s">
        <v>5691</v>
      </c>
    </row>
    <row r="14447" customFormat="false" ht="12.8" hidden="false" customHeight="false" outlineLevel="0" collapsed="false">
      <c r="A14447" s="0" t="s">
        <v>5690</v>
      </c>
      <c r="B14447" s="0" t="str">
        <f aca="false">HYPERLINK("https://lindat.mff.cuni.cz/services/teitok/pdtc10/index.php?action=vallex&amp;frame=v-w1855f160_ZU", "mít (v-w1855f160_ZU) - substituted with v-w1855f346_MM")</f>
        <v>mít (v-w1855f160_ZU) - substituted with v-w1855f346_MM</v>
      </c>
    </row>
    <row r="14448" customFormat="false" ht="12.8" hidden="false" customHeight="false" outlineLevel="0" collapsed="false">
      <c r="B14448" s="0" t="s">
        <v>7</v>
      </c>
    </row>
    <row r="14449" customFormat="false" ht="12.8" hidden="false" customHeight="false" outlineLevel="0" collapsed="false">
      <c r="B14449" s="0" t="s">
        <v>5691</v>
      </c>
    </row>
    <row r="14451" customFormat="false" ht="12.8" hidden="false" customHeight="false" outlineLevel="0" collapsed="false">
      <c r="A14451" s="0" t="s">
        <v>5690</v>
      </c>
      <c r="B14451" s="0" t="str">
        <f aca="false">HYPERLINK("https://lindat.mff.cuni.cz/services/teitok/pdtc10/index.php?action=vallex&amp;frame=v-w1855f164_ZU", "mít (v-w1855f164_ZU) - substituted with v-w1855f346_MM")</f>
        <v>mít (v-w1855f164_ZU) - substituted with v-w1855f346_MM</v>
      </c>
    </row>
    <row r="14452" customFormat="false" ht="12.8" hidden="false" customHeight="false" outlineLevel="0" collapsed="false">
      <c r="B14452" s="0" t="s">
        <v>7</v>
      </c>
      <c r="C14452" s="0" t="s">
        <v>5692</v>
      </c>
    </row>
    <row r="14453" customFormat="false" ht="12.8" hidden="false" customHeight="false" outlineLevel="0" collapsed="false">
      <c r="B14453" s="0" t="s">
        <v>5691</v>
      </c>
      <c r="C14453" s="0" t="s">
        <v>5693</v>
      </c>
    </row>
    <row r="14455" customFormat="false" ht="12.8" hidden="false" customHeight="false" outlineLevel="0" collapsed="false">
      <c r="A14455" s="0" t="s">
        <v>5690</v>
      </c>
      <c r="B14455" s="0" t="str">
        <f aca="false">HYPERLINK("https://lindat.mff.cuni.cz/services/teitok/pdtc10/index.php?action=vallex&amp;frame=v-w1855f165_ZU", "mít (v-w1855f165_ZU) - substituted with v-w1855f346_MM")</f>
        <v>mít (v-w1855f165_ZU) - substituted with v-w1855f346_MM</v>
      </c>
    </row>
    <row r="14456" customFormat="false" ht="12.8" hidden="false" customHeight="false" outlineLevel="0" collapsed="false">
      <c r="B14456" s="0" t="s">
        <v>7</v>
      </c>
      <c r="C14456" s="0" t="s">
        <v>1286</v>
      </c>
    </row>
    <row r="14457" customFormat="false" ht="12.8" hidden="false" customHeight="false" outlineLevel="0" collapsed="false">
      <c r="B14457" s="0" t="s">
        <v>5691</v>
      </c>
      <c r="C14457" s="0" t="s">
        <v>2359</v>
      </c>
    </row>
    <row r="14459" customFormat="false" ht="12.8" hidden="false" customHeight="false" outlineLevel="0" collapsed="false">
      <c r="A14459" s="0" t="s">
        <v>5690</v>
      </c>
      <c r="B14459" s="0" t="str">
        <f aca="false">HYPERLINK("https://lindat.mff.cuni.cz/services/teitok/pdtc10/index.php?action=vallex&amp;frame=v-w1855f169_ZU", "mít (v-w1855f169_ZU) - substituted with v-w1855f346_MM")</f>
        <v>mít (v-w1855f169_ZU) - substituted with v-w1855f346_MM</v>
      </c>
    </row>
    <row r="14460" customFormat="false" ht="12.8" hidden="false" customHeight="false" outlineLevel="0" collapsed="false">
      <c r="B14460" s="0" t="s">
        <v>7</v>
      </c>
    </row>
    <row r="14461" customFormat="false" ht="12.8" hidden="false" customHeight="false" outlineLevel="0" collapsed="false">
      <c r="B14461" s="0" t="s">
        <v>5691</v>
      </c>
    </row>
    <row r="14463" customFormat="false" ht="12.8" hidden="false" customHeight="false" outlineLevel="0" collapsed="false">
      <c r="A14463" s="0" t="s">
        <v>5690</v>
      </c>
      <c r="B14463" s="0" t="str">
        <f aca="false">HYPERLINK("https://lindat.mff.cuni.cz/services/teitok/pdtc10/index.php?action=vallex&amp;frame=v-w1855f171_ZU", "mít (v-w1855f171_ZU) - substituted with v-w1855f346_MM")</f>
        <v>mít (v-w1855f171_ZU) - substituted with v-w1855f346_MM</v>
      </c>
    </row>
    <row r="14464" customFormat="false" ht="12.8" hidden="false" customHeight="false" outlineLevel="0" collapsed="false">
      <c r="B14464" s="0" t="s">
        <v>7</v>
      </c>
      <c r="C14464" s="0" t="s">
        <v>1286</v>
      </c>
    </row>
    <row r="14465" customFormat="false" ht="12.8" hidden="false" customHeight="false" outlineLevel="0" collapsed="false">
      <c r="B14465" s="0" t="s">
        <v>5691</v>
      </c>
      <c r="C14465" s="0" t="s">
        <v>2359</v>
      </c>
    </row>
    <row r="14467" customFormat="false" ht="12.8" hidden="false" customHeight="false" outlineLevel="0" collapsed="false">
      <c r="A14467" s="0" t="s">
        <v>5690</v>
      </c>
      <c r="B14467" s="0" t="str">
        <f aca="false">HYPERLINK("https://lindat.mff.cuni.cz/services/teitok/pdtc10/index.php?action=vallex&amp;frame=v-w1855f204_ZU", "mít (v-w1855f204_ZU) - substituted with v-w1855f346_MM")</f>
        <v>mít (v-w1855f204_ZU) - substituted with v-w1855f346_MM</v>
      </c>
    </row>
    <row r="14468" customFormat="false" ht="12.8" hidden="false" customHeight="false" outlineLevel="0" collapsed="false">
      <c r="B14468" s="0" t="s">
        <v>7</v>
      </c>
      <c r="C14468" s="0" t="s">
        <v>5694</v>
      </c>
    </row>
    <row r="14469" customFormat="false" ht="12.8" hidden="false" customHeight="false" outlineLevel="0" collapsed="false">
      <c r="B14469" s="0" t="s">
        <v>5691</v>
      </c>
      <c r="C14469" s="0" t="s">
        <v>5695</v>
      </c>
    </row>
    <row r="14471" customFormat="false" ht="12.8" hidden="false" customHeight="false" outlineLevel="0" collapsed="false">
      <c r="A14471" s="0" t="s">
        <v>5690</v>
      </c>
      <c r="B14471" s="0" t="str">
        <f aca="false">HYPERLINK("https://lindat.mff.cuni.cz/services/teitok/pdtc10/index.php?action=vallex&amp;frame=v-w1855f209_ZU", "mít (v-w1855f209_ZU) - substituted with v-w1855f346_MM")</f>
        <v>mít (v-w1855f209_ZU) - substituted with v-w1855f346_MM</v>
      </c>
    </row>
    <row r="14472" customFormat="false" ht="12.8" hidden="false" customHeight="false" outlineLevel="0" collapsed="false">
      <c r="B14472" s="0" t="s">
        <v>7</v>
      </c>
      <c r="C14472" s="0" t="s">
        <v>5692</v>
      </c>
    </row>
    <row r="14473" customFormat="false" ht="12.8" hidden="false" customHeight="false" outlineLevel="0" collapsed="false">
      <c r="B14473" s="0" t="s">
        <v>5691</v>
      </c>
      <c r="C14473" s="0" t="s">
        <v>5696</v>
      </c>
    </row>
    <row r="14475" customFormat="false" ht="12.8" hidden="false" customHeight="false" outlineLevel="0" collapsed="false">
      <c r="A14475" s="0" t="s">
        <v>5690</v>
      </c>
      <c r="B14475" s="0" t="str">
        <f aca="false">HYPERLINK("https://lindat.mff.cuni.cz/services/teitok/pdtc10/index.php?action=vallex&amp;frame=v-w1855f289_ZU", "mít (v-w1855f289_ZU) - substituted with v-w1855f346_MM")</f>
        <v>mít (v-w1855f289_ZU) - substituted with v-w1855f346_MM</v>
      </c>
    </row>
    <row r="14476" customFormat="false" ht="12.8" hidden="false" customHeight="false" outlineLevel="0" collapsed="false">
      <c r="B14476" s="0" t="s">
        <v>7</v>
      </c>
    </row>
    <row r="14477" customFormat="false" ht="12.8" hidden="false" customHeight="false" outlineLevel="0" collapsed="false">
      <c r="B14477" s="0" t="s">
        <v>5691</v>
      </c>
    </row>
    <row r="14479" customFormat="false" ht="12.8" hidden="false" customHeight="false" outlineLevel="0" collapsed="false">
      <c r="A14479" s="0" t="s">
        <v>5690</v>
      </c>
      <c r="B14479" s="0" t="str">
        <f aca="false">HYPERLINK("https://lindat.mff.cuni.cz/services/teitok/pdtc10/index.php?action=vallex&amp;frame=v-w1855f304_ZU", "mít (v-w1855f304_ZU) - substituted with v-w1855f346_MM")</f>
        <v>mít (v-w1855f304_ZU) - substituted with v-w1855f346_MM</v>
      </c>
    </row>
    <row r="14480" customFormat="false" ht="12.8" hidden="false" customHeight="false" outlineLevel="0" collapsed="false">
      <c r="B14480" s="0" t="s">
        <v>7</v>
      </c>
    </row>
    <row r="14481" customFormat="false" ht="12.8" hidden="false" customHeight="false" outlineLevel="0" collapsed="false">
      <c r="B14481" s="0" t="s">
        <v>5691</v>
      </c>
    </row>
    <row r="14483" customFormat="false" ht="12.8" hidden="false" customHeight="false" outlineLevel="0" collapsed="false">
      <c r="A14483" s="0" t="s">
        <v>5690</v>
      </c>
      <c r="B14483" s="0" t="str">
        <f aca="false">HYPERLINK("https://lindat.mff.cuni.cz/services/teitok/pdtc10/index.php?action=vallex&amp;frame=v-w1855f316_ZU", "mít (v-w1855f316_ZU) - substituted with v-w1855f346_MM")</f>
        <v>mít (v-w1855f316_ZU) - substituted with v-w1855f346_MM</v>
      </c>
    </row>
    <row r="14484" customFormat="false" ht="12.8" hidden="false" customHeight="false" outlineLevel="0" collapsed="false">
      <c r="B14484" s="0" t="s">
        <v>7</v>
      </c>
    </row>
    <row r="14485" customFormat="false" ht="12.8" hidden="false" customHeight="false" outlineLevel="0" collapsed="false">
      <c r="B14485" s="0" t="s">
        <v>5691</v>
      </c>
    </row>
    <row r="14487" customFormat="false" ht="12.8" hidden="false" customHeight="false" outlineLevel="0" collapsed="false">
      <c r="A14487" s="0" t="s">
        <v>5690</v>
      </c>
      <c r="B14487" s="0" t="str">
        <f aca="false">HYPERLINK("https://lindat.mff.cuni.cz/services/teitok/pdtc10/index.php?action=vallex&amp;frame=v-w1855f317_ZU", "mít (v-w1855f317_ZU) - substituted with v-w1855f346_MM")</f>
        <v>mít (v-w1855f317_ZU) - substituted with v-w1855f346_MM</v>
      </c>
    </row>
    <row r="14488" customFormat="false" ht="12.8" hidden="false" customHeight="false" outlineLevel="0" collapsed="false">
      <c r="B14488" s="0" t="s">
        <v>7</v>
      </c>
    </row>
    <row r="14489" customFormat="false" ht="12.8" hidden="false" customHeight="false" outlineLevel="0" collapsed="false">
      <c r="B14489" s="0" t="s">
        <v>5691</v>
      </c>
    </row>
    <row r="14491" customFormat="false" ht="12.8" hidden="false" customHeight="false" outlineLevel="0" collapsed="false">
      <c r="A14491" s="0" t="s">
        <v>5690</v>
      </c>
      <c r="B14491" s="0" t="str">
        <f aca="false">HYPERLINK("https://lindat.mff.cuni.cz/services/teitok/pdtc10/index.php?action=vallex&amp;frame=v-w1855f330_ZU", "mít (v-w1855f330_ZU) - substituted with v-w1855f346_MM")</f>
        <v>mít (v-w1855f330_ZU) - substituted with v-w1855f346_MM</v>
      </c>
    </row>
    <row r="14492" customFormat="false" ht="12.8" hidden="false" customHeight="false" outlineLevel="0" collapsed="false">
      <c r="B14492" s="0" t="s">
        <v>7</v>
      </c>
    </row>
    <row r="14493" customFormat="false" ht="12.8" hidden="false" customHeight="false" outlineLevel="0" collapsed="false">
      <c r="B14493" s="0" t="s">
        <v>5691</v>
      </c>
    </row>
    <row r="14495" customFormat="false" ht="12.8" hidden="false" customHeight="false" outlineLevel="0" collapsed="false">
      <c r="A14495" s="0" t="s">
        <v>5690</v>
      </c>
      <c r="B14495" s="0" t="str">
        <f aca="false">HYPERLINK("https://lindat.mff.cuni.cz/services/teitok/pdtc10/index.php?action=vallex&amp;frame=v-w1855f4", "mít (v-w1855f4) - substituted with v-w1855f346_MM")</f>
        <v>mít (v-w1855f4) - substituted with v-w1855f346_MM</v>
      </c>
    </row>
    <row r="14496" customFormat="false" ht="12.8" hidden="false" customHeight="false" outlineLevel="0" collapsed="false">
      <c r="B14496" s="0" t="s">
        <v>7</v>
      </c>
      <c r="C14496" s="0" t="s">
        <v>5697</v>
      </c>
    </row>
    <row r="14497" customFormat="false" ht="12.8" hidden="false" customHeight="false" outlineLevel="0" collapsed="false">
      <c r="B14497" s="0" t="s">
        <v>5691</v>
      </c>
      <c r="C14497" s="0" t="s">
        <v>5698</v>
      </c>
    </row>
    <row r="14499" customFormat="false" ht="12.8" hidden="false" customHeight="false" outlineLevel="0" collapsed="false">
      <c r="A14499" s="0" t="s">
        <v>5690</v>
      </c>
      <c r="B14499" s="0" t="str">
        <f aca="false">HYPERLINK("https://lindat.mff.cuni.cz/services/teitok/pdtc10/index.php?action=vallex&amp;frame=v-w1855f91_ZU", "mít (v-w1855f91_ZU) - substituted with v-w1855f346_MM")</f>
        <v>mít (v-w1855f91_ZU) - substituted with v-w1855f346_MM</v>
      </c>
    </row>
    <row r="14500" customFormat="false" ht="12.8" hidden="false" customHeight="false" outlineLevel="0" collapsed="false">
      <c r="B14500" s="0" t="s">
        <v>7</v>
      </c>
      <c r="C14500" s="0" t="s">
        <v>1286</v>
      </c>
    </row>
    <row r="14501" customFormat="false" ht="12.8" hidden="false" customHeight="false" outlineLevel="0" collapsed="false">
      <c r="B14501" s="0" t="s">
        <v>5691</v>
      </c>
      <c r="C14501" s="0" t="s">
        <v>2359</v>
      </c>
    </row>
    <row r="14503" customFormat="false" ht="12.8" hidden="false" customHeight="false" outlineLevel="0" collapsed="false">
      <c r="A14503" s="0" t="s">
        <v>5690</v>
      </c>
      <c r="B14503" s="0" t="str">
        <f aca="false">HYPERLINK("https://lindat.mff.cuni.cz/services/teitok/pdtc10/index.php?action=vallex&amp;frame=v-w1855hsa_1109", "mít (v-w1855hsa_1109) - substituted with v-w1855f346_MM")</f>
        <v>mít (v-w1855hsa_1109) - substituted with v-w1855f346_MM</v>
      </c>
    </row>
    <row r="14504" customFormat="false" ht="12.8" hidden="false" customHeight="false" outlineLevel="0" collapsed="false">
      <c r="B14504" s="0" t="s">
        <v>7</v>
      </c>
    </row>
    <row r="14505" customFormat="false" ht="12.8" hidden="false" customHeight="false" outlineLevel="0" collapsed="false">
      <c r="B14505" s="0" t="s">
        <v>5691</v>
      </c>
    </row>
    <row r="14507" customFormat="false" ht="12.8" hidden="false" customHeight="false" outlineLevel="0" collapsed="false">
      <c r="A14507" s="0" t="s">
        <v>5699</v>
      </c>
      <c r="B14507" s="0" t="str">
        <f aca="false">HYPERLINK("https://lindat.mff.cuni.cz/services/teitok/pdtc10/index.php?action=vallex&amp;frame=v-w1855f328_ZU", "mít (v-w1855f328_ZU)")</f>
        <v>mít (v-w1855f328_ZU)</v>
      </c>
    </row>
    <row r="14508" customFormat="false" ht="12.8" hidden="false" customHeight="false" outlineLevel="0" collapsed="false">
      <c r="B14508" s="0" t="s">
        <v>7</v>
      </c>
    </row>
    <row r="14509" customFormat="false" ht="12.8" hidden="false" customHeight="false" outlineLevel="0" collapsed="false">
      <c r="B14509" s="0" t="s">
        <v>5700</v>
      </c>
    </row>
    <row r="14511" customFormat="false" ht="12.8" hidden="false" customHeight="false" outlineLevel="0" collapsed="false">
      <c r="A14511" s="0" t="s">
        <v>5699</v>
      </c>
      <c r="B14511" s="0" t="str">
        <f aca="false">HYPERLINK("https://lindat.mff.cuni.cz/services/teitok/pdtc10/index.php?action=vallex&amp;frame=v-w1855f132_ZU", "mít (v-w1855f132_ZU) - substituted with v-w1855f328_ZU")</f>
        <v>mít (v-w1855f132_ZU) - substituted with v-w1855f328_ZU</v>
      </c>
    </row>
    <row r="14512" customFormat="false" ht="12.8" hidden="false" customHeight="false" outlineLevel="0" collapsed="false">
      <c r="B14512" s="0" t="s">
        <v>7</v>
      </c>
      <c r="C14512" s="0" t="s">
        <v>1286</v>
      </c>
    </row>
    <row r="14513" customFormat="false" ht="12.8" hidden="false" customHeight="false" outlineLevel="0" collapsed="false">
      <c r="B14513" s="0" t="s">
        <v>5700</v>
      </c>
      <c r="C14513" s="0" t="s">
        <v>2359</v>
      </c>
    </row>
    <row r="14515" customFormat="false" ht="12.8" hidden="false" customHeight="false" outlineLevel="0" collapsed="false">
      <c r="A14515" s="0" t="s">
        <v>5699</v>
      </c>
      <c r="B14515" s="0" t="str">
        <f aca="false">HYPERLINK("https://lindat.mff.cuni.cz/services/teitok/pdtc10/index.php?action=vallex&amp;frame=v-w1855f149_ZU", "mít (v-w1855f149_ZU) - substituted with v-w1855f328_ZU")</f>
        <v>mít (v-w1855f149_ZU) - substituted with v-w1855f328_ZU</v>
      </c>
    </row>
    <row r="14516" customFormat="false" ht="12.8" hidden="false" customHeight="false" outlineLevel="0" collapsed="false">
      <c r="B14516" s="0" t="s">
        <v>7</v>
      </c>
    </row>
    <row r="14517" customFormat="false" ht="12.8" hidden="false" customHeight="false" outlineLevel="0" collapsed="false">
      <c r="B14517" s="0" t="s">
        <v>5700</v>
      </c>
    </row>
    <row r="14519" customFormat="false" ht="12.8" hidden="false" customHeight="false" outlineLevel="0" collapsed="false">
      <c r="A14519" s="0" t="s">
        <v>5699</v>
      </c>
      <c r="B14519" s="0" t="str">
        <f aca="false">HYPERLINK("https://lindat.mff.cuni.cz/services/teitok/pdtc10/index.php?action=vallex&amp;frame=v-w1855f152_ZU", "mít (v-w1855f152_ZU) - substituted with v-w1855f328_ZU")</f>
        <v>mít (v-w1855f152_ZU) - substituted with v-w1855f328_ZU</v>
      </c>
    </row>
    <row r="14520" customFormat="false" ht="12.8" hidden="false" customHeight="false" outlineLevel="0" collapsed="false">
      <c r="B14520" s="0" t="s">
        <v>7</v>
      </c>
      <c r="C14520" s="0" t="s">
        <v>1286</v>
      </c>
    </row>
    <row r="14521" customFormat="false" ht="12.8" hidden="false" customHeight="false" outlineLevel="0" collapsed="false">
      <c r="B14521" s="0" t="s">
        <v>5700</v>
      </c>
      <c r="C14521" s="0" t="s">
        <v>2359</v>
      </c>
    </row>
    <row r="14523" customFormat="false" ht="12.8" hidden="false" customHeight="false" outlineLevel="0" collapsed="false">
      <c r="A14523" s="0" t="s">
        <v>5699</v>
      </c>
      <c r="B14523" s="0" t="str">
        <f aca="false">HYPERLINK("https://lindat.mff.cuni.cz/services/teitok/pdtc10/index.php?action=vallex&amp;frame=v-w1855f153_ZU", "mít (v-w1855f153_ZU) - substituted with v-w1855f328_ZU")</f>
        <v>mít (v-w1855f153_ZU) - substituted with v-w1855f328_ZU</v>
      </c>
    </row>
    <row r="14524" customFormat="false" ht="12.8" hidden="false" customHeight="false" outlineLevel="0" collapsed="false">
      <c r="B14524" s="0" t="s">
        <v>7</v>
      </c>
      <c r="C14524" s="0" t="s">
        <v>1286</v>
      </c>
    </row>
    <row r="14525" customFormat="false" ht="12.8" hidden="false" customHeight="false" outlineLevel="0" collapsed="false">
      <c r="B14525" s="0" t="s">
        <v>5700</v>
      </c>
      <c r="C14525" s="0" t="s">
        <v>2359</v>
      </c>
    </row>
    <row r="14527" customFormat="false" ht="12.8" hidden="false" customHeight="false" outlineLevel="0" collapsed="false">
      <c r="A14527" s="0" t="s">
        <v>5699</v>
      </c>
      <c r="B14527" s="0" t="str">
        <f aca="false">HYPERLINK("https://lindat.mff.cuni.cz/services/teitok/pdtc10/index.php?action=vallex&amp;frame=v-w1855f159_ZU", "mít (v-w1855f159_ZU) - substituted with v-w1855f328_ZU")</f>
        <v>mít (v-w1855f159_ZU) - substituted with v-w1855f328_ZU</v>
      </c>
    </row>
    <row r="14528" customFormat="false" ht="12.8" hidden="false" customHeight="false" outlineLevel="0" collapsed="false">
      <c r="B14528" s="0" t="s">
        <v>7</v>
      </c>
      <c r="C14528" s="0" t="s">
        <v>5701</v>
      </c>
    </row>
    <row r="14529" customFormat="false" ht="12.8" hidden="false" customHeight="false" outlineLevel="0" collapsed="false">
      <c r="B14529" s="0" t="s">
        <v>5700</v>
      </c>
      <c r="C14529" s="0" t="s">
        <v>5702</v>
      </c>
    </row>
    <row r="14531" customFormat="false" ht="12.8" hidden="false" customHeight="false" outlineLevel="0" collapsed="false">
      <c r="A14531" s="0" t="s">
        <v>5699</v>
      </c>
      <c r="B14531" s="0" t="str">
        <f aca="false">HYPERLINK("https://lindat.mff.cuni.cz/services/teitok/pdtc10/index.php?action=vallex&amp;frame=v-w1855f192_ZU", "mít (v-w1855f192_ZU) - substituted with v-w1855f328_ZU")</f>
        <v>mít (v-w1855f192_ZU) - substituted with v-w1855f328_ZU</v>
      </c>
    </row>
    <row r="14532" customFormat="false" ht="12.8" hidden="false" customHeight="false" outlineLevel="0" collapsed="false">
      <c r="B14532" s="0" t="s">
        <v>7</v>
      </c>
      <c r="C14532" s="0" t="s">
        <v>5703</v>
      </c>
    </row>
    <row r="14533" customFormat="false" ht="12.8" hidden="false" customHeight="false" outlineLevel="0" collapsed="false">
      <c r="B14533" s="0" t="s">
        <v>5700</v>
      </c>
      <c r="C14533" s="0" t="s">
        <v>5704</v>
      </c>
    </row>
    <row r="14535" customFormat="false" ht="12.8" hidden="false" customHeight="false" outlineLevel="0" collapsed="false">
      <c r="A14535" s="0" t="s">
        <v>5699</v>
      </c>
      <c r="B14535" s="0" t="str">
        <f aca="false">HYPERLINK("https://lindat.mff.cuni.cz/services/teitok/pdtc10/index.php?action=vallex&amp;frame=v-w1855f193_ZU", "mít (v-w1855f193_ZU) - substituted with v-w1855f328_ZU")</f>
        <v>mít (v-w1855f193_ZU) - substituted with v-w1855f328_ZU</v>
      </c>
    </row>
    <row r="14536" customFormat="false" ht="12.8" hidden="false" customHeight="false" outlineLevel="0" collapsed="false">
      <c r="B14536" s="0" t="s">
        <v>7</v>
      </c>
      <c r="C14536" s="0" t="s">
        <v>5428</v>
      </c>
    </row>
    <row r="14537" customFormat="false" ht="12.8" hidden="false" customHeight="false" outlineLevel="0" collapsed="false">
      <c r="B14537" s="0" t="s">
        <v>5700</v>
      </c>
      <c r="C14537" s="0" t="s">
        <v>5705</v>
      </c>
    </row>
    <row r="14539" customFormat="false" ht="12.8" hidden="false" customHeight="false" outlineLevel="0" collapsed="false">
      <c r="A14539" s="0" t="s">
        <v>5699</v>
      </c>
      <c r="B14539" s="0" t="str">
        <f aca="false">HYPERLINK("https://lindat.mff.cuni.cz/services/teitok/pdtc10/index.php?action=vallex&amp;frame=v-w1855f194_ZU", "mít (v-w1855f194_ZU) - substituted with v-w1855f328_ZU")</f>
        <v>mít (v-w1855f194_ZU) - substituted with v-w1855f328_ZU</v>
      </c>
    </row>
    <row r="14540" customFormat="false" ht="12.8" hidden="false" customHeight="false" outlineLevel="0" collapsed="false">
      <c r="B14540" s="0" t="s">
        <v>7</v>
      </c>
      <c r="C14540" s="0" t="s">
        <v>1286</v>
      </c>
    </row>
    <row r="14541" customFormat="false" ht="12.8" hidden="false" customHeight="false" outlineLevel="0" collapsed="false">
      <c r="B14541" s="0" t="s">
        <v>5700</v>
      </c>
      <c r="C14541" s="0" t="s">
        <v>2359</v>
      </c>
    </row>
    <row r="14543" customFormat="false" ht="12.8" hidden="false" customHeight="false" outlineLevel="0" collapsed="false">
      <c r="A14543" s="0" t="s">
        <v>5699</v>
      </c>
      <c r="B14543" s="0" t="str">
        <f aca="false">HYPERLINK("https://lindat.mff.cuni.cz/services/teitok/pdtc10/index.php?action=vallex&amp;frame=v-w1855f196_ZU", "mít (v-w1855f196_ZU) - substituted with v-w1855f328_ZU")</f>
        <v>mít (v-w1855f196_ZU) - substituted with v-w1855f328_ZU</v>
      </c>
    </row>
    <row r="14544" customFormat="false" ht="12.8" hidden="false" customHeight="false" outlineLevel="0" collapsed="false">
      <c r="B14544" s="0" t="s">
        <v>7</v>
      </c>
    </row>
    <row r="14545" customFormat="false" ht="12.8" hidden="false" customHeight="false" outlineLevel="0" collapsed="false">
      <c r="B14545" s="0" t="s">
        <v>5700</v>
      </c>
    </row>
    <row r="14547" customFormat="false" ht="12.8" hidden="false" customHeight="false" outlineLevel="0" collapsed="false">
      <c r="A14547" s="0" t="s">
        <v>5699</v>
      </c>
      <c r="B14547" s="0" t="str">
        <f aca="false">HYPERLINK("https://lindat.mff.cuni.cz/services/teitok/pdtc10/index.php?action=vallex&amp;frame=v-w1855f197_ZU", "mít (v-w1855f197_ZU) - substituted with v-w1855f328_ZU")</f>
        <v>mít (v-w1855f197_ZU) - substituted with v-w1855f328_ZU</v>
      </c>
    </row>
    <row r="14548" customFormat="false" ht="12.8" hidden="false" customHeight="false" outlineLevel="0" collapsed="false">
      <c r="B14548" s="0" t="s">
        <v>7</v>
      </c>
      <c r="C14548" s="0" t="s">
        <v>1286</v>
      </c>
    </row>
    <row r="14549" customFormat="false" ht="12.8" hidden="false" customHeight="false" outlineLevel="0" collapsed="false">
      <c r="B14549" s="0" t="s">
        <v>5700</v>
      </c>
      <c r="C14549" s="0" t="s">
        <v>2359</v>
      </c>
    </row>
    <row r="14551" customFormat="false" ht="12.8" hidden="false" customHeight="false" outlineLevel="0" collapsed="false">
      <c r="A14551" s="0" t="s">
        <v>5699</v>
      </c>
      <c r="B14551" s="0" t="str">
        <f aca="false">HYPERLINK("https://lindat.mff.cuni.cz/services/teitok/pdtc10/index.php?action=vallex&amp;frame=v-w1855f198_ZU", "mít (v-w1855f198_ZU) - substituted with v-w1855f328_ZU")</f>
        <v>mít (v-w1855f198_ZU) - substituted with v-w1855f328_ZU</v>
      </c>
    </row>
    <row r="14552" customFormat="false" ht="12.8" hidden="false" customHeight="false" outlineLevel="0" collapsed="false">
      <c r="B14552" s="0" t="s">
        <v>7</v>
      </c>
      <c r="C14552" s="0" t="s">
        <v>1286</v>
      </c>
    </row>
    <row r="14553" customFormat="false" ht="12.8" hidden="false" customHeight="false" outlineLevel="0" collapsed="false">
      <c r="B14553" s="0" t="s">
        <v>5700</v>
      </c>
      <c r="C14553" s="0" t="s">
        <v>2359</v>
      </c>
    </row>
    <row r="14555" customFormat="false" ht="12.8" hidden="false" customHeight="false" outlineLevel="0" collapsed="false">
      <c r="A14555" s="0" t="s">
        <v>5699</v>
      </c>
      <c r="B14555" s="0" t="str">
        <f aca="false">HYPERLINK("https://lindat.mff.cuni.cz/services/teitok/pdtc10/index.php?action=vallex&amp;frame=v-w1855f199_ZU", "mít (v-w1855f199_ZU) - substituted with v-w1855f328_ZU")</f>
        <v>mít (v-w1855f199_ZU) - substituted with v-w1855f328_ZU</v>
      </c>
    </row>
    <row r="14556" customFormat="false" ht="12.8" hidden="false" customHeight="false" outlineLevel="0" collapsed="false">
      <c r="B14556" s="0" t="s">
        <v>7</v>
      </c>
      <c r="C14556" s="0" t="s">
        <v>1286</v>
      </c>
    </row>
    <row r="14557" customFormat="false" ht="12.8" hidden="false" customHeight="false" outlineLevel="0" collapsed="false">
      <c r="B14557" s="0" t="s">
        <v>5700</v>
      </c>
      <c r="C14557" s="0" t="s">
        <v>2359</v>
      </c>
    </row>
    <row r="14559" customFormat="false" ht="12.8" hidden="false" customHeight="false" outlineLevel="0" collapsed="false">
      <c r="A14559" s="0" t="s">
        <v>5699</v>
      </c>
      <c r="B14559" s="0" t="str">
        <f aca="false">HYPERLINK("https://lindat.mff.cuni.cz/services/teitok/pdtc10/index.php?action=vallex&amp;frame=v-w1855f200_ZU", "mít (v-w1855f200_ZU) - substituted with v-w1855f328_ZU")</f>
        <v>mít (v-w1855f200_ZU) - substituted with v-w1855f328_ZU</v>
      </c>
    </row>
    <row r="14560" customFormat="false" ht="12.8" hidden="false" customHeight="false" outlineLevel="0" collapsed="false">
      <c r="B14560" s="0" t="s">
        <v>7</v>
      </c>
    </row>
    <row r="14561" customFormat="false" ht="12.8" hidden="false" customHeight="false" outlineLevel="0" collapsed="false">
      <c r="B14561" s="0" t="s">
        <v>5700</v>
      </c>
    </row>
    <row r="14563" customFormat="false" ht="12.8" hidden="false" customHeight="false" outlineLevel="0" collapsed="false">
      <c r="A14563" s="0" t="s">
        <v>5699</v>
      </c>
      <c r="B14563" s="0" t="str">
        <f aca="false">HYPERLINK("https://lindat.mff.cuni.cz/services/teitok/pdtc10/index.php?action=vallex&amp;frame=v-w1855f201_ZU", "mít (v-w1855f201_ZU) - substituted with v-w1855f328_ZU")</f>
        <v>mít (v-w1855f201_ZU) - substituted with v-w1855f328_ZU</v>
      </c>
    </row>
    <row r="14564" customFormat="false" ht="12.8" hidden="false" customHeight="false" outlineLevel="0" collapsed="false">
      <c r="B14564" s="0" t="s">
        <v>7</v>
      </c>
      <c r="C14564" s="0" t="s">
        <v>5706</v>
      </c>
    </row>
    <row r="14565" customFormat="false" ht="12.8" hidden="false" customHeight="false" outlineLevel="0" collapsed="false">
      <c r="B14565" s="0" t="s">
        <v>5700</v>
      </c>
      <c r="C14565" s="0" t="s">
        <v>5707</v>
      </c>
    </row>
    <row r="14567" customFormat="false" ht="12.8" hidden="false" customHeight="false" outlineLevel="0" collapsed="false">
      <c r="A14567" s="0" t="s">
        <v>5699</v>
      </c>
      <c r="B14567" s="0" t="str">
        <f aca="false">HYPERLINK("https://lindat.mff.cuni.cz/services/teitok/pdtc10/index.php?action=vallex&amp;frame=v-w1855f202_ZU", "mít (v-w1855f202_ZU) - substituted with v-w1855f328_ZU")</f>
        <v>mít (v-w1855f202_ZU) - substituted with v-w1855f328_ZU</v>
      </c>
    </row>
    <row r="14568" customFormat="false" ht="12.8" hidden="false" customHeight="false" outlineLevel="0" collapsed="false">
      <c r="B14568" s="0" t="s">
        <v>7</v>
      </c>
      <c r="C14568" s="0" t="s">
        <v>5708</v>
      </c>
    </row>
    <row r="14569" customFormat="false" ht="12.8" hidden="false" customHeight="false" outlineLevel="0" collapsed="false">
      <c r="B14569" s="0" t="s">
        <v>5700</v>
      </c>
      <c r="C14569" s="0" t="s">
        <v>5709</v>
      </c>
    </row>
    <row r="14571" customFormat="false" ht="12.8" hidden="false" customHeight="false" outlineLevel="0" collapsed="false">
      <c r="A14571" s="0" t="s">
        <v>5710</v>
      </c>
      <c r="B14571" s="0" t="str">
        <f aca="false">HYPERLINK("https://lindat.mff.cuni.cz/services/teitok/pdtc10/index.php?action=vallex&amp;frame=v-w1855f290_ZU", "mít (v-w1855f290_ZU)")</f>
        <v>mít (v-w1855f290_ZU)</v>
      </c>
    </row>
    <row r="14572" customFormat="false" ht="12.8" hidden="false" customHeight="false" outlineLevel="0" collapsed="false">
      <c r="B14572" s="0" t="s">
        <v>7</v>
      </c>
    </row>
    <row r="14573" customFormat="false" ht="12.8" hidden="false" customHeight="false" outlineLevel="0" collapsed="false">
      <c r="B14573" s="0" t="s">
        <v>5711</v>
      </c>
    </row>
    <row r="14575" customFormat="false" ht="12.8" hidden="false" customHeight="false" outlineLevel="0" collapsed="false">
      <c r="A14575" s="0" t="s">
        <v>5710</v>
      </c>
      <c r="B14575" s="0" t="str">
        <f aca="false">HYPERLINK("https://lindat.mff.cuni.cz/services/teitok/pdtc10/index.php?action=vallex&amp;frame=v-w1855f210_ZU", "mít (v-w1855f210_ZU) - substituted with v-w1855f290_ZU")</f>
        <v>mít (v-w1855f210_ZU) - substituted with v-w1855f290_ZU</v>
      </c>
    </row>
    <row r="14576" customFormat="false" ht="12.8" hidden="false" customHeight="false" outlineLevel="0" collapsed="false">
      <c r="B14576" s="0" t="s">
        <v>7</v>
      </c>
      <c r="C14576" s="0" t="s">
        <v>1286</v>
      </c>
    </row>
    <row r="14577" customFormat="false" ht="12.8" hidden="false" customHeight="false" outlineLevel="0" collapsed="false">
      <c r="B14577" s="0" t="s">
        <v>5711</v>
      </c>
      <c r="C14577" s="0" t="s">
        <v>2359</v>
      </c>
    </row>
    <row r="14579" customFormat="false" ht="12.8" hidden="false" customHeight="false" outlineLevel="0" collapsed="false">
      <c r="A14579" s="0" t="s">
        <v>5710</v>
      </c>
      <c r="B14579" s="0" t="str">
        <f aca="false">HYPERLINK("https://lindat.mff.cuni.cz/services/teitok/pdtc10/index.php?action=vallex&amp;frame=v-w1855f216_ZU", "mít (v-w1855f216_ZU) - substituted with v-w1855f290_ZU")</f>
        <v>mít (v-w1855f216_ZU) - substituted with v-w1855f290_ZU</v>
      </c>
    </row>
    <row r="14580" customFormat="false" ht="12.8" hidden="false" customHeight="false" outlineLevel="0" collapsed="false">
      <c r="B14580" s="0" t="s">
        <v>7</v>
      </c>
      <c r="C14580" s="0" t="s">
        <v>5670</v>
      </c>
    </row>
    <row r="14581" customFormat="false" ht="12.8" hidden="false" customHeight="false" outlineLevel="0" collapsed="false">
      <c r="B14581" s="0" t="s">
        <v>5711</v>
      </c>
      <c r="C14581" s="0" t="s">
        <v>5671</v>
      </c>
    </row>
    <row r="14583" customFormat="false" ht="12.8" hidden="false" customHeight="false" outlineLevel="0" collapsed="false">
      <c r="A14583" s="0" t="s">
        <v>5710</v>
      </c>
      <c r="B14583" s="0" t="str">
        <f aca="false">HYPERLINK("https://lindat.mff.cuni.cz/services/teitok/pdtc10/index.php?action=vallex&amp;frame=v-w1855f253_ZU", "mít (v-w1855f253_ZU) - substituted with v-w1855f290_ZU")</f>
        <v>mít (v-w1855f253_ZU) - substituted with v-w1855f290_ZU</v>
      </c>
    </row>
    <row r="14584" customFormat="false" ht="12.8" hidden="false" customHeight="false" outlineLevel="0" collapsed="false">
      <c r="B14584" s="0" t="s">
        <v>7</v>
      </c>
    </row>
    <row r="14585" customFormat="false" ht="12.8" hidden="false" customHeight="false" outlineLevel="0" collapsed="false">
      <c r="B14585" s="0" t="s">
        <v>5711</v>
      </c>
    </row>
    <row r="14587" customFormat="false" ht="12.8" hidden="false" customHeight="false" outlineLevel="0" collapsed="false">
      <c r="A14587" s="0" t="s">
        <v>5710</v>
      </c>
      <c r="B14587" s="0" t="str">
        <f aca="false">HYPERLINK("https://lindat.mff.cuni.cz/services/teitok/pdtc10/index.php?action=vallex&amp;frame=v-w1855f255_ZU", "mít (v-w1855f255_ZU) - substituted with v-w1855f290_ZU")</f>
        <v>mít (v-w1855f255_ZU) - substituted with v-w1855f290_ZU</v>
      </c>
    </row>
    <row r="14588" customFormat="false" ht="12.8" hidden="false" customHeight="false" outlineLevel="0" collapsed="false">
      <c r="B14588" s="0" t="s">
        <v>7</v>
      </c>
    </row>
    <row r="14589" customFormat="false" ht="12.8" hidden="false" customHeight="false" outlineLevel="0" collapsed="false">
      <c r="B14589" s="0" t="s">
        <v>5711</v>
      </c>
    </row>
    <row r="14591" customFormat="false" ht="12.8" hidden="false" customHeight="false" outlineLevel="0" collapsed="false">
      <c r="A14591" s="0" t="s">
        <v>5710</v>
      </c>
      <c r="B14591" s="0" t="str">
        <f aca="false">HYPERLINK("https://lindat.mff.cuni.cz/services/teitok/pdtc10/index.php?action=vallex&amp;frame=v-w1855f258_ZU", "mít (v-w1855f258_ZU) - substituted with v-w1855f290_ZU")</f>
        <v>mít (v-w1855f258_ZU) - substituted with v-w1855f290_ZU</v>
      </c>
    </row>
    <row r="14592" customFormat="false" ht="12.8" hidden="false" customHeight="false" outlineLevel="0" collapsed="false">
      <c r="B14592" s="0" t="s">
        <v>7</v>
      </c>
    </row>
    <row r="14593" customFormat="false" ht="12.8" hidden="false" customHeight="false" outlineLevel="0" collapsed="false">
      <c r="B14593" s="0" t="s">
        <v>5711</v>
      </c>
    </row>
    <row r="14595" customFormat="false" ht="12.8" hidden="false" customHeight="false" outlineLevel="0" collapsed="false">
      <c r="A14595" s="0" t="s">
        <v>5710</v>
      </c>
      <c r="B14595" s="0" t="str">
        <f aca="false">HYPERLINK("https://lindat.mff.cuni.cz/services/teitok/pdtc10/index.php?action=vallex&amp;frame=v-w1855f49", "mít (v-w1855f49) - substituted with v-w1855f290_ZU")</f>
        <v>mít (v-w1855f49) - substituted with v-w1855f290_ZU</v>
      </c>
    </row>
    <row r="14596" customFormat="false" ht="12.8" hidden="false" customHeight="false" outlineLevel="0" collapsed="false">
      <c r="B14596" s="0" t="s">
        <v>7</v>
      </c>
    </row>
    <row r="14597" customFormat="false" ht="12.8" hidden="false" customHeight="false" outlineLevel="0" collapsed="false">
      <c r="B14597" s="0" t="s">
        <v>5711</v>
      </c>
    </row>
    <row r="14599" customFormat="false" ht="12.8" hidden="false" customHeight="false" outlineLevel="0" collapsed="false">
      <c r="A14599" s="0" t="s">
        <v>5710</v>
      </c>
      <c r="B14599" s="0" t="str">
        <f aca="false">HYPERLINK("https://lindat.mff.cuni.cz/services/teitok/pdtc10/index.php?action=vallex&amp;frame=v-w1855f93_ZU", "mít (v-w1855f93_ZU) - substituted with v-w1855f290_ZU")</f>
        <v>mít (v-w1855f93_ZU) - substituted with v-w1855f290_ZU</v>
      </c>
    </row>
    <row r="14600" customFormat="false" ht="12.8" hidden="false" customHeight="false" outlineLevel="0" collapsed="false">
      <c r="B14600" s="0" t="s">
        <v>7</v>
      </c>
      <c r="C14600" s="0" t="s">
        <v>1286</v>
      </c>
    </row>
    <row r="14601" customFormat="false" ht="12.8" hidden="false" customHeight="false" outlineLevel="0" collapsed="false">
      <c r="B14601" s="0" t="s">
        <v>5711</v>
      </c>
      <c r="C14601" s="0" t="s">
        <v>2359</v>
      </c>
    </row>
    <row r="14603" customFormat="false" ht="12.8" hidden="false" customHeight="false" outlineLevel="0" collapsed="false">
      <c r="A14603" s="0" t="s">
        <v>5710</v>
      </c>
      <c r="B14603" s="0" t="str">
        <f aca="false">HYPERLINK("https://lindat.mff.cuni.cz/services/teitok/pdtc10/index.php?action=vallex&amp;frame=v-w1855hsa_1110", "mít (v-w1855hsa_1110) - substituted with v-w1855f290_ZU")</f>
        <v>mít (v-w1855hsa_1110) - substituted with v-w1855f290_ZU</v>
      </c>
    </row>
    <row r="14604" customFormat="false" ht="12.8" hidden="false" customHeight="false" outlineLevel="0" collapsed="false">
      <c r="B14604" s="0" t="s">
        <v>7</v>
      </c>
    </row>
    <row r="14605" customFormat="false" ht="12.8" hidden="false" customHeight="false" outlineLevel="0" collapsed="false">
      <c r="B14605" s="0" t="s">
        <v>5711</v>
      </c>
    </row>
    <row r="14607" customFormat="false" ht="12.8" hidden="false" customHeight="false" outlineLevel="0" collapsed="false">
      <c r="A14607" s="0" t="s">
        <v>5710</v>
      </c>
      <c r="B14607" s="0" t="str">
        <f aca="false">HYPERLINK("https://lindat.mff.cuni.cz/services/teitok/pdtc10/index.php?action=vallex&amp;frame=v-w1855hsa_969", "mít (v-w1855hsa_969) - substituted with v-w1855f290_ZU")</f>
        <v>mít (v-w1855hsa_969) - substituted with v-w1855f290_ZU</v>
      </c>
    </row>
    <row r="14608" customFormat="false" ht="12.8" hidden="false" customHeight="false" outlineLevel="0" collapsed="false">
      <c r="B14608" s="0" t="s">
        <v>7</v>
      </c>
    </row>
    <row r="14609" customFormat="false" ht="12.8" hidden="false" customHeight="false" outlineLevel="0" collapsed="false">
      <c r="B14609" s="0" t="s">
        <v>5711</v>
      </c>
    </row>
    <row r="14611" customFormat="false" ht="12.8" hidden="false" customHeight="false" outlineLevel="0" collapsed="false">
      <c r="A14611" s="0" t="s">
        <v>5712</v>
      </c>
      <c r="B14611" s="0" t="str">
        <f aca="false">HYPERLINK("https://lindat.mff.cuni.cz/services/teitok/pdtc10/index.php?action=vallex&amp;frame=v-w1855f343_MM", "mít (v-w1855f343_MM)")</f>
        <v>mít (v-w1855f343_MM)</v>
      </c>
    </row>
    <row r="14612" customFormat="false" ht="12.8" hidden="false" customHeight="false" outlineLevel="0" collapsed="false">
      <c r="B14612" s="0" t="s">
        <v>7</v>
      </c>
    </row>
    <row r="14613" customFormat="false" ht="12.8" hidden="false" customHeight="false" outlineLevel="0" collapsed="false">
      <c r="B14613" s="0" t="s">
        <v>5713</v>
      </c>
    </row>
    <row r="14615" customFormat="false" ht="12.8" hidden="false" customHeight="false" outlineLevel="0" collapsed="false">
      <c r="A14615" s="0" t="s">
        <v>5712</v>
      </c>
      <c r="B14615" s="0" t="str">
        <f aca="false">HYPERLINK("https://lindat.mff.cuni.cz/services/teitok/pdtc10/index.php?action=vallex&amp;frame=v-w1855f10", "mít (v-w1855f10) - substituted with v-w1855f343_MM")</f>
        <v>mít (v-w1855f10) - substituted with v-w1855f343_MM</v>
      </c>
    </row>
    <row r="14616" customFormat="false" ht="12.8" hidden="false" customHeight="false" outlineLevel="0" collapsed="false">
      <c r="B14616" s="0" t="s">
        <v>7</v>
      </c>
      <c r="C14616" s="0" t="s">
        <v>5714</v>
      </c>
    </row>
    <row r="14617" customFormat="false" ht="12.8" hidden="false" customHeight="false" outlineLevel="0" collapsed="false">
      <c r="B14617" s="0" t="s">
        <v>5713</v>
      </c>
      <c r="C14617" s="0" t="s">
        <v>5715</v>
      </c>
    </row>
    <row r="14619" customFormat="false" ht="12.8" hidden="false" customHeight="false" outlineLevel="0" collapsed="false">
      <c r="A14619" s="0" t="s">
        <v>5712</v>
      </c>
      <c r="B14619" s="0" t="str">
        <f aca="false">HYPERLINK("https://lindat.mff.cuni.cz/services/teitok/pdtc10/index.php?action=vallex&amp;frame=v-w1855f157_ZU", "mít (v-w1855f157_ZU) - substituted with v-w1855f343_MM")</f>
        <v>mít (v-w1855f157_ZU) - substituted with v-w1855f343_MM</v>
      </c>
    </row>
    <row r="14620" customFormat="false" ht="12.8" hidden="false" customHeight="false" outlineLevel="0" collapsed="false">
      <c r="B14620" s="0" t="s">
        <v>7</v>
      </c>
      <c r="C14620" s="0" t="s">
        <v>5716</v>
      </c>
    </row>
    <row r="14621" customFormat="false" ht="12.8" hidden="false" customHeight="false" outlineLevel="0" collapsed="false">
      <c r="B14621" s="0" t="s">
        <v>5713</v>
      </c>
      <c r="C14621" s="0" t="s">
        <v>5717</v>
      </c>
    </row>
    <row r="14623" customFormat="false" ht="12.8" hidden="false" customHeight="false" outlineLevel="0" collapsed="false">
      <c r="A14623" s="0" t="s">
        <v>5712</v>
      </c>
      <c r="B14623" s="0" t="str">
        <f aca="false">HYPERLINK("https://lindat.mff.cuni.cz/services/teitok/pdtc10/index.php?action=vallex&amp;frame=v-w1855f211_ZU", "mít (v-w1855f211_ZU) - substituted with v-w1855f343_MM")</f>
        <v>mít (v-w1855f211_ZU) - substituted with v-w1855f343_MM</v>
      </c>
    </row>
    <row r="14624" customFormat="false" ht="12.8" hidden="false" customHeight="false" outlineLevel="0" collapsed="false">
      <c r="B14624" s="0" t="s">
        <v>7</v>
      </c>
      <c r="C14624" s="0" t="s">
        <v>5718</v>
      </c>
    </row>
    <row r="14625" customFormat="false" ht="12.8" hidden="false" customHeight="false" outlineLevel="0" collapsed="false">
      <c r="B14625" s="0" t="s">
        <v>5713</v>
      </c>
      <c r="C14625" s="0" t="s">
        <v>5719</v>
      </c>
    </row>
    <row r="14627" customFormat="false" ht="12.8" hidden="false" customHeight="false" outlineLevel="0" collapsed="false">
      <c r="A14627" s="0" t="s">
        <v>5712</v>
      </c>
      <c r="B14627" s="0" t="str">
        <f aca="false">HYPERLINK("https://lindat.mff.cuni.cz/services/teitok/pdtc10/index.php?action=vallex&amp;frame=v-w1855f292_ZU", "mít (v-w1855f292_ZU) - substituted with v-w1855f343_MM")</f>
        <v>mít (v-w1855f292_ZU) - substituted with v-w1855f343_MM</v>
      </c>
    </row>
    <row r="14628" customFormat="false" ht="12.8" hidden="false" customHeight="false" outlineLevel="0" collapsed="false">
      <c r="B14628" s="0" t="s">
        <v>7</v>
      </c>
    </row>
    <row r="14629" customFormat="false" ht="12.8" hidden="false" customHeight="false" outlineLevel="0" collapsed="false">
      <c r="B14629" s="0" t="s">
        <v>5713</v>
      </c>
    </row>
    <row r="14631" customFormat="false" ht="12.8" hidden="false" customHeight="false" outlineLevel="0" collapsed="false">
      <c r="A14631" s="0" t="s">
        <v>5712</v>
      </c>
      <c r="B14631" s="0" t="str">
        <f aca="false">HYPERLINK("https://lindat.mff.cuni.cz/services/teitok/pdtc10/index.php?action=vallex&amp;frame=v-w1855f340_MM", "mít (v-w1855f340_MM) - substituted with v-w1855f343_MM")</f>
        <v>mít (v-w1855f340_MM) - substituted with v-w1855f343_MM</v>
      </c>
    </row>
    <row r="14632" customFormat="false" ht="12.8" hidden="false" customHeight="false" outlineLevel="0" collapsed="false">
      <c r="B14632" s="0" t="s">
        <v>7</v>
      </c>
    </row>
    <row r="14633" customFormat="false" ht="12.8" hidden="false" customHeight="false" outlineLevel="0" collapsed="false">
      <c r="B14633" s="0" t="s">
        <v>5713</v>
      </c>
    </row>
    <row r="14635" customFormat="false" ht="12.8" hidden="false" customHeight="false" outlineLevel="0" collapsed="false">
      <c r="A14635" s="0" t="s">
        <v>5712</v>
      </c>
      <c r="B14635" s="0" t="str">
        <f aca="false">HYPERLINK("https://lindat.mff.cuni.cz/services/teitok/pdtc10/index.php?action=vallex&amp;frame=v-w1855f341_MM", "mít (v-w1855f341_MM) - substituted with v-w1855f343_MM")</f>
        <v>mít (v-w1855f341_MM) - substituted with v-w1855f343_MM</v>
      </c>
    </row>
    <row r="14636" customFormat="false" ht="12.8" hidden="false" customHeight="false" outlineLevel="0" collapsed="false">
      <c r="B14636" s="0" t="s">
        <v>7</v>
      </c>
    </row>
    <row r="14637" customFormat="false" ht="12.8" hidden="false" customHeight="false" outlineLevel="0" collapsed="false">
      <c r="B14637" s="0" t="s">
        <v>5713</v>
      </c>
    </row>
    <row r="14639" customFormat="false" ht="12.8" hidden="false" customHeight="false" outlineLevel="0" collapsed="false">
      <c r="A14639" s="0" t="s">
        <v>5712</v>
      </c>
      <c r="B14639" s="0" t="str">
        <f aca="false">HYPERLINK("https://lindat.mff.cuni.cz/services/teitok/pdtc10/index.php?action=vallex&amp;frame=v-w1855f342_MM", "mít (v-w1855f342_MM) - substituted with v-w1855f343_MM")</f>
        <v>mít (v-w1855f342_MM) - substituted with v-w1855f343_MM</v>
      </c>
    </row>
    <row r="14640" customFormat="false" ht="12.8" hidden="false" customHeight="false" outlineLevel="0" collapsed="false">
      <c r="B14640" s="0" t="s">
        <v>7</v>
      </c>
    </row>
    <row r="14641" customFormat="false" ht="12.8" hidden="false" customHeight="false" outlineLevel="0" collapsed="false">
      <c r="B14641" s="0" t="s">
        <v>5713</v>
      </c>
    </row>
    <row r="14643" customFormat="false" ht="12.8" hidden="false" customHeight="false" outlineLevel="0" collapsed="false">
      <c r="A14643" s="0" t="s">
        <v>5712</v>
      </c>
      <c r="B14643" s="0" t="str">
        <f aca="false">HYPERLINK("https://lindat.mff.cuni.cz/services/teitok/pdtc10/index.php?action=vallex&amp;frame=v-w1855hsa_1117", "mít (v-w1855hsa_1117) - substituted with v-w1855f343_MM")</f>
        <v>mít (v-w1855hsa_1117) - substituted with v-w1855f343_MM</v>
      </c>
    </row>
    <row r="14644" customFormat="false" ht="12.8" hidden="false" customHeight="false" outlineLevel="0" collapsed="false">
      <c r="B14644" s="0" t="s">
        <v>7</v>
      </c>
    </row>
    <row r="14645" customFormat="false" ht="12.8" hidden="false" customHeight="false" outlineLevel="0" collapsed="false">
      <c r="B14645" s="0" t="s">
        <v>5713</v>
      </c>
    </row>
    <row r="14647" customFormat="false" ht="12.8" hidden="false" customHeight="false" outlineLevel="0" collapsed="false">
      <c r="A14647" s="0" t="s">
        <v>5712</v>
      </c>
      <c r="B14647" s="0" t="str">
        <f aca="false">HYPERLINK("https://lindat.mff.cuni.cz/services/teitok/pdtc10/index.php?action=vallex&amp;frame=v-w1855hsa_970", "mít (v-w1855hsa_970) - substituted with v-w1855f343_MM")</f>
        <v>mít (v-w1855hsa_970) - substituted with v-w1855f343_MM</v>
      </c>
    </row>
    <row r="14648" customFormat="false" ht="12.8" hidden="false" customHeight="false" outlineLevel="0" collapsed="false">
      <c r="B14648" s="0" t="s">
        <v>7</v>
      </c>
    </row>
    <row r="14649" customFormat="false" ht="12.8" hidden="false" customHeight="false" outlineLevel="0" collapsed="false">
      <c r="B14649" s="0" t="s">
        <v>5713</v>
      </c>
    </row>
    <row r="14651" customFormat="false" ht="12.8" hidden="false" customHeight="false" outlineLevel="0" collapsed="false">
      <c r="A14651" s="0" t="s">
        <v>5720</v>
      </c>
      <c r="B14651" s="0" t="str">
        <f aca="false">HYPERLINK("https://lindat.mff.cuni.cz/services/teitok/pdtc10/index.php?action=vallex&amp;frame=v-w1855f221_ZU", "mít (v-w1855f221_ZU)")</f>
        <v>mít (v-w1855f221_ZU)</v>
      </c>
    </row>
    <row r="14652" customFormat="false" ht="12.8" hidden="false" customHeight="false" outlineLevel="0" collapsed="false">
      <c r="B14652" s="0" t="s">
        <v>7</v>
      </c>
      <c r="C14652" s="0" t="s">
        <v>498</v>
      </c>
    </row>
    <row r="14653" customFormat="false" ht="12.8" hidden="false" customHeight="false" outlineLevel="0" collapsed="false">
      <c r="B14653" s="0" t="s">
        <v>5721</v>
      </c>
      <c r="C14653" s="0" t="s">
        <v>500</v>
      </c>
    </row>
    <row r="14655" customFormat="false" ht="12.8" hidden="false" customHeight="false" outlineLevel="0" collapsed="false">
      <c r="A14655" s="0" t="s">
        <v>5720</v>
      </c>
      <c r="B14655" s="0" t="str">
        <f aca="false">HYPERLINK("https://lindat.mff.cuni.cz/services/teitok/pdtc10/index.php?action=vallex&amp;frame=v-w1855f212_ZU", "mít (v-w1855f212_ZU) - substituted with v-w1855f221_ZU")</f>
        <v>mít (v-w1855f212_ZU) - substituted with v-w1855f221_ZU</v>
      </c>
    </row>
    <row r="14656" customFormat="false" ht="12.8" hidden="false" customHeight="false" outlineLevel="0" collapsed="false">
      <c r="B14656" s="0" t="s">
        <v>7</v>
      </c>
      <c r="C14656" s="0" t="s">
        <v>5722</v>
      </c>
    </row>
    <row r="14657" customFormat="false" ht="12.8" hidden="false" customHeight="false" outlineLevel="0" collapsed="false">
      <c r="B14657" s="0" t="s">
        <v>5721</v>
      </c>
      <c r="C14657" s="0" t="s">
        <v>5723</v>
      </c>
    </row>
    <row r="14659" customFormat="false" ht="12.8" hidden="false" customHeight="false" outlineLevel="0" collapsed="false">
      <c r="A14659" s="0" t="s">
        <v>5720</v>
      </c>
      <c r="B14659" s="0" t="str">
        <f aca="false">HYPERLINK("https://lindat.mff.cuni.cz/services/teitok/pdtc10/index.php?action=vallex&amp;frame=v-w1855f219_ZU", "mít (v-w1855f219_ZU) - substituted with v-w1855f221_ZU")</f>
        <v>mít (v-w1855f219_ZU) - substituted with v-w1855f221_ZU</v>
      </c>
    </row>
    <row r="14660" customFormat="false" ht="12.8" hidden="false" customHeight="false" outlineLevel="0" collapsed="false">
      <c r="B14660" s="0" t="s">
        <v>7</v>
      </c>
    </row>
    <row r="14661" customFormat="false" ht="12.8" hidden="false" customHeight="false" outlineLevel="0" collapsed="false">
      <c r="B14661" s="0" t="s">
        <v>5721</v>
      </c>
    </row>
    <row r="14663" customFormat="false" ht="12.8" hidden="false" customHeight="false" outlineLevel="0" collapsed="false">
      <c r="A14663" s="0" t="s">
        <v>5720</v>
      </c>
      <c r="B14663" s="0" t="str">
        <f aca="false">HYPERLINK("https://lindat.mff.cuni.cz/services/teitok/pdtc10/index.php?action=vallex&amp;frame=v-w1855f8", "mít (v-w1855f8) - substituted with v-w1855f221_ZU")</f>
        <v>mít (v-w1855f8) - substituted with v-w1855f221_ZU</v>
      </c>
    </row>
    <row r="14664" customFormat="false" ht="12.8" hidden="false" customHeight="false" outlineLevel="0" collapsed="false">
      <c r="B14664" s="0" t="s">
        <v>7</v>
      </c>
      <c r="C14664" s="0" t="s">
        <v>5724</v>
      </c>
    </row>
    <row r="14665" customFormat="false" ht="12.8" hidden="false" customHeight="false" outlineLevel="0" collapsed="false">
      <c r="B14665" s="0" t="s">
        <v>5721</v>
      </c>
      <c r="C14665" s="0" t="s">
        <v>5725</v>
      </c>
    </row>
    <row r="14667" customFormat="false" ht="12.8" hidden="false" customHeight="false" outlineLevel="0" collapsed="false">
      <c r="A14667" s="0" t="s">
        <v>5720</v>
      </c>
      <c r="B14667" s="0" t="str">
        <f aca="false">HYPERLINK("https://lindat.mff.cuni.cz/services/teitok/pdtc10/index.php?action=vallex&amp;frame=v-w1855f99_ZU", "mít (v-w1855f99_ZU) - substituted with v-w1855f221_ZU")</f>
        <v>mít (v-w1855f99_ZU) - substituted with v-w1855f221_ZU</v>
      </c>
    </row>
    <row r="14668" customFormat="false" ht="12.8" hidden="false" customHeight="false" outlineLevel="0" collapsed="false">
      <c r="B14668" s="0" t="s">
        <v>7</v>
      </c>
      <c r="C14668" s="0" t="s">
        <v>5726</v>
      </c>
    </row>
    <row r="14669" customFormat="false" ht="12.8" hidden="false" customHeight="false" outlineLevel="0" collapsed="false">
      <c r="B14669" s="0" t="s">
        <v>5721</v>
      </c>
      <c r="C14669" s="0" t="s">
        <v>5727</v>
      </c>
    </row>
    <row r="14671" customFormat="false" ht="12.8" hidden="false" customHeight="false" outlineLevel="0" collapsed="false">
      <c r="A14671" s="0" t="s">
        <v>5720</v>
      </c>
      <c r="B14671" s="0" t="str">
        <f aca="false">HYPERLINK("https://lindat.mff.cuni.cz/services/teitok/pdtc10/index.php?action=vallex&amp;frame=v-w1855hsa_1123", "mít (v-w1855hsa_1123) - substituted with v-w1855f221_ZU")</f>
        <v>mít (v-w1855hsa_1123) - substituted with v-w1855f221_ZU</v>
      </c>
    </row>
    <row r="14672" customFormat="false" ht="12.8" hidden="false" customHeight="false" outlineLevel="0" collapsed="false">
      <c r="B14672" s="0" t="s">
        <v>7</v>
      </c>
    </row>
    <row r="14673" customFormat="false" ht="12.8" hidden="false" customHeight="false" outlineLevel="0" collapsed="false">
      <c r="B14673" s="0" t="s">
        <v>5721</v>
      </c>
    </row>
    <row r="14675" customFormat="false" ht="12.8" hidden="false" customHeight="false" outlineLevel="0" collapsed="false">
      <c r="A14675" s="0" t="s">
        <v>5728</v>
      </c>
      <c r="B14675" s="0" t="str">
        <f aca="false">HYPERLINK("https://lindat.mff.cuni.cz/services/teitok/pdtc10/index.php?action=vallex&amp;frame=v-w1855f206_ZU", "mít (v-w1855f206_ZU)")</f>
        <v>mít (v-w1855f206_ZU)</v>
      </c>
    </row>
    <row r="14676" customFormat="false" ht="12.8" hidden="false" customHeight="false" outlineLevel="0" collapsed="false">
      <c r="B14676" s="0" t="s">
        <v>7</v>
      </c>
      <c r="C14676" s="0" t="s">
        <v>1286</v>
      </c>
    </row>
    <row r="14677" customFormat="false" ht="12.8" hidden="false" customHeight="false" outlineLevel="0" collapsed="false">
      <c r="B14677" s="0" t="s">
        <v>5729</v>
      </c>
      <c r="C14677" s="0" t="s">
        <v>2359</v>
      </c>
    </row>
    <row r="14679" customFormat="false" ht="12.8" hidden="false" customHeight="false" outlineLevel="0" collapsed="false">
      <c r="A14679" s="0" t="s">
        <v>5728</v>
      </c>
      <c r="B14679" s="0" t="str">
        <f aca="false">HYPERLINK("https://lindat.mff.cuni.cz/services/teitok/pdtc10/index.php?action=vallex&amp;frame=v-w1855f102_ZU", "mít (v-w1855f102_ZU) - substituted with v-w1855f206_ZU")</f>
        <v>mít (v-w1855f102_ZU) - substituted with v-w1855f206_ZU</v>
      </c>
    </row>
    <row r="14680" customFormat="false" ht="12.8" hidden="false" customHeight="false" outlineLevel="0" collapsed="false">
      <c r="B14680" s="0" t="s">
        <v>7</v>
      </c>
      <c r="C14680" s="0" t="s">
        <v>5730</v>
      </c>
    </row>
    <row r="14681" customFormat="false" ht="12.8" hidden="false" customHeight="false" outlineLevel="0" collapsed="false">
      <c r="B14681" s="0" t="s">
        <v>5729</v>
      </c>
      <c r="C14681" s="0" t="s">
        <v>5731</v>
      </c>
    </row>
    <row r="14683" customFormat="false" ht="12.8" hidden="false" customHeight="false" outlineLevel="0" collapsed="false">
      <c r="A14683" s="0" t="s">
        <v>5728</v>
      </c>
      <c r="B14683" s="0" t="str">
        <f aca="false">HYPERLINK("https://lindat.mff.cuni.cz/services/teitok/pdtc10/index.php?action=vallex&amp;frame=v-w1855f21", "mít (v-w1855f21) - substituted with v-w1855f206_ZU")</f>
        <v>mít (v-w1855f21) - substituted with v-w1855f206_ZU</v>
      </c>
    </row>
    <row r="14684" customFormat="false" ht="12.8" hidden="false" customHeight="false" outlineLevel="0" collapsed="false">
      <c r="B14684" s="0" t="s">
        <v>7</v>
      </c>
      <c r="C14684" s="0" t="s">
        <v>5732</v>
      </c>
    </row>
    <row r="14685" customFormat="false" ht="12.8" hidden="false" customHeight="false" outlineLevel="0" collapsed="false">
      <c r="B14685" s="0" t="s">
        <v>5729</v>
      </c>
      <c r="C14685" s="0" t="s">
        <v>5733</v>
      </c>
    </row>
    <row r="14687" customFormat="false" ht="12.8" hidden="false" customHeight="false" outlineLevel="0" collapsed="false">
      <c r="A14687" s="0" t="s">
        <v>5734</v>
      </c>
      <c r="B14687" s="0" t="str">
        <f aca="false">HYPERLINK("https://lindat.mff.cuni.cz/services/teitok/pdtc10/index.php?action=vallex&amp;frame=v-w1855hsa_971", "mít (v-w1855hsa_971)")</f>
        <v>mít (v-w1855hsa_971)</v>
      </c>
    </row>
    <row r="14688" customFormat="false" ht="12.8" hidden="false" customHeight="false" outlineLevel="0" collapsed="false">
      <c r="B14688" s="0" t="s">
        <v>7</v>
      </c>
    </row>
    <row r="14689" customFormat="false" ht="12.8" hidden="false" customHeight="false" outlineLevel="0" collapsed="false">
      <c r="B14689" s="0" t="s">
        <v>5735</v>
      </c>
    </row>
    <row r="14691" customFormat="false" ht="12.8" hidden="false" customHeight="false" outlineLevel="0" collapsed="false">
      <c r="A14691" s="0" t="s">
        <v>5734</v>
      </c>
      <c r="B14691" s="0" t="str">
        <f aca="false">HYPERLINK("https://lindat.mff.cuni.cz/services/teitok/pdtc10/index.php?action=vallex&amp;frame=v-w1855f139_ZU", "mít (v-w1855f139_ZU) - substituted with v-w1855hsa_971")</f>
        <v>mít (v-w1855f139_ZU) - substituted with v-w1855hsa_971</v>
      </c>
    </row>
    <row r="14692" customFormat="false" ht="12.8" hidden="false" customHeight="false" outlineLevel="0" collapsed="false">
      <c r="B14692" s="0" t="s">
        <v>7</v>
      </c>
      <c r="C14692" s="0" t="s">
        <v>1286</v>
      </c>
    </row>
    <row r="14693" customFormat="false" ht="12.8" hidden="false" customHeight="false" outlineLevel="0" collapsed="false">
      <c r="B14693" s="0" t="s">
        <v>5735</v>
      </c>
      <c r="C14693" s="0" t="s">
        <v>2359</v>
      </c>
    </row>
    <row r="14695" customFormat="false" ht="12.8" hidden="false" customHeight="false" outlineLevel="0" collapsed="false">
      <c r="A14695" s="0" t="s">
        <v>5734</v>
      </c>
      <c r="B14695" s="0" t="str">
        <f aca="false">HYPERLINK("https://lindat.mff.cuni.cz/services/teitok/pdtc10/index.php?action=vallex&amp;frame=v-w1855f140_ZU", "mít (v-w1855f140_ZU) - substituted with v-w1855hsa_971")</f>
        <v>mít (v-w1855f140_ZU) - substituted with v-w1855hsa_971</v>
      </c>
    </row>
    <row r="14696" customFormat="false" ht="12.8" hidden="false" customHeight="false" outlineLevel="0" collapsed="false">
      <c r="B14696" s="0" t="s">
        <v>7</v>
      </c>
      <c r="C14696" s="0" t="s">
        <v>1286</v>
      </c>
    </row>
    <row r="14697" customFormat="false" ht="12.8" hidden="false" customHeight="false" outlineLevel="0" collapsed="false">
      <c r="B14697" s="0" t="s">
        <v>5735</v>
      </c>
      <c r="C14697" s="0" t="s">
        <v>2359</v>
      </c>
    </row>
    <row r="14699" customFormat="false" ht="12.8" hidden="false" customHeight="false" outlineLevel="0" collapsed="false">
      <c r="A14699" s="0" t="s">
        <v>5734</v>
      </c>
      <c r="B14699" s="0" t="str">
        <f aca="false">HYPERLINK("https://lindat.mff.cuni.cz/services/teitok/pdtc10/index.php?action=vallex&amp;frame=v-w1855f141_ZU", "mít (v-w1855f141_ZU) - substituted with v-w1855hsa_971")</f>
        <v>mít (v-w1855f141_ZU) - substituted with v-w1855hsa_971</v>
      </c>
    </row>
    <row r="14700" customFormat="false" ht="12.8" hidden="false" customHeight="false" outlineLevel="0" collapsed="false">
      <c r="B14700" s="0" t="s">
        <v>7</v>
      </c>
      <c r="C14700" s="0" t="s">
        <v>498</v>
      </c>
    </row>
    <row r="14701" customFormat="false" ht="12.8" hidden="false" customHeight="false" outlineLevel="0" collapsed="false">
      <c r="B14701" s="0" t="s">
        <v>5735</v>
      </c>
      <c r="C14701" s="0" t="s">
        <v>500</v>
      </c>
    </row>
    <row r="14703" customFormat="false" ht="12.8" hidden="false" customHeight="false" outlineLevel="0" collapsed="false">
      <c r="A14703" s="0" t="s">
        <v>5734</v>
      </c>
      <c r="B14703" s="0" t="str">
        <f aca="false">HYPERLINK("https://lindat.mff.cuni.cz/services/teitok/pdtc10/index.php?action=vallex&amp;frame=v-w1855f148_ZU", "mít (v-w1855f148_ZU) - substituted with v-w1855hsa_971")</f>
        <v>mít (v-w1855f148_ZU) - substituted with v-w1855hsa_971</v>
      </c>
    </row>
    <row r="14704" customFormat="false" ht="12.8" hidden="false" customHeight="false" outlineLevel="0" collapsed="false">
      <c r="B14704" s="0" t="s">
        <v>7</v>
      </c>
      <c r="C14704" s="0" t="s">
        <v>5736</v>
      </c>
      <c r="E14704" s="0" t="s">
        <v>108</v>
      </c>
      <c r="F14704" s="0" t="s">
        <v>108</v>
      </c>
    </row>
    <row r="14705" customFormat="false" ht="12.8" hidden="false" customHeight="false" outlineLevel="0" collapsed="false">
      <c r="B14705" s="0" t="s">
        <v>5735</v>
      </c>
      <c r="C14705" s="0" t="s">
        <v>5737</v>
      </c>
    </row>
    <row r="14707" customFormat="false" ht="12.8" hidden="false" customHeight="false" outlineLevel="0" collapsed="false">
      <c r="A14707" s="0" t="s">
        <v>5738</v>
      </c>
      <c r="B14707" s="0" t="str">
        <f aca="false">HYPERLINK("https://lindat.mff.cuni.cz/services/teitok/pdtc10/index.php?action=vallex&amp;frame=v-w1855f134_ZU", "mít (v-w1855f134_ZU)")</f>
        <v>mít (v-w1855f134_ZU)</v>
      </c>
    </row>
    <row r="14708" customFormat="false" ht="12.8" hidden="false" customHeight="false" outlineLevel="0" collapsed="false">
      <c r="B14708" s="0" t="s">
        <v>7</v>
      </c>
    </row>
    <row r="14709" customFormat="false" ht="12.8" hidden="false" customHeight="false" outlineLevel="0" collapsed="false">
      <c r="B14709" s="0" t="s">
        <v>5739</v>
      </c>
    </row>
    <row r="14711" customFormat="false" ht="12.8" hidden="false" customHeight="false" outlineLevel="0" collapsed="false">
      <c r="A14711" s="0" t="s">
        <v>5740</v>
      </c>
      <c r="B14711" s="0" t="str">
        <f aca="false">HYPERLINK("https://lindat.mff.cuni.cz/services/teitok/pdtc10/index.php?action=vallex&amp;frame=v-w1855hsa_973", "mít (v-w1855hsa_973)")</f>
        <v>mít (v-w1855hsa_973)</v>
      </c>
    </row>
    <row r="14712" customFormat="false" ht="12.8" hidden="false" customHeight="false" outlineLevel="0" collapsed="false">
      <c r="B14712" s="0" t="s">
        <v>7</v>
      </c>
    </row>
    <row r="14713" customFormat="false" ht="12.8" hidden="false" customHeight="false" outlineLevel="0" collapsed="false">
      <c r="B14713" s="0" t="s">
        <v>5741</v>
      </c>
    </row>
    <row r="14715" customFormat="false" ht="12.8" hidden="false" customHeight="false" outlineLevel="0" collapsed="false">
      <c r="A14715" s="0" t="s">
        <v>5740</v>
      </c>
      <c r="B14715" s="0" t="str">
        <f aca="false">HYPERLINK("https://lindat.mff.cuni.cz/services/teitok/pdtc10/index.php?action=vallex&amp;frame=v-w1855f224_ZU", "mít (v-w1855f224_ZU) - substituted with v-w1855hsa_973")</f>
        <v>mít (v-w1855f224_ZU) - substituted with v-w1855hsa_973</v>
      </c>
    </row>
    <row r="14716" customFormat="false" ht="12.8" hidden="false" customHeight="false" outlineLevel="0" collapsed="false">
      <c r="B14716" s="0" t="s">
        <v>7</v>
      </c>
      <c r="C14716" s="0" t="s">
        <v>1286</v>
      </c>
    </row>
    <row r="14717" customFormat="false" ht="12.8" hidden="false" customHeight="false" outlineLevel="0" collapsed="false">
      <c r="B14717" s="0" t="s">
        <v>5741</v>
      </c>
      <c r="C14717" s="0" t="s">
        <v>2359</v>
      </c>
    </row>
    <row r="14719" customFormat="false" ht="12.8" hidden="false" customHeight="false" outlineLevel="0" collapsed="false">
      <c r="A14719" s="0" t="s">
        <v>5740</v>
      </c>
      <c r="B14719" s="0" t="str">
        <f aca="false">HYPERLINK("https://lindat.mff.cuni.cz/services/teitok/pdtc10/index.php?action=vallex&amp;frame=v-w1855f90_ZU", "mít (v-w1855f90_ZU) - substituted with v-w1855hsa_973")</f>
        <v>mít (v-w1855f90_ZU) - substituted with v-w1855hsa_973</v>
      </c>
    </row>
    <row r="14720" customFormat="false" ht="12.8" hidden="false" customHeight="false" outlineLevel="0" collapsed="false">
      <c r="B14720" s="0" t="s">
        <v>7</v>
      </c>
    </row>
    <row r="14721" customFormat="false" ht="12.8" hidden="false" customHeight="false" outlineLevel="0" collapsed="false">
      <c r="B14721" s="0" t="s">
        <v>5741</v>
      </c>
    </row>
    <row r="14723" customFormat="false" ht="12.8" hidden="false" customHeight="false" outlineLevel="0" collapsed="false">
      <c r="A14723" s="0" t="s">
        <v>5740</v>
      </c>
      <c r="B14723" s="0" t="str">
        <f aca="false">HYPERLINK("https://lindat.mff.cuni.cz/services/teitok/pdtc10/index.php?action=vallex&amp;frame=v-w1855f95_ZU", "mít (v-w1855f95_ZU) - substituted with v-w1855hsa_973")</f>
        <v>mít (v-w1855f95_ZU) - substituted with v-w1855hsa_973</v>
      </c>
    </row>
    <row r="14724" customFormat="false" ht="12.8" hidden="false" customHeight="false" outlineLevel="0" collapsed="false">
      <c r="B14724" s="0" t="s">
        <v>7</v>
      </c>
      <c r="C14724" s="0" t="s">
        <v>2131</v>
      </c>
    </row>
    <row r="14725" customFormat="false" ht="12.8" hidden="false" customHeight="false" outlineLevel="0" collapsed="false">
      <c r="B14725" s="0" t="s">
        <v>5741</v>
      </c>
      <c r="C14725" s="0" t="s">
        <v>5742</v>
      </c>
    </row>
    <row r="14727" customFormat="false" ht="12.8" hidden="false" customHeight="false" outlineLevel="0" collapsed="false">
      <c r="A14727" s="0" t="s">
        <v>5740</v>
      </c>
      <c r="B14727" s="0" t="str">
        <f aca="false">HYPERLINK("https://lindat.mff.cuni.cz/services/teitok/pdtc10/index.php?action=vallex&amp;frame=v-w1855f96_ZU", "mít (v-w1855f96_ZU) - substituted with v-w1855hsa_973")</f>
        <v>mít (v-w1855f96_ZU) - substituted with v-w1855hsa_973</v>
      </c>
    </row>
    <row r="14728" customFormat="false" ht="12.8" hidden="false" customHeight="false" outlineLevel="0" collapsed="false">
      <c r="B14728" s="0" t="s">
        <v>7</v>
      </c>
      <c r="C14728" s="0" t="s">
        <v>5694</v>
      </c>
    </row>
    <row r="14729" customFormat="false" ht="12.8" hidden="false" customHeight="false" outlineLevel="0" collapsed="false">
      <c r="B14729" s="0" t="s">
        <v>5741</v>
      </c>
      <c r="C14729" s="0" t="s">
        <v>5695</v>
      </c>
    </row>
    <row r="14731" customFormat="false" ht="12.8" hidden="false" customHeight="false" outlineLevel="0" collapsed="false">
      <c r="A14731" s="0" t="s">
        <v>5740</v>
      </c>
      <c r="B14731" s="0" t="str">
        <f aca="false">HYPERLINK("https://lindat.mff.cuni.cz/services/teitok/pdtc10/index.php?action=vallex&amp;frame=v-w1855hsa_1115", "mít (v-w1855hsa_1115) - substituted with v-w1855hsa_973")</f>
        <v>mít (v-w1855hsa_1115) - substituted with v-w1855hsa_973</v>
      </c>
    </row>
    <row r="14732" customFormat="false" ht="12.8" hidden="false" customHeight="false" outlineLevel="0" collapsed="false">
      <c r="B14732" s="0" t="s">
        <v>7</v>
      </c>
    </row>
    <row r="14733" customFormat="false" ht="12.8" hidden="false" customHeight="false" outlineLevel="0" collapsed="false">
      <c r="B14733" s="0" t="s">
        <v>5741</v>
      </c>
    </row>
    <row r="14735" customFormat="false" ht="12.8" hidden="false" customHeight="false" outlineLevel="0" collapsed="false">
      <c r="A14735" s="0" t="s">
        <v>5743</v>
      </c>
      <c r="B14735" s="0" t="str">
        <f aca="false">HYPERLINK("https://lindat.mff.cuni.cz/services/teitok/pdtc10/index.php?action=vallex&amp;frame=v-w1855f125_ZU", "mít (v-w1855f125_ZU)")</f>
        <v>mít (v-w1855f125_ZU)</v>
      </c>
    </row>
    <row r="14736" customFormat="false" ht="12.8" hidden="false" customHeight="false" outlineLevel="0" collapsed="false">
      <c r="B14736" s="0" t="s">
        <v>7</v>
      </c>
      <c r="C14736" s="0" t="s">
        <v>1286</v>
      </c>
    </row>
    <row r="14737" customFormat="false" ht="12.8" hidden="false" customHeight="false" outlineLevel="0" collapsed="false">
      <c r="B14737" s="0" t="s">
        <v>5744</v>
      </c>
      <c r="C14737" s="0" t="s">
        <v>2359</v>
      </c>
    </row>
    <row r="14739" customFormat="false" ht="12.8" hidden="false" customHeight="false" outlineLevel="0" collapsed="false">
      <c r="A14739" s="0" t="s">
        <v>5745</v>
      </c>
      <c r="B14739" s="0" t="str">
        <f aca="false">HYPERLINK("https://lindat.mff.cuni.cz/services/teitok/pdtc10/index.php?action=vallex&amp;frame=v-w1855f301_ZU", "mít (v-w1855f301_ZU)")</f>
        <v>mít (v-w1855f301_ZU)</v>
      </c>
    </row>
    <row r="14740" customFormat="false" ht="12.8" hidden="false" customHeight="false" outlineLevel="0" collapsed="false">
      <c r="B14740" s="0" t="s">
        <v>7</v>
      </c>
    </row>
    <row r="14741" customFormat="false" ht="12.8" hidden="false" customHeight="false" outlineLevel="0" collapsed="false">
      <c r="B14741" s="0" t="s">
        <v>5746</v>
      </c>
    </row>
    <row r="14743" customFormat="false" ht="12.8" hidden="false" customHeight="false" outlineLevel="0" collapsed="false">
      <c r="A14743" s="0" t="s">
        <v>5745</v>
      </c>
      <c r="B14743" s="0" t="str">
        <f aca="false">HYPERLINK("https://lindat.mff.cuni.cz/services/teitok/pdtc10/index.php?action=vallex&amp;frame=v-w1855f100_ZU", "mít (v-w1855f100_ZU) - substituted with v-w1855f301_ZU")</f>
        <v>mít (v-w1855f100_ZU) - substituted with v-w1855f301_ZU</v>
      </c>
    </row>
    <row r="14744" customFormat="false" ht="12.8" hidden="false" customHeight="false" outlineLevel="0" collapsed="false">
      <c r="B14744" s="0" t="s">
        <v>7</v>
      </c>
    </row>
    <row r="14745" customFormat="false" ht="12.8" hidden="false" customHeight="false" outlineLevel="0" collapsed="false">
      <c r="B14745" s="0" t="s">
        <v>5746</v>
      </c>
    </row>
    <row r="14747" customFormat="false" ht="12.8" hidden="false" customHeight="false" outlineLevel="0" collapsed="false">
      <c r="A14747" s="0" t="s">
        <v>5745</v>
      </c>
      <c r="B14747" s="0" t="str">
        <f aca="false">HYPERLINK("https://lindat.mff.cuni.cz/services/teitok/pdtc10/index.php?action=vallex&amp;frame=v-w1855f105_ZU", "mít (v-w1855f105_ZU) - substituted with v-w1855f301_ZU")</f>
        <v>mít (v-w1855f105_ZU) - substituted with v-w1855f301_ZU</v>
      </c>
    </row>
    <row r="14748" customFormat="false" ht="12.8" hidden="false" customHeight="false" outlineLevel="0" collapsed="false">
      <c r="B14748" s="0" t="s">
        <v>7</v>
      </c>
      <c r="C14748" s="0" t="s">
        <v>5747</v>
      </c>
    </row>
    <row r="14749" customFormat="false" ht="12.8" hidden="false" customHeight="false" outlineLevel="0" collapsed="false">
      <c r="B14749" s="0" t="s">
        <v>5746</v>
      </c>
      <c r="C14749" s="0" t="s">
        <v>5748</v>
      </c>
    </row>
    <row r="14751" customFormat="false" ht="12.8" hidden="false" customHeight="false" outlineLevel="0" collapsed="false">
      <c r="A14751" s="0" t="s">
        <v>5745</v>
      </c>
      <c r="B14751" s="0" t="str">
        <f aca="false">HYPERLINK("https://lindat.mff.cuni.cz/services/teitok/pdtc10/index.php?action=vallex&amp;frame=v-w1855f217_ZU", "mít (v-w1855f217_ZU) - substituted with v-w1855f301_ZU")</f>
        <v>mít (v-w1855f217_ZU) - substituted with v-w1855f301_ZU</v>
      </c>
    </row>
    <row r="14752" customFormat="false" ht="12.8" hidden="false" customHeight="false" outlineLevel="0" collapsed="false">
      <c r="B14752" s="0" t="s">
        <v>7</v>
      </c>
      <c r="C14752" s="0" t="s">
        <v>1286</v>
      </c>
    </row>
    <row r="14753" customFormat="false" ht="12.8" hidden="false" customHeight="false" outlineLevel="0" collapsed="false">
      <c r="B14753" s="0" t="s">
        <v>5746</v>
      </c>
      <c r="C14753" s="0" t="s">
        <v>2359</v>
      </c>
    </row>
    <row r="14755" customFormat="false" ht="12.8" hidden="false" customHeight="false" outlineLevel="0" collapsed="false">
      <c r="A14755" s="0" t="s">
        <v>5745</v>
      </c>
      <c r="B14755" s="0" t="str">
        <f aca="false">HYPERLINK("https://lindat.mff.cuni.cz/services/teitok/pdtc10/index.php?action=vallex&amp;frame=v-w1855f269_ZU", "mít (v-w1855f269_ZU) - substituted with v-w1855f301_ZU")</f>
        <v>mít (v-w1855f269_ZU) - substituted with v-w1855f301_ZU</v>
      </c>
    </row>
    <row r="14756" customFormat="false" ht="12.8" hidden="false" customHeight="false" outlineLevel="0" collapsed="false">
      <c r="B14756" s="0" t="s">
        <v>7</v>
      </c>
    </row>
    <row r="14757" customFormat="false" ht="12.8" hidden="false" customHeight="false" outlineLevel="0" collapsed="false">
      <c r="B14757" s="0" t="s">
        <v>5746</v>
      </c>
    </row>
    <row r="14759" customFormat="false" ht="12.8" hidden="false" customHeight="false" outlineLevel="0" collapsed="false">
      <c r="A14759" s="0" t="s">
        <v>5745</v>
      </c>
      <c r="B14759" s="0" t="str">
        <f aca="false">HYPERLINK("https://lindat.mff.cuni.cz/services/teitok/pdtc10/index.php?action=vallex&amp;frame=v-w1855f283_ZU", "mít (v-w1855f283_ZU) - substituted with v-w1855f301_ZU")</f>
        <v>mít (v-w1855f283_ZU) - substituted with v-w1855f301_ZU</v>
      </c>
    </row>
    <row r="14760" customFormat="false" ht="12.8" hidden="false" customHeight="false" outlineLevel="0" collapsed="false">
      <c r="B14760" s="0" t="s">
        <v>7</v>
      </c>
    </row>
    <row r="14761" customFormat="false" ht="12.8" hidden="false" customHeight="false" outlineLevel="0" collapsed="false">
      <c r="B14761" s="0" t="s">
        <v>5746</v>
      </c>
    </row>
    <row r="14763" customFormat="false" ht="12.8" hidden="false" customHeight="false" outlineLevel="0" collapsed="false">
      <c r="A14763" s="0" t="s">
        <v>5745</v>
      </c>
      <c r="B14763" s="0" t="str">
        <f aca="false">HYPERLINK("https://lindat.mff.cuni.cz/services/teitok/pdtc10/index.php?action=vallex&amp;frame=v-w1855f295_ZU", "mít (v-w1855f295_ZU) - substituted with v-w1855f301_ZU")</f>
        <v>mít (v-w1855f295_ZU) - substituted with v-w1855f301_ZU</v>
      </c>
    </row>
    <row r="14764" customFormat="false" ht="12.8" hidden="false" customHeight="false" outlineLevel="0" collapsed="false">
      <c r="B14764" s="0" t="s">
        <v>7</v>
      </c>
    </row>
    <row r="14765" customFormat="false" ht="12.8" hidden="false" customHeight="false" outlineLevel="0" collapsed="false">
      <c r="B14765" s="0" t="s">
        <v>5746</v>
      </c>
    </row>
    <row r="14767" customFormat="false" ht="12.8" hidden="false" customHeight="false" outlineLevel="0" collapsed="false">
      <c r="A14767" s="0" t="s">
        <v>5745</v>
      </c>
      <c r="B14767" s="0" t="str">
        <f aca="false">HYPERLINK("https://lindat.mff.cuni.cz/services/teitok/pdtc10/index.php?action=vallex&amp;frame=v-w1855f7", "mít (v-w1855f7) - substituted with v-w1855f301_ZU")</f>
        <v>mít (v-w1855f7) - substituted with v-w1855f301_ZU</v>
      </c>
    </row>
    <row r="14768" customFormat="false" ht="12.8" hidden="false" customHeight="false" outlineLevel="0" collapsed="false">
      <c r="B14768" s="0" t="s">
        <v>7</v>
      </c>
      <c r="C14768" s="0" t="s">
        <v>5749</v>
      </c>
    </row>
    <row r="14769" customFormat="false" ht="12.8" hidden="false" customHeight="false" outlineLevel="0" collapsed="false">
      <c r="B14769" s="0" t="s">
        <v>5746</v>
      </c>
      <c r="C14769" s="0" t="s">
        <v>5750</v>
      </c>
    </row>
    <row r="14771" customFormat="false" ht="12.8" hidden="false" customHeight="false" outlineLevel="0" collapsed="false">
      <c r="A14771" s="0" t="s">
        <v>5745</v>
      </c>
      <c r="B14771" s="0" t="str">
        <f aca="false">HYPERLINK("https://lindat.mff.cuni.cz/services/teitok/pdtc10/index.php?action=vallex&amp;frame=v-w1855hsa_1121", "mít (v-w1855hsa_1121) - substituted with v-w1855f301_ZU")</f>
        <v>mít (v-w1855hsa_1121) - substituted with v-w1855f301_ZU</v>
      </c>
    </row>
    <row r="14772" customFormat="false" ht="12.8" hidden="false" customHeight="false" outlineLevel="0" collapsed="false">
      <c r="B14772" s="0" t="s">
        <v>7</v>
      </c>
      <c r="C14772" s="0" t="s">
        <v>5751</v>
      </c>
    </row>
    <row r="14773" customFormat="false" ht="12.8" hidden="false" customHeight="false" outlineLevel="0" collapsed="false">
      <c r="B14773" s="0" t="s">
        <v>5746</v>
      </c>
      <c r="C14773" s="0" t="s">
        <v>5752</v>
      </c>
    </row>
    <row r="14775" customFormat="false" ht="12.8" hidden="false" customHeight="false" outlineLevel="0" collapsed="false">
      <c r="A14775" s="0" t="s">
        <v>5745</v>
      </c>
      <c r="B14775" s="0" t="str">
        <f aca="false">HYPERLINK("https://lindat.mff.cuni.cz/services/teitok/pdtc10/index.php?action=vallex&amp;frame=v-w1855hsa_974", "mít (v-w1855hsa_974) - substituted with v-w1855f301_ZU")</f>
        <v>mít (v-w1855hsa_974) - substituted with v-w1855f301_ZU</v>
      </c>
    </row>
    <row r="14776" customFormat="false" ht="12.8" hidden="false" customHeight="false" outlineLevel="0" collapsed="false">
      <c r="B14776" s="0" t="s">
        <v>7</v>
      </c>
    </row>
    <row r="14777" customFormat="false" ht="12.8" hidden="false" customHeight="false" outlineLevel="0" collapsed="false">
      <c r="B14777" s="0" t="s">
        <v>5746</v>
      </c>
    </row>
    <row r="14779" customFormat="false" ht="12.8" hidden="false" customHeight="false" outlineLevel="0" collapsed="false">
      <c r="A14779" s="0" t="s">
        <v>5753</v>
      </c>
      <c r="B14779" s="0" t="str">
        <f aca="false">HYPERLINK("https://lindat.mff.cuni.cz/services/teitok/pdtc10/index.php?action=vallex&amp;frame=v-w1855f207_ZU", "mít (v-w1855f207_ZU)")</f>
        <v>mít (v-w1855f207_ZU)</v>
      </c>
    </row>
    <row r="14780" customFormat="false" ht="12.8" hidden="false" customHeight="false" outlineLevel="0" collapsed="false">
      <c r="B14780" s="0" t="s">
        <v>7</v>
      </c>
      <c r="C14780" s="0" t="s">
        <v>1286</v>
      </c>
    </row>
    <row r="14781" customFormat="false" ht="12.8" hidden="false" customHeight="false" outlineLevel="0" collapsed="false">
      <c r="B14781" s="0" t="s">
        <v>5754</v>
      </c>
      <c r="C14781" s="0" t="s">
        <v>2359</v>
      </c>
    </row>
    <row r="14783" customFormat="false" ht="12.8" hidden="false" customHeight="false" outlineLevel="0" collapsed="false">
      <c r="A14783" s="0" t="s">
        <v>5753</v>
      </c>
      <c r="B14783" s="0" t="str">
        <f aca="false">HYPERLINK("https://lindat.mff.cuni.cz/services/teitok/pdtc10/index.php?action=vallex&amp;frame=v-w1855f129_ZU", "mít (v-w1855f129_ZU) - substituted with v-w1855f207_ZU")</f>
        <v>mít (v-w1855f129_ZU) - substituted with v-w1855f207_ZU</v>
      </c>
    </row>
    <row r="14784" customFormat="false" ht="12.8" hidden="false" customHeight="false" outlineLevel="0" collapsed="false">
      <c r="B14784" s="0" t="s">
        <v>7</v>
      </c>
      <c r="C14784" s="0" t="s">
        <v>5755</v>
      </c>
    </row>
    <row r="14785" customFormat="false" ht="12.8" hidden="false" customHeight="false" outlineLevel="0" collapsed="false">
      <c r="B14785" s="0" t="s">
        <v>5754</v>
      </c>
      <c r="C14785" s="0" t="s">
        <v>5756</v>
      </c>
    </row>
    <row r="14787" customFormat="false" ht="12.8" hidden="false" customHeight="false" outlineLevel="0" collapsed="false">
      <c r="A14787" s="0" t="s">
        <v>5753</v>
      </c>
      <c r="B14787" s="0" t="str">
        <f aca="false">HYPERLINK("https://lindat.mff.cuni.cz/services/teitok/pdtc10/index.php?action=vallex&amp;frame=v-w1855f22", "mít (v-w1855f22) - substituted with v-w1855f207_ZU")</f>
        <v>mít (v-w1855f22) - substituted with v-w1855f207_ZU</v>
      </c>
    </row>
    <row r="14788" customFormat="false" ht="12.8" hidden="false" customHeight="false" outlineLevel="0" collapsed="false">
      <c r="B14788" s="0" t="s">
        <v>7</v>
      </c>
      <c r="C14788" s="0" t="s">
        <v>5757</v>
      </c>
    </row>
    <row r="14789" customFormat="false" ht="12.8" hidden="false" customHeight="false" outlineLevel="0" collapsed="false">
      <c r="B14789" s="0" t="s">
        <v>5754</v>
      </c>
      <c r="C14789" s="0" t="s">
        <v>5758</v>
      </c>
    </row>
    <row r="14791" customFormat="false" ht="12.8" hidden="false" customHeight="false" outlineLevel="0" collapsed="false">
      <c r="A14791" s="0" t="s">
        <v>5753</v>
      </c>
      <c r="B14791" s="0" t="str">
        <f aca="false">HYPERLINK("https://lindat.mff.cuni.cz/services/teitok/pdtc10/index.php?action=vallex&amp;frame=v-w1855hsa_1120", "mít (v-w1855hsa_1120) - substituted with v-w1855f207_ZU")</f>
        <v>mít (v-w1855hsa_1120) - substituted with v-w1855f207_ZU</v>
      </c>
    </row>
    <row r="14792" customFormat="false" ht="12.8" hidden="false" customHeight="false" outlineLevel="0" collapsed="false">
      <c r="B14792" s="0" t="s">
        <v>7</v>
      </c>
    </row>
    <row r="14793" customFormat="false" ht="12.8" hidden="false" customHeight="false" outlineLevel="0" collapsed="false">
      <c r="B14793" s="0" t="s">
        <v>5754</v>
      </c>
    </row>
    <row r="14795" customFormat="false" ht="12.8" hidden="false" customHeight="false" outlineLevel="0" collapsed="false">
      <c r="A14795" s="0" t="s">
        <v>5759</v>
      </c>
      <c r="B14795" s="0" t="str">
        <f aca="false">HYPERLINK("https://lindat.mff.cuni.cz/services/teitok/pdtc10/index.php?action=vallex&amp;frame=v-w1855f335_ZU", "mít (v-w1855f335_ZU)")</f>
        <v>mít (v-w1855f335_ZU)</v>
      </c>
    </row>
    <row r="14796" customFormat="false" ht="12.8" hidden="false" customHeight="false" outlineLevel="0" collapsed="false">
      <c r="B14796" s="0" t="s">
        <v>7</v>
      </c>
    </row>
    <row r="14797" customFormat="false" ht="12.8" hidden="false" customHeight="false" outlineLevel="0" collapsed="false">
      <c r="B14797" s="0" t="s">
        <v>5760</v>
      </c>
    </row>
    <row r="14799" customFormat="false" ht="12.8" hidden="false" customHeight="false" outlineLevel="0" collapsed="false">
      <c r="A14799" s="0" t="s">
        <v>5759</v>
      </c>
      <c r="B14799" s="0" t="str">
        <f aca="false">HYPERLINK("https://lindat.mff.cuni.cz/services/teitok/pdtc10/index.php?action=vallex&amp;frame=v-w1855f106_ZU", "mít (v-w1855f106_ZU) - substituted with v-w1855f335_ZU")</f>
        <v>mít (v-w1855f106_ZU) - substituted with v-w1855f335_ZU</v>
      </c>
    </row>
    <row r="14800" customFormat="false" ht="12.8" hidden="false" customHeight="false" outlineLevel="0" collapsed="false">
      <c r="B14800" s="0" t="s">
        <v>7</v>
      </c>
      <c r="C14800" s="0" t="s">
        <v>1286</v>
      </c>
    </row>
    <row r="14801" customFormat="false" ht="12.8" hidden="false" customHeight="false" outlineLevel="0" collapsed="false">
      <c r="B14801" s="0" t="s">
        <v>5760</v>
      </c>
      <c r="C14801" s="0" t="s">
        <v>2359</v>
      </c>
    </row>
    <row r="14803" customFormat="false" ht="12.8" hidden="false" customHeight="false" outlineLevel="0" collapsed="false">
      <c r="A14803" s="0" t="s">
        <v>5759</v>
      </c>
      <c r="B14803" s="0" t="str">
        <f aca="false">HYPERLINK("https://lindat.mff.cuni.cz/services/teitok/pdtc10/index.php?action=vallex&amp;frame=v-w1855f119_ZU", "mít (v-w1855f119_ZU) - substituted with v-w1855f335_ZU")</f>
        <v>mít (v-w1855f119_ZU) - substituted with v-w1855f335_ZU</v>
      </c>
    </row>
    <row r="14804" customFormat="false" ht="12.8" hidden="false" customHeight="false" outlineLevel="0" collapsed="false">
      <c r="B14804" s="0" t="s">
        <v>7</v>
      </c>
    </row>
    <row r="14805" customFormat="false" ht="12.8" hidden="false" customHeight="false" outlineLevel="0" collapsed="false">
      <c r="B14805" s="0" t="s">
        <v>5760</v>
      </c>
    </row>
    <row r="14807" customFormat="false" ht="12.8" hidden="false" customHeight="false" outlineLevel="0" collapsed="false">
      <c r="A14807" s="0" t="s">
        <v>5759</v>
      </c>
      <c r="B14807" s="0" t="str">
        <f aca="false">HYPERLINK("https://lindat.mff.cuni.cz/services/teitok/pdtc10/index.php?action=vallex&amp;frame=v-w1855f120_ZU", "mít (v-w1855f120_ZU) - substituted with v-w1855f335_ZU")</f>
        <v>mít (v-w1855f120_ZU) - substituted with v-w1855f335_ZU</v>
      </c>
    </row>
    <row r="14808" customFormat="false" ht="12.8" hidden="false" customHeight="false" outlineLevel="0" collapsed="false">
      <c r="B14808" s="0" t="s">
        <v>7</v>
      </c>
      <c r="C14808" s="0" t="s">
        <v>5761</v>
      </c>
    </row>
    <row r="14809" customFormat="false" ht="12.8" hidden="false" customHeight="false" outlineLevel="0" collapsed="false">
      <c r="B14809" s="0" t="s">
        <v>5760</v>
      </c>
      <c r="C14809" s="0" t="s">
        <v>5762</v>
      </c>
    </row>
    <row r="14811" customFormat="false" ht="12.8" hidden="false" customHeight="false" outlineLevel="0" collapsed="false">
      <c r="A14811" s="0" t="s">
        <v>5759</v>
      </c>
      <c r="B14811" s="0" t="str">
        <f aca="false">HYPERLINK("https://lindat.mff.cuni.cz/services/teitok/pdtc10/index.php?action=vallex&amp;frame=v-w1855f281_ZU", "mít (v-w1855f281_ZU) - substituted with v-w1855f335_ZU")</f>
        <v>mít (v-w1855f281_ZU) - substituted with v-w1855f335_ZU</v>
      </c>
    </row>
    <row r="14812" customFormat="false" ht="12.8" hidden="false" customHeight="false" outlineLevel="0" collapsed="false">
      <c r="B14812" s="0" t="s">
        <v>7</v>
      </c>
    </row>
    <row r="14813" customFormat="false" ht="12.8" hidden="false" customHeight="false" outlineLevel="0" collapsed="false">
      <c r="B14813" s="0" t="s">
        <v>5760</v>
      </c>
    </row>
    <row r="14815" customFormat="false" ht="12.8" hidden="false" customHeight="false" outlineLevel="0" collapsed="false">
      <c r="A14815" s="0" t="s">
        <v>5759</v>
      </c>
      <c r="B14815" s="0" t="str">
        <f aca="false">HYPERLINK("https://lindat.mff.cuni.cz/services/teitok/pdtc10/index.php?action=vallex&amp;frame=v-w1855f291_ZU", "mít (v-w1855f291_ZU) - substituted with v-w1855f335_ZU")</f>
        <v>mít (v-w1855f291_ZU) - substituted with v-w1855f335_ZU</v>
      </c>
    </row>
    <row r="14816" customFormat="false" ht="12.8" hidden="false" customHeight="false" outlineLevel="0" collapsed="false">
      <c r="B14816" s="0" t="s">
        <v>7</v>
      </c>
    </row>
    <row r="14817" customFormat="false" ht="12.8" hidden="false" customHeight="false" outlineLevel="0" collapsed="false">
      <c r="B14817" s="0" t="s">
        <v>5760</v>
      </c>
    </row>
    <row r="14819" customFormat="false" ht="12.8" hidden="false" customHeight="false" outlineLevel="0" collapsed="false">
      <c r="A14819" s="0" t="s">
        <v>5759</v>
      </c>
      <c r="B14819" s="0" t="str">
        <f aca="false">HYPERLINK("https://lindat.mff.cuni.cz/services/teitok/pdtc10/index.php?action=vallex&amp;frame=v-w1855hsa_1112", "mít (v-w1855hsa_1112) - substituted with v-w1855f335_ZU")</f>
        <v>mít (v-w1855hsa_1112) - substituted with v-w1855f335_ZU</v>
      </c>
    </row>
    <row r="14820" customFormat="false" ht="12.8" hidden="false" customHeight="false" outlineLevel="0" collapsed="false">
      <c r="B14820" s="0" t="s">
        <v>7</v>
      </c>
      <c r="C14820" s="0" t="s">
        <v>5763</v>
      </c>
    </row>
    <row r="14821" customFormat="false" ht="12.8" hidden="false" customHeight="false" outlineLevel="0" collapsed="false">
      <c r="B14821" s="0" t="s">
        <v>5760</v>
      </c>
      <c r="C14821" s="0" t="s">
        <v>5695</v>
      </c>
    </row>
    <row r="14823" customFormat="false" ht="12.8" hidden="false" customHeight="false" outlineLevel="0" collapsed="false">
      <c r="A14823" s="0" t="s">
        <v>5759</v>
      </c>
      <c r="B14823" s="0" t="str">
        <f aca="false">HYPERLINK("https://lindat.mff.cuni.cz/services/teitok/pdtc10/index.php?action=vallex&amp;frame=v-w1855hsa_975", "mít (v-w1855hsa_975) - substituted with v-w1855f335_ZU")</f>
        <v>mít (v-w1855hsa_975) - substituted with v-w1855f335_ZU</v>
      </c>
    </row>
    <row r="14824" customFormat="false" ht="12.8" hidden="false" customHeight="false" outlineLevel="0" collapsed="false">
      <c r="B14824" s="0" t="s">
        <v>7</v>
      </c>
    </row>
    <row r="14825" customFormat="false" ht="12.8" hidden="false" customHeight="false" outlineLevel="0" collapsed="false">
      <c r="B14825" s="0" t="s">
        <v>5760</v>
      </c>
    </row>
    <row r="14827" customFormat="false" ht="12.8" hidden="false" customHeight="false" outlineLevel="0" collapsed="false">
      <c r="A14827" s="0" t="s">
        <v>5764</v>
      </c>
      <c r="B14827" s="0" t="str">
        <f aca="false">HYPERLINK("https://lindat.mff.cuni.cz/services/teitok/pdtc10/index.php?action=vallex&amp;frame=v-w1855f347_MM", "mít (v-w1855f347_MM)")</f>
        <v>mít (v-w1855f347_MM)</v>
      </c>
    </row>
    <row r="14828" customFormat="false" ht="12.8" hidden="false" customHeight="false" outlineLevel="0" collapsed="false">
      <c r="B14828" s="0" t="s">
        <v>7</v>
      </c>
    </row>
    <row r="14829" customFormat="false" ht="12.8" hidden="false" customHeight="false" outlineLevel="0" collapsed="false">
      <c r="B14829" s="0" t="s">
        <v>5765</v>
      </c>
    </row>
    <row r="14831" customFormat="false" ht="12.8" hidden="false" customHeight="false" outlineLevel="0" collapsed="false">
      <c r="A14831" s="0" t="s">
        <v>5764</v>
      </c>
      <c r="B14831" s="0" t="str">
        <f aca="false">HYPERLINK("https://lindat.mff.cuni.cz/services/teitok/pdtc10/index.php?action=vallex&amp;frame=v-w1855f122_ZU", "mít (v-w1855f122_ZU) - substituted with v-w1855f347_MM")</f>
        <v>mít (v-w1855f122_ZU) - substituted with v-w1855f347_MM</v>
      </c>
    </row>
    <row r="14832" customFormat="false" ht="12.8" hidden="false" customHeight="false" outlineLevel="0" collapsed="false">
      <c r="B14832" s="0" t="s">
        <v>7</v>
      </c>
      <c r="C14832" s="0" t="s">
        <v>5766</v>
      </c>
    </row>
    <row r="14833" customFormat="false" ht="12.8" hidden="false" customHeight="false" outlineLevel="0" collapsed="false">
      <c r="B14833" s="0" t="s">
        <v>5765</v>
      </c>
      <c r="C14833" s="0" t="s">
        <v>5767</v>
      </c>
    </row>
    <row r="14835" customFormat="false" ht="12.8" hidden="false" customHeight="false" outlineLevel="0" collapsed="false">
      <c r="A14835" s="0" t="s">
        <v>5764</v>
      </c>
      <c r="B14835" s="0" t="str">
        <f aca="false">HYPERLINK("https://lindat.mff.cuni.cz/services/teitok/pdtc10/index.php?action=vallex&amp;frame=v-w1855f215_ZU", "mít (v-w1855f215_ZU) - substituted with v-w1855f347_MM")</f>
        <v>mít (v-w1855f215_ZU) - substituted with v-w1855f347_MM</v>
      </c>
    </row>
    <row r="14836" customFormat="false" ht="12.8" hidden="false" customHeight="false" outlineLevel="0" collapsed="false">
      <c r="B14836" s="0" t="s">
        <v>7</v>
      </c>
      <c r="C14836" s="0" t="s">
        <v>5768</v>
      </c>
    </row>
    <row r="14837" customFormat="false" ht="12.8" hidden="false" customHeight="false" outlineLevel="0" collapsed="false">
      <c r="B14837" s="0" t="s">
        <v>5765</v>
      </c>
      <c r="C14837" s="0" t="s">
        <v>5769</v>
      </c>
    </row>
    <row r="14839" customFormat="false" ht="12.8" hidden="false" customHeight="false" outlineLevel="0" collapsed="false">
      <c r="A14839" s="0" t="s">
        <v>5764</v>
      </c>
      <c r="B14839" s="0" t="str">
        <f aca="false">HYPERLINK("https://lindat.mff.cuni.cz/services/teitok/pdtc10/index.php?action=vallex&amp;frame=v-w1855f41", "mít (v-w1855f41) - substituted with v-w1855f347_MM")</f>
        <v>mít (v-w1855f41) - substituted with v-w1855f347_MM</v>
      </c>
    </row>
    <row r="14840" customFormat="false" ht="12.8" hidden="false" customHeight="false" outlineLevel="0" collapsed="false">
      <c r="B14840" s="0" t="s">
        <v>7</v>
      </c>
      <c r="C14840" s="0" t="s">
        <v>2656</v>
      </c>
    </row>
    <row r="14841" customFormat="false" ht="12.8" hidden="false" customHeight="false" outlineLevel="0" collapsed="false">
      <c r="B14841" s="0" t="s">
        <v>5765</v>
      </c>
      <c r="C14841" s="0" t="s">
        <v>5770</v>
      </c>
    </row>
    <row r="14843" customFormat="false" ht="12.8" hidden="false" customHeight="false" outlineLevel="0" collapsed="false">
      <c r="A14843" s="0" t="s">
        <v>5764</v>
      </c>
      <c r="B14843" s="0" t="str">
        <f aca="false">HYPERLINK("https://lindat.mff.cuni.cz/services/teitok/pdtc10/index.php?action=vallex&amp;frame=v-w1855hsa_1116", "mít (v-w1855hsa_1116) - substituted with v-w1855f347_MM")</f>
        <v>mít (v-w1855hsa_1116) - substituted with v-w1855f347_MM</v>
      </c>
    </row>
    <row r="14844" customFormat="false" ht="12.8" hidden="false" customHeight="false" outlineLevel="0" collapsed="false">
      <c r="B14844" s="0" t="s">
        <v>7</v>
      </c>
      <c r="C14844" s="0" t="s">
        <v>1286</v>
      </c>
    </row>
    <row r="14845" customFormat="false" ht="12.8" hidden="false" customHeight="false" outlineLevel="0" collapsed="false">
      <c r="B14845" s="0" t="s">
        <v>5765</v>
      </c>
      <c r="C14845" s="0" t="s">
        <v>2359</v>
      </c>
    </row>
    <row r="14847" customFormat="false" ht="12.8" hidden="false" customHeight="false" outlineLevel="0" collapsed="false">
      <c r="A14847" s="0" t="s">
        <v>5764</v>
      </c>
      <c r="B14847" s="0" t="str">
        <f aca="false">HYPERLINK("https://lindat.mff.cuni.cz/services/teitok/pdtc10/index.php?action=vallex&amp;frame=v-w1855hsa_976", "mít (v-w1855hsa_976) - substituted with v-w1855f347_MM")</f>
        <v>mít (v-w1855hsa_976) - substituted with v-w1855f347_MM</v>
      </c>
    </row>
    <row r="14848" customFormat="false" ht="12.8" hidden="false" customHeight="false" outlineLevel="0" collapsed="false">
      <c r="B14848" s="0" t="s">
        <v>7</v>
      </c>
    </row>
    <row r="14849" customFormat="false" ht="12.8" hidden="false" customHeight="false" outlineLevel="0" collapsed="false">
      <c r="B14849" s="0" t="s">
        <v>5765</v>
      </c>
    </row>
    <row r="14851" customFormat="false" ht="12.8" hidden="false" customHeight="false" outlineLevel="0" collapsed="false">
      <c r="A14851" s="0" t="s">
        <v>5771</v>
      </c>
      <c r="B14851" s="0" t="str">
        <f aca="false">HYPERLINK("https://lindat.mff.cuni.cz/services/teitok/pdtc10/index.php?action=vallex&amp;frame=v-w1855f344_MM", "mít (v-w1855f344_MM)")</f>
        <v>mít (v-w1855f344_MM)</v>
      </c>
    </row>
    <row r="14852" customFormat="false" ht="12.8" hidden="false" customHeight="false" outlineLevel="0" collapsed="false">
      <c r="B14852" s="0" t="s">
        <v>7</v>
      </c>
    </row>
    <row r="14853" customFormat="false" ht="12.8" hidden="false" customHeight="false" outlineLevel="0" collapsed="false">
      <c r="B14853" s="0" t="s">
        <v>5772</v>
      </c>
    </row>
    <row r="14855" customFormat="false" ht="12.8" hidden="false" customHeight="false" outlineLevel="0" collapsed="false">
      <c r="A14855" s="0" t="s">
        <v>5771</v>
      </c>
      <c r="B14855" s="0" t="str">
        <f aca="false">HYPERLINK("https://lindat.mff.cuni.cz/services/teitok/pdtc10/index.php?action=vallex&amp;frame=v-w1855f130_ZU", "mít (v-w1855f130_ZU) - substituted with v-w1855f344_MM")</f>
        <v>mít (v-w1855f130_ZU) - substituted with v-w1855f344_MM</v>
      </c>
    </row>
    <row r="14856" customFormat="false" ht="12.8" hidden="false" customHeight="false" outlineLevel="0" collapsed="false">
      <c r="B14856" s="0" t="s">
        <v>7</v>
      </c>
      <c r="C14856" s="0" t="s">
        <v>5773</v>
      </c>
    </row>
    <row r="14857" customFormat="false" ht="12.8" hidden="false" customHeight="false" outlineLevel="0" collapsed="false">
      <c r="B14857" s="0" t="s">
        <v>5772</v>
      </c>
      <c r="C14857" s="0" t="s">
        <v>5774</v>
      </c>
    </row>
    <row r="14859" customFormat="false" ht="12.8" hidden="false" customHeight="false" outlineLevel="0" collapsed="false">
      <c r="A14859" s="0" t="s">
        <v>5771</v>
      </c>
      <c r="B14859" s="0" t="str">
        <f aca="false">HYPERLINK("https://lindat.mff.cuni.cz/services/teitok/pdtc10/index.php?action=vallex&amp;frame=v-w1855f303_ZU", "mít (v-w1855f303_ZU) - substituted with v-w1855f344_MM")</f>
        <v>mít (v-w1855f303_ZU) - substituted with v-w1855f344_MM</v>
      </c>
    </row>
    <row r="14860" customFormat="false" ht="12.8" hidden="false" customHeight="false" outlineLevel="0" collapsed="false">
      <c r="B14860" s="0" t="s">
        <v>7</v>
      </c>
    </row>
    <row r="14861" customFormat="false" ht="12.8" hidden="false" customHeight="false" outlineLevel="0" collapsed="false">
      <c r="B14861" s="0" t="s">
        <v>5772</v>
      </c>
    </row>
    <row r="14863" customFormat="false" ht="12.8" hidden="false" customHeight="false" outlineLevel="0" collapsed="false">
      <c r="A14863" s="0" t="s">
        <v>5771</v>
      </c>
      <c r="B14863" s="0" t="str">
        <f aca="false">HYPERLINK("https://lindat.mff.cuni.cz/services/teitok/pdtc10/index.php?action=vallex&amp;frame=v-w1855f92_ZU", "mít (v-w1855f92_ZU) - substituted with v-w1855f344_MM")</f>
        <v>mít (v-w1855f92_ZU) - substituted with v-w1855f344_MM</v>
      </c>
    </row>
    <row r="14864" customFormat="false" ht="12.8" hidden="false" customHeight="false" outlineLevel="0" collapsed="false">
      <c r="B14864" s="0" t="s">
        <v>7</v>
      </c>
      <c r="C14864" s="0" t="s">
        <v>2131</v>
      </c>
    </row>
    <row r="14865" customFormat="false" ht="12.8" hidden="false" customHeight="false" outlineLevel="0" collapsed="false">
      <c r="B14865" s="0" t="s">
        <v>5772</v>
      </c>
      <c r="C14865" s="0" t="s">
        <v>5742</v>
      </c>
    </row>
    <row r="14867" customFormat="false" ht="12.8" hidden="false" customHeight="false" outlineLevel="0" collapsed="false">
      <c r="A14867" s="0" t="s">
        <v>5771</v>
      </c>
      <c r="B14867" s="0" t="str">
        <f aca="false">HYPERLINK("https://lindat.mff.cuni.cz/services/teitok/pdtc10/index.php?action=vallex&amp;frame=v-w1855hsa_978", "mít (v-w1855hsa_978) - substituted with v-w1855f344_MM")</f>
        <v>mít (v-w1855hsa_978) - substituted with v-w1855f344_MM</v>
      </c>
    </row>
    <row r="14868" customFormat="false" ht="12.8" hidden="false" customHeight="false" outlineLevel="0" collapsed="false">
      <c r="B14868" s="0" t="s">
        <v>7</v>
      </c>
    </row>
    <row r="14869" customFormat="false" ht="12.8" hidden="false" customHeight="false" outlineLevel="0" collapsed="false">
      <c r="B14869" s="0" t="s">
        <v>5772</v>
      </c>
    </row>
    <row r="14871" customFormat="false" ht="12.8" hidden="false" customHeight="false" outlineLevel="0" collapsed="false">
      <c r="A14871" s="0" t="s">
        <v>5775</v>
      </c>
      <c r="B14871" s="0" t="str">
        <f aca="false">HYPERLINK("https://lindat.mff.cuni.cz/services/teitok/pdtc10/index.php?action=vallex&amp;frame=v-w1855hsa_1125", "mít (v-w1855hsa_1125)")</f>
        <v>mít (v-w1855hsa_1125)</v>
      </c>
    </row>
    <row r="14872" customFormat="false" ht="12.8" hidden="false" customHeight="false" outlineLevel="0" collapsed="false">
      <c r="B14872" s="0" t="s">
        <v>7</v>
      </c>
      <c r="C14872" s="0" t="s">
        <v>1286</v>
      </c>
    </row>
    <row r="14873" customFormat="false" ht="12.8" hidden="false" customHeight="false" outlineLevel="0" collapsed="false">
      <c r="B14873" s="0" t="s">
        <v>5776</v>
      </c>
      <c r="C14873" s="0" t="s">
        <v>2359</v>
      </c>
    </row>
    <row r="14875" customFormat="false" ht="12.8" hidden="false" customHeight="false" outlineLevel="0" collapsed="false">
      <c r="A14875" s="0" t="s">
        <v>5775</v>
      </c>
      <c r="B14875" s="0" t="str">
        <f aca="false">HYPERLINK("https://lindat.mff.cuni.cz/services/teitok/pdtc10/index.php?action=vallex&amp;frame=v-w1855f103_ZU", "mít (v-w1855f103_ZU) - substituted with v-w1855hsa_1125")</f>
        <v>mít (v-w1855f103_ZU) - substituted with v-w1855hsa_1125</v>
      </c>
    </row>
    <row r="14876" customFormat="false" ht="12.8" hidden="false" customHeight="false" outlineLevel="0" collapsed="false">
      <c r="B14876" s="0" t="s">
        <v>7</v>
      </c>
      <c r="C14876" s="0" t="s">
        <v>5777</v>
      </c>
    </row>
    <row r="14877" customFormat="false" ht="12.8" hidden="false" customHeight="false" outlineLevel="0" collapsed="false">
      <c r="B14877" s="0" t="s">
        <v>5776</v>
      </c>
      <c r="C14877" s="0" t="s">
        <v>5778</v>
      </c>
    </row>
    <row r="14879" customFormat="false" ht="12.8" hidden="false" customHeight="false" outlineLevel="0" collapsed="false">
      <c r="A14879" s="0" t="s">
        <v>5775</v>
      </c>
      <c r="B14879" s="0" t="str">
        <f aca="false">HYPERLINK("https://lindat.mff.cuni.cz/services/teitok/pdtc10/index.php?action=vallex&amp;frame=v-w1855f12", "mít (v-w1855f12) - substituted with v-w1855hsa_1125")</f>
        <v>mít (v-w1855f12) - substituted with v-w1855hsa_1125</v>
      </c>
    </row>
    <row r="14880" customFormat="false" ht="12.8" hidden="false" customHeight="false" outlineLevel="0" collapsed="false">
      <c r="B14880" s="0" t="s">
        <v>7</v>
      </c>
      <c r="C14880" s="0" t="s">
        <v>5779</v>
      </c>
    </row>
    <row r="14881" customFormat="false" ht="12.8" hidden="false" customHeight="false" outlineLevel="0" collapsed="false">
      <c r="B14881" s="0" t="s">
        <v>5776</v>
      </c>
      <c r="C14881" s="0" t="s">
        <v>5780</v>
      </c>
    </row>
    <row r="14883" customFormat="false" ht="12.8" hidden="false" customHeight="false" outlineLevel="0" collapsed="false">
      <c r="A14883" s="0" t="s">
        <v>5781</v>
      </c>
      <c r="B14883" s="0" t="str">
        <f aca="false">HYPERLINK("https://lindat.mff.cuni.cz/services/teitok/pdtc10/index.php?action=vallex&amp;frame=v-w1855f327_ZU", "mít (v-w1855f327_ZU)")</f>
        <v>mít (v-w1855f327_ZU)</v>
      </c>
    </row>
    <row r="14884" customFormat="false" ht="12.8" hidden="false" customHeight="false" outlineLevel="0" collapsed="false">
      <c r="B14884" s="0" t="s">
        <v>7</v>
      </c>
    </row>
    <row r="14885" customFormat="false" ht="12.8" hidden="false" customHeight="false" outlineLevel="0" collapsed="false">
      <c r="B14885" s="0" t="s">
        <v>5782</v>
      </c>
    </row>
    <row r="14887" customFormat="false" ht="12.8" hidden="false" customHeight="false" outlineLevel="0" collapsed="false">
      <c r="A14887" s="0" t="s">
        <v>5781</v>
      </c>
      <c r="B14887" s="0" t="str">
        <f aca="false">HYPERLINK("https://lindat.mff.cuni.cz/services/teitok/pdtc10/index.php?action=vallex&amp;frame=v-w1855f123_ZU", "mít (v-w1855f123_ZU) - substituted with v-w1855f327_ZU")</f>
        <v>mít (v-w1855f123_ZU) - substituted with v-w1855f327_ZU</v>
      </c>
    </row>
    <row r="14888" customFormat="false" ht="12.8" hidden="false" customHeight="false" outlineLevel="0" collapsed="false">
      <c r="B14888" s="0" t="s">
        <v>7</v>
      </c>
    </row>
    <row r="14889" customFormat="false" ht="12.8" hidden="false" customHeight="false" outlineLevel="0" collapsed="false">
      <c r="B14889" s="0" t="s">
        <v>5782</v>
      </c>
    </row>
    <row r="14891" customFormat="false" ht="12.8" hidden="false" customHeight="false" outlineLevel="0" collapsed="false">
      <c r="A14891" s="0" t="s">
        <v>5781</v>
      </c>
      <c r="B14891" s="0" t="str">
        <f aca="false">HYPERLINK("https://lindat.mff.cuni.cz/services/teitok/pdtc10/index.php?action=vallex&amp;frame=v-w1855hsa_1111", "mít (v-w1855hsa_1111) - substituted with v-w1855f327_ZU")</f>
        <v>mít (v-w1855hsa_1111) - substituted with v-w1855f327_ZU</v>
      </c>
    </row>
    <row r="14892" customFormat="false" ht="12.8" hidden="false" customHeight="false" outlineLevel="0" collapsed="false">
      <c r="B14892" s="0" t="s">
        <v>7</v>
      </c>
      <c r="C14892" s="0" t="s">
        <v>5783</v>
      </c>
    </row>
    <row r="14893" customFormat="false" ht="12.8" hidden="false" customHeight="false" outlineLevel="0" collapsed="false">
      <c r="B14893" s="0" t="s">
        <v>5782</v>
      </c>
      <c r="C14893" s="0" t="s">
        <v>5784</v>
      </c>
    </row>
    <row r="14895" customFormat="false" ht="12.8" hidden="false" customHeight="false" outlineLevel="0" collapsed="false">
      <c r="A14895" s="0" t="s">
        <v>5781</v>
      </c>
      <c r="B14895" s="0" t="str">
        <f aca="false">HYPERLINK("https://lindat.mff.cuni.cz/services/teitok/pdtc10/index.php?action=vallex&amp;frame=v-w1855hsa_977", "mít (v-w1855hsa_977) - substituted with v-w1855f327_ZU")</f>
        <v>mít (v-w1855hsa_977) - substituted with v-w1855f327_ZU</v>
      </c>
    </row>
    <row r="14896" customFormat="false" ht="12.8" hidden="false" customHeight="false" outlineLevel="0" collapsed="false">
      <c r="B14896" s="0" t="s">
        <v>7</v>
      </c>
    </row>
    <row r="14897" customFormat="false" ht="12.8" hidden="false" customHeight="false" outlineLevel="0" collapsed="false">
      <c r="B14897" s="0" t="s">
        <v>5782</v>
      </c>
    </row>
    <row r="14899" customFormat="false" ht="12.8" hidden="false" customHeight="false" outlineLevel="0" collapsed="false">
      <c r="A14899" s="0" t="s">
        <v>5785</v>
      </c>
      <c r="B14899" s="0" t="str">
        <f aca="false">HYPERLINK("https://lindat.mff.cuni.cz/services/teitok/pdtc10/index.php?action=vallex&amp;frame=v-w1855f121_ZU", "mít (v-w1855f121_ZU)")</f>
        <v>mít (v-w1855f121_ZU)</v>
      </c>
    </row>
    <row r="14900" customFormat="false" ht="12.8" hidden="false" customHeight="false" outlineLevel="0" collapsed="false">
      <c r="B14900" s="0" t="s">
        <v>7</v>
      </c>
    </row>
    <row r="14901" customFormat="false" ht="12.8" hidden="false" customHeight="false" outlineLevel="0" collapsed="false">
      <c r="B14901" s="0" t="s">
        <v>5786</v>
      </c>
    </row>
    <row r="14903" customFormat="false" ht="12.8" hidden="false" customHeight="false" outlineLevel="0" collapsed="false">
      <c r="A14903" s="0" t="s">
        <v>5787</v>
      </c>
      <c r="B14903" s="0" t="str">
        <f aca="false">HYPERLINK("https://lindat.mff.cuni.cz/services/teitok/pdtc10/index.php?action=vallex&amp;frame=v-w1855f239_ZU", "mít (v-w1855f239_ZU)")</f>
        <v>mít (v-w1855f239_ZU)</v>
      </c>
    </row>
    <row r="14904" customFormat="false" ht="12.8" hidden="false" customHeight="false" outlineLevel="0" collapsed="false">
      <c r="B14904" s="0" t="s">
        <v>7</v>
      </c>
    </row>
    <row r="14905" customFormat="false" ht="12.8" hidden="false" customHeight="false" outlineLevel="0" collapsed="false">
      <c r="B14905" s="0" t="s">
        <v>5788</v>
      </c>
    </row>
    <row r="14907" customFormat="false" ht="12.8" hidden="false" customHeight="false" outlineLevel="0" collapsed="false">
      <c r="A14907" s="0" t="s">
        <v>5787</v>
      </c>
      <c r="B14907" s="0" t="str">
        <f aca="false">HYPERLINK("https://lindat.mff.cuni.cz/services/teitok/pdtc10/index.php?action=vallex&amp;frame=v-w1855f162_ZU", "mít (v-w1855f162_ZU) - substituted with v-w1855f239_ZU")</f>
        <v>mít (v-w1855f162_ZU) - substituted with v-w1855f239_ZU</v>
      </c>
    </row>
    <row r="14908" customFormat="false" ht="12.8" hidden="false" customHeight="false" outlineLevel="0" collapsed="false">
      <c r="B14908" s="0" t="s">
        <v>7</v>
      </c>
      <c r="C14908" s="0" t="s">
        <v>5670</v>
      </c>
    </row>
    <row r="14909" customFormat="false" ht="12.8" hidden="false" customHeight="false" outlineLevel="0" collapsed="false">
      <c r="B14909" s="0" t="s">
        <v>5788</v>
      </c>
      <c r="C14909" s="0" t="s">
        <v>5671</v>
      </c>
    </row>
    <row r="14911" customFormat="false" ht="12.8" hidden="false" customHeight="false" outlineLevel="0" collapsed="false">
      <c r="A14911" s="0" t="s">
        <v>5787</v>
      </c>
      <c r="B14911" s="0" t="str">
        <f aca="false">HYPERLINK("https://lindat.mff.cuni.cz/services/teitok/pdtc10/index.php?action=vallex&amp;frame=v-w1855f17", "mít (v-w1855f17) - substituted with v-w1855f239_ZU")</f>
        <v>mít (v-w1855f17) - substituted with v-w1855f239_ZU</v>
      </c>
    </row>
    <row r="14912" customFormat="false" ht="12.8" hidden="false" customHeight="false" outlineLevel="0" collapsed="false">
      <c r="B14912" s="0" t="s">
        <v>7</v>
      </c>
      <c r="C14912" s="0" t="s">
        <v>5789</v>
      </c>
    </row>
    <row r="14913" customFormat="false" ht="12.8" hidden="false" customHeight="false" outlineLevel="0" collapsed="false">
      <c r="B14913" s="0" t="s">
        <v>5788</v>
      </c>
      <c r="C14913" s="0" t="s">
        <v>5790</v>
      </c>
    </row>
    <row r="14915" customFormat="false" ht="12.8" hidden="false" customHeight="false" outlineLevel="0" collapsed="false">
      <c r="A14915" s="0" t="s">
        <v>5787</v>
      </c>
      <c r="B14915" s="0" t="str">
        <f aca="false">HYPERLINK("https://lindat.mff.cuni.cz/services/teitok/pdtc10/index.php?action=vallex&amp;frame=v-w1855f203_ZU", "mít (v-w1855f203_ZU) - substituted with v-w1855f239_ZU")</f>
        <v>mít (v-w1855f203_ZU) - substituted with v-w1855f239_ZU</v>
      </c>
    </row>
    <row r="14916" customFormat="false" ht="12.8" hidden="false" customHeight="false" outlineLevel="0" collapsed="false">
      <c r="B14916" s="0" t="s">
        <v>7</v>
      </c>
      <c r="C14916" s="0" t="s">
        <v>1286</v>
      </c>
    </row>
    <row r="14917" customFormat="false" ht="12.8" hidden="false" customHeight="false" outlineLevel="0" collapsed="false">
      <c r="B14917" s="0" t="s">
        <v>5788</v>
      </c>
      <c r="C14917" s="0" t="s">
        <v>2359</v>
      </c>
    </row>
    <row r="14919" customFormat="false" ht="12.8" hidden="false" customHeight="false" outlineLevel="0" collapsed="false">
      <c r="A14919" s="0" t="s">
        <v>5787</v>
      </c>
      <c r="B14919" s="0" t="str">
        <f aca="false">HYPERLINK("https://lindat.mff.cuni.cz/services/teitok/pdtc10/index.php?action=vallex&amp;frame=v-w1855hsa_968", "mít (v-w1855hsa_968) - substituted with v-w1855f239_ZU")</f>
        <v>mít (v-w1855hsa_968) - substituted with v-w1855f239_ZU</v>
      </c>
    </row>
    <row r="14920" customFormat="false" ht="12.8" hidden="false" customHeight="false" outlineLevel="0" collapsed="false">
      <c r="B14920" s="0" t="s">
        <v>7</v>
      </c>
    </row>
    <row r="14921" customFormat="false" ht="12.8" hidden="false" customHeight="false" outlineLevel="0" collapsed="false">
      <c r="B14921" s="0" t="s">
        <v>5788</v>
      </c>
    </row>
    <row r="14923" customFormat="false" ht="12.8" hidden="false" customHeight="false" outlineLevel="0" collapsed="false">
      <c r="A14923" s="0" t="s">
        <v>5791</v>
      </c>
      <c r="B14923" s="0" t="str">
        <f aca="false">HYPERLINK("https://lindat.mff.cuni.cz/services/teitok/pdtc10/index.php?action=vallex&amp;frame=v-w1855f126_ZU", "mít (v-w1855f126_ZU)")</f>
        <v>mít (v-w1855f126_ZU)</v>
      </c>
    </row>
    <row r="14924" customFormat="false" ht="12.8" hidden="false" customHeight="false" outlineLevel="0" collapsed="false">
      <c r="B14924" s="0" t="s">
        <v>7</v>
      </c>
      <c r="C14924" s="0" t="s">
        <v>5792</v>
      </c>
    </row>
    <row r="14925" customFormat="false" ht="12.8" hidden="false" customHeight="false" outlineLevel="0" collapsed="false">
      <c r="B14925" s="0" t="s">
        <v>5793</v>
      </c>
      <c r="C14925" s="0" t="s">
        <v>5794</v>
      </c>
    </row>
    <row r="14927" customFormat="false" ht="12.8" hidden="false" customHeight="false" outlineLevel="0" collapsed="false">
      <c r="A14927" s="0" t="s">
        <v>5795</v>
      </c>
      <c r="B14927" s="0" t="str">
        <f aca="false">HYPERLINK("https://lindat.mff.cuni.cz/services/teitok/pdtc10/index.php?action=vallex&amp;frame=v-w1855f127_ZU", "mít (v-w1855f127_ZU)")</f>
        <v>mít (v-w1855f127_ZU)</v>
      </c>
    </row>
    <row r="14928" customFormat="false" ht="12.8" hidden="false" customHeight="false" outlineLevel="0" collapsed="false">
      <c r="B14928" s="0" t="s">
        <v>7</v>
      </c>
      <c r="C14928" s="0" t="s">
        <v>1286</v>
      </c>
    </row>
    <row r="14929" customFormat="false" ht="12.8" hidden="false" customHeight="false" outlineLevel="0" collapsed="false">
      <c r="B14929" s="0" t="s">
        <v>5796</v>
      </c>
      <c r="C14929" s="0" t="s">
        <v>2359</v>
      </c>
    </row>
    <row r="14931" customFormat="false" ht="12.8" hidden="false" customHeight="false" outlineLevel="0" collapsed="false">
      <c r="A14931" s="0" t="s">
        <v>5797</v>
      </c>
      <c r="B14931" s="0" t="str">
        <f aca="false">HYPERLINK("https://lindat.mff.cuni.cz/services/teitok/pdtc10/index.php?action=vallex&amp;frame=v-w1855f110_ZU", "mít (v-w1855f110_ZU)")</f>
        <v>mít (v-w1855f110_ZU)</v>
      </c>
    </row>
    <row r="14932" customFormat="false" ht="12.8" hidden="false" customHeight="false" outlineLevel="0" collapsed="false">
      <c r="B14932" s="0" t="s">
        <v>7</v>
      </c>
      <c r="C14932" s="0" t="s">
        <v>5798</v>
      </c>
    </row>
    <row r="14933" customFormat="false" ht="12.8" hidden="false" customHeight="false" outlineLevel="0" collapsed="false">
      <c r="B14933" s="0" t="s">
        <v>5799</v>
      </c>
      <c r="C14933" s="0" t="s">
        <v>5800</v>
      </c>
    </row>
    <row r="14935" customFormat="false" ht="12.8" hidden="false" customHeight="false" outlineLevel="0" collapsed="false">
      <c r="A14935" s="0" t="s">
        <v>5801</v>
      </c>
      <c r="B14935" s="0" t="str">
        <f aca="false">HYPERLINK("https://lindat.mff.cuni.cz/services/teitok/pdtc10/index.php?action=vallex&amp;frame=v-w1855f94_ZU", "mít (v-w1855f94_ZU)")</f>
        <v>mít (v-w1855f94_ZU)</v>
      </c>
    </row>
    <row r="14936" customFormat="false" ht="12.8" hidden="false" customHeight="false" outlineLevel="0" collapsed="false">
      <c r="B14936" s="0" t="s">
        <v>7</v>
      </c>
      <c r="C14936" s="0" t="s">
        <v>2281</v>
      </c>
    </row>
    <row r="14937" customFormat="false" ht="12.8" hidden="false" customHeight="false" outlineLevel="0" collapsed="false">
      <c r="B14937" s="0" t="s">
        <v>5802</v>
      </c>
    </row>
    <row r="14939" customFormat="false" ht="12.8" hidden="false" customHeight="false" outlineLevel="0" collapsed="false">
      <c r="A14939" s="0" t="s">
        <v>5803</v>
      </c>
      <c r="B14939" s="0" t="str">
        <f aca="false">HYPERLINK("https://lindat.mff.cuni.cz/services/teitok/pdtc10/index.php?action=vallex&amp;frame=v-w1855f104_ZU", "mít (v-w1855f104_ZU)")</f>
        <v>mít (v-w1855f104_ZU)</v>
      </c>
    </row>
    <row r="14940" customFormat="false" ht="12.8" hidden="false" customHeight="false" outlineLevel="0" collapsed="false">
      <c r="B14940" s="0" t="s">
        <v>7</v>
      </c>
      <c r="C14940" s="0" t="s">
        <v>1286</v>
      </c>
    </row>
    <row r="14941" customFormat="false" ht="12.8" hidden="false" customHeight="false" outlineLevel="0" collapsed="false">
      <c r="B14941" s="0" t="s">
        <v>5804</v>
      </c>
      <c r="C14941" s="0" t="s">
        <v>2359</v>
      </c>
    </row>
    <row r="14943" customFormat="false" ht="12.8" hidden="false" customHeight="false" outlineLevel="0" collapsed="false">
      <c r="A14943" s="0" t="s">
        <v>5805</v>
      </c>
      <c r="B14943" s="0" t="str">
        <f aca="false">HYPERLINK("https://lindat.mff.cuni.cz/services/teitok/pdtc10/index.php?action=vallex&amp;frame=v-w1855hsa_1122", "mít (v-w1855hsa_1122)")</f>
        <v>mít (v-w1855hsa_1122)</v>
      </c>
    </row>
    <row r="14944" customFormat="false" ht="12.8" hidden="false" customHeight="false" outlineLevel="0" collapsed="false">
      <c r="B14944" s="0" t="s">
        <v>7</v>
      </c>
      <c r="C14944" s="0" t="s">
        <v>5806</v>
      </c>
    </row>
    <row r="14945" customFormat="false" ht="12.8" hidden="false" customHeight="false" outlineLevel="0" collapsed="false">
      <c r="B14945" s="0" t="s">
        <v>5807</v>
      </c>
      <c r="C14945" s="0" t="s">
        <v>5808</v>
      </c>
    </row>
    <row r="14947" customFormat="false" ht="12.8" hidden="false" customHeight="false" outlineLevel="0" collapsed="false">
      <c r="A14947" s="0" t="s">
        <v>5805</v>
      </c>
      <c r="B14947" s="0" t="str">
        <f aca="false">HYPERLINK("https://lindat.mff.cuni.cz/services/teitok/pdtc10/index.php?action=vallex&amp;frame=v-w1855f116_ZU", "mít (v-w1855f116_ZU) - substituted with v-w1855hsa_1122")</f>
        <v>mít (v-w1855f116_ZU) - substituted with v-w1855hsa_1122</v>
      </c>
    </row>
    <row r="14948" customFormat="false" ht="12.8" hidden="false" customHeight="false" outlineLevel="0" collapsed="false">
      <c r="B14948" s="0" t="s">
        <v>7</v>
      </c>
      <c r="C14948" s="0" t="s">
        <v>1286</v>
      </c>
    </row>
    <row r="14949" customFormat="false" ht="12.8" hidden="false" customHeight="false" outlineLevel="0" collapsed="false">
      <c r="B14949" s="0" t="s">
        <v>5807</v>
      </c>
      <c r="C14949" s="0" t="s">
        <v>2359</v>
      </c>
    </row>
    <row r="14951" customFormat="false" ht="12.8" hidden="false" customHeight="false" outlineLevel="0" collapsed="false">
      <c r="A14951" s="0" t="s">
        <v>5809</v>
      </c>
      <c r="B14951" s="0" t="str">
        <f aca="false">HYPERLINK("https://lindat.mff.cuni.cz/services/teitok/pdtc10/index.php?action=vallex&amp;frame=v-w1855f222_ZU", "mít (v-w1855f222_ZU)")</f>
        <v>mít (v-w1855f222_ZU)</v>
      </c>
    </row>
    <row r="14952" customFormat="false" ht="12.8" hidden="false" customHeight="false" outlineLevel="0" collapsed="false">
      <c r="B14952" s="0" t="s">
        <v>7</v>
      </c>
      <c r="C14952" s="0" t="s">
        <v>1286</v>
      </c>
    </row>
    <row r="14953" customFormat="false" ht="12.8" hidden="false" customHeight="false" outlineLevel="0" collapsed="false">
      <c r="B14953" s="0" t="s">
        <v>5810</v>
      </c>
      <c r="C14953" s="0" t="s">
        <v>2359</v>
      </c>
    </row>
    <row r="14955" customFormat="false" ht="12.8" hidden="false" customHeight="false" outlineLevel="0" collapsed="false">
      <c r="A14955" s="0" t="s">
        <v>5809</v>
      </c>
      <c r="B14955" s="0" t="str">
        <f aca="false">HYPERLINK("https://lindat.mff.cuni.cz/services/teitok/pdtc10/index.php?action=vallex&amp;frame=v-w1855f150_ZU", "mít (v-w1855f150_ZU) - substituted with v-w1855f222_ZU")</f>
        <v>mít (v-w1855f150_ZU) - substituted with v-w1855f222_ZU</v>
      </c>
    </row>
    <row r="14956" customFormat="false" ht="12.8" hidden="false" customHeight="false" outlineLevel="0" collapsed="false">
      <c r="B14956" s="0" t="s">
        <v>7</v>
      </c>
    </row>
    <row r="14957" customFormat="false" ht="12.8" hidden="false" customHeight="false" outlineLevel="0" collapsed="false">
      <c r="B14957" s="0" t="s">
        <v>5810</v>
      </c>
    </row>
    <row r="14959" customFormat="false" ht="12.8" hidden="false" customHeight="false" outlineLevel="0" collapsed="false">
      <c r="A14959" s="0" t="s">
        <v>5809</v>
      </c>
      <c r="B14959" s="0" t="str">
        <f aca="false">HYPERLINK("https://lindat.mff.cuni.cz/services/teitok/pdtc10/index.php?action=vallex&amp;frame=v-w1855f218_ZU", "mít (v-w1855f218_ZU) - substituted with v-w1855f222_ZU")</f>
        <v>mít (v-w1855f218_ZU) - substituted with v-w1855f222_ZU</v>
      </c>
    </row>
    <row r="14960" customFormat="false" ht="12.8" hidden="false" customHeight="false" outlineLevel="0" collapsed="false">
      <c r="B14960" s="0" t="s">
        <v>7</v>
      </c>
    </row>
    <row r="14961" customFormat="false" ht="12.8" hidden="false" customHeight="false" outlineLevel="0" collapsed="false">
      <c r="B14961" s="0" t="s">
        <v>5810</v>
      </c>
    </row>
    <row r="14963" customFormat="false" ht="12.8" hidden="false" customHeight="false" outlineLevel="0" collapsed="false">
      <c r="A14963" s="0" t="s">
        <v>5809</v>
      </c>
      <c r="B14963" s="0" t="str">
        <f aca="false">HYPERLINK("https://lindat.mff.cuni.cz/services/teitok/pdtc10/index.php?action=vallex&amp;frame=v-w1855f220_ZU", "mít (v-w1855f220_ZU) - substituted with v-w1855f222_ZU")</f>
        <v>mít (v-w1855f220_ZU) - substituted with v-w1855f222_ZU</v>
      </c>
    </row>
    <row r="14964" customFormat="false" ht="12.8" hidden="false" customHeight="false" outlineLevel="0" collapsed="false">
      <c r="B14964" s="0" t="s">
        <v>7</v>
      </c>
      <c r="C14964" s="0" t="s">
        <v>1286</v>
      </c>
    </row>
    <row r="14965" customFormat="false" ht="12.8" hidden="false" customHeight="false" outlineLevel="0" collapsed="false">
      <c r="B14965" s="0" t="s">
        <v>5810</v>
      </c>
      <c r="C14965" s="0" t="s">
        <v>2359</v>
      </c>
    </row>
    <row r="14967" customFormat="false" ht="12.8" hidden="false" customHeight="false" outlineLevel="0" collapsed="false">
      <c r="A14967" s="0" t="s">
        <v>5811</v>
      </c>
      <c r="B14967" s="0" t="str">
        <f aca="false">HYPERLINK("https://lindat.mff.cuni.cz/services/teitok/pdtc10/index.php?action=vallex&amp;frame=v-w1855f223_ZU", "mít (v-w1855f223_ZU)")</f>
        <v>mít (v-w1855f223_ZU)</v>
      </c>
    </row>
    <row r="14968" customFormat="false" ht="12.8" hidden="false" customHeight="false" outlineLevel="0" collapsed="false">
      <c r="B14968" s="0" t="s">
        <v>7</v>
      </c>
    </row>
    <row r="14969" customFormat="false" ht="12.8" hidden="false" customHeight="false" outlineLevel="0" collapsed="false">
      <c r="B14969" s="0" t="s">
        <v>5812</v>
      </c>
    </row>
    <row r="14971" customFormat="false" ht="12.8" hidden="false" customHeight="false" outlineLevel="0" collapsed="false">
      <c r="A14971" s="0" t="s">
        <v>5811</v>
      </c>
      <c r="B14971" s="0" t="str">
        <f aca="false">HYPERLINK("https://lindat.mff.cuni.cz/services/teitok/pdtc10/index.php?action=vallex&amp;frame=v-w1855f101_ZU", "mít (v-w1855f101_ZU) - substituted with v-w1855f223_ZU")</f>
        <v>mít (v-w1855f101_ZU) - substituted with v-w1855f223_ZU</v>
      </c>
    </row>
    <row r="14972" customFormat="false" ht="12.8" hidden="false" customHeight="false" outlineLevel="0" collapsed="false">
      <c r="B14972" s="0" t="s">
        <v>7</v>
      </c>
      <c r="C14972" s="0" t="s">
        <v>5813</v>
      </c>
    </row>
    <row r="14973" customFormat="false" ht="12.8" hidden="false" customHeight="false" outlineLevel="0" collapsed="false">
      <c r="B14973" s="0" t="s">
        <v>5812</v>
      </c>
      <c r="C14973" s="0" t="s">
        <v>5814</v>
      </c>
    </row>
    <row r="14975" customFormat="false" ht="12.8" hidden="false" customHeight="false" outlineLevel="0" collapsed="false">
      <c r="A14975" s="0" t="s">
        <v>5815</v>
      </c>
      <c r="B14975" s="0" t="str">
        <f aca="false">HYPERLINK("https://lindat.mff.cuni.cz/services/teitok/pdtc10/index.php?action=vallex&amp;frame=v-w1855f98_ZU", "mít (v-w1855f98_ZU)")</f>
        <v>mít (v-w1855f98_ZU)</v>
      </c>
    </row>
    <row r="14976" customFormat="false" ht="12.8" hidden="false" customHeight="false" outlineLevel="0" collapsed="false">
      <c r="B14976" s="0" t="s">
        <v>7</v>
      </c>
      <c r="C14976" s="0" t="s">
        <v>5792</v>
      </c>
    </row>
    <row r="14977" customFormat="false" ht="12.8" hidden="false" customHeight="false" outlineLevel="0" collapsed="false">
      <c r="B14977" s="0" t="s">
        <v>5816</v>
      </c>
      <c r="C14977" s="0" t="s">
        <v>5794</v>
      </c>
    </row>
    <row r="14979" customFormat="false" ht="12.8" hidden="false" customHeight="false" outlineLevel="0" collapsed="false">
      <c r="A14979" s="0" t="s">
        <v>5815</v>
      </c>
      <c r="B14979" s="0" t="str">
        <f aca="false">HYPERLINK("https://lindat.mff.cuni.cz/services/teitok/pdtc10/index.php?action=vallex&amp;frame=v-w1855f97_ZU", "mít (v-w1855f97_ZU) - substituted with v-w1855f98_ZU")</f>
        <v>mít (v-w1855f97_ZU) - substituted with v-w1855f98_ZU</v>
      </c>
    </row>
    <row r="14980" customFormat="false" ht="12.8" hidden="false" customHeight="false" outlineLevel="0" collapsed="false">
      <c r="B14980" s="0" t="s">
        <v>7</v>
      </c>
    </row>
    <row r="14981" customFormat="false" ht="12.8" hidden="false" customHeight="false" outlineLevel="0" collapsed="false">
      <c r="B14981" s="0" t="s">
        <v>5816</v>
      </c>
    </row>
    <row r="14983" customFormat="false" ht="12.8" hidden="false" customHeight="false" outlineLevel="0" collapsed="false">
      <c r="A14983" s="0" t="s">
        <v>5817</v>
      </c>
      <c r="B14983" s="0" t="str">
        <f aca="false">HYPERLINK("https://lindat.mff.cuni.cz/services/teitok/pdtc10/index.php?action=vallex&amp;frame=v-w1855f323_ZU", "mít (v-w1855f323_ZU)")</f>
        <v>mít (v-w1855f323_ZU)</v>
      </c>
    </row>
    <row r="14984" customFormat="false" ht="12.8" hidden="false" customHeight="false" outlineLevel="0" collapsed="false">
      <c r="B14984" s="0" t="s">
        <v>7</v>
      </c>
    </row>
    <row r="14985" customFormat="false" ht="12.8" hidden="false" customHeight="false" outlineLevel="0" collapsed="false">
      <c r="B14985" s="0" t="s">
        <v>5818</v>
      </c>
    </row>
    <row r="14987" customFormat="false" ht="12.8" hidden="false" customHeight="false" outlineLevel="0" collapsed="false">
      <c r="A14987" s="0" t="s">
        <v>5817</v>
      </c>
      <c r="B14987" s="0" t="str">
        <f aca="false">HYPERLINK("https://lindat.mff.cuni.cz/services/teitok/pdtc10/index.php?action=vallex&amp;frame=v-w1855f142_ZU", "mít (v-w1855f142_ZU) - substituted with v-w1855f323_ZU")</f>
        <v>mít (v-w1855f142_ZU) - substituted with v-w1855f323_ZU</v>
      </c>
    </row>
    <row r="14988" customFormat="false" ht="12.8" hidden="false" customHeight="false" outlineLevel="0" collapsed="false">
      <c r="B14988" s="0" t="s">
        <v>7</v>
      </c>
      <c r="C14988" s="0" t="s">
        <v>1286</v>
      </c>
    </row>
    <row r="14989" customFormat="false" ht="12.8" hidden="false" customHeight="false" outlineLevel="0" collapsed="false">
      <c r="B14989" s="0" t="s">
        <v>5818</v>
      </c>
      <c r="C14989" s="0" t="s">
        <v>2359</v>
      </c>
    </row>
    <row r="14991" customFormat="false" ht="12.8" hidden="false" customHeight="false" outlineLevel="0" collapsed="false">
      <c r="A14991" s="0" t="s">
        <v>5817</v>
      </c>
      <c r="B14991" s="0" t="str">
        <f aca="false">HYPERLINK("https://lindat.mff.cuni.cz/services/teitok/pdtc10/index.php?action=vallex&amp;frame=v-w1855f252_ZU", "mít (v-w1855f252_ZU) - substituted with v-w1855f323_ZU")</f>
        <v>mít (v-w1855f252_ZU) - substituted with v-w1855f323_ZU</v>
      </c>
    </row>
    <row r="14992" customFormat="false" ht="12.8" hidden="false" customHeight="false" outlineLevel="0" collapsed="false">
      <c r="B14992" s="0" t="s">
        <v>7</v>
      </c>
    </row>
    <row r="14993" customFormat="false" ht="12.8" hidden="false" customHeight="false" outlineLevel="0" collapsed="false">
      <c r="B14993" s="0" t="s">
        <v>5818</v>
      </c>
    </row>
    <row r="14995" customFormat="false" ht="12.8" hidden="false" customHeight="false" outlineLevel="0" collapsed="false">
      <c r="A14995" s="0" t="s">
        <v>5819</v>
      </c>
      <c r="B14995" s="0" t="str">
        <f aca="false">HYPERLINK("https://lindat.mff.cuni.cz/services/teitok/pdtc10/index.php?action=vallex&amp;frame=v-w1855f135_ZU", "mít (v-w1855f135_ZU)")</f>
        <v>mít (v-w1855f135_ZU)</v>
      </c>
    </row>
    <row r="14996" customFormat="false" ht="12.8" hidden="false" customHeight="false" outlineLevel="0" collapsed="false">
      <c r="B14996" s="0" t="s">
        <v>7</v>
      </c>
      <c r="C14996" s="0" t="s">
        <v>1286</v>
      </c>
    </row>
    <row r="14997" customFormat="false" ht="12.8" hidden="false" customHeight="false" outlineLevel="0" collapsed="false">
      <c r="B14997" s="0" t="s">
        <v>5820</v>
      </c>
      <c r="C14997" s="0" t="s">
        <v>2359</v>
      </c>
    </row>
    <row r="14999" customFormat="false" ht="12.8" hidden="false" customHeight="false" outlineLevel="0" collapsed="false">
      <c r="A14999" s="0" t="s">
        <v>5819</v>
      </c>
      <c r="B14999" s="0" t="str">
        <f aca="false">HYPERLINK("https://lindat.mff.cuni.cz/services/teitok/pdtc10/index.php?action=vallex&amp;frame=v-w1855f16", "mít (v-w1855f16) - substituted with v-w1855f135_ZU")</f>
        <v>mít (v-w1855f16) - substituted with v-w1855f135_ZU</v>
      </c>
    </row>
    <row r="15000" customFormat="false" ht="12.8" hidden="false" customHeight="false" outlineLevel="0" collapsed="false">
      <c r="B15000" s="0" t="s">
        <v>7</v>
      </c>
      <c r="C15000" s="0" t="s">
        <v>5821</v>
      </c>
    </row>
    <row r="15001" customFormat="false" ht="12.8" hidden="false" customHeight="false" outlineLevel="0" collapsed="false">
      <c r="B15001" s="0" t="s">
        <v>5820</v>
      </c>
      <c r="C15001" s="0" t="s">
        <v>5822</v>
      </c>
    </row>
    <row r="15003" customFormat="false" ht="12.8" hidden="false" customHeight="false" outlineLevel="0" collapsed="false">
      <c r="A15003" s="0" t="s">
        <v>5823</v>
      </c>
      <c r="B15003" s="0" t="str">
        <f aca="false">HYPERLINK("https://lindat.mff.cuni.cz/services/teitok/pdtc10/index.php?action=vallex&amp;frame=v-w1855f109_ZU", "mít (v-w1855f109_ZU)")</f>
        <v>mít (v-w1855f109_ZU)</v>
      </c>
    </row>
    <row r="15004" customFormat="false" ht="12.8" hidden="false" customHeight="false" outlineLevel="0" collapsed="false">
      <c r="B15004" s="0" t="s">
        <v>5824</v>
      </c>
      <c r="C15004" s="0" t="s">
        <v>2131</v>
      </c>
    </row>
    <row r="15005" customFormat="false" ht="12.8" hidden="false" customHeight="false" outlineLevel="0" collapsed="false">
      <c r="B15005" s="0" t="s">
        <v>5824</v>
      </c>
      <c r="C15005" s="0" t="s">
        <v>2131</v>
      </c>
    </row>
    <row r="15006" customFormat="false" ht="12.8" hidden="false" customHeight="false" outlineLevel="0" collapsed="false">
      <c r="B15006" s="0" t="s">
        <v>919</v>
      </c>
      <c r="C15006" s="0" t="s">
        <v>5825</v>
      </c>
    </row>
    <row r="15007" customFormat="false" ht="12.8" hidden="false" customHeight="false" outlineLevel="0" collapsed="false">
      <c r="B15007" s="0" t="s">
        <v>232</v>
      </c>
    </row>
    <row r="15009" customFormat="false" ht="12.8" hidden="false" customHeight="false" outlineLevel="0" collapsed="false">
      <c r="A15009" s="0" t="s">
        <v>5826</v>
      </c>
      <c r="B15009" s="0" t="str">
        <f aca="false">HYPERLINK("https://lindat.mff.cuni.cz/services/teitok/pdtc10/index.php?action=vallex&amp;frame=v-w1855f50", "mít (v-w1855f50)")</f>
        <v>mít (v-w1855f50)</v>
      </c>
    </row>
    <row r="15010" customFormat="false" ht="12.8" hidden="false" customHeight="false" outlineLevel="0" collapsed="false">
      <c r="B15010" s="0" t="s">
        <v>7</v>
      </c>
    </row>
    <row r="15011" customFormat="false" ht="12.8" hidden="false" customHeight="false" outlineLevel="0" collapsed="false">
      <c r="B15011" s="0" t="s">
        <v>5827</v>
      </c>
    </row>
    <row r="15012" customFormat="false" ht="12.8" hidden="false" customHeight="false" outlineLevel="0" collapsed="false">
      <c r="B15012" s="0" t="s">
        <v>1693</v>
      </c>
    </row>
    <row r="15013" customFormat="false" ht="12.8" hidden="false" customHeight="false" outlineLevel="0" collapsed="false">
      <c r="B15013" s="0" t="s">
        <v>48</v>
      </c>
    </row>
    <row r="15015" customFormat="false" ht="12.8" hidden="false" customHeight="false" outlineLevel="0" collapsed="false">
      <c r="A15015" s="0" t="s">
        <v>5828</v>
      </c>
      <c r="B15015" s="0" t="str">
        <f aca="false">HYPERLINK("https://lindat.mff.cuni.cz/services/teitok/pdtc10/index.php?action=vallex&amp;frame=v-w1855f146_ZU", "mít (v-w1855f146_ZU)")</f>
        <v>mít (v-w1855f146_ZU)</v>
      </c>
    </row>
    <row r="15016" customFormat="false" ht="12.8" hidden="false" customHeight="false" outlineLevel="0" collapsed="false">
      <c r="B15016" s="0" t="s">
        <v>7</v>
      </c>
    </row>
    <row r="15017" customFormat="false" ht="12.8" hidden="false" customHeight="false" outlineLevel="0" collapsed="false">
      <c r="B15017" s="0" t="s">
        <v>5829</v>
      </c>
    </row>
    <row r="15018" customFormat="false" ht="12.8" hidden="false" customHeight="false" outlineLevel="0" collapsed="false">
      <c r="B15018" s="0" t="s">
        <v>548</v>
      </c>
    </row>
    <row r="15019" customFormat="false" ht="12.8" hidden="false" customHeight="false" outlineLevel="0" collapsed="false">
      <c r="B15019" s="0" t="s">
        <v>666</v>
      </c>
    </row>
    <row r="15021" customFormat="false" ht="12.8" hidden="false" customHeight="false" outlineLevel="0" collapsed="false">
      <c r="A15021" s="0" t="s">
        <v>5828</v>
      </c>
      <c r="B15021" s="0" t="str">
        <f aca="false">HYPERLINK("https://lindat.mff.cuni.cz/services/teitok/pdtc10/index.php?action=vallex&amp;frame=v-w1855f145_ZU", "mít (v-w1855f145_ZU) - substituted with v-w1855f146_ZU")</f>
        <v>mít (v-w1855f145_ZU) - substituted with v-w1855f146_ZU</v>
      </c>
    </row>
    <row r="15022" customFormat="false" ht="12.8" hidden="false" customHeight="false" outlineLevel="0" collapsed="false">
      <c r="B15022" s="0" t="s">
        <v>7</v>
      </c>
    </row>
    <row r="15023" customFormat="false" ht="12.8" hidden="false" customHeight="false" outlineLevel="0" collapsed="false">
      <c r="B15023" s="0" t="s">
        <v>5829</v>
      </c>
    </row>
    <row r="15024" customFormat="false" ht="12.8" hidden="false" customHeight="false" outlineLevel="0" collapsed="false">
      <c r="B15024" s="0" t="s">
        <v>548</v>
      </c>
    </row>
    <row r="15025" customFormat="false" ht="12.8" hidden="false" customHeight="false" outlineLevel="0" collapsed="false">
      <c r="B15025" s="0" t="s">
        <v>666</v>
      </c>
    </row>
    <row r="15027" customFormat="false" ht="12.8" hidden="false" customHeight="false" outlineLevel="0" collapsed="false">
      <c r="A15027" s="0" t="s">
        <v>5830</v>
      </c>
      <c r="B15027" s="0" t="str">
        <f aca="false">HYPERLINK("https://lindat.mff.cuni.cz/services/teitok/pdtc10/index.php?action=vallex&amp;frame=v-w1855f84", "mít (v-w1855f84)")</f>
        <v>mít (v-w1855f84)</v>
      </c>
    </row>
    <row r="15028" customFormat="false" ht="12.8" hidden="false" customHeight="false" outlineLevel="0" collapsed="false">
      <c r="B15028" s="0" t="s">
        <v>7</v>
      </c>
    </row>
    <row r="15029" customFormat="false" ht="12.8" hidden="false" customHeight="false" outlineLevel="0" collapsed="false">
      <c r="B15029" s="0" t="s">
        <v>5831</v>
      </c>
    </row>
    <row r="15030" customFormat="false" ht="12.8" hidden="false" customHeight="false" outlineLevel="0" collapsed="false">
      <c r="B15030" s="0" t="s">
        <v>548</v>
      </c>
    </row>
    <row r="15032" customFormat="false" ht="12.8" hidden="false" customHeight="false" outlineLevel="0" collapsed="false">
      <c r="A15032" s="0" t="s">
        <v>5832</v>
      </c>
      <c r="B15032" s="0" t="str">
        <f aca="false">HYPERLINK("https://lindat.mff.cuni.cz/services/teitok/pdtc10/index.php?action=vallex&amp;frame=v-w1855f85", "mít (v-w1855f85)")</f>
        <v>mít (v-w1855f85)</v>
      </c>
    </row>
    <row r="15033" customFormat="false" ht="12.8" hidden="false" customHeight="false" outlineLevel="0" collapsed="false">
      <c r="B15033" s="0" t="s">
        <v>7</v>
      </c>
      <c r="C15033" s="0" t="s">
        <v>5833</v>
      </c>
      <c r="D15033" s="0" t="s">
        <v>5834</v>
      </c>
      <c r="E15033" s="0" t="s">
        <v>5834</v>
      </c>
      <c r="F15033" s="0" t="s">
        <v>5834</v>
      </c>
    </row>
    <row r="15034" customFormat="false" ht="12.8" hidden="false" customHeight="false" outlineLevel="0" collapsed="false">
      <c r="B15034" s="0" t="s">
        <v>5835</v>
      </c>
      <c r="C15034" s="0" t="s">
        <v>5836</v>
      </c>
    </row>
    <row r="15035" customFormat="false" ht="12.8" hidden="false" customHeight="false" outlineLevel="0" collapsed="false">
      <c r="B15035" s="0" t="s">
        <v>548</v>
      </c>
      <c r="D15035" s="0" t="s">
        <v>5837</v>
      </c>
      <c r="E15035" s="0" t="s">
        <v>5837</v>
      </c>
      <c r="F15035" s="0" t="s">
        <v>5837</v>
      </c>
    </row>
    <row r="15037" customFormat="false" ht="12.8" hidden="false" customHeight="false" outlineLevel="0" collapsed="false">
      <c r="A15037" s="0" t="s">
        <v>5838</v>
      </c>
      <c r="B15037" s="0" t="str">
        <f aca="false">HYPERLINK("https://lindat.mff.cuni.cz/services/teitok/pdtc10/index.php?action=vallex&amp;frame=v-w1855f66", "mít (v-w1855f66)")</f>
        <v>mít (v-w1855f66)</v>
      </c>
    </row>
    <row r="15038" customFormat="false" ht="12.8" hidden="false" customHeight="false" outlineLevel="0" collapsed="false">
      <c r="B15038" s="0" t="s">
        <v>7</v>
      </c>
    </row>
    <row r="15039" customFormat="false" ht="12.8" hidden="false" customHeight="false" outlineLevel="0" collapsed="false">
      <c r="B15039" s="0" t="s">
        <v>5839</v>
      </c>
    </row>
    <row r="15040" customFormat="false" ht="12.8" hidden="false" customHeight="false" outlineLevel="0" collapsed="false">
      <c r="B15040" s="0" t="s">
        <v>1087</v>
      </c>
    </row>
    <row r="15042" customFormat="false" ht="12.8" hidden="false" customHeight="false" outlineLevel="0" collapsed="false">
      <c r="A15042" s="0" t="s">
        <v>5840</v>
      </c>
      <c r="B15042" s="0" t="str">
        <f aca="false">HYPERLINK("https://lindat.mff.cuni.cz/services/teitok/pdtc10/index.php?action=vallex&amp;frame=v-w1855f11", "mít (v-w1855f11)")</f>
        <v>mít (v-w1855f11)</v>
      </c>
    </row>
    <row r="15043" customFormat="false" ht="12.8" hidden="false" customHeight="false" outlineLevel="0" collapsed="false">
      <c r="B15043" s="0" t="s">
        <v>7</v>
      </c>
      <c r="C15043" s="0" t="s">
        <v>5841</v>
      </c>
      <c r="D15043" s="0" t="s">
        <v>1725</v>
      </c>
      <c r="E15043" s="0" t="s">
        <v>1725</v>
      </c>
      <c r="F15043" s="0" t="s">
        <v>1725</v>
      </c>
    </row>
    <row r="15044" customFormat="false" ht="12.8" hidden="false" customHeight="false" outlineLevel="0" collapsed="false">
      <c r="B15044" s="0" t="s">
        <v>777</v>
      </c>
    </row>
    <row r="15045" customFormat="false" ht="12.8" hidden="false" customHeight="false" outlineLevel="0" collapsed="false">
      <c r="B15045" s="0" t="s">
        <v>14</v>
      </c>
      <c r="C15045" s="0" t="s">
        <v>5842</v>
      </c>
      <c r="D15045" s="0" t="s">
        <v>1728</v>
      </c>
      <c r="E15045" s="0" t="s">
        <v>1728</v>
      </c>
      <c r="F15045" s="0" t="s">
        <v>1728</v>
      </c>
    </row>
    <row r="15047" customFormat="false" ht="12.8" hidden="false" customHeight="false" outlineLevel="0" collapsed="false">
      <c r="A15047" s="0" t="s">
        <v>5843</v>
      </c>
      <c r="B15047" s="0" t="str">
        <f aca="false">HYPERLINK("https://lindat.mff.cuni.cz/services/teitok/pdtc10/index.php?action=vallex&amp;frame=v-w1855f23", "mít (v-w1855f23)")</f>
        <v>mít (v-w1855f23)</v>
      </c>
    </row>
    <row r="15048" customFormat="false" ht="12.8" hidden="false" customHeight="false" outlineLevel="0" collapsed="false">
      <c r="B15048" s="0" t="s">
        <v>7</v>
      </c>
      <c r="C15048" s="0" t="s">
        <v>5844</v>
      </c>
      <c r="D15048" s="0" t="s">
        <v>5513</v>
      </c>
      <c r="E15048" s="0" t="s">
        <v>5513</v>
      </c>
      <c r="F15048" s="0" t="s">
        <v>5513</v>
      </c>
    </row>
    <row r="15049" customFormat="false" ht="12.8" hidden="false" customHeight="false" outlineLevel="0" collapsed="false">
      <c r="B15049" s="0" t="s">
        <v>5845</v>
      </c>
      <c r="C15049" s="0" t="s">
        <v>532</v>
      </c>
    </row>
    <row r="15050" customFormat="false" ht="12.8" hidden="false" customHeight="false" outlineLevel="0" collapsed="false">
      <c r="B15050" s="0" t="s">
        <v>172</v>
      </c>
      <c r="C15050" s="0" t="s">
        <v>5846</v>
      </c>
      <c r="D15050" s="0" t="s">
        <v>5515</v>
      </c>
      <c r="E15050" s="0" t="s">
        <v>5515</v>
      </c>
      <c r="F15050" s="0" t="s">
        <v>5515</v>
      </c>
    </row>
    <row r="15052" customFormat="false" ht="12.8" hidden="false" customHeight="false" outlineLevel="0" collapsed="false">
      <c r="A15052" s="0" t="s">
        <v>5847</v>
      </c>
      <c r="B15052" s="0" t="str">
        <f aca="false">HYPERLINK("https://lindat.mff.cuni.cz/services/teitok/pdtc10/index.php?action=vallex&amp;frame=v-w1855f47", "mít (v-w1855f47)")</f>
        <v>mít (v-w1855f47)</v>
      </c>
    </row>
    <row r="15053" customFormat="false" ht="12.8" hidden="false" customHeight="false" outlineLevel="0" collapsed="false">
      <c r="B15053" s="0" t="s">
        <v>7</v>
      </c>
      <c r="C15053" s="0" t="s">
        <v>5848</v>
      </c>
    </row>
    <row r="15054" customFormat="false" ht="12.8" hidden="false" customHeight="false" outlineLevel="0" collapsed="false">
      <c r="B15054" s="0" t="s">
        <v>5849</v>
      </c>
      <c r="C15054" s="0" t="s">
        <v>5850</v>
      </c>
    </row>
    <row r="15055" customFormat="false" ht="12.8" hidden="false" customHeight="false" outlineLevel="0" collapsed="false">
      <c r="B15055" s="0" t="s">
        <v>172</v>
      </c>
      <c r="C15055" s="0" t="s">
        <v>5851</v>
      </c>
    </row>
    <row r="15057" customFormat="false" ht="12.8" hidden="false" customHeight="false" outlineLevel="0" collapsed="false">
      <c r="A15057" s="0" t="s">
        <v>5852</v>
      </c>
      <c r="B15057" s="0" t="str">
        <f aca="false">HYPERLINK("https://lindat.mff.cuni.cz/services/teitok/pdtc10/index.php?action=vallex&amp;frame=v-w1855f70", "mít (v-w1855f70)")</f>
        <v>mít (v-w1855f70)</v>
      </c>
    </row>
    <row r="15058" customFormat="false" ht="12.8" hidden="false" customHeight="false" outlineLevel="0" collapsed="false">
      <c r="B15058" s="0" t="s">
        <v>7</v>
      </c>
    </row>
    <row r="15059" customFormat="false" ht="12.8" hidden="false" customHeight="false" outlineLevel="0" collapsed="false">
      <c r="B15059" s="0" t="s">
        <v>5853</v>
      </c>
    </row>
    <row r="15060" customFormat="false" ht="12.8" hidden="false" customHeight="false" outlineLevel="0" collapsed="false">
      <c r="B15060" s="0" t="s">
        <v>5854</v>
      </c>
    </row>
    <row r="15062" customFormat="false" ht="12.8" hidden="false" customHeight="false" outlineLevel="0" collapsed="false">
      <c r="A15062" s="0" t="s">
        <v>5855</v>
      </c>
      <c r="B15062" s="0" t="str">
        <f aca="false">HYPERLINK("https://lindat.mff.cuni.cz/services/teitok/pdtc10/index.php?action=vallex&amp;frame=v-w1855f62", "mít (v-w1855f62)")</f>
        <v>mít (v-w1855f62)</v>
      </c>
    </row>
    <row r="15063" customFormat="false" ht="12.8" hidden="false" customHeight="false" outlineLevel="0" collapsed="false">
      <c r="B15063" s="0" t="s">
        <v>7</v>
      </c>
    </row>
    <row r="15064" customFormat="false" ht="12.8" hidden="false" customHeight="false" outlineLevel="0" collapsed="false">
      <c r="B15064" s="0" t="s">
        <v>5856</v>
      </c>
    </row>
    <row r="15065" customFormat="false" ht="12.8" hidden="false" customHeight="false" outlineLevel="0" collapsed="false">
      <c r="B15065" s="0" t="s">
        <v>14</v>
      </c>
    </row>
    <row r="15067" customFormat="false" ht="12.8" hidden="false" customHeight="false" outlineLevel="0" collapsed="false">
      <c r="A15067" s="0" t="s">
        <v>5857</v>
      </c>
      <c r="B15067" s="0" t="str">
        <f aca="false">HYPERLINK("https://lindat.mff.cuni.cz/services/teitok/pdtc10/index.php?action=vallex&amp;frame=v-w1855f298_ZU", "mít (v-w1855f298_ZU)")</f>
        <v>mít (v-w1855f298_ZU)</v>
      </c>
    </row>
    <row r="15068" customFormat="false" ht="12.8" hidden="false" customHeight="false" outlineLevel="0" collapsed="false">
      <c r="B15068" s="0" t="s">
        <v>7</v>
      </c>
    </row>
    <row r="15069" customFormat="false" ht="12.8" hidden="false" customHeight="false" outlineLevel="0" collapsed="false">
      <c r="B15069" s="0" t="s">
        <v>5858</v>
      </c>
    </row>
    <row r="15070" customFormat="false" ht="12.8" hidden="false" customHeight="false" outlineLevel="0" collapsed="false">
      <c r="B15070" s="0" t="s">
        <v>5859</v>
      </c>
    </row>
    <row r="15072" customFormat="false" ht="12.8" hidden="false" customHeight="false" outlineLevel="0" collapsed="false">
      <c r="A15072" s="0" t="s">
        <v>5857</v>
      </c>
      <c r="B15072" s="0" t="str">
        <f aca="false">HYPERLINK("https://lindat.mff.cuni.cz/services/teitok/pdtc10/index.php?action=vallex&amp;frame=v-w1855f28", "mít (v-w1855f28) - substituted with v-w1855f298_ZU")</f>
        <v>mít (v-w1855f28) - substituted with v-w1855f298_ZU</v>
      </c>
    </row>
    <row r="15073" customFormat="false" ht="12.8" hidden="false" customHeight="false" outlineLevel="0" collapsed="false">
      <c r="B15073" s="0" t="s">
        <v>7</v>
      </c>
      <c r="C15073" s="0" t="s">
        <v>748</v>
      </c>
      <c r="D15073" s="0" t="s">
        <v>5860</v>
      </c>
      <c r="E15073" s="0" t="s">
        <v>5860</v>
      </c>
      <c r="F15073" s="0" t="s">
        <v>5860</v>
      </c>
    </row>
    <row r="15074" customFormat="false" ht="12.8" hidden="false" customHeight="false" outlineLevel="0" collapsed="false">
      <c r="B15074" s="0" t="s">
        <v>5858</v>
      </c>
      <c r="C15074" s="0" t="s">
        <v>5861</v>
      </c>
    </row>
    <row r="15075" customFormat="false" ht="12.8" hidden="false" customHeight="false" outlineLevel="0" collapsed="false">
      <c r="B15075" s="0" t="s">
        <v>5859</v>
      </c>
      <c r="D15075" s="0" t="s">
        <v>1818</v>
      </c>
      <c r="E15075" s="0" t="s">
        <v>1818</v>
      </c>
      <c r="F15075" s="0" t="s">
        <v>1818</v>
      </c>
    </row>
    <row r="15077" customFormat="false" ht="12.8" hidden="false" customHeight="false" outlineLevel="0" collapsed="false">
      <c r="A15077" s="0" t="s">
        <v>5862</v>
      </c>
      <c r="B15077" s="0" t="str">
        <f aca="false">HYPERLINK("https://lindat.mff.cuni.cz/services/teitok/pdtc10/index.php?action=vallex&amp;frame=v-w1855f31", "mít (v-w1855f31)")</f>
        <v>mít (v-w1855f31)</v>
      </c>
    </row>
    <row r="15078" customFormat="false" ht="12.8" hidden="false" customHeight="false" outlineLevel="0" collapsed="false">
      <c r="B15078" s="0" t="s">
        <v>7</v>
      </c>
      <c r="C15078" s="0" t="s">
        <v>5863</v>
      </c>
      <c r="D15078" s="0" t="s">
        <v>5864</v>
      </c>
      <c r="E15078" s="0" t="s">
        <v>5864</v>
      </c>
      <c r="F15078" s="0" t="s">
        <v>5864</v>
      </c>
    </row>
    <row r="15079" customFormat="false" ht="12.8" hidden="false" customHeight="false" outlineLevel="0" collapsed="false">
      <c r="B15079" s="0" t="s">
        <v>5865</v>
      </c>
      <c r="C15079" s="0" t="s">
        <v>707</v>
      </c>
    </row>
    <row r="15080" customFormat="false" ht="12.8" hidden="false" customHeight="false" outlineLevel="0" collapsed="false">
      <c r="B15080" s="0" t="s">
        <v>54</v>
      </c>
      <c r="C15080" s="0" t="s">
        <v>94</v>
      </c>
      <c r="D15080" s="0" t="s">
        <v>5866</v>
      </c>
      <c r="E15080" s="0" t="s">
        <v>5866</v>
      </c>
      <c r="F15080" s="0" t="s">
        <v>5866</v>
      </c>
    </row>
    <row r="15082" customFormat="false" ht="12.8" hidden="false" customHeight="false" outlineLevel="0" collapsed="false">
      <c r="A15082" s="0" t="s">
        <v>5867</v>
      </c>
      <c r="B15082" s="0" t="str">
        <f aca="false">HYPERLINK("https://lindat.mff.cuni.cz/services/teitok/pdtc10/index.php?action=vallex&amp;frame=v-w1855f58", "mít (v-w1855f58)")</f>
        <v>mít (v-w1855f58)</v>
      </c>
    </row>
    <row r="15083" customFormat="false" ht="12.8" hidden="false" customHeight="false" outlineLevel="0" collapsed="false">
      <c r="B15083" s="0" t="s">
        <v>7</v>
      </c>
    </row>
    <row r="15084" customFormat="false" ht="12.8" hidden="false" customHeight="false" outlineLevel="0" collapsed="false">
      <c r="B15084" s="0" t="s">
        <v>5868</v>
      </c>
    </row>
    <row r="15085" customFormat="false" ht="12.8" hidden="false" customHeight="false" outlineLevel="0" collapsed="false">
      <c r="B15085" s="0" t="s">
        <v>172</v>
      </c>
    </row>
    <row r="15087" customFormat="false" ht="12.8" hidden="false" customHeight="false" outlineLevel="0" collapsed="false">
      <c r="A15087" s="0" t="s">
        <v>5869</v>
      </c>
      <c r="B15087" s="0" t="str">
        <f aca="false">HYPERLINK("https://lindat.mff.cuni.cz/services/teitok/pdtc10/index.php?action=vallex&amp;frame=v-w1855f88", "mít (v-w1855f88)")</f>
        <v>mít (v-w1855f88)</v>
      </c>
    </row>
    <row r="15088" customFormat="false" ht="12.8" hidden="false" customHeight="false" outlineLevel="0" collapsed="false">
      <c r="B15088" s="0" t="s">
        <v>7</v>
      </c>
    </row>
    <row r="15089" customFormat="false" ht="12.8" hidden="false" customHeight="false" outlineLevel="0" collapsed="false">
      <c r="B15089" s="0" t="s">
        <v>5870</v>
      </c>
    </row>
    <row r="15090" customFormat="false" ht="12.8" hidden="false" customHeight="false" outlineLevel="0" collapsed="false">
      <c r="B15090" s="0" t="s">
        <v>1087</v>
      </c>
    </row>
    <row r="15092" customFormat="false" ht="12.8" hidden="false" customHeight="false" outlineLevel="0" collapsed="false">
      <c r="A15092" s="0" t="s">
        <v>5871</v>
      </c>
      <c r="B15092" s="0" t="str">
        <f aca="false">HYPERLINK("https://lindat.mff.cuni.cz/services/teitok/pdtc10/index.php?action=vallex&amp;frame=v-w1855f57", "mít (v-w1855f57)")</f>
        <v>mít (v-w1855f57)</v>
      </c>
    </row>
    <row r="15093" customFormat="false" ht="12.8" hidden="false" customHeight="false" outlineLevel="0" collapsed="false">
      <c r="B15093" s="0" t="s">
        <v>7</v>
      </c>
      <c r="C15093" s="0" t="s">
        <v>309</v>
      </c>
    </row>
    <row r="15094" customFormat="false" ht="12.8" hidden="false" customHeight="false" outlineLevel="0" collapsed="false">
      <c r="B15094" s="0" t="s">
        <v>5872</v>
      </c>
    </row>
    <row r="15095" customFormat="false" ht="12.8" hidden="false" customHeight="false" outlineLevel="0" collapsed="false">
      <c r="B15095" s="0" t="s">
        <v>14</v>
      </c>
      <c r="C15095" s="0" t="s">
        <v>413</v>
      </c>
    </row>
    <row r="15097" customFormat="false" ht="12.8" hidden="false" customHeight="false" outlineLevel="0" collapsed="false">
      <c r="A15097" s="0" t="s">
        <v>5873</v>
      </c>
      <c r="B15097" s="0" t="str">
        <f aca="false">HYPERLINK("https://lindat.mff.cuni.cz/services/teitok/pdtc10/index.php?action=vallex&amp;frame=v-w1855f48", "mít (v-w1855f48)")</f>
        <v>mít (v-w1855f48)</v>
      </c>
    </row>
    <row r="15098" customFormat="false" ht="12.8" hidden="false" customHeight="false" outlineLevel="0" collapsed="false">
      <c r="B15098" s="0" t="s">
        <v>7</v>
      </c>
      <c r="C15098" s="0" t="s">
        <v>31</v>
      </c>
    </row>
    <row r="15099" customFormat="false" ht="12.8" hidden="false" customHeight="false" outlineLevel="0" collapsed="false">
      <c r="B15099" s="0" t="s">
        <v>800</v>
      </c>
      <c r="C15099" s="0" t="s">
        <v>532</v>
      </c>
    </row>
    <row r="15100" customFormat="false" ht="12.8" hidden="false" customHeight="false" outlineLevel="0" collapsed="false">
      <c r="B15100" s="0" t="s">
        <v>4381</v>
      </c>
      <c r="C15100" s="0" t="s">
        <v>74</v>
      </c>
    </row>
    <row r="15102" customFormat="false" ht="12.8" hidden="false" customHeight="false" outlineLevel="0" collapsed="false">
      <c r="A15102" s="0" t="s">
        <v>5874</v>
      </c>
      <c r="B15102" s="0" t="str">
        <f aca="false">HYPERLINK("https://lindat.mff.cuni.cz/services/teitok/pdtc10/index.php?action=vallex&amp;frame=v-w1855f334_ZU", "mít (v-w1855f334_ZU)")</f>
        <v>mít (v-w1855f334_ZU)</v>
      </c>
    </row>
    <row r="15103" customFormat="false" ht="12.8" hidden="false" customHeight="false" outlineLevel="0" collapsed="false">
      <c r="B15103" s="0" t="s">
        <v>7</v>
      </c>
    </row>
    <row r="15104" customFormat="false" ht="12.8" hidden="false" customHeight="false" outlineLevel="0" collapsed="false">
      <c r="B15104" s="0" t="s">
        <v>5875</v>
      </c>
    </row>
    <row r="15105" customFormat="false" ht="12.8" hidden="false" customHeight="false" outlineLevel="0" collapsed="false">
      <c r="B15105" s="0" t="s">
        <v>5876</v>
      </c>
    </row>
    <row r="15107" customFormat="false" ht="12.8" hidden="false" customHeight="false" outlineLevel="0" collapsed="false">
      <c r="A15107" s="0" t="s">
        <v>5874</v>
      </c>
      <c r="B15107" s="0" t="str">
        <f aca="false">HYPERLINK("https://lindat.mff.cuni.cz/services/teitok/pdtc10/index.php?action=vallex&amp;frame=v-w1855f15", "mít (v-w1855f15) - substituted with v-w1855f334_ZU")</f>
        <v>mít (v-w1855f15) - substituted with v-w1855f334_ZU</v>
      </c>
    </row>
    <row r="15108" customFormat="false" ht="12.8" hidden="false" customHeight="false" outlineLevel="0" collapsed="false">
      <c r="B15108" s="0" t="s">
        <v>7</v>
      </c>
      <c r="C15108" s="0" t="s">
        <v>5877</v>
      </c>
      <c r="D15108" s="0" t="s">
        <v>1874</v>
      </c>
      <c r="E15108" s="0" t="s">
        <v>1874</v>
      </c>
      <c r="F15108" s="0" t="s">
        <v>1874</v>
      </c>
    </row>
    <row r="15109" customFormat="false" ht="12.8" hidden="false" customHeight="false" outlineLevel="0" collapsed="false">
      <c r="B15109" s="0" t="s">
        <v>5875</v>
      </c>
    </row>
    <row r="15110" customFormat="false" ht="12.8" hidden="false" customHeight="false" outlineLevel="0" collapsed="false">
      <c r="B15110" s="0" t="s">
        <v>5876</v>
      </c>
      <c r="C15110" s="0" t="s">
        <v>5878</v>
      </c>
      <c r="D15110" s="0" t="s">
        <v>173</v>
      </c>
      <c r="E15110" s="0" t="s">
        <v>173</v>
      </c>
      <c r="F15110" s="0" t="s">
        <v>173</v>
      </c>
    </row>
    <row r="15112" customFormat="false" ht="12.8" hidden="false" customHeight="false" outlineLevel="0" collapsed="false">
      <c r="A15112" s="0" t="s">
        <v>5874</v>
      </c>
      <c r="B15112" s="0" t="str">
        <f aca="false">HYPERLINK("https://lindat.mff.cuni.cz/services/teitok/pdtc10/index.php?action=vallex&amp;frame=v-w1855f242_ZU", "mít (v-w1855f242_ZU) - substituted with v-w1855f334_ZU")</f>
        <v>mít (v-w1855f242_ZU) - substituted with v-w1855f334_ZU</v>
      </c>
    </row>
    <row r="15113" customFormat="false" ht="12.8" hidden="false" customHeight="false" outlineLevel="0" collapsed="false">
      <c r="B15113" s="0" t="s">
        <v>7</v>
      </c>
    </row>
    <row r="15114" customFormat="false" ht="12.8" hidden="false" customHeight="false" outlineLevel="0" collapsed="false">
      <c r="B15114" s="0" t="s">
        <v>5875</v>
      </c>
    </row>
    <row r="15115" customFormat="false" ht="12.8" hidden="false" customHeight="false" outlineLevel="0" collapsed="false">
      <c r="B15115" s="0" t="s">
        <v>5876</v>
      </c>
    </row>
    <row r="15117" customFormat="false" ht="12.8" hidden="false" customHeight="false" outlineLevel="0" collapsed="false">
      <c r="A15117" s="0" t="s">
        <v>5874</v>
      </c>
      <c r="B15117" s="0" t="str">
        <f aca="false">HYPERLINK("https://lindat.mff.cuni.cz/services/teitok/pdtc10/index.php?action=vallex&amp;frame=v-w1855f254_ZU", "mít (v-w1855f254_ZU) - substituted with v-w1855f334_ZU")</f>
        <v>mít (v-w1855f254_ZU) - substituted with v-w1855f334_ZU</v>
      </c>
    </row>
    <row r="15118" customFormat="false" ht="12.8" hidden="false" customHeight="false" outlineLevel="0" collapsed="false">
      <c r="B15118" s="0" t="s">
        <v>7</v>
      </c>
    </row>
    <row r="15119" customFormat="false" ht="12.8" hidden="false" customHeight="false" outlineLevel="0" collapsed="false">
      <c r="B15119" s="0" t="s">
        <v>5875</v>
      </c>
    </row>
    <row r="15120" customFormat="false" ht="12.8" hidden="false" customHeight="false" outlineLevel="0" collapsed="false">
      <c r="B15120" s="0" t="s">
        <v>5876</v>
      </c>
    </row>
    <row r="15122" customFormat="false" ht="12.8" hidden="false" customHeight="false" outlineLevel="0" collapsed="false">
      <c r="A15122" s="0" t="s">
        <v>5874</v>
      </c>
      <c r="B15122" s="0" t="str">
        <f aca="false">HYPERLINK("https://lindat.mff.cuni.cz/services/teitok/pdtc10/index.php?action=vallex&amp;frame=v-w1855f294_ZU", "mít (v-w1855f294_ZU) - substituted with v-w1855f334_ZU")</f>
        <v>mít (v-w1855f294_ZU) - substituted with v-w1855f334_ZU</v>
      </c>
    </row>
    <row r="15123" customFormat="false" ht="12.8" hidden="false" customHeight="false" outlineLevel="0" collapsed="false">
      <c r="B15123" s="0" t="s">
        <v>7</v>
      </c>
    </row>
    <row r="15124" customFormat="false" ht="12.8" hidden="false" customHeight="false" outlineLevel="0" collapsed="false">
      <c r="B15124" s="0" t="s">
        <v>5875</v>
      </c>
    </row>
    <row r="15125" customFormat="false" ht="12.8" hidden="false" customHeight="false" outlineLevel="0" collapsed="false">
      <c r="B15125" s="0" t="s">
        <v>5876</v>
      </c>
    </row>
    <row r="15127" customFormat="false" ht="12.8" hidden="false" customHeight="false" outlineLevel="0" collapsed="false">
      <c r="A15127" s="0" t="s">
        <v>5874</v>
      </c>
      <c r="B15127" s="0" t="str">
        <f aca="false">HYPERLINK("https://lindat.mff.cuni.cz/services/teitok/pdtc10/index.php?action=vallex&amp;frame=v-w1855f320_ZU", "mít (v-w1855f320_ZU) - substituted with v-w1855f334_ZU")</f>
        <v>mít (v-w1855f320_ZU) - substituted with v-w1855f334_ZU</v>
      </c>
    </row>
    <row r="15128" customFormat="false" ht="12.8" hidden="false" customHeight="false" outlineLevel="0" collapsed="false">
      <c r="B15128" s="0" t="s">
        <v>7</v>
      </c>
    </row>
    <row r="15129" customFormat="false" ht="12.8" hidden="false" customHeight="false" outlineLevel="0" collapsed="false">
      <c r="B15129" s="0" t="s">
        <v>5875</v>
      </c>
    </row>
    <row r="15130" customFormat="false" ht="12.8" hidden="false" customHeight="false" outlineLevel="0" collapsed="false">
      <c r="B15130" s="0" t="s">
        <v>5876</v>
      </c>
    </row>
    <row r="15132" customFormat="false" ht="12.8" hidden="false" customHeight="false" outlineLevel="0" collapsed="false">
      <c r="A15132" s="0" t="s">
        <v>5874</v>
      </c>
      <c r="B15132" s="0" t="str">
        <f aca="false">HYPERLINK("https://lindat.mff.cuni.cz/services/teitok/pdtc10/index.php?action=vallex&amp;frame=v-w1855f331_ZU", "mít (v-w1855f331_ZU) - substituted with v-w1855f334_ZU")</f>
        <v>mít (v-w1855f331_ZU) - substituted with v-w1855f334_ZU</v>
      </c>
    </row>
    <row r="15133" customFormat="false" ht="12.8" hidden="false" customHeight="false" outlineLevel="0" collapsed="false">
      <c r="B15133" s="0" t="s">
        <v>7</v>
      </c>
    </row>
    <row r="15134" customFormat="false" ht="12.8" hidden="false" customHeight="false" outlineLevel="0" collapsed="false">
      <c r="B15134" s="0" t="s">
        <v>5875</v>
      </c>
    </row>
    <row r="15135" customFormat="false" ht="12.8" hidden="false" customHeight="false" outlineLevel="0" collapsed="false">
      <c r="B15135" s="0" t="s">
        <v>5876</v>
      </c>
    </row>
    <row r="15137" customFormat="false" ht="12.8" hidden="false" customHeight="false" outlineLevel="0" collapsed="false">
      <c r="A15137" s="0" t="s">
        <v>5879</v>
      </c>
      <c r="B15137" s="0" t="str">
        <f aca="false">HYPERLINK("https://lindat.mff.cuni.cz/services/teitok/pdtc10/index.php?action=vallex&amp;frame=v-w1855f60", "mít (v-w1855f60)")</f>
        <v>mít (v-w1855f60)</v>
      </c>
    </row>
    <row r="15138" customFormat="false" ht="12.8" hidden="false" customHeight="false" outlineLevel="0" collapsed="false">
      <c r="B15138" s="0" t="s">
        <v>7</v>
      </c>
    </row>
    <row r="15139" customFormat="false" ht="12.8" hidden="false" customHeight="false" outlineLevel="0" collapsed="false">
      <c r="B15139" s="0" t="s">
        <v>5880</v>
      </c>
    </row>
    <row r="15140" customFormat="false" ht="12.8" hidden="false" customHeight="false" outlineLevel="0" collapsed="false">
      <c r="B15140" s="0" t="s">
        <v>41</v>
      </c>
    </row>
    <row r="15142" customFormat="false" ht="12.8" hidden="false" customHeight="false" outlineLevel="0" collapsed="false">
      <c r="A15142" s="0" t="s">
        <v>5881</v>
      </c>
      <c r="B15142" s="0" t="str">
        <f aca="false">HYPERLINK("https://lindat.mff.cuni.cz/services/teitok/pdtc10/index.php?action=vallex&amp;frame=v-w1855f71", "mít (v-w1855f71)")</f>
        <v>mít (v-w1855f71)</v>
      </c>
    </row>
    <row r="15143" customFormat="false" ht="12.8" hidden="false" customHeight="false" outlineLevel="0" collapsed="false">
      <c r="B15143" s="0" t="s">
        <v>7</v>
      </c>
    </row>
    <row r="15144" customFormat="false" ht="12.8" hidden="false" customHeight="false" outlineLevel="0" collapsed="false">
      <c r="B15144" s="0" t="s">
        <v>804</v>
      </c>
    </row>
    <row r="15145" customFormat="false" ht="12.8" hidden="false" customHeight="false" outlineLevel="0" collapsed="false">
      <c r="B15145" s="0" t="s">
        <v>14</v>
      </c>
    </row>
    <row r="15147" customFormat="false" ht="12.8" hidden="false" customHeight="false" outlineLevel="0" collapsed="false">
      <c r="A15147" s="0" t="s">
        <v>5882</v>
      </c>
      <c r="B15147" s="0" t="str">
        <f aca="false">HYPERLINK("https://lindat.mff.cuni.cz/services/teitok/pdtc10/index.php?action=vallex&amp;frame=v-w1855f67", "mít (v-w1855f67)")</f>
        <v>mít (v-w1855f67)</v>
      </c>
    </row>
    <row r="15148" customFormat="false" ht="12.8" hidden="false" customHeight="false" outlineLevel="0" collapsed="false">
      <c r="B15148" s="0" t="s">
        <v>7</v>
      </c>
    </row>
    <row r="15149" customFormat="false" ht="12.8" hidden="false" customHeight="false" outlineLevel="0" collapsed="false">
      <c r="B15149" s="0" t="s">
        <v>5883</v>
      </c>
    </row>
    <row r="15150" customFormat="false" ht="12.8" hidden="false" customHeight="false" outlineLevel="0" collapsed="false">
      <c r="B15150" s="0" t="s">
        <v>14</v>
      </c>
    </row>
    <row r="15152" customFormat="false" ht="12.8" hidden="false" customHeight="false" outlineLevel="0" collapsed="false">
      <c r="A15152" s="0" t="s">
        <v>5884</v>
      </c>
      <c r="B15152" s="0" t="str">
        <f aca="false">HYPERLINK("https://lindat.mff.cuni.cz/services/teitok/pdtc10/index.php?action=vallex&amp;frame=v-w1855f64", "mít (v-w1855f64)")</f>
        <v>mít (v-w1855f64)</v>
      </c>
    </row>
    <row r="15153" customFormat="false" ht="12.8" hidden="false" customHeight="false" outlineLevel="0" collapsed="false">
      <c r="B15153" s="0" t="s">
        <v>7</v>
      </c>
    </row>
    <row r="15154" customFormat="false" ht="12.8" hidden="false" customHeight="false" outlineLevel="0" collapsed="false">
      <c r="B15154" s="0" t="s">
        <v>5885</v>
      </c>
    </row>
    <row r="15155" customFormat="false" ht="12.8" hidden="false" customHeight="false" outlineLevel="0" collapsed="false">
      <c r="B15155" s="0" t="s">
        <v>14</v>
      </c>
    </row>
    <row r="15157" customFormat="false" ht="12.8" hidden="false" customHeight="false" outlineLevel="0" collapsed="false">
      <c r="A15157" s="0" t="s">
        <v>5886</v>
      </c>
      <c r="B15157" s="0" t="str">
        <f aca="false">HYPERLINK("https://lindat.mff.cuni.cz/services/teitok/pdtc10/index.php?action=vallex&amp;frame=v-w1855f43", "mít (v-w1855f43)")</f>
        <v>mít (v-w1855f43)</v>
      </c>
    </row>
    <row r="15158" customFormat="false" ht="12.8" hidden="false" customHeight="false" outlineLevel="0" collapsed="false">
      <c r="B15158" s="0" t="s">
        <v>7</v>
      </c>
      <c r="C15158" s="0" t="s">
        <v>5887</v>
      </c>
      <c r="D15158" s="0" t="s">
        <v>5583</v>
      </c>
      <c r="E15158" s="0" t="s">
        <v>5583</v>
      </c>
      <c r="F15158" s="0" t="s">
        <v>5583</v>
      </c>
    </row>
    <row r="15159" customFormat="false" ht="12.8" hidden="false" customHeight="false" outlineLevel="0" collapsed="false">
      <c r="B15159" s="0" t="s">
        <v>5888</v>
      </c>
      <c r="C15159" s="0" t="s">
        <v>5889</v>
      </c>
    </row>
    <row r="15160" customFormat="false" ht="12.8" hidden="false" customHeight="false" outlineLevel="0" collapsed="false">
      <c r="B15160" s="0" t="s">
        <v>5854</v>
      </c>
      <c r="C15160" s="0" t="s">
        <v>5890</v>
      </c>
      <c r="D15160" s="0" t="s">
        <v>5585</v>
      </c>
      <c r="E15160" s="0" t="s">
        <v>5585</v>
      </c>
      <c r="F15160" s="0" t="s">
        <v>5585</v>
      </c>
    </row>
    <row r="15162" customFormat="false" ht="12.8" hidden="false" customHeight="false" outlineLevel="0" collapsed="false">
      <c r="A15162" s="0" t="s">
        <v>5891</v>
      </c>
      <c r="B15162" s="0" t="str">
        <f aca="false">HYPERLINK("https://lindat.mff.cuni.cz/services/teitok/pdtc10/index.php?action=vallex&amp;frame=v-w1855f86", "mít (v-w1855f86)")</f>
        <v>mít (v-w1855f86)</v>
      </c>
    </row>
    <row r="15163" customFormat="false" ht="12.8" hidden="false" customHeight="false" outlineLevel="0" collapsed="false">
      <c r="B15163" s="0" t="s">
        <v>7</v>
      </c>
    </row>
    <row r="15164" customFormat="false" ht="12.8" hidden="false" customHeight="false" outlineLevel="0" collapsed="false">
      <c r="B15164" s="0" t="s">
        <v>5892</v>
      </c>
    </row>
    <row r="15165" customFormat="false" ht="12.8" hidden="false" customHeight="false" outlineLevel="0" collapsed="false">
      <c r="B15165" s="0" t="s">
        <v>14</v>
      </c>
    </row>
    <row r="15167" customFormat="false" ht="12.8" hidden="false" customHeight="false" outlineLevel="0" collapsed="false">
      <c r="A15167" s="0" t="s">
        <v>5893</v>
      </c>
      <c r="B15167" s="0" t="str">
        <f aca="false">HYPERLINK("https://lindat.mff.cuni.cz/services/teitok/pdtc10/index.php?action=vallex&amp;frame=v-w1855f59", "mít (v-w1855f59)")</f>
        <v>mít (v-w1855f59)</v>
      </c>
    </row>
    <row r="15168" customFormat="false" ht="12.8" hidden="false" customHeight="false" outlineLevel="0" collapsed="false">
      <c r="B15168" s="0" t="s">
        <v>7</v>
      </c>
    </row>
    <row r="15169" customFormat="false" ht="12.8" hidden="false" customHeight="false" outlineLevel="0" collapsed="false">
      <c r="B15169" s="0" t="s">
        <v>5894</v>
      </c>
    </row>
    <row r="15170" customFormat="false" ht="12.8" hidden="false" customHeight="false" outlineLevel="0" collapsed="false">
      <c r="B15170" s="0" t="s">
        <v>306</v>
      </c>
    </row>
    <row r="15172" customFormat="false" ht="12.8" hidden="false" customHeight="false" outlineLevel="0" collapsed="false">
      <c r="A15172" s="0" t="s">
        <v>5895</v>
      </c>
      <c r="B15172" s="0" t="str">
        <f aca="false">HYPERLINK("https://lindat.mff.cuni.cz/services/teitok/pdtc10/index.php?action=vallex&amp;frame=v-w1855f63", "mít (v-w1855f63)")</f>
        <v>mít (v-w1855f63)</v>
      </c>
    </row>
    <row r="15173" customFormat="false" ht="12.8" hidden="false" customHeight="false" outlineLevel="0" collapsed="false">
      <c r="B15173" s="0" t="s">
        <v>7</v>
      </c>
    </row>
    <row r="15174" customFormat="false" ht="12.8" hidden="false" customHeight="false" outlineLevel="0" collapsed="false">
      <c r="B15174" s="0" t="s">
        <v>869</v>
      </c>
    </row>
    <row r="15175" customFormat="false" ht="12.8" hidden="false" customHeight="false" outlineLevel="0" collapsed="false">
      <c r="B15175" s="0" t="s">
        <v>14</v>
      </c>
    </row>
    <row r="15177" customFormat="false" ht="12.8" hidden="false" customHeight="false" outlineLevel="0" collapsed="false">
      <c r="A15177" s="0" t="s">
        <v>5896</v>
      </c>
      <c r="B15177" s="0" t="str">
        <f aca="false">HYPERLINK("https://lindat.mff.cuni.cz/services/teitok/pdtc10/index.php?action=vallex&amp;frame=v-w1855f61", "mít (v-w1855f61)")</f>
        <v>mít (v-w1855f61)</v>
      </c>
    </row>
    <row r="15178" customFormat="false" ht="12.8" hidden="false" customHeight="false" outlineLevel="0" collapsed="false">
      <c r="B15178" s="0" t="s">
        <v>7</v>
      </c>
    </row>
    <row r="15179" customFormat="false" ht="12.8" hidden="false" customHeight="false" outlineLevel="0" collapsed="false">
      <c r="B15179" s="0" t="s">
        <v>5897</v>
      </c>
    </row>
    <row r="15180" customFormat="false" ht="12.8" hidden="false" customHeight="false" outlineLevel="0" collapsed="false">
      <c r="B15180" s="0" t="s">
        <v>14</v>
      </c>
    </row>
    <row r="15182" customFormat="false" ht="12.8" hidden="false" customHeight="false" outlineLevel="0" collapsed="false">
      <c r="A15182" s="0" t="s">
        <v>5898</v>
      </c>
      <c r="B15182" s="0" t="str">
        <f aca="false">HYPERLINK("https://lindat.mff.cuni.cz/services/teitok/pdtc10/index.php?action=vallex&amp;frame=v-w1855f38", "mít (v-w1855f38)")</f>
        <v>mít (v-w1855f38)</v>
      </c>
    </row>
    <row r="15183" customFormat="false" ht="12.8" hidden="false" customHeight="false" outlineLevel="0" collapsed="false">
      <c r="B15183" s="0" t="s">
        <v>7</v>
      </c>
      <c r="C15183" s="0" t="s">
        <v>1286</v>
      </c>
    </row>
    <row r="15184" customFormat="false" ht="12.8" hidden="false" customHeight="false" outlineLevel="0" collapsed="false">
      <c r="B15184" s="0" t="s">
        <v>5899</v>
      </c>
    </row>
    <row r="15185" customFormat="false" ht="12.8" hidden="false" customHeight="false" outlineLevel="0" collapsed="false">
      <c r="B15185" s="0" t="s">
        <v>14</v>
      </c>
      <c r="C15185" s="0" t="s">
        <v>1288</v>
      </c>
    </row>
    <row r="15187" customFormat="false" ht="12.8" hidden="false" customHeight="false" outlineLevel="0" collapsed="false">
      <c r="A15187" s="0" t="s">
        <v>5900</v>
      </c>
      <c r="B15187" s="0" t="str">
        <f aca="false">HYPERLINK("https://lindat.mff.cuni.cz/services/teitok/pdtc10/index.php?action=vallex&amp;frame=v-w1855f89", "mít (v-w1855f89)")</f>
        <v>mít (v-w1855f89)</v>
      </c>
    </row>
    <row r="15188" customFormat="false" ht="12.8" hidden="false" customHeight="false" outlineLevel="0" collapsed="false">
      <c r="B15188" s="0" t="s">
        <v>7</v>
      </c>
    </row>
    <row r="15189" customFormat="false" ht="12.8" hidden="false" customHeight="false" outlineLevel="0" collapsed="false">
      <c r="B15189" s="0" t="s">
        <v>5901</v>
      </c>
    </row>
    <row r="15190" customFormat="false" ht="12.8" hidden="false" customHeight="false" outlineLevel="0" collapsed="false">
      <c r="B15190" s="0" t="s">
        <v>14</v>
      </c>
    </row>
    <row r="15192" customFormat="false" ht="12.8" hidden="false" customHeight="false" outlineLevel="0" collapsed="false">
      <c r="A15192" s="0" t="s">
        <v>5902</v>
      </c>
      <c r="B15192" s="0" t="str">
        <f aca="false">HYPERLINK("https://lindat.mff.cuni.cz/services/teitok/pdtc10/index.php?action=vallex&amp;frame=v-w1855f18", "mít (v-w1855f18)")</f>
        <v>mít (v-w1855f18)</v>
      </c>
    </row>
    <row r="15193" customFormat="false" ht="12.8" hidden="false" customHeight="false" outlineLevel="0" collapsed="false">
      <c r="B15193" s="0" t="s">
        <v>7</v>
      </c>
      <c r="C15193" s="0" t="s">
        <v>5903</v>
      </c>
      <c r="D15193" s="0" t="s">
        <v>5583</v>
      </c>
      <c r="E15193" s="0" t="s">
        <v>5583</v>
      </c>
      <c r="F15193" s="0" t="s">
        <v>5583</v>
      </c>
    </row>
    <row r="15194" customFormat="false" ht="12.8" hidden="false" customHeight="false" outlineLevel="0" collapsed="false">
      <c r="B15194" s="0" t="s">
        <v>5904</v>
      </c>
      <c r="C15194" s="0" t="s">
        <v>5905</v>
      </c>
    </row>
    <row r="15195" customFormat="false" ht="12.8" hidden="false" customHeight="false" outlineLevel="0" collapsed="false">
      <c r="B15195" s="0" t="s">
        <v>5854</v>
      </c>
      <c r="C15195" s="0" t="s">
        <v>5906</v>
      </c>
      <c r="D15195" s="0" t="s">
        <v>5585</v>
      </c>
      <c r="E15195" s="0" t="s">
        <v>5585</v>
      </c>
      <c r="F15195" s="0" t="s">
        <v>5585</v>
      </c>
    </row>
    <row r="15197" customFormat="false" ht="12.8" hidden="false" customHeight="false" outlineLevel="0" collapsed="false">
      <c r="A15197" s="0" t="s">
        <v>5907</v>
      </c>
      <c r="B15197" s="0" t="str">
        <f aca="false">HYPERLINK("https://lindat.mff.cuni.cz/services/teitok/pdtc10/index.php?action=vallex&amp;frame=v-w1855f87", "mít (v-w1855f87)")</f>
        <v>mít (v-w1855f87)</v>
      </c>
    </row>
    <row r="15198" customFormat="false" ht="12.8" hidden="false" customHeight="false" outlineLevel="0" collapsed="false">
      <c r="B15198" s="0" t="s">
        <v>7</v>
      </c>
    </row>
    <row r="15199" customFormat="false" ht="12.8" hidden="false" customHeight="false" outlineLevel="0" collapsed="false">
      <c r="B15199" s="0" t="s">
        <v>5908</v>
      </c>
    </row>
    <row r="15200" customFormat="false" ht="12.8" hidden="false" customHeight="false" outlineLevel="0" collapsed="false">
      <c r="B15200" s="0" t="s">
        <v>14</v>
      </c>
    </row>
    <row r="15202" customFormat="false" ht="12.8" hidden="false" customHeight="false" outlineLevel="0" collapsed="false">
      <c r="A15202" s="0" t="s">
        <v>5909</v>
      </c>
      <c r="B15202" s="0" t="str">
        <f aca="false">HYPERLINK("https://lindat.mff.cuni.cz/services/teitok/pdtc10/index.php?action=vallex&amp;frame=v-w1855f78", "mít (v-w1855f78)")</f>
        <v>mít (v-w1855f78)</v>
      </c>
    </row>
    <row r="15203" customFormat="false" ht="12.8" hidden="false" customHeight="false" outlineLevel="0" collapsed="false">
      <c r="B15203" s="0" t="s">
        <v>7</v>
      </c>
    </row>
    <row r="15204" customFormat="false" ht="12.8" hidden="false" customHeight="false" outlineLevel="0" collapsed="false">
      <c r="B15204" s="0" t="s">
        <v>5910</v>
      </c>
    </row>
    <row r="15205" customFormat="false" ht="12.8" hidden="false" customHeight="false" outlineLevel="0" collapsed="false">
      <c r="B15205" s="0" t="s">
        <v>14</v>
      </c>
    </row>
    <row r="15207" customFormat="false" ht="12.8" hidden="false" customHeight="false" outlineLevel="0" collapsed="false">
      <c r="A15207" s="0" t="s">
        <v>5911</v>
      </c>
      <c r="B15207" s="0" t="str">
        <f aca="false">HYPERLINK("https://lindat.mff.cuni.cz/services/teitok/pdtc10/index.php?action=vallex&amp;frame=v-w1855f42", "mít (v-w1855f42)")</f>
        <v>mít (v-w1855f42)</v>
      </c>
    </row>
    <row r="15208" customFormat="false" ht="12.8" hidden="false" customHeight="false" outlineLevel="0" collapsed="false">
      <c r="B15208" s="0" t="s">
        <v>7</v>
      </c>
      <c r="C15208" s="0" t="s">
        <v>5912</v>
      </c>
      <c r="D15208" s="0" t="s">
        <v>5583</v>
      </c>
      <c r="E15208" s="0" t="s">
        <v>5583</v>
      </c>
      <c r="F15208" s="0" t="s">
        <v>5583</v>
      </c>
    </row>
    <row r="15209" customFormat="false" ht="12.8" hidden="false" customHeight="false" outlineLevel="0" collapsed="false">
      <c r="B15209" s="0" t="s">
        <v>5913</v>
      </c>
    </row>
    <row r="15210" customFormat="false" ht="12.8" hidden="false" customHeight="false" outlineLevel="0" collapsed="false">
      <c r="B15210" s="0" t="s">
        <v>306</v>
      </c>
      <c r="C15210" s="0" t="s">
        <v>5914</v>
      </c>
      <c r="D15210" s="0" t="s">
        <v>5585</v>
      </c>
      <c r="E15210" s="0" t="s">
        <v>5585</v>
      </c>
      <c r="F15210" s="0" t="s">
        <v>5585</v>
      </c>
    </row>
    <row r="15212" customFormat="false" ht="12.8" hidden="false" customHeight="false" outlineLevel="0" collapsed="false">
      <c r="A15212" s="0" t="s">
        <v>5915</v>
      </c>
      <c r="B15212" s="0" t="str">
        <f aca="false">HYPERLINK("https://lindat.mff.cuni.cz/services/teitok/pdtc10/index.php?action=vallex&amp;frame=v-w1855f69", "mít (v-w1855f69)")</f>
        <v>mít (v-w1855f69)</v>
      </c>
    </row>
    <row r="15213" customFormat="false" ht="12.8" hidden="false" customHeight="false" outlineLevel="0" collapsed="false">
      <c r="B15213" s="0" t="s">
        <v>7</v>
      </c>
      <c r="D15213" s="0" t="s">
        <v>570</v>
      </c>
      <c r="E15213" s="0" t="s">
        <v>570</v>
      </c>
      <c r="F15213" s="0" t="s">
        <v>570</v>
      </c>
    </row>
    <row r="15214" customFormat="false" ht="12.8" hidden="false" customHeight="false" outlineLevel="0" collapsed="false">
      <c r="B15214" s="0" t="s">
        <v>5916</v>
      </c>
    </row>
    <row r="15215" customFormat="false" ht="12.8" hidden="false" customHeight="false" outlineLevel="0" collapsed="false">
      <c r="B15215" s="0" t="s">
        <v>54</v>
      </c>
      <c r="D15215" s="0" t="s">
        <v>5917</v>
      </c>
      <c r="E15215" s="0" t="s">
        <v>5917</v>
      </c>
      <c r="F15215" s="0" t="s">
        <v>5917</v>
      </c>
    </row>
    <row r="15217" customFormat="false" ht="12.8" hidden="false" customHeight="false" outlineLevel="0" collapsed="false">
      <c r="A15217" s="0" t="s">
        <v>5918</v>
      </c>
      <c r="B15217" s="0" t="str">
        <f aca="false">HYPERLINK("https://lindat.mff.cuni.cz/services/teitok/pdtc10/index.php?action=vallex&amp;frame=v-w1855f83", "mít (v-w1855f83)")</f>
        <v>mít (v-w1855f83)</v>
      </c>
    </row>
    <row r="15218" customFormat="false" ht="12.8" hidden="false" customHeight="false" outlineLevel="0" collapsed="false">
      <c r="B15218" s="0" t="s">
        <v>7</v>
      </c>
      <c r="D15218" s="0" t="s">
        <v>570</v>
      </c>
      <c r="E15218" s="0" t="s">
        <v>570</v>
      </c>
      <c r="F15218" s="0" t="s">
        <v>570</v>
      </c>
    </row>
    <row r="15219" customFormat="false" ht="12.8" hidden="false" customHeight="false" outlineLevel="0" collapsed="false">
      <c r="B15219" s="0" t="s">
        <v>5919</v>
      </c>
    </row>
    <row r="15220" customFormat="false" ht="12.8" hidden="false" customHeight="false" outlineLevel="0" collapsed="false">
      <c r="B15220" s="0" t="s">
        <v>54</v>
      </c>
      <c r="D15220" s="0" t="s">
        <v>5917</v>
      </c>
      <c r="E15220" s="0" t="s">
        <v>5917</v>
      </c>
      <c r="F15220" s="0" t="s">
        <v>5917</v>
      </c>
    </row>
    <row r="15222" customFormat="false" ht="12.8" hidden="false" customHeight="false" outlineLevel="0" collapsed="false">
      <c r="A15222" s="0" t="s">
        <v>5920</v>
      </c>
      <c r="B15222" s="0" t="str">
        <f aca="false">HYPERLINK("https://lindat.mff.cuni.cz/services/teitok/pdtc10/index.php?action=vallex&amp;frame=v-w1855f32", "mít (v-w1855f32)")</f>
        <v>mít (v-w1855f32)</v>
      </c>
    </row>
    <row r="15223" customFormat="false" ht="12.8" hidden="false" customHeight="false" outlineLevel="0" collapsed="false">
      <c r="B15223" s="0" t="s">
        <v>7</v>
      </c>
      <c r="C15223" s="0" t="s">
        <v>5921</v>
      </c>
      <c r="D15223" s="0" t="s">
        <v>570</v>
      </c>
      <c r="E15223" s="0" t="s">
        <v>570</v>
      </c>
      <c r="F15223" s="0" t="s">
        <v>5922</v>
      </c>
    </row>
    <row r="15224" customFormat="false" ht="12.8" hidden="false" customHeight="false" outlineLevel="0" collapsed="false">
      <c r="B15224" s="0" t="s">
        <v>5923</v>
      </c>
    </row>
    <row r="15225" customFormat="false" ht="12.8" hidden="false" customHeight="false" outlineLevel="0" collapsed="false">
      <c r="B15225" s="0" t="s">
        <v>54</v>
      </c>
      <c r="C15225" s="0" t="s">
        <v>5924</v>
      </c>
      <c r="D15225" s="0" t="s">
        <v>5917</v>
      </c>
      <c r="E15225" s="0" t="s">
        <v>5917</v>
      </c>
      <c r="F15225" s="0" t="s">
        <v>5925</v>
      </c>
    </row>
    <row r="15227" customFormat="false" ht="12.8" hidden="false" customHeight="false" outlineLevel="0" collapsed="false">
      <c r="A15227" s="0" t="s">
        <v>5926</v>
      </c>
      <c r="B15227" s="0" t="str">
        <f aca="false">HYPERLINK("https://lindat.mff.cuni.cz/services/teitok/pdtc10/index.php?action=vallex&amp;frame=v-w1855f33", "mít (v-w1855f33)")</f>
        <v>mít (v-w1855f33)</v>
      </c>
    </row>
    <row r="15228" customFormat="false" ht="12.8" hidden="false" customHeight="false" outlineLevel="0" collapsed="false">
      <c r="B15228" s="0" t="s">
        <v>7</v>
      </c>
      <c r="C15228" s="0" t="s">
        <v>430</v>
      </c>
      <c r="D15228" s="0" t="s">
        <v>5927</v>
      </c>
      <c r="E15228" s="0" t="s">
        <v>5927</v>
      </c>
      <c r="F15228" s="0" t="s">
        <v>5927</v>
      </c>
    </row>
    <row r="15229" customFormat="false" ht="12.8" hidden="false" customHeight="false" outlineLevel="0" collapsed="false">
      <c r="B15229" s="0" t="s">
        <v>5928</v>
      </c>
    </row>
    <row r="15230" customFormat="false" ht="12.8" hidden="false" customHeight="false" outlineLevel="0" collapsed="false">
      <c r="B15230" s="0" t="s">
        <v>54</v>
      </c>
      <c r="C15230" s="0" t="s">
        <v>166</v>
      </c>
      <c r="D15230" s="0" t="s">
        <v>5929</v>
      </c>
      <c r="E15230" s="0" t="s">
        <v>5929</v>
      </c>
      <c r="F15230" s="0" t="s">
        <v>5929</v>
      </c>
    </row>
    <row r="15232" customFormat="false" ht="12.8" hidden="false" customHeight="false" outlineLevel="0" collapsed="false">
      <c r="A15232" s="0" t="s">
        <v>5930</v>
      </c>
      <c r="B15232" s="0" t="str">
        <f aca="false">HYPERLINK("https://lindat.mff.cuni.cz/services/teitok/pdtc10/index.php?action=vallex&amp;frame=v-w1855f56", "mít (v-w1855f56)")</f>
        <v>mít (v-w1855f56)</v>
      </c>
    </row>
    <row r="15233" customFormat="false" ht="12.8" hidden="false" customHeight="false" outlineLevel="0" collapsed="false">
      <c r="B15233" s="0" t="s">
        <v>7</v>
      </c>
    </row>
    <row r="15234" customFormat="false" ht="12.8" hidden="false" customHeight="false" outlineLevel="0" collapsed="false">
      <c r="B15234" s="0" t="s">
        <v>5931</v>
      </c>
    </row>
    <row r="15235" customFormat="false" ht="12.8" hidden="false" customHeight="false" outlineLevel="0" collapsed="false">
      <c r="B15235" s="0" t="s">
        <v>1087</v>
      </c>
    </row>
    <row r="15237" customFormat="false" ht="12.8" hidden="false" customHeight="false" outlineLevel="0" collapsed="false">
      <c r="A15237" s="0" t="s">
        <v>5932</v>
      </c>
      <c r="B15237" s="0" t="str">
        <f aca="false">HYPERLINK("https://lindat.mff.cuni.cz/services/teitok/pdtc10/index.php?action=vallex&amp;frame=v-w1855f158_ZU", "mít (v-w1855f158_ZU)")</f>
        <v>mít (v-w1855f158_ZU)</v>
      </c>
    </row>
    <row r="15238" customFormat="false" ht="12.8" hidden="false" customHeight="false" outlineLevel="0" collapsed="false">
      <c r="B15238" s="0" t="s">
        <v>7</v>
      </c>
    </row>
    <row r="15239" customFormat="false" ht="12.8" hidden="false" customHeight="false" outlineLevel="0" collapsed="false">
      <c r="B15239" s="0" t="s">
        <v>5933</v>
      </c>
    </row>
    <row r="15240" customFormat="false" ht="12.8" hidden="false" customHeight="false" outlineLevel="0" collapsed="false">
      <c r="B15240" s="0" t="s">
        <v>237</v>
      </c>
    </row>
    <row r="15242" customFormat="false" ht="12.8" hidden="false" customHeight="false" outlineLevel="0" collapsed="false">
      <c r="A15242" s="0" t="s">
        <v>5934</v>
      </c>
      <c r="B15242" s="0" t="str">
        <f aca="false">HYPERLINK("https://lindat.mff.cuni.cz/services/teitok/pdtc10/index.php?action=vallex&amp;frame=v-w1855f151_ZU", "mít (v-w1855f151_ZU)")</f>
        <v>mít (v-w1855f151_ZU)</v>
      </c>
    </row>
    <row r="15243" customFormat="false" ht="12.8" hidden="false" customHeight="false" outlineLevel="0" collapsed="false">
      <c r="B15243" s="0" t="s">
        <v>7</v>
      </c>
    </row>
    <row r="15244" customFormat="false" ht="12.8" hidden="false" customHeight="false" outlineLevel="0" collapsed="false">
      <c r="B15244" s="0" t="s">
        <v>5935</v>
      </c>
    </row>
    <row r="15245" customFormat="false" ht="12.8" hidden="false" customHeight="false" outlineLevel="0" collapsed="false">
      <c r="B15245" s="0" t="s">
        <v>14</v>
      </c>
    </row>
    <row r="15247" customFormat="false" ht="12.8" hidden="false" customHeight="false" outlineLevel="0" collapsed="false">
      <c r="A15247" s="0" t="s">
        <v>5936</v>
      </c>
      <c r="B15247" s="0" t="str">
        <f aca="false">HYPERLINK("https://lindat.mff.cuni.cz/services/teitok/pdtc10/index.php?action=vallex&amp;frame=v-w1855f144_ZU", "mít (v-w1855f144_ZU)")</f>
        <v>mít (v-w1855f144_ZU)</v>
      </c>
    </row>
    <row r="15248" customFormat="false" ht="12.8" hidden="false" customHeight="false" outlineLevel="0" collapsed="false">
      <c r="B15248" s="0" t="s">
        <v>7</v>
      </c>
    </row>
    <row r="15249" customFormat="false" ht="12.8" hidden="false" customHeight="false" outlineLevel="0" collapsed="false">
      <c r="B15249" s="0" t="s">
        <v>5937</v>
      </c>
    </row>
    <row r="15250" customFormat="false" ht="12.8" hidden="false" customHeight="false" outlineLevel="0" collapsed="false">
      <c r="B15250" s="0" t="s">
        <v>14</v>
      </c>
    </row>
    <row r="15252" customFormat="false" ht="12.8" hidden="false" customHeight="false" outlineLevel="0" collapsed="false">
      <c r="A15252" s="0" t="s">
        <v>5938</v>
      </c>
      <c r="B15252" s="0" t="str">
        <f aca="false">HYPERLINK("https://lindat.mff.cuni.cz/services/teitok/pdtc10/index.php?action=vallex&amp;frame=v-w1855f114_ZU", "mít (v-w1855f114_ZU)")</f>
        <v>mít (v-w1855f114_ZU)</v>
      </c>
    </row>
    <row r="15253" customFormat="false" ht="12.8" hidden="false" customHeight="false" outlineLevel="0" collapsed="false">
      <c r="B15253" s="0" t="s">
        <v>7</v>
      </c>
      <c r="C15253" s="0" t="s">
        <v>5751</v>
      </c>
    </row>
    <row r="15254" customFormat="false" ht="12.8" hidden="false" customHeight="false" outlineLevel="0" collapsed="false">
      <c r="B15254" s="0" t="s">
        <v>5939</v>
      </c>
    </row>
    <row r="15255" customFormat="false" ht="12.8" hidden="false" customHeight="false" outlineLevel="0" collapsed="false">
      <c r="B15255" s="0" t="s">
        <v>14</v>
      </c>
      <c r="C15255" s="0" t="s">
        <v>5940</v>
      </c>
    </row>
    <row r="15257" customFormat="false" ht="12.8" hidden="false" customHeight="false" outlineLevel="0" collapsed="false">
      <c r="A15257" s="0" t="s">
        <v>5941</v>
      </c>
      <c r="B15257" s="0" t="str">
        <f aca="false">HYPERLINK("https://lindat.mff.cuni.cz/services/teitok/pdtc10/index.php?action=vallex&amp;frame=v-w1855f147_ZU", "mít (v-w1855f147_ZU)")</f>
        <v>mít (v-w1855f147_ZU)</v>
      </c>
    </row>
    <row r="15258" customFormat="false" ht="12.8" hidden="false" customHeight="false" outlineLevel="0" collapsed="false">
      <c r="B15258" s="0" t="s">
        <v>7</v>
      </c>
    </row>
    <row r="15259" customFormat="false" ht="12.8" hidden="false" customHeight="false" outlineLevel="0" collapsed="false">
      <c r="B15259" s="0" t="s">
        <v>5942</v>
      </c>
    </row>
    <row r="15260" customFormat="false" ht="12.8" hidden="false" customHeight="false" outlineLevel="0" collapsed="false">
      <c r="B15260" s="0" t="s">
        <v>14</v>
      </c>
    </row>
    <row r="15262" customFormat="false" ht="12.8" hidden="false" customHeight="false" outlineLevel="0" collapsed="false">
      <c r="A15262" s="0" t="s">
        <v>5943</v>
      </c>
      <c r="B15262" s="0" t="str">
        <f aca="false">HYPERLINK("https://lindat.mff.cuni.cz/services/teitok/pdtc10/index.php?action=vallex&amp;frame=v-w1855f133_ZU", "mít (v-w1855f133_ZU)")</f>
        <v>mít (v-w1855f133_ZU)</v>
      </c>
    </row>
    <row r="15263" customFormat="false" ht="12.8" hidden="false" customHeight="false" outlineLevel="0" collapsed="false">
      <c r="B15263" s="0" t="s">
        <v>7</v>
      </c>
      <c r="D15263" s="0" t="s">
        <v>570</v>
      </c>
      <c r="E15263" s="0" t="s">
        <v>570</v>
      </c>
      <c r="F15263" s="0" t="s">
        <v>570</v>
      </c>
    </row>
    <row r="15264" customFormat="false" ht="12.8" hidden="false" customHeight="false" outlineLevel="0" collapsed="false">
      <c r="B15264" s="0" t="s">
        <v>5944</v>
      </c>
    </row>
    <row r="15265" customFormat="false" ht="12.8" hidden="false" customHeight="false" outlineLevel="0" collapsed="false">
      <c r="B15265" s="0" t="s">
        <v>54</v>
      </c>
      <c r="D15265" s="0" t="s">
        <v>5917</v>
      </c>
      <c r="E15265" s="0" t="s">
        <v>5917</v>
      </c>
      <c r="F15265" s="0" t="s">
        <v>5917</v>
      </c>
    </row>
    <row r="15267" customFormat="false" ht="12.8" hidden="false" customHeight="false" outlineLevel="0" collapsed="false">
      <c r="A15267" s="0" t="s">
        <v>5945</v>
      </c>
      <c r="B15267" s="0" t="str">
        <f aca="false">HYPERLINK("https://lindat.mff.cuni.cz/services/teitok/pdtc10/index.php?action=vallex&amp;frame=v-w1855f73", "mít (v-w1855f73)")</f>
        <v>mít (v-w1855f73)</v>
      </c>
    </row>
    <row r="15268" customFormat="false" ht="12.8" hidden="false" customHeight="false" outlineLevel="0" collapsed="false">
      <c r="B15268" s="0" t="s">
        <v>7</v>
      </c>
    </row>
    <row r="15269" customFormat="false" ht="12.8" hidden="false" customHeight="false" outlineLevel="0" collapsed="false">
      <c r="B15269" s="0" t="s">
        <v>5946</v>
      </c>
    </row>
    <row r="15270" customFormat="false" ht="12.8" hidden="false" customHeight="false" outlineLevel="0" collapsed="false">
      <c r="B15270" s="0" t="s">
        <v>11</v>
      </c>
    </row>
    <row r="15272" customFormat="false" ht="12.8" hidden="false" customHeight="false" outlineLevel="0" collapsed="false">
      <c r="A15272" s="0" t="s">
        <v>5947</v>
      </c>
      <c r="B15272" s="0" t="str">
        <f aca="false">HYPERLINK("https://lindat.mff.cuni.cz/services/teitok/pdtc10/index.php?action=vallex&amp;frame=v-w1855f131_ZU", "mít (v-w1855f131_ZU)")</f>
        <v>mít (v-w1855f131_ZU)</v>
      </c>
    </row>
    <row r="15273" customFormat="false" ht="12.8" hidden="false" customHeight="false" outlineLevel="0" collapsed="false">
      <c r="B15273" s="0" t="s">
        <v>7</v>
      </c>
      <c r="C15273" s="0" t="s">
        <v>1286</v>
      </c>
    </row>
    <row r="15274" customFormat="false" ht="12.8" hidden="false" customHeight="false" outlineLevel="0" collapsed="false">
      <c r="B15274" s="0" t="s">
        <v>919</v>
      </c>
      <c r="C15274" s="0" t="s">
        <v>5948</v>
      </c>
    </row>
    <row r="15275" customFormat="false" ht="12.8" hidden="false" customHeight="false" outlineLevel="0" collapsed="false">
      <c r="B15275" s="0" t="s">
        <v>666</v>
      </c>
    </row>
    <row r="15277" customFormat="false" ht="12.8" hidden="false" customHeight="false" outlineLevel="0" collapsed="false">
      <c r="A15277" s="0" t="s">
        <v>5949</v>
      </c>
      <c r="B15277" s="0" t="str">
        <f aca="false">HYPERLINK("https://lindat.mff.cuni.cz/services/teitok/pdtc10/index.php?action=vallex&amp;frame=v-w1855f79", "mít (v-w1855f79)")</f>
        <v>mít (v-w1855f79)</v>
      </c>
    </row>
    <row r="15278" customFormat="false" ht="12.8" hidden="false" customHeight="false" outlineLevel="0" collapsed="false">
      <c r="B15278" s="0" t="s">
        <v>7</v>
      </c>
    </row>
    <row r="15279" customFormat="false" ht="12.8" hidden="false" customHeight="false" outlineLevel="0" collapsed="false">
      <c r="B15279" s="0" t="s">
        <v>5950</v>
      </c>
    </row>
    <row r="15281" customFormat="false" ht="12.8" hidden="false" customHeight="false" outlineLevel="0" collapsed="false">
      <c r="A15281" s="0" t="s">
        <v>5951</v>
      </c>
      <c r="B15281" s="0" t="str">
        <f aca="false">HYPERLINK("https://lindat.mff.cuni.cz/services/teitok/pdtc10/index.php?action=vallex&amp;frame=v-w1855f68", "mít (v-w1855f68)")</f>
        <v>mít (v-w1855f68)</v>
      </c>
    </row>
    <row r="15282" customFormat="false" ht="12.8" hidden="false" customHeight="false" outlineLevel="0" collapsed="false">
      <c r="B15282" s="0" t="s">
        <v>7</v>
      </c>
    </row>
    <row r="15283" customFormat="false" ht="12.8" hidden="false" customHeight="false" outlineLevel="0" collapsed="false">
      <c r="B15283" s="0" t="s">
        <v>5952</v>
      </c>
    </row>
    <row r="15285" customFormat="false" ht="12.8" hidden="false" customHeight="false" outlineLevel="0" collapsed="false">
      <c r="A15285" s="0" t="s">
        <v>5953</v>
      </c>
      <c r="B15285" s="0" t="str">
        <f aca="false">HYPERLINK("https://lindat.mff.cuni.cz/services/teitok/pdtc10/index.php?action=vallex&amp;frame=v-w1855f46", "mít (v-w1855f46)")</f>
        <v>mít (v-w1855f46)</v>
      </c>
    </row>
    <row r="15286" customFormat="false" ht="12.8" hidden="false" customHeight="false" outlineLevel="0" collapsed="false">
      <c r="B15286" s="0" t="s">
        <v>7</v>
      </c>
    </row>
    <row r="15287" customFormat="false" ht="12.8" hidden="false" customHeight="false" outlineLevel="0" collapsed="false">
      <c r="B15287" s="0" t="s">
        <v>5954</v>
      </c>
    </row>
    <row r="15289" customFormat="false" ht="12.8" hidden="false" customHeight="false" outlineLevel="0" collapsed="false">
      <c r="A15289" s="0" t="s">
        <v>5955</v>
      </c>
      <c r="B15289" s="0" t="str">
        <f aca="false">HYPERLINK("https://lindat.mff.cuni.cz/services/teitok/pdtc10/index.php?action=vallex&amp;frame=v-w1855f44", "mít (v-w1855f44)")</f>
        <v>mít (v-w1855f44)</v>
      </c>
    </row>
    <row r="15290" customFormat="false" ht="12.8" hidden="false" customHeight="false" outlineLevel="0" collapsed="false">
      <c r="B15290" s="0" t="s">
        <v>7</v>
      </c>
    </row>
    <row r="15291" customFormat="false" ht="12.8" hidden="false" customHeight="false" outlineLevel="0" collapsed="false">
      <c r="B15291" s="0" t="s">
        <v>5956</v>
      </c>
    </row>
    <row r="15293" customFormat="false" ht="12.8" hidden="false" customHeight="false" outlineLevel="0" collapsed="false">
      <c r="A15293" s="0" t="s">
        <v>5957</v>
      </c>
      <c r="B15293" s="0" t="str">
        <f aca="false">HYPERLINK("https://lindat.mff.cuni.cz/services/teitok/pdtc10/index.php?action=vallex&amp;frame=v-w1855f80", "mít (v-w1855f80)")</f>
        <v>mít (v-w1855f80)</v>
      </c>
    </row>
    <row r="15294" customFormat="false" ht="12.8" hidden="false" customHeight="false" outlineLevel="0" collapsed="false">
      <c r="B15294" s="0" t="s">
        <v>7</v>
      </c>
    </row>
    <row r="15295" customFormat="false" ht="12.8" hidden="false" customHeight="false" outlineLevel="0" collapsed="false">
      <c r="B15295" s="0" t="s">
        <v>5958</v>
      </c>
    </row>
    <row r="15297" customFormat="false" ht="12.8" hidden="false" customHeight="false" outlineLevel="0" collapsed="false">
      <c r="A15297" s="0" t="s">
        <v>5959</v>
      </c>
      <c r="B15297" s="0" t="str">
        <f aca="false">HYPERLINK("https://lindat.mff.cuni.cz/services/teitok/pdtc10/index.php?action=vallex&amp;frame=v-w1855f74", "mít (v-w1855f74)")</f>
        <v>mít (v-w1855f74)</v>
      </c>
    </row>
    <row r="15298" customFormat="false" ht="12.8" hidden="false" customHeight="false" outlineLevel="0" collapsed="false">
      <c r="B15298" s="0" t="s">
        <v>7</v>
      </c>
    </row>
    <row r="15299" customFormat="false" ht="12.8" hidden="false" customHeight="false" outlineLevel="0" collapsed="false">
      <c r="B15299" s="0" t="s">
        <v>5960</v>
      </c>
    </row>
    <row r="15301" customFormat="false" ht="12.8" hidden="false" customHeight="false" outlineLevel="0" collapsed="false">
      <c r="A15301" s="0" t="s">
        <v>5961</v>
      </c>
      <c r="B15301" s="0" t="str">
        <f aca="false">HYPERLINK("https://lindat.mff.cuni.cz/services/teitok/pdtc10/index.php?action=vallex&amp;frame=v-w1855f65", "mít (v-w1855f65)")</f>
        <v>mít (v-w1855f65)</v>
      </c>
    </row>
    <row r="15302" customFormat="false" ht="12.8" hidden="false" customHeight="false" outlineLevel="0" collapsed="false">
      <c r="B15302" s="0" t="s">
        <v>7</v>
      </c>
    </row>
    <row r="15303" customFormat="false" ht="12.8" hidden="false" customHeight="false" outlineLevel="0" collapsed="false">
      <c r="B15303" s="0" t="s">
        <v>5962</v>
      </c>
    </row>
    <row r="15305" customFormat="false" ht="12.8" hidden="false" customHeight="false" outlineLevel="0" collapsed="false">
      <c r="A15305" s="0" t="s">
        <v>5963</v>
      </c>
      <c r="B15305" s="0" t="str">
        <f aca="false">HYPERLINK("https://lindat.mff.cuni.cz/services/teitok/pdtc10/index.php?action=vallex&amp;frame=v-w1855f55", "mít (v-w1855f55)")</f>
        <v>mít (v-w1855f55)</v>
      </c>
    </row>
    <row r="15306" customFormat="false" ht="12.8" hidden="false" customHeight="false" outlineLevel="0" collapsed="false">
      <c r="B15306" s="0" t="s">
        <v>7</v>
      </c>
    </row>
    <row r="15307" customFormat="false" ht="12.8" hidden="false" customHeight="false" outlineLevel="0" collapsed="false">
      <c r="B15307" s="0" t="s">
        <v>5964</v>
      </c>
    </row>
    <row r="15309" customFormat="false" ht="12.8" hidden="false" customHeight="false" outlineLevel="0" collapsed="false">
      <c r="A15309" s="0" t="s">
        <v>5965</v>
      </c>
      <c r="B15309" s="0" t="str">
        <f aca="false">HYPERLINK("https://lindat.mff.cuni.cz/services/teitok/pdtc10/index.php?action=vallex&amp;frame=v-w1855f51", "mít (v-w1855f51)")</f>
        <v>mít (v-w1855f51)</v>
      </c>
    </row>
    <row r="15310" customFormat="false" ht="12.8" hidden="false" customHeight="false" outlineLevel="0" collapsed="false">
      <c r="B15310" s="0" t="s">
        <v>7</v>
      </c>
    </row>
    <row r="15311" customFormat="false" ht="12.8" hidden="false" customHeight="false" outlineLevel="0" collapsed="false">
      <c r="B15311" s="0" t="s">
        <v>5966</v>
      </c>
    </row>
    <row r="15313" customFormat="false" ht="12.8" hidden="false" customHeight="false" outlineLevel="0" collapsed="false">
      <c r="A15313" s="0" t="s">
        <v>5967</v>
      </c>
      <c r="B15313" s="0" t="str">
        <f aca="false">HYPERLINK("https://lindat.mff.cuni.cz/services/teitok/pdtc10/index.php?action=vallex&amp;frame=v-w1855f76", "mít (v-w1855f76)")</f>
        <v>mít (v-w1855f76)</v>
      </c>
    </row>
    <row r="15314" customFormat="false" ht="12.8" hidden="false" customHeight="false" outlineLevel="0" collapsed="false">
      <c r="B15314" s="0" t="s">
        <v>7</v>
      </c>
    </row>
    <row r="15315" customFormat="false" ht="12.8" hidden="false" customHeight="false" outlineLevel="0" collapsed="false">
      <c r="B15315" s="0" t="s">
        <v>5968</v>
      </c>
    </row>
    <row r="15317" customFormat="false" ht="12.8" hidden="false" customHeight="false" outlineLevel="0" collapsed="false">
      <c r="A15317" s="0" t="s">
        <v>5969</v>
      </c>
      <c r="B15317" s="0" t="str">
        <f aca="false">HYPERLINK("https://lindat.mff.cuni.cz/services/teitok/pdtc10/index.php?action=vallex&amp;frame=v-w1855f82", "mít (v-w1855f82)")</f>
        <v>mít (v-w1855f82)</v>
      </c>
    </row>
    <row r="15318" customFormat="false" ht="12.8" hidden="false" customHeight="false" outlineLevel="0" collapsed="false">
      <c r="B15318" s="0" t="s">
        <v>7</v>
      </c>
    </row>
    <row r="15319" customFormat="false" ht="12.8" hidden="false" customHeight="false" outlineLevel="0" collapsed="false">
      <c r="B15319" s="0" t="s">
        <v>5970</v>
      </c>
    </row>
    <row r="15321" customFormat="false" ht="12.8" hidden="false" customHeight="false" outlineLevel="0" collapsed="false">
      <c r="A15321" s="0" t="s">
        <v>5971</v>
      </c>
      <c r="B15321" s="0" t="str">
        <f aca="false">HYPERLINK("https://lindat.mff.cuni.cz/services/teitok/pdtc10/index.php?action=vallex&amp;frame=v-w1855f29", "mít (v-w1855f29)")</f>
        <v>mít (v-w1855f29)</v>
      </c>
    </row>
    <row r="15322" customFormat="false" ht="12.8" hidden="false" customHeight="false" outlineLevel="0" collapsed="false">
      <c r="B15322" s="0" t="s">
        <v>7</v>
      </c>
      <c r="C15322" s="0" t="s">
        <v>1286</v>
      </c>
    </row>
    <row r="15323" customFormat="false" ht="12.8" hidden="false" customHeight="false" outlineLevel="0" collapsed="false">
      <c r="B15323" s="0" t="s">
        <v>5972</v>
      </c>
      <c r="C15323" s="0" t="s">
        <v>5948</v>
      </c>
    </row>
    <row r="15325" customFormat="false" ht="12.8" hidden="false" customHeight="false" outlineLevel="0" collapsed="false">
      <c r="A15325" s="0" t="s">
        <v>5973</v>
      </c>
      <c r="B15325" s="0" t="str">
        <f aca="false">HYPERLINK("https://lindat.mff.cuni.cz/services/teitok/pdtc10/index.php?action=vallex&amp;frame=v-w1855f77", "mít (v-w1855f77)")</f>
        <v>mít (v-w1855f77)</v>
      </c>
    </row>
    <row r="15326" customFormat="false" ht="12.8" hidden="false" customHeight="false" outlineLevel="0" collapsed="false">
      <c r="B15326" s="0" t="s">
        <v>7</v>
      </c>
    </row>
    <row r="15327" customFormat="false" ht="12.8" hidden="false" customHeight="false" outlineLevel="0" collapsed="false">
      <c r="B15327" s="0" t="s">
        <v>5974</v>
      </c>
    </row>
    <row r="15329" customFormat="false" ht="12.8" hidden="false" customHeight="false" outlineLevel="0" collapsed="false">
      <c r="A15329" s="0" t="s">
        <v>5975</v>
      </c>
      <c r="B15329" s="0" t="str">
        <f aca="false">HYPERLINK("https://lindat.mff.cuni.cz/services/teitok/pdtc10/index.php?action=vallex&amp;frame=v-w1855f37", "mít (v-w1855f37)")</f>
        <v>mít (v-w1855f37)</v>
      </c>
    </row>
    <row r="15330" customFormat="false" ht="12.8" hidden="false" customHeight="false" outlineLevel="0" collapsed="false">
      <c r="B15330" s="0" t="s">
        <v>7</v>
      </c>
      <c r="C15330" s="0" t="s">
        <v>5976</v>
      </c>
    </row>
    <row r="15331" customFormat="false" ht="12.8" hidden="false" customHeight="false" outlineLevel="0" collapsed="false">
      <c r="B15331" s="0" t="s">
        <v>5977</v>
      </c>
      <c r="C15331" s="0" t="s">
        <v>5978</v>
      </c>
    </row>
    <row r="15333" customFormat="false" ht="12.8" hidden="false" customHeight="false" outlineLevel="0" collapsed="false">
      <c r="A15333" s="0" t="s">
        <v>5979</v>
      </c>
      <c r="B15333" s="0" t="str">
        <f aca="false">HYPERLINK("https://lindat.mff.cuni.cz/services/teitok/pdtc10/index.php?action=vallex&amp;frame=v-w1855f52", "mít (v-w1855f52)")</f>
        <v>mít (v-w1855f52)</v>
      </c>
    </row>
    <row r="15334" customFormat="false" ht="12.8" hidden="false" customHeight="false" outlineLevel="0" collapsed="false">
      <c r="B15334" s="0" t="s">
        <v>7</v>
      </c>
    </row>
    <row r="15335" customFormat="false" ht="12.8" hidden="false" customHeight="false" outlineLevel="0" collapsed="false">
      <c r="B15335" s="0" t="s">
        <v>2382</v>
      </c>
    </row>
    <row r="15337" customFormat="false" ht="12.8" hidden="false" customHeight="false" outlineLevel="0" collapsed="false">
      <c r="A15337" s="0" t="s">
        <v>5980</v>
      </c>
      <c r="B15337" s="0" t="str">
        <f aca="false">HYPERLINK("https://lindat.mff.cuni.cz/services/teitok/pdtc10/index.php?action=vallex&amp;frame=v-w1855f138_ZU", "mít (v-w1855f138_ZU)")</f>
        <v>mít (v-w1855f138_ZU)</v>
      </c>
    </row>
    <row r="15338" customFormat="false" ht="12.8" hidden="false" customHeight="false" outlineLevel="0" collapsed="false">
      <c r="B15338" s="0" t="s">
        <v>7</v>
      </c>
    </row>
    <row r="15339" customFormat="false" ht="12.8" hidden="false" customHeight="false" outlineLevel="0" collapsed="false">
      <c r="B15339" s="0" t="s">
        <v>5981</v>
      </c>
    </row>
    <row r="15341" customFormat="false" ht="12.8" hidden="false" customHeight="false" outlineLevel="0" collapsed="false">
      <c r="A15341" s="0" t="s">
        <v>5980</v>
      </c>
      <c r="B15341" s="0" t="str">
        <f aca="false">HYPERLINK("https://lindat.mff.cuni.cz/services/teitok/pdtc10/index.php?action=vallex&amp;frame=v-w1855f136_ZU", "mít (v-w1855f136_ZU) - substituted with v-w1855f138_ZU")</f>
        <v>mít (v-w1855f136_ZU) - substituted with v-w1855f138_ZU</v>
      </c>
    </row>
    <row r="15342" customFormat="false" ht="12.8" hidden="false" customHeight="false" outlineLevel="0" collapsed="false">
      <c r="B15342" s="0" t="s">
        <v>7</v>
      </c>
    </row>
    <row r="15343" customFormat="false" ht="12.8" hidden="false" customHeight="false" outlineLevel="0" collapsed="false">
      <c r="B15343" s="0" t="s">
        <v>5981</v>
      </c>
    </row>
    <row r="15345" customFormat="false" ht="12.8" hidden="false" customHeight="false" outlineLevel="0" collapsed="false">
      <c r="A15345" s="0" t="s">
        <v>5980</v>
      </c>
      <c r="B15345" s="0" t="str">
        <f aca="false">HYPERLINK("https://lindat.mff.cuni.cz/services/teitok/pdtc10/index.php?action=vallex&amp;frame=v-w1855f137_ZU", "mít (v-w1855f137_ZU) - substituted with v-w1855f138_ZU")</f>
        <v>mít (v-w1855f137_ZU) - substituted with v-w1855f138_ZU</v>
      </c>
    </row>
    <row r="15346" customFormat="false" ht="12.8" hidden="false" customHeight="false" outlineLevel="0" collapsed="false">
      <c r="B15346" s="0" t="s">
        <v>7</v>
      </c>
    </row>
    <row r="15347" customFormat="false" ht="12.8" hidden="false" customHeight="false" outlineLevel="0" collapsed="false">
      <c r="B15347" s="0" t="s">
        <v>5981</v>
      </c>
    </row>
    <row r="15349" customFormat="false" ht="12.8" hidden="false" customHeight="false" outlineLevel="0" collapsed="false">
      <c r="A15349" s="0" t="s">
        <v>5982</v>
      </c>
      <c r="B15349" s="0" t="str">
        <f aca="false">HYPERLINK("https://lindat.mff.cuni.cz/services/teitok/pdtc10/index.php?action=vallex&amp;frame=v-w1855hsa_1126", "mít (v-w1855hsa_1126)")</f>
        <v>mít (v-w1855hsa_1126)</v>
      </c>
    </row>
    <row r="15350" customFormat="false" ht="12.8" hidden="false" customHeight="false" outlineLevel="0" collapsed="false">
      <c r="B15350" s="0" t="s">
        <v>7</v>
      </c>
      <c r="C15350" s="0" t="s">
        <v>1286</v>
      </c>
    </row>
    <row r="15351" customFormat="false" ht="12.8" hidden="false" customHeight="false" outlineLevel="0" collapsed="false">
      <c r="B15351" s="0" t="s">
        <v>5983</v>
      </c>
      <c r="C15351" s="0" t="s">
        <v>2359</v>
      </c>
    </row>
    <row r="15353" customFormat="false" ht="12.8" hidden="false" customHeight="false" outlineLevel="0" collapsed="false">
      <c r="A15353" s="0" t="s">
        <v>5984</v>
      </c>
      <c r="B15353" s="0" t="str">
        <f aca="false">HYPERLINK("https://lindat.mff.cuni.cz/services/teitok/pdtc10/index.php?action=vallex&amp;frame=v-w1855f225_ZU", "mít (v-w1855f225_ZU)")</f>
        <v>mít (v-w1855f225_ZU)</v>
      </c>
    </row>
    <row r="15354" customFormat="false" ht="12.8" hidden="false" customHeight="false" outlineLevel="0" collapsed="false">
      <c r="B15354" s="0" t="s">
        <v>7</v>
      </c>
      <c r="C15354" s="0" t="s">
        <v>5985</v>
      </c>
    </row>
    <row r="15355" customFormat="false" ht="12.8" hidden="false" customHeight="false" outlineLevel="0" collapsed="false">
      <c r="B15355" s="0" t="s">
        <v>5986</v>
      </c>
      <c r="C15355" s="0" t="s">
        <v>5987</v>
      </c>
    </row>
    <row r="15356" customFormat="false" ht="12.8" hidden="false" customHeight="false" outlineLevel="0" collapsed="false">
      <c r="B15356" s="0" t="s">
        <v>548</v>
      </c>
      <c r="C15356" s="0" t="s">
        <v>2887</v>
      </c>
    </row>
    <row r="15358" customFormat="false" ht="12.8" hidden="false" customHeight="false" outlineLevel="0" collapsed="false">
      <c r="A15358" s="0" t="s">
        <v>5984</v>
      </c>
      <c r="B15358" s="0" t="str">
        <f aca="false">HYPERLINK("https://lindat.mff.cuni.cz/services/teitok/pdtc10/index.php?action=vallex&amp;frame=v-w1855hsa_1128", "mít (v-w1855hsa_1128) - substituted with v-w1855f225_ZU")</f>
        <v>mít (v-w1855hsa_1128) - substituted with v-w1855f225_ZU</v>
      </c>
    </row>
    <row r="15359" customFormat="false" ht="12.8" hidden="false" customHeight="false" outlineLevel="0" collapsed="false">
      <c r="B15359" s="0" t="s">
        <v>7</v>
      </c>
    </row>
    <row r="15360" customFormat="false" ht="12.8" hidden="false" customHeight="false" outlineLevel="0" collapsed="false">
      <c r="B15360" s="0" t="s">
        <v>5986</v>
      </c>
    </row>
    <row r="15361" customFormat="false" ht="12.8" hidden="false" customHeight="false" outlineLevel="0" collapsed="false">
      <c r="B15361" s="0" t="s">
        <v>548</v>
      </c>
    </row>
    <row r="15363" customFormat="false" ht="12.8" hidden="false" customHeight="false" outlineLevel="0" collapsed="false">
      <c r="A15363" s="0" t="s">
        <v>5988</v>
      </c>
      <c r="B15363" s="0" t="str">
        <f aca="false">HYPERLINK("https://lindat.mff.cuni.cz/services/teitok/pdtc10/index.php?action=vallex&amp;frame=v-w1855f189_ZU", "mít (v-w1855f189_ZU)")</f>
        <v>mít (v-w1855f189_ZU)</v>
      </c>
    </row>
    <row r="15364" customFormat="false" ht="12.8" hidden="false" customHeight="false" outlineLevel="0" collapsed="false">
      <c r="B15364" s="0" t="s">
        <v>7</v>
      </c>
    </row>
    <row r="15365" customFormat="false" ht="12.8" hidden="false" customHeight="false" outlineLevel="0" collapsed="false">
      <c r="B15365" s="0" t="s">
        <v>5989</v>
      </c>
    </row>
    <row r="15367" customFormat="false" ht="12.8" hidden="false" customHeight="false" outlineLevel="0" collapsed="false">
      <c r="A15367" s="0" t="s">
        <v>5988</v>
      </c>
      <c r="B15367" s="0" t="str">
        <f aca="false">HYPERLINK("https://lindat.mff.cuni.cz/services/teitok/pdtc10/index.php?action=vallex&amp;frame=v-w1855hsa_1129", "mít (v-w1855hsa_1129) - substituted with v-w1855f189_ZU")</f>
        <v>mít (v-w1855hsa_1129) - substituted with v-w1855f189_ZU</v>
      </c>
    </row>
    <row r="15368" customFormat="false" ht="12.8" hidden="false" customHeight="false" outlineLevel="0" collapsed="false">
      <c r="B15368" s="0" t="s">
        <v>7</v>
      </c>
    </row>
    <row r="15369" customFormat="false" ht="12.8" hidden="false" customHeight="false" outlineLevel="0" collapsed="false">
      <c r="B15369" s="0" t="s">
        <v>5989</v>
      </c>
    </row>
    <row r="15371" customFormat="false" ht="12.8" hidden="false" customHeight="false" outlineLevel="0" collapsed="false">
      <c r="A15371" s="0" t="s">
        <v>5990</v>
      </c>
      <c r="B15371" s="0" t="str">
        <f aca="false">HYPERLINK("https://lindat.mff.cuni.cz/services/teitok/pdtc10/index.php?action=vallex&amp;frame=v-w1855f174_ZU", "mít (v-w1855f174_ZU)")</f>
        <v>mít (v-w1855f174_ZU)</v>
      </c>
    </row>
    <row r="15372" customFormat="false" ht="12.8" hidden="false" customHeight="false" outlineLevel="0" collapsed="false">
      <c r="B15372" s="0" t="s">
        <v>7</v>
      </c>
    </row>
    <row r="15373" customFormat="false" ht="12.8" hidden="false" customHeight="false" outlineLevel="0" collapsed="false">
      <c r="B15373" s="0" t="s">
        <v>5991</v>
      </c>
      <c r="C15373" s="0" t="s">
        <v>810</v>
      </c>
    </row>
    <row r="15375" customFormat="false" ht="12.8" hidden="false" customHeight="false" outlineLevel="0" collapsed="false">
      <c r="A15375" s="0" t="s">
        <v>5990</v>
      </c>
      <c r="B15375" s="0" t="str">
        <f aca="false">HYPERLINK("https://lindat.mff.cuni.cz/services/teitok/pdtc10/index.php?action=vallex&amp;frame=v-w1855hsa_1130", "mít (v-w1855hsa_1130) - substituted with v-w1855f174_ZU")</f>
        <v>mít (v-w1855hsa_1130) - substituted with v-w1855f174_ZU</v>
      </c>
    </row>
    <row r="15376" customFormat="false" ht="12.8" hidden="false" customHeight="false" outlineLevel="0" collapsed="false">
      <c r="B15376" s="0" t="s">
        <v>7</v>
      </c>
    </row>
    <row r="15377" customFormat="false" ht="12.8" hidden="false" customHeight="false" outlineLevel="0" collapsed="false">
      <c r="B15377" s="0" t="s">
        <v>5991</v>
      </c>
    </row>
    <row r="15379" customFormat="false" ht="12.8" hidden="false" customHeight="false" outlineLevel="0" collapsed="false">
      <c r="A15379" s="0" t="s">
        <v>5992</v>
      </c>
      <c r="B15379" s="0" t="str">
        <f aca="false">HYPERLINK("https://lindat.mff.cuni.cz/services/teitok/pdtc10/index.php?action=vallex&amp;frame=v-w1855f175_ZU", "mít (v-w1855f175_ZU)")</f>
        <v>mít (v-w1855f175_ZU)</v>
      </c>
    </row>
    <row r="15380" customFormat="false" ht="12.8" hidden="false" customHeight="false" outlineLevel="0" collapsed="false">
      <c r="B15380" s="0" t="s">
        <v>7</v>
      </c>
    </row>
    <row r="15381" customFormat="false" ht="12.8" hidden="false" customHeight="false" outlineLevel="0" collapsed="false">
      <c r="B15381" s="0" t="s">
        <v>5993</v>
      </c>
    </row>
    <row r="15383" customFormat="false" ht="12.8" hidden="false" customHeight="false" outlineLevel="0" collapsed="false">
      <c r="A15383" s="0" t="s">
        <v>5992</v>
      </c>
      <c r="B15383" s="0" t="str">
        <f aca="false">HYPERLINK("https://lindat.mff.cuni.cz/services/teitok/pdtc10/index.php?action=vallex&amp;frame=v-w1855hsa_1131", "mít (v-w1855hsa_1131) - substituted with v-w1855f175_ZU")</f>
        <v>mít (v-w1855hsa_1131) - substituted with v-w1855f175_ZU</v>
      </c>
    </row>
    <row r="15384" customFormat="false" ht="12.8" hidden="false" customHeight="false" outlineLevel="0" collapsed="false">
      <c r="B15384" s="0" t="s">
        <v>7</v>
      </c>
    </row>
    <row r="15385" customFormat="false" ht="12.8" hidden="false" customHeight="false" outlineLevel="0" collapsed="false">
      <c r="B15385" s="0" t="s">
        <v>5993</v>
      </c>
    </row>
    <row r="15387" customFormat="false" ht="12.8" hidden="false" customHeight="false" outlineLevel="0" collapsed="false">
      <c r="A15387" s="0" t="s">
        <v>5994</v>
      </c>
      <c r="B15387" s="0" t="str">
        <f aca="false">HYPERLINK("https://lindat.mff.cuni.cz/services/teitok/pdtc10/index.php?action=vallex&amp;frame=v-w1855f178_ZU", "mít (v-w1855f178_ZU)")</f>
        <v>mít (v-w1855f178_ZU)</v>
      </c>
    </row>
    <row r="15388" customFormat="false" ht="12.8" hidden="false" customHeight="false" outlineLevel="0" collapsed="false">
      <c r="B15388" s="0" t="s">
        <v>7</v>
      </c>
      <c r="C15388" s="0" t="s">
        <v>1286</v>
      </c>
    </row>
    <row r="15389" customFormat="false" ht="12.8" hidden="false" customHeight="false" outlineLevel="0" collapsed="false">
      <c r="B15389" s="0" t="s">
        <v>5995</v>
      </c>
      <c r="C15389" s="0" t="s">
        <v>5948</v>
      </c>
    </row>
    <row r="15391" customFormat="false" ht="12.8" hidden="false" customHeight="false" outlineLevel="0" collapsed="false">
      <c r="A15391" s="0" t="s">
        <v>5994</v>
      </c>
      <c r="B15391" s="0" t="str">
        <f aca="false">HYPERLINK("https://lindat.mff.cuni.cz/services/teitok/pdtc10/index.php?action=vallex&amp;frame=v-w1855f177_ZU", "mít (v-w1855f177_ZU) - substituted with v-w1855f178_ZU")</f>
        <v>mít (v-w1855f177_ZU) - substituted with v-w1855f178_ZU</v>
      </c>
    </row>
    <row r="15392" customFormat="false" ht="12.8" hidden="false" customHeight="false" outlineLevel="0" collapsed="false">
      <c r="B15392" s="0" t="s">
        <v>7</v>
      </c>
    </row>
    <row r="15393" customFormat="false" ht="12.8" hidden="false" customHeight="false" outlineLevel="0" collapsed="false">
      <c r="B15393" s="0" t="s">
        <v>5995</v>
      </c>
    </row>
    <row r="15395" customFormat="false" ht="12.8" hidden="false" customHeight="false" outlineLevel="0" collapsed="false">
      <c r="A15395" s="0" t="s">
        <v>5994</v>
      </c>
      <c r="B15395" s="0" t="str">
        <f aca="false">HYPERLINK("https://lindat.mff.cuni.cz/services/teitok/pdtc10/index.php?action=vallex&amp;frame=v-w1855hsa_1133", "mít (v-w1855hsa_1133) - substituted with v-w1855f178_ZU")</f>
        <v>mít (v-w1855hsa_1133) - substituted with v-w1855f178_ZU</v>
      </c>
    </row>
    <row r="15396" customFormat="false" ht="12.8" hidden="false" customHeight="false" outlineLevel="0" collapsed="false">
      <c r="B15396" s="0" t="s">
        <v>7</v>
      </c>
    </row>
    <row r="15397" customFormat="false" ht="12.8" hidden="false" customHeight="false" outlineLevel="0" collapsed="false">
      <c r="B15397" s="0" t="s">
        <v>5995</v>
      </c>
    </row>
    <row r="15399" customFormat="false" ht="12.8" hidden="false" customHeight="false" outlineLevel="0" collapsed="false">
      <c r="A15399" s="0" t="s">
        <v>5996</v>
      </c>
      <c r="B15399" s="0" t="str">
        <f aca="false">HYPERLINK("https://lindat.mff.cuni.cz/services/teitok/pdtc10/index.php?action=vallex&amp;frame=v-w1855f181_ZU", "mít (v-w1855f181_ZU)")</f>
        <v>mít (v-w1855f181_ZU)</v>
      </c>
    </row>
    <row r="15400" customFormat="false" ht="12.8" hidden="false" customHeight="false" outlineLevel="0" collapsed="false">
      <c r="B15400" s="0" t="s">
        <v>7</v>
      </c>
    </row>
    <row r="15401" customFormat="false" ht="12.8" hidden="false" customHeight="false" outlineLevel="0" collapsed="false">
      <c r="B15401" s="0" t="s">
        <v>5997</v>
      </c>
    </row>
    <row r="15402" customFormat="false" ht="12.8" hidden="false" customHeight="false" outlineLevel="0" collapsed="false">
      <c r="B15402" s="0" t="s">
        <v>14</v>
      </c>
    </row>
    <row r="15404" customFormat="false" ht="12.8" hidden="false" customHeight="false" outlineLevel="0" collapsed="false">
      <c r="A15404" s="0" t="s">
        <v>5996</v>
      </c>
      <c r="B15404" s="0" t="str">
        <f aca="false">HYPERLINK("https://lindat.mff.cuni.cz/services/teitok/pdtc10/index.php?action=vallex&amp;frame=v-w1855hsa_1135", "mít (v-w1855hsa_1135) - substituted with v-w1855f181_ZU")</f>
        <v>mít (v-w1855hsa_1135) - substituted with v-w1855f181_ZU</v>
      </c>
    </row>
    <row r="15405" customFormat="false" ht="12.8" hidden="false" customHeight="false" outlineLevel="0" collapsed="false">
      <c r="B15405" s="0" t="s">
        <v>7</v>
      </c>
    </row>
    <row r="15406" customFormat="false" ht="12.8" hidden="false" customHeight="false" outlineLevel="0" collapsed="false">
      <c r="B15406" s="0" t="s">
        <v>5997</v>
      </c>
    </row>
    <row r="15407" customFormat="false" ht="12.8" hidden="false" customHeight="false" outlineLevel="0" collapsed="false">
      <c r="B15407" s="0" t="s">
        <v>14</v>
      </c>
    </row>
    <row r="15409" customFormat="false" ht="12.8" hidden="false" customHeight="false" outlineLevel="0" collapsed="false">
      <c r="A15409" s="0" t="s">
        <v>5998</v>
      </c>
      <c r="B15409" s="0" t="str">
        <f aca="false">HYPERLINK("https://lindat.mff.cuni.cz/services/teitok/pdtc10/index.php?action=vallex&amp;frame=v-w1855f183_ZU", "mít (v-w1855f183_ZU)")</f>
        <v>mít (v-w1855f183_ZU)</v>
      </c>
    </row>
    <row r="15410" customFormat="false" ht="12.8" hidden="false" customHeight="false" outlineLevel="0" collapsed="false">
      <c r="B15410" s="0" t="s">
        <v>7</v>
      </c>
      <c r="C15410" s="0" t="s">
        <v>191</v>
      </c>
    </row>
    <row r="15411" customFormat="false" ht="12.8" hidden="false" customHeight="false" outlineLevel="0" collapsed="false">
      <c r="B15411" s="0" t="s">
        <v>5999</v>
      </c>
      <c r="C15411" s="0" t="s">
        <v>532</v>
      </c>
    </row>
    <row r="15413" customFormat="false" ht="12.8" hidden="false" customHeight="false" outlineLevel="0" collapsed="false">
      <c r="A15413" s="0" t="s">
        <v>5998</v>
      </c>
      <c r="B15413" s="0" t="str">
        <f aca="false">HYPERLINK("https://lindat.mff.cuni.cz/services/teitok/pdtc10/index.php?action=vallex&amp;frame=v-w1855f182_ZU", "mít (v-w1855f182_ZU) - substituted with v-w1855f183_ZU")</f>
        <v>mít (v-w1855f182_ZU) - substituted with v-w1855f183_ZU</v>
      </c>
    </row>
    <row r="15414" customFormat="false" ht="12.8" hidden="false" customHeight="false" outlineLevel="0" collapsed="false">
      <c r="B15414" s="0" t="s">
        <v>7</v>
      </c>
    </row>
    <row r="15415" customFormat="false" ht="12.8" hidden="false" customHeight="false" outlineLevel="0" collapsed="false">
      <c r="B15415" s="0" t="s">
        <v>5999</v>
      </c>
    </row>
    <row r="15417" customFormat="false" ht="12.8" hidden="false" customHeight="false" outlineLevel="0" collapsed="false">
      <c r="A15417" s="0" t="s">
        <v>5998</v>
      </c>
      <c r="B15417" s="0" t="str">
        <f aca="false">HYPERLINK("https://lindat.mff.cuni.cz/services/teitok/pdtc10/index.php?action=vallex&amp;frame=v-w1855hsa_1136", "mít (v-w1855hsa_1136) - substituted with v-w1855f183_ZU")</f>
        <v>mít (v-w1855hsa_1136) - substituted with v-w1855f183_ZU</v>
      </c>
    </row>
    <row r="15418" customFormat="false" ht="12.8" hidden="false" customHeight="false" outlineLevel="0" collapsed="false">
      <c r="B15418" s="0" t="s">
        <v>7</v>
      </c>
    </row>
    <row r="15419" customFormat="false" ht="12.8" hidden="false" customHeight="false" outlineLevel="0" collapsed="false">
      <c r="B15419" s="0" t="s">
        <v>5999</v>
      </c>
    </row>
    <row r="15421" customFormat="false" ht="12.8" hidden="false" customHeight="false" outlineLevel="0" collapsed="false">
      <c r="A15421" s="0" t="s">
        <v>6000</v>
      </c>
      <c r="B15421" s="0" t="str">
        <f aca="false">HYPERLINK("https://lindat.mff.cuni.cz/services/teitok/pdtc10/index.php?action=vallex&amp;frame=v-w1855f184_ZU", "mít (v-w1855f184_ZU)")</f>
        <v>mít (v-w1855f184_ZU)</v>
      </c>
    </row>
    <row r="15422" customFormat="false" ht="12.8" hidden="false" customHeight="false" outlineLevel="0" collapsed="false">
      <c r="B15422" s="0" t="s">
        <v>7</v>
      </c>
    </row>
    <row r="15423" customFormat="false" ht="12.8" hidden="false" customHeight="false" outlineLevel="0" collapsed="false">
      <c r="B15423" s="0" t="s">
        <v>6001</v>
      </c>
    </row>
    <row r="15424" customFormat="false" ht="12.8" hidden="false" customHeight="false" outlineLevel="0" collapsed="false">
      <c r="B15424" s="0" t="s">
        <v>6002</v>
      </c>
    </row>
    <row r="15426" customFormat="false" ht="12.8" hidden="false" customHeight="false" outlineLevel="0" collapsed="false">
      <c r="A15426" s="0" t="s">
        <v>6000</v>
      </c>
      <c r="B15426" s="0" t="str">
        <f aca="false">HYPERLINK("https://lindat.mff.cuni.cz/services/teitok/pdtc10/index.php?action=vallex&amp;frame=v-w1855hsa_1137", "mít (v-w1855hsa_1137) - substituted with v-w1855f184_ZU")</f>
        <v>mít (v-w1855hsa_1137) - substituted with v-w1855f184_ZU</v>
      </c>
    </row>
    <row r="15427" customFormat="false" ht="12.8" hidden="false" customHeight="false" outlineLevel="0" collapsed="false">
      <c r="B15427" s="0" t="s">
        <v>7</v>
      </c>
    </row>
    <row r="15428" customFormat="false" ht="12.8" hidden="false" customHeight="false" outlineLevel="0" collapsed="false">
      <c r="B15428" s="0" t="s">
        <v>6001</v>
      </c>
    </row>
    <row r="15429" customFormat="false" ht="12.8" hidden="false" customHeight="false" outlineLevel="0" collapsed="false">
      <c r="B15429" s="0" t="s">
        <v>6002</v>
      </c>
    </row>
    <row r="15431" customFormat="false" ht="12.8" hidden="false" customHeight="false" outlineLevel="0" collapsed="false">
      <c r="A15431" s="0" t="s">
        <v>6003</v>
      </c>
      <c r="B15431" s="0" t="str">
        <f aca="false">HYPERLINK("https://lindat.mff.cuni.cz/services/teitok/pdtc10/index.php?action=vallex&amp;frame=v-w1855f188_ZU", "mít (v-w1855f188_ZU)")</f>
        <v>mít (v-w1855f188_ZU)</v>
      </c>
    </row>
    <row r="15432" customFormat="false" ht="12.8" hidden="false" customHeight="false" outlineLevel="0" collapsed="false">
      <c r="B15432" s="0" t="s">
        <v>7</v>
      </c>
      <c r="C15432" s="0" t="s">
        <v>1286</v>
      </c>
    </row>
    <row r="15433" customFormat="false" ht="12.8" hidden="false" customHeight="false" outlineLevel="0" collapsed="false">
      <c r="B15433" s="0" t="s">
        <v>6004</v>
      </c>
    </row>
    <row r="15434" customFormat="false" ht="12.8" hidden="false" customHeight="false" outlineLevel="0" collapsed="false">
      <c r="B15434" s="0" t="s">
        <v>14</v>
      </c>
      <c r="C15434" s="0" t="s">
        <v>1288</v>
      </c>
    </row>
    <row r="15436" customFormat="false" ht="12.8" hidden="false" customHeight="false" outlineLevel="0" collapsed="false">
      <c r="A15436" s="0" t="s">
        <v>6003</v>
      </c>
      <c r="B15436" s="0" t="str">
        <f aca="false">HYPERLINK("https://lindat.mff.cuni.cz/services/teitok/pdtc10/index.php?action=vallex&amp;frame=v-w1855hsa_1138", "mít (v-w1855hsa_1138) - substituted with v-w1855f188_ZU")</f>
        <v>mít (v-w1855hsa_1138) - substituted with v-w1855f188_ZU</v>
      </c>
    </row>
    <row r="15437" customFormat="false" ht="12.8" hidden="false" customHeight="false" outlineLevel="0" collapsed="false">
      <c r="B15437" s="0" t="s">
        <v>7</v>
      </c>
    </row>
    <row r="15438" customFormat="false" ht="12.8" hidden="false" customHeight="false" outlineLevel="0" collapsed="false">
      <c r="B15438" s="0" t="s">
        <v>6004</v>
      </c>
    </row>
    <row r="15439" customFormat="false" ht="12.8" hidden="false" customHeight="false" outlineLevel="0" collapsed="false">
      <c r="B15439" s="0" t="s">
        <v>14</v>
      </c>
    </row>
    <row r="15441" customFormat="false" ht="12.8" hidden="false" customHeight="false" outlineLevel="0" collapsed="false">
      <c r="A15441" s="0" t="s">
        <v>6005</v>
      </c>
      <c r="B15441" s="0" t="str">
        <f aca="false">HYPERLINK("https://lindat.mff.cuni.cz/services/teitok/pdtc10/index.php?action=vallex&amp;frame=v-w1855f187_ZU", "mít (v-w1855f187_ZU)")</f>
        <v>mít (v-w1855f187_ZU)</v>
      </c>
    </row>
    <row r="15442" customFormat="false" ht="12.8" hidden="false" customHeight="false" outlineLevel="0" collapsed="false">
      <c r="B15442" s="0" t="s">
        <v>7</v>
      </c>
      <c r="C15442" s="0" t="s">
        <v>1286</v>
      </c>
    </row>
    <row r="15443" customFormat="false" ht="12.8" hidden="false" customHeight="false" outlineLevel="0" collapsed="false">
      <c r="B15443" s="0" t="s">
        <v>6006</v>
      </c>
      <c r="C15443" s="0" t="s">
        <v>5948</v>
      </c>
    </row>
    <row r="15444" customFormat="false" ht="12.8" hidden="false" customHeight="false" outlineLevel="0" collapsed="false">
      <c r="B15444" s="0" t="s">
        <v>41</v>
      </c>
    </row>
    <row r="15446" customFormat="false" ht="12.8" hidden="false" customHeight="false" outlineLevel="0" collapsed="false">
      <c r="A15446" s="0" t="s">
        <v>6005</v>
      </c>
      <c r="B15446" s="0" t="str">
        <f aca="false">HYPERLINK("https://lindat.mff.cuni.cz/services/teitok/pdtc10/index.php?action=vallex&amp;frame=v-w1855hsa_1139", "mít (v-w1855hsa_1139) - substituted with v-w1855f187_ZU")</f>
        <v>mít (v-w1855hsa_1139) - substituted with v-w1855f187_ZU</v>
      </c>
    </row>
    <row r="15447" customFormat="false" ht="12.8" hidden="false" customHeight="false" outlineLevel="0" collapsed="false">
      <c r="B15447" s="0" t="s">
        <v>7</v>
      </c>
    </row>
    <row r="15448" customFormat="false" ht="12.8" hidden="false" customHeight="false" outlineLevel="0" collapsed="false">
      <c r="B15448" s="0" t="s">
        <v>6006</v>
      </c>
    </row>
    <row r="15449" customFormat="false" ht="12.8" hidden="false" customHeight="false" outlineLevel="0" collapsed="false">
      <c r="B15449" s="0" t="s">
        <v>41</v>
      </c>
    </row>
    <row r="15451" customFormat="false" ht="12.8" hidden="false" customHeight="false" outlineLevel="0" collapsed="false">
      <c r="A15451" s="0" t="s">
        <v>6007</v>
      </c>
      <c r="B15451" s="0" t="str">
        <f aca="false">HYPERLINK("https://lindat.mff.cuni.cz/services/teitok/pdtc10/index.php?action=vallex&amp;frame=v-w1855f277_ZU", "mít (v-w1855f277_ZU)")</f>
        <v>mít (v-w1855f277_ZU)</v>
      </c>
    </row>
    <row r="15452" customFormat="false" ht="12.8" hidden="false" customHeight="false" outlineLevel="0" collapsed="false">
      <c r="B15452" s="0" t="s">
        <v>7</v>
      </c>
    </row>
    <row r="15453" customFormat="false" ht="12.8" hidden="false" customHeight="false" outlineLevel="0" collapsed="false">
      <c r="B15453" s="0" t="s">
        <v>6008</v>
      </c>
    </row>
    <row r="15454" customFormat="false" ht="12.8" hidden="false" customHeight="false" outlineLevel="0" collapsed="false">
      <c r="B15454" s="0" t="s">
        <v>712</v>
      </c>
    </row>
    <row r="15456" customFormat="false" ht="12.8" hidden="false" customHeight="false" outlineLevel="0" collapsed="false">
      <c r="A15456" s="0" t="s">
        <v>6007</v>
      </c>
      <c r="B15456" s="0" t="str">
        <f aca="false">HYPERLINK("https://lindat.mff.cuni.cz/services/teitok/pdtc10/index.php?action=vallex&amp;frame=v-w1855f180_ZU", "mít (v-w1855f180_ZU) - substituted with v-w1855f277_ZU")</f>
        <v>mít (v-w1855f180_ZU) - substituted with v-w1855f277_ZU</v>
      </c>
    </row>
    <row r="15457" customFormat="false" ht="12.8" hidden="false" customHeight="false" outlineLevel="0" collapsed="false">
      <c r="B15457" s="0" t="s">
        <v>7</v>
      </c>
      <c r="C15457" s="0" t="s">
        <v>6009</v>
      </c>
    </row>
    <row r="15458" customFormat="false" ht="12.8" hidden="false" customHeight="false" outlineLevel="0" collapsed="false">
      <c r="B15458" s="0" t="s">
        <v>6008</v>
      </c>
      <c r="C15458" s="0" t="s">
        <v>6010</v>
      </c>
    </row>
    <row r="15459" customFormat="false" ht="12.8" hidden="false" customHeight="false" outlineLevel="0" collapsed="false">
      <c r="B15459" s="0" t="s">
        <v>712</v>
      </c>
      <c r="C15459" s="0" t="s">
        <v>567</v>
      </c>
    </row>
    <row r="15461" customFormat="false" ht="12.8" hidden="false" customHeight="false" outlineLevel="0" collapsed="false">
      <c r="A15461" s="0" t="s">
        <v>6007</v>
      </c>
      <c r="B15461" s="0" t="str">
        <f aca="false">HYPERLINK("https://lindat.mff.cuni.cz/services/teitok/pdtc10/index.php?action=vallex&amp;frame=v-w1855hsa_1140", "mít (v-w1855hsa_1140) - substituted with v-w1855f277_ZU")</f>
        <v>mít (v-w1855hsa_1140) - substituted with v-w1855f277_ZU</v>
      </c>
    </row>
    <row r="15462" customFormat="false" ht="12.8" hidden="false" customHeight="false" outlineLevel="0" collapsed="false">
      <c r="B15462" s="0" t="s">
        <v>7</v>
      </c>
    </row>
    <row r="15463" customFormat="false" ht="12.8" hidden="false" customHeight="false" outlineLevel="0" collapsed="false">
      <c r="B15463" s="0" t="s">
        <v>6008</v>
      </c>
    </row>
    <row r="15464" customFormat="false" ht="12.8" hidden="false" customHeight="false" outlineLevel="0" collapsed="false">
      <c r="B15464" s="0" t="s">
        <v>712</v>
      </c>
    </row>
    <row r="15466" customFormat="false" ht="12.8" hidden="false" customHeight="false" outlineLevel="0" collapsed="false">
      <c r="A15466" s="0" t="s">
        <v>6011</v>
      </c>
      <c r="B15466" s="0" t="str">
        <f aca="false">HYPERLINK("https://lindat.mff.cuni.cz/services/teitok/pdtc10/index.php?action=vallex&amp;frame=v-w1855f186_ZU", "mít (v-w1855f186_ZU)")</f>
        <v>mít (v-w1855f186_ZU)</v>
      </c>
    </row>
    <row r="15467" customFormat="false" ht="12.8" hidden="false" customHeight="false" outlineLevel="0" collapsed="false">
      <c r="B15467" s="0" t="s">
        <v>7</v>
      </c>
      <c r="C15467" s="0" t="s">
        <v>1286</v>
      </c>
    </row>
    <row r="15468" customFormat="false" ht="12.8" hidden="false" customHeight="false" outlineLevel="0" collapsed="false">
      <c r="B15468" s="0" t="s">
        <v>6012</v>
      </c>
      <c r="C15468" s="0" t="s">
        <v>5948</v>
      </c>
    </row>
    <row r="15470" customFormat="false" ht="12.8" hidden="false" customHeight="false" outlineLevel="0" collapsed="false">
      <c r="A15470" s="0" t="s">
        <v>6011</v>
      </c>
      <c r="B15470" s="0" t="str">
        <f aca="false">HYPERLINK("https://lindat.mff.cuni.cz/services/teitok/pdtc10/index.php?action=vallex&amp;frame=v-w1855f185_ZU", "mít (v-w1855f185_ZU) - substituted with v-w1855f186_ZU")</f>
        <v>mít (v-w1855f185_ZU) - substituted with v-w1855f186_ZU</v>
      </c>
    </row>
    <row r="15471" customFormat="false" ht="12.8" hidden="false" customHeight="false" outlineLevel="0" collapsed="false">
      <c r="B15471" s="0" t="s">
        <v>7</v>
      </c>
    </row>
    <row r="15472" customFormat="false" ht="12.8" hidden="false" customHeight="false" outlineLevel="0" collapsed="false">
      <c r="B15472" s="0" t="s">
        <v>6012</v>
      </c>
    </row>
    <row r="15474" customFormat="false" ht="12.8" hidden="false" customHeight="false" outlineLevel="0" collapsed="false">
      <c r="A15474" s="0" t="s">
        <v>6011</v>
      </c>
      <c r="B15474" s="0" t="str">
        <f aca="false">HYPERLINK("https://lindat.mff.cuni.cz/services/teitok/pdtc10/index.php?action=vallex&amp;frame=v-w1855hsa_1141", "mít (v-w1855hsa_1141) - substituted with v-w1855f186_ZU")</f>
        <v>mít (v-w1855hsa_1141) - substituted with v-w1855f186_ZU</v>
      </c>
    </row>
    <row r="15475" customFormat="false" ht="12.8" hidden="false" customHeight="false" outlineLevel="0" collapsed="false">
      <c r="B15475" s="0" t="s">
        <v>7</v>
      </c>
    </row>
    <row r="15476" customFormat="false" ht="12.8" hidden="false" customHeight="false" outlineLevel="0" collapsed="false">
      <c r="B15476" s="0" t="s">
        <v>6012</v>
      </c>
    </row>
    <row r="15478" customFormat="false" ht="12.8" hidden="false" customHeight="false" outlineLevel="0" collapsed="false">
      <c r="A15478" s="0" t="s">
        <v>6013</v>
      </c>
      <c r="B15478" s="0" t="str">
        <f aca="false">HYPERLINK("https://lindat.mff.cuni.cz/services/teitok/pdtc10/index.php?action=vallex&amp;frame=v-w1855f176_ZU", "mít (v-w1855f176_ZU)")</f>
        <v>mít (v-w1855f176_ZU)</v>
      </c>
    </row>
    <row r="15479" customFormat="false" ht="12.8" hidden="false" customHeight="false" outlineLevel="0" collapsed="false">
      <c r="B15479" s="0" t="s">
        <v>7</v>
      </c>
      <c r="C15479" s="0" t="s">
        <v>6014</v>
      </c>
    </row>
    <row r="15480" customFormat="false" ht="12.8" hidden="false" customHeight="false" outlineLevel="0" collapsed="false">
      <c r="B15480" s="0" t="s">
        <v>919</v>
      </c>
      <c r="C15480" s="0" t="s">
        <v>6015</v>
      </c>
    </row>
    <row r="15482" customFormat="false" ht="12.8" hidden="false" customHeight="false" outlineLevel="0" collapsed="false">
      <c r="A15482" s="0" t="s">
        <v>6016</v>
      </c>
      <c r="B15482" s="0" t="str">
        <f aca="false">HYPERLINK("https://lindat.mff.cuni.cz/services/teitok/pdtc10/index.php?action=vallex&amp;frame=v-w1855f179_ZU", "mít (v-w1855f179_ZU)")</f>
        <v>mít (v-w1855f179_ZU)</v>
      </c>
    </row>
    <row r="15483" customFormat="false" ht="12.8" hidden="false" customHeight="false" outlineLevel="0" collapsed="false">
      <c r="B15483" s="0" t="s">
        <v>7</v>
      </c>
      <c r="C15483" s="0" t="s">
        <v>1286</v>
      </c>
    </row>
    <row r="15484" customFormat="false" ht="12.8" hidden="false" customHeight="false" outlineLevel="0" collapsed="false">
      <c r="B15484" s="0" t="s">
        <v>6017</v>
      </c>
      <c r="C15484" s="0" t="s">
        <v>5948</v>
      </c>
    </row>
    <row r="15485" customFormat="false" ht="12.8" hidden="false" customHeight="false" outlineLevel="0" collapsed="false">
      <c r="B15485" s="0" t="s">
        <v>712</v>
      </c>
    </row>
    <row r="15487" customFormat="false" ht="12.8" hidden="false" customHeight="false" outlineLevel="0" collapsed="false">
      <c r="A15487" s="0" t="s">
        <v>6018</v>
      </c>
      <c r="B15487" s="0" t="str">
        <f aca="false">HYPERLINK("https://lindat.mff.cuni.cz/services/teitok/pdtc10/index.php?action=vallex&amp;frame=v-w1855f213_ZU", "mít (v-w1855f213_ZU)")</f>
        <v>mít (v-w1855f213_ZU)</v>
      </c>
    </row>
    <row r="15488" customFormat="false" ht="12.8" hidden="false" customHeight="false" outlineLevel="0" collapsed="false">
      <c r="B15488" s="0" t="s">
        <v>7</v>
      </c>
      <c r="C15488" s="0" t="s">
        <v>1286</v>
      </c>
    </row>
    <row r="15489" customFormat="false" ht="12.8" hidden="false" customHeight="false" outlineLevel="0" collapsed="false">
      <c r="B15489" s="0" t="s">
        <v>6019</v>
      </c>
      <c r="C15489" s="0" t="s">
        <v>2359</v>
      </c>
    </row>
    <row r="15491" customFormat="false" ht="12.8" hidden="false" customHeight="false" outlineLevel="0" collapsed="false">
      <c r="A15491" s="0" t="s">
        <v>6020</v>
      </c>
      <c r="B15491" s="0" t="str">
        <f aca="false">HYPERLINK("https://lindat.mff.cuni.cz/services/teitok/pdtc10/index.php?action=vallex&amp;frame=v-w1855f113_ZU", "mít (v-w1855f113_ZU)")</f>
        <v>mít (v-w1855f113_ZU)</v>
      </c>
    </row>
    <row r="15492" customFormat="false" ht="12.8" hidden="false" customHeight="false" outlineLevel="0" collapsed="false">
      <c r="B15492" s="0" t="s">
        <v>7</v>
      </c>
    </row>
    <row r="15493" customFormat="false" ht="12.8" hidden="false" customHeight="false" outlineLevel="0" collapsed="false">
      <c r="B15493" s="0" t="s">
        <v>6021</v>
      </c>
    </row>
    <row r="15495" customFormat="false" ht="12.8" hidden="false" customHeight="false" outlineLevel="0" collapsed="false">
      <c r="A15495" s="0" t="s">
        <v>6020</v>
      </c>
      <c r="B15495" s="0" t="str">
        <f aca="false">HYPERLINK("https://lindat.mff.cuni.cz/services/teitok/pdtc10/index.php?action=vallex&amp;frame=v-w1855f112_ZU", "mít (v-w1855f112_ZU) - substituted with v-w1855f113_ZU")</f>
        <v>mít (v-w1855f112_ZU) - substituted with v-w1855f113_ZU</v>
      </c>
    </row>
    <row r="15496" customFormat="false" ht="12.8" hidden="false" customHeight="false" outlineLevel="0" collapsed="false">
      <c r="B15496" s="0" t="s">
        <v>7</v>
      </c>
    </row>
    <row r="15497" customFormat="false" ht="12.8" hidden="false" customHeight="false" outlineLevel="0" collapsed="false">
      <c r="B15497" s="0" t="s">
        <v>6021</v>
      </c>
    </row>
    <row r="15499" customFormat="false" ht="12.8" hidden="false" customHeight="false" outlineLevel="0" collapsed="false">
      <c r="A15499" s="0" t="s">
        <v>6022</v>
      </c>
      <c r="B15499" s="0" t="str">
        <f aca="false">HYPERLINK("https://lindat.mff.cuni.cz/services/teitok/pdtc10/index.php?action=vallex&amp;frame=v-w1855f124_ZU", "mít (v-w1855f124_ZU)")</f>
        <v>mít (v-w1855f124_ZU)</v>
      </c>
    </row>
    <row r="15500" customFormat="false" ht="12.8" hidden="false" customHeight="false" outlineLevel="0" collapsed="false">
      <c r="B15500" s="0" t="s">
        <v>7</v>
      </c>
    </row>
    <row r="15501" customFormat="false" ht="12.8" hidden="false" customHeight="false" outlineLevel="0" collapsed="false">
      <c r="B15501" s="0" t="s">
        <v>6023</v>
      </c>
    </row>
    <row r="15503" customFormat="false" ht="12.8" hidden="false" customHeight="false" outlineLevel="0" collapsed="false">
      <c r="A15503" s="0" t="s">
        <v>6024</v>
      </c>
      <c r="B15503" s="0" t="str">
        <f aca="false">HYPERLINK("https://lindat.mff.cuni.cz/services/teitok/pdtc10/index.php?action=vallex&amp;frame=v-w1855f143_ZU", "mít (v-w1855f143_ZU)")</f>
        <v>mít (v-w1855f143_ZU)</v>
      </c>
    </row>
    <row r="15504" customFormat="false" ht="12.8" hidden="false" customHeight="false" outlineLevel="0" collapsed="false">
      <c r="B15504" s="0" t="s">
        <v>7</v>
      </c>
    </row>
    <row r="15505" customFormat="false" ht="12.8" hidden="false" customHeight="false" outlineLevel="0" collapsed="false">
      <c r="B15505" s="0" t="s">
        <v>6025</v>
      </c>
    </row>
    <row r="15507" customFormat="false" ht="12.8" hidden="false" customHeight="false" outlineLevel="0" collapsed="false">
      <c r="A15507" s="0" t="s">
        <v>6026</v>
      </c>
      <c r="B15507" s="0" t="str">
        <f aca="false">HYPERLINK("https://lindat.mff.cuni.cz/services/teitok/pdtc10/index.php?action=vallex&amp;frame=v-w1855f154_ZU", "mít (v-w1855f154_ZU)")</f>
        <v>mít (v-w1855f154_ZU)</v>
      </c>
    </row>
    <row r="15508" customFormat="false" ht="12.8" hidden="false" customHeight="false" outlineLevel="0" collapsed="false">
      <c r="B15508" s="0" t="s">
        <v>7</v>
      </c>
    </row>
    <row r="15509" customFormat="false" ht="12.8" hidden="false" customHeight="false" outlineLevel="0" collapsed="false">
      <c r="B15509" s="0" t="s">
        <v>6027</v>
      </c>
    </row>
    <row r="15511" customFormat="false" ht="12.8" hidden="false" customHeight="false" outlineLevel="0" collapsed="false">
      <c r="A15511" s="0" t="s">
        <v>6028</v>
      </c>
      <c r="B15511" s="0" t="str">
        <f aca="false">HYPERLINK("https://lindat.mff.cuni.cz/services/teitok/pdtc10/index.php?action=vallex&amp;frame=v-w1855f155_ZU", "mít (v-w1855f155_ZU)")</f>
        <v>mít (v-w1855f155_ZU)</v>
      </c>
    </row>
    <row r="15512" customFormat="false" ht="12.8" hidden="false" customHeight="false" outlineLevel="0" collapsed="false">
      <c r="B15512" s="0" t="s">
        <v>7</v>
      </c>
    </row>
    <row r="15513" customFormat="false" ht="12.8" hidden="false" customHeight="false" outlineLevel="0" collapsed="false">
      <c r="B15513" s="0" t="s">
        <v>6029</v>
      </c>
    </row>
    <row r="15515" customFormat="false" ht="12.8" hidden="false" customHeight="false" outlineLevel="0" collapsed="false">
      <c r="A15515" s="0" t="s">
        <v>6030</v>
      </c>
      <c r="B15515" s="0" t="str">
        <f aca="false">HYPERLINK("https://lindat.mff.cuni.cz/services/teitok/pdtc10/index.php?action=vallex&amp;frame=v-w1855f226_ZU", "mít (v-w1855f226_ZU)")</f>
        <v>mít (v-w1855f226_ZU)</v>
      </c>
    </row>
    <row r="15516" customFormat="false" ht="12.8" hidden="false" customHeight="false" outlineLevel="0" collapsed="false">
      <c r="B15516" s="0" t="s">
        <v>7</v>
      </c>
    </row>
    <row r="15517" customFormat="false" ht="12.8" hidden="false" customHeight="false" outlineLevel="0" collapsed="false">
      <c r="B15517" s="0" t="s">
        <v>925</v>
      </c>
    </row>
    <row r="15518" customFormat="false" ht="12.8" hidden="false" customHeight="false" outlineLevel="0" collapsed="false">
      <c r="B15518" s="0" t="s">
        <v>14</v>
      </c>
    </row>
    <row r="15520" customFormat="false" ht="12.8" hidden="false" customHeight="false" outlineLevel="0" collapsed="false">
      <c r="A15520" s="0" t="s">
        <v>6030</v>
      </c>
      <c r="B15520" s="0" t="str">
        <f aca="false">HYPERLINK("https://lindat.mff.cuni.cz/services/teitok/pdtc10/index.php?action=vallex&amp;frame=v-w1855hsa_1132", "mít (v-w1855hsa_1132) - substituted with v-w1855f226_ZU")</f>
        <v>mít (v-w1855hsa_1132) - substituted with v-w1855f226_ZU</v>
      </c>
    </row>
    <row r="15521" customFormat="false" ht="12.8" hidden="false" customHeight="false" outlineLevel="0" collapsed="false">
      <c r="B15521" s="0" t="s">
        <v>7</v>
      </c>
    </row>
    <row r="15522" customFormat="false" ht="12.8" hidden="false" customHeight="false" outlineLevel="0" collapsed="false">
      <c r="B15522" s="0" t="s">
        <v>925</v>
      </c>
    </row>
    <row r="15523" customFormat="false" ht="12.8" hidden="false" customHeight="false" outlineLevel="0" collapsed="false">
      <c r="B15523" s="0" t="s">
        <v>14</v>
      </c>
    </row>
    <row r="15525" customFormat="false" ht="12.8" hidden="false" customHeight="false" outlineLevel="0" collapsed="false">
      <c r="A15525" s="0" t="s">
        <v>6031</v>
      </c>
      <c r="B15525" s="0" t="str">
        <f aca="false">HYPERLINK("https://lindat.mff.cuni.cz/services/teitok/pdtc10/index.php?action=vallex&amp;frame=v-w1855f227_ZU", "mít (v-w1855f227_ZU)")</f>
        <v>mít (v-w1855f227_ZU)</v>
      </c>
    </row>
    <row r="15526" customFormat="false" ht="12.8" hidden="false" customHeight="false" outlineLevel="0" collapsed="false">
      <c r="B15526" s="0" t="s">
        <v>7</v>
      </c>
    </row>
    <row r="15527" customFormat="false" ht="12.8" hidden="false" customHeight="false" outlineLevel="0" collapsed="false">
      <c r="B15527" s="0" t="s">
        <v>6032</v>
      </c>
    </row>
    <row r="15529" customFormat="false" ht="12.8" hidden="false" customHeight="false" outlineLevel="0" collapsed="false">
      <c r="A15529" s="0" t="s">
        <v>6031</v>
      </c>
      <c r="B15529" s="0" t="str">
        <f aca="false">HYPERLINK("https://lindat.mff.cuni.cz/services/teitok/pdtc10/index.php?action=vallex&amp;frame=v-w1855hsa_1134", "mít (v-w1855hsa_1134) - substituted with v-w1855f227_ZU")</f>
        <v>mít (v-w1855hsa_1134) - substituted with v-w1855f227_ZU</v>
      </c>
    </row>
    <row r="15530" customFormat="false" ht="12.8" hidden="false" customHeight="false" outlineLevel="0" collapsed="false">
      <c r="B15530" s="0" t="s">
        <v>7</v>
      </c>
    </row>
    <row r="15531" customFormat="false" ht="12.8" hidden="false" customHeight="false" outlineLevel="0" collapsed="false">
      <c r="B15531" s="0" t="s">
        <v>6032</v>
      </c>
    </row>
    <row r="15533" customFormat="false" ht="12.8" hidden="false" customHeight="false" outlineLevel="0" collapsed="false">
      <c r="A15533" s="0" t="s">
        <v>6033</v>
      </c>
      <c r="B15533" s="0" t="str">
        <f aca="false">HYPERLINK("https://lindat.mff.cuni.cz/services/teitok/pdtc10/index.php?action=vallex&amp;frame=v-w1855f228_ZU", "mít (v-w1855f228_ZU)")</f>
        <v>mít (v-w1855f228_ZU)</v>
      </c>
    </row>
    <row r="15534" customFormat="false" ht="12.8" hidden="false" customHeight="false" outlineLevel="0" collapsed="false">
      <c r="B15534" s="0" t="s">
        <v>7</v>
      </c>
    </row>
    <row r="15535" customFormat="false" ht="12.8" hidden="false" customHeight="false" outlineLevel="0" collapsed="false">
      <c r="B15535" s="0" t="s">
        <v>6034</v>
      </c>
    </row>
    <row r="15536" customFormat="false" ht="12.8" hidden="false" customHeight="false" outlineLevel="0" collapsed="false">
      <c r="B15536" s="0" t="s">
        <v>441</v>
      </c>
    </row>
    <row r="15538" customFormat="false" ht="12.8" hidden="false" customHeight="false" outlineLevel="0" collapsed="false">
      <c r="A15538" s="0" t="s">
        <v>6033</v>
      </c>
      <c r="B15538" s="0" t="str">
        <f aca="false">HYPERLINK("https://lindat.mff.cuni.cz/services/teitok/pdtc10/index.php?action=vallex&amp;frame=v-w1855f36", "mít (v-w1855f36) - substituted with v-w1855f228_ZU")</f>
        <v>mít (v-w1855f36) - substituted with v-w1855f228_ZU</v>
      </c>
    </row>
    <row r="15539" customFormat="false" ht="12.8" hidden="false" customHeight="false" outlineLevel="0" collapsed="false">
      <c r="B15539" s="0" t="s">
        <v>7</v>
      </c>
      <c r="C15539" s="0" t="s">
        <v>1286</v>
      </c>
    </row>
    <row r="15540" customFormat="false" ht="12.8" hidden="false" customHeight="false" outlineLevel="0" collapsed="false">
      <c r="B15540" s="0" t="s">
        <v>6034</v>
      </c>
      <c r="C15540" s="0" t="s">
        <v>2359</v>
      </c>
    </row>
    <row r="15541" customFormat="false" ht="12.8" hidden="false" customHeight="false" outlineLevel="0" collapsed="false">
      <c r="B15541" s="0" t="s">
        <v>441</v>
      </c>
    </row>
    <row r="15543" customFormat="false" ht="12.8" hidden="false" customHeight="false" outlineLevel="0" collapsed="false">
      <c r="A15543" s="0" t="s">
        <v>6033</v>
      </c>
      <c r="B15543" s="0" t="str">
        <f aca="false">HYPERLINK("https://lindat.mff.cuni.cz/services/teitok/pdtc10/index.php?action=vallex&amp;frame=v-w1855hsa_1119", "mít (v-w1855hsa_1119) - substituted with v-w1855f228_ZU")</f>
        <v>mít (v-w1855hsa_1119) - substituted with v-w1855f228_ZU</v>
      </c>
    </row>
    <row r="15544" customFormat="false" ht="12.8" hidden="false" customHeight="false" outlineLevel="0" collapsed="false">
      <c r="B15544" s="0" t="s">
        <v>7</v>
      </c>
    </row>
    <row r="15545" customFormat="false" ht="12.8" hidden="false" customHeight="false" outlineLevel="0" collapsed="false">
      <c r="B15545" s="0" t="s">
        <v>6034</v>
      </c>
    </row>
    <row r="15546" customFormat="false" ht="12.8" hidden="false" customHeight="false" outlineLevel="0" collapsed="false">
      <c r="B15546" s="0" t="s">
        <v>441</v>
      </c>
    </row>
    <row r="15548" customFormat="false" ht="12.8" hidden="false" customHeight="false" outlineLevel="0" collapsed="false">
      <c r="A15548" s="0" t="s">
        <v>6035</v>
      </c>
      <c r="B15548" s="0" t="str">
        <f aca="false">HYPERLINK("https://lindat.mff.cuni.cz/services/teitok/pdtc10/index.php?action=vallex&amp;frame=v-w1855f229_ZU", "mít (v-w1855f229_ZU)")</f>
        <v>mít (v-w1855f229_ZU)</v>
      </c>
    </row>
    <row r="15549" customFormat="false" ht="12.8" hidden="false" customHeight="false" outlineLevel="0" collapsed="false">
      <c r="B15549" s="0" t="s">
        <v>7</v>
      </c>
    </row>
    <row r="15550" customFormat="false" ht="12.8" hidden="false" customHeight="false" outlineLevel="0" collapsed="false">
      <c r="B15550" s="0" t="s">
        <v>6036</v>
      </c>
    </row>
    <row r="15552" customFormat="false" ht="12.8" hidden="false" customHeight="false" outlineLevel="0" collapsed="false">
      <c r="A15552" s="0" t="s">
        <v>6035</v>
      </c>
      <c r="B15552" s="0" t="str">
        <f aca="false">HYPERLINK("https://lindat.mff.cuni.cz/services/teitok/pdtc10/index.php?action=vallex&amp;frame=v-w1855hsa_981", "mít (v-w1855hsa_981) - substituted with v-w1855f229_ZU")</f>
        <v>mít (v-w1855hsa_981) - substituted with v-w1855f229_ZU</v>
      </c>
    </row>
    <row r="15553" customFormat="false" ht="12.8" hidden="false" customHeight="false" outlineLevel="0" collapsed="false">
      <c r="B15553" s="0" t="s">
        <v>7</v>
      </c>
    </row>
    <row r="15554" customFormat="false" ht="12.8" hidden="false" customHeight="false" outlineLevel="0" collapsed="false">
      <c r="B15554" s="0" t="s">
        <v>6036</v>
      </c>
    </row>
    <row r="15556" customFormat="false" ht="12.8" hidden="false" customHeight="false" outlineLevel="0" collapsed="false">
      <c r="A15556" s="0" t="s">
        <v>6037</v>
      </c>
      <c r="B15556" s="0" t="str">
        <f aca="false">HYPERLINK("https://lindat.mff.cuni.cz/services/teitok/pdtc10/index.php?action=vallex&amp;frame=v-w1855f230_ZU", "mít (v-w1855f230_ZU)")</f>
        <v>mít (v-w1855f230_ZU)</v>
      </c>
    </row>
    <row r="15557" customFormat="false" ht="12.8" hidden="false" customHeight="false" outlineLevel="0" collapsed="false">
      <c r="B15557" s="0" t="s">
        <v>7</v>
      </c>
    </row>
    <row r="15558" customFormat="false" ht="12.8" hidden="false" customHeight="false" outlineLevel="0" collapsed="false">
      <c r="B15558" s="0" t="s">
        <v>6038</v>
      </c>
    </row>
    <row r="15560" customFormat="false" ht="12.8" hidden="false" customHeight="false" outlineLevel="0" collapsed="false">
      <c r="A15560" s="0" t="s">
        <v>6037</v>
      </c>
      <c r="B15560" s="0" t="str">
        <f aca="false">HYPERLINK("https://lindat.mff.cuni.cz/services/teitok/pdtc10/index.php?action=vallex&amp;frame=v-w1855hsa_982", "mít (v-w1855hsa_982) - substituted with v-w1855f230_ZU")</f>
        <v>mít (v-w1855hsa_982) - substituted with v-w1855f230_ZU</v>
      </c>
    </row>
    <row r="15561" customFormat="false" ht="12.8" hidden="false" customHeight="false" outlineLevel="0" collapsed="false">
      <c r="B15561" s="0" t="s">
        <v>7</v>
      </c>
    </row>
    <row r="15562" customFormat="false" ht="12.8" hidden="false" customHeight="false" outlineLevel="0" collapsed="false">
      <c r="B15562" s="0" t="s">
        <v>6038</v>
      </c>
    </row>
    <row r="15564" customFormat="false" ht="12.8" hidden="false" customHeight="false" outlineLevel="0" collapsed="false">
      <c r="A15564" s="0" t="s">
        <v>6039</v>
      </c>
      <c r="B15564" s="0" t="str">
        <f aca="false">HYPERLINK("https://lindat.mff.cuni.cz/services/teitok/pdtc10/index.php?action=vallex&amp;frame=v-w1855f232_ZU", "mít (v-w1855f232_ZU)")</f>
        <v>mít (v-w1855f232_ZU)</v>
      </c>
    </row>
    <row r="15565" customFormat="false" ht="12.8" hidden="false" customHeight="false" outlineLevel="0" collapsed="false">
      <c r="B15565" s="0" t="s">
        <v>7</v>
      </c>
    </row>
    <row r="15566" customFormat="false" ht="12.8" hidden="false" customHeight="false" outlineLevel="0" collapsed="false">
      <c r="B15566" s="0" t="s">
        <v>898</v>
      </c>
    </row>
    <row r="15567" customFormat="false" ht="12.8" hidden="false" customHeight="false" outlineLevel="0" collapsed="false">
      <c r="B15567" s="0" t="s">
        <v>14</v>
      </c>
    </row>
    <row r="15569" customFormat="false" ht="12.8" hidden="false" customHeight="false" outlineLevel="0" collapsed="false">
      <c r="A15569" s="0" t="s">
        <v>6039</v>
      </c>
      <c r="B15569" s="0" t="str">
        <f aca="false">HYPERLINK("https://lindat.mff.cuni.cz/services/teitok/pdtc10/index.php?action=vallex&amp;frame=v-w1855hsa_985", "mít (v-w1855hsa_985) - substituted with v-w1855f232_ZU")</f>
        <v>mít (v-w1855hsa_985) - substituted with v-w1855f232_ZU</v>
      </c>
    </row>
    <row r="15570" customFormat="false" ht="12.8" hidden="false" customHeight="false" outlineLevel="0" collapsed="false">
      <c r="B15570" s="0" t="s">
        <v>7</v>
      </c>
    </row>
    <row r="15571" customFormat="false" ht="12.8" hidden="false" customHeight="false" outlineLevel="0" collapsed="false">
      <c r="B15571" s="0" t="s">
        <v>898</v>
      </c>
    </row>
    <row r="15572" customFormat="false" ht="12.8" hidden="false" customHeight="false" outlineLevel="0" collapsed="false">
      <c r="B15572" s="0" t="s">
        <v>14</v>
      </c>
    </row>
    <row r="15574" customFormat="false" ht="12.8" hidden="false" customHeight="false" outlineLevel="0" collapsed="false">
      <c r="A15574" s="0" t="s">
        <v>6040</v>
      </c>
      <c r="B15574" s="0" t="str">
        <f aca="false">HYPERLINK("https://lindat.mff.cuni.cz/services/teitok/pdtc10/index.php?action=vallex&amp;frame=v-w1855f233_ZU", "mít (v-w1855f233_ZU)")</f>
        <v>mít (v-w1855f233_ZU)</v>
      </c>
    </row>
    <row r="15575" customFormat="false" ht="12.8" hidden="false" customHeight="false" outlineLevel="0" collapsed="false">
      <c r="B15575" s="0" t="s">
        <v>7</v>
      </c>
    </row>
    <row r="15576" customFormat="false" ht="12.8" hidden="false" customHeight="false" outlineLevel="0" collapsed="false">
      <c r="B15576" s="0" t="s">
        <v>529</v>
      </c>
    </row>
    <row r="15577" customFormat="false" ht="12.8" hidden="false" customHeight="false" outlineLevel="0" collapsed="false">
      <c r="B15577" s="0" t="s">
        <v>227</v>
      </c>
    </row>
    <row r="15579" customFormat="false" ht="12.8" hidden="false" customHeight="false" outlineLevel="0" collapsed="false">
      <c r="A15579" s="0" t="s">
        <v>6040</v>
      </c>
      <c r="B15579" s="0" t="str">
        <f aca="false">HYPERLINK("https://lindat.mff.cuni.cz/services/teitok/pdtc10/index.php?action=vallex&amp;frame=v-w1855hsa_988", "mít (v-w1855hsa_988) - substituted with v-w1855f233_ZU")</f>
        <v>mít (v-w1855hsa_988) - substituted with v-w1855f233_ZU</v>
      </c>
    </row>
    <row r="15580" customFormat="false" ht="12.8" hidden="false" customHeight="false" outlineLevel="0" collapsed="false">
      <c r="B15580" s="0" t="s">
        <v>7</v>
      </c>
    </row>
    <row r="15581" customFormat="false" ht="12.8" hidden="false" customHeight="false" outlineLevel="0" collapsed="false">
      <c r="B15581" s="0" t="s">
        <v>529</v>
      </c>
    </row>
    <row r="15582" customFormat="false" ht="12.8" hidden="false" customHeight="false" outlineLevel="0" collapsed="false">
      <c r="B15582" s="0" t="s">
        <v>227</v>
      </c>
    </row>
    <row r="15584" customFormat="false" ht="12.8" hidden="false" customHeight="false" outlineLevel="0" collapsed="false">
      <c r="A15584" s="0" t="s">
        <v>6041</v>
      </c>
      <c r="B15584" s="0" t="str">
        <f aca="false">HYPERLINK("https://lindat.mff.cuni.cz/services/teitok/pdtc10/index.php?action=vallex&amp;frame=v-w1855f234_ZU", "mít (v-w1855f234_ZU)")</f>
        <v>mít (v-w1855f234_ZU)</v>
      </c>
    </row>
    <row r="15585" customFormat="false" ht="12.8" hidden="false" customHeight="false" outlineLevel="0" collapsed="false">
      <c r="B15585" s="0" t="s">
        <v>7</v>
      </c>
    </row>
    <row r="15586" customFormat="false" ht="12.8" hidden="false" customHeight="false" outlineLevel="0" collapsed="false">
      <c r="B15586" s="0" t="s">
        <v>6042</v>
      </c>
    </row>
    <row r="15587" customFormat="false" ht="12.8" hidden="false" customHeight="false" outlineLevel="0" collapsed="false">
      <c r="B15587" s="0" t="s">
        <v>666</v>
      </c>
    </row>
    <row r="15589" customFormat="false" ht="12.8" hidden="false" customHeight="false" outlineLevel="0" collapsed="false">
      <c r="A15589" s="0" t="s">
        <v>6041</v>
      </c>
      <c r="B15589" s="0" t="str">
        <f aca="false">HYPERLINK("https://lindat.mff.cuni.cz/services/teitok/pdtc10/index.php?action=vallex&amp;frame=v-w1855f231_ZU", "mít (v-w1855f231_ZU) - substituted with v-w1855f234_ZU")</f>
        <v>mít (v-w1855f231_ZU) - substituted with v-w1855f234_ZU</v>
      </c>
    </row>
    <row r="15590" customFormat="false" ht="12.8" hidden="false" customHeight="false" outlineLevel="0" collapsed="false">
      <c r="B15590" s="0" t="s">
        <v>7</v>
      </c>
    </row>
    <row r="15591" customFormat="false" ht="12.8" hidden="false" customHeight="false" outlineLevel="0" collapsed="false">
      <c r="B15591" s="0" t="s">
        <v>6042</v>
      </c>
    </row>
    <row r="15592" customFormat="false" ht="12.8" hidden="false" customHeight="false" outlineLevel="0" collapsed="false">
      <c r="B15592" s="0" t="s">
        <v>666</v>
      </c>
    </row>
    <row r="15594" customFormat="false" ht="12.8" hidden="false" customHeight="false" outlineLevel="0" collapsed="false">
      <c r="A15594" s="0" t="s">
        <v>6041</v>
      </c>
      <c r="B15594" s="0" t="str">
        <f aca="false">HYPERLINK("https://lindat.mff.cuni.cz/services/teitok/pdtc10/index.php?action=vallex&amp;frame=v-w1855hsa_983", "mít (v-w1855hsa_983) - substituted with v-w1855f234_ZU")</f>
        <v>mít (v-w1855hsa_983) - substituted with v-w1855f234_ZU</v>
      </c>
    </row>
    <row r="15595" customFormat="false" ht="12.8" hidden="false" customHeight="false" outlineLevel="0" collapsed="false">
      <c r="B15595" s="0" t="s">
        <v>7</v>
      </c>
    </row>
    <row r="15596" customFormat="false" ht="12.8" hidden="false" customHeight="false" outlineLevel="0" collapsed="false">
      <c r="B15596" s="0" t="s">
        <v>6042</v>
      </c>
    </row>
    <row r="15597" customFormat="false" ht="12.8" hidden="false" customHeight="false" outlineLevel="0" collapsed="false">
      <c r="B15597" s="0" t="s">
        <v>666</v>
      </c>
    </row>
    <row r="15599" customFormat="false" ht="12.8" hidden="false" customHeight="false" outlineLevel="0" collapsed="false">
      <c r="A15599" s="0" t="s">
        <v>6043</v>
      </c>
      <c r="B15599" s="0" t="str">
        <f aca="false">HYPERLINK("https://lindat.mff.cuni.cz/services/teitok/pdtc10/index.php?action=vallex&amp;frame=v-w1855f235_ZU", "mít (v-w1855f235_ZU)")</f>
        <v>mít (v-w1855f235_ZU)</v>
      </c>
    </row>
    <row r="15600" customFormat="false" ht="12.8" hidden="false" customHeight="false" outlineLevel="0" collapsed="false">
      <c r="B15600" s="0" t="s">
        <v>7</v>
      </c>
    </row>
    <row r="15601" customFormat="false" ht="12.8" hidden="false" customHeight="false" outlineLevel="0" collapsed="false">
      <c r="B15601" s="0" t="s">
        <v>6044</v>
      </c>
    </row>
    <row r="15602" customFormat="false" ht="12.8" hidden="false" customHeight="false" outlineLevel="0" collapsed="false">
      <c r="B15602" s="0" t="s">
        <v>666</v>
      </c>
    </row>
    <row r="15604" customFormat="false" ht="12.8" hidden="false" customHeight="false" outlineLevel="0" collapsed="false">
      <c r="A15604" s="0" t="s">
        <v>6043</v>
      </c>
      <c r="B15604" s="0" t="str">
        <f aca="false">HYPERLINK("https://lindat.mff.cuni.cz/services/teitok/pdtc10/index.php?action=vallex&amp;frame=v-w1855hsa_989", "mít (v-w1855hsa_989) - substituted with v-w1855f235_ZU")</f>
        <v>mít (v-w1855hsa_989) - substituted with v-w1855f235_ZU</v>
      </c>
    </row>
    <row r="15605" customFormat="false" ht="12.8" hidden="false" customHeight="false" outlineLevel="0" collapsed="false">
      <c r="B15605" s="0" t="s">
        <v>7</v>
      </c>
    </row>
    <row r="15606" customFormat="false" ht="12.8" hidden="false" customHeight="false" outlineLevel="0" collapsed="false">
      <c r="B15606" s="0" t="s">
        <v>6044</v>
      </c>
    </row>
    <row r="15607" customFormat="false" ht="12.8" hidden="false" customHeight="false" outlineLevel="0" collapsed="false">
      <c r="B15607" s="0" t="s">
        <v>666</v>
      </c>
    </row>
    <row r="15609" customFormat="false" ht="12.8" hidden="false" customHeight="false" outlineLevel="0" collapsed="false">
      <c r="A15609" s="0" t="s">
        <v>6045</v>
      </c>
      <c r="B15609" s="0" t="str">
        <f aca="false">HYPERLINK("https://lindat.mff.cuni.cz/services/teitok/pdtc10/index.php?action=vallex&amp;frame=v-w1855f236_ZU", "mít (v-w1855f236_ZU)")</f>
        <v>mít (v-w1855f236_ZU)</v>
      </c>
    </row>
    <row r="15610" customFormat="false" ht="12.8" hidden="false" customHeight="false" outlineLevel="0" collapsed="false">
      <c r="B15610" s="0" t="s">
        <v>7</v>
      </c>
    </row>
    <row r="15611" customFormat="false" ht="12.8" hidden="false" customHeight="false" outlineLevel="0" collapsed="false">
      <c r="B15611" s="0" t="s">
        <v>6046</v>
      </c>
    </row>
    <row r="15612" customFormat="false" ht="12.8" hidden="false" customHeight="false" outlineLevel="0" collapsed="false">
      <c r="B15612" s="0" t="s">
        <v>14</v>
      </c>
    </row>
    <row r="15614" customFormat="false" ht="12.8" hidden="false" customHeight="false" outlineLevel="0" collapsed="false">
      <c r="A15614" s="0" t="s">
        <v>6045</v>
      </c>
      <c r="B15614" s="0" t="str">
        <f aca="false">HYPERLINK("https://lindat.mff.cuni.cz/services/teitok/pdtc10/index.php?action=vallex&amp;frame=v-w1855hsa_992", "mít (v-w1855hsa_992) - substituted with v-w1855f236_ZU")</f>
        <v>mít (v-w1855hsa_992) - substituted with v-w1855f236_ZU</v>
      </c>
    </row>
    <row r="15615" customFormat="false" ht="12.8" hidden="false" customHeight="false" outlineLevel="0" collapsed="false">
      <c r="B15615" s="0" t="s">
        <v>7</v>
      </c>
    </row>
    <row r="15616" customFormat="false" ht="12.8" hidden="false" customHeight="false" outlineLevel="0" collapsed="false">
      <c r="B15616" s="0" t="s">
        <v>6046</v>
      </c>
    </row>
    <row r="15617" customFormat="false" ht="12.8" hidden="false" customHeight="false" outlineLevel="0" collapsed="false">
      <c r="B15617" s="0" t="s">
        <v>14</v>
      </c>
    </row>
    <row r="15619" customFormat="false" ht="12.8" hidden="false" customHeight="false" outlineLevel="0" collapsed="false">
      <c r="A15619" s="0" t="s">
        <v>6047</v>
      </c>
      <c r="B15619" s="0" t="str">
        <f aca="false">HYPERLINK("https://lindat.mff.cuni.cz/services/teitok/pdtc10/index.php?action=vallex&amp;frame=v-w1855f237_ZU", "mít (v-w1855f237_ZU)")</f>
        <v>mít (v-w1855f237_ZU)</v>
      </c>
    </row>
    <row r="15620" customFormat="false" ht="12.8" hidden="false" customHeight="false" outlineLevel="0" collapsed="false">
      <c r="B15620" s="0" t="s">
        <v>7</v>
      </c>
    </row>
    <row r="15621" customFormat="false" ht="12.8" hidden="false" customHeight="false" outlineLevel="0" collapsed="false">
      <c r="B15621" s="0" t="s">
        <v>6048</v>
      </c>
    </row>
    <row r="15622" customFormat="false" ht="12.8" hidden="false" customHeight="false" outlineLevel="0" collapsed="false">
      <c r="B15622" s="0" t="s">
        <v>14</v>
      </c>
    </row>
    <row r="15624" customFormat="false" ht="12.8" hidden="false" customHeight="false" outlineLevel="0" collapsed="false">
      <c r="A15624" s="0" t="s">
        <v>6047</v>
      </c>
      <c r="B15624" s="0" t="str">
        <f aca="false">HYPERLINK("https://lindat.mff.cuni.cz/services/teitok/pdtc10/index.php?action=vallex&amp;frame=v-w1855hsa_994", "mít (v-w1855hsa_994) - substituted with v-w1855f237_ZU")</f>
        <v>mít (v-w1855hsa_994) - substituted with v-w1855f237_ZU</v>
      </c>
    </row>
    <row r="15625" customFormat="false" ht="12.8" hidden="false" customHeight="false" outlineLevel="0" collapsed="false">
      <c r="B15625" s="0" t="s">
        <v>7</v>
      </c>
    </row>
    <row r="15626" customFormat="false" ht="12.8" hidden="false" customHeight="false" outlineLevel="0" collapsed="false">
      <c r="B15626" s="0" t="s">
        <v>6048</v>
      </c>
    </row>
    <row r="15627" customFormat="false" ht="12.8" hidden="false" customHeight="false" outlineLevel="0" collapsed="false">
      <c r="B15627" s="0" t="s">
        <v>14</v>
      </c>
    </row>
    <row r="15629" customFormat="false" ht="12.8" hidden="false" customHeight="false" outlineLevel="0" collapsed="false">
      <c r="A15629" s="0" t="s">
        <v>6049</v>
      </c>
      <c r="B15629" s="0" t="str">
        <f aca="false">HYPERLINK("https://lindat.mff.cuni.cz/services/teitok/pdtc10/index.php?action=vallex&amp;frame=v-w1855f243_ZU", "mít (v-w1855f243_ZU)")</f>
        <v>mít (v-w1855f243_ZU)</v>
      </c>
    </row>
    <row r="15630" customFormat="false" ht="12.8" hidden="false" customHeight="false" outlineLevel="0" collapsed="false">
      <c r="B15630" s="0" t="s">
        <v>7</v>
      </c>
    </row>
    <row r="15631" customFormat="false" ht="12.8" hidden="false" customHeight="false" outlineLevel="0" collapsed="false">
      <c r="B15631" s="0" t="s">
        <v>6050</v>
      </c>
    </row>
    <row r="15633" customFormat="false" ht="12.8" hidden="false" customHeight="false" outlineLevel="0" collapsed="false">
      <c r="A15633" s="0" t="s">
        <v>6049</v>
      </c>
      <c r="B15633" s="0" t="str">
        <f aca="false">HYPERLINK("https://lindat.mff.cuni.cz/services/teitok/pdtc10/index.php?action=vallex&amp;frame=v-w1855hsa_990", "mít (v-w1855hsa_990) - substituted with v-w1855f243_ZU")</f>
        <v>mít (v-w1855hsa_990) - substituted with v-w1855f243_ZU</v>
      </c>
    </row>
    <row r="15634" customFormat="false" ht="12.8" hidden="false" customHeight="false" outlineLevel="0" collapsed="false">
      <c r="B15634" s="0" t="s">
        <v>7</v>
      </c>
    </row>
    <row r="15635" customFormat="false" ht="12.8" hidden="false" customHeight="false" outlineLevel="0" collapsed="false">
      <c r="B15635" s="0" t="s">
        <v>6050</v>
      </c>
    </row>
    <row r="15637" customFormat="false" ht="12.8" hidden="false" customHeight="false" outlineLevel="0" collapsed="false">
      <c r="A15637" s="0" t="s">
        <v>6051</v>
      </c>
      <c r="B15637" s="0" t="str">
        <f aca="false">HYPERLINK("https://lindat.mff.cuni.cz/services/teitok/pdtc10/index.php?action=vallex&amp;frame=v-w1855f244_ZU", "mít (v-w1855f244_ZU)")</f>
        <v>mít (v-w1855f244_ZU)</v>
      </c>
    </row>
    <row r="15638" customFormat="false" ht="12.8" hidden="false" customHeight="false" outlineLevel="0" collapsed="false">
      <c r="B15638" s="0" t="s">
        <v>7</v>
      </c>
    </row>
    <row r="15639" customFormat="false" ht="12.8" hidden="false" customHeight="false" outlineLevel="0" collapsed="false">
      <c r="B15639" s="0" t="s">
        <v>6052</v>
      </c>
    </row>
    <row r="15640" customFormat="false" ht="12.8" hidden="false" customHeight="false" outlineLevel="0" collapsed="false">
      <c r="B15640" s="0" t="s">
        <v>2871</v>
      </c>
    </row>
    <row r="15642" customFormat="false" ht="12.8" hidden="false" customHeight="false" outlineLevel="0" collapsed="false">
      <c r="A15642" s="0" t="s">
        <v>6051</v>
      </c>
      <c r="B15642" s="0" t="str">
        <f aca="false">HYPERLINK("https://lindat.mff.cuni.cz/services/teitok/pdtc10/index.php?action=vallex&amp;frame=v-w1855hsa_991", "mít (v-w1855hsa_991) - substituted with v-w1855f244_ZU")</f>
        <v>mít (v-w1855hsa_991) - substituted with v-w1855f244_ZU</v>
      </c>
    </row>
    <row r="15643" customFormat="false" ht="12.8" hidden="false" customHeight="false" outlineLevel="0" collapsed="false">
      <c r="B15643" s="0" t="s">
        <v>7</v>
      </c>
    </row>
    <row r="15644" customFormat="false" ht="12.8" hidden="false" customHeight="false" outlineLevel="0" collapsed="false">
      <c r="B15644" s="0" t="s">
        <v>6052</v>
      </c>
    </row>
    <row r="15645" customFormat="false" ht="12.8" hidden="false" customHeight="false" outlineLevel="0" collapsed="false">
      <c r="B15645" s="0" t="s">
        <v>2871</v>
      </c>
    </row>
    <row r="15647" customFormat="false" ht="12.8" hidden="false" customHeight="false" outlineLevel="0" collapsed="false">
      <c r="A15647" s="0" t="s">
        <v>6053</v>
      </c>
      <c r="B15647" s="0" t="str">
        <f aca="false">HYPERLINK("https://lindat.mff.cuni.cz/services/teitok/pdtc10/index.php?action=vallex&amp;frame=v-w1855f245_ZU", "mít (v-w1855f245_ZU)")</f>
        <v>mít (v-w1855f245_ZU)</v>
      </c>
    </row>
    <row r="15648" customFormat="false" ht="12.8" hidden="false" customHeight="false" outlineLevel="0" collapsed="false">
      <c r="B15648" s="0" t="s">
        <v>7</v>
      </c>
    </row>
    <row r="15649" customFormat="false" ht="12.8" hidden="false" customHeight="false" outlineLevel="0" collapsed="false">
      <c r="B15649" s="0" t="s">
        <v>6054</v>
      </c>
    </row>
    <row r="15651" customFormat="false" ht="12.8" hidden="false" customHeight="false" outlineLevel="0" collapsed="false">
      <c r="A15651" s="0" t="s">
        <v>6053</v>
      </c>
      <c r="B15651" s="0" t="str">
        <f aca="false">HYPERLINK("https://lindat.mff.cuni.cz/services/teitok/pdtc10/index.php?action=vallex&amp;frame=v-w1855hsa_993", "mít (v-w1855hsa_993) - substituted with v-w1855f245_ZU")</f>
        <v>mít (v-w1855hsa_993) - substituted with v-w1855f245_ZU</v>
      </c>
    </row>
    <row r="15652" customFormat="false" ht="12.8" hidden="false" customHeight="false" outlineLevel="0" collapsed="false">
      <c r="B15652" s="0" t="s">
        <v>7</v>
      </c>
    </row>
    <row r="15653" customFormat="false" ht="12.8" hidden="false" customHeight="false" outlineLevel="0" collapsed="false">
      <c r="B15653" s="0" t="s">
        <v>6054</v>
      </c>
    </row>
    <row r="15655" customFormat="false" ht="12.8" hidden="false" customHeight="false" outlineLevel="0" collapsed="false">
      <c r="A15655" s="0" t="s">
        <v>6055</v>
      </c>
      <c r="B15655" s="0" t="str">
        <f aca="false">HYPERLINK("https://lindat.mff.cuni.cz/services/teitok/pdtc10/index.php?action=vallex&amp;frame=v-w1855f246_ZU", "mít (v-w1855f246_ZU)")</f>
        <v>mít (v-w1855f246_ZU)</v>
      </c>
    </row>
    <row r="15656" customFormat="false" ht="12.8" hidden="false" customHeight="false" outlineLevel="0" collapsed="false">
      <c r="B15656" s="0" t="s">
        <v>7</v>
      </c>
    </row>
    <row r="15657" customFormat="false" ht="12.8" hidden="false" customHeight="false" outlineLevel="0" collapsed="false">
      <c r="B15657" s="0" t="s">
        <v>6056</v>
      </c>
    </row>
    <row r="15658" customFormat="false" ht="12.8" hidden="false" customHeight="false" outlineLevel="0" collapsed="false">
      <c r="B15658" s="0" t="s">
        <v>1087</v>
      </c>
    </row>
    <row r="15660" customFormat="false" ht="12.8" hidden="false" customHeight="false" outlineLevel="0" collapsed="false">
      <c r="A15660" s="0" t="s">
        <v>6055</v>
      </c>
      <c r="B15660" s="0" t="str">
        <f aca="false">HYPERLINK("https://lindat.mff.cuni.cz/services/teitok/pdtc10/index.php?action=vallex&amp;frame=v-w1855hsa_987", "mít (v-w1855hsa_987) - substituted with v-w1855f246_ZU")</f>
        <v>mít (v-w1855hsa_987) - substituted with v-w1855f246_ZU</v>
      </c>
    </row>
    <row r="15661" customFormat="false" ht="12.8" hidden="false" customHeight="false" outlineLevel="0" collapsed="false">
      <c r="B15661" s="0" t="s">
        <v>7</v>
      </c>
    </row>
    <row r="15662" customFormat="false" ht="12.8" hidden="false" customHeight="false" outlineLevel="0" collapsed="false">
      <c r="B15662" s="0" t="s">
        <v>6056</v>
      </c>
    </row>
    <row r="15663" customFormat="false" ht="12.8" hidden="false" customHeight="false" outlineLevel="0" collapsed="false">
      <c r="B15663" s="0" t="s">
        <v>1087</v>
      </c>
    </row>
    <row r="15665" customFormat="false" ht="12.8" hidden="false" customHeight="false" outlineLevel="0" collapsed="false">
      <c r="A15665" s="0" t="s">
        <v>6057</v>
      </c>
      <c r="B15665" s="0" t="str">
        <f aca="false">HYPERLINK("https://lindat.mff.cuni.cz/services/teitok/pdtc10/index.php?action=vallex&amp;frame=v-w1855f247_ZU", "mít (v-w1855f247_ZU)")</f>
        <v>mít (v-w1855f247_ZU)</v>
      </c>
    </row>
    <row r="15666" customFormat="false" ht="12.8" hidden="false" customHeight="false" outlineLevel="0" collapsed="false">
      <c r="B15666" s="0" t="s">
        <v>7</v>
      </c>
    </row>
    <row r="15667" customFormat="false" ht="12.8" hidden="false" customHeight="false" outlineLevel="0" collapsed="false">
      <c r="B15667" s="0" t="s">
        <v>6058</v>
      </c>
    </row>
    <row r="15668" customFormat="false" ht="12.8" hidden="false" customHeight="false" outlineLevel="0" collapsed="false">
      <c r="B15668" s="0" t="s">
        <v>14</v>
      </c>
    </row>
    <row r="15670" customFormat="false" ht="12.8" hidden="false" customHeight="false" outlineLevel="0" collapsed="false">
      <c r="A15670" s="0" t="s">
        <v>6057</v>
      </c>
      <c r="B15670" s="0" t="str">
        <f aca="false">HYPERLINK("https://lindat.mff.cuni.cz/services/teitok/pdtc10/index.php?action=vallex&amp;frame=v-w1855hsa_995", "mít (v-w1855hsa_995) - substituted with v-w1855f247_ZU")</f>
        <v>mít (v-w1855hsa_995) - substituted with v-w1855f247_ZU</v>
      </c>
    </row>
    <row r="15671" customFormat="false" ht="12.8" hidden="false" customHeight="false" outlineLevel="0" collapsed="false">
      <c r="B15671" s="0" t="s">
        <v>7</v>
      </c>
    </row>
    <row r="15672" customFormat="false" ht="12.8" hidden="false" customHeight="false" outlineLevel="0" collapsed="false">
      <c r="B15672" s="0" t="s">
        <v>6058</v>
      </c>
    </row>
    <row r="15673" customFormat="false" ht="12.8" hidden="false" customHeight="false" outlineLevel="0" collapsed="false">
      <c r="B15673" s="0" t="s">
        <v>14</v>
      </c>
    </row>
    <row r="15675" customFormat="false" ht="12.8" hidden="false" customHeight="false" outlineLevel="0" collapsed="false">
      <c r="A15675" s="0" t="s">
        <v>6059</v>
      </c>
      <c r="B15675" s="0" t="str">
        <f aca="false">HYPERLINK("https://lindat.mff.cuni.cz/services/teitok/pdtc10/index.php?action=vallex&amp;frame=v-w1855f248_ZU", "mít (v-w1855f248_ZU)")</f>
        <v>mít (v-w1855f248_ZU)</v>
      </c>
    </row>
    <row r="15676" customFormat="false" ht="12.8" hidden="false" customHeight="false" outlineLevel="0" collapsed="false">
      <c r="B15676" s="0" t="s">
        <v>7</v>
      </c>
    </row>
    <row r="15677" customFormat="false" ht="12.8" hidden="false" customHeight="false" outlineLevel="0" collapsed="false">
      <c r="B15677" s="0" t="s">
        <v>6060</v>
      </c>
    </row>
    <row r="15678" customFormat="false" ht="12.8" hidden="false" customHeight="false" outlineLevel="0" collapsed="false">
      <c r="B15678" s="0" t="s">
        <v>14</v>
      </c>
    </row>
    <row r="15680" customFormat="false" ht="12.8" hidden="false" customHeight="false" outlineLevel="0" collapsed="false">
      <c r="A15680" s="0" t="s">
        <v>6059</v>
      </c>
      <c r="B15680" s="0" t="str">
        <f aca="false">HYPERLINK("https://lindat.mff.cuni.cz/services/teitok/pdtc10/index.php?action=vallex&amp;frame=v-w1855hsa_984", "mít (v-w1855hsa_984) - substituted with v-w1855f248_ZU")</f>
        <v>mít (v-w1855hsa_984) - substituted with v-w1855f248_ZU</v>
      </c>
    </row>
    <row r="15681" customFormat="false" ht="12.8" hidden="false" customHeight="false" outlineLevel="0" collapsed="false">
      <c r="B15681" s="0" t="s">
        <v>7</v>
      </c>
    </row>
    <row r="15682" customFormat="false" ht="12.8" hidden="false" customHeight="false" outlineLevel="0" collapsed="false">
      <c r="B15682" s="0" t="s">
        <v>6060</v>
      </c>
    </row>
    <row r="15683" customFormat="false" ht="12.8" hidden="false" customHeight="false" outlineLevel="0" collapsed="false">
      <c r="B15683" s="0" t="s">
        <v>14</v>
      </c>
    </row>
    <row r="15685" customFormat="false" ht="12.8" hidden="false" customHeight="false" outlineLevel="0" collapsed="false">
      <c r="A15685" s="0" t="s">
        <v>6061</v>
      </c>
      <c r="B15685" s="0" t="str">
        <f aca="false">HYPERLINK("https://lindat.mff.cuni.cz/services/teitok/pdtc10/index.php?action=vallex&amp;frame=v-w1855f249_ZU", "mít (v-w1855f249_ZU)")</f>
        <v>mít (v-w1855f249_ZU)</v>
      </c>
    </row>
    <row r="15686" customFormat="false" ht="12.8" hidden="false" customHeight="false" outlineLevel="0" collapsed="false">
      <c r="B15686" s="0" t="s">
        <v>7</v>
      </c>
    </row>
    <row r="15687" customFormat="false" ht="12.8" hidden="false" customHeight="false" outlineLevel="0" collapsed="false">
      <c r="B15687" s="0" t="s">
        <v>6062</v>
      </c>
    </row>
    <row r="15689" customFormat="false" ht="12.8" hidden="false" customHeight="false" outlineLevel="0" collapsed="false">
      <c r="A15689" s="0" t="s">
        <v>6061</v>
      </c>
      <c r="B15689" s="0" t="str">
        <f aca="false">HYPERLINK("https://lindat.mff.cuni.cz/services/teitok/pdtc10/index.php?action=vallex&amp;frame=v-w1855hsa_986", "mít (v-w1855hsa_986) - substituted with v-w1855f249_ZU")</f>
        <v>mít (v-w1855hsa_986) - substituted with v-w1855f249_ZU</v>
      </c>
    </row>
    <row r="15690" customFormat="false" ht="12.8" hidden="false" customHeight="false" outlineLevel="0" collapsed="false">
      <c r="B15690" s="0" t="s">
        <v>7</v>
      </c>
    </row>
    <row r="15691" customFormat="false" ht="12.8" hidden="false" customHeight="false" outlineLevel="0" collapsed="false">
      <c r="B15691" s="0" t="s">
        <v>6062</v>
      </c>
    </row>
    <row r="15693" customFormat="false" ht="12.8" hidden="false" customHeight="false" outlineLevel="0" collapsed="false">
      <c r="A15693" s="0" t="s">
        <v>6063</v>
      </c>
      <c r="B15693" s="0" t="str">
        <f aca="false">HYPERLINK("https://lindat.mff.cuni.cz/services/teitok/pdtc10/index.php?action=vallex&amp;frame=v-w1855f250_ZU", "mít (v-w1855f250_ZU)")</f>
        <v>mít (v-w1855f250_ZU)</v>
      </c>
    </row>
    <row r="15694" customFormat="false" ht="12.8" hidden="false" customHeight="false" outlineLevel="0" collapsed="false">
      <c r="B15694" s="0" t="s">
        <v>7</v>
      </c>
    </row>
    <row r="15695" customFormat="false" ht="12.8" hidden="false" customHeight="false" outlineLevel="0" collapsed="false">
      <c r="B15695" s="0" t="s">
        <v>6064</v>
      </c>
    </row>
    <row r="15697" customFormat="false" ht="12.8" hidden="false" customHeight="false" outlineLevel="0" collapsed="false">
      <c r="A15697" s="0" t="s">
        <v>6065</v>
      </c>
      <c r="B15697" s="0" t="str">
        <f aca="false">HYPERLINK("https://lindat.mff.cuni.cz/services/teitok/pdtc10/index.php?action=vallex&amp;frame=v-w1855f256_ZU", "mít (v-w1855f256_ZU)")</f>
        <v>mít (v-w1855f256_ZU)</v>
      </c>
    </row>
    <row r="15698" customFormat="false" ht="12.8" hidden="false" customHeight="false" outlineLevel="0" collapsed="false">
      <c r="B15698" s="0" t="s">
        <v>7</v>
      </c>
    </row>
    <row r="15699" customFormat="false" ht="12.8" hidden="false" customHeight="false" outlineLevel="0" collapsed="false">
      <c r="B15699" s="0" t="s">
        <v>6066</v>
      </c>
    </row>
    <row r="15701" customFormat="false" ht="12.8" hidden="false" customHeight="false" outlineLevel="0" collapsed="false">
      <c r="A15701" s="0" t="s">
        <v>6067</v>
      </c>
      <c r="B15701" s="0" t="str">
        <f aca="false">HYPERLINK("https://lindat.mff.cuni.cz/services/teitok/pdtc10/index.php?action=vallex&amp;frame=v-w1855f257_ZU", "mít (v-w1855f257_ZU)")</f>
        <v>mít (v-w1855f257_ZU)</v>
      </c>
    </row>
    <row r="15702" customFormat="false" ht="12.8" hidden="false" customHeight="false" outlineLevel="0" collapsed="false">
      <c r="B15702" s="0" t="s">
        <v>7</v>
      </c>
    </row>
    <row r="15703" customFormat="false" ht="12.8" hidden="false" customHeight="false" outlineLevel="0" collapsed="false">
      <c r="B15703" s="0" t="s">
        <v>6068</v>
      </c>
    </row>
    <row r="15704" customFormat="false" ht="12.8" hidden="false" customHeight="false" outlineLevel="0" collapsed="false">
      <c r="B15704" s="0" t="s">
        <v>14</v>
      </c>
    </row>
    <row r="15705" customFormat="false" ht="12.8" hidden="false" customHeight="false" outlineLevel="0" collapsed="false">
      <c r="B15705" s="0" t="s">
        <v>666</v>
      </c>
    </row>
    <row r="15707" customFormat="false" ht="12.8" hidden="false" customHeight="false" outlineLevel="0" collapsed="false">
      <c r="A15707" s="0" t="s">
        <v>6069</v>
      </c>
      <c r="B15707" s="0" t="str">
        <f aca="false">HYPERLINK("https://lindat.mff.cuni.cz/services/teitok/pdtc10/index.php?action=vallex&amp;frame=v-w1855f259_ZU", "mít (v-w1855f259_ZU)")</f>
        <v>mít (v-w1855f259_ZU)</v>
      </c>
    </row>
    <row r="15708" customFormat="false" ht="12.8" hidden="false" customHeight="false" outlineLevel="0" collapsed="false">
      <c r="B15708" s="0" t="s">
        <v>7</v>
      </c>
    </row>
    <row r="15709" customFormat="false" ht="12.8" hidden="false" customHeight="false" outlineLevel="0" collapsed="false">
      <c r="B15709" s="0" t="s">
        <v>4381</v>
      </c>
    </row>
    <row r="15711" customFormat="false" ht="12.8" hidden="false" customHeight="false" outlineLevel="0" collapsed="false">
      <c r="A15711" s="0" t="s">
        <v>6070</v>
      </c>
      <c r="B15711" s="0" t="str">
        <f aca="false">HYPERLINK("https://lindat.mff.cuni.cz/services/teitok/pdtc10/index.php?action=vallex&amp;frame=v-w1855f265_ZU", "mít (v-w1855f265_ZU)")</f>
        <v>mít (v-w1855f265_ZU)</v>
      </c>
    </row>
    <row r="15712" customFormat="false" ht="12.8" hidden="false" customHeight="false" outlineLevel="0" collapsed="false">
      <c r="B15712" s="0" t="s">
        <v>7</v>
      </c>
    </row>
    <row r="15713" customFormat="false" ht="12.8" hidden="false" customHeight="false" outlineLevel="0" collapsed="false">
      <c r="B15713" s="0" t="s">
        <v>6071</v>
      </c>
    </row>
    <row r="15714" customFormat="false" ht="12.8" hidden="false" customHeight="false" outlineLevel="0" collapsed="false">
      <c r="B15714" s="0" t="s">
        <v>14</v>
      </c>
    </row>
    <row r="15716" customFormat="false" ht="12.8" hidden="false" customHeight="false" outlineLevel="0" collapsed="false">
      <c r="A15716" s="0" t="s">
        <v>6072</v>
      </c>
      <c r="B15716" s="0" t="str">
        <f aca="false">HYPERLINK("https://lindat.mff.cuni.cz/services/teitok/pdtc10/index.php?action=vallex&amp;frame=v-w1855f267_ZU", "mít (v-w1855f267_ZU)")</f>
        <v>mít (v-w1855f267_ZU)</v>
      </c>
    </row>
    <row r="15717" customFormat="false" ht="12.8" hidden="false" customHeight="false" outlineLevel="0" collapsed="false">
      <c r="B15717" s="0" t="s">
        <v>7</v>
      </c>
    </row>
    <row r="15718" customFormat="false" ht="12.8" hidden="false" customHeight="false" outlineLevel="0" collapsed="false">
      <c r="B15718" s="0" t="s">
        <v>4381</v>
      </c>
    </row>
    <row r="15720" customFormat="false" ht="12.8" hidden="false" customHeight="false" outlineLevel="0" collapsed="false">
      <c r="A15720" s="0" t="s">
        <v>6073</v>
      </c>
      <c r="B15720" s="0" t="str">
        <f aca="false">HYPERLINK("https://lindat.mff.cuni.cz/services/teitok/pdtc10/index.php?action=vallex&amp;frame=v-w1855f270_ZU", "mít (v-w1855f270_ZU)")</f>
        <v>mít (v-w1855f270_ZU)</v>
      </c>
    </row>
    <row r="15721" customFormat="false" ht="12.8" hidden="false" customHeight="false" outlineLevel="0" collapsed="false">
      <c r="B15721" s="0" t="s">
        <v>7</v>
      </c>
    </row>
    <row r="15722" customFormat="false" ht="12.8" hidden="false" customHeight="false" outlineLevel="0" collapsed="false">
      <c r="B15722" s="0" t="s">
        <v>6074</v>
      </c>
    </row>
    <row r="15724" customFormat="false" ht="12.8" hidden="false" customHeight="false" outlineLevel="0" collapsed="false">
      <c r="A15724" s="0" t="s">
        <v>6075</v>
      </c>
      <c r="B15724" s="0" t="str">
        <f aca="false">HYPERLINK("https://lindat.mff.cuni.cz/services/teitok/pdtc10/index.php?action=vallex&amp;frame=v-w1855f271_ZU", "mít (v-w1855f271_ZU)")</f>
        <v>mít (v-w1855f271_ZU)</v>
      </c>
    </row>
    <row r="15725" customFormat="false" ht="12.8" hidden="false" customHeight="false" outlineLevel="0" collapsed="false">
      <c r="B15725" s="0" t="s">
        <v>7</v>
      </c>
    </row>
    <row r="15726" customFormat="false" ht="12.8" hidden="false" customHeight="false" outlineLevel="0" collapsed="false">
      <c r="B15726" s="0" t="s">
        <v>6076</v>
      </c>
    </row>
    <row r="15728" customFormat="false" ht="12.8" hidden="false" customHeight="false" outlineLevel="0" collapsed="false">
      <c r="A15728" s="0" t="s">
        <v>6077</v>
      </c>
      <c r="B15728" s="0" t="str">
        <f aca="false">HYPERLINK("https://lindat.mff.cuni.cz/services/teitok/pdtc10/index.php?action=vallex&amp;frame=v-w1855f274_ZU", "mít (v-w1855f274_ZU)")</f>
        <v>mít (v-w1855f274_ZU)</v>
      </c>
    </row>
    <row r="15729" customFormat="false" ht="12.8" hidden="false" customHeight="false" outlineLevel="0" collapsed="false">
      <c r="B15729" s="0" t="s">
        <v>7</v>
      </c>
    </row>
    <row r="15730" customFormat="false" ht="12.8" hidden="false" customHeight="false" outlineLevel="0" collapsed="false">
      <c r="B15730" s="0" t="s">
        <v>14</v>
      </c>
    </row>
    <row r="15732" customFormat="false" ht="12.8" hidden="false" customHeight="false" outlineLevel="0" collapsed="false">
      <c r="A15732" s="0" t="s">
        <v>6078</v>
      </c>
      <c r="B15732" s="0" t="str">
        <f aca="false">HYPERLINK("https://lindat.mff.cuni.cz/services/teitok/pdtc10/index.php?action=vallex&amp;frame=v-w1855f278_ZU", "mít (v-w1855f278_ZU)")</f>
        <v>mít (v-w1855f278_ZU)</v>
      </c>
    </row>
    <row r="15733" customFormat="false" ht="12.8" hidden="false" customHeight="false" outlineLevel="0" collapsed="false">
      <c r="B15733" s="0" t="s">
        <v>7</v>
      </c>
    </row>
    <row r="15734" customFormat="false" ht="12.8" hidden="false" customHeight="false" outlineLevel="0" collapsed="false">
      <c r="B15734" s="0" t="s">
        <v>6079</v>
      </c>
    </row>
    <row r="15735" customFormat="false" ht="12.8" hidden="false" customHeight="false" outlineLevel="0" collapsed="false">
      <c r="B15735" s="0" t="s">
        <v>227</v>
      </c>
    </row>
    <row r="15737" customFormat="false" ht="12.8" hidden="false" customHeight="false" outlineLevel="0" collapsed="false">
      <c r="A15737" s="0" t="s">
        <v>6080</v>
      </c>
      <c r="B15737" s="0" t="str">
        <f aca="false">HYPERLINK("https://lindat.mff.cuni.cz/services/teitok/pdtc10/index.php?action=vallex&amp;frame=v-w1855f284_ZU", "mít (v-w1855f284_ZU)")</f>
        <v>mít (v-w1855f284_ZU)</v>
      </c>
    </row>
    <row r="15738" customFormat="false" ht="12.8" hidden="false" customHeight="false" outlineLevel="0" collapsed="false">
      <c r="B15738" s="0" t="s">
        <v>7</v>
      </c>
    </row>
    <row r="15739" customFormat="false" ht="12.8" hidden="false" customHeight="false" outlineLevel="0" collapsed="false">
      <c r="B15739" s="0" t="s">
        <v>6081</v>
      </c>
    </row>
    <row r="15741" customFormat="false" ht="12.8" hidden="false" customHeight="false" outlineLevel="0" collapsed="false">
      <c r="A15741" s="0" t="s">
        <v>6082</v>
      </c>
      <c r="B15741" s="0" t="str">
        <f aca="false">HYPERLINK("https://lindat.mff.cuni.cz/services/teitok/pdtc10/index.php?action=vallex&amp;frame=v-w1855f288_ZU", "mít (v-w1855f288_ZU)")</f>
        <v>mít (v-w1855f288_ZU)</v>
      </c>
    </row>
    <row r="15742" customFormat="false" ht="12.8" hidden="false" customHeight="false" outlineLevel="0" collapsed="false">
      <c r="B15742" s="0" t="s">
        <v>7</v>
      </c>
    </row>
    <row r="15743" customFormat="false" ht="12.8" hidden="false" customHeight="false" outlineLevel="0" collapsed="false">
      <c r="B15743" s="0" t="s">
        <v>6083</v>
      </c>
    </row>
    <row r="15744" customFormat="false" ht="12.8" hidden="false" customHeight="false" outlineLevel="0" collapsed="false">
      <c r="B15744" s="0" t="s">
        <v>14</v>
      </c>
    </row>
    <row r="15746" customFormat="false" ht="12.8" hidden="false" customHeight="false" outlineLevel="0" collapsed="false">
      <c r="A15746" s="0" t="s">
        <v>6084</v>
      </c>
      <c r="B15746" s="0" t="str">
        <f aca="false">HYPERLINK("https://lindat.mff.cuni.cz/services/teitok/pdtc10/index.php?action=vallex&amp;frame=v-w1855f293_ZU", "mít (v-w1855f293_ZU)")</f>
        <v>mít (v-w1855f293_ZU)</v>
      </c>
    </row>
    <row r="15747" customFormat="false" ht="12.8" hidden="false" customHeight="false" outlineLevel="0" collapsed="false">
      <c r="B15747" s="0" t="s">
        <v>7</v>
      </c>
    </row>
    <row r="15748" customFormat="false" ht="12.8" hidden="false" customHeight="false" outlineLevel="0" collapsed="false">
      <c r="B15748" s="0" t="s">
        <v>6085</v>
      </c>
    </row>
    <row r="15749" customFormat="false" ht="12.8" hidden="false" customHeight="false" outlineLevel="0" collapsed="false">
      <c r="B15749" s="0" t="s">
        <v>14</v>
      </c>
    </row>
    <row r="15751" customFormat="false" ht="12.8" hidden="false" customHeight="false" outlineLevel="0" collapsed="false">
      <c r="A15751" s="0" t="s">
        <v>6086</v>
      </c>
      <c r="B15751" s="0" t="str">
        <f aca="false">HYPERLINK("https://lindat.mff.cuni.cz/services/teitok/pdtc10/index.php?action=vallex&amp;frame=v-w1855f297_ZU", "mít (v-w1855f297_ZU)")</f>
        <v>mít (v-w1855f297_ZU)</v>
      </c>
    </row>
    <row r="15752" customFormat="false" ht="12.8" hidden="false" customHeight="false" outlineLevel="0" collapsed="false">
      <c r="B15752" s="0" t="s">
        <v>7</v>
      </c>
    </row>
    <row r="15753" customFormat="false" ht="12.8" hidden="false" customHeight="false" outlineLevel="0" collapsed="false">
      <c r="B15753" s="0" t="s">
        <v>6087</v>
      </c>
    </row>
    <row r="15754" customFormat="false" ht="12.8" hidden="false" customHeight="false" outlineLevel="0" collapsed="false">
      <c r="B15754" s="0" t="s">
        <v>14</v>
      </c>
    </row>
    <row r="15756" customFormat="false" ht="12.8" hidden="false" customHeight="false" outlineLevel="0" collapsed="false">
      <c r="A15756" s="0" t="s">
        <v>6088</v>
      </c>
      <c r="B15756" s="0" t="str">
        <f aca="false">HYPERLINK("https://lindat.mff.cuni.cz/services/teitok/pdtc10/index.php?action=vallex&amp;frame=v-w1855f302_ZU", "mít (v-w1855f302_ZU)")</f>
        <v>mít (v-w1855f302_ZU)</v>
      </c>
    </row>
    <row r="15757" customFormat="false" ht="12.8" hidden="false" customHeight="false" outlineLevel="0" collapsed="false">
      <c r="B15757" s="0" t="s">
        <v>7</v>
      </c>
    </row>
    <row r="15758" customFormat="false" ht="12.8" hidden="false" customHeight="false" outlineLevel="0" collapsed="false">
      <c r="B15758" s="0" t="s">
        <v>5958</v>
      </c>
    </row>
    <row r="15760" customFormat="false" ht="12.8" hidden="false" customHeight="false" outlineLevel="0" collapsed="false">
      <c r="A15760" s="0" t="s">
        <v>6089</v>
      </c>
      <c r="B15760" s="0" t="str">
        <f aca="false">HYPERLINK("https://lindat.mff.cuni.cz/services/teitok/pdtc10/index.php?action=vallex&amp;frame=v-w1855f306_ZU", "mít (v-w1855f306_ZU)")</f>
        <v>mít (v-w1855f306_ZU)</v>
      </c>
    </row>
    <row r="15761" customFormat="false" ht="12.8" hidden="false" customHeight="false" outlineLevel="0" collapsed="false">
      <c r="B15761" s="0" t="s">
        <v>7</v>
      </c>
    </row>
    <row r="15762" customFormat="false" ht="12.8" hidden="false" customHeight="false" outlineLevel="0" collapsed="false">
      <c r="B15762" s="0" t="s">
        <v>6090</v>
      </c>
    </row>
    <row r="15764" customFormat="false" ht="12.8" hidden="false" customHeight="false" outlineLevel="0" collapsed="false">
      <c r="A15764" s="0" t="s">
        <v>6091</v>
      </c>
      <c r="B15764" s="0" t="str">
        <f aca="false">HYPERLINK("https://lindat.mff.cuni.cz/services/teitok/pdtc10/index.php?action=vallex&amp;frame=v-w1855f309_ZU", "mít (v-w1855f309_ZU)")</f>
        <v>mít (v-w1855f309_ZU)</v>
      </c>
    </row>
    <row r="15765" customFormat="false" ht="12.8" hidden="false" customHeight="false" outlineLevel="0" collapsed="false">
      <c r="B15765" s="0" t="s">
        <v>7</v>
      </c>
    </row>
    <row r="15766" customFormat="false" ht="12.8" hidden="false" customHeight="false" outlineLevel="0" collapsed="false">
      <c r="B15766" s="0" t="s">
        <v>6092</v>
      </c>
    </row>
    <row r="15767" customFormat="false" ht="12.8" hidden="false" customHeight="false" outlineLevel="0" collapsed="false">
      <c r="B15767" s="0" t="s">
        <v>14</v>
      </c>
    </row>
    <row r="15769" customFormat="false" ht="12.8" hidden="false" customHeight="false" outlineLevel="0" collapsed="false">
      <c r="A15769" s="0" t="s">
        <v>6093</v>
      </c>
      <c r="B15769" s="0" t="str">
        <f aca="false">HYPERLINK("https://lindat.mff.cuni.cz/services/teitok/pdtc10/index.php?action=vallex&amp;frame=v-w1855f310_ZU", "mít (v-w1855f310_ZU)")</f>
        <v>mít (v-w1855f310_ZU)</v>
      </c>
    </row>
    <row r="15770" customFormat="false" ht="12.8" hidden="false" customHeight="false" outlineLevel="0" collapsed="false">
      <c r="B15770" s="0" t="s">
        <v>7</v>
      </c>
    </row>
    <row r="15771" customFormat="false" ht="12.8" hidden="false" customHeight="false" outlineLevel="0" collapsed="false">
      <c r="B15771" s="0" t="s">
        <v>14</v>
      </c>
    </row>
    <row r="15772" customFormat="false" ht="12.8" hidden="false" customHeight="false" outlineLevel="0" collapsed="false">
      <c r="B15772" s="0" t="s">
        <v>3441</v>
      </c>
    </row>
    <row r="15774" customFormat="false" ht="12.8" hidden="false" customHeight="false" outlineLevel="0" collapsed="false">
      <c r="A15774" s="0" t="s">
        <v>6094</v>
      </c>
      <c r="B15774" s="0" t="str">
        <f aca="false">HYPERLINK("https://lindat.mff.cuni.cz/services/teitok/pdtc10/index.php?action=vallex&amp;frame=v-w1855f312_ZU", "mít (v-w1855f312_ZU)")</f>
        <v>mít (v-w1855f312_ZU)</v>
      </c>
    </row>
    <row r="15775" customFormat="false" ht="12.8" hidden="false" customHeight="false" outlineLevel="0" collapsed="false">
      <c r="B15775" s="0" t="s">
        <v>7</v>
      </c>
    </row>
    <row r="15776" customFormat="false" ht="12.8" hidden="false" customHeight="false" outlineLevel="0" collapsed="false">
      <c r="B15776" s="0" t="s">
        <v>6095</v>
      </c>
    </row>
    <row r="15777" customFormat="false" ht="12.8" hidden="false" customHeight="false" outlineLevel="0" collapsed="false">
      <c r="B15777" s="0" t="s">
        <v>14</v>
      </c>
    </row>
    <row r="15779" customFormat="false" ht="12.8" hidden="false" customHeight="false" outlineLevel="0" collapsed="false">
      <c r="A15779" s="0" t="s">
        <v>6096</v>
      </c>
      <c r="B15779" s="0" t="str">
        <f aca="false">HYPERLINK("https://lindat.mff.cuni.cz/services/teitok/pdtc10/index.php?action=vallex&amp;frame=v-w1855f324_ZU", "mít (v-w1855f324_ZU)")</f>
        <v>mít (v-w1855f324_ZU)</v>
      </c>
    </row>
    <row r="15780" customFormat="false" ht="12.8" hidden="false" customHeight="false" outlineLevel="0" collapsed="false">
      <c r="B15780" s="0" t="s">
        <v>7</v>
      </c>
    </row>
    <row r="15781" customFormat="false" ht="12.8" hidden="false" customHeight="false" outlineLevel="0" collapsed="false">
      <c r="B15781" s="0" t="s">
        <v>14</v>
      </c>
    </row>
    <row r="15782" customFormat="false" ht="12.8" hidden="false" customHeight="false" outlineLevel="0" collapsed="false">
      <c r="B15782" s="0" t="s">
        <v>6097</v>
      </c>
    </row>
    <row r="15784" customFormat="false" ht="12.8" hidden="false" customHeight="false" outlineLevel="0" collapsed="false">
      <c r="A15784" s="0" t="s">
        <v>6098</v>
      </c>
      <c r="B15784" s="0" t="str">
        <f aca="false">HYPERLINK("https://lindat.mff.cuni.cz/services/teitok/pdtc10/index.php?action=vallex&amp;frame=v-w1855f325_ZU", "mít (v-w1855f325_ZU)")</f>
        <v>mít (v-w1855f325_ZU)</v>
      </c>
    </row>
    <row r="15785" customFormat="false" ht="12.8" hidden="false" customHeight="false" outlineLevel="0" collapsed="false">
      <c r="B15785" s="0" t="s">
        <v>7</v>
      </c>
    </row>
    <row r="15786" customFormat="false" ht="12.8" hidden="false" customHeight="false" outlineLevel="0" collapsed="false">
      <c r="B15786" s="0" t="s">
        <v>81</v>
      </c>
    </row>
    <row r="15787" customFormat="false" ht="12.8" hidden="false" customHeight="false" outlineLevel="0" collapsed="false">
      <c r="B15787" s="0" t="s">
        <v>63</v>
      </c>
    </row>
    <row r="15789" customFormat="false" ht="12.8" hidden="false" customHeight="false" outlineLevel="0" collapsed="false">
      <c r="A15789" s="0" t="s">
        <v>6099</v>
      </c>
      <c r="B15789" s="0" t="str">
        <f aca="false">HYPERLINK("https://lindat.mff.cuni.cz/services/teitok/pdtc10/index.php?action=vallex&amp;frame=v-w1855f326_ZU", "mít (v-w1855f326_ZU)")</f>
        <v>mít (v-w1855f326_ZU)</v>
      </c>
    </row>
    <row r="15790" customFormat="false" ht="12.8" hidden="false" customHeight="false" outlineLevel="0" collapsed="false">
      <c r="B15790" s="0" t="s">
        <v>7</v>
      </c>
    </row>
    <row r="15791" customFormat="false" ht="12.8" hidden="false" customHeight="false" outlineLevel="0" collapsed="false">
      <c r="B15791" s="0" t="s">
        <v>6100</v>
      </c>
    </row>
    <row r="15792" customFormat="false" ht="12.8" hidden="false" customHeight="false" outlineLevel="0" collapsed="false">
      <c r="B15792" s="0" t="s">
        <v>244</v>
      </c>
    </row>
    <row r="15794" customFormat="false" ht="12.8" hidden="false" customHeight="false" outlineLevel="0" collapsed="false">
      <c r="A15794" s="0" t="s">
        <v>6101</v>
      </c>
      <c r="B15794" s="0" t="str">
        <f aca="false">HYPERLINK("https://lindat.mff.cuni.cz/services/teitok/pdtc10/index.php?action=vallex&amp;frame=v-w1855f332_ZU", "mít (v-w1855f332_ZU)")</f>
        <v>mít (v-w1855f332_ZU)</v>
      </c>
    </row>
    <row r="15795" customFormat="false" ht="12.8" hidden="false" customHeight="false" outlineLevel="0" collapsed="false">
      <c r="B15795" s="0" t="s">
        <v>7</v>
      </c>
    </row>
    <row r="15796" customFormat="false" ht="12.8" hidden="false" customHeight="false" outlineLevel="0" collapsed="false">
      <c r="B15796" s="0" t="s">
        <v>6102</v>
      </c>
    </row>
    <row r="15798" customFormat="false" ht="12.8" hidden="false" customHeight="false" outlineLevel="0" collapsed="false">
      <c r="A15798" s="0" t="s">
        <v>6103</v>
      </c>
      <c r="B15798" s="0" t="str">
        <f aca="false">HYPERLINK("https://lindat.mff.cuni.cz/services/teitok/pdtc10/index.php?action=vallex&amp;frame=v-w1855f333_ZU", "mít (v-w1855f333_ZU)")</f>
        <v>mít (v-w1855f333_ZU)</v>
      </c>
    </row>
    <row r="15799" customFormat="false" ht="12.8" hidden="false" customHeight="false" outlineLevel="0" collapsed="false">
      <c r="B15799" s="0" t="s">
        <v>7</v>
      </c>
    </row>
    <row r="15800" customFormat="false" ht="12.8" hidden="false" customHeight="false" outlineLevel="0" collapsed="false">
      <c r="B15800" s="0" t="s">
        <v>6104</v>
      </c>
    </row>
    <row r="15801" customFormat="false" ht="12.8" hidden="false" customHeight="false" outlineLevel="0" collapsed="false">
      <c r="B15801" s="0" t="s">
        <v>14</v>
      </c>
    </row>
    <row r="15803" customFormat="false" ht="12.8" hidden="false" customHeight="false" outlineLevel="0" collapsed="false">
      <c r="A15803" s="0" t="s">
        <v>6105</v>
      </c>
      <c r="B15803" s="0" t="str">
        <f aca="false">HYPERLINK("https://lindat.mff.cuni.cz/services/teitok/pdtc10/index.php?action=vallex&amp;frame=v-w1855f339_MM", "mít (v-w1855f339_MM)")</f>
        <v>mít (v-w1855f339_MM)</v>
      </c>
    </row>
    <row r="15804" customFormat="false" ht="12.8" hidden="false" customHeight="false" outlineLevel="0" collapsed="false">
      <c r="B15804" s="0" t="s">
        <v>7</v>
      </c>
    </row>
    <row r="15805" customFormat="false" ht="12.8" hidden="false" customHeight="false" outlineLevel="0" collapsed="false">
      <c r="B15805" s="0" t="s">
        <v>6106</v>
      </c>
    </row>
    <row r="15806" customFormat="false" ht="12.8" hidden="false" customHeight="false" outlineLevel="0" collapsed="false">
      <c r="B15806" s="0" t="s">
        <v>3809</v>
      </c>
    </row>
    <row r="15808" customFormat="false" ht="12.8" hidden="false" customHeight="false" outlineLevel="0" collapsed="false">
      <c r="A15808" s="0" t="s">
        <v>6107</v>
      </c>
      <c r="B15808" s="0" t="str">
        <f aca="false">HYPERLINK("https://lindat.mff.cuni.cz/services/teitok/pdtc10/index.php?action=vallex&amp;frame=v-w1855f348_MM", "mít (v-w1855f348_MM)")</f>
        <v>mít (v-w1855f348_MM)</v>
      </c>
    </row>
    <row r="15809" customFormat="false" ht="12.8" hidden="false" customHeight="false" outlineLevel="0" collapsed="false">
      <c r="B15809" s="0" t="s">
        <v>7</v>
      </c>
    </row>
    <row r="15810" customFormat="false" ht="12.8" hidden="false" customHeight="false" outlineLevel="0" collapsed="false">
      <c r="B15810" s="0" t="s">
        <v>6108</v>
      </c>
    </row>
    <row r="15811" customFormat="false" ht="12.8" hidden="false" customHeight="false" outlineLevel="0" collapsed="false">
      <c r="B15811" s="0" t="s">
        <v>3336</v>
      </c>
    </row>
    <row r="15813" customFormat="false" ht="12.8" hidden="false" customHeight="false" outlineLevel="0" collapsed="false">
      <c r="A15813" s="0" t="s">
        <v>6109</v>
      </c>
      <c r="B15813" s="0" t="str">
        <f aca="false">HYPERLINK("https://lindat.mff.cuni.cz/services/teitok/pdtc10/index.php?action=vallex&amp;frame=v-w1855hsa_964", "mít (v-w1855hsa_964)")</f>
        <v>mít (v-w1855hsa_964)</v>
      </c>
    </row>
    <row r="15814" customFormat="false" ht="12.8" hidden="false" customHeight="false" outlineLevel="0" collapsed="false">
      <c r="B15814" s="0" t="s">
        <v>7</v>
      </c>
    </row>
    <row r="15815" customFormat="false" ht="12.8" hidden="false" customHeight="false" outlineLevel="0" collapsed="false">
      <c r="B15815" s="0" t="s">
        <v>14</v>
      </c>
    </row>
    <row r="15817" customFormat="false" ht="12.8" hidden="false" customHeight="false" outlineLevel="0" collapsed="false">
      <c r="A15817" s="0" t="s">
        <v>6110</v>
      </c>
      <c r="B15817" s="0" t="str">
        <f aca="false">HYPERLINK("https://lindat.mff.cuni.cz/services/teitok/pdtc10/index.php?action=vallex&amp;frame=v-w1855hsa_965", "mít (v-w1855hsa_965)")</f>
        <v>mít (v-w1855hsa_965)</v>
      </c>
    </row>
    <row r="15818" customFormat="false" ht="12.8" hidden="false" customHeight="false" outlineLevel="0" collapsed="false">
      <c r="B15818" s="0" t="s">
        <v>7</v>
      </c>
    </row>
    <row r="15819" customFormat="false" ht="12.8" hidden="false" customHeight="false" outlineLevel="0" collapsed="false">
      <c r="B15819" s="0" t="s">
        <v>14</v>
      </c>
    </row>
    <row r="15820" customFormat="false" ht="12.8" hidden="false" customHeight="false" outlineLevel="0" collapsed="false">
      <c r="B15820" s="0" t="s">
        <v>637</v>
      </c>
    </row>
    <row r="15822" customFormat="false" ht="12.8" hidden="false" customHeight="false" outlineLevel="0" collapsed="false">
      <c r="A15822" s="0" t="s">
        <v>6111</v>
      </c>
      <c r="B15822" s="0" t="str">
        <f aca="false">HYPERLINK("https://lindat.mff.cuni.cz/services/teitok/pdtc10/index.php?action=vallex&amp;frame=v-w1855hsa_966", "mít (v-w1855hsa_966)")</f>
        <v>mít (v-w1855hsa_966)</v>
      </c>
    </row>
    <row r="15823" customFormat="false" ht="12.8" hidden="false" customHeight="false" outlineLevel="0" collapsed="false">
      <c r="B15823" s="0" t="s">
        <v>7</v>
      </c>
    </row>
    <row r="15824" customFormat="false" ht="12.8" hidden="false" customHeight="false" outlineLevel="0" collapsed="false">
      <c r="B15824" s="0" t="s">
        <v>14</v>
      </c>
    </row>
    <row r="15825" customFormat="false" ht="12.8" hidden="false" customHeight="false" outlineLevel="0" collapsed="false">
      <c r="B15825" s="0" t="s">
        <v>207</v>
      </c>
    </row>
    <row r="15827" customFormat="false" ht="12.8" hidden="false" customHeight="false" outlineLevel="0" collapsed="false">
      <c r="A15827" s="0" t="s">
        <v>6112</v>
      </c>
      <c r="B15827" s="0" t="str">
        <f aca="false">HYPERLINK("https://lindat.mff.cuni.cz/services/teitok/pdtc10/index.php?action=vallex&amp;frame=v-w1855hsa_967", "mít (v-w1855hsa_967)")</f>
        <v>mít (v-w1855hsa_967)</v>
      </c>
    </row>
    <row r="15828" customFormat="false" ht="12.8" hidden="false" customHeight="false" outlineLevel="0" collapsed="false">
      <c r="B15828" s="0" t="s">
        <v>7</v>
      </c>
    </row>
    <row r="15829" customFormat="false" ht="12.8" hidden="false" customHeight="false" outlineLevel="0" collapsed="false">
      <c r="B15829" s="0" t="s">
        <v>662</v>
      </c>
    </row>
    <row r="15831" customFormat="false" ht="12.8" hidden="false" customHeight="false" outlineLevel="0" collapsed="false">
      <c r="A15831" s="0" t="s">
        <v>6113</v>
      </c>
      <c r="B15831" s="0" t="str">
        <f aca="false">HYPERLINK("https://lindat.mff.cuni.cz/services/teitok/pdtc10/index.php?action=vallex&amp;frame=v-w1855hsa_972", "mít (v-w1855hsa_972)")</f>
        <v>mít (v-w1855hsa_972)</v>
      </c>
    </row>
    <row r="15832" customFormat="false" ht="12.8" hidden="false" customHeight="false" outlineLevel="0" collapsed="false">
      <c r="B15832" s="0" t="s">
        <v>7</v>
      </c>
    </row>
    <row r="15833" customFormat="false" ht="12.8" hidden="false" customHeight="false" outlineLevel="0" collapsed="false">
      <c r="B15833" s="0" t="s">
        <v>6114</v>
      </c>
    </row>
    <row r="15835" customFormat="false" ht="12.8" hidden="false" customHeight="false" outlineLevel="0" collapsed="false">
      <c r="A15835" s="0" t="s">
        <v>6115</v>
      </c>
      <c r="B15835" s="0" t="str">
        <f aca="false">HYPERLINK("https://lindat.mff.cuni.cz/services/teitok/pdtc10/index.php?action=vallex&amp;frame=v-w1856f2", "mít se (v-w1856f2)")</f>
        <v>mít se (v-w1856f2)</v>
      </c>
    </row>
    <row r="15836" customFormat="false" ht="12.8" hidden="false" customHeight="false" outlineLevel="0" collapsed="false">
      <c r="B15836" s="0" t="s">
        <v>7</v>
      </c>
    </row>
    <row r="15837" customFormat="false" ht="12.8" hidden="false" customHeight="false" outlineLevel="0" collapsed="false">
      <c r="B15837" s="0" t="s">
        <v>237</v>
      </c>
    </row>
    <row r="15839" customFormat="false" ht="12.8" hidden="false" customHeight="false" outlineLevel="0" collapsed="false">
      <c r="A15839" s="0" t="s">
        <v>6116</v>
      </c>
      <c r="B15839" s="0" t="str">
        <f aca="false">HYPERLINK("https://lindat.mff.cuni.cz/services/teitok/pdtc10/index.php?action=vallex&amp;frame=v-w1856f1", "mít se (v-w1856f1)")</f>
        <v>mít se (v-w1856f1)</v>
      </c>
    </row>
    <row r="15840" customFormat="false" ht="12.8" hidden="false" customHeight="false" outlineLevel="0" collapsed="false">
      <c r="B15840" s="0" t="s">
        <v>7</v>
      </c>
      <c r="C15840" s="0" t="s">
        <v>6117</v>
      </c>
      <c r="D15840" s="0" t="s">
        <v>749</v>
      </c>
      <c r="E15840" s="0" t="s">
        <v>749</v>
      </c>
      <c r="F15840" s="0" t="s">
        <v>749</v>
      </c>
    </row>
    <row r="15842" customFormat="false" ht="12.8" hidden="false" customHeight="false" outlineLevel="0" collapsed="false">
      <c r="A15842" s="0" t="s">
        <v>6118</v>
      </c>
      <c r="B15842" s="0" t="str">
        <f aca="false">HYPERLINK("https://lindat.mff.cuni.cz/services/teitok/pdtc10/index.php?action=vallex&amp;frame=v-w1856f4_ZU", "mít se (v-w1856f4_ZU)")</f>
        <v>mít se (v-w1856f4_ZU)</v>
      </c>
    </row>
    <row r="15843" customFormat="false" ht="12.8" hidden="false" customHeight="false" outlineLevel="0" collapsed="false">
      <c r="B15843" s="0" t="s">
        <v>7</v>
      </c>
      <c r="D15843" s="0" t="s">
        <v>108</v>
      </c>
      <c r="E15843" s="0" t="s">
        <v>108</v>
      </c>
      <c r="F15843" s="0" t="s">
        <v>108</v>
      </c>
    </row>
    <row r="15844" customFormat="false" ht="12.8" hidden="false" customHeight="false" outlineLevel="0" collapsed="false">
      <c r="B15844" s="0" t="s">
        <v>6119</v>
      </c>
    </row>
    <row r="15845" customFormat="false" ht="12.8" hidden="false" customHeight="false" outlineLevel="0" collapsed="false">
      <c r="B15845" s="0" t="s">
        <v>6120</v>
      </c>
      <c r="D15845" s="0" t="s">
        <v>3096</v>
      </c>
      <c r="E15845" s="0" t="s">
        <v>3096</v>
      </c>
      <c r="F15845" s="0" t="s">
        <v>3096</v>
      </c>
    </row>
    <row r="15847" customFormat="false" ht="12.8" hidden="false" customHeight="false" outlineLevel="0" collapsed="false">
      <c r="A15847" s="0" t="s">
        <v>6121</v>
      </c>
      <c r="B15847" s="0" t="str">
        <f aca="false">HYPERLINK("https://lindat.mff.cuni.cz/services/teitok/pdtc10/index.php?action=vallex&amp;frame=v-w1856f3", "mít se (v-w1856f3)")</f>
        <v>mít se (v-w1856f3)</v>
      </c>
    </row>
    <row r="15848" customFormat="false" ht="12.8" hidden="false" customHeight="false" outlineLevel="0" collapsed="false">
      <c r="B15848" s="0" t="s">
        <v>7</v>
      </c>
    </row>
    <row r="15849" customFormat="false" ht="12.8" hidden="false" customHeight="false" outlineLevel="0" collapsed="false">
      <c r="B15849" s="0" t="s">
        <v>6122</v>
      </c>
    </row>
    <row r="15851" customFormat="false" ht="12.8" hidden="false" customHeight="false" outlineLevel="0" collapsed="false">
      <c r="A15851" s="0" t="s">
        <v>6123</v>
      </c>
      <c r="B15851" s="0" t="str">
        <f aca="false">HYPERLINK("https://lindat.mff.cuni.cz/services/teitok/pdtc10/index.php?action=vallex&amp;frame=v-w1856f5_ZU", "mít se (v-w1856f5_ZU)")</f>
        <v>mít se (v-w1856f5_ZU)</v>
      </c>
    </row>
    <row r="15852" customFormat="false" ht="12.8" hidden="false" customHeight="false" outlineLevel="0" collapsed="false">
      <c r="B15852" s="0" t="s">
        <v>6124</v>
      </c>
    </row>
    <row r="15853" customFormat="false" ht="12.8" hidden="false" customHeight="false" outlineLevel="0" collapsed="false">
      <c r="B15853" s="0" t="s">
        <v>1193</v>
      </c>
    </row>
    <row r="15855" customFormat="false" ht="12.8" hidden="false" customHeight="false" outlineLevel="0" collapsed="false">
      <c r="A15855" s="0" t="s">
        <v>6125</v>
      </c>
      <c r="B15855" s="0" t="str">
        <f aca="false">HYPERLINK("https://lindat.mff.cuni.cz/services/teitok/pdtc10/index.php?action=vallex&amp;frame=v-w1856hsa_792", "mít se (v-w1856hsa_792)")</f>
        <v>mít se (v-w1856hsa_792)</v>
      </c>
    </row>
    <row r="15856" customFormat="false" ht="12.8" hidden="false" customHeight="false" outlineLevel="0" collapsed="false">
      <c r="B15856" s="0" t="s">
        <v>7</v>
      </c>
    </row>
    <row r="15857" customFormat="false" ht="12.8" hidden="false" customHeight="false" outlineLevel="0" collapsed="false">
      <c r="B15857" s="0" t="s">
        <v>548</v>
      </c>
    </row>
    <row r="15859" customFormat="false" ht="12.8" hidden="false" customHeight="false" outlineLevel="0" collapsed="false">
      <c r="A15859" s="0" t="s">
        <v>6126</v>
      </c>
      <c r="B15859" s="0" t="str">
        <f aca="false">HYPERLINK("https://lindat.mff.cuni.cz/services/teitok/pdtc10/index.php?action=vallex&amp;frame=v-w1856hsa_793", "mít se (v-w1856hsa_793)")</f>
        <v>mít se (v-w1856hsa_793)</v>
      </c>
    </row>
    <row r="15860" customFormat="false" ht="12.8" hidden="false" customHeight="false" outlineLevel="0" collapsed="false">
      <c r="B15860" s="0" t="s">
        <v>7</v>
      </c>
    </row>
    <row r="15861" customFormat="false" ht="12.8" hidden="false" customHeight="false" outlineLevel="0" collapsed="false">
      <c r="B15861" s="0" t="s">
        <v>6127</v>
      </c>
    </row>
    <row r="15862" customFormat="false" ht="12.8" hidden="false" customHeight="false" outlineLevel="0" collapsed="false">
      <c r="B15862" s="0" t="s">
        <v>548</v>
      </c>
    </row>
    <row r="15864" customFormat="false" ht="12.8" hidden="false" customHeight="false" outlineLevel="0" collapsed="false">
      <c r="A15864" s="0" t="s">
        <v>6128</v>
      </c>
      <c r="B15864" s="0" t="str">
        <f aca="false">HYPERLINK("https://lindat.mff.cuni.cz/services/teitok/pdtc10/index.php?action=vallex&amp;frame=v-w1857f2", "mívat (v-w1857f2)")</f>
        <v>mívat (v-w1857f2)</v>
      </c>
    </row>
    <row r="15865" customFormat="false" ht="12.8" hidden="false" customHeight="false" outlineLevel="0" collapsed="false">
      <c r="B15865" s="0" t="s">
        <v>7</v>
      </c>
      <c r="C15865" s="0" t="s">
        <v>1286</v>
      </c>
    </row>
    <row r="15866" customFormat="false" ht="12.8" hidden="false" customHeight="false" outlineLevel="0" collapsed="false">
      <c r="B15866" s="0" t="s">
        <v>14</v>
      </c>
      <c r="C15866" s="0" t="s">
        <v>1288</v>
      </c>
    </row>
    <row r="15868" customFormat="false" ht="12.8" hidden="false" customHeight="false" outlineLevel="0" collapsed="false">
      <c r="A15868" s="0" t="s">
        <v>6129</v>
      </c>
      <c r="B15868" s="0" t="str">
        <f aca="false">HYPERLINK("https://lindat.mff.cuni.cz/services/teitok/pdtc10/index.php?action=vallex&amp;frame=v-w1857f24_ZU", "mívat (v-w1857f24_ZU)")</f>
        <v>mívat (v-w1857f24_ZU)</v>
      </c>
    </row>
    <row r="15869" customFormat="false" ht="12.8" hidden="false" customHeight="false" outlineLevel="0" collapsed="false">
      <c r="B15869" s="0" t="s">
        <v>7</v>
      </c>
    </row>
    <row r="15870" customFormat="false" ht="12.8" hidden="false" customHeight="false" outlineLevel="0" collapsed="false">
      <c r="B15870" s="0" t="s">
        <v>14</v>
      </c>
    </row>
    <row r="15872" customFormat="false" ht="12.8" hidden="false" customHeight="false" outlineLevel="0" collapsed="false">
      <c r="A15872" s="0" t="s">
        <v>6129</v>
      </c>
      <c r="B15872" s="0" t="str">
        <f aca="false">HYPERLINK("https://lindat.mff.cuni.cz/services/teitok/pdtc10/index.php?action=vallex&amp;frame=v-w1857f3", "mívat (v-w1857f3) - substituted with v-w1857f24_ZU")</f>
        <v>mívat (v-w1857f3) - substituted with v-w1857f24_ZU</v>
      </c>
    </row>
    <row r="15873" customFormat="false" ht="12.8" hidden="false" customHeight="false" outlineLevel="0" collapsed="false">
      <c r="B15873" s="0" t="s">
        <v>7</v>
      </c>
    </row>
    <row r="15874" customFormat="false" ht="12.8" hidden="false" customHeight="false" outlineLevel="0" collapsed="false">
      <c r="B15874" s="0" t="s">
        <v>14</v>
      </c>
    </row>
    <row r="15876" customFormat="false" ht="12.8" hidden="false" customHeight="false" outlineLevel="0" collapsed="false">
      <c r="A15876" s="0" t="s">
        <v>6130</v>
      </c>
      <c r="B15876" s="0" t="str">
        <f aca="false">HYPERLINK("https://lindat.mff.cuni.cz/services/teitok/pdtc10/index.php?action=vallex&amp;frame=v-w1857f9", "mívat (v-w1857f9)")</f>
        <v>mívat (v-w1857f9)</v>
      </c>
    </row>
    <row r="15877" customFormat="false" ht="12.8" hidden="false" customHeight="false" outlineLevel="0" collapsed="false">
      <c r="B15877" s="0" t="s">
        <v>5651</v>
      </c>
    </row>
    <row r="15878" customFormat="false" ht="12.8" hidden="false" customHeight="false" outlineLevel="0" collapsed="false">
      <c r="B15878" s="0" t="s">
        <v>5653</v>
      </c>
    </row>
    <row r="15880" customFormat="false" ht="12.8" hidden="false" customHeight="false" outlineLevel="0" collapsed="false">
      <c r="A15880" s="0" t="s">
        <v>6131</v>
      </c>
      <c r="B15880" s="0" t="str">
        <f aca="false">HYPERLINK("https://lindat.mff.cuni.cz/services/teitok/pdtc10/index.php?action=vallex&amp;frame=v-w1857f19_ZU", "mívat (v-w1857f19_ZU)")</f>
        <v>mívat (v-w1857f19_ZU)</v>
      </c>
    </row>
    <row r="15881" customFormat="false" ht="12.8" hidden="false" customHeight="false" outlineLevel="0" collapsed="false">
      <c r="B15881" s="0" t="s">
        <v>7</v>
      </c>
      <c r="C15881" s="0" t="s">
        <v>1067</v>
      </c>
    </row>
    <row r="15882" customFormat="false" ht="12.8" hidden="false" customHeight="false" outlineLevel="0" collapsed="false">
      <c r="B15882" s="0" t="s">
        <v>6132</v>
      </c>
      <c r="C15882" s="0" t="s">
        <v>6133</v>
      </c>
    </row>
    <row r="15884" customFormat="false" ht="12.8" hidden="false" customHeight="false" outlineLevel="0" collapsed="false">
      <c r="A15884" s="0" t="s">
        <v>6131</v>
      </c>
      <c r="B15884" s="0" t="str">
        <f aca="false">HYPERLINK("https://lindat.mff.cuni.cz/services/teitok/pdtc10/index.php?action=vallex&amp;frame=v-w1857f8", "mívat (v-w1857f8) - substituted with v-w1857f19_ZU")</f>
        <v>mívat (v-w1857f8) - substituted with v-w1857f19_ZU</v>
      </c>
    </row>
    <row r="15885" customFormat="false" ht="12.8" hidden="false" customHeight="false" outlineLevel="0" collapsed="false">
      <c r="B15885" s="0" t="s">
        <v>7</v>
      </c>
    </row>
    <row r="15886" customFormat="false" ht="12.8" hidden="false" customHeight="false" outlineLevel="0" collapsed="false">
      <c r="B15886" s="0" t="s">
        <v>6132</v>
      </c>
    </row>
    <row r="15888" customFormat="false" ht="12.8" hidden="false" customHeight="false" outlineLevel="0" collapsed="false">
      <c r="A15888" s="0" t="s">
        <v>6131</v>
      </c>
      <c r="B15888" s="0" t="str">
        <f aca="false">HYPERLINK("https://lindat.mff.cuni.cz/services/teitok/pdtc10/index.php?action=vallex&amp;frame=v-w1857hsa_498", "mívat (v-w1857hsa_498) - substituted with v-w1857f19_ZU")</f>
        <v>mívat (v-w1857hsa_498) - substituted with v-w1857f19_ZU</v>
      </c>
    </row>
    <row r="15889" customFormat="false" ht="12.8" hidden="false" customHeight="false" outlineLevel="0" collapsed="false">
      <c r="B15889" s="0" t="s">
        <v>7</v>
      </c>
    </row>
    <row r="15890" customFormat="false" ht="12.8" hidden="false" customHeight="false" outlineLevel="0" collapsed="false">
      <c r="B15890" s="0" t="s">
        <v>6132</v>
      </c>
    </row>
    <row r="15892" customFormat="false" ht="12.8" hidden="false" customHeight="false" outlineLevel="0" collapsed="false">
      <c r="A15892" s="0" t="s">
        <v>6134</v>
      </c>
      <c r="B15892" s="0" t="str">
        <f aca="false">HYPERLINK("https://lindat.mff.cuni.cz/services/teitok/pdtc10/index.php?action=vallex&amp;frame=v-w1857f6", "mívat (v-w1857f6)")</f>
        <v>mívat (v-w1857f6)</v>
      </c>
    </row>
    <row r="15893" customFormat="false" ht="12.8" hidden="false" customHeight="false" outlineLevel="0" collapsed="false">
      <c r="B15893" s="0" t="s">
        <v>7</v>
      </c>
    </row>
    <row r="15894" customFormat="false" ht="12.8" hidden="false" customHeight="false" outlineLevel="0" collapsed="false">
      <c r="B15894" s="0" t="s">
        <v>6135</v>
      </c>
    </row>
    <row r="15896" customFormat="false" ht="12.8" hidden="false" customHeight="false" outlineLevel="0" collapsed="false">
      <c r="A15896" s="0" t="s">
        <v>6136</v>
      </c>
      <c r="B15896" s="0" t="str">
        <f aca="false">HYPERLINK("https://lindat.mff.cuni.cz/services/teitok/pdtc10/index.php?action=vallex&amp;frame=v-w1857f15", "mívat (v-w1857f15)")</f>
        <v>mívat (v-w1857f15)</v>
      </c>
    </row>
    <row r="15897" customFormat="false" ht="12.8" hidden="false" customHeight="false" outlineLevel="0" collapsed="false">
      <c r="B15897" s="0" t="s">
        <v>7</v>
      </c>
    </row>
    <row r="15898" customFormat="false" ht="12.8" hidden="false" customHeight="false" outlineLevel="0" collapsed="false">
      <c r="B15898" s="0" t="s">
        <v>6137</v>
      </c>
    </row>
    <row r="15900" customFormat="false" ht="12.8" hidden="false" customHeight="false" outlineLevel="0" collapsed="false">
      <c r="A15900" s="0" t="s">
        <v>6138</v>
      </c>
      <c r="B15900" s="0" t="str">
        <f aca="false">HYPERLINK("https://lindat.mff.cuni.cz/services/teitok/pdtc10/index.php?action=vallex&amp;frame=v-w1857f13", "mívat (v-w1857f13)")</f>
        <v>mívat (v-w1857f13)</v>
      </c>
    </row>
    <row r="15901" customFormat="false" ht="12.8" hidden="false" customHeight="false" outlineLevel="0" collapsed="false">
      <c r="B15901" s="0" t="s">
        <v>7</v>
      </c>
    </row>
    <row r="15902" customFormat="false" ht="12.8" hidden="false" customHeight="false" outlineLevel="0" collapsed="false">
      <c r="B15902" s="0" t="s">
        <v>6139</v>
      </c>
    </row>
    <row r="15904" customFormat="false" ht="12.8" hidden="false" customHeight="false" outlineLevel="0" collapsed="false">
      <c r="A15904" s="0" t="s">
        <v>6140</v>
      </c>
      <c r="B15904" s="0" t="str">
        <f aca="false">HYPERLINK("https://lindat.mff.cuni.cz/services/teitok/pdtc10/index.php?action=vallex&amp;frame=v-w1857f7", "mívat (v-w1857f7)")</f>
        <v>mívat (v-w1857f7)</v>
      </c>
    </row>
    <row r="15905" customFormat="false" ht="12.8" hidden="false" customHeight="false" outlineLevel="0" collapsed="false">
      <c r="B15905" s="0" t="s">
        <v>7</v>
      </c>
    </row>
    <row r="15906" customFormat="false" ht="12.8" hidden="false" customHeight="false" outlineLevel="0" collapsed="false">
      <c r="B15906" s="0" t="s">
        <v>6141</v>
      </c>
    </row>
    <row r="15908" customFormat="false" ht="12.8" hidden="false" customHeight="false" outlineLevel="0" collapsed="false">
      <c r="A15908" s="0" t="s">
        <v>6142</v>
      </c>
      <c r="B15908" s="0" t="str">
        <f aca="false">HYPERLINK("https://lindat.mff.cuni.cz/services/teitok/pdtc10/index.php?action=vallex&amp;frame=v-w1857f11", "mívat (v-w1857f11)")</f>
        <v>mívat (v-w1857f11)</v>
      </c>
    </row>
    <row r="15909" customFormat="false" ht="12.8" hidden="false" customHeight="false" outlineLevel="0" collapsed="false">
      <c r="B15909" s="0" t="s">
        <v>7</v>
      </c>
    </row>
    <row r="15910" customFormat="false" ht="12.8" hidden="false" customHeight="false" outlineLevel="0" collapsed="false">
      <c r="B15910" s="0" t="s">
        <v>6143</v>
      </c>
    </row>
    <row r="15912" customFormat="false" ht="12.8" hidden="false" customHeight="false" outlineLevel="0" collapsed="false">
      <c r="A15912" s="0" t="s">
        <v>6144</v>
      </c>
      <c r="B15912" s="0" t="str">
        <f aca="false">HYPERLINK("https://lindat.mff.cuni.cz/services/teitok/pdtc10/index.php?action=vallex&amp;frame=v-w1857f1", "mívat (v-w1857f1)")</f>
        <v>mívat (v-w1857f1)</v>
      </c>
    </row>
    <row r="15913" customFormat="false" ht="12.8" hidden="false" customHeight="false" outlineLevel="0" collapsed="false">
      <c r="B15913" s="0" t="s">
        <v>7</v>
      </c>
    </row>
    <row r="15914" customFormat="false" ht="12.8" hidden="false" customHeight="false" outlineLevel="0" collapsed="false">
      <c r="B15914" s="0" t="s">
        <v>6145</v>
      </c>
    </row>
    <row r="15916" customFormat="false" ht="12.8" hidden="false" customHeight="false" outlineLevel="0" collapsed="false">
      <c r="A15916" s="0" t="s">
        <v>6146</v>
      </c>
      <c r="B15916" s="0" t="str">
        <f aca="false">HYPERLINK("https://lindat.mff.cuni.cz/services/teitok/pdtc10/index.php?action=vallex&amp;frame=v-w1857f4", "mívat (v-w1857f4)")</f>
        <v>mívat (v-w1857f4)</v>
      </c>
    </row>
    <row r="15917" customFormat="false" ht="12.8" hidden="false" customHeight="false" outlineLevel="0" collapsed="false">
      <c r="B15917" s="0" t="s">
        <v>7</v>
      </c>
    </row>
    <row r="15918" customFormat="false" ht="12.8" hidden="false" customHeight="false" outlineLevel="0" collapsed="false">
      <c r="B15918" s="0" t="s">
        <v>6147</v>
      </c>
    </row>
    <row r="15920" customFormat="false" ht="12.8" hidden="false" customHeight="false" outlineLevel="0" collapsed="false">
      <c r="A15920" s="0" t="s">
        <v>6148</v>
      </c>
      <c r="B15920" s="0" t="str">
        <f aca="false">HYPERLINK("https://lindat.mff.cuni.cz/services/teitok/pdtc10/index.php?action=vallex&amp;frame=v-w1857f12", "mívat (v-w1857f12)")</f>
        <v>mívat (v-w1857f12)</v>
      </c>
    </row>
    <row r="15921" customFormat="false" ht="12.8" hidden="false" customHeight="false" outlineLevel="0" collapsed="false">
      <c r="B15921" s="0" t="s">
        <v>7</v>
      </c>
    </row>
    <row r="15922" customFormat="false" ht="12.8" hidden="false" customHeight="false" outlineLevel="0" collapsed="false">
      <c r="B15922" s="0" t="s">
        <v>6149</v>
      </c>
    </row>
    <row r="15924" customFormat="false" ht="12.8" hidden="false" customHeight="false" outlineLevel="0" collapsed="false">
      <c r="A15924" s="0" t="s">
        <v>6150</v>
      </c>
      <c r="B15924" s="0" t="str">
        <f aca="false">HYPERLINK("https://lindat.mff.cuni.cz/services/teitok/pdtc10/index.php?action=vallex&amp;frame=v-w1857f5", "mívat (v-w1857f5)")</f>
        <v>mívat (v-w1857f5)</v>
      </c>
    </row>
    <row r="15925" customFormat="false" ht="12.8" hidden="false" customHeight="false" outlineLevel="0" collapsed="false">
      <c r="B15925" s="0" t="s">
        <v>7</v>
      </c>
    </row>
    <row r="15926" customFormat="false" ht="12.8" hidden="false" customHeight="false" outlineLevel="0" collapsed="false">
      <c r="B15926" s="0" t="s">
        <v>6151</v>
      </c>
    </row>
    <row r="15928" customFormat="false" ht="12.8" hidden="false" customHeight="false" outlineLevel="0" collapsed="false">
      <c r="A15928" s="0" t="s">
        <v>6152</v>
      </c>
      <c r="B15928" s="0" t="str">
        <f aca="false">HYPERLINK("https://lindat.mff.cuni.cz/services/teitok/pdtc10/index.php?action=vallex&amp;frame=v-w1857f10", "mívat (v-w1857f10)")</f>
        <v>mívat (v-w1857f10)</v>
      </c>
    </row>
    <row r="15929" customFormat="false" ht="12.8" hidden="false" customHeight="false" outlineLevel="0" collapsed="false">
      <c r="B15929" s="0" t="s">
        <v>7</v>
      </c>
    </row>
    <row r="15930" customFormat="false" ht="12.8" hidden="false" customHeight="false" outlineLevel="0" collapsed="false">
      <c r="B15930" s="0" t="s">
        <v>6153</v>
      </c>
    </row>
    <row r="15932" customFormat="false" ht="12.8" hidden="false" customHeight="false" outlineLevel="0" collapsed="false">
      <c r="A15932" s="0" t="s">
        <v>6154</v>
      </c>
      <c r="B15932" s="0" t="str">
        <f aca="false">HYPERLINK("https://lindat.mff.cuni.cz/services/teitok/pdtc10/index.php?action=vallex&amp;frame=v-w1857f14", "mívat (v-w1857f14)")</f>
        <v>mívat (v-w1857f14)</v>
      </c>
    </row>
    <row r="15933" customFormat="false" ht="12.8" hidden="false" customHeight="false" outlineLevel="0" collapsed="false">
      <c r="B15933" s="0" t="s">
        <v>7</v>
      </c>
    </row>
    <row r="15934" customFormat="false" ht="12.8" hidden="false" customHeight="false" outlineLevel="0" collapsed="false">
      <c r="B15934" s="0" t="s">
        <v>6155</v>
      </c>
    </row>
    <row r="15936" customFormat="false" ht="12.8" hidden="false" customHeight="false" outlineLevel="0" collapsed="false">
      <c r="A15936" s="0" t="s">
        <v>6156</v>
      </c>
      <c r="B15936" s="0" t="str">
        <f aca="false">HYPERLINK("https://lindat.mff.cuni.cz/services/teitok/pdtc10/index.php?action=vallex&amp;frame=v-w1857f16", "mívat (v-w1857f16)")</f>
        <v>mívat (v-w1857f16)</v>
      </c>
    </row>
    <row r="15937" customFormat="false" ht="12.8" hidden="false" customHeight="false" outlineLevel="0" collapsed="false">
      <c r="B15937" s="0" t="s">
        <v>7</v>
      </c>
    </row>
    <row r="15938" customFormat="false" ht="12.8" hidden="false" customHeight="false" outlineLevel="0" collapsed="false">
      <c r="B15938" s="0" t="s">
        <v>777</v>
      </c>
    </row>
    <row r="15939" customFormat="false" ht="12.8" hidden="false" customHeight="false" outlineLevel="0" collapsed="false">
      <c r="B15939" s="0" t="s">
        <v>14</v>
      </c>
    </row>
    <row r="15941" customFormat="false" ht="12.8" hidden="false" customHeight="false" outlineLevel="0" collapsed="false">
      <c r="A15941" s="0" t="s">
        <v>6157</v>
      </c>
      <c r="B15941" s="0" t="str">
        <f aca="false">HYPERLINK("https://lindat.mff.cuni.cz/services/teitok/pdtc10/index.php?action=vallex&amp;frame=v-w1857f17", "mívat (v-w1857f17)")</f>
        <v>mívat (v-w1857f17)</v>
      </c>
    </row>
    <row r="15942" customFormat="false" ht="12.8" hidden="false" customHeight="false" outlineLevel="0" collapsed="false">
      <c r="B15942" s="0" t="s">
        <v>7</v>
      </c>
      <c r="D15942" s="0" t="s">
        <v>1874</v>
      </c>
      <c r="E15942" s="0" t="s">
        <v>1874</v>
      </c>
      <c r="F15942" s="0" t="s">
        <v>1874</v>
      </c>
    </row>
    <row r="15943" customFormat="false" ht="12.8" hidden="false" customHeight="false" outlineLevel="0" collapsed="false">
      <c r="B15943" s="0" t="s">
        <v>6127</v>
      </c>
    </row>
    <row r="15944" customFormat="false" ht="12.8" hidden="false" customHeight="false" outlineLevel="0" collapsed="false">
      <c r="B15944" s="0" t="s">
        <v>6158</v>
      </c>
      <c r="D15944" s="0" t="s">
        <v>173</v>
      </c>
      <c r="E15944" s="0" t="s">
        <v>173</v>
      </c>
      <c r="F15944" s="0" t="s">
        <v>173</v>
      </c>
    </row>
    <row r="15946" customFormat="false" ht="12.8" hidden="false" customHeight="false" outlineLevel="0" collapsed="false">
      <c r="A15946" s="0" t="s">
        <v>6159</v>
      </c>
      <c r="B15946" s="0" t="str">
        <f aca="false">HYPERLINK("https://lindat.mff.cuni.cz/services/teitok/pdtc10/index.php?action=vallex&amp;frame=v-w1857f18", "mívat (v-w1857f18)")</f>
        <v>mívat (v-w1857f18)</v>
      </c>
    </row>
    <row r="15947" customFormat="false" ht="12.8" hidden="false" customHeight="false" outlineLevel="0" collapsed="false">
      <c r="B15947" s="0" t="s">
        <v>7</v>
      </c>
      <c r="D15947" s="0" t="s">
        <v>570</v>
      </c>
      <c r="E15947" s="0" t="s">
        <v>570</v>
      </c>
      <c r="F15947" s="0" t="s">
        <v>570</v>
      </c>
    </row>
    <row r="15948" customFormat="false" ht="12.8" hidden="false" customHeight="false" outlineLevel="0" collapsed="false">
      <c r="B15948" s="0" t="s">
        <v>5923</v>
      </c>
    </row>
    <row r="15949" customFormat="false" ht="12.8" hidden="false" customHeight="false" outlineLevel="0" collapsed="false">
      <c r="B15949" s="0" t="s">
        <v>54</v>
      </c>
      <c r="D15949" s="0" t="s">
        <v>5917</v>
      </c>
      <c r="E15949" s="0" t="s">
        <v>5917</v>
      </c>
      <c r="F15949" s="0" t="s">
        <v>5917</v>
      </c>
    </row>
    <row r="15951" customFormat="false" ht="12.8" hidden="false" customHeight="false" outlineLevel="0" collapsed="false">
      <c r="A15951" s="0" t="s">
        <v>6160</v>
      </c>
      <c r="B15951" s="0" t="str">
        <f aca="false">HYPERLINK("https://lindat.mff.cuni.cz/services/teitok/pdtc10/index.php?action=vallex&amp;frame=v-w1857f20_ZU", "mívat (v-w1857f20_ZU)")</f>
        <v>mívat (v-w1857f20_ZU)</v>
      </c>
    </row>
    <row r="15952" customFormat="false" ht="12.8" hidden="false" customHeight="false" outlineLevel="0" collapsed="false">
      <c r="B15952" s="0" t="s">
        <v>7</v>
      </c>
    </row>
    <row r="15953" customFormat="false" ht="12.8" hidden="false" customHeight="false" outlineLevel="0" collapsed="false">
      <c r="B15953" s="0" t="s">
        <v>14</v>
      </c>
    </row>
    <row r="15955" customFormat="false" ht="12.8" hidden="false" customHeight="false" outlineLevel="0" collapsed="false">
      <c r="A15955" s="0" t="s">
        <v>6161</v>
      </c>
      <c r="B15955" s="0" t="str">
        <f aca="false">HYPERLINK("https://lindat.mff.cuni.cz/services/teitok/pdtc10/index.php?action=vallex&amp;frame=v-w1857f22_ZU", "mívat (v-w1857f22_ZU)")</f>
        <v>mívat (v-w1857f22_ZU)</v>
      </c>
    </row>
    <row r="15956" customFormat="false" ht="12.8" hidden="false" customHeight="false" outlineLevel="0" collapsed="false">
      <c r="B15956" s="0" t="s">
        <v>5824</v>
      </c>
    </row>
    <row r="15957" customFormat="false" ht="12.8" hidden="false" customHeight="false" outlineLevel="0" collapsed="false">
      <c r="B15957" s="0" t="s">
        <v>5824</v>
      </c>
    </row>
    <row r="15958" customFormat="false" ht="12.8" hidden="false" customHeight="false" outlineLevel="0" collapsed="false">
      <c r="B15958" s="0" t="s">
        <v>14</v>
      </c>
    </row>
    <row r="15959" customFormat="false" ht="12.8" hidden="false" customHeight="false" outlineLevel="0" collapsed="false">
      <c r="B15959" s="0" t="s">
        <v>6162</v>
      </c>
    </row>
    <row r="15961" customFormat="false" ht="12.8" hidden="false" customHeight="false" outlineLevel="0" collapsed="false">
      <c r="A15961" s="0" t="s">
        <v>6161</v>
      </c>
      <c r="B15961" s="0" t="str">
        <f aca="false">HYPERLINK("https://lindat.mff.cuni.cz/services/teitok/pdtc10/index.php?action=vallex&amp;frame=v-w1857f21_ZU", "mívat (v-w1857f21_ZU) - substituted with v-w1857f22_ZU")</f>
        <v>mívat (v-w1857f21_ZU) - substituted with v-w1857f22_ZU</v>
      </c>
    </row>
    <row r="15962" customFormat="false" ht="12.8" hidden="false" customHeight="false" outlineLevel="0" collapsed="false">
      <c r="B15962" s="0" t="s">
        <v>5824</v>
      </c>
    </row>
    <row r="15963" customFormat="false" ht="12.8" hidden="false" customHeight="false" outlineLevel="0" collapsed="false">
      <c r="B15963" s="0" t="s">
        <v>5824</v>
      </c>
    </row>
    <row r="15964" customFormat="false" ht="12.8" hidden="false" customHeight="false" outlineLevel="0" collapsed="false">
      <c r="B15964" s="0" t="s">
        <v>14</v>
      </c>
    </row>
    <row r="15965" customFormat="false" ht="12.8" hidden="false" customHeight="false" outlineLevel="0" collapsed="false">
      <c r="B15965" s="0" t="s">
        <v>6162</v>
      </c>
    </row>
    <row r="15967" customFormat="false" ht="12.8" hidden="false" customHeight="false" outlineLevel="0" collapsed="false">
      <c r="A15967" s="0" t="s">
        <v>6163</v>
      </c>
      <c r="B15967" s="0" t="str">
        <f aca="false">HYPERLINK("https://lindat.mff.cuni.cz/services/teitok/pdtc10/index.php?action=vallex&amp;frame=v-w1857f23_ZU", "mívat (v-w1857f23_ZU)")</f>
        <v>mívat (v-w1857f23_ZU)</v>
      </c>
    </row>
    <row r="15968" customFormat="false" ht="12.8" hidden="false" customHeight="false" outlineLevel="0" collapsed="false">
      <c r="B15968" s="0" t="s">
        <v>7</v>
      </c>
    </row>
    <row r="15969" customFormat="false" ht="12.8" hidden="false" customHeight="false" outlineLevel="0" collapsed="false">
      <c r="B15969" s="0" t="s">
        <v>6164</v>
      </c>
    </row>
    <row r="15971" customFormat="false" ht="12.8" hidden="false" customHeight="false" outlineLevel="0" collapsed="false">
      <c r="A15971" s="0" t="s">
        <v>6165</v>
      </c>
      <c r="B15971" s="0" t="str">
        <f aca="false">HYPERLINK("https://lindat.mff.cuni.cz/services/teitok/pdtc10/index.php?action=vallex&amp;frame=v-w1857f25_ZU", "mívat (v-w1857f25_ZU)")</f>
        <v>mívat (v-w1857f25_ZU)</v>
      </c>
    </row>
    <row r="15972" customFormat="false" ht="12.8" hidden="false" customHeight="false" outlineLevel="0" collapsed="false">
      <c r="B15972" s="0" t="s">
        <v>7</v>
      </c>
    </row>
    <row r="15973" customFormat="false" ht="12.8" hidden="false" customHeight="false" outlineLevel="0" collapsed="false">
      <c r="B15973" s="0" t="s">
        <v>14</v>
      </c>
    </row>
    <row r="15974" customFormat="false" ht="12.8" hidden="false" customHeight="false" outlineLevel="0" collapsed="false">
      <c r="B15974" s="0" t="s">
        <v>1349</v>
      </c>
    </row>
    <row r="15976" customFormat="false" ht="12.8" hidden="false" customHeight="false" outlineLevel="0" collapsed="false">
      <c r="A15976" s="0" t="s">
        <v>6165</v>
      </c>
      <c r="B15976" s="0" t="str">
        <f aca="false">HYPERLINK("https://lindat.mff.cuni.cz/services/teitok/pdtc10/index.php?action=vallex&amp;frame=v-w1857hsa_429", "mívat (v-w1857hsa_429) - substituted with v-w1857f25_ZU")</f>
        <v>mívat (v-w1857hsa_429) - substituted with v-w1857f25_ZU</v>
      </c>
    </row>
    <row r="15977" customFormat="false" ht="12.8" hidden="false" customHeight="false" outlineLevel="0" collapsed="false">
      <c r="B15977" s="0" t="s">
        <v>7</v>
      </c>
    </row>
    <row r="15978" customFormat="false" ht="12.8" hidden="false" customHeight="false" outlineLevel="0" collapsed="false">
      <c r="B15978" s="0" t="s">
        <v>14</v>
      </c>
    </row>
    <row r="15979" customFormat="false" ht="12.8" hidden="false" customHeight="false" outlineLevel="0" collapsed="false">
      <c r="B15979" s="0" t="s">
        <v>1349</v>
      </c>
    </row>
    <row r="15981" customFormat="false" ht="12.8" hidden="false" customHeight="false" outlineLevel="0" collapsed="false">
      <c r="A15981" s="0" t="s">
        <v>6166</v>
      </c>
      <c r="B15981" s="0" t="str">
        <f aca="false">HYPERLINK("https://lindat.mff.cuni.cz/services/teitok/pdtc10/index.php?action=vallex&amp;frame=v-w1847f4", "mířit (v-w1847f4)")</f>
        <v>mířit (v-w1847f4)</v>
      </c>
    </row>
    <row r="15982" customFormat="false" ht="12.8" hidden="false" customHeight="false" outlineLevel="0" collapsed="false">
      <c r="B15982" s="0" t="s">
        <v>7</v>
      </c>
    </row>
    <row r="15983" customFormat="false" ht="12.8" hidden="false" customHeight="false" outlineLevel="0" collapsed="false">
      <c r="B15983" s="0" t="s">
        <v>14</v>
      </c>
    </row>
    <row r="15984" customFormat="false" ht="12.8" hidden="false" customHeight="false" outlineLevel="0" collapsed="false">
      <c r="B15984" s="0" t="s">
        <v>124</v>
      </c>
    </row>
    <row r="15986" customFormat="false" ht="12.8" hidden="false" customHeight="false" outlineLevel="0" collapsed="false">
      <c r="A15986" s="0" t="s">
        <v>6167</v>
      </c>
      <c r="B15986" s="0" t="str">
        <f aca="false">HYPERLINK("https://lindat.mff.cuni.cz/services/teitok/pdtc10/index.php?action=vallex&amp;frame=v-w1847f3", "mířit (v-w1847f3)")</f>
        <v>mířit (v-w1847f3)</v>
      </c>
    </row>
    <row r="15987" customFormat="false" ht="12.8" hidden="false" customHeight="false" outlineLevel="0" collapsed="false">
      <c r="B15987" s="0" t="s">
        <v>7</v>
      </c>
      <c r="C15987" s="0" t="s">
        <v>358</v>
      </c>
      <c r="D15987" s="0" t="s">
        <v>4198</v>
      </c>
      <c r="E15987" s="0" t="s">
        <v>4198</v>
      </c>
      <c r="F15987" s="0" t="s">
        <v>4198</v>
      </c>
    </row>
    <row r="15988" customFormat="false" ht="12.8" hidden="false" customHeight="false" outlineLevel="0" collapsed="false">
      <c r="B15988" s="0" t="s">
        <v>237</v>
      </c>
      <c r="D15988" s="0" t="s">
        <v>4200</v>
      </c>
      <c r="E15988" s="0" t="s">
        <v>4200</v>
      </c>
      <c r="F15988" s="0" t="s">
        <v>4200</v>
      </c>
    </row>
    <row r="15990" customFormat="false" ht="12.8" hidden="false" customHeight="false" outlineLevel="0" collapsed="false">
      <c r="A15990" s="0" t="s">
        <v>6168</v>
      </c>
      <c r="B15990" s="0" t="str">
        <f aca="false">HYPERLINK("https://lindat.mff.cuni.cz/services/teitok/pdtc10/index.php?action=vallex&amp;frame=v-w1847f1", "mířit (v-w1847f1)")</f>
        <v>mířit (v-w1847f1)</v>
      </c>
    </row>
    <row r="15991" customFormat="false" ht="12.8" hidden="false" customHeight="false" outlineLevel="0" collapsed="false">
      <c r="B15991" s="0" t="s">
        <v>7</v>
      </c>
      <c r="C15991" s="0" t="s">
        <v>6169</v>
      </c>
      <c r="D15991" s="0" t="s">
        <v>6170</v>
      </c>
      <c r="E15991" s="0" t="s">
        <v>6170</v>
      </c>
      <c r="F15991" s="0" t="s">
        <v>6170</v>
      </c>
    </row>
    <row r="15992" customFormat="false" ht="12.8" hidden="false" customHeight="false" outlineLevel="0" collapsed="false">
      <c r="B15992" s="0" t="s">
        <v>124</v>
      </c>
      <c r="C15992" s="0" t="s">
        <v>6171</v>
      </c>
      <c r="D15992" s="0" t="s">
        <v>2238</v>
      </c>
      <c r="E15992" s="0" t="s">
        <v>2238</v>
      </c>
      <c r="F15992" s="0" t="s">
        <v>2238</v>
      </c>
    </row>
    <row r="15994" customFormat="false" ht="12.8" hidden="false" customHeight="false" outlineLevel="0" collapsed="false">
      <c r="A15994" s="0" t="s">
        <v>6172</v>
      </c>
      <c r="B15994" s="0" t="str">
        <f aca="false">HYPERLINK("https://lindat.mff.cuni.cz/services/teitok/pdtc10/index.php?action=vallex&amp;frame=v-w1847f2", "mířit (v-w1847f2)")</f>
        <v>mířit (v-w1847f2)</v>
      </c>
    </row>
    <row r="15995" customFormat="false" ht="12.8" hidden="false" customHeight="false" outlineLevel="0" collapsed="false">
      <c r="B15995" s="0" t="s">
        <v>7</v>
      </c>
      <c r="C15995" s="0" t="s">
        <v>6173</v>
      </c>
      <c r="D15995" s="0" t="s">
        <v>46</v>
      </c>
      <c r="E15995" s="0" t="s">
        <v>46</v>
      </c>
      <c r="F15995" s="0" t="s">
        <v>46</v>
      </c>
    </row>
    <row r="15996" customFormat="false" ht="12.8" hidden="false" customHeight="false" outlineLevel="0" collapsed="false">
      <c r="B15996" s="0" t="s">
        <v>124</v>
      </c>
      <c r="C15996" s="0" t="s">
        <v>6174</v>
      </c>
    </row>
    <row r="15998" customFormat="false" ht="12.8" hidden="false" customHeight="false" outlineLevel="0" collapsed="false">
      <c r="A15998" s="0" t="s">
        <v>6175</v>
      </c>
      <c r="B15998" s="0" t="str">
        <f aca="false">HYPERLINK("https://lindat.mff.cuni.cz/services/teitok/pdtc10/index.php?action=vallex&amp;frame=v-w1847f5_ZU", "mířit (v-w1847f5_ZU)")</f>
        <v>mířit (v-w1847f5_ZU)</v>
      </c>
    </row>
    <row r="15999" customFormat="false" ht="12.8" hidden="false" customHeight="false" outlineLevel="0" collapsed="false">
      <c r="B15999" s="0" t="s">
        <v>7</v>
      </c>
      <c r="C15999" s="0" t="s">
        <v>1142</v>
      </c>
      <c r="D15999" s="0" t="s">
        <v>4208</v>
      </c>
      <c r="E15999" s="0" t="s">
        <v>4208</v>
      </c>
      <c r="F15999" s="0" t="s">
        <v>4208</v>
      </c>
    </row>
    <row r="16000" customFormat="false" ht="12.8" hidden="false" customHeight="false" outlineLevel="0" collapsed="false">
      <c r="B16000" s="0" t="s">
        <v>279</v>
      </c>
    </row>
    <row r="16002" customFormat="false" ht="12.8" hidden="false" customHeight="false" outlineLevel="0" collapsed="false">
      <c r="A16002" s="0" t="s">
        <v>6176</v>
      </c>
      <c r="B16002" s="0" t="str">
        <f aca="false">HYPERLINK("https://lindat.mff.cuni.cz/services/teitok/pdtc10/index.php?action=vallex&amp;frame=v-w1915f1", "mýlit (v-w1915f1)")</f>
        <v>mýlit (v-w1915f1)</v>
      </c>
    </row>
    <row r="16003" customFormat="false" ht="12.8" hidden="false" customHeight="false" outlineLevel="0" collapsed="false">
      <c r="B16003" s="0" t="s">
        <v>7</v>
      </c>
      <c r="E16003" s="0" t="s">
        <v>4342</v>
      </c>
      <c r="F16003" s="0" t="s">
        <v>4342</v>
      </c>
    </row>
    <row r="16004" customFormat="false" ht="12.8" hidden="false" customHeight="false" outlineLevel="0" collapsed="false">
      <c r="B16004" s="0" t="s">
        <v>14</v>
      </c>
      <c r="E16004" s="0" t="s">
        <v>4586</v>
      </c>
      <c r="F16004" s="0" t="s">
        <v>4586</v>
      </c>
    </row>
    <row r="16006" customFormat="false" ht="12.8" hidden="false" customHeight="false" outlineLevel="0" collapsed="false">
      <c r="A16006" s="0" t="s">
        <v>6177</v>
      </c>
      <c r="B16006" s="0" t="str">
        <f aca="false">HYPERLINK("https://lindat.mff.cuni.cz/services/teitok/pdtc10/index.php?action=vallex&amp;frame=v-w1916f1", "mýlit se (v-w1916f1)")</f>
        <v>mýlit se (v-w1916f1)</v>
      </c>
    </row>
    <row r="16007" customFormat="false" ht="12.8" hidden="false" customHeight="false" outlineLevel="0" collapsed="false">
      <c r="B16007" s="0" t="s">
        <v>7</v>
      </c>
      <c r="C16007" s="0" t="s">
        <v>6178</v>
      </c>
      <c r="D16007" s="0" t="s">
        <v>113</v>
      </c>
      <c r="E16007" s="0" t="s">
        <v>113</v>
      </c>
      <c r="F16007" s="0" t="s">
        <v>113</v>
      </c>
    </row>
    <row r="16009" customFormat="false" ht="12.8" hidden="false" customHeight="false" outlineLevel="0" collapsed="false">
      <c r="A16009" s="0" t="s">
        <v>6179</v>
      </c>
      <c r="B16009" s="0" t="str">
        <f aca="false">HYPERLINK("https://lindat.mff.cuni.cz/services/teitok/pdtc10/index.php?action=vallex&amp;frame=v-w1923f1", "mýt (v-w1923f1)")</f>
        <v>mýt (v-w1923f1)</v>
      </c>
    </row>
    <row r="16010" customFormat="false" ht="12.8" hidden="false" customHeight="false" outlineLevel="0" collapsed="false">
      <c r="B16010" s="0" t="s">
        <v>7</v>
      </c>
      <c r="C16010" s="0" t="s">
        <v>46</v>
      </c>
      <c r="D16010" s="0" t="s">
        <v>108</v>
      </c>
      <c r="E16010" s="0" t="s">
        <v>108</v>
      </c>
      <c r="F16010" s="0" t="s">
        <v>108</v>
      </c>
    </row>
    <row r="16011" customFormat="false" ht="12.8" hidden="false" customHeight="false" outlineLevel="0" collapsed="false">
      <c r="B16011" s="0" t="s">
        <v>14</v>
      </c>
      <c r="C16011" s="0" t="s">
        <v>567</v>
      </c>
      <c r="D16011" s="0" t="s">
        <v>6180</v>
      </c>
      <c r="E16011" s="0" t="s">
        <v>6180</v>
      </c>
      <c r="F16011" s="0" t="s">
        <v>6180</v>
      </c>
    </row>
    <row r="16013" customFormat="false" ht="12.8" hidden="false" customHeight="false" outlineLevel="0" collapsed="false">
      <c r="A16013" s="0" t="s">
        <v>6181</v>
      </c>
      <c r="B16013" s="0" t="str">
        <f aca="false">HYPERLINK("https://lindat.mff.cuni.cz/services/teitok/pdtc10/index.php?action=vallex&amp;frame=v-w1814f3", "měnit (v-w1814f3)")</f>
        <v>měnit (v-w1814f3)</v>
      </c>
    </row>
    <row r="16014" customFormat="false" ht="12.8" hidden="false" customHeight="false" outlineLevel="0" collapsed="false">
      <c r="B16014" s="0" t="s">
        <v>7</v>
      </c>
      <c r="C16014" s="0" t="s">
        <v>1637</v>
      </c>
      <c r="D16014" s="0" t="s">
        <v>6182</v>
      </c>
      <c r="E16014" s="0" t="s">
        <v>6182</v>
      </c>
      <c r="F16014" s="0" t="s">
        <v>6182</v>
      </c>
    </row>
    <row r="16015" customFormat="false" ht="12.8" hidden="false" customHeight="false" outlineLevel="0" collapsed="false">
      <c r="B16015" s="0" t="s">
        <v>14</v>
      </c>
      <c r="C16015" s="0" t="s">
        <v>6183</v>
      </c>
      <c r="D16015" s="0" t="s">
        <v>6184</v>
      </c>
      <c r="E16015" s="0" t="s">
        <v>6184</v>
      </c>
      <c r="F16015" s="0" t="s">
        <v>6184</v>
      </c>
    </row>
    <row r="16016" customFormat="false" ht="12.8" hidden="false" customHeight="false" outlineLevel="0" collapsed="false">
      <c r="B16016" s="0" t="s">
        <v>2767</v>
      </c>
      <c r="D16016" s="0" t="s">
        <v>6185</v>
      </c>
      <c r="E16016" s="0" t="s">
        <v>6185</v>
      </c>
      <c r="F16016" s="0" t="s">
        <v>6185</v>
      </c>
    </row>
    <row r="16017" customFormat="false" ht="12.8" hidden="false" customHeight="false" outlineLevel="0" collapsed="false">
      <c r="B16017" s="0" t="s">
        <v>550</v>
      </c>
      <c r="C16017" s="0" t="s">
        <v>6186</v>
      </c>
      <c r="D16017" s="0" t="s">
        <v>6187</v>
      </c>
      <c r="E16017" s="0" t="s">
        <v>6187</v>
      </c>
      <c r="F16017" s="0" t="s">
        <v>6187</v>
      </c>
    </row>
    <row r="16019" customFormat="false" ht="12.8" hidden="false" customHeight="false" outlineLevel="0" collapsed="false">
      <c r="A16019" s="0" t="s">
        <v>6188</v>
      </c>
      <c r="B16019" s="0" t="str">
        <f aca="false">HYPERLINK("https://lindat.mff.cuni.cz/services/teitok/pdtc10/index.php?action=vallex&amp;frame=v-w1814f1", "měnit (v-w1814f1)")</f>
        <v>měnit (v-w1814f1)</v>
      </c>
    </row>
    <row r="16020" customFormat="false" ht="12.8" hidden="false" customHeight="false" outlineLevel="0" collapsed="false">
      <c r="B16020" s="0" t="s">
        <v>7</v>
      </c>
      <c r="C16020" s="0" t="s">
        <v>6189</v>
      </c>
      <c r="D16020" s="0" t="s">
        <v>32</v>
      </c>
      <c r="E16020" s="0" t="s">
        <v>32</v>
      </c>
      <c r="F16020" s="0" t="s">
        <v>32</v>
      </c>
    </row>
    <row r="16021" customFormat="false" ht="12.8" hidden="false" customHeight="false" outlineLevel="0" collapsed="false">
      <c r="B16021" s="0" t="s">
        <v>14</v>
      </c>
      <c r="C16021" s="0" t="s">
        <v>6190</v>
      </c>
      <c r="D16021" s="0" t="s">
        <v>34</v>
      </c>
      <c r="E16021" s="0" t="s">
        <v>34</v>
      </c>
      <c r="F16021" s="0" t="s">
        <v>34</v>
      </c>
    </row>
    <row r="16022" customFormat="false" ht="12.8" hidden="false" customHeight="false" outlineLevel="0" collapsed="false">
      <c r="B16022" s="0" t="s">
        <v>35</v>
      </c>
      <c r="C16022" s="0" t="s">
        <v>6191</v>
      </c>
      <c r="D16022" s="0" t="s">
        <v>36</v>
      </c>
      <c r="E16022" s="0" t="s">
        <v>36</v>
      </c>
      <c r="F16022" s="0" t="s">
        <v>36</v>
      </c>
    </row>
    <row r="16023" customFormat="false" ht="12.8" hidden="false" customHeight="false" outlineLevel="0" collapsed="false">
      <c r="B16023" s="0" t="s">
        <v>6192</v>
      </c>
      <c r="C16023" s="0" t="s">
        <v>6193</v>
      </c>
      <c r="D16023" s="0" t="s">
        <v>39</v>
      </c>
      <c r="E16023" s="0" t="s">
        <v>39</v>
      </c>
      <c r="F16023" s="0" t="s">
        <v>39</v>
      </c>
    </row>
    <row r="16025" customFormat="false" ht="12.8" hidden="false" customHeight="false" outlineLevel="0" collapsed="false">
      <c r="A16025" s="0" t="s">
        <v>6194</v>
      </c>
      <c r="B16025" s="0" t="str">
        <f aca="false">HYPERLINK("https://lindat.mff.cuni.cz/services/teitok/pdtc10/index.php?action=vallex&amp;frame=v-w1814f2", "měnit (v-w1814f2)")</f>
        <v>měnit (v-w1814f2)</v>
      </c>
    </row>
    <row r="16026" customFormat="false" ht="12.8" hidden="false" customHeight="false" outlineLevel="0" collapsed="false">
      <c r="B16026" s="0" t="s">
        <v>641</v>
      </c>
      <c r="C16026" s="0" t="s">
        <v>6195</v>
      </c>
    </row>
    <row r="16027" customFormat="false" ht="12.8" hidden="false" customHeight="false" outlineLevel="0" collapsed="false">
      <c r="B16027" s="0" t="s">
        <v>14</v>
      </c>
      <c r="C16027" s="0" t="s">
        <v>6196</v>
      </c>
    </row>
    <row r="16028" customFormat="false" ht="12.8" hidden="false" customHeight="false" outlineLevel="0" collapsed="false">
      <c r="B16028" s="0" t="s">
        <v>586</v>
      </c>
      <c r="C16028" s="0" t="s">
        <v>6197</v>
      </c>
    </row>
    <row r="16030" customFormat="false" ht="12.8" hidden="false" customHeight="false" outlineLevel="0" collapsed="false">
      <c r="A16030" s="0" t="s">
        <v>6198</v>
      </c>
      <c r="B16030" s="0" t="str">
        <f aca="false">HYPERLINK("https://lindat.mff.cuni.cz/services/teitok/pdtc10/index.php?action=vallex&amp;frame=v-w1814f4", "měnit (v-w1814f4)")</f>
        <v>měnit (v-w1814f4)</v>
      </c>
    </row>
    <row r="16031" customFormat="false" ht="12.8" hidden="false" customHeight="false" outlineLevel="0" collapsed="false">
      <c r="B16031" s="0" t="s">
        <v>7</v>
      </c>
      <c r="C16031" s="0" t="s">
        <v>6199</v>
      </c>
      <c r="D16031" s="0" t="s">
        <v>6200</v>
      </c>
      <c r="E16031" s="0" t="s">
        <v>6200</v>
      </c>
      <c r="F16031" s="0" t="s">
        <v>6200</v>
      </c>
    </row>
    <row r="16032" customFormat="false" ht="12.8" hidden="false" customHeight="false" outlineLevel="0" collapsed="false">
      <c r="B16032" s="0" t="s">
        <v>14</v>
      </c>
      <c r="C16032" s="0" t="s">
        <v>6201</v>
      </c>
      <c r="D16032" s="0" t="s">
        <v>6202</v>
      </c>
      <c r="E16032" s="0" t="s">
        <v>6202</v>
      </c>
      <c r="F16032" s="0" t="s">
        <v>6202</v>
      </c>
    </row>
    <row r="16033" customFormat="false" ht="12.8" hidden="false" customHeight="false" outlineLevel="0" collapsed="false">
      <c r="B16033" s="0" t="s">
        <v>550</v>
      </c>
      <c r="C16033" s="0" t="s">
        <v>6203</v>
      </c>
      <c r="D16033" s="0" t="s">
        <v>6204</v>
      </c>
      <c r="E16033" s="0" t="s">
        <v>6204</v>
      </c>
      <c r="F16033" s="0" t="s">
        <v>6204</v>
      </c>
    </row>
    <row r="16035" customFormat="false" ht="12.8" hidden="false" customHeight="false" outlineLevel="0" collapsed="false">
      <c r="A16035" s="0" t="s">
        <v>6205</v>
      </c>
      <c r="B16035" s="0" t="str">
        <f aca="false">HYPERLINK("https://lindat.mff.cuni.cz/services/teitok/pdtc10/index.php?action=vallex&amp;frame=v-w1815f2", "měnit se (v-w1815f2)")</f>
        <v>měnit se (v-w1815f2)</v>
      </c>
    </row>
    <row r="16036" customFormat="false" ht="12.8" hidden="false" customHeight="false" outlineLevel="0" collapsed="false">
      <c r="B16036" s="0" t="s">
        <v>7</v>
      </c>
      <c r="C16036" s="0" t="s">
        <v>6206</v>
      </c>
      <c r="D16036" s="0" t="s">
        <v>6207</v>
      </c>
      <c r="E16036" s="0" t="s">
        <v>6207</v>
      </c>
      <c r="F16036" s="0" t="s">
        <v>6208</v>
      </c>
    </row>
    <row r="16037" customFormat="false" ht="12.8" hidden="false" customHeight="false" outlineLevel="0" collapsed="false">
      <c r="B16037" s="0" t="s">
        <v>6209</v>
      </c>
      <c r="C16037" s="0" t="s">
        <v>6210</v>
      </c>
      <c r="D16037" s="0" t="s">
        <v>6211</v>
      </c>
      <c r="E16037" s="0" t="s">
        <v>6211</v>
      </c>
      <c r="F16037" s="0" t="s">
        <v>6212</v>
      </c>
    </row>
    <row r="16038" customFormat="false" ht="12.8" hidden="false" customHeight="false" outlineLevel="0" collapsed="false">
      <c r="B16038" s="0" t="s">
        <v>35</v>
      </c>
      <c r="C16038" s="0" t="s">
        <v>6213</v>
      </c>
      <c r="D16038" s="0" t="s">
        <v>6214</v>
      </c>
      <c r="E16038" s="0" t="s">
        <v>6214</v>
      </c>
      <c r="F16038" s="0" t="s">
        <v>6215</v>
      </c>
    </row>
    <row r="16040" customFormat="false" ht="12.8" hidden="false" customHeight="false" outlineLevel="0" collapsed="false">
      <c r="A16040" s="0" t="s">
        <v>6216</v>
      </c>
      <c r="B16040" s="0" t="str">
        <f aca="false">HYPERLINK("https://lindat.mff.cuni.cz/services/teitok/pdtc10/index.php?action=vallex&amp;frame=v-w1815f3", "měnit se (v-w1815f3)")</f>
        <v>měnit se (v-w1815f3)</v>
      </c>
    </row>
    <row r="16041" customFormat="false" ht="12.8" hidden="false" customHeight="false" outlineLevel="0" collapsed="false">
      <c r="B16041" s="0" t="s">
        <v>7</v>
      </c>
    </row>
    <row r="16042" customFormat="false" ht="12.8" hidden="false" customHeight="false" outlineLevel="0" collapsed="false">
      <c r="B16042" s="0" t="s">
        <v>548</v>
      </c>
    </row>
    <row r="16044" customFormat="false" ht="12.8" hidden="false" customHeight="false" outlineLevel="0" collapsed="false">
      <c r="A16044" s="0" t="s">
        <v>6217</v>
      </c>
      <c r="B16044" s="0" t="str">
        <f aca="false">HYPERLINK("https://lindat.mff.cuni.cz/services/teitok/pdtc10/index.php?action=vallex&amp;frame=v-w1815f1", "měnit se (v-w1815f1)")</f>
        <v>měnit se (v-w1815f1)</v>
      </c>
    </row>
    <row r="16045" customFormat="false" ht="12.8" hidden="false" customHeight="false" outlineLevel="0" collapsed="false">
      <c r="B16045" s="0" t="s">
        <v>7</v>
      </c>
      <c r="C16045" s="0" t="s">
        <v>6218</v>
      </c>
      <c r="D16045" s="0" t="s">
        <v>6219</v>
      </c>
      <c r="E16045" s="0" t="s">
        <v>6219</v>
      </c>
      <c r="F16045" s="0" t="s">
        <v>6219</v>
      </c>
    </row>
    <row r="16047" customFormat="false" ht="12.8" hidden="false" customHeight="false" outlineLevel="0" collapsed="false">
      <c r="A16047" s="0" t="s">
        <v>6220</v>
      </c>
      <c r="B16047" s="0" t="str">
        <f aca="false">HYPERLINK("https://lindat.mff.cuni.cz/services/teitok/pdtc10/index.php?action=vallex&amp;frame=v-w1821f3", "měřit (v-w1821f3)")</f>
        <v>měřit (v-w1821f3)</v>
      </c>
    </row>
    <row r="16048" customFormat="false" ht="12.8" hidden="false" customHeight="false" outlineLevel="0" collapsed="false">
      <c r="B16048" s="0" t="s">
        <v>7</v>
      </c>
      <c r="C16048" s="0" t="s">
        <v>191</v>
      </c>
    </row>
    <row r="16049" customFormat="false" ht="12.8" hidden="false" customHeight="false" outlineLevel="0" collapsed="false">
      <c r="B16049" s="0" t="s">
        <v>14</v>
      </c>
      <c r="C16049" s="0" t="s">
        <v>120</v>
      </c>
    </row>
    <row r="16050" customFormat="false" ht="12.8" hidden="false" customHeight="false" outlineLevel="0" collapsed="false">
      <c r="B16050" s="0" t="s">
        <v>3086</v>
      </c>
    </row>
    <row r="16052" customFormat="false" ht="12.8" hidden="false" customHeight="false" outlineLevel="0" collapsed="false">
      <c r="A16052" s="0" t="s">
        <v>6221</v>
      </c>
      <c r="B16052" s="0" t="str">
        <f aca="false">HYPERLINK("https://lindat.mff.cuni.cz/services/teitok/pdtc10/index.php?action=vallex&amp;frame=v-w1821f1", "měřit (v-w1821f1)")</f>
        <v>měřit (v-w1821f1)</v>
      </c>
    </row>
    <row r="16053" customFormat="false" ht="12.8" hidden="false" customHeight="false" outlineLevel="0" collapsed="false">
      <c r="B16053" s="0" t="s">
        <v>7</v>
      </c>
      <c r="C16053" s="0" t="s">
        <v>6222</v>
      </c>
      <c r="D16053" s="0" t="s">
        <v>6222</v>
      </c>
      <c r="E16053" s="0" t="s">
        <v>6222</v>
      </c>
      <c r="F16053" s="0" t="s">
        <v>6222</v>
      </c>
    </row>
    <row r="16054" customFormat="false" ht="12.8" hidden="false" customHeight="false" outlineLevel="0" collapsed="false">
      <c r="B16054" s="0" t="s">
        <v>14</v>
      </c>
      <c r="C16054" s="0" t="s">
        <v>342</v>
      </c>
      <c r="D16054" s="0" t="s">
        <v>342</v>
      </c>
      <c r="E16054" s="0" t="s">
        <v>342</v>
      </c>
      <c r="F16054" s="0" t="s">
        <v>342</v>
      </c>
    </row>
    <row r="16056" customFormat="false" ht="12.8" hidden="false" customHeight="false" outlineLevel="0" collapsed="false">
      <c r="A16056" s="0" t="s">
        <v>6223</v>
      </c>
      <c r="B16056" s="0" t="str">
        <f aca="false">HYPERLINK("https://lindat.mff.cuni.cz/services/teitok/pdtc10/index.php?action=vallex&amp;frame=v-w1821f2", "měřit (v-w1821f2)")</f>
        <v>měřit (v-w1821f2)</v>
      </c>
    </row>
    <row r="16057" customFormat="false" ht="12.8" hidden="false" customHeight="false" outlineLevel="0" collapsed="false">
      <c r="B16057" s="0" t="s">
        <v>7</v>
      </c>
      <c r="C16057" s="0" t="s">
        <v>16</v>
      </c>
      <c r="D16057" s="0" t="s">
        <v>6224</v>
      </c>
      <c r="E16057" s="0" t="s">
        <v>6224</v>
      </c>
      <c r="F16057" s="0" t="s">
        <v>6224</v>
      </c>
    </row>
    <row r="16058" customFormat="false" ht="12.8" hidden="false" customHeight="false" outlineLevel="0" collapsed="false">
      <c r="B16058" s="0" t="s">
        <v>679</v>
      </c>
      <c r="C16058" s="0" t="s">
        <v>6225</v>
      </c>
      <c r="D16058" s="0" t="s">
        <v>6226</v>
      </c>
      <c r="E16058" s="0" t="s">
        <v>6226</v>
      </c>
      <c r="F16058" s="0" t="s">
        <v>6226</v>
      </c>
    </row>
    <row r="16060" customFormat="false" ht="12.8" hidden="false" customHeight="false" outlineLevel="0" collapsed="false">
      <c r="A16060" s="0" t="s">
        <v>6227</v>
      </c>
      <c r="B16060" s="0" t="str">
        <f aca="false">HYPERLINK("https://lindat.mff.cuni.cz/services/teitok/pdtc10/index.php?action=vallex&amp;frame=v-w1821hsa_603", "měřit (v-w1821hsa_603)")</f>
        <v>měřit (v-w1821hsa_603)</v>
      </c>
    </row>
    <row r="16061" customFormat="false" ht="12.8" hidden="false" customHeight="false" outlineLevel="0" collapsed="false">
      <c r="B16061" s="0" t="s">
        <v>7</v>
      </c>
    </row>
    <row r="16062" customFormat="false" ht="12.8" hidden="false" customHeight="false" outlineLevel="0" collapsed="false">
      <c r="B16062" s="0" t="s">
        <v>14</v>
      </c>
    </row>
    <row r="16064" customFormat="false" ht="12.8" hidden="false" customHeight="false" outlineLevel="0" collapsed="false">
      <c r="A16064" s="0" t="s">
        <v>6228</v>
      </c>
      <c r="B16064" s="0" t="str">
        <f aca="false">HYPERLINK("https://lindat.mff.cuni.cz/services/teitok/pdtc10/index.php?action=vallex&amp;frame=v-w1928f1", "mžourat (v-w1928f1)")</f>
        <v>mžourat (v-w1928f1)</v>
      </c>
    </row>
    <row r="16065" customFormat="false" ht="12.8" hidden="false" customHeight="false" outlineLevel="0" collapsed="false">
      <c r="B16065" s="0" t="s">
        <v>7</v>
      </c>
      <c r="C16065" s="0" t="s">
        <v>335</v>
      </c>
      <c r="D16065" s="0" t="s">
        <v>428</v>
      </c>
      <c r="E16065" s="0" t="s">
        <v>428</v>
      </c>
      <c r="F16065" s="0" t="s">
        <v>428</v>
      </c>
    </row>
    <row r="16066" customFormat="false" ht="12.8" hidden="false" customHeight="false" outlineLevel="0" collapsed="false">
      <c r="B16066" s="0" t="s">
        <v>124</v>
      </c>
      <c r="C16066" s="0" t="s">
        <v>2162</v>
      </c>
      <c r="D16066" s="0" t="s">
        <v>3412</v>
      </c>
      <c r="E16066" s="0" t="s">
        <v>3412</v>
      </c>
      <c r="F16066" s="0" t="s">
        <v>3412</v>
      </c>
    </row>
    <row r="16068" customFormat="false" ht="12.8" hidden="false" customHeight="false" outlineLevel="0" collapsed="false">
      <c r="A16068" s="0" t="s">
        <v>6229</v>
      </c>
      <c r="B16068" s="0" t="str">
        <f aca="false">HYPERLINK("https://lindat.mff.cuni.cz/services/teitok/pdtc10/index.php?action=vallex&amp;frame=v-w1927f2", "mžít (v-w1927f2)")</f>
        <v>mžít (v-w1927f2)</v>
      </c>
    </row>
    <row r="16069" customFormat="false" ht="12.8" hidden="false" customHeight="false" outlineLevel="0" collapsed="false">
      <c r="B16069" s="0" t="s">
        <v>7</v>
      </c>
    </row>
    <row r="16071" customFormat="false" ht="12.8" hidden="false" customHeight="false" outlineLevel="0" collapsed="false">
      <c r="A16071" s="0" t="s">
        <v>6230</v>
      </c>
      <c r="B16071" s="0" t="str">
        <f aca="false">HYPERLINK("https://lindat.mff.cuni.cz/services/teitok/pdtc10/index.php?action=vallex&amp;frame=v-w1927f1", "mžít (v-w1927f1)")</f>
        <v>mžít (v-w1927f1)</v>
      </c>
    </row>
    <row r="16073" customFormat="false" ht="12.8" hidden="false" customHeight="false" outlineLevel="0" collapsed="false">
      <c r="A16073" s="0" t="s">
        <v>6231</v>
      </c>
      <c r="B16073" s="0" t="str">
        <f aca="false">HYPERLINK("https://lindat.mff.cuni.cz/services/teitok/pdtc10/index.php?action=vallex&amp;frame=v-w1929f1", "naakumulovat (v-w1929f1)")</f>
        <v>naakumulovat (v-w1929f1)</v>
      </c>
    </row>
    <row r="16074" customFormat="false" ht="12.8" hidden="false" customHeight="false" outlineLevel="0" collapsed="false">
      <c r="B16074" s="0" t="s">
        <v>7</v>
      </c>
    </row>
    <row r="16075" customFormat="false" ht="12.8" hidden="false" customHeight="false" outlineLevel="0" collapsed="false">
      <c r="B16075" s="0" t="s">
        <v>14</v>
      </c>
    </row>
    <row r="16077" customFormat="false" ht="12.8" hidden="false" customHeight="false" outlineLevel="0" collapsed="false">
      <c r="A16077" s="0" t="s">
        <v>6232</v>
      </c>
      <c r="B16077" s="0" t="str">
        <f aca="false">HYPERLINK("https://lindat.mff.cuni.cz/services/teitok/pdtc10/index.php?action=vallex&amp;frame=v-w1930f1", "naaranžovat (v-w1930f1)")</f>
        <v>naaranžovat (v-w1930f1)</v>
      </c>
    </row>
    <row r="16078" customFormat="false" ht="12.8" hidden="false" customHeight="false" outlineLevel="0" collapsed="false">
      <c r="B16078" s="0" t="s">
        <v>7</v>
      </c>
      <c r="D16078" s="0" t="s">
        <v>191</v>
      </c>
      <c r="E16078" s="0" t="s">
        <v>191</v>
      </c>
      <c r="F16078" s="0" t="s">
        <v>191</v>
      </c>
    </row>
    <row r="16079" customFormat="false" ht="12.8" hidden="false" customHeight="false" outlineLevel="0" collapsed="false">
      <c r="B16079" s="0" t="s">
        <v>14</v>
      </c>
      <c r="D16079" s="0" t="s">
        <v>155</v>
      </c>
      <c r="E16079" s="0" t="s">
        <v>155</v>
      </c>
      <c r="F16079" s="0" t="s">
        <v>155</v>
      </c>
    </row>
    <row r="16080" customFormat="false" ht="12.8" hidden="false" customHeight="false" outlineLevel="0" collapsed="false">
      <c r="B16080" s="0" t="s">
        <v>35</v>
      </c>
    </row>
    <row r="16081" customFormat="false" ht="12.8" hidden="false" customHeight="false" outlineLevel="0" collapsed="false">
      <c r="B16081" s="0" t="s">
        <v>4885</v>
      </c>
    </row>
    <row r="16083" customFormat="false" ht="12.8" hidden="false" customHeight="false" outlineLevel="0" collapsed="false">
      <c r="A16083" s="0" t="s">
        <v>6233</v>
      </c>
      <c r="B16083" s="0" t="str">
        <f aca="false">HYPERLINK("https://lindat.mff.cuni.cz/services/teitok/pdtc10/index.php?action=vallex&amp;frame=v-w12256_ZUf1_ZU", "nabalit (v-w12256_ZUf1_ZU)")</f>
        <v>nabalit (v-w12256_ZUf1_ZU)</v>
      </c>
    </row>
    <row r="16084" customFormat="false" ht="12.8" hidden="false" customHeight="false" outlineLevel="0" collapsed="false">
      <c r="B16084" s="0" t="s">
        <v>7</v>
      </c>
    </row>
    <row r="16085" customFormat="false" ht="12.8" hidden="false" customHeight="false" outlineLevel="0" collapsed="false">
      <c r="B16085" s="0" t="s">
        <v>14</v>
      </c>
    </row>
    <row r="16087" customFormat="false" ht="12.8" hidden="false" customHeight="false" outlineLevel="0" collapsed="false">
      <c r="A16087" s="0" t="s">
        <v>6234</v>
      </c>
      <c r="B16087" s="0" t="str">
        <f aca="false">HYPERLINK("https://lindat.mff.cuni.cz/services/teitok/pdtc10/index.php?action=vallex&amp;frame=v-w1934f1", "nabalovat (v-w1934f1)")</f>
        <v>nabalovat (v-w1934f1)</v>
      </c>
    </row>
    <row r="16088" customFormat="false" ht="12.8" hidden="false" customHeight="false" outlineLevel="0" collapsed="false">
      <c r="B16088" s="0" t="s">
        <v>7</v>
      </c>
    </row>
    <row r="16089" customFormat="false" ht="12.8" hidden="false" customHeight="false" outlineLevel="0" collapsed="false">
      <c r="B16089" s="0" t="s">
        <v>6235</v>
      </c>
    </row>
    <row r="16090" customFormat="false" ht="12.8" hidden="false" customHeight="false" outlineLevel="0" collapsed="false">
      <c r="B16090" s="0" t="s">
        <v>14</v>
      </c>
    </row>
    <row r="16092" customFormat="false" ht="12.8" hidden="false" customHeight="false" outlineLevel="0" collapsed="false">
      <c r="A16092" s="0" t="s">
        <v>6236</v>
      </c>
      <c r="B16092" s="0" t="str">
        <f aca="false">HYPERLINK("https://lindat.mff.cuni.cz/services/teitok/pdtc10/index.php?action=vallex&amp;frame=v-w1935f1", "nabalovat se (v-w1935f1)")</f>
        <v>nabalovat se (v-w1935f1)</v>
      </c>
    </row>
    <row r="16093" customFormat="false" ht="12.8" hidden="false" customHeight="false" outlineLevel="0" collapsed="false">
      <c r="B16093" s="0" t="s">
        <v>7</v>
      </c>
    </row>
    <row r="16094" customFormat="false" ht="12.8" hidden="false" customHeight="false" outlineLevel="0" collapsed="false">
      <c r="B16094" s="0" t="s">
        <v>41</v>
      </c>
    </row>
    <row r="16096" customFormat="false" ht="12.8" hidden="false" customHeight="false" outlineLevel="0" collapsed="false">
      <c r="A16096" s="0" t="s">
        <v>6237</v>
      </c>
      <c r="B16096" s="0" t="str">
        <f aca="false">HYPERLINK("https://lindat.mff.cuni.cz/services/teitok/pdtc10/index.php?action=vallex&amp;frame=v-w1935f2", "nabalovat se (v-w1935f2)")</f>
        <v>nabalovat se (v-w1935f2)</v>
      </c>
    </row>
    <row r="16097" customFormat="false" ht="12.8" hidden="false" customHeight="false" outlineLevel="0" collapsed="false">
      <c r="B16097" s="0" t="s">
        <v>7</v>
      </c>
    </row>
    <row r="16098" customFormat="false" ht="12.8" hidden="false" customHeight="false" outlineLevel="0" collapsed="false">
      <c r="B16098" s="0" t="s">
        <v>124</v>
      </c>
    </row>
    <row r="16100" customFormat="false" ht="12.8" hidden="false" customHeight="false" outlineLevel="0" collapsed="false">
      <c r="A16100" s="0" t="s">
        <v>6238</v>
      </c>
      <c r="B16100" s="0" t="str">
        <f aca="false">HYPERLINK("https://lindat.mff.cuni.cz/services/teitok/pdtc10/index.php?action=vallex&amp;frame=v-w12367_MMf1_MM", "nabančit (v-w12367_MMf1_MM)")</f>
        <v>nabančit (v-w12367_MMf1_MM)</v>
      </c>
    </row>
    <row r="16101" customFormat="false" ht="12.8" hidden="false" customHeight="false" outlineLevel="0" collapsed="false">
      <c r="B16101" s="0" t="s">
        <v>7</v>
      </c>
    </row>
    <row r="16102" customFormat="false" ht="12.8" hidden="false" customHeight="false" outlineLevel="0" collapsed="false">
      <c r="B16102" s="0" t="s">
        <v>142</v>
      </c>
    </row>
    <row r="16104" customFormat="false" ht="12.8" hidden="false" customHeight="false" outlineLevel="0" collapsed="false">
      <c r="A16104" s="0" t="s">
        <v>6239</v>
      </c>
      <c r="B16104" s="0" t="str">
        <f aca="false">HYPERLINK("https://lindat.mff.cuni.cz/services/teitok/pdtc10/index.php?action=vallex&amp;frame=v-w10760f2", "nabarvit (v-w10760f2)")</f>
        <v>nabarvit (v-w10760f2)</v>
      </c>
    </row>
    <row r="16105" customFormat="false" ht="12.8" hidden="false" customHeight="false" outlineLevel="0" collapsed="false">
      <c r="B16105" s="0" t="s">
        <v>7</v>
      </c>
      <c r="D16105" s="0" t="s">
        <v>3664</v>
      </c>
      <c r="E16105" s="0" t="s">
        <v>3664</v>
      </c>
      <c r="F16105" s="0" t="s">
        <v>3664</v>
      </c>
    </row>
    <row r="16106" customFormat="false" ht="12.8" hidden="false" customHeight="false" outlineLevel="0" collapsed="false">
      <c r="B16106" s="0" t="s">
        <v>14</v>
      </c>
      <c r="D16106" s="0" t="s">
        <v>1278</v>
      </c>
      <c r="E16106" s="0" t="s">
        <v>1278</v>
      </c>
      <c r="F16106" s="0" t="s">
        <v>1278</v>
      </c>
    </row>
    <row r="16108" customFormat="false" ht="12.8" hidden="false" customHeight="false" outlineLevel="0" collapsed="false">
      <c r="A16108" s="0" t="s">
        <v>6240</v>
      </c>
      <c r="B16108" s="0" t="str">
        <f aca="false">HYPERLINK("https://lindat.mff.cuni.cz/services/teitok/pdtc10/index.php?action=vallex&amp;frame=v-whsa_1310hsa_1311", "nabažit se (v-whsa_1310hsa_1311)")</f>
        <v>nabažit se (v-whsa_1310hsa_1311)</v>
      </c>
    </row>
    <row r="16109" customFormat="false" ht="12.8" hidden="false" customHeight="false" outlineLevel="0" collapsed="false">
      <c r="B16109" s="0" t="s">
        <v>7</v>
      </c>
    </row>
    <row r="16110" customFormat="false" ht="12.8" hidden="false" customHeight="false" outlineLevel="0" collapsed="false">
      <c r="B16110" s="0" t="s">
        <v>1087</v>
      </c>
    </row>
    <row r="16112" customFormat="false" ht="12.8" hidden="false" customHeight="false" outlineLevel="0" collapsed="false">
      <c r="A16112" s="0" t="s">
        <v>6241</v>
      </c>
      <c r="B16112" s="0" t="str">
        <f aca="false">HYPERLINK("https://lindat.mff.cuni.cz/services/teitok/pdtc10/index.php?action=vallex&amp;frame=v-whsa_1576hsa_1577", "nablbnout se (v-whsa_1576hsa_1577)")</f>
        <v>nablbnout se (v-whsa_1576hsa_1577)</v>
      </c>
    </row>
    <row r="16113" customFormat="false" ht="12.8" hidden="false" customHeight="false" outlineLevel="0" collapsed="false">
      <c r="B16113" s="0" t="s">
        <v>7</v>
      </c>
    </row>
    <row r="16115" customFormat="false" ht="12.8" hidden="false" customHeight="false" outlineLevel="0" collapsed="false">
      <c r="A16115" s="0" t="s">
        <v>6242</v>
      </c>
      <c r="B16115" s="0" t="str">
        <f aca="false">HYPERLINK("https://lindat.mff.cuni.cz/services/teitok/pdtc10/index.php?action=vallex&amp;frame=v-w1951f1", "nablít (v-w1951f1)")</f>
        <v>nablít (v-w1951f1)</v>
      </c>
    </row>
    <row r="16116" customFormat="false" ht="12.8" hidden="false" customHeight="false" outlineLevel="0" collapsed="false">
      <c r="B16116" s="0" t="s">
        <v>7</v>
      </c>
    </row>
    <row r="16117" customFormat="false" ht="12.8" hidden="false" customHeight="false" outlineLevel="0" collapsed="false">
      <c r="B16117" s="0" t="s">
        <v>14</v>
      </c>
    </row>
    <row r="16119" customFormat="false" ht="12.8" hidden="false" customHeight="false" outlineLevel="0" collapsed="false">
      <c r="A16119" s="0" t="s">
        <v>6243</v>
      </c>
      <c r="B16119" s="0" t="str">
        <f aca="false">HYPERLINK("https://lindat.mff.cuni.cz/services/teitok/pdtc10/index.php?action=vallex&amp;frame=v-w10928f2", "nabobtnat (v-w10928f2)")</f>
        <v>nabobtnat (v-w10928f2)</v>
      </c>
    </row>
    <row r="16120" customFormat="false" ht="12.8" hidden="false" customHeight="false" outlineLevel="0" collapsed="false">
      <c r="B16120" s="0" t="s">
        <v>7</v>
      </c>
      <c r="C16120" s="0" t="s">
        <v>176</v>
      </c>
      <c r="D16120" s="0" t="s">
        <v>6244</v>
      </c>
      <c r="E16120" s="0" t="s">
        <v>6244</v>
      </c>
      <c r="F16120" s="0" t="s">
        <v>6244</v>
      </c>
    </row>
    <row r="16121" customFormat="false" ht="12.8" hidden="false" customHeight="false" outlineLevel="0" collapsed="false">
      <c r="B16121" s="0" t="s">
        <v>63</v>
      </c>
      <c r="C16121" s="0" t="s">
        <v>6245</v>
      </c>
      <c r="D16121" s="0" t="s">
        <v>4496</v>
      </c>
      <c r="E16121" s="0" t="s">
        <v>4496</v>
      </c>
      <c r="F16121" s="0" t="s">
        <v>4496</v>
      </c>
    </row>
    <row r="16122" customFormat="false" ht="12.8" hidden="false" customHeight="false" outlineLevel="0" collapsed="false">
      <c r="B16122" s="0" t="s">
        <v>35</v>
      </c>
      <c r="C16122" s="0" t="s">
        <v>6246</v>
      </c>
      <c r="D16122" s="0" t="s">
        <v>4497</v>
      </c>
      <c r="E16122" s="0" t="s">
        <v>4497</v>
      </c>
      <c r="F16122" s="0" t="s">
        <v>4497</v>
      </c>
    </row>
    <row r="16124" customFormat="false" ht="12.8" hidden="false" customHeight="false" outlineLevel="0" collapsed="false">
      <c r="A16124" s="0" t="s">
        <v>6247</v>
      </c>
      <c r="B16124" s="0" t="str">
        <f aca="false">HYPERLINK("https://lindat.mff.cuni.cz/services/teitok/pdtc10/index.php?action=vallex&amp;frame=v-w1953f1", "nabourat (v-w1953f1)")</f>
        <v>nabourat (v-w1953f1)</v>
      </c>
    </row>
    <row r="16125" customFormat="false" ht="12.8" hidden="false" customHeight="false" outlineLevel="0" collapsed="false">
      <c r="B16125" s="0" t="s">
        <v>7</v>
      </c>
    </row>
    <row r="16126" customFormat="false" ht="12.8" hidden="false" customHeight="false" outlineLevel="0" collapsed="false">
      <c r="B16126" s="0" t="s">
        <v>14</v>
      </c>
    </row>
    <row r="16128" customFormat="false" ht="12.8" hidden="false" customHeight="false" outlineLevel="0" collapsed="false">
      <c r="A16128" s="0" t="s">
        <v>6248</v>
      </c>
      <c r="B16128" s="0" t="str">
        <f aca="false">HYPERLINK("https://lindat.mff.cuni.cz/services/teitok/pdtc10/index.php?action=vallex&amp;frame=v-w1953f2", "nabourat (v-w1953f2)")</f>
        <v>nabourat (v-w1953f2)</v>
      </c>
    </row>
    <row r="16129" customFormat="false" ht="12.8" hidden="false" customHeight="false" outlineLevel="0" collapsed="false">
      <c r="B16129" s="0" t="s">
        <v>7</v>
      </c>
    </row>
    <row r="16130" customFormat="false" ht="12.8" hidden="false" customHeight="false" outlineLevel="0" collapsed="false">
      <c r="B16130" s="0" t="s">
        <v>14</v>
      </c>
    </row>
    <row r="16132" customFormat="false" ht="12.8" hidden="false" customHeight="false" outlineLevel="0" collapsed="false">
      <c r="A16132" s="0" t="s">
        <v>6249</v>
      </c>
      <c r="B16132" s="0" t="str">
        <f aca="false">HYPERLINK("https://lindat.mff.cuni.cz/services/teitok/pdtc10/index.php?action=vallex&amp;frame=v-w1954f1", "nabourat se (v-w1954f1)")</f>
        <v>nabourat se (v-w1954f1)</v>
      </c>
    </row>
    <row r="16133" customFormat="false" ht="12.8" hidden="false" customHeight="false" outlineLevel="0" collapsed="false">
      <c r="B16133" s="0" t="s">
        <v>7</v>
      </c>
    </row>
    <row r="16135" customFormat="false" ht="12.8" hidden="false" customHeight="false" outlineLevel="0" collapsed="false">
      <c r="A16135" s="0" t="s">
        <v>6250</v>
      </c>
      <c r="B16135" s="0" t="str">
        <f aca="false">HYPERLINK("https://lindat.mff.cuni.cz/services/teitok/pdtc10/index.php?action=vallex&amp;frame=v-w1954hsa_339", "nabourat se (v-w1954hsa_339)")</f>
        <v>nabourat se (v-w1954hsa_339)</v>
      </c>
    </row>
    <row r="16136" customFormat="false" ht="12.8" hidden="false" customHeight="false" outlineLevel="0" collapsed="false">
      <c r="B16136" s="0" t="s">
        <v>7</v>
      </c>
      <c r="C16136" s="0" t="s">
        <v>46</v>
      </c>
    </row>
    <row r="16137" customFormat="false" ht="12.8" hidden="false" customHeight="false" outlineLevel="0" collapsed="false">
      <c r="B16137" s="0" t="s">
        <v>985</v>
      </c>
    </row>
    <row r="16139" customFormat="false" ht="12.8" hidden="false" customHeight="false" outlineLevel="0" collapsed="false">
      <c r="A16139" s="0" t="s">
        <v>6251</v>
      </c>
      <c r="B16139" s="0" t="str">
        <f aca="false">HYPERLINK("https://lindat.mff.cuni.cz/services/teitok/pdtc10/index.php?action=vallex&amp;frame=v-w1955f1", "nabourávat (v-w1955f1)")</f>
        <v>nabourávat (v-w1955f1)</v>
      </c>
    </row>
    <row r="16140" customFormat="false" ht="12.8" hidden="false" customHeight="false" outlineLevel="0" collapsed="false">
      <c r="B16140" s="0" t="s">
        <v>7</v>
      </c>
    </row>
    <row r="16141" customFormat="false" ht="12.8" hidden="false" customHeight="false" outlineLevel="0" collapsed="false">
      <c r="B16141" s="0" t="s">
        <v>14</v>
      </c>
    </row>
    <row r="16143" customFormat="false" ht="12.8" hidden="false" customHeight="false" outlineLevel="0" collapsed="false">
      <c r="A16143" s="0" t="s">
        <v>6252</v>
      </c>
      <c r="B16143" s="0" t="str">
        <f aca="false">HYPERLINK("https://lindat.mff.cuni.cz/services/teitok/pdtc10/index.php?action=vallex&amp;frame=v-w12289_MMf1_MM", "nabořit (v-w12289_MMf1_MM)")</f>
        <v>nabořit (v-w12289_MMf1_MM)</v>
      </c>
    </row>
    <row r="16144" customFormat="false" ht="12.8" hidden="false" customHeight="false" outlineLevel="0" collapsed="false">
      <c r="B16144" s="0" t="s">
        <v>7</v>
      </c>
    </row>
    <row r="16145" customFormat="false" ht="12.8" hidden="false" customHeight="false" outlineLevel="0" collapsed="false">
      <c r="B16145" s="0" t="s">
        <v>14</v>
      </c>
    </row>
    <row r="16146" customFormat="false" ht="12.8" hidden="false" customHeight="false" outlineLevel="0" collapsed="false">
      <c r="B16146" s="0" t="s">
        <v>48</v>
      </c>
    </row>
    <row r="16148" customFormat="false" ht="12.8" hidden="false" customHeight="false" outlineLevel="0" collapsed="false">
      <c r="A16148" s="0" t="s">
        <v>6253</v>
      </c>
      <c r="B16148" s="0" t="str">
        <f aca="false">HYPERLINK("https://lindat.mff.cuni.cz/services/teitok/pdtc10/index.php?action=vallex&amp;frame=v-w1956f1", "nabrat (v-w1956f1)")</f>
        <v>nabrat (v-w1956f1)</v>
      </c>
    </row>
    <row r="16149" customFormat="false" ht="12.8" hidden="false" customHeight="false" outlineLevel="0" collapsed="false">
      <c r="B16149" s="0" t="s">
        <v>7</v>
      </c>
      <c r="C16149" s="0" t="s">
        <v>6254</v>
      </c>
      <c r="D16149" s="0" t="s">
        <v>2332</v>
      </c>
      <c r="E16149" s="0" t="s">
        <v>2332</v>
      </c>
      <c r="F16149" s="0" t="s">
        <v>2332</v>
      </c>
    </row>
    <row r="16150" customFormat="false" ht="12.8" hidden="false" customHeight="false" outlineLevel="0" collapsed="false">
      <c r="B16150" s="0" t="s">
        <v>4381</v>
      </c>
      <c r="C16150" s="0" t="s">
        <v>6255</v>
      </c>
      <c r="D16150" s="0" t="s">
        <v>2334</v>
      </c>
      <c r="E16150" s="0" t="s">
        <v>2334</v>
      </c>
      <c r="F16150" s="0" t="s">
        <v>2334</v>
      </c>
    </row>
    <row r="16152" customFormat="false" ht="12.8" hidden="false" customHeight="false" outlineLevel="0" collapsed="false">
      <c r="A16152" s="0" t="s">
        <v>6256</v>
      </c>
      <c r="B16152" s="0" t="str">
        <f aca="false">HYPERLINK("https://lindat.mff.cuni.cz/services/teitok/pdtc10/index.php?action=vallex&amp;frame=v-w1956f2", "nabrat (v-w1956f2)")</f>
        <v>nabrat (v-w1956f2)</v>
      </c>
    </row>
    <row r="16153" customFormat="false" ht="12.8" hidden="false" customHeight="false" outlineLevel="0" collapsed="false">
      <c r="B16153" s="0" t="s">
        <v>7</v>
      </c>
    </row>
    <row r="16154" customFormat="false" ht="12.8" hidden="false" customHeight="false" outlineLevel="0" collapsed="false">
      <c r="B16154" s="0" t="s">
        <v>4381</v>
      </c>
    </row>
    <row r="16156" customFormat="false" ht="12.8" hidden="false" customHeight="false" outlineLevel="0" collapsed="false">
      <c r="A16156" s="0" t="s">
        <v>6257</v>
      </c>
      <c r="B16156" s="0" t="str">
        <f aca="false">HYPERLINK("https://lindat.mff.cuni.cz/services/teitok/pdtc10/index.php?action=vallex&amp;frame=v-w1956f3_ZU", "nabrat (v-w1956f3_ZU)")</f>
        <v>nabrat (v-w1956f3_ZU)</v>
      </c>
    </row>
    <row r="16157" customFormat="false" ht="12.8" hidden="false" customHeight="false" outlineLevel="0" collapsed="false">
      <c r="B16157" s="0" t="s">
        <v>7</v>
      </c>
    </row>
    <row r="16158" customFormat="false" ht="12.8" hidden="false" customHeight="false" outlineLevel="0" collapsed="false">
      <c r="B16158" s="0" t="s">
        <v>14</v>
      </c>
    </row>
    <row r="16160" customFormat="false" ht="12.8" hidden="false" customHeight="false" outlineLevel="0" collapsed="false">
      <c r="A16160" s="0" t="s">
        <v>6258</v>
      </c>
      <c r="B16160" s="0" t="str">
        <f aca="false">HYPERLINK("https://lindat.mff.cuni.cz/services/teitok/pdtc10/index.php?action=vallex&amp;frame=v-w1956f5_ZU", "nabrat (v-w1956f5_ZU)")</f>
        <v>nabrat (v-w1956f5_ZU)</v>
      </c>
    </row>
    <row r="16161" customFormat="false" ht="12.8" hidden="false" customHeight="false" outlineLevel="0" collapsed="false">
      <c r="B16161" s="0" t="s">
        <v>7</v>
      </c>
    </row>
    <row r="16162" customFormat="false" ht="12.8" hidden="false" customHeight="false" outlineLevel="0" collapsed="false">
      <c r="B16162" s="0" t="s">
        <v>6259</v>
      </c>
    </row>
    <row r="16163" customFormat="false" ht="12.8" hidden="false" customHeight="false" outlineLevel="0" collapsed="false">
      <c r="B16163" s="0" t="s">
        <v>14</v>
      </c>
    </row>
    <row r="16165" customFormat="false" ht="12.8" hidden="false" customHeight="false" outlineLevel="0" collapsed="false">
      <c r="A16165" s="0" t="s">
        <v>6258</v>
      </c>
      <c r="B16165" s="0" t="str">
        <f aca="false">HYPERLINK("https://lindat.mff.cuni.cz/services/teitok/pdtc10/index.php?action=vallex&amp;frame=v-w1956f4_ZU", "nabrat (v-w1956f4_ZU) - substituted with v-w1956f5_ZU")</f>
        <v>nabrat (v-w1956f4_ZU) - substituted with v-w1956f5_ZU</v>
      </c>
    </row>
    <row r="16166" customFormat="false" ht="12.8" hidden="false" customHeight="false" outlineLevel="0" collapsed="false">
      <c r="B16166" s="0" t="s">
        <v>7</v>
      </c>
    </row>
    <row r="16167" customFormat="false" ht="12.8" hidden="false" customHeight="false" outlineLevel="0" collapsed="false">
      <c r="B16167" s="0" t="s">
        <v>6259</v>
      </c>
    </row>
    <row r="16168" customFormat="false" ht="12.8" hidden="false" customHeight="false" outlineLevel="0" collapsed="false">
      <c r="B16168" s="0" t="s">
        <v>14</v>
      </c>
    </row>
    <row r="16170" customFormat="false" ht="12.8" hidden="false" customHeight="false" outlineLevel="0" collapsed="false">
      <c r="A16170" s="0" t="s">
        <v>6260</v>
      </c>
      <c r="B16170" s="0" t="str">
        <f aca="false">HYPERLINK("https://lindat.mff.cuni.cz/services/teitok/pdtc10/index.php?action=vallex&amp;frame=v-w1956hsa_243", "nabrat (v-w1956hsa_243)")</f>
        <v>nabrat (v-w1956hsa_243)</v>
      </c>
    </row>
    <row r="16171" customFormat="false" ht="12.8" hidden="false" customHeight="false" outlineLevel="0" collapsed="false">
      <c r="B16171" s="0" t="s">
        <v>7</v>
      </c>
    </row>
    <row r="16172" customFormat="false" ht="12.8" hidden="false" customHeight="false" outlineLevel="0" collapsed="false">
      <c r="B16172" s="0" t="s">
        <v>14</v>
      </c>
    </row>
    <row r="16174" customFormat="false" ht="12.8" hidden="false" customHeight="false" outlineLevel="0" collapsed="false">
      <c r="A16174" s="0" t="s">
        <v>6261</v>
      </c>
      <c r="B16174" s="0" t="str">
        <f aca="false">HYPERLINK("https://lindat.mff.cuni.cz/services/teitok/pdtc10/index.php?action=vallex&amp;frame=v-w12155_ZUf1_ZU", "nabrousit (v-w12155_ZUf1_ZU)")</f>
        <v>nabrousit (v-w12155_ZUf1_ZU)</v>
      </c>
    </row>
    <row r="16175" customFormat="false" ht="12.8" hidden="false" customHeight="false" outlineLevel="0" collapsed="false">
      <c r="B16175" s="0" t="s">
        <v>7</v>
      </c>
    </row>
    <row r="16176" customFormat="false" ht="12.8" hidden="false" customHeight="false" outlineLevel="0" collapsed="false">
      <c r="B16176" s="0" t="s">
        <v>14</v>
      </c>
    </row>
    <row r="16178" customFormat="false" ht="12.8" hidden="false" customHeight="false" outlineLevel="0" collapsed="false">
      <c r="A16178" s="0" t="s">
        <v>6262</v>
      </c>
      <c r="B16178" s="0" t="str">
        <f aca="false">HYPERLINK("https://lindat.mff.cuni.cz/services/teitok/pdtc10/index.php?action=vallex&amp;frame=v-w1933hsa_1230", "nabádat (v-w1933hsa_1230)")</f>
        <v>nabádat (v-w1933hsa_1230)</v>
      </c>
    </row>
    <row r="16179" customFormat="false" ht="12.8" hidden="false" customHeight="false" outlineLevel="0" collapsed="false">
      <c r="B16179" s="0" t="s">
        <v>7</v>
      </c>
      <c r="C16179" s="0" t="s">
        <v>6263</v>
      </c>
    </row>
    <row r="16180" customFormat="false" ht="12.8" hidden="false" customHeight="false" outlineLevel="0" collapsed="false">
      <c r="B16180" s="0" t="s">
        <v>81</v>
      </c>
      <c r="C16180" s="0" t="s">
        <v>6264</v>
      </c>
    </row>
    <row r="16181" customFormat="false" ht="12.8" hidden="false" customHeight="false" outlineLevel="0" collapsed="false">
      <c r="B16181" s="0" t="s">
        <v>6265</v>
      </c>
      <c r="C16181" s="0" t="s">
        <v>6266</v>
      </c>
    </row>
    <row r="16183" customFormat="false" ht="12.8" hidden="false" customHeight="false" outlineLevel="0" collapsed="false">
      <c r="A16183" s="0" t="s">
        <v>6262</v>
      </c>
      <c r="B16183" s="0" t="str">
        <f aca="false">HYPERLINK("https://lindat.mff.cuni.cz/services/teitok/pdtc10/index.php?action=vallex&amp;frame=v-w1933f1", "nabádat (v-w1933f1) - substituted with v-w1933hsa_1230")</f>
        <v>nabádat (v-w1933f1) - substituted with v-w1933hsa_1230</v>
      </c>
    </row>
    <row r="16184" customFormat="false" ht="12.8" hidden="false" customHeight="false" outlineLevel="0" collapsed="false">
      <c r="B16184" s="0" t="s">
        <v>7</v>
      </c>
      <c r="C16184" s="0" t="s">
        <v>6267</v>
      </c>
    </row>
    <row r="16185" customFormat="false" ht="12.8" hidden="false" customHeight="false" outlineLevel="0" collapsed="false">
      <c r="B16185" s="0" t="s">
        <v>81</v>
      </c>
      <c r="C16185" s="0" t="s">
        <v>6268</v>
      </c>
    </row>
    <row r="16186" customFormat="false" ht="12.8" hidden="false" customHeight="false" outlineLevel="0" collapsed="false">
      <c r="B16186" s="0" t="s">
        <v>6265</v>
      </c>
      <c r="C16186" s="0" t="s">
        <v>6269</v>
      </c>
    </row>
    <row r="16188" customFormat="false" ht="12.8" hidden="false" customHeight="false" outlineLevel="0" collapsed="false">
      <c r="A16188" s="0" t="s">
        <v>6270</v>
      </c>
      <c r="B16188" s="0" t="str">
        <f aca="false">HYPERLINK("https://lindat.mff.cuni.cz/services/teitok/pdtc10/index.php?action=vallex&amp;frame=v-w1940f2_ZU", "nabídnout (v-w1940f2_ZU)")</f>
        <v>nabídnout (v-w1940f2_ZU)</v>
      </c>
    </row>
    <row r="16189" customFormat="false" ht="12.8" hidden="false" customHeight="false" outlineLevel="0" collapsed="false">
      <c r="B16189" s="0" t="s">
        <v>7</v>
      </c>
    </row>
    <row r="16190" customFormat="false" ht="12.8" hidden="false" customHeight="false" outlineLevel="0" collapsed="false">
      <c r="B16190" s="0" t="s">
        <v>6271</v>
      </c>
    </row>
    <row r="16191" customFormat="false" ht="12.8" hidden="false" customHeight="false" outlineLevel="0" collapsed="false">
      <c r="B16191" s="0" t="s">
        <v>48</v>
      </c>
    </row>
    <row r="16192" customFormat="false" ht="12.8" hidden="false" customHeight="false" outlineLevel="0" collapsed="false">
      <c r="B16192" s="0" t="s">
        <v>550</v>
      </c>
    </row>
    <row r="16194" customFormat="false" ht="12.8" hidden="false" customHeight="false" outlineLevel="0" collapsed="false">
      <c r="A16194" s="0" t="s">
        <v>6270</v>
      </c>
      <c r="B16194" s="0" t="str">
        <f aca="false">HYPERLINK("https://lindat.mff.cuni.cz/services/teitok/pdtc10/index.php?action=vallex&amp;frame=v-w1940f1", "nabídnout (v-w1940f1) - substituted with v-w1940f2_ZU")</f>
        <v>nabídnout (v-w1940f1) - substituted with v-w1940f2_ZU</v>
      </c>
    </row>
    <row r="16195" customFormat="false" ht="12.8" hidden="false" customHeight="false" outlineLevel="0" collapsed="false">
      <c r="B16195" s="0" t="s">
        <v>7</v>
      </c>
      <c r="C16195" s="0" t="s">
        <v>6272</v>
      </c>
      <c r="D16195" s="0" t="s">
        <v>3009</v>
      </c>
      <c r="E16195" s="0" t="s">
        <v>3009</v>
      </c>
      <c r="F16195" s="0" t="s">
        <v>6273</v>
      </c>
    </row>
    <row r="16196" customFormat="false" ht="12.8" hidden="false" customHeight="false" outlineLevel="0" collapsed="false">
      <c r="B16196" s="0" t="s">
        <v>6271</v>
      </c>
      <c r="C16196" s="0" t="s">
        <v>6274</v>
      </c>
      <c r="D16196" s="0" t="s">
        <v>3070</v>
      </c>
      <c r="E16196" s="0" t="s">
        <v>3070</v>
      </c>
      <c r="F16196" s="0" t="s">
        <v>6275</v>
      </c>
    </row>
    <row r="16197" customFormat="false" ht="12.8" hidden="false" customHeight="false" outlineLevel="0" collapsed="false">
      <c r="B16197" s="0" t="s">
        <v>48</v>
      </c>
      <c r="C16197" s="0" t="s">
        <v>6276</v>
      </c>
      <c r="D16197" s="0" t="s">
        <v>2952</v>
      </c>
      <c r="E16197" s="0" t="s">
        <v>2952</v>
      </c>
      <c r="F16197" s="0" t="s">
        <v>6277</v>
      </c>
    </row>
    <row r="16198" customFormat="false" ht="12.8" hidden="false" customHeight="false" outlineLevel="0" collapsed="false">
      <c r="B16198" s="0" t="s">
        <v>550</v>
      </c>
      <c r="C16198" s="0" t="s">
        <v>6278</v>
      </c>
    </row>
    <row r="16200" customFormat="false" ht="12.8" hidden="false" customHeight="false" outlineLevel="0" collapsed="false">
      <c r="A16200" s="0" t="s">
        <v>6279</v>
      </c>
      <c r="B16200" s="0" t="str">
        <f aca="false">HYPERLINK("https://lindat.mff.cuni.cz/services/teitok/pdtc10/index.php?action=vallex&amp;frame=v-w11517_ZUf1_ZU", "nabídnout se (v-w11517_ZUf1_ZU)")</f>
        <v>nabídnout se (v-w11517_ZUf1_ZU)</v>
      </c>
    </row>
    <row r="16201" customFormat="false" ht="12.8" hidden="false" customHeight="false" outlineLevel="0" collapsed="false">
      <c r="B16201" s="0" t="s">
        <v>7</v>
      </c>
      <c r="C16201" s="0" t="s">
        <v>6280</v>
      </c>
      <c r="D16201" s="0" t="s">
        <v>3009</v>
      </c>
      <c r="E16201" s="0" t="s">
        <v>3009</v>
      </c>
      <c r="F16201" s="0" t="s">
        <v>3009</v>
      </c>
    </row>
    <row r="16202" customFormat="false" ht="12.8" hidden="false" customHeight="false" outlineLevel="0" collapsed="false">
      <c r="B16202" s="0" t="s">
        <v>6281</v>
      </c>
      <c r="C16202" s="0" t="s">
        <v>6282</v>
      </c>
      <c r="D16202" s="0" t="s">
        <v>3070</v>
      </c>
      <c r="E16202" s="0" t="s">
        <v>3070</v>
      </c>
      <c r="F16202" s="0" t="s">
        <v>3070</v>
      </c>
    </row>
    <row r="16203" customFormat="false" ht="12.8" hidden="false" customHeight="false" outlineLevel="0" collapsed="false">
      <c r="B16203" s="0" t="s">
        <v>48</v>
      </c>
      <c r="C16203" s="0" t="s">
        <v>6283</v>
      </c>
      <c r="D16203" s="0" t="s">
        <v>2952</v>
      </c>
      <c r="E16203" s="0" t="s">
        <v>2952</v>
      </c>
      <c r="F16203" s="0" t="s">
        <v>2952</v>
      </c>
    </row>
    <row r="16205" customFormat="false" ht="12.8" hidden="false" customHeight="false" outlineLevel="0" collapsed="false">
      <c r="A16205" s="0" t="s">
        <v>6284</v>
      </c>
      <c r="B16205" s="0" t="str">
        <f aca="false">HYPERLINK("https://lindat.mff.cuni.cz/services/teitok/pdtc10/index.php?action=vallex&amp;frame=v-w1942f2", "nabíhat (v-w1942f2)")</f>
        <v>nabíhat (v-w1942f2)</v>
      </c>
    </row>
    <row r="16206" customFormat="false" ht="12.8" hidden="false" customHeight="false" outlineLevel="0" collapsed="false">
      <c r="B16206" s="0" t="s">
        <v>7</v>
      </c>
    </row>
    <row r="16207" customFormat="false" ht="12.8" hidden="false" customHeight="false" outlineLevel="0" collapsed="false">
      <c r="B16207" s="0" t="s">
        <v>985</v>
      </c>
    </row>
    <row r="16209" customFormat="false" ht="12.8" hidden="false" customHeight="false" outlineLevel="0" collapsed="false">
      <c r="A16209" s="0" t="s">
        <v>6285</v>
      </c>
      <c r="B16209" s="0" t="str">
        <f aca="false">HYPERLINK("https://lindat.mff.cuni.cz/services/teitok/pdtc10/index.php?action=vallex&amp;frame=v-w1942f1", "nabíhat (v-w1942f1)")</f>
        <v>nabíhat (v-w1942f1)</v>
      </c>
    </row>
    <row r="16210" customFormat="false" ht="12.8" hidden="false" customHeight="false" outlineLevel="0" collapsed="false">
      <c r="B16210" s="0" t="s">
        <v>7</v>
      </c>
    </row>
    <row r="16212" customFormat="false" ht="12.8" hidden="false" customHeight="false" outlineLevel="0" collapsed="false">
      <c r="A16212" s="0" t="s">
        <v>6286</v>
      </c>
      <c r="B16212" s="0" t="str">
        <f aca="false">HYPERLINK("https://lindat.mff.cuni.cz/services/teitok/pdtc10/index.php?action=vallex&amp;frame=v-w1943f2", "nabírat (v-w1943f2)")</f>
        <v>nabírat (v-w1943f2)</v>
      </c>
    </row>
    <row r="16213" customFormat="false" ht="12.8" hidden="false" customHeight="false" outlineLevel="0" collapsed="false">
      <c r="B16213" s="0" t="s">
        <v>7</v>
      </c>
    </row>
    <row r="16214" customFormat="false" ht="12.8" hidden="false" customHeight="false" outlineLevel="0" collapsed="false">
      <c r="B16214" s="0" t="s">
        <v>14</v>
      </c>
    </row>
    <row r="16216" customFormat="false" ht="12.8" hidden="false" customHeight="false" outlineLevel="0" collapsed="false">
      <c r="A16216" s="0" t="s">
        <v>6287</v>
      </c>
      <c r="B16216" s="0" t="str">
        <f aca="false">HYPERLINK("https://lindat.mff.cuni.cz/services/teitok/pdtc10/index.php?action=vallex&amp;frame=v-w1943f3_ZU", "nabírat (v-w1943f3_ZU)")</f>
        <v>nabírat (v-w1943f3_ZU)</v>
      </c>
    </row>
    <row r="16217" customFormat="false" ht="12.8" hidden="false" customHeight="false" outlineLevel="0" collapsed="false">
      <c r="B16217" s="0" t="s">
        <v>7</v>
      </c>
    </row>
    <row r="16218" customFormat="false" ht="12.8" hidden="false" customHeight="false" outlineLevel="0" collapsed="false">
      <c r="B16218" s="0" t="s">
        <v>6288</v>
      </c>
    </row>
    <row r="16220" customFormat="false" ht="12.8" hidden="false" customHeight="false" outlineLevel="0" collapsed="false">
      <c r="A16220" s="0" t="s">
        <v>6287</v>
      </c>
      <c r="B16220" s="0" t="str">
        <f aca="false">HYPERLINK("https://lindat.mff.cuni.cz/services/teitok/pdtc10/index.php?action=vallex&amp;frame=v-w1943f1", "nabírat (v-w1943f1) - substituted with v-w1943f3_ZU")</f>
        <v>nabírat (v-w1943f1) - substituted with v-w1943f3_ZU</v>
      </c>
    </row>
    <row r="16221" customFormat="false" ht="12.8" hidden="false" customHeight="false" outlineLevel="0" collapsed="false">
      <c r="B16221" s="0" t="s">
        <v>7</v>
      </c>
      <c r="C16221" s="0" t="s">
        <v>4783</v>
      </c>
    </row>
    <row r="16222" customFormat="false" ht="12.8" hidden="false" customHeight="false" outlineLevel="0" collapsed="false">
      <c r="B16222" s="0" t="s">
        <v>6288</v>
      </c>
      <c r="C16222" s="0" t="s">
        <v>1605</v>
      </c>
    </row>
    <row r="16224" customFormat="false" ht="12.8" hidden="false" customHeight="false" outlineLevel="0" collapsed="false">
      <c r="A16224" s="0" t="s">
        <v>6289</v>
      </c>
      <c r="B16224" s="0" t="str">
        <f aca="false">HYPERLINK("https://lindat.mff.cuni.cz/services/teitok/pdtc10/index.php?action=vallex&amp;frame=v-w1943hsa_471", "nabírat (v-w1943hsa_471)")</f>
        <v>nabírat (v-w1943hsa_471)</v>
      </c>
    </row>
    <row r="16225" customFormat="false" ht="12.8" hidden="false" customHeight="false" outlineLevel="0" collapsed="false">
      <c r="B16225" s="0" t="s">
        <v>7</v>
      </c>
      <c r="C16225" s="0" t="s">
        <v>335</v>
      </c>
    </row>
    <row r="16226" customFormat="false" ht="12.8" hidden="false" customHeight="false" outlineLevel="0" collapsed="false">
      <c r="B16226" s="0" t="s">
        <v>14</v>
      </c>
      <c r="C16226" s="0" t="s">
        <v>384</v>
      </c>
    </row>
    <row r="16228" customFormat="false" ht="12.8" hidden="false" customHeight="false" outlineLevel="0" collapsed="false">
      <c r="A16228" s="0" t="s">
        <v>6290</v>
      </c>
      <c r="B16228" s="0" t="str">
        <f aca="false">HYPERLINK("https://lindat.mff.cuni.cz/services/teitok/pdtc10/index.php?action=vallex&amp;frame=v-w1943hsa_1482", "nabírat (v-w1943hsa_1482)")</f>
        <v>nabírat (v-w1943hsa_1482)</v>
      </c>
    </row>
    <row r="16229" customFormat="false" ht="12.8" hidden="false" customHeight="false" outlineLevel="0" collapsed="false">
      <c r="B16229" s="0" t="s">
        <v>7</v>
      </c>
    </row>
    <row r="16230" customFormat="false" ht="12.8" hidden="false" customHeight="false" outlineLevel="0" collapsed="false">
      <c r="B16230" s="0" t="s">
        <v>14</v>
      </c>
    </row>
    <row r="16232" customFormat="false" ht="12.8" hidden="false" customHeight="false" outlineLevel="0" collapsed="false">
      <c r="A16232" s="0" t="s">
        <v>6291</v>
      </c>
      <c r="B16232" s="0" t="str">
        <f aca="false">HYPERLINK("https://lindat.mff.cuni.cz/services/teitok/pdtc10/index.php?action=vallex&amp;frame=v-w10239f3", "nabít (v-w10239f3)")</f>
        <v>nabít (v-w10239f3)</v>
      </c>
    </row>
    <row r="16233" customFormat="false" ht="12.8" hidden="false" customHeight="false" outlineLevel="0" collapsed="false">
      <c r="B16233" s="0" t="s">
        <v>7</v>
      </c>
    </row>
    <row r="16234" customFormat="false" ht="12.8" hidden="false" customHeight="false" outlineLevel="0" collapsed="false">
      <c r="B16234" s="0" t="s">
        <v>14</v>
      </c>
    </row>
    <row r="16235" customFormat="false" ht="12.8" hidden="false" customHeight="false" outlineLevel="0" collapsed="false">
      <c r="B16235" s="0" t="s">
        <v>6292</v>
      </c>
    </row>
    <row r="16237" customFormat="false" ht="12.8" hidden="false" customHeight="false" outlineLevel="0" collapsed="false">
      <c r="A16237" s="0" t="s">
        <v>6293</v>
      </c>
      <c r="B16237" s="0" t="str">
        <f aca="false">HYPERLINK("https://lindat.mff.cuni.cz/services/teitok/pdtc10/index.php?action=vallex&amp;frame=v-w10239f4_ZU", "nabít (v-w10239f4_ZU)")</f>
        <v>nabít (v-w10239f4_ZU)</v>
      </c>
    </row>
    <row r="16238" customFormat="false" ht="12.8" hidden="false" customHeight="false" outlineLevel="0" collapsed="false">
      <c r="B16238" s="0" t="s">
        <v>7</v>
      </c>
    </row>
    <row r="16239" customFormat="false" ht="12.8" hidden="false" customHeight="false" outlineLevel="0" collapsed="false">
      <c r="B16239" s="0" t="s">
        <v>14</v>
      </c>
    </row>
    <row r="16240" customFormat="false" ht="12.8" hidden="false" customHeight="false" outlineLevel="0" collapsed="false">
      <c r="B16240" s="0" t="s">
        <v>338</v>
      </c>
    </row>
    <row r="16242" customFormat="false" ht="12.8" hidden="false" customHeight="false" outlineLevel="0" collapsed="false">
      <c r="A16242" s="0" t="s">
        <v>6294</v>
      </c>
      <c r="B16242" s="0" t="str">
        <f aca="false">HYPERLINK("https://lindat.mff.cuni.cz/services/teitok/pdtc10/index.php?action=vallex&amp;frame=v-w1949f2_ZU", "nabízet (v-w1949f2_ZU)")</f>
        <v>nabízet (v-w1949f2_ZU)</v>
      </c>
    </row>
    <row r="16243" customFormat="false" ht="12.8" hidden="false" customHeight="false" outlineLevel="0" collapsed="false">
      <c r="B16243" s="0" t="s">
        <v>7</v>
      </c>
    </row>
    <row r="16244" customFormat="false" ht="12.8" hidden="false" customHeight="false" outlineLevel="0" collapsed="false">
      <c r="B16244" s="0" t="s">
        <v>5859</v>
      </c>
    </row>
    <row r="16245" customFormat="false" ht="12.8" hidden="false" customHeight="false" outlineLevel="0" collapsed="false">
      <c r="B16245" s="0" t="s">
        <v>48</v>
      </c>
    </row>
    <row r="16246" customFormat="false" ht="12.8" hidden="false" customHeight="false" outlineLevel="0" collapsed="false">
      <c r="B16246" s="0" t="s">
        <v>550</v>
      </c>
    </row>
    <row r="16248" customFormat="false" ht="12.8" hidden="false" customHeight="false" outlineLevel="0" collapsed="false">
      <c r="A16248" s="0" t="s">
        <v>6294</v>
      </c>
      <c r="B16248" s="0" t="str">
        <f aca="false">HYPERLINK("https://lindat.mff.cuni.cz/services/teitok/pdtc10/index.php?action=vallex&amp;frame=v-w1949f1", "nabízet (v-w1949f1) - substituted with v-w1949f2_ZU")</f>
        <v>nabízet (v-w1949f1) - substituted with v-w1949f2_ZU</v>
      </c>
    </row>
    <row r="16249" customFormat="false" ht="12.8" hidden="false" customHeight="false" outlineLevel="0" collapsed="false">
      <c r="B16249" s="0" t="s">
        <v>7</v>
      </c>
      <c r="C16249" s="0" t="s">
        <v>6295</v>
      </c>
      <c r="D16249" s="0" t="s">
        <v>3009</v>
      </c>
      <c r="E16249" s="0" t="s">
        <v>3009</v>
      </c>
      <c r="F16249" s="0" t="s">
        <v>6273</v>
      </c>
    </row>
    <row r="16250" customFormat="false" ht="12.8" hidden="false" customHeight="false" outlineLevel="0" collapsed="false">
      <c r="B16250" s="0" t="s">
        <v>5859</v>
      </c>
      <c r="C16250" s="0" t="s">
        <v>6296</v>
      </c>
      <c r="D16250" s="0" t="s">
        <v>3070</v>
      </c>
      <c r="E16250" s="0" t="s">
        <v>3070</v>
      </c>
      <c r="F16250" s="0" t="s">
        <v>6275</v>
      </c>
    </row>
    <row r="16251" customFormat="false" ht="12.8" hidden="false" customHeight="false" outlineLevel="0" collapsed="false">
      <c r="B16251" s="0" t="s">
        <v>48</v>
      </c>
      <c r="C16251" s="0" t="s">
        <v>6297</v>
      </c>
      <c r="D16251" s="0" t="s">
        <v>2952</v>
      </c>
      <c r="E16251" s="0" t="s">
        <v>2952</v>
      </c>
      <c r="F16251" s="0" t="s">
        <v>6277</v>
      </c>
    </row>
    <row r="16252" customFormat="false" ht="12.8" hidden="false" customHeight="false" outlineLevel="0" collapsed="false">
      <c r="B16252" s="0" t="s">
        <v>550</v>
      </c>
      <c r="C16252" s="0" t="s">
        <v>6298</v>
      </c>
    </row>
    <row r="16254" customFormat="false" ht="12.8" hidden="false" customHeight="false" outlineLevel="0" collapsed="false">
      <c r="A16254" s="0" t="s">
        <v>6299</v>
      </c>
      <c r="B16254" s="0" t="str">
        <f aca="false">HYPERLINK("https://lindat.mff.cuni.cz/services/teitok/pdtc10/index.php?action=vallex&amp;frame=v-w1950f2", "nabízet se (v-w1950f2)")</f>
        <v>nabízet se (v-w1950f2)</v>
      </c>
    </row>
    <row r="16255" customFormat="false" ht="12.8" hidden="false" customHeight="false" outlineLevel="0" collapsed="false">
      <c r="B16255" s="0" t="s">
        <v>6300</v>
      </c>
      <c r="C16255" s="0" t="s">
        <v>6301</v>
      </c>
    </row>
    <row r="16256" customFormat="false" ht="12.8" hidden="false" customHeight="false" outlineLevel="0" collapsed="false">
      <c r="B16256" s="0" t="s">
        <v>142</v>
      </c>
      <c r="C16256" s="0" t="s">
        <v>1544</v>
      </c>
    </row>
    <row r="16258" customFormat="false" ht="12.8" hidden="false" customHeight="false" outlineLevel="0" collapsed="false">
      <c r="A16258" s="0" t="s">
        <v>6302</v>
      </c>
      <c r="B16258" s="0" t="str">
        <f aca="false">HYPERLINK("https://lindat.mff.cuni.cz/services/teitok/pdtc10/index.php?action=vallex&amp;frame=v-w1950f1", "nabízet se (v-w1950f1)")</f>
        <v>nabízet se (v-w1950f1)</v>
      </c>
    </row>
    <row r="16259" customFormat="false" ht="12.8" hidden="false" customHeight="false" outlineLevel="0" collapsed="false">
      <c r="B16259" s="0" t="s">
        <v>6303</v>
      </c>
    </row>
    <row r="16260" customFormat="false" ht="12.8" hidden="false" customHeight="false" outlineLevel="0" collapsed="false">
      <c r="B16260" s="0" t="s">
        <v>6304</v>
      </c>
    </row>
    <row r="16262" customFormat="false" ht="12.8" hidden="false" customHeight="false" outlineLevel="0" collapsed="false">
      <c r="A16262" s="0" t="s">
        <v>6305</v>
      </c>
      <c r="B16262" s="0" t="str">
        <f aca="false">HYPERLINK("https://lindat.mff.cuni.cz/services/teitok/pdtc10/index.php?action=vallex&amp;frame=v-w1957f1", "nabýt (v-w1957f1)")</f>
        <v>nabýt (v-w1957f1)</v>
      </c>
    </row>
    <row r="16263" customFormat="false" ht="12.8" hidden="false" customHeight="false" outlineLevel="0" collapsed="false">
      <c r="B16263" s="0" t="s">
        <v>7</v>
      </c>
      <c r="C16263" s="0" t="s">
        <v>6306</v>
      </c>
      <c r="D16263" s="0" t="s">
        <v>2332</v>
      </c>
      <c r="E16263" s="0" t="s">
        <v>2332</v>
      </c>
      <c r="F16263" s="0" t="s">
        <v>2332</v>
      </c>
    </row>
    <row r="16264" customFormat="false" ht="12.8" hidden="false" customHeight="false" outlineLevel="0" collapsed="false">
      <c r="B16264" s="0" t="s">
        <v>4381</v>
      </c>
      <c r="C16264" s="0" t="s">
        <v>6307</v>
      </c>
      <c r="D16264" s="0" t="s">
        <v>2334</v>
      </c>
      <c r="E16264" s="0" t="s">
        <v>2334</v>
      </c>
      <c r="F16264" s="0" t="s">
        <v>2334</v>
      </c>
    </row>
    <row r="16266" customFormat="false" ht="12.8" hidden="false" customHeight="false" outlineLevel="0" collapsed="false">
      <c r="A16266" s="0" t="s">
        <v>6308</v>
      </c>
      <c r="B16266" s="0" t="str">
        <f aca="false">HYPERLINK("https://lindat.mff.cuni.cz/services/teitok/pdtc10/index.php?action=vallex&amp;frame=v-w1957f3", "nabýt (v-w1957f3)")</f>
        <v>nabýt (v-w1957f3)</v>
      </c>
    </row>
    <row r="16267" customFormat="false" ht="12.8" hidden="false" customHeight="false" outlineLevel="0" collapsed="false">
      <c r="B16267" s="0" t="s">
        <v>7</v>
      </c>
      <c r="C16267" s="0" t="s">
        <v>6309</v>
      </c>
      <c r="D16267" s="0" t="s">
        <v>2332</v>
      </c>
      <c r="E16267" s="0" t="s">
        <v>2332</v>
      </c>
      <c r="F16267" s="0" t="s">
        <v>2332</v>
      </c>
    </row>
    <row r="16268" customFormat="false" ht="12.8" hidden="false" customHeight="false" outlineLevel="0" collapsed="false">
      <c r="B16268" s="0" t="s">
        <v>220</v>
      </c>
      <c r="C16268" s="0" t="s">
        <v>1367</v>
      </c>
      <c r="D16268" s="0" t="s">
        <v>2334</v>
      </c>
      <c r="E16268" s="0" t="s">
        <v>2334</v>
      </c>
      <c r="F16268" s="0" t="s">
        <v>2334</v>
      </c>
    </row>
    <row r="16270" customFormat="false" ht="12.8" hidden="false" customHeight="false" outlineLevel="0" collapsed="false">
      <c r="A16270" s="0" t="s">
        <v>6310</v>
      </c>
      <c r="B16270" s="0" t="str">
        <f aca="false">HYPERLINK("https://lindat.mff.cuni.cz/services/teitok/pdtc10/index.php?action=vallex&amp;frame=v-w1957f2", "nabýt (v-w1957f2)")</f>
        <v>nabýt (v-w1957f2)</v>
      </c>
    </row>
    <row r="16271" customFormat="false" ht="12.8" hidden="false" customHeight="false" outlineLevel="0" collapsed="false">
      <c r="B16271" s="0" t="s">
        <v>7</v>
      </c>
      <c r="C16271" s="0" t="s">
        <v>6311</v>
      </c>
    </row>
    <row r="16272" customFormat="false" ht="12.8" hidden="false" customHeight="false" outlineLevel="0" collapsed="false">
      <c r="B16272" s="0" t="s">
        <v>6312</v>
      </c>
      <c r="C16272" s="0" t="s">
        <v>6313</v>
      </c>
    </row>
    <row r="16273" customFormat="false" ht="12.8" hidden="false" customHeight="false" outlineLevel="0" collapsed="false">
      <c r="B16273" s="0" t="s">
        <v>3441</v>
      </c>
    </row>
    <row r="16275" customFormat="false" ht="12.8" hidden="false" customHeight="false" outlineLevel="0" collapsed="false">
      <c r="A16275" s="0" t="s">
        <v>6314</v>
      </c>
      <c r="B16275" s="0" t="str">
        <f aca="false">HYPERLINK("https://lindat.mff.cuni.cz/services/teitok/pdtc10/index.php?action=vallex&amp;frame=v-w1961f1", "nabývat (v-w1961f1)")</f>
        <v>nabývat (v-w1961f1)</v>
      </c>
    </row>
    <row r="16276" customFormat="false" ht="12.8" hidden="false" customHeight="false" outlineLevel="0" collapsed="false">
      <c r="B16276" s="0" t="s">
        <v>7</v>
      </c>
      <c r="C16276" s="0" t="s">
        <v>6315</v>
      </c>
      <c r="D16276" s="0" t="s">
        <v>2332</v>
      </c>
      <c r="E16276" s="0" t="s">
        <v>2332</v>
      </c>
      <c r="F16276" s="0" t="s">
        <v>2332</v>
      </c>
    </row>
    <row r="16277" customFormat="false" ht="12.8" hidden="false" customHeight="false" outlineLevel="0" collapsed="false">
      <c r="B16277" s="0" t="s">
        <v>1145</v>
      </c>
      <c r="C16277" s="0" t="s">
        <v>6316</v>
      </c>
      <c r="D16277" s="0" t="s">
        <v>2334</v>
      </c>
      <c r="E16277" s="0" t="s">
        <v>2334</v>
      </c>
      <c r="F16277" s="0" t="s">
        <v>2334</v>
      </c>
    </row>
    <row r="16279" customFormat="false" ht="12.8" hidden="false" customHeight="false" outlineLevel="0" collapsed="false">
      <c r="A16279" s="0" t="s">
        <v>6317</v>
      </c>
      <c r="B16279" s="0" t="str">
        <f aca="false">HYPERLINK("https://lindat.mff.cuni.cz/services/teitok/pdtc10/index.php?action=vallex&amp;frame=v-w1961f2", "nabývat (v-w1961f2)")</f>
        <v>nabývat (v-w1961f2)</v>
      </c>
    </row>
    <row r="16280" customFormat="false" ht="12.8" hidden="false" customHeight="false" outlineLevel="0" collapsed="false">
      <c r="B16280" s="0" t="s">
        <v>7</v>
      </c>
      <c r="C16280" s="0" t="s">
        <v>6318</v>
      </c>
      <c r="D16280" s="0" t="s">
        <v>2332</v>
      </c>
      <c r="E16280" s="0" t="s">
        <v>2332</v>
      </c>
      <c r="F16280" s="0" t="s">
        <v>2332</v>
      </c>
    </row>
    <row r="16281" customFormat="false" ht="12.8" hidden="false" customHeight="false" outlineLevel="0" collapsed="false">
      <c r="B16281" s="0" t="s">
        <v>220</v>
      </c>
      <c r="C16281" s="0" t="s">
        <v>6319</v>
      </c>
      <c r="D16281" s="0" t="s">
        <v>2334</v>
      </c>
      <c r="E16281" s="0" t="s">
        <v>2334</v>
      </c>
      <c r="F16281" s="0" t="s">
        <v>2334</v>
      </c>
    </row>
    <row r="16283" customFormat="false" ht="12.8" hidden="false" customHeight="false" outlineLevel="0" collapsed="false">
      <c r="A16283" s="0" t="s">
        <v>6320</v>
      </c>
      <c r="B16283" s="0" t="str">
        <f aca="false">HYPERLINK("https://lindat.mff.cuni.cz/services/teitok/pdtc10/index.php?action=vallex&amp;frame=v-w1937f1", "naběhat (v-w1937f1)")</f>
        <v>naběhat (v-w1937f1)</v>
      </c>
    </row>
    <row r="16284" customFormat="false" ht="12.8" hidden="false" customHeight="false" outlineLevel="0" collapsed="false">
      <c r="B16284" s="0" t="s">
        <v>7</v>
      </c>
    </row>
    <row r="16285" customFormat="false" ht="12.8" hidden="false" customHeight="false" outlineLevel="0" collapsed="false">
      <c r="B16285" s="0" t="s">
        <v>14</v>
      </c>
    </row>
    <row r="16287" customFormat="false" ht="12.8" hidden="false" customHeight="false" outlineLevel="0" collapsed="false">
      <c r="A16287" s="0" t="s">
        <v>6321</v>
      </c>
      <c r="B16287" s="0" t="str">
        <f aca="false">HYPERLINK("https://lindat.mff.cuni.cz/services/teitok/pdtc10/index.php?action=vallex&amp;frame=v-whsa_751hsa_752", "naběhat se (v-whsa_751hsa_752)")</f>
        <v>naběhat se (v-whsa_751hsa_752)</v>
      </c>
    </row>
    <row r="16288" customFormat="false" ht="12.8" hidden="false" customHeight="false" outlineLevel="0" collapsed="false">
      <c r="B16288" s="0" t="s">
        <v>7</v>
      </c>
    </row>
    <row r="16290" customFormat="false" ht="12.8" hidden="false" customHeight="false" outlineLevel="0" collapsed="false">
      <c r="A16290" s="0" t="s">
        <v>6322</v>
      </c>
      <c r="B16290" s="0" t="str">
        <f aca="false">HYPERLINK("https://lindat.mff.cuni.cz/services/teitok/pdtc10/index.php?action=vallex&amp;frame=v-w1938f1", "naběhnout (v-w1938f1)")</f>
        <v>naběhnout (v-w1938f1)</v>
      </c>
    </row>
    <row r="16291" customFormat="false" ht="12.8" hidden="false" customHeight="false" outlineLevel="0" collapsed="false">
      <c r="B16291" s="0" t="s">
        <v>7</v>
      </c>
    </row>
    <row r="16292" customFormat="false" ht="12.8" hidden="false" customHeight="false" outlineLevel="0" collapsed="false">
      <c r="B16292" s="0" t="s">
        <v>41</v>
      </c>
    </row>
    <row r="16294" customFormat="false" ht="12.8" hidden="false" customHeight="false" outlineLevel="0" collapsed="false">
      <c r="A16294" s="0" t="s">
        <v>6323</v>
      </c>
      <c r="B16294" s="0" t="str">
        <f aca="false">HYPERLINK("https://lindat.mff.cuni.cz/services/teitok/pdtc10/index.php?action=vallex&amp;frame=v-whsa_275hsa_276", "nacestovat se (v-whsa_275hsa_276)")</f>
        <v>nacestovat se (v-whsa_275hsa_276)</v>
      </c>
    </row>
    <row r="16295" customFormat="false" ht="12.8" hidden="false" customHeight="false" outlineLevel="0" collapsed="false">
      <c r="B16295" s="0" t="s">
        <v>7</v>
      </c>
    </row>
    <row r="16297" customFormat="false" ht="12.8" hidden="false" customHeight="false" outlineLevel="0" collapsed="false">
      <c r="A16297" s="0" t="s">
        <v>6324</v>
      </c>
      <c r="B16297" s="0" t="str">
        <f aca="false">HYPERLINK("https://lindat.mff.cuni.cz/services/teitok/pdtc10/index.php?action=vallex&amp;frame=v-w12269_ZUf1_ZU", "nachladit se (v-w12269_ZUf1_ZU)")</f>
        <v>nachladit se (v-w12269_ZUf1_ZU)</v>
      </c>
    </row>
    <row r="16298" customFormat="false" ht="12.8" hidden="false" customHeight="false" outlineLevel="0" collapsed="false">
      <c r="B16298" s="0" t="s">
        <v>7</v>
      </c>
    </row>
    <row r="16300" customFormat="false" ht="12.8" hidden="false" customHeight="false" outlineLevel="0" collapsed="false">
      <c r="A16300" s="0" t="s">
        <v>6325</v>
      </c>
      <c r="B16300" s="0" t="str">
        <f aca="false">HYPERLINK("https://lindat.mff.cuni.cz/services/teitok/pdtc10/index.php?action=vallex&amp;frame=v-w2025f1", "nachmelit se (v-w2025f1)")</f>
        <v>nachmelit se (v-w2025f1)</v>
      </c>
    </row>
    <row r="16301" customFormat="false" ht="12.8" hidden="false" customHeight="false" outlineLevel="0" collapsed="false">
      <c r="B16301" s="0" t="s">
        <v>7</v>
      </c>
    </row>
    <row r="16303" customFormat="false" ht="12.8" hidden="false" customHeight="false" outlineLevel="0" collapsed="false">
      <c r="A16303" s="0" t="s">
        <v>6326</v>
      </c>
      <c r="B16303" s="0" t="str">
        <f aca="false">HYPERLINK("https://lindat.mff.cuni.cz/services/teitok/pdtc10/index.php?action=vallex&amp;frame=v-w11898_ZUf1_ZU", "nachodit (v-w11898_ZUf1_ZU)")</f>
        <v>nachodit (v-w11898_ZUf1_ZU)</v>
      </c>
    </row>
    <row r="16304" customFormat="false" ht="12.8" hidden="false" customHeight="false" outlineLevel="0" collapsed="false">
      <c r="B16304" s="0" t="s">
        <v>7</v>
      </c>
    </row>
    <row r="16305" customFormat="false" ht="12.8" hidden="false" customHeight="false" outlineLevel="0" collapsed="false">
      <c r="B16305" s="0" t="s">
        <v>14</v>
      </c>
    </row>
    <row r="16307" customFormat="false" ht="12.8" hidden="false" customHeight="false" outlineLevel="0" collapsed="false">
      <c r="A16307" s="0" t="s">
        <v>6327</v>
      </c>
      <c r="B16307" s="0" t="str">
        <f aca="false">HYPERLINK("https://lindat.mff.cuni.cz/services/teitok/pdtc10/index.php?action=vallex&amp;frame=v-w12022_ZUf1_ZU", "nachromovat (v-w12022_ZUf1_ZU)")</f>
        <v>nachromovat (v-w12022_ZUf1_ZU)</v>
      </c>
    </row>
    <row r="16308" customFormat="false" ht="12.8" hidden="false" customHeight="false" outlineLevel="0" collapsed="false">
      <c r="B16308" s="0" t="s">
        <v>7</v>
      </c>
    </row>
    <row r="16309" customFormat="false" ht="12.8" hidden="false" customHeight="false" outlineLevel="0" collapsed="false">
      <c r="B16309" s="0" t="s">
        <v>14</v>
      </c>
    </row>
    <row r="16311" customFormat="false" ht="12.8" hidden="false" customHeight="false" outlineLevel="0" collapsed="false">
      <c r="A16311" s="0" t="s">
        <v>6328</v>
      </c>
      <c r="B16311" s="0" t="str">
        <f aca="false">HYPERLINK("https://lindat.mff.cuni.cz/services/teitok/pdtc10/index.php?action=vallex&amp;frame=v-w2029f1", "nachystat (v-w2029f1)")</f>
        <v>nachystat (v-w2029f1)</v>
      </c>
    </row>
    <row r="16312" customFormat="false" ht="12.8" hidden="false" customHeight="false" outlineLevel="0" collapsed="false">
      <c r="B16312" s="0" t="s">
        <v>7</v>
      </c>
      <c r="C16312" s="0" t="s">
        <v>6329</v>
      </c>
      <c r="D16312" s="0" t="s">
        <v>6330</v>
      </c>
      <c r="E16312" s="0" t="s">
        <v>6330</v>
      </c>
      <c r="F16312" s="0" t="s">
        <v>6330</v>
      </c>
    </row>
    <row r="16313" customFormat="false" ht="12.8" hidden="false" customHeight="false" outlineLevel="0" collapsed="false">
      <c r="B16313" s="0" t="s">
        <v>14</v>
      </c>
      <c r="C16313" s="0" t="s">
        <v>6331</v>
      </c>
      <c r="D16313" s="0" t="s">
        <v>6332</v>
      </c>
      <c r="E16313" s="0" t="s">
        <v>6332</v>
      </c>
      <c r="F16313" s="0" t="s">
        <v>6332</v>
      </c>
    </row>
    <row r="16314" customFormat="false" ht="12.8" hidden="false" customHeight="false" outlineLevel="0" collapsed="false">
      <c r="B16314" s="0" t="s">
        <v>35</v>
      </c>
    </row>
    <row r="16316" customFormat="false" ht="12.8" hidden="false" customHeight="false" outlineLevel="0" collapsed="false">
      <c r="A16316" s="0" t="s">
        <v>6333</v>
      </c>
      <c r="B16316" s="0" t="str">
        <f aca="false">HYPERLINK("https://lindat.mff.cuni.cz/services/teitok/pdtc10/index.php?action=vallex&amp;frame=v-w2029f2", "nachystat (v-w2029f2)")</f>
        <v>nachystat (v-w2029f2)</v>
      </c>
    </row>
    <row r="16317" customFormat="false" ht="12.8" hidden="false" customHeight="false" outlineLevel="0" collapsed="false">
      <c r="B16317" s="0" t="s">
        <v>7</v>
      </c>
    </row>
    <row r="16318" customFormat="false" ht="12.8" hidden="false" customHeight="false" outlineLevel="0" collapsed="false">
      <c r="B16318" s="0" t="s">
        <v>14</v>
      </c>
    </row>
    <row r="16320" customFormat="false" ht="12.8" hidden="false" customHeight="false" outlineLevel="0" collapsed="false">
      <c r="A16320" s="0" t="s">
        <v>6334</v>
      </c>
      <c r="B16320" s="0" t="str">
        <f aca="false">HYPERLINK("https://lindat.mff.cuni.cz/services/teitok/pdtc10/index.php?action=vallex&amp;frame=v-w2030f1", "nachytat (v-w2030f1)")</f>
        <v>nachytat (v-w2030f1)</v>
      </c>
    </row>
    <row r="16321" customFormat="false" ht="12.8" hidden="false" customHeight="false" outlineLevel="0" collapsed="false">
      <c r="B16321" s="0" t="s">
        <v>7</v>
      </c>
    </row>
    <row r="16322" customFormat="false" ht="12.8" hidden="false" customHeight="false" outlineLevel="0" collapsed="false">
      <c r="B16322" s="0" t="s">
        <v>81</v>
      </c>
      <c r="C16322" s="0" t="s">
        <v>6335</v>
      </c>
    </row>
    <row r="16323" customFormat="false" ht="12.8" hidden="false" customHeight="false" outlineLevel="0" collapsed="false">
      <c r="B16323" s="0" t="s">
        <v>6336</v>
      </c>
      <c r="C16323" s="0" t="s">
        <v>6319</v>
      </c>
    </row>
    <row r="16325" customFormat="false" ht="12.8" hidden="false" customHeight="false" outlineLevel="0" collapsed="false">
      <c r="A16325" s="0" t="s">
        <v>6337</v>
      </c>
      <c r="B16325" s="0" t="str">
        <f aca="false">HYPERLINK("https://lindat.mff.cuni.cz/services/teitok/pdtc10/index.php?action=vallex&amp;frame=v-w2030f2_ZU", "nachytat (v-w2030f2_ZU)")</f>
        <v>nachytat (v-w2030f2_ZU)</v>
      </c>
    </row>
    <row r="16326" customFormat="false" ht="12.8" hidden="false" customHeight="false" outlineLevel="0" collapsed="false">
      <c r="B16326" s="0" t="s">
        <v>7</v>
      </c>
    </row>
    <row r="16327" customFormat="false" ht="12.8" hidden="false" customHeight="false" outlineLevel="0" collapsed="false">
      <c r="B16327" s="0" t="s">
        <v>14</v>
      </c>
    </row>
    <row r="16329" customFormat="false" ht="12.8" hidden="false" customHeight="false" outlineLevel="0" collapsed="false">
      <c r="A16329" s="0" t="s">
        <v>6338</v>
      </c>
      <c r="B16329" s="0" t="str">
        <f aca="false">HYPERLINK("https://lindat.mff.cuni.cz/services/teitok/pdtc10/index.php?action=vallex&amp;frame=v-w12112_ZUf1_ZU", "nachytat se (v-w12112_ZUf1_ZU)")</f>
        <v>nachytat se (v-w12112_ZUf1_ZU)</v>
      </c>
    </row>
    <row r="16330" customFormat="false" ht="12.8" hidden="false" customHeight="false" outlineLevel="0" collapsed="false">
      <c r="B16330" s="0" t="s">
        <v>7</v>
      </c>
    </row>
    <row r="16331" customFormat="false" ht="12.8" hidden="false" customHeight="false" outlineLevel="0" collapsed="false">
      <c r="B16331" s="0" t="s">
        <v>63</v>
      </c>
    </row>
    <row r="16333" customFormat="false" ht="12.8" hidden="false" customHeight="false" outlineLevel="0" collapsed="false">
      <c r="A16333" s="0" t="s">
        <v>6339</v>
      </c>
      <c r="B16333" s="0" t="str">
        <f aca="false">HYPERLINK("https://lindat.mff.cuni.cz/services/teitok/pdtc10/index.php?action=vallex&amp;frame=v-w12112_ZUf2_ZU", "nachytat se (v-w12112_ZUf2_ZU)")</f>
        <v>nachytat se (v-w12112_ZUf2_ZU)</v>
      </c>
    </row>
    <row r="16334" customFormat="false" ht="12.8" hidden="false" customHeight="false" outlineLevel="0" collapsed="false">
      <c r="B16334" s="0" t="s">
        <v>7</v>
      </c>
    </row>
    <row r="16335" customFormat="false" ht="12.8" hidden="false" customHeight="false" outlineLevel="0" collapsed="false">
      <c r="B16335" s="0" t="s">
        <v>1059</v>
      </c>
    </row>
    <row r="16337" customFormat="false" ht="12.8" hidden="false" customHeight="false" outlineLevel="0" collapsed="false">
      <c r="A16337" s="0" t="s">
        <v>6340</v>
      </c>
      <c r="B16337" s="0" t="str">
        <f aca="false">HYPERLINK("https://lindat.mff.cuni.cz/services/teitok/pdtc10/index.php?action=vallex&amp;frame=v-w2023f1", "nacházet (v-w2023f1)")</f>
        <v>nacházet (v-w2023f1)</v>
      </c>
    </row>
    <row r="16338" customFormat="false" ht="12.8" hidden="false" customHeight="false" outlineLevel="0" collapsed="false">
      <c r="B16338" s="0" t="s">
        <v>7</v>
      </c>
      <c r="C16338" s="0" t="s">
        <v>6341</v>
      </c>
      <c r="D16338" s="0" t="s">
        <v>6342</v>
      </c>
      <c r="E16338" s="0" t="s">
        <v>6342</v>
      </c>
      <c r="F16338" s="0" t="s">
        <v>6342</v>
      </c>
    </row>
    <row r="16339" customFormat="false" ht="12.8" hidden="false" customHeight="false" outlineLevel="0" collapsed="false">
      <c r="B16339" s="0" t="s">
        <v>172</v>
      </c>
      <c r="C16339" s="0" t="s">
        <v>6343</v>
      </c>
      <c r="D16339" s="0" t="s">
        <v>6344</v>
      </c>
      <c r="E16339" s="0" t="s">
        <v>6344</v>
      </c>
      <c r="F16339" s="0" t="s">
        <v>6344</v>
      </c>
    </row>
    <row r="16341" customFormat="false" ht="12.8" hidden="false" customHeight="false" outlineLevel="0" collapsed="false">
      <c r="A16341" s="0" t="s">
        <v>6345</v>
      </c>
      <c r="B16341" s="0" t="str">
        <f aca="false">HYPERLINK("https://lindat.mff.cuni.cz/services/teitok/pdtc10/index.php?action=vallex&amp;frame=v-w2023f3_ZU", "nacházet (v-w2023f3_ZU)")</f>
        <v>nacházet (v-w2023f3_ZU)</v>
      </c>
    </row>
    <row r="16342" customFormat="false" ht="12.8" hidden="false" customHeight="false" outlineLevel="0" collapsed="false">
      <c r="B16342" s="0" t="s">
        <v>7</v>
      </c>
      <c r="C16342" s="0" t="s">
        <v>2736</v>
      </c>
    </row>
    <row r="16343" customFormat="false" ht="12.8" hidden="false" customHeight="false" outlineLevel="0" collapsed="false">
      <c r="B16343" s="0" t="s">
        <v>6346</v>
      </c>
      <c r="C16343" s="0" t="s">
        <v>6347</v>
      </c>
    </row>
    <row r="16345" customFormat="false" ht="12.8" hidden="false" customHeight="false" outlineLevel="0" collapsed="false">
      <c r="A16345" s="0" t="s">
        <v>6345</v>
      </c>
      <c r="B16345" s="0" t="str">
        <f aca="false">HYPERLINK("https://lindat.mff.cuni.cz/services/teitok/pdtc10/index.php?action=vallex&amp;frame=v-w2023f2", "nacházet (v-w2023f2) - substituted with v-w2023f3_ZU")</f>
        <v>nacházet (v-w2023f2) - substituted with v-w2023f3_ZU</v>
      </c>
    </row>
    <row r="16346" customFormat="false" ht="12.8" hidden="false" customHeight="false" outlineLevel="0" collapsed="false">
      <c r="B16346" s="0" t="s">
        <v>7</v>
      </c>
      <c r="C16346" s="0" t="s">
        <v>1286</v>
      </c>
    </row>
    <row r="16347" customFormat="false" ht="12.8" hidden="false" customHeight="false" outlineLevel="0" collapsed="false">
      <c r="B16347" s="0" t="s">
        <v>6346</v>
      </c>
      <c r="C16347" s="0" t="s">
        <v>2359</v>
      </c>
    </row>
    <row r="16349" customFormat="false" ht="12.8" hidden="false" customHeight="false" outlineLevel="0" collapsed="false">
      <c r="A16349" s="0" t="s">
        <v>6345</v>
      </c>
      <c r="B16349" s="0" t="str">
        <f aca="false">HYPERLINK("https://lindat.mff.cuni.cz/services/teitok/pdtc10/index.php?action=vallex&amp;frame=v-w2023hsa_933", "nacházet (v-w2023hsa_933) - substituted with v-w2023f3_ZU")</f>
        <v>nacházet (v-w2023hsa_933) - substituted with v-w2023f3_ZU</v>
      </c>
    </row>
    <row r="16350" customFormat="false" ht="12.8" hidden="false" customHeight="false" outlineLevel="0" collapsed="false">
      <c r="B16350" s="0" t="s">
        <v>7</v>
      </c>
    </row>
    <row r="16351" customFormat="false" ht="12.8" hidden="false" customHeight="false" outlineLevel="0" collapsed="false">
      <c r="B16351" s="0" t="s">
        <v>6346</v>
      </c>
    </row>
    <row r="16353" customFormat="false" ht="12.8" hidden="false" customHeight="false" outlineLevel="0" collapsed="false">
      <c r="A16353" s="0" t="s">
        <v>6348</v>
      </c>
      <c r="B16353" s="0" t="str">
        <f aca="false">HYPERLINK("https://lindat.mff.cuni.cz/services/teitok/pdtc10/index.php?action=vallex&amp;frame=v-w2024f2", "nacházet se (v-w2024f2)")</f>
        <v>nacházet se (v-w2024f2)</v>
      </c>
    </row>
    <row r="16354" customFormat="false" ht="12.8" hidden="false" customHeight="false" outlineLevel="0" collapsed="false">
      <c r="B16354" s="0" t="s">
        <v>7</v>
      </c>
      <c r="C16354" s="0" t="s">
        <v>6349</v>
      </c>
      <c r="D16354" s="0" t="s">
        <v>6350</v>
      </c>
      <c r="E16354" s="0" t="s">
        <v>6350</v>
      </c>
      <c r="F16354" s="0" t="s">
        <v>6351</v>
      </c>
    </row>
    <row r="16355" customFormat="false" ht="12.8" hidden="false" customHeight="false" outlineLevel="0" collapsed="false">
      <c r="B16355" s="0" t="s">
        <v>2804</v>
      </c>
      <c r="C16355" s="0" t="s">
        <v>6352</v>
      </c>
      <c r="D16355" s="0" t="s">
        <v>6353</v>
      </c>
      <c r="E16355" s="0" t="s">
        <v>6353</v>
      </c>
      <c r="F16355" s="0" t="s">
        <v>6353</v>
      </c>
    </row>
    <row r="16357" customFormat="false" ht="12.8" hidden="false" customHeight="false" outlineLevel="0" collapsed="false">
      <c r="A16357" s="0" t="s">
        <v>6354</v>
      </c>
      <c r="B16357" s="0" t="str">
        <f aca="false">HYPERLINK("https://lindat.mff.cuni.cz/services/teitok/pdtc10/index.php?action=vallex&amp;frame=v-w2024f1", "nacházet se (v-w2024f1)")</f>
        <v>nacházet se (v-w2024f1)</v>
      </c>
    </row>
    <row r="16358" customFormat="false" ht="12.8" hidden="false" customHeight="false" outlineLevel="0" collapsed="false">
      <c r="B16358" s="0" t="s">
        <v>7</v>
      </c>
      <c r="C16358" s="0" t="s">
        <v>6355</v>
      </c>
      <c r="D16358" s="0" t="s">
        <v>5154</v>
      </c>
      <c r="E16358" s="0" t="s">
        <v>5155</v>
      </c>
      <c r="F16358" s="0" t="s">
        <v>5155</v>
      </c>
    </row>
    <row r="16359" customFormat="false" ht="12.8" hidden="false" customHeight="false" outlineLevel="0" collapsed="false">
      <c r="B16359" s="0" t="s">
        <v>11</v>
      </c>
      <c r="C16359" s="0" t="s">
        <v>6356</v>
      </c>
      <c r="D16359" s="0" t="s">
        <v>5157</v>
      </c>
      <c r="E16359" s="0" t="s">
        <v>5158</v>
      </c>
      <c r="F16359" s="0" t="s">
        <v>5158</v>
      </c>
    </row>
    <row r="16361" customFormat="false" ht="12.8" hidden="false" customHeight="false" outlineLevel="0" collapsed="false">
      <c r="A16361" s="0" t="s">
        <v>6357</v>
      </c>
      <c r="B16361" s="0" t="str">
        <f aca="false">HYPERLINK("https://lindat.mff.cuni.cz/services/teitok/pdtc10/index.php?action=vallex&amp;frame=v-whsa_901hsa_902", "nachýlit (v-whsa_901hsa_902)")</f>
        <v>nachýlit (v-whsa_901hsa_902)</v>
      </c>
    </row>
    <row r="16362" customFormat="false" ht="12.8" hidden="false" customHeight="false" outlineLevel="0" collapsed="false">
      <c r="B16362" s="0" t="s">
        <v>7</v>
      </c>
      <c r="C16362" s="0" t="s">
        <v>191</v>
      </c>
      <c r="D16362" s="0" t="s">
        <v>2323</v>
      </c>
      <c r="E16362" s="0" t="s">
        <v>2323</v>
      </c>
      <c r="F16362" s="0" t="s">
        <v>2323</v>
      </c>
    </row>
    <row r="16363" customFormat="false" ht="12.8" hidden="false" customHeight="false" outlineLevel="0" collapsed="false">
      <c r="B16363" s="0" t="s">
        <v>14</v>
      </c>
      <c r="C16363" s="0" t="s">
        <v>567</v>
      </c>
      <c r="D16363" s="0" t="s">
        <v>1918</v>
      </c>
      <c r="E16363" s="0" t="s">
        <v>1918</v>
      </c>
      <c r="F16363" s="0" t="s">
        <v>1918</v>
      </c>
    </row>
    <row r="16364" customFormat="false" ht="12.8" hidden="false" customHeight="false" outlineLevel="0" collapsed="false">
      <c r="B16364" s="0" t="s">
        <v>124</v>
      </c>
      <c r="D16364" s="0" t="s">
        <v>2325</v>
      </c>
      <c r="E16364" s="0" t="s">
        <v>2325</v>
      </c>
      <c r="F16364" s="0" t="s">
        <v>2325</v>
      </c>
    </row>
    <row r="16366" customFormat="false" ht="12.8" hidden="false" customHeight="false" outlineLevel="0" collapsed="false">
      <c r="A16366" s="0" t="s">
        <v>6358</v>
      </c>
      <c r="B16366" s="0" t="str">
        <f aca="false">HYPERLINK("https://lindat.mff.cuni.cz/services/teitok/pdtc10/index.php?action=vallex&amp;frame=v-w12238_ZUf1_ZU", "nacouvat (v-w12238_ZUf1_ZU)")</f>
        <v>nacouvat (v-w12238_ZUf1_ZU)</v>
      </c>
    </row>
    <row r="16367" customFormat="false" ht="12.8" hidden="false" customHeight="false" outlineLevel="0" collapsed="false">
      <c r="B16367" s="0" t="s">
        <v>7</v>
      </c>
    </row>
    <row r="16368" customFormat="false" ht="12.8" hidden="false" customHeight="false" outlineLevel="0" collapsed="false">
      <c r="B16368" s="0" t="s">
        <v>338</v>
      </c>
    </row>
    <row r="16370" customFormat="false" ht="12.8" hidden="false" customHeight="false" outlineLevel="0" collapsed="false">
      <c r="A16370" s="0" t="s">
        <v>6359</v>
      </c>
      <c r="B16370" s="0" t="str">
        <f aca="false">HYPERLINK("https://lindat.mff.cuni.cz/services/teitok/pdtc10/index.php?action=vallex&amp;frame=v-w11201f3", "nacpat (v-w11201f3)")</f>
        <v>nacpat (v-w11201f3)</v>
      </c>
    </row>
    <row r="16371" customFormat="false" ht="12.8" hidden="false" customHeight="false" outlineLevel="0" collapsed="false">
      <c r="B16371" s="0" t="s">
        <v>7</v>
      </c>
      <c r="C16371" s="0" t="s">
        <v>335</v>
      </c>
      <c r="D16371" s="0" t="s">
        <v>6360</v>
      </c>
      <c r="E16371" s="0" t="s">
        <v>6360</v>
      </c>
      <c r="F16371" s="0" t="s">
        <v>6360</v>
      </c>
    </row>
    <row r="16372" customFormat="false" ht="12.8" hidden="false" customHeight="false" outlineLevel="0" collapsed="false">
      <c r="B16372" s="0" t="s">
        <v>14</v>
      </c>
      <c r="C16372" s="0" t="s">
        <v>384</v>
      </c>
      <c r="D16372" s="0" t="s">
        <v>115</v>
      </c>
      <c r="E16372" s="0" t="s">
        <v>115</v>
      </c>
      <c r="F16372" s="0" t="s">
        <v>115</v>
      </c>
    </row>
    <row r="16373" customFormat="false" ht="12.8" hidden="false" customHeight="false" outlineLevel="0" collapsed="false">
      <c r="B16373" s="0" t="s">
        <v>6292</v>
      </c>
      <c r="C16373" s="0" t="s">
        <v>182</v>
      </c>
      <c r="D16373" s="0" t="s">
        <v>6361</v>
      </c>
      <c r="E16373" s="0" t="s">
        <v>6361</v>
      </c>
      <c r="F16373" s="0" t="s">
        <v>6361</v>
      </c>
    </row>
    <row r="16375" customFormat="false" ht="12.8" hidden="false" customHeight="false" outlineLevel="0" collapsed="false">
      <c r="A16375" s="0" t="s">
        <v>6362</v>
      </c>
      <c r="B16375" s="0" t="str">
        <f aca="false">HYPERLINK("https://lindat.mff.cuni.cz/services/teitok/pdtc10/index.php?action=vallex&amp;frame=v-w11201f2", "nacpat (v-w11201f2)")</f>
        <v>nacpat (v-w11201f2)</v>
      </c>
    </row>
    <row r="16376" customFormat="false" ht="12.8" hidden="false" customHeight="false" outlineLevel="0" collapsed="false">
      <c r="B16376" s="0" t="s">
        <v>7</v>
      </c>
      <c r="D16376" s="0" t="s">
        <v>6360</v>
      </c>
      <c r="E16376" s="0" t="s">
        <v>6360</v>
      </c>
      <c r="F16376" s="0" t="s">
        <v>6360</v>
      </c>
    </row>
    <row r="16377" customFormat="false" ht="12.8" hidden="false" customHeight="false" outlineLevel="0" collapsed="false">
      <c r="B16377" s="0" t="s">
        <v>14</v>
      </c>
      <c r="D16377" s="0" t="s">
        <v>6363</v>
      </c>
      <c r="E16377" s="0" t="s">
        <v>6363</v>
      </c>
      <c r="F16377" s="0" t="s">
        <v>6363</v>
      </c>
    </row>
    <row r="16378" customFormat="false" ht="12.8" hidden="false" customHeight="false" outlineLevel="0" collapsed="false">
      <c r="B16378" s="0" t="s">
        <v>124</v>
      </c>
      <c r="C16378" s="0" t="s">
        <v>2162</v>
      </c>
      <c r="D16378" s="0" t="s">
        <v>6364</v>
      </c>
      <c r="E16378" s="0" t="s">
        <v>6364</v>
      </c>
      <c r="F16378" s="0" t="s">
        <v>6364</v>
      </c>
    </row>
    <row r="16380" customFormat="false" ht="12.8" hidden="false" customHeight="false" outlineLevel="0" collapsed="false">
      <c r="A16380" s="0" t="s">
        <v>6365</v>
      </c>
      <c r="B16380" s="0" t="str">
        <f aca="false">HYPERLINK("https://lindat.mff.cuni.cz/services/teitok/pdtc10/index.php?action=vallex&amp;frame=v-whsa_1009hsa_1010", "nacvičit (v-whsa_1009hsa_1010)")</f>
        <v>nacvičit (v-whsa_1009hsa_1010)</v>
      </c>
    </row>
    <row r="16381" customFormat="false" ht="12.8" hidden="false" customHeight="false" outlineLevel="0" collapsed="false">
      <c r="B16381" s="0" t="s">
        <v>7</v>
      </c>
      <c r="D16381" s="0" t="s">
        <v>6366</v>
      </c>
      <c r="E16381" s="0" t="s">
        <v>6366</v>
      </c>
      <c r="F16381" s="0" t="s">
        <v>6366</v>
      </c>
    </row>
    <row r="16382" customFormat="false" ht="12.8" hidden="false" customHeight="false" outlineLevel="0" collapsed="false">
      <c r="B16382" s="0" t="s">
        <v>14</v>
      </c>
      <c r="D16382" s="0" t="s">
        <v>6367</v>
      </c>
      <c r="E16382" s="0" t="s">
        <v>6367</v>
      </c>
      <c r="F16382" s="0" t="s">
        <v>6367</v>
      </c>
    </row>
    <row r="16384" customFormat="false" ht="12.8" hidden="false" customHeight="false" outlineLevel="0" collapsed="false">
      <c r="A16384" s="0" t="s">
        <v>6368</v>
      </c>
      <c r="B16384" s="0" t="str">
        <f aca="false">HYPERLINK("https://lindat.mff.cuni.cz/services/teitok/pdtc10/index.php?action=vallex&amp;frame=v-w1962f1", "nacvičovat (v-w1962f1)")</f>
        <v>nacvičovat (v-w1962f1)</v>
      </c>
    </row>
    <row r="16385" customFormat="false" ht="12.8" hidden="false" customHeight="false" outlineLevel="0" collapsed="false">
      <c r="B16385" s="0" t="s">
        <v>7</v>
      </c>
    </row>
    <row r="16386" customFormat="false" ht="12.8" hidden="false" customHeight="false" outlineLevel="0" collapsed="false">
      <c r="B16386" s="0" t="s">
        <v>14</v>
      </c>
    </row>
    <row r="16388" customFormat="false" ht="12.8" hidden="false" customHeight="false" outlineLevel="0" collapsed="false">
      <c r="A16388" s="0" t="s">
        <v>6369</v>
      </c>
      <c r="B16388" s="0" t="str">
        <f aca="false">HYPERLINK("https://lindat.mff.cuni.cz/services/teitok/pdtc10/index.php?action=vallex&amp;frame=v-w1971f1", "nadat (v-w1971f1)")</f>
        <v>nadat (v-w1971f1)</v>
      </c>
    </row>
    <row r="16389" customFormat="false" ht="12.8" hidden="false" customHeight="false" outlineLevel="0" collapsed="false">
      <c r="B16389" s="0" t="s">
        <v>7</v>
      </c>
    </row>
    <row r="16390" customFormat="false" ht="12.8" hidden="false" customHeight="false" outlineLevel="0" collapsed="false">
      <c r="B16390" s="0" t="s">
        <v>216</v>
      </c>
    </row>
    <row r="16391" customFormat="false" ht="12.8" hidden="false" customHeight="false" outlineLevel="0" collapsed="false">
      <c r="B16391" s="0" t="s">
        <v>81</v>
      </c>
    </row>
    <row r="16393" customFormat="false" ht="12.8" hidden="false" customHeight="false" outlineLevel="0" collapsed="false">
      <c r="A16393" s="0" t="s">
        <v>6370</v>
      </c>
      <c r="B16393" s="0" t="str">
        <f aca="false">HYPERLINK("https://lindat.mff.cuni.cz/services/teitok/pdtc10/index.php?action=vallex&amp;frame=v-w1971f2_ZU", "nadat (v-w1971f2_ZU)")</f>
        <v>nadat (v-w1971f2_ZU)</v>
      </c>
    </row>
    <row r="16394" customFormat="false" ht="12.8" hidden="false" customHeight="false" outlineLevel="0" collapsed="false">
      <c r="B16394" s="0" t="s">
        <v>7</v>
      </c>
    </row>
    <row r="16395" customFormat="false" ht="12.8" hidden="false" customHeight="false" outlineLevel="0" collapsed="false">
      <c r="B16395" s="0" t="s">
        <v>48</v>
      </c>
    </row>
    <row r="16396" customFormat="false" ht="12.8" hidden="false" customHeight="false" outlineLevel="0" collapsed="false">
      <c r="B16396" s="0" t="s">
        <v>3745</v>
      </c>
    </row>
    <row r="16398" customFormat="false" ht="12.8" hidden="false" customHeight="false" outlineLevel="0" collapsed="false">
      <c r="A16398" s="0" t="s">
        <v>6371</v>
      </c>
      <c r="B16398" s="0" t="str">
        <f aca="false">HYPERLINK("https://lindat.mff.cuni.cz/services/teitok/pdtc10/index.php?action=vallex&amp;frame=v-w11016f2", "nadbíhat (v-w11016f2)")</f>
        <v>nadbíhat (v-w11016f2)</v>
      </c>
    </row>
    <row r="16399" customFormat="false" ht="12.8" hidden="false" customHeight="false" outlineLevel="0" collapsed="false">
      <c r="B16399" s="0" t="s">
        <v>7</v>
      </c>
      <c r="C16399" s="0" t="s">
        <v>569</v>
      </c>
      <c r="D16399" s="0" t="s">
        <v>6372</v>
      </c>
      <c r="E16399" s="0" t="s">
        <v>6372</v>
      </c>
      <c r="F16399" s="0" t="s">
        <v>6372</v>
      </c>
    </row>
    <row r="16400" customFormat="false" ht="12.8" hidden="false" customHeight="false" outlineLevel="0" collapsed="false">
      <c r="B16400" s="0" t="s">
        <v>142</v>
      </c>
      <c r="C16400" s="0" t="s">
        <v>74</v>
      </c>
      <c r="D16400" s="0" t="s">
        <v>6373</v>
      </c>
      <c r="E16400" s="0" t="s">
        <v>6373</v>
      </c>
      <c r="F16400" s="0" t="s">
        <v>6373</v>
      </c>
    </row>
    <row r="16402" customFormat="false" ht="12.8" hidden="false" customHeight="false" outlineLevel="0" collapsed="false">
      <c r="A16402" s="0" t="s">
        <v>6374</v>
      </c>
      <c r="B16402" s="0" t="str">
        <f aca="false">HYPERLINK("https://lindat.mff.cuni.cz/services/teitok/pdtc10/index.php?action=vallex&amp;frame=v-w11518_ZUf1_ZU", "nadbízet (v-w11518_ZUf1_ZU)")</f>
        <v>nadbízet (v-w11518_ZUf1_ZU)</v>
      </c>
    </row>
    <row r="16403" customFormat="false" ht="12.8" hidden="false" customHeight="false" outlineLevel="0" collapsed="false">
      <c r="B16403" s="0" t="s">
        <v>7</v>
      </c>
      <c r="C16403" s="0" t="s">
        <v>191</v>
      </c>
      <c r="D16403" s="0" t="s">
        <v>108</v>
      </c>
      <c r="E16403" s="0" t="s">
        <v>108</v>
      </c>
      <c r="F16403" s="0" t="s">
        <v>108</v>
      </c>
    </row>
    <row r="16404" customFormat="false" ht="12.8" hidden="false" customHeight="false" outlineLevel="0" collapsed="false">
      <c r="B16404" s="0" t="s">
        <v>14</v>
      </c>
      <c r="C16404" s="0" t="s">
        <v>47</v>
      </c>
      <c r="D16404" s="0" t="s">
        <v>159</v>
      </c>
      <c r="E16404" s="0" t="s">
        <v>159</v>
      </c>
      <c r="F16404" s="0" t="s">
        <v>159</v>
      </c>
    </row>
    <row r="16406" customFormat="false" ht="12.8" hidden="false" customHeight="false" outlineLevel="0" collapsed="false">
      <c r="A16406" s="0" t="s">
        <v>6375</v>
      </c>
      <c r="B16406" s="0" t="str">
        <f aca="false">HYPERLINK("https://lindat.mff.cuni.cz/services/teitok/pdtc10/index.php?action=vallex&amp;frame=v-w11231f2", "nadcenit (v-w11231f2)")</f>
        <v>nadcenit (v-w11231f2)</v>
      </c>
    </row>
    <row r="16407" customFormat="false" ht="12.8" hidden="false" customHeight="false" outlineLevel="0" collapsed="false">
      <c r="B16407" s="0" t="s">
        <v>7</v>
      </c>
      <c r="C16407" s="0" t="s">
        <v>335</v>
      </c>
      <c r="D16407" s="0" t="s">
        <v>108</v>
      </c>
      <c r="E16407" s="0" t="s">
        <v>108</v>
      </c>
      <c r="F16407" s="0" t="s">
        <v>108</v>
      </c>
    </row>
    <row r="16408" customFormat="false" ht="12.8" hidden="false" customHeight="false" outlineLevel="0" collapsed="false">
      <c r="B16408" s="0" t="s">
        <v>14</v>
      </c>
      <c r="C16408" s="0" t="s">
        <v>78</v>
      </c>
      <c r="D16408" s="0" t="s">
        <v>159</v>
      </c>
      <c r="E16408" s="0" t="s">
        <v>159</v>
      </c>
      <c r="F16408" s="0" t="s">
        <v>159</v>
      </c>
    </row>
    <row r="16410" customFormat="false" ht="12.8" hidden="false" customHeight="false" outlineLevel="0" collapsed="false">
      <c r="A16410" s="0" t="s">
        <v>6376</v>
      </c>
      <c r="B16410" s="0" t="str">
        <f aca="false">HYPERLINK("https://lindat.mff.cuni.cz/services/teitok/pdtc10/index.php?action=vallex&amp;frame=v-w1983f1", "nadchnout (v-w1983f1)")</f>
        <v>nadchnout (v-w1983f1)</v>
      </c>
    </row>
    <row r="16411" customFormat="false" ht="12.8" hidden="false" customHeight="false" outlineLevel="0" collapsed="false">
      <c r="B16411" s="0" t="s">
        <v>765</v>
      </c>
      <c r="C16411" s="0" t="s">
        <v>6377</v>
      </c>
      <c r="D16411" s="0" t="s">
        <v>6378</v>
      </c>
      <c r="E16411" s="0" t="s">
        <v>6378</v>
      </c>
      <c r="F16411" s="0" t="s">
        <v>6378</v>
      </c>
    </row>
    <row r="16412" customFormat="false" ht="12.8" hidden="false" customHeight="false" outlineLevel="0" collapsed="false">
      <c r="B16412" s="0" t="s">
        <v>14</v>
      </c>
      <c r="C16412" s="0" t="s">
        <v>6379</v>
      </c>
      <c r="D16412" s="0" t="s">
        <v>1315</v>
      </c>
      <c r="E16412" s="0" t="s">
        <v>1315</v>
      </c>
      <c r="F16412" s="0" t="s">
        <v>1315</v>
      </c>
    </row>
    <row r="16414" customFormat="false" ht="12.8" hidden="false" customHeight="false" outlineLevel="0" collapsed="false">
      <c r="A16414" s="0" t="s">
        <v>6380</v>
      </c>
      <c r="B16414" s="0" t="str">
        <f aca="false">HYPERLINK("https://lindat.mff.cuni.cz/services/teitok/pdtc10/index.php?action=vallex&amp;frame=v-w1984f1", "nadchnout se (v-w1984f1)")</f>
        <v>nadchnout se (v-w1984f1)</v>
      </c>
    </row>
    <row r="16415" customFormat="false" ht="12.8" hidden="false" customHeight="false" outlineLevel="0" collapsed="false">
      <c r="B16415" s="0" t="s">
        <v>7</v>
      </c>
      <c r="C16415" s="0" t="s">
        <v>200</v>
      </c>
    </row>
    <row r="16416" customFormat="false" ht="12.8" hidden="false" customHeight="false" outlineLevel="0" collapsed="false">
      <c r="B16416" s="0" t="s">
        <v>1685</v>
      </c>
    </row>
    <row r="16418" customFormat="false" ht="12.8" hidden="false" customHeight="false" outlineLevel="0" collapsed="false">
      <c r="A16418" s="0" t="s">
        <v>6381</v>
      </c>
      <c r="B16418" s="0" t="str">
        <f aca="false">HYPERLINK("https://lindat.mff.cuni.cz/services/teitok/pdtc10/index.php?action=vallex&amp;frame=v-w1982f1", "nadcházet (v-w1982f1)")</f>
        <v>nadcházet (v-w1982f1)</v>
      </c>
    </row>
    <row r="16419" customFormat="false" ht="12.8" hidden="false" customHeight="false" outlineLevel="0" collapsed="false">
      <c r="B16419" s="0" t="s">
        <v>7</v>
      </c>
    </row>
    <row r="16421" customFormat="false" ht="12.8" hidden="false" customHeight="false" outlineLevel="0" collapsed="false">
      <c r="A16421" s="0" t="s">
        <v>6382</v>
      </c>
      <c r="B16421" s="0" t="str">
        <f aca="false">HYPERLINK("https://lindat.mff.cuni.cz/services/teitok/pdtc10/index.php?action=vallex&amp;frame=v-w11308f1", "nadechnout se (v-w11308f1)")</f>
        <v>nadechnout se (v-w11308f1)</v>
      </c>
    </row>
    <row r="16422" customFormat="false" ht="12.8" hidden="false" customHeight="false" outlineLevel="0" collapsed="false">
      <c r="B16422" s="0" t="s">
        <v>7</v>
      </c>
      <c r="D16422" s="0" t="s">
        <v>191</v>
      </c>
      <c r="E16422" s="0" t="s">
        <v>191</v>
      </c>
      <c r="F16422" s="0" t="s">
        <v>191</v>
      </c>
    </row>
    <row r="16423" customFormat="false" ht="12.8" hidden="false" customHeight="false" outlineLevel="0" collapsed="false">
      <c r="B16423" s="0" t="s">
        <v>739</v>
      </c>
      <c r="D16423" s="0" t="s">
        <v>155</v>
      </c>
      <c r="E16423" s="0" t="s">
        <v>155</v>
      </c>
      <c r="F16423" s="0" t="s">
        <v>155</v>
      </c>
    </row>
    <row r="16425" customFormat="false" ht="12.8" hidden="false" customHeight="false" outlineLevel="0" collapsed="false">
      <c r="A16425" s="0" t="s">
        <v>6383</v>
      </c>
      <c r="B16425" s="0" t="str">
        <f aca="false">HYPERLINK("https://lindat.mff.cuni.cz/services/teitok/pdtc10/index.php?action=vallex&amp;frame=v-w10157f2", "nadejít (v-w10157f2)")</f>
        <v>nadejít (v-w10157f2)</v>
      </c>
    </row>
    <row r="16426" customFormat="false" ht="12.8" hidden="false" customHeight="false" outlineLevel="0" collapsed="false">
      <c r="B16426" s="0" t="s">
        <v>7</v>
      </c>
      <c r="C16426" s="0" t="s">
        <v>6384</v>
      </c>
      <c r="D16426" s="0" t="s">
        <v>1899</v>
      </c>
      <c r="E16426" s="0" t="s">
        <v>1899</v>
      </c>
      <c r="F16426" s="0" t="s">
        <v>1899</v>
      </c>
    </row>
    <row r="16428" customFormat="false" ht="12.8" hidden="false" customHeight="false" outlineLevel="0" collapsed="false">
      <c r="A16428" s="0" t="s">
        <v>6385</v>
      </c>
      <c r="B16428" s="0" t="str">
        <f aca="false">HYPERLINK("https://lindat.mff.cuni.cz/services/teitok/pdtc10/index.php?action=vallex&amp;frame=v-whsa_804f1_ZU", "nadhazovat (v-whsa_804f1_ZU)")</f>
        <v>nadhazovat (v-whsa_804f1_ZU)</v>
      </c>
    </row>
    <row r="16429" customFormat="false" ht="12.8" hidden="false" customHeight="false" outlineLevel="0" collapsed="false">
      <c r="B16429" s="0" t="s">
        <v>7</v>
      </c>
      <c r="C16429" s="0" t="s">
        <v>184</v>
      </c>
      <c r="D16429" s="0" t="s">
        <v>194</v>
      </c>
      <c r="E16429" s="0" t="s">
        <v>194</v>
      </c>
      <c r="F16429" s="0" t="s">
        <v>194</v>
      </c>
    </row>
    <row r="16430" customFormat="false" ht="12.8" hidden="false" customHeight="false" outlineLevel="0" collapsed="false">
      <c r="B16430" s="0" t="s">
        <v>297</v>
      </c>
      <c r="C16430" s="0" t="s">
        <v>115</v>
      </c>
      <c r="D16430" s="0" t="s">
        <v>110</v>
      </c>
      <c r="E16430" s="0" t="s">
        <v>110</v>
      </c>
      <c r="F16430" s="0" t="s">
        <v>110</v>
      </c>
    </row>
    <row r="16431" customFormat="false" ht="12.8" hidden="false" customHeight="false" outlineLevel="0" collapsed="false">
      <c r="B16431" s="0" t="s">
        <v>106</v>
      </c>
      <c r="C16431" s="0" t="s">
        <v>1165</v>
      </c>
      <c r="D16431" s="0" t="s">
        <v>1165</v>
      </c>
      <c r="E16431" s="0" t="s">
        <v>1165</v>
      </c>
      <c r="F16431" s="0" t="s">
        <v>1165</v>
      </c>
    </row>
    <row r="16433" customFormat="false" ht="12.8" hidden="false" customHeight="false" outlineLevel="0" collapsed="false">
      <c r="A16433" s="0" t="s">
        <v>6385</v>
      </c>
      <c r="B16433" s="0" t="str">
        <f aca="false">HYPERLINK("https://lindat.mff.cuni.cz/services/teitok/pdtc10/index.php?action=vallex&amp;frame=v-whsa_804hsa_805", "nadhazovat (v-whsa_804hsa_805) - substituted with v-whsa_804f1_ZU")</f>
        <v>nadhazovat (v-whsa_804hsa_805) - substituted with v-whsa_804f1_ZU</v>
      </c>
    </row>
    <row r="16434" customFormat="false" ht="12.8" hidden="false" customHeight="false" outlineLevel="0" collapsed="false">
      <c r="B16434" s="0" t="s">
        <v>7</v>
      </c>
    </row>
    <row r="16435" customFormat="false" ht="12.8" hidden="false" customHeight="false" outlineLevel="0" collapsed="false">
      <c r="B16435" s="0" t="s">
        <v>297</v>
      </c>
    </row>
    <row r="16436" customFormat="false" ht="12.8" hidden="false" customHeight="false" outlineLevel="0" collapsed="false">
      <c r="B16436" s="0" t="s">
        <v>106</v>
      </c>
    </row>
    <row r="16438" customFormat="false" ht="12.8" hidden="false" customHeight="false" outlineLevel="0" collapsed="false">
      <c r="A16438" s="0" t="s">
        <v>6386</v>
      </c>
      <c r="B16438" s="0" t="str">
        <f aca="false">HYPERLINK("https://lindat.mff.cuni.cz/services/teitok/pdtc10/index.php?action=vallex&amp;frame=v-w1979f1", "nadhodit (v-w1979f1)")</f>
        <v>nadhodit (v-w1979f1)</v>
      </c>
    </row>
    <row r="16439" customFormat="false" ht="12.8" hidden="false" customHeight="false" outlineLevel="0" collapsed="false">
      <c r="B16439" s="0" t="s">
        <v>7</v>
      </c>
    </row>
    <row r="16440" customFormat="false" ht="12.8" hidden="false" customHeight="false" outlineLevel="0" collapsed="false">
      <c r="B16440" s="0" t="s">
        <v>6387</v>
      </c>
    </row>
    <row r="16442" customFormat="false" ht="12.8" hidden="false" customHeight="false" outlineLevel="0" collapsed="false">
      <c r="A16442" s="0" t="s">
        <v>6388</v>
      </c>
      <c r="B16442" s="0" t="str">
        <f aca="false">HYPERLINK("https://lindat.mff.cuni.cz/services/teitok/pdtc10/index.php?action=vallex&amp;frame=v-w1979f2", "nadhodit (v-w1979f2)")</f>
        <v>nadhodit (v-w1979f2)</v>
      </c>
    </row>
    <row r="16443" customFormat="false" ht="12.8" hidden="false" customHeight="false" outlineLevel="0" collapsed="false">
      <c r="B16443" s="0" t="s">
        <v>7</v>
      </c>
    </row>
    <row r="16444" customFormat="false" ht="12.8" hidden="false" customHeight="false" outlineLevel="0" collapsed="false">
      <c r="B16444" s="0" t="s">
        <v>14</v>
      </c>
    </row>
    <row r="16446" customFormat="false" ht="12.8" hidden="false" customHeight="false" outlineLevel="0" collapsed="false">
      <c r="A16446" s="0" t="s">
        <v>6389</v>
      </c>
      <c r="B16446" s="0" t="str">
        <f aca="false">HYPERLINK("https://lindat.mff.cuni.cz/services/teitok/pdtc10/index.php?action=vallex&amp;frame=v-w12210_ZUf1_ZU", "nadhodnocovat (v-w12210_ZUf1_ZU)")</f>
        <v>nadhodnocovat (v-w12210_ZUf1_ZU)</v>
      </c>
    </row>
    <row r="16447" customFormat="false" ht="12.8" hidden="false" customHeight="false" outlineLevel="0" collapsed="false">
      <c r="B16447" s="0" t="s">
        <v>7</v>
      </c>
    </row>
    <row r="16448" customFormat="false" ht="12.8" hidden="false" customHeight="false" outlineLevel="0" collapsed="false">
      <c r="B16448" s="0" t="s">
        <v>14</v>
      </c>
    </row>
    <row r="16450" customFormat="false" ht="12.8" hidden="false" customHeight="false" outlineLevel="0" collapsed="false">
      <c r="A16450" s="0" t="s">
        <v>6390</v>
      </c>
      <c r="B16450" s="0" t="str">
        <f aca="false">HYPERLINK("https://lindat.mff.cuni.cz/services/teitok/pdtc10/index.php?action=vallex&amp;frame=v-w1981f1", "nadhodnotit (v-w1981f1)")</f>
        <v>nadhodnotit (v-w1981f1)</v>
      </c>
    </row>
    <row r="16451" customFormat="false" ht="12.8" hidden="false" customHeight="false" outlineLevel="0" collapsed="false">
      <c r="B16451" s="0" t="s">
        <v>7</v>
      </c>
      <c r="D16451" s="0" t="s">
        <v>108</v>
      </c>
      <c r="E16451" s="0" t="s">
        <v>108</v>
      </c>
      <c r="F16451" s="0" t="s">
        <v>108</v>
      </c>
    </row>
    <row r="16452" customFormat="false" ht="12.8" hidden="false" customHeight="false" outlineLevel="0" collapsed="false">
      <c r="B16452" s="0" t="s">
        <v>14</v>
      </c>
      <c r="D16452" s="0" t="s">
        <v>159</v>
      </c>
      <c r="E16452" s="0" t="s">
        <v>159</v>
      </c>
      <c r="F16452" s="0" t="s">
        <v>159</v>
      </c>
    </row>
    <row r="16454" customFormat="false" ht="12.8" hidden="false" customHeight="false" outlineLevel="0" collapsed="false">
      <c r="A16454" s="0" t="s">
        <v>6391</v>
      </c>
      <c r="B16454" s="0" t="str">
        <f aca="false">HYPERLINK("https://lindat.mff.cuni.cz/services/teitok/pdtc10/index.php?action=vallex&amp;frame=v-w1985f1", "nadiktovat (v-w1985f1)")</f>
        <v>nadiktovat (v-w1985f1)</v>
      </c>
    </row>
    <row r="16455" customFormat="false" ht="12.8" hidden="false" customHeight="false" outlineLevel="0" collapsed="false">
      <c r="B16455" s="0" t="s">
        <v>7</v>
      </c>
    </row>
    <row r="16456" customFormat="false" ht="12.8" hidden="false" customHeight="false" outlineLevel="0" collapsed="false">
      <c r="B16456" s="0" t="s">
        <v>367</v>
      </c>
    </row>
    <row r="16457" customFormat="false" ht="12.8" hidden="false" customHeight="false" outlineLevel="0" collapsed="false">
      <c r="B16457" s="0" t="s">
        <v>48</v>
      </c>
    </row>
    <row r="16459" customFormat="false" ht="12.8" hidden="false" customHeight="false" outlineLevel="0" collapsed="false">
      <c r="A16459" s="0" t="s">
        <v>6392</v>
      </c>
      <c r="B16459" s="0" t="str">
        <f aca="false">HYPERLINK("https://lindat.mff.cuni.cz/services/teitok/pdtc10/index.php?action=vallex&amp;frame=v-w1987f1", "nadlehčit (v-w1987f1)")</f>
        <v>nadlehčit (v-w1987f1)</v>
      </c>
    </row>
    <row r="16460" customFormat="false" ht="12.8" hidden="false" customHeight="false" outlineLevel="0" collapsed="false">
      <c r="B16460" s="0" t="s">
        <v>7</v>
      </c>
      <c r="D16460" s="0" t="s">
        <v>171</v>
      </c>
      <c r="E16460" s="0" t="s">
        <v>171</v>
      </c>
      <c r="F16460" s="0" t="s">
        <v>171</v>
      </c>
    </row>
    <row r="16461" customFormat="false" ht="12.8" hidden="false" customHeight="false" outlineLevel="0" collapsed="false">
      <c r="B16461" s="0" t="s">
        <v>172</v>
      </c>
      <c r="D16461" s="0" t="s">
        <v>174</v>
      </c>
      <c r="E16461" s="0" t="s">
        <v>174</v>
      </c>
      <c r="F16461" s="0" t="s">
        <v>174</v>
      </c>
    </row>
    <row r="16463" customFormat="false" ht="12.8" hidden="false" customHeight="false" outlineLevel="0" collapsed="false">
      <c r="A16463" s="0" t="s">
        <v>6393</v>
      </c>
      <c r="B16463" s="0" t="str">
        <f aca="false">HYPERLINK("https://lindat.mff.cuni.cz/services/teitok/pdtc10/index.php?action=vallex&amp;frame=v-w11803_ZUf1_ZU", "nadlábnout se (v-w11803_ZUf1_ZU)")</f>
        <v>nadlábnout se (v-w11803_ZUf1_ZU)</v>
      </c>
    </row>
    <row r="16464" customFormat="false" ht="12.8" hidden="false" customHeight="false" outlineLevel="0" collapsed="false">
      <c r="B16464" s="0" t="s">
        <v>7</v>
      </c>
    </row>
    <row r="16465" customFormat="false" ht="12.8" hidden="false" customHeight="false" outlineLevel="0" collapsed="false">
      <c r="B16465" s="0" t="s">
        <v>739</v>
      </c>
    </row>
    <row r="16467" customFormat="false" ht="12.8" hidden="false" customHeight="false" outlineLevel="0" collapsed="false">
      <c r="A16467" s="0" t="s">
        <v>6394</v>
      </c>
      <c r="B16467" s="0" t="str">
        <f aca="false">HYPERLINK("https://lindat.mff.cuni.cz/services/teitok/pdtc10/index.php?action=vallex&amp;frame=v-w10425f3", "nadnášet (v-w10425f3)")</f>
        <v>nadnášet (v-w10425f3)</v>
      </c>
    </row>
    <row r="16468" customFormat="false" ht="12.8" hidden="false" customHeight="false" outlineLevel="0" collapsed="false">
      <c r="B16468" s="0" t="s">
        <v>7</v>
      </c>
    </row>
    <row r="16469" customFormat="false" ht="12.8" hidden="false" customHeight="false" outlineLevel="0" collapsed="false">
      <c r="B16469" s="0" t="s">
        <v>172</v>
      </c>
    </row>
    <row r="16471" customFormat="false" ht="12.8" hidden="false" customHeight="false" outlineLevel="0" collapsed="false">
      <c r="A16471" s="0" t="s">
        <v>6395</v>
      </c>
      <c r="B16471" s="0" t="str">
        <f aca="false">HYPERLINK("https://lindat.mff.cuni.cz/services/teitok/pdtc10/index.php?action=vallex&amp;frame=v-w10425f2", "nadnášet (v-w10425f2)")</f>
        <v>nadnášet (v-w10425f2)</v>
      </c>
    </row>
    <row r="16472" customFormat="false" ht="12.8" hidden="false" customHeight="false" outlineLevel="0" collapsed="false">
      <c r="B16472" s="0" t="s">
        <v>7</v>
      </c>
    </row>
    <row r="16473" customFormat="false" ht="12.8" hidden="false" customHeight="false" outlineLevel="0" collapsed="false">
      <c r="B16473" s="0" t="s">
        <v>14</v>
      </c>
    </row>
    <row r="16475" customFormat="false" ht="12.8" hidden="false" customHeight="false" outlineLevel="0" collapsed="false">
      <c r="A16475" s="0" t="s">
        <v>6396</v>
      </c>
      <c r="B16475" s="0" t="str">
        <f aca="false">HYPERLINK("https://lindat.mff.cuni.cz/services/teitok/pdtc10/index.php?action=vallex&amp;frame=v-w10425f4_MM", "nadnášet (v-w10425f4_MM)")</f>
        <v>nadnášet (v-w10425f4_MM)</v>
      </c>
    </row>
    <row r="16476" customFormat="false" ht="12.8" hidden="false" customHeight="false" outlineLevel="0" collapsed="false">
      <c r="B16476" s="0" t="s">
        <v>7</v>
      </c>
    </row>
    <row r="16477" customFormat="false" ht="12.8" hidden="false" customHeight="false" outlineLevel="0" collapsed="false">
      <c r="B16477" s="0" t="s">
        <v>14</v>
      </c>
    </row>
    <row r="16479" customFormat="false" ht="12.8" hidden="false" customHeight="false" outlineLevel="0" collapsed="false">
      <c r="A16479" s="0" t="s">
        <v>6397</v>
      </c>
      <c r="B16479" s="0" t="str">
        <f aca="false">HYPERLINK("https://lindat.mff.cuni.cz/services/teitok/pdtc10/index.php?action=vallex&amp;frame=v-w11519_ZUf1_ZU", "nadnést (v-w11519_ZUf1_ZU)")</f>
        <v>nadnést (v-w11519_ZUf1_ZU)</v>
      </c>
    </row>
    <row r="16480" customFormat="false" ht="12.8" hidden="false" customHeight="false" outlineLevel="0" collapsed="false">
      <c r="B16480" s="0" t="s">
        <v>7</v>
      </c>
      <c r="C16480" s="0" t="s">
        <v>6398</v>
      </c>
    </row>
    <row r="16481" customFormat="false" ht="12.8" hidden="false" customHeight="false" outlineLevel="0" collapsed="false">
      <c r="B16481" s="0" t="s">
        <v>14</v>
      </c>
      <c r="C16481" s="0" t="s">
        <v>75</v>
      </c>
    </row>
    <row r="16483" customFormat="false" ht="12.8" hidden="false" customHeight="false" outlineLevel="0" collapsed="false">
      <c r="A16483" s="0" t="s">
        <v>6399</v>
      </c>
      <c r="B16483" s="0" t="str">
        <f aca="false">HYPERLINK("https://lindat.mff.cuni.cz/services/teitok/pdtc10/index.php?action=vallex&amp;frame=v-w11519_ZUhsa_1042", "nadnést (v-w11519_ZUhsa_1042)")</f>
        <v>nadnést (v-w11519_ZUhsa_1042)</v>
      </c>
    </row>
    <row r="16484" customFormat="false" ht="12.8" hidden="false" customHeight="false" outlineLevel="0" collapsed="false">
      <c r="B16484" s="0" t="s">
        <v>7</v>
      </c>
      <c r="C16484" s="0" t="s">
        <v>108</v>
      </c>
    </row>
    <row r="16485" customFormat="false" ht="12.8" hidden="false" customHeight="false" outlineLevel="0" collapsed="false">
      <c r="B16485" s="0" t="s">
        <v>14</v>
      </c>
      <c r="C16485" s="0" t="s">
        <v>78</v>
      </c>
    </row>
    <row r="16487" customFormat="false" ht="12.8" hidden="false" customHeight="false" outlineLevel="0" collapsed="false">
      <c r="A16487" s="0" t="s">
        <v>6400</v>
      </c>
      <c r="B16487" s="0" t="str">
        <f aca="false">HYPERLINK("https://lindat.mff.cuni.cz/services/teitok/pdtc10/index.php?action=vallex&amp;frame=v-w11885_ZUf1_ZU", "nadrobit (v-w11885_ZUf1_ZU)")</f>
        <v>nadrobit (v-w11885_ZUf1_ZU)</v>
      </c>
    </row>
    <row r="16488" customFormat="false" ht="12.8" hidden="false" customHeight="false" outlineLevel="0" collapsed="false">
      <c r="B16488" s="0" t="s">
        <v>7</v>
      </c>
    </row>
    <row r="16489" customFormat="false" ht="12.8" hidden="false" customHeight="false" outlineLevel="0" collapsed="false">
      <c r="B16489" s="0" t="s">
        <v>14</v>
      </c>
    </row>
    <row r="16491" customFormat="false" ht="12.8" hidden="false" customHeight="false" outlineLevel="0" collapsed="false">
      <c r="A16491" s="0" t="s">
        <v>6401</v>
      </c>
      <c r="B16491" s="0" t="str">
        <f aca="false">HYPERLINK("https://lindat.mff.cuni.cz/services/teitok/pdtc10/index.php?action=vallex&amp;frame=v-whsa_326hsa_327", "nadržovat (v-whsa_326hsa_327)")</f>
        <v>nadržovat (v-whsa_326hsa_327)</v>
      </c>
    </row>
    <row r="16492" customFormat="false" ht="12.8" hidden="false" customHeight="false" outlineLevel="0" collapsed="false">
      <c r="B16492" s="0" t="s">
        <v>7</v>
      </c>
    </row>
    <row r="16493" customFormat="false" ht="12.8" hidden="false" customHeight="false" outlineLevel="0" collapsed="false">
      <c r="B16493" s="0" t="s">
        <v>14</v>
      </c>
    </row>
    <row r="16495" customFormat="false" ht="12.8" hidden="false" customHeight="false" outlineLevel="0" collapsed="false">
      <c r="A16495" s="0" t="s">
        <v>6402</v>
      </c>
      <c r="B16495" s="0" t="str">
        <f aca="false">HYPERLINK("https://lindat.mff.cuni.cz/services/teitok/pdtc10/index.php?action=vallex&amp;frame=v-w11141f3", "nadsadit (v-w11141f3)")</f>
        <v>nadsadit (v-w11141f3)</v>
      </c>
    </row>
    <row r="16496" customFormat="false" ht="12.8" hidden="false" customHeight="false" outlineLevel="0" collapsed="false">
      <c r="B16496" s="0" t="s">
        <v>7</v>
      </c>
      <c r="C16496" s="0" t="s">
        <v>335</v>
      </c>
      <c r="D16496" s="0" t="s">
        <v>108</v>
      </c>
      <c r="E16496" s="0" t="s">
        <v>108</v>
      </c>
      <c r="F16496" s="0" t="s">
        <v>108</v>
      </c>
    </row>
    <row r="16497" customFormat="false" ht="12.8" hidden="false" customHeight="false" outlineLevel="0" collapsed="false">
      <c r="B16497" s="0" t="s">
        <v>14</v>
      </c>
      <c r="C16497" s="0" t="s">
        <v>78</v>
      </c>
      <c r="D16497" s="0" t="s">
        <v>159</v>
      </c>
      <c r="E16497" s="0" t="s">
        <v>159</v>
      </c>
      <c r="F16497" s="0" t="s">
        <v>159</v>
      </c>
    </row>
    <row r="16499" customFormat="false" ht="12.8" hidden="false" customHeight="false" outlineLevel="0" collapsed="false">
      <c r="A16499" s="0" t="s">
        <v>6403</v>
      </c>
      <c r="B16499" s="0" t="str">
        <f aca="false">HYPERLINK("https://lindat.mff.cuni.cz/services/teitok/pdtc10/index.php?action=vallex&amp;frame=v-w1990f1", "nadsazovat (v-w1990f1)")</f>
        <v>nadsazovat (v-w1990f1)</v>
      </c>
    </row>
    <row r="16500" customFormat="false" ht="12.8" hidden="false" customHeight="false" outlineLevel="0" collapsed="false">
      <c r="B16500" s="0" t="s">
        <v>7</v>
      </c>
      <c r="C16500" s="0" t="s">
        <v>31</v>
      </c>
      <c r="D16500" s="0" t="s">
        <v>108</v>
      </c>
      <c r="E16500" s="0" t="s">
        <v>108</v>
      </c>
      <c r="F16500" s="0" t="s">
        <v>108</v>
      </c>
    </row>
    <row r="16501" customFormat="false" ht="12.8" hidden="false" customHeight="false" outlineLevel="0" collapsed="false">
      <c r="B16501" s="0" t="s">
        <v>14</v>
      </c>
      <c r="C16501" s="0" t="s">
        <v>487</v>
      </c>
      <c r="D16501" s="0" t="s">
        <v>159</v>
      </c>
      <c r="E16501" s="0" t="s">
        <v>159</v>
      </c>
      <c r="F16501" s="0" t="s">
        <v>159</v>
      </c>
    </row>
    <row r="16503" customFormat="false" ht="12.8" hidden="false" customHeight="false" outlineLevel="0" collapsed="false">
      <c r="A16503" s="0" t="s">
        <v>6404</v>
      </c>
      <c r="B16503" s="0" t="str">
        <f aca="false">HYPERLINK("https://lindat.mff.cuni.cz/services/teitok/pdtc10/index.php?action=vallex&amp;frame=v-w10582f2", "nadskočit (v-w10582f2)")</f>
        <v>nadskočit (v-w10582f2)</v>
      </c>
    </row>
    <row r="16504" customFormat="false" ht="12.8" hidden="false" customHeight="false" outlineLevel="0" collapsed="false">
      <c r="B16504" s="0" t="s">
        <v>7</v>
      </c>
      <c r="C16504" s="0" t="s">
        <v>184</v>
      </c>
      <c r="D16504" s="0" t="s">
        <v>184</v>
      </c>
      <c r="E16504" s="0" t="s">
        <v>184</v>
      </c>
      <c r="F16504" s="0" t="s">
        <v>184</v>
      </c>
    </row>
    <row r="16506" customFormat="false" ht="12.8" hidden="false" customHeight="false" outlineLevel="0" collapsed="false">
      <c r="A16506" s="0" t="s">
        <v>6405</v>
      </c>
      <c r="B16506" s="0" t="str">
        <f aca="false">HYPERLINK("https://lindat.mff.cuni.cz/services/teitok/pdtc10/index.php?action=vallex&amp;frame=v-w1993f1", "nadužít (v-w1993f1)")</f>
        <v>nadužít (v-w1993f1)</v>
      </c>
    </row>
    <row r="16507" customFormat="false" ht="12.8" hidden="false" customHeight="false" outlineLevel="0" collapsed="false">
      <c r="B16507" s="0" t="s">
        <v>7</v>
      </c>
    </row>
    <row r="16508" customFormat="false" ht="12.8" hidden="false" customHeight="false" outlineLevel="0" collapsed="false">
      <c r="B16508" s="0" t="s">
        <v>1145</v>
      </c>
    </row>
    <row r="16510" customFormat="false" ht="12.8" hidden="false" customHeight="false" outlineLevel="0" collapsed="false">
      <c r="A16510" s="0" t="s">
        <v>6406</v>
      </c>
      <c r="B16510" s="0" t="str">
        <f aca="false">HYPERLINK("https://lindat.mff.cuni.cz/services/teitok/pdtc10/index.php?action=vallex&amp;frame=v-whsa_1265hsa_1266", "nadzajistit (v-whsa_1265hsa_1266)")</f>
        <v>nadzajistit (v-whsa_1265hsa_1266)</v>
      </c>
    </row>
    <row r="16511" customFormat="false" ht="12.8" hidden="false" customHeight="false" outlineLevel="0" collapsed="false">
      <c r="B16511" s="0" t="s">
        <v>7</v>
      </c>
    </row>
    <row r="16512" customFormat="false" ht="12.8" hidden="false" customHeight="false" outlineLevel="0" collapsed="false">
      <c r="B16512" s="0" t="s">
        <v>14</v>
      </c>
    </row>
    <row r="16514" customFormat="false" ht="12.8" hidden="false" customHeight="false" outlineLevel="0" collapsed="false">
      <c r="A16514" s="0" t="s">
        <v>6407</v>
      </c>
      <c r="B16514" s="0" t="str">
        <f aca="false">HYPERLINK("https://lindat.mff.cuni.cz/services/teitok/pdtc10/index.php?action=vallex&amp;frame=v-w10363f2", "nadzdvihnout (v-w10363f2)")</f>
        <v>nadzdvihnout (v-w10363f2)</v>
      </c>
    </row>
    <row r="16515" customFormat="false" ht="12.8" hidden="false" customHeight="false" outlineLevel="0" collapsed="false">
      <c r="B16515" s="0" t="s">
        <v>7</v>
      </c>
      <c r="C16515" s="0" t="s">
        <v>191</v>
      </c>
      <c r="D16515" s="0" t="s">
        <v>460</v>
      </c>
      <c r="E16515" s="0" t="s">
        <v>460</v>
      </c>
      <c r="F16515" s="0" t="s">
        <v>460</v>
      </c>
    </row>
    <row r="16516" customFormat="false" ht="12.8" hidden="false" customHeight="false" outlineLevel="0" collapsed="false">
      <c r="B16516" s="0" t="s">
        <v>14</v>
      </c>
      <c r="C16516" s="0" t="s">
        <v>47</v>
      </c>
      <c r="D16516" s="0" t="s">
        <v>624</v>
      </c>
      <c r="E16516" s="0" t="s">
        <v>624</v>
      </c>
      <c r="F16516" s="0" t="s">
        <v>624</v>
      </c>
    </row>
    <row r="16518" customFormat="false" ht="12.8" hidden="false" customHeight="false" outlineLevel="0" collapsed="false">
      <c r="A16518" s="0" t="s">
        <v>6408</v>
      </c>
      <c r="B16518" s="0" t="str">
        <f aca="false">HYPERLINK("https://lindat.mff.cuni.cz/services/teitok/pdtc10/index.php?action=vallex&amp;frame=v-w1997f1", "nadzvednout (v-w1997f1)")</f>
        <v>nadzvednout (v-w1997f1)</v>
      </c>
    </row>
    <row r="16519" customFormat="false" ht="12.8" hidden="false" customHeight="false" outlineLevel="0" collapsed="false">
      <c r="B16519" s="0" t="s">
        <v>7</v>
      </c>
    </row>
    <row r="16520" customFormat="false" ht="12.8" hidden="false" customHeight="false" outlineLevel="0" collapsed="false">
      <c r="B16520" s="0" t="s">
        <v>14</v>
      </c>
    </row>
    <row r="16522" customFormat="false" ht="12.8" hidden="false" customHeight="false" outlineLevel="0" collapsed="false">
      <c r="A16522" s="0" t="s">
        <v>6409</v>
      </c>
      <c r="B16522" s="0" t="str">
        <f aca="false">HYPERLINK("https://lindat.mff.cuni.cz/services/teitok/pdtc10/index.php?action=vallex&amp;frame=v-w12170_ZUf1_ZU", "nadzvedávat (v-w12170_ZUf1_ZU)")</f>
        <v>nadzvedávat (v-w12170_ZUf1_ZU)</v>
      </c>
    </row>
    <row r="16523" customFormat="false" ht="12.8" hidden="false" customHeight="false" outlineLevel="0" collapsed="false">
      <c r="B16523" s="0" t="s">
        <v>7</v>
      </c>
    </row>
    <row r="16524" customFormat="false" ht="12.8" hidden="false" customHeight="false" outlineLevel="0" collapsed="false">
      <c r="B16524" s="0" t="s">
        <v>14</v>
      </c>
    </row>
    <row r="16526" customFormat="false" ht="12.8" hidden="false" customHeight="false" outlineLevel="0" collapsed="false">
      <c r="A16526" s="0" t="s">
        <v>6410</v>
      </c>
      <c r="B16526" s="0" t="str">
        <f aca="false">HYPERLINK("https://lindat.mff.cuni.cz/services/teitok/pdtc10/index.php?action=vallex&amp;frame=v-w1972f1", "nadát se (v-w1972f1)")</f>
        <v>nadát se (v-w1972f1)</v>
      </c>
    </row>
    <row r="16527" customFormat="false" ht="12.8" hidden="false" customHeight="false" outlineLevel="0" collapsed="false">
      <c r="B16527" s="0" t="s">
        <v>7</v>
      </c>
    </row>
    <row r="16528" customFormat="false" ht="12.8" hidden="false" customHeight="false" outlineLevel="0" collapsed="false">
      <c r="B16528" s="0" t="s">
        <v>1087</v>
      </c>
    </row>
    <row r="16529" customFormat="false" ht="12.8" hidden="false" customHeight="false" outlineLevel="0" collapsed="false">
      <c r="B16529" s="0" t="s">
        <v>441</v>
      </c>
    </row>
    <row r="16531" customFormat="false" ht="12.8" hidden="false" customHeight="false" outlineLevel="0" collapsed="false">
      <c r="A16531" s="0" t="s">
        <v>6411</v>
      </c>
      <c r="B16531" s="0" t="str">
        <f aca="false">HYPERLINK("https://lindat.mff.cuni.cz/services/teitok/pdtc10/index.php?action=vallex&amp;frame=v-w1973f2", "nadávat (v-w1973f2)")</f>
        <v>nadávat (v-w1973f2)</v>
      </c>
    </row>
    <row r="16532" customFormat="false" ht="12.8" hidden="false" customHeight="false" outlineLevel="0" collapsed="false">
      <c r="B16532" s="0" t="s">
        <v>7</v>
      </c>
      <c r="C16532" s="0" t="s">
        <v>46</v>
      </c>
      <c r="D16532" s="0" t="s">
        <v>88</v>
      </c>
      <c r="E16532" s="0" t="s">
        <v>88</v>
      </c>
      <c r="F16532" s="0" t="s">
        <v>88</v>
      </c>
    </row>
    <row r="16533" customFormat="false" ht="12.8" hidden="false" customHeight="false" outlineLevel="0" collapsed="false">
      <c r="B16533" s="0" t="s">
        <v>600</v>
      </c>
      <c r="D16533" s="0" t="s">
        <v>384</v>
      </c>
      <c r="E16533" s="0" t="s">
        <v>384</v>
      </c>
      <c r="F16533" s="0" t="s">
        <v>384</v>
      </c>
    </row>
    <row r="16535" customFormat="false" ht="12.8" hidden="false" customHeight="false" outlineLevel="0" collapsed="false">
      <c r="A16535" s="0" t="s">
        <v>6412</v>
      </c>
      <c r="B16535" s="0" t="str">
        <f aca="false">HYPERLINK("https://lindat.mff.cuni.cz/services/teitok/pdtc10/index.php?action=vallex&amp;frame=v-w1973f3_ZU", "nadávat (v-w1973f3_ZU)")</f>
        <v>nadávat (v-w1973f3_ZU)</v>
      </c>
    </row>
    <row r="16536" customFormat="false" ht="12.8" hidden="false" customHeight="false" outlineLevel="0" collapsed="false">
      <c r="B16536" s="0" t="s">
        <v>7</v>
      </c>
    </row>
    <row r="16537" customFormat="false" ht="12.8" hidden="false" customHeight="false" outlineLevel="0" collapsed="false">
      <c r="B16537" s="0" t="s">
        <v>48</v>
      </c>
    </row>
    <row r="16538" customFormat="false" ht="12.8" hidden="false" customHeight="false" outlineLevel="0" collapsed="false">
      <c r="B16538" s="0" t="s">
        <v>6413</v>
      </c>
    </row>
    <row r="16540" customFormat="false" ht="12.8" hidden="false" customHeight="false" outlineLevel="0" collapsed="false">
      <c r="A16540" s="0" t="s">
        <v>6412</v>
      </c>
      <c r="B16540" s="0" t="str">
        <f aca="false">HYPERLINK("https://lindat.mff.cuni.cz/services/teitok/pdtc10/index.php?action=vallex&amp;frame=v-w1973f1", "nadávat (v-w1973f1) - substituted with v-w1973f3_ZU")</f>
        <v>nadávat (v-w1973f1) - substituted with v-w1973f3_ZU</v>
      </c>
    </row>
    <row r="16541" customFormat="false" ht="12.8" hidden="false" customHeight="false" outlineLevel="0" collapsed="false">
      <c r="B16541" s="0" t="s">
        <v>7</v>
      </c>
    </row>
    <row r="16542" customFormat="false" ht="12.8" hidden="false" customHeight="false" outlineLevel="0" collapsed="false">
      <c r="B16542" s="0" t="s">
        <v>48</v>
      </c>
    </row>
    <row r="16543" customFormat="false" ht="12.8" hidden="false" customHeight="false" outlineLevel="0" collapsed="false">
      <c r="B16543" s="0" t="s">
        <v>6413</v>
      </c>
    </row>
    <row r="16545" customFormat="false" ht="12.8" hidden="false" customHeight="false" outlineLevel="0" collapsed="false">
      <c r="A16545" s="0" t="s">
        <v>6414</v>
      </c>
      <c r="B16545" s="0" t="str">
        <f aca="false">HYPERLINK("https://lindat.mff.cuni.cz/services/teitok/pdtc10/index.php?action=vallex&amp;frame=v-whsa_1993hsa_1994", "nadít (v-whsa_1993hsa_1994)")</f>
        <v>nadít (v-whsa_1993hsa_1994)</v>
      </c>
    </row>
    <row r="16546" customFormat="false" ht="12.8" hidden="false" customHeight="false" outlineLevel="0" collapsed="false">
      <c r="B16546" s="0" t="s">
        <v>7</v>
      </c>
    </row>
    <row r="16547" customFormat="false" ht="12.8" hidden="false" customHeight="false" outlineLevel="0" collapsed="false">
      <c r="B16547" s="0" t="s">
        <v>14</v>
      </c>
    </row>
    <row r="16548" customFormat="false" ht="12.8" hidden="false" customHeight="false" outlineLevel="0" collapsed="false">
      <c r="B16548" s="0" t="s">
        <v>124</v>
      </c>
    </row>
    <row r="16550" customFormat="false" ht="12.8" hidden="false" customHeight="false" outlineLevel="0" collapsed="false">
      <c r="A16550" s="0" t="s">
        <v>6415</v>
      </c>
      <c r="B16550" s="0" t="str">
        <f aca="false">HYPERLINK("https://lindat.mff.cuni.cz/services/teitok/pdtc10/index.php?action=vallex&amp;frame=v-w1996f1", "nadýchat se (v-w1996f1)")</f>
        <v>nadýchat se (v-w1996f1)</v>
      </c>
    </row>
    <row r="16551" customFormat="false" ht="12.8" hidden="false" customHeight="false" outlineLevel="0" collapsed="false">
      <c r="B16551" s="0" t="s">
        <v>7</v>
      </c>
    </row>
    <row r="16552" customFormat="false" ht="12.8" hidden="false" customHeight="false" outlineLevel="0" collapsed="false">
      <c r="B16552" s="0" t="s">
        <v>1087</v>
      </c>
    </row>
    <row r="16554" customFormat="false" ht="12.8" hidden="false" customHeight="false" outlineLevel="0" collapsed="false">
      <c r="A16554" s="0" t="s">
        <v>6416</v>
      </c>
      <c r="B16554" s="0" t="str">
        <f aca="false">HYPERLINK("https://lindat.mff.cuni.cz/services/teitok/pdtc10/index.php?action=vallex&amp;frame=v-w1977f1", "nadělat (v-w1977f1)")</f>
        <v>nadělat (v-w1977f1)</v>
      </c>
    </row>
    <row r="16555" customFormat="false" ht="12.8" hidden="false" customHeight="false" outlineLevel="0" collapsed="false">
      <c r="B16555" s="0" t="s">
        <v>265</v>
      </c>
      <c r="C16555" s="0" t="s">
        <v>6417</v>
      </c>
      <c r="D16555" s="0" t="s">
        <v>570</v>
      </c>
      <c r="E16555" s="0" t="s">
        <v>570</v>
      </c>
      <c r="F16555" s="0" t="s">
        <v>570</v>
      </c>
    </row>
    <row r="16556" customFormat="false" ht="12.8" hidden="false" customHeight="false" outlineLevel="0" collapsed="false">
      <c r="B16556" s="0" t="s">
        <v>14</v>
      </c>
      <c r="C16556" s="0" t="s">
        <v>4118</v>
      </c>
      <c r="D16556" s="0" t="s">
        <v>5917</v>
      </c>
      <c r="E16556" s="0" t="s">
        <v>5917</v>
      </c>
      <c r="F16556" s="0" t="s">
        <v>5917</v>
      </c>
    </row>
    <row r="16557" customFormat="false" ht="12.8" hidden="false" customHeight="false" outlineLevel="0" collapsed="false">
      <c r="B16557" s="0" t="s">
        <v>48</v>
      </c>
      <c r="C16557" s="0" t="s">
        <v>3554</v>
      </c>
      <c r="D16557" s="0" t="s">
        <v>6418</v>
      </c>
      <c r="E16557" s="0" t="s">
        <v>6418</v>
      </c>
      <c r="F16557" s="0" t="s">
        <v>6418</v>
      </c>
    </row>
    <row r="16559" customFormat="false" ht="12.8" hidden="false" customHeight="false" outlineLevel="0" collapsed="false">
      <c r="A16559" s="0" t="s">
        <v>6419</v>
      </c>
      <c r="B16559" s="0" t="str">
        <f aca="false">HYPERLINK("https://lindat.mff.cuni.cz/services/teitok/pdtc10/index.php?action=vallex&amp;frame=v-w1977f2_ZU", "nadělat (v-w1977f2_ZU)")</f>
        <v>nadělat (v-w1977f2_ZU)</v>
      </c>
    </row>
    <row r="16560" customFormat="false" ht="12.8" hidden="false" customHeight="false" outlineLevel="0" collapsed="false">
      <c r="B16560" s="0" t="s">
        <v>7</v>
      </c>
    </row>
    <row r="16561" customFormat="false" ht="12.8" hidden="false" customHeight="false" outlineLevel="0" collapsed="false">
      <c r="B16561" s="0" t="s">
        <v>4381</v>
      </c>
    </row>
    <row r="16562" customFormat="false" ht="12.8" hidden="false" customHeight="false" outlineLevel="0" collapsed="false">
      <c r="B16562" s="0" t="s">
        <v>2767</v>
      </c>
    </row>
    <row r="16564" customFormat="false" ht="12.8" hidden="false" customHeight="false" outlineLevel="0" collapsed="false">
      <c r="A16564" s="0" t="s">
        <v>6419</v>
      </c>
      <c r="B16564" s="0" t="str">
        <f aca="false">HYPERLINK("https://lindat.mff.cuni.cz/services/teitok/pdtc10/index.php?action=vallex&amp;frame=v-w1977hsa_1255", "nadělat (v-w1977hsa_1255) - substituted with v-w1977f2_ZU")</f>
        <v>nadělat (v-w1977hsa_1255) - substituted with v-w1977f2_ZU</v>
      </c>
    </row>
    <row r="16565" customFormat="false" ht="12.8" hidden="false" customHeight="false" outlineLevel="0" collapsed="false">
      <c r="B16565" s="0" t="s">
        <v>7</v>
      </c>
    </row>
    <row r="16566" customFormat="false" ht="12.8" hidden="false" customHeight="false" outlineLevel="0" collapsed="false">
      <c r="B16566" s="0" t="s">
        <v>4381</v>
      </c>
    </row>
    <row r="16567" customFormat="false" ht="12.8" hidden="false" customHeight="false" outlineLevel="0" collapsed="false">
      <c r="B16567" s="0" t="s">
        <v>2767</v>
      </c>
    </row>
    <row r="16569" customFormat="false" ht="12.8" hidden="false" customHeight="false" outlineLevel="0" collapsed="false">
      <c r="A16569" s="0" t="s">
        <v>6420</v>
      </c>
      <c r="B16569" s="0" t="str">
        <f aca="false">HYPERLINK("https://lindat.mff.cuni.cz/services/teitok/pdtc10/index.php?action=vallex&amp;frame=v-w1977hsa_1256", "nadělat (v-w1977hsa_1256)")</f>
        <v>nadělat (v-w1977hsa_1256)</v>
      </c>
    </row>
    <row r="16570" customFormat="false" ht="12.8" hidden="false" customHeight="false" outlineLevel="0" collapsed="false">
      <c r="B16570" s="0" t="s">
        <v>7</v>
      </c>
    </row>
    <row r="16571" customFormat="false" ht="12.8" hidden="false" customHeight="false" outlineLevel="0" collapsed="false">
      <c r="B16571" s="0" t="s">
        <v>14</v>
      </c>
    </row>
    <row r="16572" customFormat="false" ht="12.8" hidden="false" customHeight="false" outlineLevel="0" collapsed="false">
      <c r="B16572" s="0" t="s">
        <v>35</v>
      </c>
    </row>
    <row r="16574" customFormat="false" ht="12.8" hidden="false" customHeight="false" outlineLevel="0" collapsed="false">
      <c r="A16574" s="0" t="s">
        <v>6421</v>
      </c>
      <c r="B16574" s="0" t="str">
        <f aca="false">HYPERLINK("https://lindat.mff.cuni.cz/services/teitok/pdtc10/index.php?action=vallex&amp;frame=v-w1977hsa_1063", "nadělat (v-w1977hsa_1063)")</f>
        <v>nadělat (v-w1977hsa_1063)</v>
      </c>
    </row>
    <row r="16575" customFormat="false" ht="12.8" hidden="false" customHeight="false" outlineLevel="0" collapsed="false">
      <c r="B16575" s="0" t="s">
        <v>7</v>
      </c>
    </row>
    <row r="16576" customFormat="false" ht="12.8" hidden="false" customHeight="false" outlineLevel="0" collapsed="false">
      <c r="B16576" s="0" t="s">
        <v>1145</v>
      </c>
    </row>
    <row r="16578" customFormat="false" ht="12.8" hidden="false" customHeight="false" outlineLevel="0" collapsed="false">
      <c r="A16578" s="0" t="s">
        <v>6422</v>
      </c>
      <c r="B16578" s="0" t="str">
        <f aca="false">HYPERLINK("https://lindat.mff.cuni.cz/services/teitok/pdtc10/index.php?action=vallex&amp;frame=v-whsa_853f1_ZU", "nadělat se (v-whsa_853f1_ZU)")</f>
        <v>nadělat se (v-whsa_853f1_ZU)</v>
      </c>
    </row>
    <row r="16579" customFormat="false" ht="12.8" hidden="false" customHeight="false" outlineLevel="0" collapsed="false">
      <c r="B16579" s="0" t="s">
        <v>7</v>
      </c>
    </row>
    <row r="16580" customFormat="false" ht="12.8" hidden="false" customHeight="false" outlineLevel="0" collapsed="false">
      <c r="B16580" s="0" t="s">
        <v>3200</v>
      </c>
    </row>
    <row r="16582" customFormat="false" ht="12.8" hidden="false" customHeight="false" outlineLevel="0" collapsed="false">
      <c r="A16582" s="0" t="s">
        <v>6422</v>
      </c>
      <c r="B16582" s="0" t="str">
        <f aca="false">HYPERLINK("https://lindat.mff.cuni.cz/services/teitok/pdtc10/index.php?action=vallex&amp;frame=v-whsa_853hsa_854", "nadělat se (v-whsa_853hsa_854) - substituted with v-whsa_853f1_ZU")</f>
        <v>nadělat se (v-whsa_853hsa_854) - substituted with v-whsa_853f1_ZU</v>
      </c>
    </row>
    <row r="16583" customFormat="false" ht="12.8" hidden="false" customHeight="false" outlineLevel="0" collapsed="false">
      <c r="B16583" s="0" t="s">
        <v>7</v>
      </c>
    </row>
    <row r="16584" customFormat="false" ht="12.8" hidden="false" customHeight="false" outlineLevel="0" collapsed="false">
      <c r="B16584" s="0" t="s">
        <v>3200</v>
      </c>
    </row>
    <row r="16586" customFormat="false" ht="12.8" hidden="false" customHeight="false" outlineLevel="0" collapsed="false">
      <c r="A16586" s="0" t="s">
        <v>6423</v>
      </c>
      <c r="B16586" s="0" t="str">
        <f aca="false">HYPERLINK("https://lindat.mff.cuni.cz/services/teitok/pdtc10/index.php?action=vallex&amp;frame=v-whsa_853hsa_855", "nadělat se (v-whsa_853hsa_855)")</f>
        <v>nadělat se (v-whsa_853hsa_855)</v>
      </c>
    </row>
    <row r="16587" customFormat="false" ht="12.8" hidden="false" customHeight="false" outlineLevel="0" collapsed="false">
      <c r="B16587" s="0" t="s">
        <v>7</v>
      </c>
    </row>
    <row r="16588" customFormat="false" ht="12.8" hidden="false" customHeight="false" outlineLevel="0" collapsed="false">
      <c r="B16588" s="0" t="s">
        <v>1087</v>
      </c>
    </row>
    <row r="16590" customFormat="false" ht="12.8" hidden="false" customHeight="false" outlineLevel="0" collapsed="false">
      <c r="A16590" s="0" t="s">
        <v>6424</v>
      </c>
      <c r="B16590" s="0" t="str">
        <f aca="false">HYPERLINK("https://lindat.mff.cuni.cz/services/teitok/pdtc10/index.php?action=vallex&amp;frame=v-w1978f1", "nadělit (v-w1978f1)")</f>
        <v>nadělit (v-w1978f1)</v>
      </c>
    </row>
    <row r="16591" customFormat="false" ht="12.8" hidden="false" customHeight="false" outlineLevel="0" collapsed="false">
      <c r="B16591" s="0" t="s">
        <v>7</v>
      </c>
      <c r="C16591" s="0" t="s">
        <v>2940</v>
      </c>
    </row>
    <row r="16592" customFormat="false" ht="12.8" hidden="false" customHeight="false" outlineLevel="0" collapsed="false">
      <c r="B16592" s="0" t="s">
        <v>14</v>
      </c>
      <c r="C16592" s="0" t="s">
        <v>2941</v>
      </c>
    </row>
    <row r="16593" customFormat="false" ht="12.8" hidden="false" customHeight="false" outlineLevel="0" collapsed="false">
      <c r="B16593" s="0" t="s">
        <v>48</v>
      </c>
      <c r="C16593" s="0" t="s">
        <v>2942</v>
      </c>
    </row>
    <row r="16595" customFormat="false" ht="12.8" hidden="false" customHeight="false" outlineLevel="0" collapsed="false">
      <c r="A16595" s="0" t="s">
        <v>6425</v>
      </c>
      <c r="B16595" s="0" t="str">
        <f aca="false">HYPERLINK("https://lindat.mff.cuni.cz/services/teitok/pdtc10/index.php?action=vallex&amp;frame=v-w1989f1", "nadřadit (v-w1989f1)")</f>
        <v>nadřadit (v-w1989f1)</v>
      </c>
    </row>
    <row r="16596" customFormat="false" ht="12.8" hidden="false" customHeight="false" outlineLevel="0" collapsed="false">
      <c r="B16596" s="0" t="s">
        <v>7</v>
      </c>
    </row>
    <row r="16597" customFormat="false" ht="12.8" hidden="false" customHeight="false" outlineLevel="0" collapsed="false">
      <c r="B16597" s="0" t="s">
        <v>14</v>
      </c>
    </row>
    <row r="16598" customFormat="false" ht="12.8" hidden="false" customHeight="false" outlineLevel="0" collapsed="false">
      <c r="B16598" s="0" t="s">
        <v>48</v>
      </c>
    </row>
    <row r="16600" customFormat="false" ht="12.8" hidden="false" customHeight="false" outlineLevel="0" collapsed="false">
      <c r="A16600" s="0" t="s">
        <v>6426</v>
      </c>
      <c r="B16600" s="0" t="str">
        <f aca="false">HYPERLINK("https://lindat.mff.cuni.cz/services/teitok/pdtc10/index.php?action=vallex&amp;frame=v-w11340f1", "nadřít se (v-w11340f1)")</f>
        <v>nadřít se (v-w11340f1)</v>
      </c>
    </row>
    <row r="16601" customFormat="false" ht="12.8" hidden="false" customHeight="false" outlineLevel="0" collapsed="false">
      <c r="B16601" s="0" t="s">
        <v>7</v>
      </c>
    </row>
    <row r="16603" customFormat="false" ht="12.8" hidden="false" customHeight="false" outlineLevel="0" collapsed="false">
      <c r="A16603" s="0" t="s">
        <v>6427</v>
      </c>
      <c r="B16603" s="0" t="str">
        <f aca="false">HYPERLINK("https://lindat.mff.cuni.cz/services/teitok/pdtc10/index.php?action=vallex&amp;frame=v-w1998f1", "nafackovat (v-w1998f1)")</f>
        <v>nafackovat (v-w1998f1)</v>
      </c>
    </row>
    <row r="16604" customFormat="false" ht="12.8" hidden="false" customHeight="false" outlineLevel="0" collapsed="false">
      <c r="B16604" s="0" t="s">
        <v>7</v>
      </c>
    </row>
    <row r="16605" customFormat="false" ht="12.8" hidden="false" customHeight="false" outlineLevel="0" collapsed="false">
      <c r="B16605" s="0" t="s">
        <v>6428</v>
      </c>
    </row>
    <row r="16607" customFormat="false" ht="12.8" hidden="false" customHeight="false" outlineLevel="0" collapsed="false">
      <c r="A16607" s="0" t="s">
        <v>6429</v>
      </c>
      <c r="B16607" s="0" t="str">
        <f aca="false">HYPERLINK("https://lindat.mff.cuni.cz/services/teitok/pdtc10/index.php?action=vallex&amp;frame=v-w11866_ZUf1_ZU", "nafasovat (v-w11866_ZUf1_ZU)")</f>
        <v>nafasovat (v-w11866_ZUf1_ZU)</v>
      </c>
    </row>
    <row r="16608" customFormat="false" ht="12.8" hidden="false" customHeight="false" outlineLevel="0" collapsed="false">
      <c r="B16608" s="0" t="s">
        <v>7</v>
      </c>
    </row>
    <row r="16609" customFormat="false" ht="12.8" hidden="false" customHeight="false" outlineLevel="0" collapsed="false">
      <c r="B16609" s="0" t="s">
        <v>14</v>
      </c>
    </row>
    <row r="16611" customFormat="false" ht="12.8" hidden="false" customHeight="false" outlineLevel="0" collapsed="false">
      <c r="A16611" s="0" t="s">
        <v>6430</v>
      </c>
      <c r="B16611" s="0" t="str">
        <f aca="false">HYPERLINK("https://lindat.mff.cuni.cz/services/teitok/pdtc10/index.php?action=vallex&amp;frame=v-w10116f2", "nafaxovat (v-w10116f2)")</f>
        <v>nafaxovat (v-w10116f2)</v>
      </c>
    </row>
    <row r="16612" customFormat="false" ht="12.8" hidden="false" customHeight="false" outlineLevel="0" collapsed="false">
      <c r="B16612" s="0" t="s">
        <v>7</v>
      </c>
      <c r="C16612" s="0" t="s">
        <v>191</v>
      </c>
      <c r="D16612" s="0" t="s">
        <v>164</v>
      </c>
      <c r="E16612" s="0" t="s">
        <v>164</v>
      </c>
      <c r="F16612" s="0" t="s">
        <v>164</v>
      </c>
    </row>
    <row r="16613" customFormat="false" ht="12.8" hidden="false" customHeight="false" outlineLevel="0" collapsed="false">
      <c r="B16613" s="0" t="s">
        <v>6431</v>
      </c>
      <c r="C16613" s="0" t="s">
        <v>361</v>
      </c>
      <c r="D16613" s="0" t="s">
        <v>1766</v>
      </c>
      <c r="E16613" s="0" t="s">
        <v>1766</v>
      </c>
      <c r="F16613" s="0" t="s">
        <v>1766</v>
      </c>
    </row>
    <row r="16614" customFormat="false" ht="12.8" hidden="false" customHeight="false" outlineLevel="0" collapsed="false">
      <c r="B16614" s="0" t="s">
        <v>363</v>
      </c>
    </row>
    <row r="16615" customFormat="false" ht="12.8" hidden="false" customHeight="false" outlineLevel="0" collapsed="false">
      <c r="B16615" s="0" t="s">
        <v>106</v>
      </c>
      <c r="D16615" s="0" t="s">
        <v>168</v>
      </c>
      <c r="E16615" s="0" t="s">
        <v>168</v>
      </c>
      <c r="F16615" s="0" t="s">
        <v>168</v>
      </c>
    </row>
    <row r="16617" customFormat="false" ht="12.8" hidden="false" customHeight="false" outlineLevel="0" collapsed="false">
      <c r="A16617" s="0" t="s">
        <v>6432</v>
      </c>
      <c r="B16617" s="0" t="str">
        <f aca="false">HYPERLINK("https://lindat.mff.cuni.cz/services/teitok/pdtc10/index.php?action=vallex&amp;frame=v-w1999f1", "nafilmovat (v-w1999f1)")</f>
        <v>nafilmovat (v-w1999f1)</v>
      </c>
    </row>
    <row r="16618" customFormat="false" ht="12.8" hidden="false" customHeight="false" outlineLevel="0" collapsed="false">
      <c r="B16618" s="0" t="s">
        <v>7</v>
      </c>
    </row>
    <row r="16619" customFormat="false" ht="12.8" hidden="false" customHeight="false" outlineLevel="0" collapsed="false">
      <c r="B16619" s="0" t="s">
        <v>14</v>
      </c>
    </row>
    <row r="16621" customFormat="false" ht="12.8" hidden="false" customHeight="false" outlineLevel="0" collapsed="false">
      <c r="A16621" s="0" t="s">
        <v>6433</v>
      </c>
      <c r="B16621" s="0" t="str">
        <f aca="false">HYPERLINK("https://lindat.mff.cuni.cz/services/teitok/pdtc10/index.php?action=vallex&amp;frame=v-w1999f2", "nafilmovat (v-w1999f2)")</f>
        <v>nafilmovat (v-w1999f2)</v>
      </c>
    </row>
    <row r="16622" customFormat="false" ht="12.8" hidden="false" customHeight="false" outlineLevel="0" collapsed="false">
      <c r="B16622" s="0" t="s">
        <v>7</v>
      </c>
    </row>
    <row r="16623" customFormat="false" ht="12.8" hidden="false" customHeight="false" outlineLevel="0" collapsed="false">
      <c r="B16623" s="0" t="s">
        <v>14</v>
      </c>
    </row>
    <row r="16625" customFormat="false" ht="12.8" hidden="false" customHeight="false" outlineLevel="0" collapsed="false">
      <c r="A16625" s="0" t="s">
        <v>6434</v>
      </c>
      <c r="B16625" s="0" t="str">
        <f aca="false">HYPERLINK("https://lindat.mff.cuni.cz/services/teitok/pdtc10/index.php?action=vallex&amp;frame=v-w11984_ZUf2_ZU", "nafotit (v-w11984_ZUf2_ZU)")</f>
        <v>nafotit (v-w11984_ZUf2_ZU)</v>
      </c>
    </row>
    <row r="16626" customFormat="false" ht="12.8" hidden="false" customHeight="false" outlineLevel="0" collapsed="false">
      <c r="B16626" s="0" t="s">
        <v>7</v>
      </c>
    </row>
    <row r="16627" customFormat="false" ht="12.8" hidden="false" customHeight="false" outlineLevel="0" collapsed="false">
      <c r="B16627" s="0" t="s">
        <v>14</v>
      </c>
    </row>
    <row r="16629" customFormat="false" ht="12.8" hidden="false" customHeight="false" outlineLevel="0" collapsed="false">
      <c r="A16629" s="0" t="s">
        <v>6434</v>
      </c>
      <c r="B16629" s="0" t="str">
        <f aca="false">HYPERLINK("https://lindat.mff.cuni.cz/services/teitok/pdtc10/index.php?action=vallex&amp;frame=v-w11984_ZUf1_ZU", "nafotit (v-w11984_ZUf1_ZU) - substituted with v-w11984_ZUf2_ZU")</f>
        <v>nafotit (v-w11984_ZUf1_ZU) - substituted with v-w11984_ZUf2_ZU</v>
      </c>
    </row>
    <row r="16630" customFormat="false" ht="12.8" hidden="false" customHeight="false" outlineLevel="0" collapsed="false">
      <c r="B16630" s="0" t="s">
        <v>7</v>
      </c>
    </row>
    <row r="16631" customFormat="false" ht="12.8" hidden="false" customHeight="false" outlineLevel="0" collapsed="false">
      <c r="B16631" s="0" t="s">
        <v>14</v>
      </c>
    </row>
    <row r="16633" customFormat="false" ht="12.8" hidden="false" customHeight="false" outlineLevel="0" collapsed="false">
      <c r="A16633" s="0" t="s">
        <v>6435</v>
      </c>
      <c r="B16633" s="0" t="str">
        <f aca="false">HYPERLINK("https://lindat.mff.cuni.cz/services/teitok/pdtc10/index.php?action=vallex&amp;frame=v-w10649f5", "nafouknout (v-w10649f5)")</f>
        <v>nafouknout (v-w10649f5)</v>
      </c>
    </row>
    <row r="16634" customFormat="false" ht="12.8" hidden="false" customHeight="false" outlineLevel="0" collapsed="false">
      <c r="B16634" s="0" t="s">
        <v>7</v>
      </c>
      <c r="C16634" s="0" t="s">
        <v>569</v>
      </c>
      <c r="D16634" s="0" t="s">
        <v>6436</v>
      </c>
      <c r="E16634" s="0" t="s">
        <v>6436</v>
      </c>
      <c r="F16634" s="0" t="s">
        <v>6436</v>
      </c>
    </row>
    <row r="16635" customFormat="false" ht="12.8" hidden="false" customHeight="false" outlineLevel="0" collapsed="false">
      <c r="B16635" s="0" t="s">
        <v>14</v>
      </c>
      <c r="C16635" s="0" t="s">
        <v>1170</v>
      </c>
      <c r="D16635" s="0" t="s">
        <v>6437</v>
      </c>
      <c r="E16635" s="0" t="s">
        <v>6437</v>
      </c>
      <c r="F16635" s="0" t="s">
        <v>6437</v>
      </c>
    </row>
    <row r="16636" customFormat="false" ht="12.8" hidden="false" customHeight="false" outlineLevel="0" collapsed="false">
      <c r="B16636" s="0" t="s">
        <v>35</v>
      </c>
      <c r="D16636" s="0" t="s">
        <v>6438</v>
      </c>
      <c r="E16636" s="0" t="s">
        <v>6438</v>
      </c>
      <c r="F16636" s="0" t="s">
        <v>6438</v>
      </c>
    </row>
    <row r="16637" customFormat="false" ht="12.8" hidden="false" customHeight="false" outlineLevel="0" collapsed="false">
      <c r="B16637" s="0" t="s">
        <v>84</v>
      </c>
      <c r="C16637" s="0" t="s">
        <v>6439</v>
      </c>
      <c r="D16637" s="0" t="s">
        <v>6440</v>
      </c>
      <c r="E16637" s="0" t="s">
        <v>6440</v>
      </c>
      <c r="F16637" s="0" t="s">
        <v>6440</v>
      </c>
    </row>
    <row r="16639" customFormat="false" ht="12.8" hidden="false" customHeight="false" outlineLevel="0" collapsed="false">
      <c r="A16639" s="0" t="s">
        <v>6441</v>
      </c>
      <c r="B16639" s="0" t="str">
        <f aca="false">HYPERLINK("https://lindat.mff.cuni.cz/services/teitok/pdtc10/index.php?action=vallex&amp;frame=v-w10649f2", "nafouknout (v-w10649f2)")</f>
        <v>nafouknout (v-w10649f2)</v>
      </c>
    </row>
    <row r="16640" customFormat="false" ht="12.8" hidden="false" customHeight="false" outlineLevel="0" collapsed="false">
      <c r="B16640" s="0" t="s">
        <v>7</v>
      </c>
    </row>
    <row r="16641" customFormat="false" ht="12.8" hidden="false" customHeight="false" outlineLevel="0" collapsed="false">
      <c r="B16641" s="0" t="s">
        <v>172</v>
      </c>
    </row>
    <row r="16643" customFormat="false" ht="12.8" hidden="false" customHeight="false" outlineLevel="0" collapsed="false">
      <c r="A16643" s="0" t="s">
        <v>6442</v>
      </c>
      <c r="B16643" s="0" t="str">
        <f aca="false">HYPERLINK("https://lindat.mff.cuni.cz/services/teitok/pdtc10/index.php?action=vallex&amp;frame=v-w10649f3", "nafouknout (v-w10649f3)")</f>
        <v>nafouknout (v-w10649f3)</v>
      </c>
    </row>
    <row r="16644" customFormat="false" ht="12.8" hidden="false" customHeight="false" outlineLevel="0" collapsed="false">
      <c r="B16644" s="0" t="s">
        <v>7</v>
      </c>
    </row>
    <row r="16645" customFormat="false" ht="12.8" hidden="false" customHeight="false" outlineLevel="0" collapsed="false">
      <c r="B16645" s="0" t="s">
        <v>14</v>
      </c>
    </row>
    <row r="16647" customFormat="false" ht="12.8" hidden="false" customHeight="false" outlineLevel="0" collapsed="false">
      <c r="A16647" s="0" t="s">
        <v>6443</v>
      </c>
      <c r="B16647" s="0" t="str">
        <f aca="false">HYPERLINK("https://lindat.mff.cuni.cz/services/teitok/pdtc10/index.php?action=vallex&amp;frame=v-w10261f2", "nafukovat (v-w10261f2)")</f>
        <v>nafukovat (v-w10261f2)</v>
      </c>
    </row>
    <row r="16648" customFormat="false" ht="12.8" hidden="false" customHeight="false" outlineLevel="0" collapsed="false">
      <c r="B16648" s="0" t="s">
        <v>7</v>
      </c>
      <c r="D16648" s="0" t="s">
        <v>108</v>
      </c>
      <c r="E16648" s="0" t="s">
        <v>108</v>
      </c>
      <c r="F16648" s="0" t="s">
        <v>108</v>
      </c>
    </row>
    <row r="16649" customFormat="false" ht="12.8" hidden="false" customHeight="false" outlineLevel="0" collapsed="false">
      <c r="B16649" s="0" t="s">
        <v>172</v>
      </c>
      <c r="C16649" s="0" t="s">
        <v>155</v>
      </c>
      <c r="D16649" s="0" t="s">
        <v>159</v>
      </c>
      <c r="E16649" s="0" t="s">
        <v>159</v>
      </c>
      <c r="F16649" s="0" t="s">
        <v>159</v>
      </c>
    </row>
    <row r="16651" customFormat="false" ht="12.8" hidden="false" customHeight="false" outlineLevel="0" collapsed="false">
      <c r="A16651" s="0" t="s">
        <v>6444</v>
      </c>
      <c r="B16651" s="0" t="str">
        <f aca="false">HYPERLINK("https://lindat.mff.cuni.cz/services/teitok/pdtc10/index.php?action=vallex&amp;frame=v-w10391f3", "nahazovat (v-w10391f3)")</f>
        <v>nahazovat (v-w10391f3)</v>
      </c>
    </row>
    <row r="16652" customFormat="false" ht="12.8" hidden="false" customHeight="false" outlineLevel="0" collapsed="false">
      <c r="B16652" s="0" t="s">
        <v>7</v>
      </c>
      <c r="C16652" s="0" t="s">
        <v>46</v>
      </c>
      <c r="D16652" s="0" t="s">
        <v>194</v>
      </c>
      <c r="E16652" s="0" t="s">
        <v>194</v>
      </c>
      <c r="F16652" s="0" t="s">
        <v>194</v>
      </c>
    </row>
    <row r="16653" customFormat="false" ht="12.8" hidden="false" customHeight="false" outlineLevel="0" collapsed="false">
      <c r="B16653" s="0" t="s">
        <v>14</v>
      </c>
      <c r="C16653" s="0" t="s">
        <v>155</v>
      </c>
      <c r="D16653" s="0" t="s">
        <v>110</v>
      </c>
      <c r="E16653" s="0" t="s">
        <v>110</v>
      </c>
      <c r="F16653" s="0" t="s">
        <v>110</v>
      </c>
    </row>
    <row r="16654" customFormat="false" ht="12.8" hidden="false" customHeight="false" outlineLevel="0" collapsed="false">
      <c r="B16654" s="0" t="s">
        <v>106</v>
      </c>
      <c r="D16654" s="0" t="s">
        <v>1165</v>
      </c>
      <c r="E16654" s="0" t="s">
        <v>1165</v>
      </c>
      <c r="F16654" s="0" t="s">
        <v>1165</v>
      </c>
    </row>
    <row r="16656" customFormat="false" ht="12.8" hidden="false" customHeight="false" outlineLevel="0" collapsed="false">
      <c r="A16656" s="0" t="s">
        <v>6445</v>
      </c>
      <c r="B16656" s="0" t="str">
        <f aca="false">HYPERLINK("https://lindat.mff.cuni.cz/services/teitok/pdtc10/index.php?action=vallex&amp;frame=v-w10391f4_ZU", "nahazovat (v-w10391f4_ZU)")</f>
        <v>nahazovat (v-w10391f4_ZU)</v>
      </c>
    </row>
    <row r="16657" customFormat="false" ht="12.8" hidden="false" customHeight="false" outlineLevel="0" collapsed="false">
      <c r="B16657" s="0" t="s">
        <v>7</v>
      </c>
    </row>
    <row r="16658" customFormat="false" ht="12.8" hidden="false" customHeight="false" outlineLevel="0" collapsed="false">
      <c r="B16658" s="0" t="s">
        <v>14</v>
      </c>
    </row>
    <row r="16660" customFormat="false" ht="12.8" hidden="false" customHeight="false" outlineLevel="0" collapsed="false">
      <c r="A16660" s="0" t="s">
        <v>6446</v>
      </c>
      <c r="B16660" s="0" t="str">
        <f aca="false">HYPERLINK("https://lindat.mff.cuni.cz/services/teitok/pdtc10/index.php?action=vallex&amp;frame=v-w2003f1", "nahlašovat (v-w2003f1)")</f>
        <v>nahlašovat (v-w2003f1)</v>
      </c>
    </row>
    <row r="16661" customFormat="false" ht="12.8" hidden="false" customHeight="false" outlineLevel="0" collapsed="false">
      <c r="B16661" s="0" t="s">
        <v>7</v>
      </c>
      <c r="D16661" s="0" t="s">
        <v>164</v>
      </c>
      <c r="E16661" s="0" t="s">
        <v>164</v>
      </c>
      <c r="F16661" s="0" t="s">
        <v>164</v>
      </c>
    </row>
    <row r="16662" customFormat="false" ht="12.8" hidden="false" customHeight="false" outlineLevel="0" collapsed="false">
      <c r="B16662" s="0" t="s">
        <v>165</v>
      </c>
      <c r="D16662" s="0" t="s">
        <v>167</v>
      </c>
      <c r="E16662" s="0" t="s">
        <v>167</v>
      </c>
      <c r="F16662" s="0" t="s">
        <v>167</v>
      </c>
    </row>
    <row r="16663" customFormat="false" ht="12.8" hidden="false" customHeight="false" outlineLevel="0" collapsed="false">
      <c r="B16663" s="0" t="s">
        <v>48</v>
      </c>
      <c r="D16663" s="0" t="s">
        <v>168</v>
      </c>
      <c r="E16663" s="0" t="s">
        <v>168</v>
      </c>
      <c r="F16663" s="0" t="s">
        <v>168</v>
      </c>
    </row>
    <row r="16665" customFormat="false" ht="12.8" hidden="false" customHeight="false" outlineLevel="0" collapsed="false">
      <c r="A16665" s="0" t="s">
        <v>6447</v>
      </c>
      <c r="B16665" s="0" t="str">
        <f aca="false">HYPERLINK("https://lindat.mff.cuni.cz/services/teitok/pdtc10/index.php?action=vallex&amp;frame=v-w2003f2", "nahlašovat (v-w2003f2)")</f>
        <v>nahlašovat (v-w2003f2)</v>
      </c>
    </row>
    <row r="16666" customFormat="false" ht="12.8" hidden="false" customHeight="false" outlineLevel="0" collapsed="false">
      <c r="B16666" s="0" t="s">
        <v>7</v>
      </c>
    </row>
    <row r="16667" customFormat="false" ht="12.8" hidden="false" customHeight="false" outlineLevel="0" collapsed="false">
      <c r="B16667" s="0" t="s">
        <v>165</v>
      </c>
    </row>
    <row r="16668" customFormat="false" ht="12.8" hidden="false" customHeight="false" outlineLevel="0" collapsed="false">
      <c r="B16668" s="0" t="s">
        <v>124</v>
      </c>
    </row>
    <row r="16670" customFormat="false" ht="12.8" hidden="false" customHeight="false" outlineLevel="0" collapsed="false">
      <c r="A16670" s="0" t="s">
        <v>6448</v>
      </c>
      <c r="B16670" s="0" t="str">
        <f aca="false">HYPERLINK("https://lindat.mff.cuni.cz/services/teitok/pdtc10/index.php?action=vallex&amp;frame=v-w11743_ZUf1_ZU", "nahledat se (v-w11743_ZUf1_ZU)")</f>
        <v>nahledat se (v-w11743_ZUf1_ZU)</v>
      </c>
    </row>
    <row r="16671" customFormat="false" ht="12.8" hidden="false" customHeight="false" outlineLevel="0" collapsed="false">
      <c r="B16671" s="0" t="s">
        <v>7</v>
      </c>
    </row>
    <row r="16672" customFormat="false" ht="12.8" hidden="false" customHeight="false" outlineLevel="0" collapsed="false">
      <c r="B16672" s="0" t="s">
        <v>1087</v>
      </c>
    </row>
    <row r="16674" customFormat="false" ht="12.8" hidden="false" customHeight="false" outlineLevel="0" collapsed="false">
      <c r="A16674" s="0" t="s">
        <v>6449</v>
      </c>
      <c r="B16674" s="0" t="str">
        <f aca="false">HYPERLINK("https://lindat.mff.cuni.cz/services/teitok/pdtc10/index.php?action=vallex&amp;frame=v-w2009f1", "nahlodat (v-w2009f1)")</f>
        <v>nahlodat (v-w2009f1)</v>
      </c>
    </row>
    <row r="16675" customFormat="false" ht="12.8" hidden="false" customHeight="false" outlineLevel="0" collapsed="false">
      <c r="B16675" s="0" t="s">
        <v>7</v>
      </c>
      <c r="C16675" s="0" t="s">
        <v>569</v>
      </c>
      <c r="D16675" s="0" t="s">
        <v>1531</v>
      </c>
      <c r="E16675" s="0" t="s">
        <v>6450</v>
      </c>
      <c r="F16675" s="0" t="s">
        <v>6450</v>
      </c>
    </row>
    <row r="16676" customFormat="false" ht="12.8" hidden="false" customHeight="false" outlineLevel="0" collapsed="false">
      <c r="B16676" s="0" t="s">
        <v>14</v>
      </c>
      <c r="C16676" s="0" t="s">
        <v>74</v>
      </c>
      <c r="D16676" s="0" t="s">
        <v>899</v>
      </c>
      <c r="E16676" s="0" t="s">
        <v>3786</v>
      </c>
      <c r="F16676" s="0" t="s">
        <v>3786</v>
      </c>
    </row>
    <row r="16678" customFormat="false" ht="12.8" hidden="false" customHeight="false" outlineLevel="0" collapsed="false">
      <c r="A16678" s="0" t="s">
        <v>6451</v>
      </c>
      <c r="B16678" s="0" t="str">
        <f aca="false">HYPERLINK("https://lindat.mff.cuni.cz/services/teitok/pdtc10/index.php?action=vallex&amp;frame=v-w2002f1", "nahlásit (v-w2002f1)")</f>
        <v>nahlásit (v-w2002f1)</v>
      </c>
    </row>
    <row r="16679" customFormat="false" ht="12.8" hidden="false" customHeight="false" outlineLevel="0" collapsed="false">
      <c r="B16679" s="0" t="s">
        <v>7</v>
      </c>
      <c r="C16679" s="0" t="s">
        <v>6452</v>
      </c>
      <c r="D16679" s="0" t="s">
        <v>164</v>
      </c>
      <c r="E16679" s="0" t="s">
        <v>164</v>
      </c>
      <c r="F16679" s="0" t="s">
        <v>164</v>
      </c>
    </row>
    <row r="16680" customFormat="false" ht="12.8" hidden="false" customHeight="false" outlineLevel="0" collapsed="false">
      <c r="B16680" s="0" t="s">
        <v>165</v>
      </c>
      <c r="C16680" s="0" t="s">
        <v>6453</v>
      </c>
      <c r="D16680" s="0" t="s">
        <v>167</v>
      </c>
      <c r="E16680" s="0" t="s">
        <v>167</v>
      </c>
      <c r="F16680" s="0" t="s">
        <v>167</v>
      </c>
    </row>
    <row r="16681" customFormat="false" ht="12.8" hidden="false" customHeight="false" outlineLevel="0" collapsed="false">
      <c r="B16681" s="0" t="s">
        <v>48</v>
      </c>
      <c r="C16681" s="0" t="s">
        <v>3824</v>
      </c>
      <c r="D16681" s="0" t="s">
        <v>168</v>
      </c>
      <c r="E16681" s="0" t="s">
        <v>168</v>
      </c>
      <c r="F16681" s="0" t="s">
        <v>168</v>
      </c>
    </row>
    <row r="16683" customFormat="false" ht="12.8" hidden="false" customHeight="false" outlineLevel="0" collapsed="false">
      <c r="A16683" s="0" t="s">
        <v>6454</v>
      </c>
      <c r="B16683" s="0" t="str">
        <f aca="false">HYPERLINK("https://lindat.mff.cuni.cz/services/teitok/pdtc10/index.php?action=vallex&amp;frame=v-w2002f2", "nahlásit (v-w2002f2)")</f>
        <v>nahlásit (v-w2002f2)</v>
      </c>
    </row>
    <row r="16684" customFormat="false" ht="12.8" hidden="false" customHeight="false" outlineLevel="0" collapsed="false">
      <c r="B16684" s="0" t="s">
        <v>7</v>
      </c>
    </row>
    <row r="16685" customFormat="false" ht="12.8" hidden="false" customHeight="false" outlineLevel="0" collapsed="false">
      <c r="B16685" s="0" t="s">
        <v>14</v>
      </c>
    </row>
    <row r="16686" customFormat="false" ht="12.8" hidden="false" customHeight="false" outlineLevel="0" collapsed="false">
      <c r="B16686" s="0" t="s">
        <v>124</v>
      </c>
    </row>
    <row r="16688" customFormat="false" ht="12.8" hidden="false" customHeight="false" outlineLevel="0" collapsed="false">
      <c r="A16688" s="0" t="s">
        <v>6455</v>
      </c>
      <c r="B16688" s="0" t="str">
        <f aca="false">HYPERLINK("https://lindat.mff.cuni.cz/services/teitok/pdtc10/index.php?action=vallex&amp;frame=v-w2005f3", "nahlédnout (v-w2005f3)")</f>
        <v>nahlédnout (v-w2005f3)</v>
      </c>
    </row>
    <row r="16689" customFormat="false" ht="12.8" hidden="false" customHeight="false" outlineLevel="0" collapsed="false">
      <c r="B16689" s="0" t="s">
        <v>7</v>
      </c>
    </row>
    <row r="16690" customFormat="false" ht="12.8" hidden="false" customHeight="false" outlineLevel="0" collapsed="false">
      <c r="B16690" s="0" t="s">
        <v>41</v>
      </c>
    </row>
    <row r="16691" customFormat="false" ht="12.8" hidden="false" customHeight="false" outlineLevel="0" collapsed="false">
      <c r="B16691" s="0" t="s">
        <v>552</v>
      </c>
    </row>
    <row r="16692" customFormat="false" ht="12.8" hidden="false" customHeight="false" outlineLevel="0" collapsed="false">
      <c r="B16692" s="0" t="s">
        <v>474</v>
      </c>
    </row>
    <row r="16693" customFormat="false" ht="12.8" hidden="false" customHeight="false" outlineLevel="0" collapsed="false">
      <c r="B16693" s="0" t="s">
        <v>477</v>
      </c>
    </row>
    <row r="16694" customFormat="false" ht="12.8" hidden="false" customHeight="false" outlineLevel="0" collapsed="false">
      <c r="B16694" s="0" t="s">
        <v>479</v>
      </c>
    </row>
    <row r="16695" customFormat="false" ht="12.8" hidden="false" customHeight="false" outlineLevel="0" collapsed="false">
      <c r="B16695" s="0" t="s">
        <v>481</v>
      </c>
    </row>
    <row r="16696" customFormat="false" ht="12.8" hidden="false" customHeight="false" outlineLevel="0" collapsed="false">
      <c r="B16696" s="0" t="s">
        <v>483</v>
      </c>
    </row>
    <row r="16698" customFormat="false" ht="12.8" hidden="false" customHeight="false" outlineLevel="0" collapsed="false">
      <c r="A16698" s="0" t="s">
        <v>6456</v>
      </c>
      <c r="B16698" s="0" t="str">
        <f aca="false">HYPERLINK("https://lindat.mff.cuni.cz/services/teitok/pdtc10/index.php?action=vallex&amp;frame=v-w2005f2", "nahlédnout (v-w2005f2)")</f>
        <v>nahlédnout (v-w2005f2)</v>
      </c>
    </row>
    <row r="16699" customFormat="false" ht="12.8" hidden="false" customHeight="false" outlineLevel="0" collapsed="false">
      <c r="B16699" s="0" t="s">
        <v>7</v>
      </c>
      <c r="D16699" s="0" t="s">
        <v>3610</v>
      </c>
      <c r="E16699" s="0" t="s">
        <v>3610</v>
      </c>
      <c r="F16699" s="0" t="s">
        <v>3610</v>
      </c>
    </row>
    <row r="16700" customFormat="false" ht="12.8" hidden="false" customHeight="false" outlineLevel="0" collapsed="false">
      <c r="B16700" s="0" t="s">
        <v>4690</v>
      </c>
      <c r="D16700" s="0" t="s">
        <v>4163</v>
      </c>
      <c r="E16700" s="0" t="s">
        <v>4163</v>
      </c>
      <c r="F16700" s="0" t="s">
        <v>4163</v>
      </c>
    </row>
    <row r="16702" customFormat="false" ht="12.8" hidden="false" customHeight="false" outlineLevel="0" collapsed="false">
      <c r="A16702" s="0" t="s">
        <v>6457</v>
      </c>
      <c r="B16702" s="0" t="str">
        <f aca="false">HYPERLINK("https://lindat.mff.cuni.cz/services/teitok/pdtc10/index.php?action=vallex&amp;frame=v-w2005f1", "nahlédnout (v-w2005f1)")</f>
        <v>nahlédnout (v-w2005f1)</v>
      </c>
    </row>
    <row r="16703" customFormat="false" ht="12.8" hidden="false" customHeight="false" outlineLevel="0" collapsed="false">
      <c r="B16703" s="0" t="s">
        <v>7</v>
      </c>
    </row>
    <row r="16704" customFormat="false" ht="12.8" hidden="false" customHeight="false" outlineLevel="0" collapsed="false">
      <c r="B16704" s="0" t="s">
        <v>124</v>
      </c>
    </row>
    <row r="16706" customFormat="false" ht="12.8" hidden="false" customHeight="false" outlineLevel="0" collapsed="false">
      <c r="A16706" s="0" t="s">
        <v>6458</v>
      </c>
      <c r="B16706" s="0" t="str">
        <f aca="false">HYPERLINK("https://lindat.mff.cuni.cz/services/teitok/pdtc10/index.php?action=vallex&amp;frame=v-w2007f2", "nahlížet (v-w2007f2)")</f>
        <v>nahlížet (v-w2007f2)</v>
      </c>
    </row>
    <row r="16707" customFormat="false" ht="12.8" hidden="false" customHeight="false" outlineLevel="0" collapsed="false">
      <c r="B16707" s="0" t="s">
        <v>7</v>
      </c>
      <c r="C16707" s="0" t="s">
        <v>4161</v>
      </c>
      <c r="D16707" s="0" t="s">
        <v>451</v>
      </c>
      <c r="E16707" s="0" t="s">
        <v>451</v>
      </c>
      <c r="F16707" s="0" t="s">
        <v>451</v>
      </c>
    </row>
    <row r="16708" customFormat="false" ht="12.8" hidden="false" customHeight="false" outlineLevel="0" collapsed="false">
      <c r="B16708" s="0" t="s">
        <v>41</v>
      </c>
      <c r="C16708" s="0" t="s">
        <v>473</v>
      </c>
      <c r="D16708" s="0" t="s">
        <v>453</v>
      </c>
      <c r="E16708" s="0" t="s">
        <v>453</v>
      </c>
      <c r="F16708" s="0" t="s">
        <v>453</v>
      </c>
    </row>
    <row r="16709" customFormat="false" ht="12.8" hidden="false" customHeight="false" outlineLevel="0" collapsed="false">
      <c r="B16709" s="0" t="s">
        <v>552</v>
      </c>
      <c r="D16709" s="0" t="s">
        <v>6459</v>
      </c>
      <c r="E16709" s="0" t="s">
        <v>6459</v>
      </c>
      <c r="F16709" s="0" t="s">
        <v>6459</v>
      </c>
    </row>
    <row r="16710" customFormat="false" ht="12.8" hidden="false" customHeight="false" outlineLevel="0" collapsed="false">
      <c r="B16710" s="0" t="s">
        <v>474</v>
      </c>
      <c r="C16710" s="0" t="s">
        <v>6460</v>
      </c>
      <c r="D16710" s="0" t="s">
        <v>3401</v>
      </c>
      <c r="E16710" s="0" t="s">
        <v>3401</v>
      </c>
      <c r="F16710" s="0" t="s">
        <v>3401</v>
      </c>
    </row>
    <row r="16711" customFormat="false" ht="12.8" hidden="false" customHeight="false" outlineLevel="0" collapsed="false">
      <c r="B16711" s="0" t="s">
        <v>477</v>
      </c>
      <c r="D16711" s="0" t="s">
        <v>6461</v>
      </c>
      <c r="E16711" s="0" t="s">
        <v>6461</v>
      </c>
      <c r="F16711" s="0" t="s">
        <v>6461</v>
      </c>
    </row>
    <row r="16712" customFormat="false" ht="12.8" hidden="false" customHeight="false" outlineLevel="0" collapsed="false">
      <c r="B16712" s="0" t="s">
        <v>479</v>
      </c>
      <c r="D16712" s="0" t="s">
        <v>3402</v>
      </c>
      <c r="E16712" s="0" t="s">
        <v>3402</v>
      </c>
      <c r="F16712" s="0" t="s">
        <v>3402</v>
      </c>
    </row>
    <row r="16713" customFormat="false" ht="12.8" hidden="false" customHeight="false" outlineLevel="0" collapsed="false">
      <c r="B16713" s="0" t="s">
        <v>481</v>
      </c>
      <c r="D16713" s="0" t="s">
        <v>3403</v>
      </c>
      <c r="E16713" s="0" t="s">
        <v>3403</v>
      </c>
      <c r="F16713" s="0" t="s">
        <v>3403</v>
      </c>
    </row>
    <row r="16714" customFormat="false" ht="12.8" hidden="false" customHeight="false" outlineLevel="0" collapsed="false">
      <c r="B16714" s="0" t="s">
        <v>483</v>
      </c>
      <c r="D16714" s="0" t="s">
        <v>3405</v>
      </c>
      <c r="E16714" s="0" t="s">
        <v>3405</v>
      </c>
      <c r="F16714" s="0" t="s">
        <v>3405</v>
      </c>
    </row>
    <row r="16716" customFormat="false" ht="12.8" hidden="false" customHeight="false" outlineLevel="0" collapsed="false">
      <c r="A16716" s="0" t="s">
        <v>6462</v>
      </c>
      <c r="B16716" s="0" t="str">
        <f aca="false">HYPERLINK("https://lindat.mff.cuni.cz/services/teitok/pdtc10/index.php?action=vallex&amp;frame=v-w2007f1", "nahlížet (v-w2007f1)")</f>
        <v>nahlížet (v-w2007f1)</v>
      </c>
    </row>
    <row r="16717" customFormat="false" ht="12.8" hidden="false" customHeight="false" outlineLevel="0" collapsed="false">
      <c r="B16717" s="0" t="s">
        <v>7</v>
      </c>
    </row>
    <row r="16718" customFormat="false" ht="12.8" hidden="false" customHeight="false" outlineLevel="0" collapsed="false">
      <c r="B16718" s="0" t="s">
        <v>124</v>
      </c>
    </row>
    <row r="16720" customFormat="false" ht="12.8" hidden="false" customHeight="false" outlineLevel="0" collapsed="false">
      <c r="A16720" s="0" t="s">
        <v>6463</v>
      </c>
      <c r="B16720" s="0" t="str">
        <f aca="false">HYPERLINK("https://lindat.mff.cuni.cz/services/teitok/pdtc10/index.php?action=vallex&amp;frame=v-w2010f2", "nahnat (v-w2010f2)")</f>
        <v>nahnat (v-w2010f2)</v>
      </c>
    </row>
    <row r="16721" customFormat="false" ht="12.8" hidden="false" customHeight="false" outlineLevel="0" collapsed="false">
      <c r="B16721" s="0" t="s">
        <v>7</v>
      </c>
    </row>
    <row r="16722" customFormat="false" ht="12.8" hidden="false" customHeight="false" outlineLevel="0" collapsed="false">
      <c r="B16722" s="0" t="s">
        <v>14</v>
      </c>
    </row>
    <row r="16723" customFormat="false" ht="12.8" hidden="false" customHeight="false" outlineLevel="0" collapsed="false">
      <c r="B16723" s="0" t="s">
        <v>48</v>
      </c>
    </row>
    <row r="16725" customFormat="false" ht="12.8" hidden="false" customHeight="false" outlineLevel="0" collapsed="false">
      <c r="A16725" s="0" t="s">
        <v>6464</v>
      </c>
      <c r="B16725" s="0" t="str">
        <f aca="false">HYPERLINK("https://lindat.mff.cuni.cz/services/teitok/pdtc10/index.php?action=vallex&amp;frame=v-w2010f1", "nahnat (v-w2010f1)")</f>
        <v>nahnat (v-w2010f1)</v>
      </c>
    </row>
    <row r="16726" customFormat="false" ht="12.8" hidden="false" customHeight="false" outlineLevel="0" collapsed="false">
      <c r="B16726" s="0" t="s">
        <v>7</v>
      </c>
    </row>
    <row r="16727" customFormat="false" ht="12.8" hidden="false" customHeight="false" outlineLevel="0" collapsed="false">
      <c r="B16727" s="0" t="s">
        <v>14</v>
      </c>
    </row>
    <row r="16728" customFormat="false" ht="12.8" hidden="false" customHeight="false" outlineLevel="0" collapsed="false">
      <c r="B16728" s="0" t="s">
        <v>124</v>
      </c>
    </row>
    <row r="16730" customFormat="false" ht="12.8" hidden="false" customHeight="false" outlineLevel="0" collapsed="false">
      <c r="A16730" s="0" t="s">
        <v>6465</v>
      </c>
      <c r="B16730" s="0" t="str">
        <f aca="false">HYPERLINK("https://lindat.mff.cuni.cz/services/teitok/pdtc10/index.php?action=vallex&amp;frame=v-w2011f1", "nahodit (v-w2011f1)")</f>
        <v>nahodit (v-w2011f1)</v>
      </c>
    </row>
    <row r="16731" customFormat="false" ht="12.8" hidden="false" customHeight="false" outlineLevel="0" collapsed="false">
      <c r="B16731" s="0" t="s">
        <v>7</v>
      </c>
    </row>
    <row r="16732" customFormat="false" ht="12.8" hidden="false" customHeight="false" outlineLevel="0" collapsed="false">
      <c r="B16732" s="0" t="s">
        <v>14</v>
      </c>
    </row>
    <row r="16734" customFormat="false" ht="12.8" hidden="false" customHeight="false" outlineLevel="0" collapsed="false">
      <c r="A16734" s="0" t="s">
        <v>6466</v>
      </c>
      <c r="B16734" s="0" t="str">
        <f aca="false">HYPERLINK("https://lindat.mff.cuni.cz/services/teitok/pdtc10/index.php?action=vallex&amp;frame=v-w2011f3", "nahodit (v-w2011f3)")</f>
        <v>nahodit (v-w2011f3)</v>
      </c>
    </row>
    <row r="16735" customFormat="false" ht="12.8" hidden="false" customHeight="false" outlineLevel="0" collapsed="false">
      <c r="B16735" s="0" t="s">
        <v>7</v>
      </c>
      <c r="C16735" s="0" t="s">
        <v>191</v>
      </c>
    </row>
    <row r="16736" customFormat="false" ht="12.8" hidden="false" customHeight="false" outlineLevel="0" collapsed="false">
      <c r="B16736" s="0" t="s">
        <v>14</v>
      </c>
      <c r="C16736" s="0" t="s">
        <v>47</v>
      </c>
    </row>
    <row r="16738" customFormat="false" ht="12.8" hidden="false" customHeight="false" outlineLevel="0" collapsed="false">
      <c r="A16738" s="0" t="s">
        <v>6467</v>
      </c>
      <c r="B16738" s="0" t="str">
        <f aca="false">HYPERLINK("https://lindat.mff.cuni.cz/services/teitok/pdtc10/index.php?action=vallex&amp;frame=v-w2011f2", "nahodit (v-w2011f2)")</f>
        <v>nahodit (v-w2011f2)</v>
      </c>
    </row>
    <row r="16739" customFormat="false" ht="12.8" hidden="false" customHeight="false" outlineLevel="0" collapsed="false">
      <c r="B16739" s="0" t="s">
        <v>7</v>
      </c>
    </row>
    <row r="16740" customFormat="false" ht="12.8" hidden="false" customHeight="false" outlineLevel="0" collapsed="false">
      <c r="B16740" s="0" t="s">
        <v>14</v>
      </c>
    </row>
    <row r="16742" customFormat="false" ht="12.8" hidden="false" customHeight="false" outlineLevel="0" collapsed="false">
      <c r="A16742" s="0" t="s">
        <v>6468</v>
      </c>
      <c r="B16742" s="0" t="str">
        <f aca="false">HYPERLINK("https://lindat.mff.cuni.cz/services/teitok/pdtc10/index.php?action=vallex&amp;frame=v-w2011hsa_1008", "nahodit (v-w2011hsa_1008)")</f>
        <v>nahodit (v-w2011hsa_1008)</v>
      </c>
    </row>
    <row r="16743" customFormat="false" ht="12.8" hidden="false" customHeight="false" outlineLevel="0" collapsed="false">
      <c r="B16743" s="0" t="s">
        <v>7</v>
      </c>
    </row>
    <row r="16744" customFormat="false" ht="12.8" hidden="false" customHeight="false" outlineLevel="0" collapsed="false">
      <c r="B16744" s="0" t="s">
        <v>14</v>
      </c>
    </row>
    <row r="16745" customFormat="false" ht="12.8" hidden="false" customHeight="false" outlineLevel="0" collapsed="false">
      <c r="B16745" s="0" t="s">
        <v>124</v>
      </c>
    </row>
    <row r="16747" customFormat="false" ht="12.8" hidden="false" customHeight="false" outlineLevel="0" collapsed="false">
      <c r="A16747" s="0" t="s">
        <v>6469</v>
      </c>
      <c r="B16747" s="0" t="str">
        <f aca="false">HYPERLINK("https://lindat.mff.cuni.cz/services/teitok/pdtc10/index.php?action=vallex&amp;frame=v-w2012f1", "nahrabat (v-w2012f1)")</f>
        <v>nahrabat (v-w2012f1)</v>
      </c>
    </row>
    <row r="16748" customFormat="false" ht="12.8" hidden="false" customHeight="false" outlineLevel="0" collapsed="false">
      <c r="B16748" s="0" t="s">
        <v>7</v>
      </c>
    </row>
    <row r="16749" customFormat="false" ht="12.8" hidden="false" customHeight="false" outlineLevel="0" collapsed="false">
      <c r="B16749" s="0" t="s">
        <v>14</v>
      </c>
    </row>
    <row r="16751" customFormat="false" ht="12.8" hidden="false" customHeight="false" outlineLevel="0" collapsed="false">
      <c r="A16751" s="0" t="s">
        <v>6470</v>
      </c>
      <c r="B16751" s="0" t="str">
        <f aca="false">HYPERLINK("https://lindat.mff.cuni.cz/services/teitok/pdtc10/index.php?action=vallex&amp;frame=v-w2014f3", "nahradit (v-w2014f3)")</f>
        <v>nahradit (v-w2014f3)</v>
      </c>
    </row>
    <row r="16752" customFormat="false" ht="12.8" hidden="false" customHeight="false" outlineLevel="0" collapsed="false">
      <c r="B16752" s="0" t="s">
        <v>7</v>
      </c>
      <c r="C16752" s="0" t="s">
        <v>1263</v>
      </c>
    </row>
    <row r="16753" customFormat="false" ht="12.8" hidden="false" customHeight="false" outlineLevel="0" collapsed="false">
      <c r="B16753" s="0" t="s">
        <v>14</v>
      </c>
      <c r="C16753" s="0" t="s">
        <v>1833</v>
      </c>
    </row>
    <row r="16754" customFormat="false" ht="12.8" hidden="false" customHeight="false" outlineLevel="0" collapsed="false">
      <c r="B16754" s="0" t="s">
        <v>48</v>
      </c>
    </row>
    <row r="16756" customFormat="false" ht="12.8" hidden="false" customHeight="false" outlineLevel="0" collapsed="false">
      <c r="A16756" s="0" t="s">
        <v>6471</v>
      </c>
      <c r="B16756" s="0" t="str">
        <f aca="false">HYPERLINK("https://lindat.mff.cuni.cz/services/teitok/pdtc10/index.php?action=vallex&amp;frame=v-w2014f1", "nahradit (v-w2014f1)")</f>
        <v>nahradit (v-w2014f1)</v>
      </c>
    </row>
    <row r="16757" customFormat="false" ht="12.8" hidden="false" customHeight="false" outlineLevel="0" collapsed="false">
      <c r="B16757" s="0" t="s">
        <v>7</v>
      </c>
      <c r="C16757" s="0" t="s">
        <v>6472</v>
      </c>
      <c r="D16757" s="0" t="s">
        <v>6200</v>
      </c>
      <c r="E16757" s="0" t="s">
        <v>6200</v>
      </c>
      <c r="F16757" s="0" t="s">
        <v>6200</v>
      </c>
    </row>
    <row r="16758" customFormat="false" ht="12.8" hidden="false" customHeight="false" outlineLevel="0" collapsed="false">
      <c r="B16758" s="0" t="s">
        <v>14</v>
      </c>
      <c r="C16758" s="0" t="s">
        <v>6473</v>
      </c>
      <c r="D16758" s="0" t="s">
        <v>6202</v>
      </c>
      <c r="E16758" s="0" t="s">
        <v>6202</v>
      </c>
      <c r="F16758" s="0" t="s">
        <v>6202</v>
      </c>
    </row>
    <row r="16759" customFormat="false" ht="12.8" hidden="false" customHeight="false" outlineLevel="0" collapsed="false">
      <c r="B16759" s="0" t="s">
        <v>6474</v>
      </c>
      <c r="C16759" s="0" t="s">
        <v>6204</v>
      </c>
      <c r="D16759" s="0" t="s">
        <v>6204</v>
      </c>
      <c r="E16759" s="0" t="s">
        <v>6204</v>
      </c>
      <c r="F16759" s="0" t="s">
        <v>6204</v>
      </c>
    </row>
    <row r="16761" customFormat="false" ht="12.8" hidden="false" customHeight="false" outlineLevel="0" collapsed="false">
      <c r="A16761" s="0" t="s">
        <v>6475</v>
      </c>
      <c r="B16761" s="0" t="str">
        <f aca="false">HYPERLINK("https://lindat.mff.cuni.cz/services/teitok/pdtc10/index.php?action=vallex&amp;frame=v-w2014f2", "nahradit (v-w2014f2)")</f>
        <v>nahradit (v-w2014f2)</v>
      </c>
    </row>
    <row r="16762" customFormat="false" ht="12.8" hidden="false" customHeight="false" outlineLevel="0" collapsed="false">
      <c r="B16762" s="0" t="s">
        <v>7</v>
      </c>
      <c r="C16762" s="0" t="s">
        <v>6476</v>
      </c>
      <c r="D16762" s="0" t="s">
        <v>6477</v>
      </c>
      <c r="E16762" s="0" t="s">
        <v>6477</v>
      </c>
      <c r="F16762" s="0" t="s">
        <v>6477</v>
      </c>
    </row>
    <row r="16763" customFormat="false" ht="12.8" hidden="false" customHeight="false" outlineLevel="0" collapsed="false">
      <c r="B16763" s="0" t="s">
        <v>14</v>
      </c>
      <c r="C16763" s="0" t="s">
        <v>6478</v>
      </c>
      <c r="D16763" s="0" t="s">
        <v>6479</v>
      </c>
      <c r="E16763" s="0" t="s">
        <v>6479</v>
      </c>
      <c r="F16763" s="0" t="s">
        <v>6479</v>
      </c>
    </row>
    <row r="16765" customFormat="false" ht="12.8" hidden="false" customHeight="false" outlineLevel="0" collapsed="false">
      <c r="A16765" s="0" t="s">
        <v>6480</v>
      </c>
      <c r="B16765" s="0" t="str">
        <f aca="false">HYPERLINK("https://lindat.mff.cuni.cz/services/teitok/pdtc10/index.php?action=vallex&amp;frame=v-w2020f3", "nahrazovat (v-w2020f3)")</f>
        <v>nahrazovat (v-w2020f3)</v>
      </c>
    </row>
    <row r="16766" customFormat="false" ht="12.8" hidden="false" customHeight="false" outlineLevel="0" collapsed="false">
      <c r="B16766" s="0" t="s">
        <v>7</v>
      </c>
    </row>
    <row r="16767" customFormat="false" ht="12.8" hidden="false" customHeight="false" outlineLevel="0" collapsed="false">
      <c r="B16767" s="0" t="s">
        <v>14</v>
      </c>
    </row>
    <row r="16768" customFormat="false" ht="12.8" hidden="false" customHeight="false" outlineLevel="0" collapsed="false">
      <c r="B16768" s="0" t="s">
        <v>48</v>
      </c>
    </row>
    <row r="16770" customFormat="false" ht="12.8" hidden="false" customHeight="false" outlineLevel="0" collapsed="false">
      <c r="A16770" s="0" t="s">
        <v>6481</v>
      </c>
      <c r="B16770" s="0" t="str">
        <f aca="false">HYPERLINK("https://lindat.mff.cuni.cz/services/teitok/pdtc10/index.php?action=vallex&amp;frame=v-w2020f1", "nahrazovat (v-w2020f1)")</f>
        <v>nahrazovat (v-w2020f1)</v>
      </c>
    </row>
    <row r="16771" customFormat="false" ht="12.8" hidden="false" customHeight="false" outlineLevel="0" collapsed="false">
      <c r="B16771" s="0" t="s">
        <v>7</v>
      </c>
      <c r="C16771" s="0" t="s">
        <v>6482</v>
      </c>
      <c r="D16771" s="0" t="s">
        <v>6200</v>
      </c>
      <c r="E16771" s="0" t="s">
        <v>6200</v>
      </c>
      <c r="F16771" s="0" t="s">
        <v>6200</v>
      </c>
    </row>
    <row r="16772" customFormat="false" ht="12.8" hidden="false" customHeight="false" outlineLevel="0" collapsed="false">
      <c r="B16772" s="0" t="s">
        <v>232</v>
      </c>
      <c r="C16772" s="0" t="s">
        <v>6483</v>
      </c>
      <c r="D16772" s="0" t="s">
        <v>6202</v>
      </c>
      <c r="E16772" s="0" t="s">
        <v>6202</v>
      </c>
      <c r="F16772" s="0" t="s">
        <v>6202</v>
      </c>
    </row>
    <row r="16773" customFormat="false" ht="12.8" hidden="false" customHeight="false" outlineLevel="0" collapsed="false">
      <c r="B16773" s="0" t="s">
        <v>6474</v>
      </c>
      <c r="C16773" s="0" t="s">
        <v>6484</v>
      </c>
      <c r="D16773" s="0" t="s">
        <v>6204</v>
      </c>
      <c r="E16773" s="0" t="s">
        <v>6204</v>
      </c>
      <c r="F16773" s="0" t="s">
        <v>6204</v>
      </c>
    </row>
    <row r="16775" customFormat="false" ht="12.8" hidden="false" customHeight="false" outlineLevel="0" collapsed="false">
      <c r="A16775" s="0" t="s">
        <v>6485</v>
      </c>
      <c r="B16775" s="0" t="str">
        <f aca="false">HYPERLINK("https://lindat.mff.cuni.cz/services/teitok/pdtc10/index.php?action=vallex&amp;frame=v-w2020f2", "nahrazovat (v-w2020f2)")</f>
        <v>nahrazovat (v-w2020f2)</v>
      </c>
    </row>
    <row r="16776" customFormat="false" ht="12.8" hidden="false" customHeight="false" outlineLevel="0" collapsed="false">
      <c r="B16776" s="0" t="s">
        <v>7</v>
      </c>
      <c r="C16776" s="0" t="s">
        <v>6486</v>
      </c>
      <c r="D16776" s="0" t="s">
        <v>6477</v>
      </c>
      <c r="E16776" s="0" t="s">
        <v>6477</v>
      </c>
      <c r="F16776" s="0" t="s">
        <v>6477</v>
      </c>
    </row>
    <row r="16777" customFormat="false" ht="12.8" hidden="false" customHeight="false" outlineLevel="0" collapsed="false">
      <c r="B16777" s="0" t="s">
        <v>14</v>
      </c>
      <c r="C16777" s="0" t="s">
        <v>6487</v>
      </c>
      <c r="D16777" s="0" t="s">
        <v>6479</v>
      </c>
      <c r="E16777" s="0" t="s">
        <v>6479</v>
      </c>
      <c r="F16777" s="0" t="s">
        <v>6479</v>
      </c>
    </row>
    <row r="16779" customFormat="false" ht="12.8" hidden="false" customHeight="false" outlineLevel="0" collapsed="false">
      <c r="A16779" s="0" t="s">
        <v>6488</v>
      </c>
      <c r="B16779" s="0" t="str">
        <f aca="false">HYPERLINK("https://lindat.mff.cuni.cz/services/teitok/pdtc10/index.php?action=vallex&amp;frame=v-w11094f2", "nahromadit (v-w11094f2)")</f>
        <v>nahromadit (v-w11094f2)</v>
      </c>
    </row>
    <row r="16780" customFormat="false" ht="12.8" hidden="false" customHeight="false" outlineLevel="0" collapsed="false">
      <c r="B16780" s="0" t="s">
        <v>7</v>
      </c>
      <c r="C16780" s="0" t="s">
        <v>191</v>
      </c>
      <c r="D16780" s="0" t="s">
        <v>77</v>
      </c>
      <c r="E16780" s="0" t="s">
        <v>77</v>
      </c>
      <c r="F16780" s="0" t="s">
        <v>77</v>
      </c>
    </row>
    <row r="16781" customFormat="false" ht="12.8" hidden="false" customHeight="false" outlineLevel="0" collapsed="false">
      <c r="B16781" s="0" t="s">
        <v>14</v>
      </c>
      <c r="C16781" s="0" t="s">
        <v>47</v>
      </c>
      <c r="D16781" s="0" t="s">
        <v>79</v>
      </c>
      <c r="E16781" s="0" t="s">
        <v>79</v>
      </c>
      <c r="F16781" s="0" t="s">
        <v>79</v>
      </c>
    </row>
    <row r="16783" customFormat="false" ht="12.8" hidden="false" customHeight="false" outlineLevel="0" collapsed="false">
      <c r="A16783" s="0" t="s">
        <v>6489</v>
      </c>
      <c r="B16783" s="0" t="str">
        <f aca="false">HYPERLINK("https://lindat.mff.cuni.cz/services/teitok/pdtc10/index.php?action=vallex&amp;frame=v-w11461f1", "nahromadit se (v-w11461f1)")</f>
        <v>nahromadit se (v-w11461f1)</v>
      </c>
    </row>
    <row r="16784" customFormat="false" ht="12.8" hidden="false" customHeight="false" outlineLevel="0" collapsed="false">
      <c r="B16784" s="0" t="s">
        <v>7</v>
      </c>
      <c r="C16784" s="0" t="s">
        <v>736</v>
      </c>
      <c r="D16784" s="0" t="s">
        <v>6490</v>
      </c>
      <c r="E16784" s="0" t="s">
        <v>6491</v>
      </c>
      <c r="F16784" s="0" t="s">
        <v>6491</v>
      </c>
    </row>
    <row r="16786" customFormat="false" ht="12.8" hidden="false" customHeight="false" outlineLevel="0" collapsed="false">
      <c r="A16786" s="0" t="s">
        <v>6492</v>
      </c>
      <c r="B16786" s="0" t="str">
        <f aca="false">HYPERLINK("https://lindat.mff.cuni.cz/services/teitok/pdtc10/index.php?action=vallex&amp;frame=v-w2015f4", "nahrát (v-w2015f4)")</f>
        <v>nahrát (v-w2015f4)</v>
      </c>
    </row>
    <row r="16787" customFormat="false" ht="12.8" hidden="false" customHeight="false" outlineLevel="0" collapsed="false">
      <c r="B16787" s="0" t="s">
        <v>7</v>
      </c>
    </row>
    <row r="16788" customFormat="false" ht="12.8" hidden="false" customHeight="false" outlineLevel="0" collapsed="false">
      <c r="B16788" s="0" t="s">
        <v>4087</v>
      </c>
    </row>
    <row r="16789" customFormat="false" ht="12.8" hidden="false" customHeight="false" outlineLevel="0" collapsed="false">
      <c r="B16789" s="0" t="s">
        <v>2722</v>
      </c>
    </row>
    <row r="16790" customFormat="false" ht="12.8" hidden="false" customHeight="false" outlineLevel="0" collapsed="false">
      <c r="B16790" s="0" t="s">
        <v>1956</v>
      </c>
    </row>
    <row r="16792" customFormat="false" ht="12.8" hidden="false" customHeight="false" outlineLevel="0" collapsed="false">
      <c r="A16792" s="0" t="s">
        <v>6493</v>
      </c>
      <c r="B16792" s="0" t="str">
        <f aca="false">HYPERLINK("https://lindat.mff.cuni.cz/services/teitok/pdtc10/index.php?action=vallex&amp;frame=v-w2015f3", "nahrát (v-w2015f3)")</f>
        <v>nahrát (v-w2015f3)</v>
      </c>
    </row>
    <row r="16793" customFormat="false" ht="12.8" hidden="false" customHeight="false" outlineLevel="0" collapsed="false">
      <c r="B16793" s="0" t="s">
        <v>7</v>
      </c>
    </row>
    <row r="16794" customFormat="false" ht="12.8" hidden="false" customHeight="false" outlineLevel="0" collapsed="false">
      <c r="B16794" s="0" t="s">
        <v>14</v>
      </c>
    </row>
    <row r="16795" customFormat="false" ht="12.8" hidden="false" customHeight="false" outlineLevel="0" collapsed="false">
      <c r="B16795" s="0" t="s">
        <v>48</v>
      </c>
    </row>
    <row r="16797" customFormat="false" ht="12.8" hidden="false" customHeight="false" outlineLevel="0" collapsed="false">
      <c r="A16797" s="0" t="s">
        <v>6494</v>
      </c>
      <c r="B16797" s="0" t="str">
        <f aca="false">HYPERLINK("https://lindat.mff.cuni.cz/services/teitok/pdtc10/index.php?action=vallex&amp;frame=v-w2015f1", "nahrát (v-w2015f1)")</f>
        <v>nahrát (v-w2015f1)</v>
      </c>
    </row>
    <row r="16798" customFormat="false" ht="12.8" hidden="false" customHeight="false" outlineLevel="0" collapsed="false">
      <c r="B16798" s="0" t="s">
        <v>7</v>
      </c>
      <c r="C16798" s="0" t="s">
        <v>113</v>
      </c>
      <c r="D16798" s="0" t="s">
        <v>23</v>
      </c>
      <c r="E16798" s="0" t="s">
        <v>23</v>
      </c>
      <c r="F16798" s="0" t="s">
        <v>6495</v>
      </c>
    </row>
    <row r="16799" customFormat="false" ht="12.8" hidden="false" customHeight="false" outlineLevel="0" collapsed="false">
      <c r="B16799" s="0" t="s">
        <v>14</v>
      </c>
      <c r="C16799" s="0" t="s">
        <v>461</v>
      </c>
      <c r="D16799" s="0" t="s">
        <v>3662</v>
      </c>
      <c r="E16799" s="0" t="s">
        <v>3662</v>
      </c>
      <c r="F16799" s="0" t="s">
        <v>6496</v>
      </c>
    </row>
    <row r="16801" customFormat="false" ht="12.8" hidden="false" customHeight="false" outlineLevel="0" collapsed="false">
      <c r="A16801" s="0" t="s">
        <v>6497</v>
      </c>
      <c r="B16801" s="0" t="str">
        <f aca="false">HYPERLINK("https://lindat.mff.cuni.cz/services/teitok/pdtc10/index.php?action=vallex&amp;frame=v-w2015f2", "nahrát (v-w2015f2)")</f>
        <v>nahrát (v-w2015f2)</v>
      </c>
    </row>
    <row r="16802" customFormat="false" ht="12.8" hidden="false" customHeight="false" outlineLevel="0" collapsed="false">
      <c r="B16802" s="0" t="s">
        <v>7</v>
      </c>
      <c r="C16802" s="0" t="s">
        <v>6498</v>
      </c>
    </row>
    <row r="16803" customFormat="false" ht="12.8" hidden="false" customHeight="false" outlineLevel="0" collapsed="false">
      <c r="B16803" s="0" t="s">
        <v>48</v>
      </c>
      <c r="C16803" s="0" t="s">
        <v>6499</v>
      </c>
    </row>
    <row r="16804" customFormat="false" ht="12.8" hidden="false" customHeight="false" outlineLevel="0" collapsed="false">
      <c r="B16804" s="0" t="s">
        <v>6500</v>
      </c>
    </row>
    <row r="16806" customFormat="false" ht="12.8" hidden="false" customHeight="false" outlineLevel="0" collapsed="false">
      <c r="A16806" s="0" t="s">
        <v>6501</v>
      </c>
      <c r="B16806" s="0" t="str">
        <f aca="false">HYPERLINK("https://lindat.mff.cuni.cz/services/teitok/pdtc10/index.php?action=vallex&amp;frame=v-w2015f5_ZU", "nahrát (v-w2015f5_ZU)")</f>
        <v>nahrát (v-w2015f5_ZU)</v>
      </c>
    </row>
    <row r="16807" customFormat="false" ht="12.8" hidden="false" customHeight="false" outlineLevel="0" collapsed="false">
      <c r="B16807" s="0" t="s">
        <v>7</v>
      </c>
    </row>
    <row r="16808" customFormat="false" ht="12.8" hidden="false" customHeight="false" outlineLevel="0" collapsed="false">
      <c r="B16808" s="0" t="s">
        <v>14</v>
      </c>
    </row>
    <row r="16810" customFormat="false" ht="12.8" hidden="false" customHeight="false" outlineLevel="0" collapsed="false">
      <c r="A16810" s="0" t="s">
        <v>6502</v>
      </c>
      <c r="B16810" s="0" t="str">
        <f aca="false">HYPERLINK("https://lindat.mff.cuni.cz/services/teitok/pdtc10/index.php?action=vallex&amp;frame=v-w2015hsa_536", "nahrát (v-w2015hsa_536)")</f>
        <v>nahrát (v-w2015hsa_536)</v>
      </c>
    </row>
    <row r="16811" customFormat="false" ht="12.8" hidden="false" customHeight="false" outlineLevel="0" collapsed="false">
      <c r="B16811" s="0" t="s">
        <v>7</v>
      </c>
    </row>
    <row r="16812" customFormat="false" ht="12.8" hidden="false" customHeight="false" outlineLevel="0" collapsed="false">
      <c r="B16812" s="0" t="s">
        <v>14</v>
      </c>
    </row>
    <row r="16813" customFormat="false" ht="12.8" hidden="false" customHeight="false" outlineLevel="0" collapsed="false">
      <c r="B16813" s="0" t="s">
        <v>124</v>
      </c>
    </row>
    <row r="16815" customFormat="false" ht="12.8" hidden="false" customHeight="false" outlineLevel="0" collapsed="false">
      <c r="A16815" s="0" t="s">
        <v>6503</v>
      </c>
      <c r="B16815" s="0" t="str">
        <f aca="false">HYPERLINK("https://lindat.mff.cuni.cz/services/teitok/pdtc10/index.php?action=vallex&amp;frame=v-w2017f2", "nahrávat (v-w2017f2)")</f>
        <v>nahrávat (v-w2017f2)</v>
      </c>
    </row>
    <row r="16816" customFormat="false" ht="12.8" hidden="false" customHeight="false" outlineLevel="0" collapsed="false">
      <c r="B16816" s="0" t="s">
        <v>7</v>
      </c>
    </row>
    <row r="16817" customFormat="false" ht="12.8" hidden="false" customHeight="false" outlineLevel="0" collapsed="false">
      <c r="B16817" s="0" t="s">
        <v>14</v>
      </c>
    </row>
    <row r="16818" customFormat="false" ht="12.8" hidden="false" customHeight="false" outlineLevel="0" collapsed="false">
      <c r="B16818" s="0" t="s">
        <v>48</v>
      </c>
    </row>
    <row r="16820" customFormat="false" ht="12.8" hidden="false" customHeight="false" outlineLevel="0" collapsed="false">
      <c r="A16820" s="0" t="s">
        <v>6504</v>
      </c>
      <c r="B16820" s="0" t="str">
        <f aca="false">HYPERLINK("https://lindat.mff.cuni.cz/services/teitok/pdtc10/index.php?action=vallex&amp;frame=v-w2017f1", "nahrávat (v-w2017f1)")</f>
        <v>nahrávat (v-w2017f1)</v>
      </c>
    </row>
    <row r="16821" customFormat="false" ht="12.8" hidden="false" customHeight="false" outlineLevel="0" collapsed="false">
      <c r="B16821" s="0" t="s">
        <v>7</v>
      </c>
      <c r="C16821" s="0" t="s">
        <v>358</v>
      </c>
      <c r="D16821" s="0" t="s">
        <v>23</v>
      </c>
      <c r="E16821" s="0" t="s">
        <v>23</v>
      </c>
      <c r="F16821" s="0" t="s">
        <v>6495</v>
      </c>
    </row>
    <row r="16822" customFormat="false" ht="12.8" hidden="false" customHeight="false" outlineLevel="0" collapsed="false">
      <c r="B16822" s="0" t="s">
        <v>14</v>
      </c>
      <c r="C16822" s="0" t="s">
        <v>1278</v>
      </c>
      <c r="D16822" s="0" t="s">
        <v>3662</v>
      </c>
      <c r="E16822" s="0" t="s">
        <v>3662</v>
      </c>
      <c r="F16822" s="0" t="s">
        <v>6496</v>
      </c>
    </row>
    <row r="16824" customFormat="false" ht="12.8" hidden="false" customHeight="false" outlineLevel="0" collapsed="false">
      <c r="A16824" s="0" t="s">
        <v>6505</v>
      </c>
      <c r="B16824" s="0" t="str">
        <f aca="false">HYPERLINK("https://lindat.mff.cuni.cz/services/teitok/pdtc10/index.php?action=vallex&amp;frame=v-w2017f3", "nahrávat (v-w2017f3)")</f>
        <v>nahrávat (v-w2017f3)</v>
      </c>
    </row>
    <row r="16825" customFormat="false" ht="12.8" hidden="false" customHeight="false" outlineLevel="0" collapsed="false">
      <c r="B16825" s="0" t="s">
        <v>7</v>
      </c>
      <c r="C16825" s="0" t="s">
        <v>6506</v>
      </c>
    </row>
    <row r="16826" customFormat="false" ht="12.8" hidden="false" customHeight="false" outlineLevel="0" collapsed="false">
      <c r="B16826" s="0" t="s">
        <v>48</v>
      </c>
      <c r="C16826" s="0" t="s">
        <v>6507</v>
      </c>
    </row>
    <row r="16827" customFormat="false" ht="12.8" hidden="false" customHeight="false" outlineLevel="0" collapsed="false">
      <c r="B16827" s="0" t="s">
        <v>6500</v>
      </c>
    </row>
    <row r="16829" customFormat="false" ht="12.8" hidden="false" customHeight="false" outlineLevel="0" collapsed="false">
      <c r="A16829" s="0" t="s">
        <v>6508</v>
      </c>
      <c r="B16829" s="0" t="str">
        <f aca="false">HYPERLINK("https://lindat.mff.cuni.cz/services/teitok/pdtc10/index.php?action=vallex&amp;frame=v-w2000f1", "nahánět (v-w2000f1)")</f>
        <v>nahánět (v-w2000f1)</v>
      </c>
    </row>
    <row r="16830" customFormat="false" ht="12.8" hidden="false" customHeight="false" outlineLevel="0" collapsed="false">
      <c r="B16830" s="0" t="s">
        <v>7</v>
      </c>
    </row>
    <row r="16831" customFormat="false" ht="12.8" hidden="false" customHeight="false" outlineLevel="0" collapsed="false">
      <c r="B16831" s="0" t="s">
        <v>14</v>
      </c>
    </row>
    <row r="16832" customFormat="false" ht="12.8" hidden="false" customHeight="false" outlineLevel="0" collapsed="false">
      <c r="B16832" s="0" t="s">
        <v>48</v>
      </c>
    </row>
    <row r="16834" customFormat="false" ht="12.8" hidden="false" customHeight="false" outlineLevel="0" collapsed="false">
      <c r="A16834" s="0" t="s">
        <v>6509</v>
      </c>
      <c r="B16834" s="0" t="str">
        <f aca="false">HYPERLINK("https://lindat.mff.cuni.cz/services/teitok/pdtc10/index.php?action=vallex&amp;frame=v-w2001f1", "naházet (v-w2001f1)")</f>
        <v>naházet (v-w2001f1)</v>
      </c>
    </row>
    <row r="16835" customFormat="false" ht="12.8" hidden="false" customHeight="false" outlineLevel="0" collapsed="false">
      <c r="B16835" s="0" t="s">
        <v>7</v>
      </c>
      <c r="D16835" s="0" t="s">
        <v>1226</v>
      </c>
      <c r="E16835" s="0" t="s">
        <v>1226</v>
      </c>
      <c r="F16835" s="0" t="s">
        <v>1226</v>
      </c>
    </row>
    <row r="16836" customFormat="false" ht="12.8" hidden="false" customHeight="false" outlineLevel="0" collapsed="false">
      <c r="B16836" s="0" t="s">
        <v>14</v>
      </c>
      <c r="D16836" s="0" t="s">
        <v>26</v>
      </c>
      <c r="E16836" s="0" t="s">
        <v>26</v>
      </c>
      <c r="F16836" s="0" t="s">
        <v>26</v>
      </c>
    </row>
    <row r="16837" customFormat="false" ht="12.8" hidden="false" customHeight="false" outlineLevel="0" collapsed="false">
      <c r="B16837" s="0" t="s">
        <v>124</v>
      </c>
    </row>
    <row r="16839" customFormat="false" ht="12.8" hidden="false" customHeight="false" outlineLevel="0" collapsed="false">
      <c r="A16839" s="0" t="s">
        <v>6510</v>
      </c>
      <c r="B16839" s="0" t="str">
        <f aca="false">HYPERLINK("https://lindat.mff.cuni.cz/services/teitok/pdtc10/index.php?action=vallex&amp;frame=v-w12391_MMf1_MM", "nahřát (v-w12391_MMf1_MM)")</f>
        <v>nahřát (v-w12391_MMf1_MM)</v>
      </c>
    </row>
    <row r="16840" customFormat="false" ht="12.8" hidden="false" customHeight="false" outlineLevel="0" collapsed="false">
      <c r="B16840" s="0" t="s">
        <v>7</v>
      </c>
    </row>
    <row r="16841" customFormat="false" ht="12.8" hidden="false" customHeight="false" outlineLevel="0" collapsed="false">
      <c r="B16841" s="0" t="s">
        <v>14</v>
      </c>
    </row>
    <row r="16843" customFormat="false" ht="12.8" hidden="false" customHeight="false" outlineLevel="0" collapsed="false">
      <c r="A16843" s="0" t="s">
        <v>6511</v>
      </c>
      <c r="B16843" s="0" t="str">
        <f aca="false">HYPERLINK("https://lindat.mff.cuni.cz/services/teitok/pdtc10/index.php?action=vallex&amp;frame=v-w10048f2", "nainstalovat (v-w10048f2)")</f>
        <v>nainstalovat (v-w10048f2)</v>
      </c>
    </row>
    <row r="16844" customFormat="false" ht="12.8" hidden="false" customHeight="false" outlineLevel="0" collapsed="false">
      <c r="B16844" s="0" t="s">
        <v>7</v>
      </c>
      <c r="C16844" s="0" t="s">
        <v>118</v>
      </c>
      <c r="D16844" s="0" t="s">
        <v>3028</v>
      </c>
      <c r="E16844" s="0" t="s">
        <v>3028</v>
      </c>
      <c r="F16844" s="0" t="s">
        <v>3028</v>
      </c>
    </row>
    <row r="16845" customFormat="false" ht="12.8" hidden="false" customHeight="false" outlineLevel="0" collapsed="false">
      <c r="B16845" s="0" t="s">
        <v>14</v>
      </c>
      <c r="C16845" s="0" t="s">
        <v>25</v>
      </c>
      <c r="D16845" s="0" t="s">
        <v>356</v>
      </c>
      <c r="E16845" s="0" t="s">
        <v>356</v>
      </c>
      <c r="F16845" s="0" t="s">
        <v>356</v>
      </c>
    </row>
    <row r="16847" customFormat="false" ht="12.8" hidden="false" customHeight="false" outlineLevel="0" collapsed="false">
      <c r="A16847" s="0" t="s">
        <v>6512</v>
      </c>
      <c r="B16847" s="0" t="str">
        <f aca="false">HYPERLINK("https://lindat.mff.cuni.cz/services/teitok/pdtc10/index.php?action=vallex&amp;frame=v-w10048f3_MM", "nainstalovat (v-w10048f3_MM)")</f>
        <v>nainstalovat (v-w10048f3_MM)</v>
      </c>
    </row>
    <row r="16848" customFormat="false" ht="12.8" hidden="false" customHeight="false" outlineLevel="0" collapsed="false">
      <c r="B16848" s="0" t="s">
        <v>7</v>
      </c>
    </row>
    <row r="16849" customFormat="false" ht="12.8" hidden="false" customHeight="false" outlineLevel="0" collapsed="false">
      <c r="B16849" s="0" t="s">
        <v>14</v>
      </c>
    </row>
    <row r="16851" customFormat="false" ht="12.8" hidden="false" customHeight="false" outlineLevel="0" collapsed="false">
      <c r="A16851" s="0" t="s">
        <v>6513</v>
      </c>
      <c r="B16851" s="0" t="str">
        <f aca="false">HYPERLINK("https://lindat.mff.cuni.cz/services/teitok/pdtc10/index.php?action=vallex&amp;frame=v-w2036f3", "najet (v-w2036f3)")</f>
        <v>najet (v-w2036f3)</v>
      </c>
    </row>
    <row r="16852" customFormat="false" ht="12.8" hidden="false" customHeight="false" outlineLevel="0" collapsed="false">
      <c r="B16852" s="0" t="s">
        <v>457</v>
      </c>
    </row>
    <row r="16853" customFormat="false" ht="12.8" hidden="false" customHeight="false" outlineLevel="0" collapsed="false">
      <c r="B16853" s="0" t="s">
        <v>14</v>
      </c>
    </row>
    <row r="16854" customFormat="false" ht="12.8" hidden="false" customHeight="false" outlineLevel="0" collapsed="false">
      <c r="B16854" s="0" t="s">
        <v>122</v>
      </c>
    </row>
    <row r="16856" customFormat="false" ht="12.8" hidden="false" customHeight="false" outlineLevel="0" collapsed="false">
      <c r="A16856" s="0" t="s">
        <v>6514</v>
      </c>
      <c r="B16856" s="0" t="str">
        <f aca="false">HYPERLINK("https://lindat.mff.cuni.cz/services/teitok/pdtc10/index.php?action=vallex&amp;frame=v-w2036f2", "najet (v-w2036f2)")</f>
        <v>najet (v-w2036f2)</v>
      </c>
    </row>
    <row r="16857" customFormat="false" ht="12.8" hidden="false" customHeight="false" outlineLevel="0" collapsed="false">
      <c r="B16857" s="0" t="s">
        <v>7</v>
      </c>
    </row>
    <row r="16858" customFormat="false" ht="12.8" hidden="false" customHeight="false" outlineLevel="0" collapsed="false">
      <c r="B16858" s="0" t="s">
        <v>14</v>
      </c>
    </row>
    <row r="16860" customFormat="false" ht="12.8" hidden="false" customHeight="false" outlineLevel="0" collapsed="false">
      <c r="A16860" s="0" t="s">
        <v>6515</v>
      </c>
      <c r="B16860" s="0" t="str">
        <f aca="false">HYPERLINK("https://lindat.mff.cuni.cz/services/teitok/pdtc10/index.php?action=vallex&amp;frame=v-w2036f1", "najet (v-w2036f1)")</f>
        <v>najet (v-w2036f1)</v>
      </c>
    </row>
    <row r="16861" customFormat="false" ht="12.8" hidden="false" customHeight="false" outlineLevel="0" collapsed="false">
      <c r="B16861" s="0" t="s">
        <v>7</v>
      </c>
      <c r="D16861" s="0" t="s">
        <v>6516</v>
      </c>
      <c r="E16861" s="0" t="s">
        <v>6516</v>
      </c>
      <c r="F16861" s="0" t="s">
        <v>6516</v>
      </c>
    </row>
    <row r="16862" customFormat="false" ht="12.8" hidden="false" customHeight="false" outlineLevel="0" collapsed="false">
      <c r="B16862" s="0" t="s">
        <v>124</v>
      </c>
      <c r="D16862" s="0" t="s">
        <v>2291</v>
      </c>
      <c r="E16862" s="0" t="s">
        <v>2291</v>
      </c>
      <c r="F16862" s="0" t="s">
        <v>2291</v>
      </c>
    </row>
    <row r="16864" customFormat="false" ht="12.8" hidden="false" customHeight="false" outlineLevel="0" collapsed="false">
      <c r="A16864" s="0" t="s">
        <v>6517</v>
      </c>
      <c r="B16864" s="0" t="str">
        <f aca="false">HYPERLINK("https://lindat.mff.cuni.cz/services/teitok/pdtc10/index.php?action=vallex&amp;frame=v-whsa_1445hsa_1446", "najezdit (v-whsa_1445hsa_1446)")</f>
        <v>najezdit (v-whsa_1445hsa_1446)</v>
      </c>
    </row>
    <row r="16865" customFormat="false" ht="12.8" hidden="false" customHeight="false" outlineLevel="0" collapsed="false">
      <c r="B16865" s="0" t="s">
        <v>7</v>
      </c>
    </row>
    <row r="16866" customFormat="false" ht="12.8" hidden="false" customHeight="false" outlineLevel="0" collapsed="false">
      <c r="B16866" s="0" t="s">
        <v>14</v>
      </c>
    </row>
    <row r="16868" customFormat="false" ht="12.8" hidden="false" customHeight="false" outlineLevel="0" collapsed="false">
      <c r="A16868" s="0" t="s">
        <v>6518</v>
      </c>
      <c r="B16868" s="0" t="str">
        <f aca="false">HYPERLINK("https://lindat.mff.cuni.cz/services/teitok/pdtc10/index.php?action=vallex&amp;frame=v-whsa_900hsa_901", "najezdit se (v-whsa_900hsa_901)")</f>
        <v>najezdit se (v-whsa_900hsa_901)</v>
      </c>
    </row>
    <row r="16869" customFormat="false" ht="12.8" hidden="false" customHeight="false" outlineLevel="0" collapsed="false">
      <c r="B16869" s="0" t="s">
        <v>7</v>
      </c>
    </row>
    <row r="16871" customFormat="false" ht="12.8" hidden="false" customHeight="false" outlineLevel="0" collapsed="false">
      <c r="A16871" s="0" t="s">
        <v>6519</v>
      </c>
      <c r="B16871" s="0" t="str">
        <f aca="false">HYPERLINK("https://lindat.mff.cuni.cz/services/teitok/pdtc10/index.php?action=vallex&amp;frame=v-whsa_900hsa_902", "najezdit se (v-whsa_900hsa_902)")</f>
        <v>najezdit se (v-whsa_900hsa_902)</v>
      </c>
    </row>
    <row r="16872" customFormat="false" ht="12.8" hidden="false" customHeight="false" outlineLevel="0" collapsed="false">
      <c r="B16872" s="0" t="s">
        <v>7</v>
      </c>
    </row>
    <row r="16874" customFormat="false" ht="12.8" hidden="false" customHeight="false" outlineLevel="0" collapsed="false">
      <c r="A16874" s="0" t="s">
        <v>6520</v>
      </c>
      <c r="B16874" s="0" t="str">
        <f aca="false">HYPERLINK("https://lindat.mff.cuni.cz/services/teitok/pdtc10/index.php?action=vallex&amp;frame=v-w2044f1", "najmout (v-w2044f1)")</f>
        <v>najmout (v-w2044f1)</v>
      </c>
    </row>
    <row r="16875" customFormat="false" ht="12.8" hidden="false" customHeight="false" outlineLevel="0" collapsed="false">
      <c r="B16875" s="0" t="s">
        <v>7</v>
      </c>
      <c r="C16875" s="0" t="s">
        <v>5468</v>
      </c>
      <c r="D16875" s="0" t="s">
        <v>132</v>
      </c>
      <c r="E16875" s="0" t="s">
        <v>132</v>
      </c>
      <c r="F16875" s="0" t="s">
        <v>132</v>
      </c>
    </row>
    <row r="16876" customFormat="false" ht="12.8" hidden="false" customHeight="false" outlineLevel="0" collapsed="false">
      <c r="B16876" s="0" t="s">
        <v>14</v>
      </c>
      <c r="C16876" s="0" t="s">
        <v>6521</v>
      </c>
      <c r="D16876" s="0" t="s">
        <v>6522</v>
      </c>
      <c r="E16876" s="0" t="s">
        <v>6522</v>
      </c>
      <c r="F16876" s="0" t="s">
        <v>6522</v>
      </c>
    </row>
    <row r="16878" customFormat="false" ht="12.8" hidden="false" customHeight="false" outlineLevel="0" collapsed="false">
      <c r="A16878" s="0" t="s">
        <v>6523</v>
      </c>
      <c r="B16878" s="0" t="str">
        <f aca="false">HYPERLINK("https://lindat.mff.cuni.cz/services/teitok/pdtc10/index.php?action=vallex&amp;frame=v-w2040f1", "najímat (v-w2040f1)")</f>
        <v>najímat (v-w2040f1)</v>
      </c>
    </row>
    <row r="16879" customFormat="false" ht="12.8" hidden="false" customHeight="false" outlineLevel="0" collapsed="false">
      <c r="B16879" s="0" t="s">
        <v>7</v>
      </c>
      <c r="C16879" s="0" t="s">
        <v>6524</v>
      </c>
      <c r="D16879" s="0" t="s">
        <v>132</v>
      </c>
      <c r="E16879" s="0" t="s">
        <v>132</v>
      </c>
      <c r="F16879" s="0" t="s">
        <v>132</v>
      </c>
    </row>
    <row r="16880" customFormat="false" ht="12.8" hidden="false" customHeight="false" outlineLevel="0" collapsed="false">
      <c r="B16880" s="0" t="s">
        <v>14</v>
      </c>
      <c r="C16880" s="0" t="s">
        <v>6525</v>
      </c>
      <c r="D16880" s="0" t="s">
        <v>6522</v>
      </c>
      <c r="E16880" s="0" t="s">
        <v>6522</v>
      </c>
      <c r="F16880" s="0" t="s">
        <v>6522</v>
      </c>
    </row>
    <row r="16882" customFormat="false" ht="12.8" hidden="false" customHeight="false" outlineLevel="0" collapsed="false">
      <c r="A16882" s="0" t="s">
        <v>6526</v>
      </c>
      <c r="B16882" s="0" t="str">
        <f aca="false">HYPERLINK("https://lindat.mff.cuni.cz/services/teitok/pdtc10/index.php?action=vallex&amp;frame=v-w2041f2_ZU", "najíst se (v-w2041f2_ZU)")</f>
        <v>najíst se (v-w2041f2_ZU)</v>
      </c>
    </row>
    <row r="16883" customFormat="false" ht="12.8" hidden="false" customHeight="false" outlineLevel="0" collapsed="false">
      <c r="B16883" s="0" t="s">
        <v>7</v>
      </c>
    </row>
    <row r="16884" customFormat="false" ht="12.8" hidden="false" customHeight="false" outlineLevel="0" collapsed="false">
      <c r="B16884" s="0" t="s">
        <v>739</v>
      </c>
    </row>
    <row r="16886" customFormat="false" ht="12.8" hidden="false" customHeight="false" outlineLevel="0" collapsed="false">
      <c r="A16886" s="0" t="s">
        <v>6526</v>
      </c>
      <c r="B16886" s="0" t="str">
        <f aca="false">HYPERLINK("https://lindat.mff.cuni.cz/services/teitok/pdtc10/index.php?action=vallex&amp;frame=v-w2041f1", "najíst se (v-w2041f1) - substituted with v-w2041f2_ZU")</f>
        <v>najíst se (v-w2041f1) - substituted with v-w2041f2_ZU</v>
      </c>
    </row>
    <row r="16887" customFormat="false" ht="12.8" hidden="false" customHeight="false" outlineLevel="0" collapsed="false">
      <c r="B16887" s="0" t="s">
        <v>7</v>
      </c>
      <c r="E16887" s="0" t="s">
        <v>4380</v>
      </c>
      <c r="F16887" s="0" t="s">
        <v>4380</v>
      </c>
    </row>
    <row r="16888" customFormat="false" ht="12.8" hidden="false" customHeight="false" outlineLevel="0" collapsed="false">
      <c r="B16888" s="0" t="s">
        <v>739</v>
      </c>
    </row>
    <row r="16890" customFormat="false" ht="12.8" hidden="false" customHeight="false" outlineLevel="0" collapsed="false">
      <c r="A16890" s="0" t="s">
        <v>6527</v>
      </c>
      <c r="B16890" s="0" t="str">
        <f aca="false">HYPERLINK("https://lindat.mff.cuni.cz/services/teitok/pdtc10/index.php?action=vallex&amp;frame=v-w2042f3", "najít (v-w2042f3)")</f>
        <v>najít (v-w2042f3)</v>
      </c>
    </row>
    <row r="16891" customFormat="false" ht="12.8" hidden="false" customHeight="false" outlineLevel="0" collapsed="false">
      <c r="B16891" s="0" t="s">
        <v>7</v>
      </c>
    </row>
    <row r="16892" customFormat="false" ht="12.8" hidden="false" customHeight="false" outlineLevel="0" collapsed="false">
      <c r="B16892" s="0" t="s">
        <v>548</v>
      </c>
    </row>
    <row r="16893" customFormat="false" ht="12.8" hidden="false" customHeight="false" outlineLevel="0" collapsed="false">
      <c r="B16893" s="0" t="s">
        <v>1252</v>
      </c>
    </row>
    <row r="16895" customFormat="false" ht="12.8" hidden="false" customHeight="false" outlineLevel="0" collapsed="false">
      <c r="A16895" s="0" t="s">
        <v>6528</v>
      </c>
      <c r="B16895" s="0" t="str">
        <f aca="false">HYPERLINK("https://lindat.mff.cuni.cz/services/teitok/pdtc10/index.php?action=vallex&amp;frame=v-w2042f1", "najít (v-w2042f1)")</f>
        <v>najít (v-w2042f1)</v>
      </c>
    </row>
    <row r="16896" customFormat="false" ht="12.8" hidden="false" customHeight="false" outlineLevel="0" collapsed="false">
      <c r="B16896" s="0" t="s">
        <v>7</v>
      </c>
      <c r="C16896" s="0" t="s">
        <v>6529</v>
      </c>
      <c r="D16896" s="0" t="s">
        <v>6342</v>
      </c>
      <c r="E16896" s="0" t="s">
        <v>6342</v>
      </c>
      <c r="F16896" s="0" t="s">
        <v>6342</v>
      </c>
    </row>
    <row r="16897" customFormat="false" ht="12.8" hidden="false" customHeight="false" outlineLevel="0" collapsed="false">
      <c r="B16897" s="0" t="s">
        <v>172</v>
      </c>
      <c r="C16897" s="0" t="s">
        <v>6530</v>
      </c>
      <c r="D16897" s="0" t="s">
        <v>6344</v>
      </c>
      <c r="E16897" s="0" t="s">
        <v>6344</v>
      </c>
      <c r="F16897" s="0" t="s">
        <v>6344</v>
      </c>
    </row>
    <row r="16899" customFormat="false" ht="12.8" hidden="false" customHeight="false" outlineLevel="0" collapsed="false">
      <c r="A16899" s="0" t="s">
        <v>6531</v>
      </c>
      <c r="B16899" s="0" t="str">
        <f aca="false">HYPERLINK("https://lindat.mff.cuni.cz/services/teitok/pdtc10/index.php?action=vallex&amp;frame=v-w2042f7_ZU", "najít (v-w2042f7_ZU)")</f>
        <v>najít (v-w2042f7_ZU)</v>
      </c>
    </row>
    <row r="16900" customFormat="false" ht="12.8" hidden="false" customHeight="false" outlineLevel="0" collapsed="false">
      <c r="B16900" s="0" t="s">
        <v>7</v>
      </c>
    </row>
    <row r="16901" customFormat="false" ht="12.8" hidden="false" customHeight="false" outlineLevel="0" collapsed="false">
      <c r="B16901" s="0" t="s">
        <v>6532</v>
      </c>
    </row>
    <row r="16903" customFormat="false" ht="12.8" hidden="false" customHeight="false" outlineLevel="0" collapsed="false">
      <c r="A16903" s="0" t="s">
        <v>6531</v>
      </c>
      <c r="B16903" s="0" t="str">
        <f aca="false">HYPERLINK("https://lindat.mff.cuni.cz/services/teitok/pdtc10/index.php?action=vallex&amp;frame=v-w2042f2", "najít (v-w2042f2) - substituted with v-w2042f7_ZU")</f>
        <v>najít (v-w2042f2) - substituted with v-w2042f7_ZU</v>
      </c>
    </row>
    <row r="16904" customFormat="false" ht="12.8" hidden="false" customHeight="false" outlineLevel="0" collapsed="false">
      <c r="B16904" s="0" t="s">
        <v>7</v>
      </c>
    </row>
    <row r="16905" customFormat="false" ht="12.8" hidden="false" customHeight="false" outlineLevel="0" collapsed="false">
      <c r="B16905" s="0" t="s">
        <v>6532</v>
      </c>
    </row>
    <row r="16907" customFormat="false" ht="12.8" hidden="false" customHeight="false" outlineLevel="0" collapsed="false">
      <c r="A16907" s="0" t="s">
        <v>6531</v>
      </c>
      <c r="B16907" s="0" t="str">
        <f aca="false">HYPERLINK("https://lindat.mff.cuni.cz/services/teitok/pdtc10/index.php?action=vallex&amp;frame=v-w2042f4_ZU", "najít (v-w2042f4_ZU) - substituted with v-w2042f7_ZU")</f>
        <v>najít (v-w2042f4_ZU) - substituted with v-w2042f7_ZU</v>
      </c>
    </row>
    <row r="16908" customFormat="false" ht="12.8" hidden="false" customHeight="false" outlineLevel="0" collapsed="false">
      <c r="B16908" s="0" t="s">
        <v>7</v>
      </c>
      <c r="C16908" s="0" t="s">
        <v>5768</v>
      </c>
    </row>
    <row r="16909" customFormat="false" ht="12.8" hidden="false" customHeight="false" outlineLevel="0" collapsed="false">
      <c r="B16909" s="0" t="s">
        <v>6532</v>
      </c>
      <c r="C16909" s="0" t="s">
        <v>5769</v>
      </c>
    </row>
    <row r="16911" customFormat="false" ht="12.8" hidden="false" customHeight="false" outlineLevel="0" collapsed="false">
      <c r="A16911" s="0" t="s">
        <v>6531</v>
      </c>
      <c r="B16911" s="0" t="str">
        <f aca="false">HYPERLINK("https://lindat.mff.cuni.cz/services/teitok/pdtc10/index.php?action=vallex&amp;frame=v-w2042f5_ZU", "najít (v-w2042f5_ZU) - substituted with v-w2042f7_ZU")</f>
        <v>najít (v-w2042f5_ZU) - substituted with v-w2042f7_ZU</v>
      </c>
    </row>
    <row r="16912" customFormat="false" ht="12.8" hidden="false" customHeight="false" outlineLevel="0" collapsed="false">
      <c r="B16912" s="0" t="s">
        <v>7</v>
      </c>
      <c r="C16912" s="0" t="s">
        <v>6533</v>
      </c>
    </row>
    <row r="16913" customFormat="false" ht="12.8" hidden="false" customHeight="false" outlineLevel="0" collapsed="false">
      <c r="B16913" s="0" t="s">
        <v>6532</v>
      </c>
      <c r="C16913" s="0" t="s">
        <v>6534</v>
      </c>
    </row>
    <row r="16915" customFormat="false" ht="12.8" hidden="false" customHeight="false" outlineLevel="0" collapsed="false">
      <c r="A16915" s="0" t="s">
        <v>6531</v>
      </c>
      <c r="B16915" s="0" t="str">
        <f aca="false">HYPERLINK("https://lindat.mff.cuni.cz/services/teitok/pdtc10/index.php?action=vallex&amp;frame=v-w2042f6_ZU", "najít (v-w2042f6_ZU) - substituted with v-w2042f7_ZU")</f>
        <v>najít (v-w2042f6_ZU) - substituted with v-w2042f7_ZU</v>
      </c>
    </row>
    <row r="16916" customFormat="false" ht="12.8" hidden="false" customHeight="false" outlineLevel="0" collapsed="false">
      <c r="B16916" s="0" t="s">
        <v>7</v>
      </c>
    </row>
    <row r="16917" customFormat="false" ht="12.8" hidden="false" customHeight="false" outlineLevel="0" collapsed="false">
      <c r="B16917" s="0" t="s">
        <v>6532</v>
      </c>
    </row>
    <row r="16919" customFormat="false" ht="12.8" hidden="false" customHeight="false" outlineLevel="0" collapsed="false">
      <c r="A16919" s="0" t="s">
        <v>6531</v>
      </c>
      <c r="B16919" s="0" t="str">
        <f aca="false">HYPERLINK("https://lindat.mff.cuni.cz/services/teitok/pdtc10/index.php?action=vallex&amp;frame=v-w2042hsa_1059", "najít (v-w2042hsa_1059) - substituted with v-w2042f7_ZU")</f>
        <v>najít (v-w2042hsa_1059) - substituted with v-w2042f7_ZU</v>
      </c>
    </row>
    <row r="16920" customFormat="false" ht="12.8" hidden="false" customHeight="false" outlineLevel="0" collapsed="false">
      <c r="B16920" s="0" t="s">
        <v>7</v>
      </c>
      <c r="C16920" s="0" t="s">
        <v>5768</v>
      </c>
      <c r="D16920" s="0" t="s">
        <v>6342</v>
      </c>
      <c r="E16920" s="0" t="s">
        <v>6342</v>
      </c>
      <c r="F16920" s="0" t="s">
        <v>6342</v>
      </c>
    </row>
    <row r="16921" customFormat="false" ht="12.8" hidden="false" customHeight="false" outlineLevel="0" collapsed="false">
      <c r="B16921" s="0" t="s">
        <v>6532</v>
      </c>
      <c r="C16921" s="0" t="s">
        <v>5769</v>
      </c>
      <c r="D16921" s="0" t="s">
        <v>6535</v>
      </c>
      <c r="E16921" s="0" t="s">
        <v>6535</v>
      </c>
      <c r="F16921" s="0" t="s">
        <v>6535</v>
      </c>
    </row>
    <row r="16923" customFormat="false" ht="12.8" hidden="false" customHeight="false" outlineLevel="0" collapsed="false">
      <c r="A16923" s="0" t="s">
        <v>6531</v>
      </c>
      <c r="B16923" s="0" t="str">
        <f aca="false">HYPERLINK("https://lindat.mff.cuni.cz/services/teitok/pdtc10/index.php?action=vallex&amp;frame=v-w2042hsa_910", "najít (v-w2042hsa_910) - substituted with v-w2042f7_ZU")</f>
        <v>najít (v-w2042hsa_910) - substituted with v-w2042f7_ZU</v>
      </c>
    </row>
    <row r="16924" customFormat="false" ht="12.8" hidden="false" customHeight="false" outlineLevel="0" collapsed="false">
      <c r="B16924" s="0" t="s">
        <v>7</v>
      </c>
    </row>
    <row r="16925" customFormat="false" ht="12.8" hidden="false" customHeight="false" outlineLevel="0" collapsed="false">
      <c r="B16925" s="0" t="s">
        <v>6532</v>
      </c>
    </row>
    <row r="16927" customFormat="false" ht="12.8" hidden="false" customHeight="false" outlineLevel="0" collapsed="false">
      <c r="A16927" s="0" t="s">
        <v>6536</v>
      </c>
      <c r="B16927" s="0" t="str">
        <f aca="false">HYPERLINK("https://lindat.mff.cuni.cz/services/teitok/pdtc10/index.php?action=vallex&amp;frame=v-w2043f1", "najít se (v-w2043f1)")</f>
        <v>najít se (v-w2043f1)</v>
      </c>
    </row>
    <row r="16928" customFormat="false" ht="12.8" hidden="false" customHeight="false" outlineLevel="0" collapsed="false">
      <c r="B16928" s="0" t="s">
        <v>7</v>
      </c>
      <c r="E16928" s="0" t="s">
        <v>2199</v>
      </c>
      <c r="F16928" s="0" t="s">
        <v>2199</v>
      </c>
    </row>
    <row r="16929" customFormat="false" ht="12.8" hidden="false" customHeight="false" outlineLevel="0" collapsed="false">
      <c r="B16929" s="0" t="s">
        <v>11</v>
      </c>
      <c r="E16929" s="0" t="s">
        <v>6537</v>
      </c>
      <c r="F16929" s="0" t="s">
        <v>6537</v>
      </c>
    </row>
    <row r="16931" customFormat="false" ht="12.8" hidden="false" customHeight="false" outlineLevel="0" collapsed="false">
      <c r="A16931" s="0" t="s">
        <v>6538</v>
      </c>
      <c r="B16931" s="0" t="str">
        <f aca="false">HYPERLINK("https://lindat.mff.cuni.cz/services/teitok/pdtc10/index.php?action=vallex&amp;frame=v-w2043f2", "najít se (v-w2043f2)")</f>
        <v>najít se (v-w2043f2)</v>
      </c>
    </row>
    <row r="16932" customFormat="false" ht="12.8" hidden="false" customHeight="false" outlineLevel="0" collapsed="false">
      <c r="B16932" s="0" t="s">
        <v>7</v>
      </c>
    </row>
    <row r="16933" customFormat="false" ht="12.8" hidden="false" customHeight="false" outlineLevel="0" collapsed="false">
      <c r="B16933" s="0" t="s">
        <v>11</v>
      </c>
    </row>
    <row r="16935" customFormat="false" ht="12.8" hidden="false" customHeight="false" outlineLevel="0" collapsed="false">
      <c r="A16935" s="0" t="s">
        <v>6539</v>
      </c>
      <c r="B16935" s="0" t="str">
        <f aca="false">HYPERLINK("https://lindat.mff.cuni.cz/services/teitok/pdtc10/index.php?action=vallex&amp;frame=v-w11520_ZUf1_ZU", "najíždět (v-w11520_ZUf1_ZU)")</f>
        <v>najíždět (v-w11520_ZUf1_ZU)</v>
      </c>
    </row>
    <row r="16936" customFormat="false" ht="12.8" hidden="false" customHeight="false" outlineLevel="0" collapsed="false">
      <c r="B16936" s="0" t="s">
        <v>7</v>
      </c>
      <c r="C16936" s="0" t="s">
        <v>6540</v>
      </c>
    </row>
    <row r="16937" customFormat="false" ht="12.8" hidden="false" customHeight="false" outlineLevel="0" collapsed="false">
      <c r="B16937" s="0" t="s">
        <v>41</v>
      </c>
      <c r="C16937" s="0" t="s">
        <v>6319</v>
      </c>
    </row>
    <row r="16939" customFormat="false" ht="12.8" hidden="false" customHeight="false" outlineLevel="0" collapsed="false">
      <c r="A16939" s="0" t="s">
        <v>6541</v>
      </c>
      <c r="B16939" s="0" t="str">
        <f aca="false">HYPERLINK("https://lindat.mff.cuni.cz/services/teitok/pdtc10/index.php?action=vallex&amp;frame=v-w11922_ZUf1_ZU", "nakapat (v-w11922_ZUf1_ZU)")</f>
        <v>nakapat (v-w11922_ZUf1_ZU)</v>
      </c>
    </row>
    <row r="16940" customFormat="false" ht="12.8" hidden="false" customHeight="false" outlineLevel="0" collapsed="false">
      <c r="B16940" s="0" t="s">
        <v>7</v>
      </c>
    </row>
    <row r="16941" customFormat="false" ht="12.8" hidden="false" customHeight="false" outlineLevel="0" collapsed="false">
      <c r="B16941" s="0" t="s">
        <v>338</v>
      </c>
    </row>
    <row r="16943" customFormat="false" ht="12.8" hidden="false" customHeight="false" outlineLevel="0" collapsed="false">
      <c r="A16943" s="0" t="s">
        <v>6542</v>
      </c>
      <c r="B16943" s="0" t="str">
        <f aca="false">HYPERLINK("https://lindat.mff.cuni.cz/services/teitok/pdtc10/index.php?action=vallex&amp;frame=v-w2046f1", "nakazit (v-w2046f1)")</f>
        <v>nakazit (v-w2046f1)</v>
      </c>
    </row>
    <row r="16944" customFormat="false" ht="12.8" hidden="false" customHeight="false" outlineLevel="0" collapsed="false">
      <c r="B16944" s="0" t="s">
        <v>7</v>
      </c>
      <c r="C16944" s="0" t="s">
        <v>6543</v>
      </c>
      <c r="D16944" s="0" t="s">
        <v>1702</v>
      </c>
      <c r="E16944" s="0" t="s">
        <v>1702</v>
      </c>
      <c r="F16944" s="0" t="s">
        <v>1702</v>
      </c>
    </row>
    <row r="16945" customFormat="false" ht="12.8" hidden="false" customHeight="false" outlineLevel="0" collapsed="false">
      <c r="B16945" s="0" t="s">
        <v>216</v>
      </c>
      <c r="C16945" s="0" t="s">
        <v>4706</v>
      </c>
      <c r="D16945" s="0" t="s">
        <v>400</v>
      </c>
      <c r="E16945" s="0" t="s">
        <v>400</v>
      </c>
      <c r="F16945" s="0" t="s">
        <v>400</v>
      </c>
    </row>
    <row r="16946" customFormat="false" ht="12.8" hidden="false" customHeight="false" outlineLevel="0" collapsed="false">
      <c r="B16946" s="0" t="s">
        <v>81</v>
      </c>
      <c r="C16946" s="0" t="s">
        <v>6544</v>
      </c>
      <c r="D16946" s="0" t="s">
        <v>6545</v>
      </c>
      <c r="E16946" s="0" t="s">
        <v>6545</v>
      </c>
      <c r="F16946" s="0" t="s">
        <v>6545</v>
      </c>
    </row>
    <row r="16948" customFormat="false" ht="12.8" hidden="false" customHeight="false" outlineLevel="0" collapsed="false">
      <c r="A16948" s="0" t="s">
        <v>6546</v>
      </c>
      <c r="B16948" s="0" t="str">
        <f aca="false">HYPERLINK("https://lindat.mff.cuni.cz/services/teitok/pdtc10/index.php?action=vallex&amp;frame=v-w2047f1", "nakazit se (v-w2047f1)")</f>
        <v>nakazit se (v-w2047f1)</v>
      </c>
    </row>
    <row r="16949" customFormat="false" ht="12.8" hidden="false" customHeight="false" outlineLevel="0" collapsed="false">
      <c r="B16949" s="0" t="s">
        <v>7</v>
      </c>
      <c r="C16949" s="0" t="s">
        <v>6547</v>
      </c>
      <c r="D16949" s="0" t="s">
        <v>1378</v>
      </c>
      <c r="E16949" s="0" t="s">
        <v>1378</v>
      </c>
      <c r="F16949" s="0" t="s">
        <v>1378</v>
      </c>
    </row>
    <row r="16950" customFormat="false" ht="12.8" hidden="false" customHeight="false" outlineLevel="0" collapsed="false">
      <c r="B16950" s="0" t="s">
        <v>3771</v>
      </c>
      <c r="C16950" s="0" t="s">
        <v>6548</v>
      </c>
      <c r="D16950" s="0" t="s">
        <v>18</v>
      </c>
      <c r="E16950" s="0" t="s">
        <v>18</v>
      </c>
      <c r="F16950" s="0" t="s">
        <v>18</v>
      </c>
    </row>
    <row r="16951" customFormat="false" ht="12.8" hidden="false" customHeight="false" outlineLevel="0" collapsed="false">
      <c r="B16951" s="0" t="s">
        <v>1349</v>
      </c>
    </row>
    <row r="16953" customFormat="false" ht="12.8" hidden="false" customHeight="false" outlineLevel="0" collapsed="false">
      <c r="A16953" s="0" t="s">
        <v>6549</v>
      </c>
      <c r="B16953" s="0" t="str">
        <f aca="false">HYPERLINK("https://lindat.mff.cuni.cz/services/teitok/pdtc10/index.php?action=vallex&amp;frame=v-w2056f1", "naklonit (v-w2056f1)")</f>
        <v>naklonit (v-w2056f1)</v>
      </c>
    </row>
    <row r="16954" customFormat="false" ht="12.8" hidden="false" customHeight="false" outlineLevel="0" collapsed="false">
      <c r="B16954" s="0" t="s">
        <v>7</v>
      </c>
      <c r="C16954" s="0" t="s">
        <v>46</v>
      </c>
      <c r="D16954" s="0" t="s">
        <v>6550</v>
      </c>
      <c r="E16954" s="0" t="s">
        <v>6550</v>
      </c>
      <c r="F16954" s="0" t="s">
        <v>6550</v>
      </c>
    </row>
    <row r="16955" customFormat="false" ht="12.8" hidden="false" customHeight="false" outlineLevel="0" collapsed="false">
      <c r="B16955" s="0" t="s">
        <v>14</v>
      </c>
      <c r="C16955" s="0" t="s">
        <v>47</v>
      </c>
      <c r="D16955" s="0" t="s">
        <v>6551</v>
      </c>
      <c r="E16955" s="0" t="s">
        <v>6551</v>
      </c>
      <c r="F16955" s="0" t="s">
        <v>6551</v>
      </c>
    </row>
    <row r="16957" customFormat="false" ht="12.8" hidden="false" customHeight="false" outlineLevel="0" collapsed="false">
      <c r="A16957" s="0" t="s">
        <v>6552</v>
      </c>
      <c r="B16957" s="0" t="str">
        <f aca="false">HYPERLINK("https://lindat.mff.cuni.cz/services/teitok/pdtc10/index.php?action=vallex&amp;frame=v-w11440f2", "naklonit se (v-w11440f2)")</f>
        <v>naklonit se (v-w11440f2)</v>
      </c>
    </row>
    <row r="16958" customFormat="false" ht="12.8" hidden="false" customHeight="false" outlineLevel="0" collapsed="false">
      <c r="B16958" s="0" t="s">
        <v>7</v>
      </c>
      <c r="C16958" s="0" t="s">
        <v>335</v>
      </c>
    </row>
    <row r="16960" customFormat="false" ht="12.8" hidden="false" customHeight="false" outlineLevel="0" collapsed="false">
      <c r="A16960" s="0" t="s">
        <v>6553</v>
      </c>
      <c r="B16960" s="0" t="str">
        <f aca="false">HYPERLINK("https://lindat.mff.cuni.cz/services/teitok/pdtc10/index.php?action=vallex&amp;frame=v-w11440f1", "naklonit se (v-w11440f1)")</f>
        <v>naklonit se (v-w11440f1)</v>
      </c>
    </row>
    <row r="16961" customFormat="false" ht="12.8" hidden="false" customHeight="false" outlineLevel="0" collapsed="false">
      <c r="B16961" s="0" t="s">
        <v>7</v>
      </c>
      <c r="C16961" s="0" t="s">
        <v>6554</v>
      </c>
      <c r="D16961" s="0" t="s">
        <v>6550</v>
      </c>
      <c r="E16961" s="0" t="s">
        <v>6550</v>
      </c>
      <c r="F16961" s="0" t="s">
        <v>6550</v>
      </c>
    </row>
    <row r="16963" customFormat="false" ht="12.8" hidden="false" customHeight="false" outlineLevel="0" collapsed="false">
      <c r="A16963" s="0" t="s">
        <v>6555</v>
      </c>
      <c r="B16963" s="0" t="str">
        <f aca="false">HYPERLINK("https://lindat.mff.cuni.cz/services/teitok/pdtc10/index.php?action=vallex&amp;frame=v-w2057f1", "naklonit si (v-w2057f1)")</f>
        <v>naklonit si (v-w2057f1)</v>
      </c>
    </row>
    <row r="16964" customFormat="false" ht="12.8" hidden="false" customHeight="false" outlineLevel="0" collapsed="false">
      <c r="B16964" s="0" t="s">
        <v>7</v>
      </c>
    </row>
    <row r="16965" customFormat="false" ht="12.8" hidden="false" customHeight="false" outlineLevel="0" collapsed="false">
      <c r="B16965" s="0" t="s">
        <v>14</v>
      </c>
    </row>
    <row r="16967" customFormat="false" ht="12.8" hidden="false" customHeight="false" outlineLevel="0" collapsed="false">
      <c r="A16967" s="0" t="s">
        <v>6556</v>
      </c>
      <c r="B16967" s="0" t="str">
        <f aca="false">HYPERLINK("https://lindat.mff.cuni.cz/services/teitok/pdtc10/index.php?action=vallex&amp;frame=v-w2051f2", "nakládat (v-w2051f2)")</f>
        <v>nakládat (v-w2051f2)</v>
      </c>
    </row>
    <row r="16968" customFormat="false" ht="12.8" hidden="false" customHeight="false" outlineLevel="0" collapsed="false">
      <c r="B16968" s="0" t="s">
        <v>7</v>
      </c>
    </row>
    <row r="16969" customFormat="false" ht="12.8" hidden="false" customHeight="false" outlineLevel="0" collapsed="false">
      <c r="B16969" s="0" t="s">
        <v>14</v>
      </c>
    </row>
    <row r="16970" customFormat="false" ht="12.8" hidden="false" customHeight="false" outlineLevel="0" collapsed="false">
      <c r="B16970" s="0" t="s">
        <v>124</v>
      </c>
    </row>
    <row r="16972" customFormat="false" ht="12.8" hidden="false" customHeight="false" outlineLevel="0" collapsed="false">
      <c r="A16972" s="0" t="s">
        <v>6557</v>
      </c>
      <c r="B16972" s="0" t="str">
        <f aca="false">HYPERLINK("https://lindat.mff.cuni.cz/services/teitok/pdtc10/index.php?action=vallex&amp;frame=v-w2051f1", "nakládat (v-w2051f1)")</f>
        <v>nakládat (v-w2051f1)</v>
      </c>
    </row>
    <row r="16973" customFormat="false" ht="12.8" hidden="false" customHeight="false" outlineLevel="0" collapsed="false">
      <c r="B16973" s="0" t="s">
        <v>7</v>
      </c>
      <c r="C16973" s="0" t="s">
        <v>2530</v>
      </c>
      <c r="D16973" s="0" t="s">
        <v>309</v>
      </c>
      <c r="E16973" s="0" t="s">
        <v>309</v>
      </c>
      <c r="F16973" s="0" t="s">
        <v>309</v>
      </c>
    </row>
    <row r="16974" customFormat="false" ht="12.8" hidden="false" customHeight="false" outlineLevel="0" collapsed="false">
      <c r="B16974" s="0" t="s">
        <v>548</v>
      </c>
      <c r="C16974" s="0" t="s">
        <v>1625</v>
      </c>
      <c r="D16974" s="0" t="s">
        <v>1277</v>
      </c>
      <c r="E16974" s="0" t="s">
        <v>1277</v>
      </c>
      <c r="F16974" s="0" t="s">
        <v>1277</v>
      </c>
    </row>
    <row r="16975" customFormat="false" ht="12.8" hidden="false" customHeight="false" outlineLevel="0" collapsed="false">
      <c r="B16975" s="0" t="s">
        <v>474</v>
      </c>
      <c r="C16975" s="0" t="s">
        <v>6558</v>
      </c>
      <c r="D16975" s="0" t="s">
        <v>1221</v>
      </c>
      <c r="E16975" s="0" t="s">
        <v>1221</v>
      </c>
      <c r="F16975" s="0" t="s">
        <v>1221</v>
      </c>
    </row>
    <row r="16976" customFormat="false" ht="12.8" hidden="false" customHeight="false" outlineLevel="0" collapsed="false">
      <c r="B16976" s="0" t="s">
        <v>479</v>
      </c>
    </row>
    <row r="16977" customFormat="false" ht="12.8" hidden="false" customHeight="false" outlineLevel="0" collapsed="false">
      <c r="B16977" s="0" t="s">
        <v>481</v>
      </c>
    </row>
    <row r="16978" customFormat="false" ht="12.8" hidden="false" customHeight="false" outlineLevel="0" collapsed="false">
      <c r="B16978" s="0" t="s">
        <v>483</v>
      </c>
    </row>
    <row r="16980" customFormat="false" ht="12.8" hidden="false" customHeight="false" outlineLevel="0" collapsed="false">
      <c r="A16980" s="0" t="s">
        <v>6559</v>
      </c>
      <c r="B16980" s="0" t="str">
        <f aca="false">HYPERLINK("https://lindat.mff.cuni.cz/services/teitok/pdtc10/index.php?action=vallex&amp;frame=v-w2051hsa_249", "nakládat (v-w2051hsa_249)")</f>
        <v>nakládat (v-w2051hsa_249)</v>
      </c>
    </row>
    <row r="16981" customFormat="false" ht="12.8" hidden="false" customHeight="false" outlineLevel="0" collapsed="false">
      <c r="B16981" s="0" t="s">
        <v>7</v>
      </c>
      <c r="C16981" s="0" t="s">
        <v>191</v>
      </c>
      <c r="D16981" s="0" t="s">
        <v>2940</v>
      </c>
      <c r="E16981" s="0" t="s">
        <v>2940</v>
      </c>
      <c r="F16981" s="0" t="s">
        <v>2940</v>
      </c>
    </row>
    <row r="16982" customFormat="false" ht="12.8" hidden="false" customHeight="false" outlineLevel="0" collapsed="false">
      <c r="B16982" s="0" t="s">
        <v>14</v>
      </c>
      <c r="C16982" s="0" t="s">
        <v>567</v>
      </c>
      <c r="D16982" s="0" t="s">
        <v>2941</v>
      </c>
      <c r="E16982" s="0" t="s">
        <v>2941</v>
      </c>
      <c r="F16982" s="0" t="s">
        <v>2941</v>
      </c>
    </row>
    <row r="16983" customFormat="false" ht="12.8" hidden="false" customHeight="false" outlineLevel="0" collapsed="false">
      <c r="B16983" s="0" t="s">
        <v>122</v>
      </c>
      <c r="D16983" s="0" t="s">
        <v>2942</v>
      </c>
      <c r="E16983" s="0" t="s">
        <v>2942</v>
      </c>
      <c r="F16983" s="0" t="s">
        <v>2942</v>
      </c>
    </row>
    <row r="16985" customFormat="false" ht="12.8" hidden="false" customHeight="false" outlineLevel="0" collapsed="false">
      <c r="A16985" s="0" t="s">
        <v>6560</v>
      </c>
      <c r="B16985" s="0" t="str">
        <f aca="false">HYPERLINK("https://lindat.mff.cuni.cz/services/teitok/pdtc10/index.php?action=vallex&amp;frame=v-w2051f3_ZU", "nakládat (v-w2051f3_ZU)")</f>
        <v>nakládat (v-w2051f3_ZU)</v>
      </c>
    </row>
    <row r="16986" customFormat="false" ht="12.8" hidden="false" customHeight="false" outlineLevel="0" collapsed="false">
      <c r="B16986" s="0" t="s">
        <v>7</v>
      </c>
    </row>
    <row r="16987" customFormat="false" ht="12.8" hidden="false" customHeight="false" outlineLevel="0" collapsed="false">
      <c r="B16987" s="0" t="s">
        <v>14</v>
      </c>
      <c r="C16987" s="0" t="s">
        <v>567</v>
      </c>
      <c r="D16987" s="0" t="s">
        <v>567</v>
      </c>
      <c r="E16987" s="0" t="s">
        <v>567</v>
      </c>
      <c r="F16987" s="0" t="s">
        <v>567</v>
      </c>
    </row>
    <row r="16988" customFormat="false" ht="12.8" hidden="false" customHeight="false" outlineLevel="0" collapsed="false">
      <c r="B16988" s="0" t="s">
        <v>6292</v>
      </c>
    </row>
    <row r="16990" customFormat="false" ht="12.8" hidden="false" customHeight="false" outlineLevel="0" collapsed="false">
      <c r="A16990" s="0" t="s">
        <v>6560</v>
      </c>
      <c r="B16990" s="0" t="str">
        <f aca="false">HYPERLINK("https://lindat.mff.cuni.cz/services/teitok/pdtc10/index.php?action=vallex&amp;frame=v-w2051hsa_250", "nakládat (v-w2051hsa_250) - substituted with v-w2051f3_ZU")</f>
        <v>nakládat (v-w2051hsa_250) - substituted with v-w2051f3_ZU</v>
      </c>
    </row>
    <row r="16991" customFormat="false" ht="12.8" hidden="false" customHeight="false" outlineLevel="0" collapsed="false">
      <c r="B16991" s="0" t="s">
        <v>7</v>
      </c>
    </row>
    <row r="16992" customFormat="false" ht="12.8" hidden="false" customHeight="false" outlineLevel="0" collapsed="false">
      <c r="B16992" s="0" t="s">
        <v>14</v>
      </c>
    </row>
    <row r="16993" customFormat="false" ht="12.8" hidden="false" customHeight="false" outlineLevel="0" collapsed="false">
      <c r="B16993" s="0" t="s">
        <v>6292</v>
      </c>
    </row>
    <row r="16995" customFormat="false" ht="12.8" hidden="false" customHeight="false" outlineLevel="0" collapsed="false">
      <c r="A16995" s="0" t="s">
        <v>6561</v>
      </c>
      <c r="B16995" s="0" t="str">
        <f aca="false">HYPERLINK("https://lindat.mff.cuni.cz/services/teitok/pdtc10/index.php?action=vallex&amp;frame=v-w2051f5_ZU", "nakládat (v-w2051f5_ZU)")</f>
        <v>nakládat (v-w2051f5_ZU)</v>
      </c>
    </row>
    <row r="16996" customFormat="false" ht="12.8" hidden="false" customHeight="false" outlineLevel="0" collapsed="false">
      <c r="B16996" s="0" t="s">
        <v>7</v>
      </c>
    </row>
    <row r="16997" customFormat="false" ht="12.8" hidden="false" customHeight="false" outlineLevel="0" collapsed="false">
      <c r="B16997" s="0" t="s">
        <v>14</v>
      </c>
    </row>
    <row r="16999" customFormat="false" ht="12.8" hidden="false" customHeight="false" outlineLevel="0" collapsed="false">
      <c r="A16999" s="0" t="s">
        <v>6561</v>
      </c>
      <c r="B16999" s="0" t="str">
        <f aca="false">HYPERLINK("https://lindat.mff.cuni.cz/services/teitok/pdtc10/index.php?action=vallex&amp;frame=v-w2051f4_ZU", "nakládat (v-w2051f4_ZU) - substituted with v-w2051f5_ZU")</f>
        <v>nakládat (v-w2051f4_ZU) - substituted with v-w2051f5_ZU</v>
      </c>
    </row>
    <row r="17000" customFormat="false" ht="12.8" hidden="false" customHeight="false" outlineLevel="0" collapsed="false">
      <c r="B17000" s="0" t="s">
        <v>7</v>
      </c>
    </row>
    <row r="17001" customFormat="false" ht="12.8" hidden="false" customHeight="false" outlineLevel="0" collapsed="false">
      <c r="B17001" s="0" t="s">
        <v>14</v>
      </c>
    </row>
    <row r="17003" customFormat="false" ht="12.8" hidden="false" customHeight="false" outlineLevel="0" collapsed="false">
      <c r="A17003" s="0" t="s">
        <v>6562</v>
      </c>
      <c r="B17003" s="0" t="str">
        <f aca="false">HYPERLINK("https://lindat.mff.cuni.cz/services/teitok/pdtc10/index.php?action=vallex&amp;frame=v-w2053f1", "naklánět se (v-w2053f1)")</f>
        <v>naklánět se (v-w2053f1)</v>
      </c>
    </row>
    <row r="17004" customFormat="false" ht="12.8" hidden="false" customHeight="false" outlineLevel="0" collapsed="false">
      <c r="B17004" s="0" t="s">
        <v>7</v>
      </c>
      <c r="D17004" s="0" t="s">
        <v>6550</v>
      </c>
      <c r="E17004" s="0" t="s">
        <v>6550</v>
      </c>
      <c r="F17004" s="0" t="s">
        <v>6550</v>
      </c>
    </row>
    <row r="17006" customFormat="false" ht="12.8" hidden="false" customHeight="false" outlineLevel="0" collapsed="false">
      <c r="A17006" s="0" t="s">
        <v>6563</v>
      </c>
      <c r="B17006" s="0" t="str">
        <f aca="false">HYPERLINK("https://lindat.mff.cuni.cz/services/teitok/pdtc10/index.php?action=vallex&amp;frame=v-w2054f2", "naklást (v-w2054f2)")</f>
        <v>naklást (v-w2054f2)</v>
      </c>
    </row>
    <row r="17007" customFormat="false" ht="12.8" hidden="false" customHeight="false" outlineLevel="0" collapsed="false">
      <c r="B17007" s="0" t="s">
        <v>7</v>
      </c>
    </row>
    <row r="17008" customFormat="false" ht="12.8" hidden="false" customHeight="false" outlineLevel="0" collapsed="false">
      <c r="B17008" s="0" t="s">
        <v>14</v>
      </c>
    </row>
    <row r="17009" customFormat="false" ht="12.8" hidden="false" customHeight="false" outlineLevel="0" collapsed="false">
      <c r="B17009" s="0" t="s">
        <v>124</v>
      </c>
    </row>
    <row r="17011" customFormat="false" ht="12.8" hidden="false" customHeight="false" outlineLevel="0" collapsed="false">
      <c r="A17011" s="0" t="s">
        <v>6564</v>
      </c>
      <c r="B17011" s="0" t="str">
        <f aca="false">HYPERLINK("https://lindat.mff.cuni.cz/services/teitok/pdtc10/index.php?action=vallex&amp;frame=v-w2054f1", "naklást (v-w2054f1)")</f>
        <v>naklást (v-w2054f1)</v>
      </c>
    </row>
    <row r="17012" customFormat="false" ht="12.8" hidden="false" customHeight="false" outlineLevel="0" collapsed="false">
      <c r="B17012" s="0" t="s">
        <v>7</v>
      </c>
    </row>
    <row r="17013" customFormat="false" ht="12.8" hidden="false" customHeight="false" outlineLevel="0" collapsed="false">
      <c r="B17013" s="0" t="s">
        <v>14</v>
      </c>
    </row>
    <row r="17015" customFormat="false" ht="12.8" hidden="false" customHeight="false" outlineLevel="0" collapsed="false">
      <c r="A17015" s="0" t="s">
        <v>6565</v>
      </c>
      <c r="B17015" s="0" t="str">
        <f aca="false">HYPERLINK("https://lindat.mff.cuni.cz/services/teitok/pdtc10/index.php?action=vallex&amp;frame=v-whsa_1208hsa_1209", "nakonfigurovat (v-whsa_1208hsa_1209)")</f>
        <v>nakonfigurovat (v-whsa_1208hsa_1209)</v>
      </c>
    </row>
    <row r="17016" customFormat="false" ht="12.8" hidden="false" customHeight="false" outlineLevel="0" collapsed="false">
      <c r="B17016" s="0" t="s">
        <v>7</v>
      </c>
    </row>
    <row r="17017" customFormat="false" ht="12.8" hidden="false" customHeight="false" outlineLevel="0" collapsed="false">
      <c r="B17017" s="0" t="s">
        <v>14</v>
      </c>
    </row>
    <row r="17018" customFormat="false" ht="12.8" hidden="false" customHeight="false" outlineLevel="0" collapsed="false">
      <c r="B17018" s="0" t="s">
        <v>84</v>
      </c>
    </row>
    <row r="17020" customFormat="false" ht="12.8" hidden="false" customHeight="false" outlineLevel="0" collapsed="false">
      <c r="A17020" s="0" t="s">
        <v>6566</v>
      </c>
      <c r="B17020" s="0" t="str">
        <f aca="false">HYPERLINK("https://lindat.mff.cuni.cz/services/teitok/pdtc10/index.php?action=vallex&amp;frame=v-w11658_ZUf2_ZU", "nakopat (v-w11658_ZUf2_ZU)")</f>
        <v>nakopat (v-w11658_ZUf2_ZU)</v>
      </c>
    </row>
    <row r="17021" customFormat="false" ht="12.8" hidden="false" customHeight="false" outlineLevel="0" collapsed="false">
      <c r="B17021" s="0" t="s">
        <v>7</v>
      </c>
    </row>
    <row r="17022" customFormat="false" ht="12.8" hidden="false" customHeight="false" outlineLevel="0" collapsed="false">
      <c r="B17022" s="0" t="s">
        <v>142</v>
      </c>
    </row>
    <row r="17023" customFormat="false" ht="12.8" hidden="false" customHeight="false" outlineLevel="0" collapsed="false">
      <c r="B17023" s="0" t="s">
        <v>6567</v>
      </c>
    </row>
    <row r="17025" customFormat="false" ht="12.8" hidden="false" customHeight="false" outlineLevel="0" collapsed="false">
      <c r="A17025" s="0" t="s">
        <v>6566</v>
      </c>
      <c r="B17025" s="0" t="str">
        <f aca="false">HYPERLINK("https://lindat.mff.cuni.cz/services/teitok/pdtc10/index.php?action=vallex&amp;frame=v-w11658_ZUf1_ZU", "nakopat (v-w11658_ZUf1_ZU) - substituted with v-w11658_ZUf2_ZU")</f>
        <v>nakopat (v-w11658_ZUf1_ZU) - substituted with v-w11658_ZUf2_ZU</v>
      </c>
    </row>
    <row r="17026" customFormat="false" ht="12.8" hidden="false" customHeight="false" outlineLevel="0" collapsed="false">
      <c r="B17026" s="0" t="s">
        <v>7</v>
      </c>
    </row>
    <row r="17027" customFormat="false" ht="12.8" hidden="false" customHeight="false" outlineLevel="0" collapsed="false">
      <c r="B17027" s="0" t="s">
        <v>142</v>
      </c>
    </row>
    <row r="17028" customFormat="false" ht="12.8" hidden="false" customHeight="false" outlineLevel="0" collapsed="false">
      <c r="B17028" s="0" t="s">
        <v>6567</v>
      </c>
    </row>
    <row r="17030" customFormat="false" ht="12.8" hidden="false" customHeight="false" outlineLevel="0" collapsed="false">
      <c r="A17030" s="0" t="s">
        <v>6568</v>
      </c>
      <c r="B17030" s="0" t="str">
        <f aca="false">HYPERLINK("https://lindat.mff.cuni.cz/services/teitok/pdtc10/index.php?action=vallex&amp;frame=v-w11873_ZUf1_ZU", "nakopnout (v-w11873_ZUf1_ZU)")</f>
        <v>nakopnout (v-w11873_ZUf1_ZU)</v>
      </c>
    </row>
    <row r="17031" customFormat="false" ht="12.8" hidden="false" customHeight="false" outlineLevel="0" collapsed="false">
      <c r="B17031" s="0" t="s">
        <v>7</v>
      </c>
    </row>
    <row r="17032" customFormat="false" ht="12.8" hidden="false" customHeight="false" outlineLevel="0" collapsed="false">
      <c r="B17032" s="0" t="s">
        <v>14</v>
      </c>
    </row>
    <row r="17034" customFormat="false" ht="12.8" hidden="false" customHeight="false" outlineLevel="0" collapsed="false">
      <c r="A17034" s="0" t="s">
        <v>6569</v>
      </c>
      <c r="B17034" s="0" t="str">
        <f aca="false">HYPERLINK("https://lindat.mff.cuni.cz/services/teitok/pdtc10/index.php?action=vallex&amp;frame=v-w12191_ZUf1_ZU", "nakoupat (v-w12191_ZUf1_ZU)")</f>
        <v>nakoupat (v-w12191_ZUf1_ZU)</v>
      </c>
    </row>
    <row r="17035" customFormat="false" ht="12.8" hidden="false" customHeight="false" outlineLevel="0" collapsed="false">
      <c r="B17035" s="0" t="s">
        <v>7</v>
      </c>
    </row>
    <row r="17036" customFormat="false" ht="12.8" hidden="false" customHeight="false" outlineLevel="0" collapsed="false">
      <c r="B17036" s="0" t="s">
        <v>14</v>
      </c>
    </row>
    <row r="17038" customFormat="false" ht="12.8" hidden="false" customHeight="false" outlineLevel="0" collapsed="false">
      <c r="A17038" s="0" t="s">
        <v>6570</v>
      </c>
      <c r="B17038" s="0" t="str">
        <f aca="false">HYPERLINK("https://lindat.mff.cuni.cz/services/teitok/pdtc10/index.php?action=vallex&amp;frame=v-whsa_178hsa_179", "nakoupat se (v-whsa_178hsa_179)")</f>
        <v>nakoupat se (v-whsa_178hsa_179)</v>
      </c>
    </row>
    <row r="17039" customFormat="false" ht="12.8" hidden="false" customHeight="false" outlineLevel="0" collapsed="false">
      <c r="B17039" s="0" t="s">
        <v>7</v>
      </c>
    </row>
    <row r="17041" customFormat="false" ht="12.8" hidden="false" customHeight="false" outlineLevel="0" collapsed="false">
      <c r="A17041" s="0" t="s">
        <v>6571</v>
      </c>
      <c r="B17041" s="0" t="str">
        <f aca="false">HYPERLINK("https://lindat.mff.cuni.cz/services/teitok/pdtc10/index.php?action=vallex&amp;frame=v-w2060f1", "nakoupit (v-w2060f1)")</f>
        <v>nakoupit (v-w2060f1)</v>
      </c>
    </row>
    <row r="17042" customFormat="false" ht="12.8" hidden="false" customHeight="false" outlineLevel="0" collapsed="false">
      <c r="B17042" s="0" t="s">
        <v>7</v>
      </c>
      <c r="C17042" s="0" t="s">
        <v>6572</v>
      </c>
      <c r="D17042" s="0" t="s">
        <v>4927</v>
      </c>
      <c r="E17042" s="0" t="s">
        <v>4927</v>
      </c>
      <c r="F17042" s="0" t="s">
        <v>4927</v>
      </c>
    </row>
    <row r="17043" customFormat="false" ht="12.8" hidden="false" customHeight="false" outlineLevel="0" collapsed="false">
      <c r="B17043" s="0" t="s">
        <v>14</v>
      </c>
      <c r="C17043" s="0" t="s">
        <v>6573</v>
      </c>
      <c r="D17043" s="0" t="s">
        <v>4929</v>
      </c>
      <c r="E17043" s="0" t="s">
        <v>4929</v>
      </c>
      <c r="F17043" s="0" t="s">
        <v>4929</v>
      </c>
    </row>
    <row r="17044" customFormat="false" ht="12.8" hidden="false" customHeight="false" outlineLevel="0" collapsed="false">
      <c r="B17044" s="0" t="s">
        <v>1953</v>
      </c>
      <c r="C17044" s="0" t="s">
        <v>4930</v>
      </c>
      <c r="D17044" s="0" t="s">
        <v>4930</v>
      </c>
      <c r="E17044" s="0" t="s">
        <v>4930</v>
      </c>
      <c r="F17044" s="0" t="s">
        <v>4930</v>
      </c>
    </row>
    <row r="17045" customFormat="false" ht="12.8" hidden="false" customHeight="false" outlineLevel="0" collapsed="false">
      <c r="B17045" s="0" t="s">
        <v>441</v>
      </c>
      <c r="C17045" s="0" t="s">
        <v>4932</v>
      </c>
      <c r="D17045" s="0" t="s">
        <v>4932</v>
      </c>
      <c r="E17045" s="0" t="s">
        <v>4932</v>
      </c>
      <c r="F17045" s="0" t="s">
        <v>4932</v>
      </c>
    </row>
    <row r="17047" customFormat="false" ht="12.8" hidden="false" customHeight="false" outlineLevel="0" collapsed="false">
      <c r="A17047" s="0" t="s">
        <v>6574</v>
      </c>
      <c r="B17047" s="0" t="str">
        <f aca="false">HYPERLINK("https://lindat.mff.cuni.cz/services/teitok/pdtc10/index.php?action=vallex&amp;frame=v-w2061f1", "nakousnout (v-w2061f1)")</f>
        <v>nakousnout (v-w2061f1)</v>
      </c>
    </row>
    <row r="17048" customFormat="false" ht="12.8" hidden="false" customHeight="false" outlineLevel="0" collapsed="false">
      <c r="B17048" s="0" t="s">
        <v>7</v>
      </c>
    </row>
    <row r="17049" customFormat="false" ht="12.8" hidden="false" customHeight="false" outlineLevel="0" collapsed="false">
      <c r="B17049" s="0" t="s">
        <v>14</v>
      </c>
    </row>
    <row r="17051" customFormat="false" ht="12.8" hidden="false" customHeight="false" outlineLevel="0" collapsed="false">
      <c r="A17051" s="0" t="s">
        <v>6575</v>
      </c>
      <c r="B17051" s="0" t="str">
        <f aca="false">HYPERLINK("https://lindat.mff.cuni.cz/services/teitok/pdtc10/index.php?action=vallex&amp;frame=v-w2061f2_ZU", "nakousnout (v-w2061f2_ZU)")</f>
        <v>nakousnout (v-w2061f2_ZU)</v>
      </c>
    </row>
    <row r="17052" customFormat="false" ht="12.8" hidden="false" customHeight="false" outlineLevel="0" collapsed="false">
      <c r="B17052" s="0" t="s">
        <v>7</v>
      </c>
    </row>
    <row r="17053" customFormat="false" ht="12.8" hidden="false" customHeight="false" outlineLevel="0" collapsed="false">
      <c r="B17053" s="0" t="s">
        <v>14</v>
      </c>
    </row>
    <row r="17055" customFormat="false" ht="12.8" hidden="false" customHeight="false" outlineLevel="0" collapsed="false">
      <c r="A17055" s="0" t="s">
        <v>6576</v>
      </c>
      <c r="B17055" s="0" t="str">
        <f aca="false">HYPERLINK("https://lindat.mff.cuni.cz/services/teitok/pdtc10/index.php?action=vallex&amp;frame=v-w2064f1", "nakreslit (v-w2064f1)")</f>
        <v>nakreslit (v-w2064f1)</v>
      </c>
    </row>
    <row r="17056" customFormat="false" ht="12.8" hidden="false" customHeight="false" outlineLevel="0" collapsed="false">
      <c r="B17056" s="0" t="s">
        <v>7</v>
      </c>
    </row>
    <row r="17057" customFormat="false" ht="12.8" hidden="false" customHeight="false" outlineLevel="0" collapsed="false">
      <c r="B17057" s="0" t="s">
        <v>14</v>
      </c>
    </row>
    <row r="17059" customFormat="false" ht="12.8" hidden="false" customHeight="false" outlineLevel="0" collapsed="false">
      <c r="A17059" s="0" t="s">
        <v>6577</v>
      </c>
      <c r="B17059" s="0" t="str">
        <f aca="false">HYPERLINK("https://lindat.mff.cuni.cz/services/teitok/pdtc10/index.php?action=vallex&amp;frame=v-whsa_1271hsa_1272", "nakrmit (v-whsa_1271hsa_1272)")</f>
        <v>nakrmit (v-whsa_1271hsa_1272)</v>
      </c>
    </row>
    <row r="17060" customFormat="false" ht="12.8" hidden="false" customHeight="false" outlineLevel="0" collapsed="false">
      <c r="B17060" s="0" t="s">
        <v>7</v>
      </c>
      <c r="C17060" s="0" t="s">
        <v>46</v>
      </c>
      <c r="D17060" s="0" t="s">
        <v>569</v>
      </c>
      <c r="E17060" s="0" t="s">
        <v>569</v>
      </c>
      <c r="F17060" s="0" t="s">
        <v>569</v>
      </c>
    </row>
    <row r="17061" customFormat="false" ht="12.8" hidden="false" customHeight="false" outlineLevel="0" collapsed="false">
      <c r="B17061" s="0" t="s">
        <v>14</v>
      </c>
      <c r="C17061" s="0" t="s">
        <v>6578</v>
      </c>
      <c r="D17061" s="0" t="s">
        <v>4963</v>
      </c>
      <c r="E17061" s="0" t="s">
        <v>4963</v>
      </c>
      <c r="F17061" s="0" t="s">
        <v>4963</v>
      </c>
    </row>
    <row r="17063" customFormat="false" ht="12.8" hidden="false" customHeight="false" outlineLevel="0" collapsed="false">
      <c r="A17063" s="0" t="s">
        <v>6579</v>
      </c>
      <c r="B17063" s="0" t="str">
        <f aca="false">HYPERLINK("https://lindat.mff.cuni.cz/services/teitok/pdtc10/index.php?action=vallex&amp;frame=v-whsa_1271f1_ZU", "nakrmit (v-whsa_1271f1_ZU)")</f>
        <v>nakrmit (v-whsa_1271f1_ZU)</v>
      </c>
    </row>
    <row r="17064" customFormat="false" ht="12.8" hidden="false" customHeight="false" outlineLevel="0" collapsed="false">
      <c r="B17064" s="0" t="s">
        <v>7</v>
      </c>
    </row>
    <row r="17065" customFormat="false" ht="12.8" hidden="false" customHeight="false" outlineLevel="0" collapsed="false">
      <c r="B17065" s="0" t="s">
        <v>14</v>
      </c>
    </row>
    <row r="17067" customFormat="false" ht="12.8" hidden="false" customHeight="false" outlineLevel="0" collapsed="false">
      <c r="A17067" s="0" t="s">
        <v>6580</v>
      </c>
      <c r="B17067" s="0" t="str">
        <f aca="false">HYPERLINK("https://lindat.mff.cuni.cz/services/teitok/pdtc10/index.php?action=vallex&amp;frame=v-whsa_115hsa_116", "nakrojit (v-whsa_115hsa_116)")</f>
        <v>nakrojit (v-whsa_115hsa_116)</v>
      </c>
    </row>
    <row r="17068" customFormat="false" ht="12.8" hidden="false" customHeight="false" outlineLevel="0" collapsed="false">
      <c r="B17068" s="0" t="s">
        <v>7</v>
      </c>
    </row>
    <row r="17069" customFormat="false" ht="12.8" hidden="false" customHeight="false" outlineLevel="0" collapsed="false">
      <c r="B17069" s="0" t="s">
        <v>14</v>
      </c>
    </row>
    <row r="17071" customFormat="false" ht="12.8" hidden="false" customHeight="false" outlineLevel="0" collapsed="false">
      <c r="A17071" s="0" t="s">
        <v>6581</v>
      </c>
      <c r="B17071" s="0" t="str">
        <f aca="false">HYPERLINK("https://lindat.mff.cuni.cz/services/teitok/pdtc10/index.php?action=vallex&amp;frame=v-w11983_ZUf1_ZU", "nakročit (v-w11983_ZUf1_ZU)")</f>
        <v>nakročit (v-w11983_ZUf1_ZU)</v>
      </c>
    </row>
    <row r="17072" customFormat="false" ht="12.8" hidden="false" customHeight="false" outlineLevel="0" collapsed="false">
      <c r="B17072" s="0" t="s">
        <v>7</v>
      </c>
    </row>
    <row r="17074" customFormat="false" ht="12.8" hidden="false" customHeight="false" outlineLevel="0" collapsed="false">
      <c r="A17074" s="0" t="s">
        <v>6582</v>
      </c>
      <c r="B17074" s="0" t="str">
        <f aca="false">HYPERLINK("https://lindat.mff.cuni.cz/services/teitok/pdtc10/index.php?action=vallex&amp;frame=v-w2062f1", "nakrájet (v-w2062f1)")</f>
        <v>nakrájet (v-w2062f1)</v>
      </c>
    </row>
    <row r="17075" customFormat="false" ht="12.8" hidden="false" customHeight="false" outlineLevel="0" collapsed="false">
      <c r="B17075" s="0" t="s">
        <v>7</v>
      </c>
      <c r="D17075" s="0" t="s">
        <v>4939</v>
      </c>
      <c r="E17075" s="0" t="s">
        <v>4939</v>
      </c>
      <c r="F17075" s="0" t="s">
        <v>4939</v>
      </c>
    </row>
    <row r="17076" customFormat="false" ht="12.8" hidden="false" customHeight="false" outlineLevel="0" collapsed="false">
      <c r="B17076" s="0" t="s">
        <v>14</v>
      </c>
      <c r="D17076" s="0" t="s">
        <v>4940</v>
      </c>
      <c r="E17076" s="0" t="s">
        <v>4940</v>
      </c>
      <c r="F17076" s="0" t="s">
        <v>4940</v>
      </c>
    </row>
    <row r="17077" customFormat="false" ht="12.8" hidden="false" customHeight="false" outlineLevel="0" collapsed="false">
      <c r="B17077" s="0" t="s">
        <v>4978</v>
      </c>
      <c r="D17077" s="0" t="s">
        <v>4941</v>
      </c>
      <c r="E17077" s="0" t="s">
        <v>4941</v>
      </c>
      <c r="F17077" s="0" t="s">
        <v>4941</v>
      </c>
    </row>
    <row r="17079" customFormat="false" ht="12.8" hidden="false" customHeight="false" outlineLevel="0" collapsed="false">
      <c r="A17079" s="0" t="s">
        <v>6583</v>
      </c>
      <c r="B17079" s="0" t="str">
        <f aca="false">HYPERLINK("https://lindat.mff.cuni.cz/services/teitok/pdtc10/index.php?action=vallex&amp;frame=v-w2063f1", "nakrást (v-w2063f1)")</f>
        <v>nakrást (v-w2063f1)</v>
      </c>
    </row>
    <row r="17080" customFormat="false" ht="12.8" hidden="false" customHeight="false" outlineLevel="0" collapsed="false">
      <c r="B17080" s="0" t="s">
        <v>7</v>
      </c>
    </row>
    <row r="17081" customFormat="false" ht="12.8" hidden="false" customHeight="false" outlineLevel="0" collapsed="false">
      <c r="B17081" s="0" t="s">
        <v>14</v>
      </c>
    </row>
    <row r="17083" customFormat="false" ht="12.8" hidden="false" customHeight="false" outlineLevel="0" collapsed="false">
      <c r="A17083" s="0" t="s">
        <v>6584</v>
      </c>
      <c r="B17083" s="0" t="str">
        <f aca="false">HYPERLINK("https://lindat.mff.cuni.cz/services/teitok/pdtc10/index.php?action=vallex&amp;frame=v-whsa_1328f1_ZU", "nakrýt (v-whsa_1328f1_ZU)")</f>
        <v>nakrýt (v-whsa_1328f1_ZU)</v>
      </c>
    </row>
    <row r="17084" customFormat="false" ht="12.8" hidden="false" customHeight="false" outlineLevel="0" collapsed="false">
      <c r="B17084" s="0" t="s">
        <v>7</v>
      </c>
    </row>
    <row r="17085" customFormat="false" ht="12.8" hidden="false" customHeight="false" outlineLevel="0" collapsed="false">
      <c r="B17085" s="0" t="s">
        <v>14</v>
      </c>
    </row>
    <row r="17086" customFormat="false" ht="12.8" hidden="false" customHeight="false" outlineLevel="0" collapsed="false">
      <c r="B17086" s="0" t="s">
        <v>6292</v>
      </c>
    </row>
    <row r="17088" customFormat="false" ht="12.8" hidden="false" customHeight="false" outlineLevel="0" collapsed="false">
      <c r="A17088" s="0" t="s">
        <v>6584</v>
      </c>
      <c r="B17088" s="0" t="str">
        <f aca="false">HYPERLINK("https://lindat.mff.cuni.cz/services/teitok/pdtc10/index.php?action=vallex&amp;frame=v-whsa_1328hsa_1329", "nakrýt (v-whsa_1328hsa_1329) - substituted with v-whsa_1328f1_ZU")</f>
        <v>nakrýt (v-whsa_1328hsa_1329) - substituted with v-whsa_1328f1_ZU</v>
      </c>
    </row>
    <row r="17089" customFormat="false" ht="12.8" hidden="false" customHeight="false" outlineLevel="0" collapsed="false">
      <c r="B17089" s="0" t="s">
        <v>7</v>
      </c>
    </row>
    <row r="17090" customFormat="false" ht="12.8" hidden="false" customHeight="false" outlineLevel="0" collapsed="false">
      <c r="B17090" s="0" t="s">
        <v>14</v>
      </c>
    </row>
    <row r="17091" customFormat="false" ht="12.8" hidden="false" customHeight="false" outlineLevel="0" collapsed="false">
      <c r="B17091" s="0" t="s">
        <v>6292</v>
      </c>
    </row>
    <row r="17093" customFormat="false" ht="12.8" hidden="false" customHeight="false" outlineLevel="0" collapsed="false">
      <c r="A17093" s="0" t="s">
        <v>6585</v>
      </c>
      <c r="B17093" s="0" t="str">
        <f aca="false">HYPERLINK("https://lindat.mff.cuni.cz/services/teitok/pdtc10/index.php?action=vallex&amp;frame=v-w2066f1", "nakupit (v-w2066f1)")</f>
        <v>nakupit (v-w2066f1)</v>
      </c>
    </row>
    <row r="17094" customFormat="false" ht="12.8" hidden="false" customHeight="false" outlineLevel="0" collapsed="false">
      <c r="B17094" s="0" t="s">
        <v>7</v>
      </c>
    </row>
    <row r="17095" customFormat="false" ht="12.8" hidden="false" customHeight="false" outlineLevel="0" collapsed="false">
      <c r="B17095" s="0" t="s">
        <v>14</v>
      </c>
    </row>
    <row r="17097" customFormat="false" ht="12.8" hidden="false" customHeight="false" outlineLevel="0" collapsed="false">
      <c r="A17097" s="0" t="s">
        <v>6586</v>
      </c>
      <c r="B17097" s="0" t="str">
        <f aca="false">HYPERLINK("https://lindat.mff.cuni.cz/services/teitok/pdtc10/index.php?action=vallex&amp;frame=v-w2066f2", "nakupit (v-w2066f2)")</f>
        <v>nakupit (v-w2066f2)</v>
      </c>
    </row>
    <row r="17098" customFormat="false" ht="12.8" hidden="false" customHeight="false" outlineLevel="0" collapsed="false">
      <c r="B17098" s="0" t="s">
        <v>7</v>
      </c>
      <c r="F17098" s="0" t="s">
        <v>2523</v>
      </c>
    </row>
    <row r="17099" customFormat="false" ht="12.8" hidden="false" customHeight="false" outlineLevel="0" collapsed="false">
      <c r="B17099" s="0" t="s">
        <v>14</v>
      </c>
      <c r="F17099" s="0" t="s">
        <v>493</v>
      </c>
    </row>
    <row r="17101" customFormat="false" ht="12.8" hidden="false" customHeight="false" outlineLevel="0" collapsed="false">
      <c r="A17101" s="0" t="s">
        <v>6587</v>
      </c>
      <c r="B17101" s="0" t="str">
        <f aca="false">HYPERLINK("https://lindat.mff.cuni.cz/services/teitok/pdtc10/index.php?action=vallex&amp;frame=v-w11242f1", "nakupit se (v-w11242f1)")</f>
        <v>nakupit se (v-w11242f1)</v>
      </c>
    </row>
    <row r="17102" customFormat="false" ht="12.8" hidden="false" customHeight="false" outlineLevel="0" collapsed="false">
      <c r="B17102" s="0" t="s">
        <v>7</v>
      </c>
      <c r="C17102" s="0" t="s">
        <v>2178</v>
      </c>
      <c r="D17102" s="0" t="s">
        <v>6490</v>
      </c>
      <c r="E17102" s="0" t="s">
        <v>6491</v>
      </c>
      <c r="F17102" s="0" t="s">
        <v>6491</v>
      </c>
    </row>
    <row r="17103" customFormat="false" ht="12.8" hidden="false" customHeight="false" outlineLevel="0" collapsed="false">
      <c r="B17103" s="0" t="s">
        <v>11</v>
      </c>
      <c r="D17103" s="0" t="s">
        <v>6588</v>
      </c>
      <c r="E17103" s="0" t="s">
        <v>6588</v>
      </c>
      <c r="F17103" s="0" t="s">
        <v>6588</v>
      </c>
    </row>
    <row r="17105" customFormat="false" ht="12.8" hidden="false" customHeight="false" outlineLevel="0" collapsed="false">
      <c r="A17105" s="0" t="s">
        <v>6589</v>
      </c>
      <c r="B17105" s="0" t="str">
        <f aca="false">HYPERLINK("https://lindat.mff.cuni.cz/services/teitok/pdtc10/index.php?action=vallex&amp;frame=v-w2068f1", "nakupovat (v-w2068f1)")</f>
        <v>nakupovat (v-w2068f1)</v>
      </c>
    </row>
    <row r="17106" customFormat="false" ht="12.8" hidden="false" customHeight="false" outlineLevel="0" collapsed="false">
      <c r="B17106" s="0" t="s">
        <v>7</v>
      </c>
      <c r="C17106" s="0" t="s">
        <v>6590</v>
      </c>
      <c r="D17106" s="0" t="s">
        <v>4927</v>
      </c>
      <c r="E17106" s="0" t="s">
        <v>4927</v>
      </c>
      <c r="F17106" s="0" t="s">
        <v>4927</v>
      </c>
    </row>
    <row r="17107" customFormat="false" ht="12.8" hidden="false" customHeight="false" outlineLevel="0" collapsed="false">
      <c r="B17107" s="0" t="s">
        <v>14</v>
      </c>
      <c r="C17107" s="0" t="s">
        <v>6591</v>
      </c>
      <c r="D17107" s="0" t="s">
        <v>4929</v>
      </c>
      <c r="E17107" s="0" t="s">
        <v>4929</v>
      </c>
      <c r="F17107" s="0" t="s">
        <v>4929</v>
      </c>
    </row>
    <row r="17108" customFormat="false" ht="12.8" hidden="false" customHeight="false" outlineLevel="0" collapsed="false">
      <c r="B17108" s="0" t="s">
        <v>1953</v>
      </c>
      <c r="C17108" s="0" t="s">
        <v>4930</v>
      </c>
      <c r="D17108" s="0" t="s">
        <v>4930</v>
      </c>
      <c r="E17108" s="0" t="s">
        <v>4930</v>
      </c>
      <c r="F17108" s="0" t="s">
        <v>4930</v>
      </c>
    </row>
    <row r="17109" customFormat="false" ht="12.8" hidden="false" customHeight="false" outlineLevel="0" collapsed="false">
      <c r="B17109" s="0" t="s">
        <v>441</v>
      </c>
      <c r="C17109" s="0" t="s">
        <v>6592</v>
      </c>
      <c r="D17109" s="0" t="s">
        <v>4932</v>
      </c>
      <c r="E17109" s="0" t="s">
        <v>4932</v>
      </c>
      <c r="F17109" s="0" t="s">
        <v>4932</v>
      </c>
    </row>
    <row r="17111" customFormat="false" ht="12.8" hidden="false" customHeight="false" outlineLevel="0" collapsed="false">
      <c r="A17111" s="0" t="s">
        <v>6593</v>
      </c>
      <c r="B17111" s="0" t="str">
        <f aca="false">HYPERLINK("https://lindat.mff.cuni.cz/services/teitok/pdtc10/index.php?action=vallex&amp;frame=v-w12374_MMf1_MM", "nakusovat (v-w12374_MMf1_MM)")</f>
        <v>nakusovat (v-w12374_MMf1_MM)</v>
      </c>
    </row>
    <row r="17112" customFormat="false" ht="12.8" hidden="false" customHeight="false" outlineLevel="0" collapsed="false">
      <c r="B17112" s="0" t="s">
        <v>7</v>
      </c>
    </row>
    <row r="17113" customFormat="false" ht="12.8" hidden="false" customHeight="false" outlineLevel="0" collapsed="false">
      <c r="B17113" s="0" t="s">
        <v>14</v>
      </c>
    </row>
    <row r="17115" customFormat="false" ht="12.8" hidden="false" customHeight="false" outlineLevel="0" collapsed="false">
      <c r="A17115" s="0" t="s">
        <v>6594</v>
      </c>
      <c r="B17115" s="0" t="str">
        <f aca="false">HYPERLINK("https://lindat.mff.cuni.cz/services/teitok/pdtc10/index.php?action=vallex&amp;frame=v-w12164_ZUf1_ZU", "nakynout (v-w12164_ZUf1_ZU)")</f>
        <v>nakynout (v-w12164_ZUf1_ZU)</v>
      </c>
    </row>
    <row r="17116" customFormat="false" ht="12.8" hidden="false" customHeight="false" outlineLevel="0" collapsed="false">
      <c r="B17116" s="0" t="s">
        <v>7</v>
      </c>
    </row>
    <row r="17118" customFormat="false" ht="12.8" hidden="false" customHeight="false" outlineLevel="0" collapsed="false">
      <c r="A17118" s="0" t="s">
        <v>6595</v>
      </c>
      <c r="B17118" s="0" t="str">
        <f aca="false">HYPERLINK("https://lindat.mff.cuni.cz/services/teitok/pdtc10/index.php?action=vallex&amp;frame=v-w2070f1", "naladit (v-w2070f1)")</f>
        <v>naladit (v-w2070f1)</v>
      </c>
    </row>
    <row r="17119" customFormat="false" ht="12.8" hidden="false" customHeight="false" outlineLevel="0" collapsed="false">
      <c r="B17119" s="0" t="s">
        <v>7</v>
      </c>
      <c r="C17119" s="0" t="s">
        <v>46</v>
      </c>
    </row>
    <row r="17120" customFormat="false" ht="12.8" hidden="false" customHeight="false" outlineLevel="0" collapsed="false">
      <c r="B17120" s="0" t="s">
        <v>14</v>
      </c>
    </row>
    <row r="17122" customFormat="false" ht="12.8" hidden="false" customHeight="false" outlineLevel="0" collapsed="false">
      <c r="A17122" s="0" t="s">
        <v>6596</v>
      </c>
      <c r="B17122" s="0" t="str">
        <f aca="false">HYPERLINK("https://lindat.mff.cuni.cz/services/teitok/pdtc10/index.php?action=vallex&amp;frame=v-w2070f2", "naladit (v-w2070f2)")</f>
        <v>naladit (v-w2070f2)</v>
      </c>
    </row>
    <row r="17123" customFormat="false" ht="12.8" hidden="false" customHeight="false" outlineLevel="0" collapsed="false">
      <c r="B17123" s="0" t="s">
        <v>7</v>
      </c>
      <c r="C17123" s="0" t="s">
        <v>335</v>
      </c>
      <c r="D17123" s="0" t="s">
        <v>32</v>
      </c>
      <c r="E17123" s="0" t="s">
        <v>32</v>
      </c>
      <c r="F17123" s="0" t="s">
        <v>32</v>
      </c>
    </row>
    <row r="17124" customFormat="false" ht="12.8" hidden="false" customHeight="false" outlineLevel="0" collapsed="false">
      <c r="B17124" s="0" t="s">
        <v>14</v>
      </c>
      <c r="C17124" s="0" t="s">
        <v>1743</v>
      </c>
      <c r="D17124" s="0" t="s">
        <v>34</v>
      </c>
      <c r="E17124" s="0" t="s">
        <v>34</v>
      </c>
      <c r="F17124" s="0" t="s">
        <v>34</v>
      </c>
    </row>
    <row r="17126" customFormat="false" ht="12.8" hidden="false" customHeight="false" outlineLevel="0" collapsed="false">
      <c r="A17126" s="0" t="s">
        <v>6597</v>
      </c>
      <c r="B17126" s="0" t="str">
        <f aca="false">HYPERLINK("https://lindat.mff.cuni.cz/services/teitok/pdtc10/index.php?action=vallex&amp;frame=v-w2070hsa_519", "naladit (v-w2070hsa_519)")</f>
        <v>naladit (v-w2070hsa_519)</v>
      </c>
    </row>
    <row r="17127" customFormat="false" ht="12.8" hidden="false" customHeight="false" outlineLevel="0" collapsed="false">
      <c r="B17127" s="0" t="s">
        <v>7</v>
      </c>
      <c r="C17127" s="0" t="s">
        <v>46</v>
      </c>
    </row>
    <row r="17128" customFormat="false" ht="12.8" hidden="false" customHeight="false" outlineLevel="0" collapsed="false">
      <c r="B17128" s="0" t="s">
        <v>14</v>
      </c>
      <c r="C17128" s="0" t="s">
        <v>155</v>
      </c>
    </row>
    <row r="17130" customFormat="false" ht="12.8" hidden="false" customHeight="false" outlineLevel="0" collapsed="false">
      <c r="A17130" s="0" t="s">
        <v>6598</v>
      </c>
      <c r="B17130" s="0" t="str">
        <f aca="false">HYPERLINK("https://lindat.mff.cuni.cz/services/teitok/pdtc10/index.php?action=vallex&amp;frame=v-w12037_ZUf1_ZU", "nalakovat (v-w12037_ZUf1_ZU)")</f>
        <v>nalakovat (v-w12037_ZUf1_ZU)</v>
      </c>
    </row>
    <row r="17131" customFormat="false" ht="12.8" hidden="false" customHeight="false" outlineLevel="0" collapsed="false">
      <c r="B17131" s="0" t="s">
        <v>7</v>
      </c>
    </row>
    <row r="17132" customFormat="false" ht="12.8" hidden="false" customHeight="false" outlineLevel="0" collapsed="false">
      <c r="B17132" s="0" t="s">
        <v>14</v>
      </c>
    </row>
    <row r="17134" customFormat="false" ht="12.8" hidden="false" customHeight="false" outlineLevel="0" collapsed="false">
      <c r="A17134" s="0" t="s">
        <v>6599</v>
      </c>
      <c r="B17134" s="0" t="str">
        <f aca="false">HYPERLINK("https://lindat.mff.cuni.cz/services/teitok/pdtc10/index.php?action=vallex&amp;frame=v-w2074f1", "nalepit (v-w2074f1)")</f>
        <v>nalepit (v-w2074f1)</v>
      </c>
    </row>
    <row r="17135" customFormat="false" ht="12.8" hidden="false" customHeight="false" outlineLevel="0" collapsed="false">
      <c r="B17135" s="0" t="s">
        <v>7</v>
      </c>
    </row>
    <row r="17136" customFormat="false" ht="12.8" hidden="false" customHeight="false" outlineLevel="0" collapsed="false">
      <c r="B17136" s="0" t="s">
        <v>14</v>
      </c>
    </row>
    <row r="17138" customFormat="false" ht="12.8" hidden="false" customHeight="false" outlineLevel="0" collapsed="false">
      <c r="A17138" s="0" t="s">
        <v>6600</v>
      </c>
      <c r="B17138" s="0" t="str">
        <f aca="false">HYPERLINK("https://lindat.mff.cuni.cz/services/teitok/pdtc10/index.php?action=vallex&amp;frame=v-w2075f1", "nalepovat (v-w2075f1)")</f>
        <v>nalepovat (v-w2075f1)</v>
      </c>
    </row>
    <row r="17139" customFormat="false" ht="12.8" hidden="false" customHeight="false" outlineLevel="0" collapsed="false">
      <c r="B17139" s="0" t="s">
        <v>7</v>
      </c>
    </row>
    <row r="17140" customFormat="false" ht="12.8" hidden="false" customHeight="false" outlineLevel="0" collapsed="false">
      <c r="B17140" s="0" t="s">
        <v>14</v>
      </c>
    </row>
    <row r="17142" customFormat="false" ht="12.8" hidden="false" customHeight="false" outlineLevel="0" collapsed="false">
      <c r="A17142" s="0" t="s">
        <v>6601</v>
      </c>
      <c r="B17142" s="0" t="str">
        <f aca="false">HYPERLINK("https://lindat.mff.cuni.cz/services/teitok/pdtc10/index.php?action=vallex&amp;frame=v-w2076f1", "naleptávat (v-w2076f1)")</f>
        <v>naleptávat (v-w2076f1)</v>
      </c>
    </row>
    <row r="17143" customFormat="false" ht="12.8" hidden="false" customHeight="false" outlineLevel="0" collapsed="false">
      <c r="B17143" s="0" t="s">
        <v>7</v>
      </c>
    </row>
    <row r="17144" customFormat="false" ht="12.8" hidden="false" customHeight="false" outlineLevel="0" collapsed="false">
      <c r="B17144" s="0" t="s">
        <v>14</v>
      </c>
    </row>
    <row r="17146" customFormat="false" ht="12.8" hidden="false" customHeight="false" outlineLevel="0" collapsed="false">
      <c r="A17146" s="0" t="s">
        <v>6602</v>
      </c>
      <c r="B17146" s="0" t="str">
        <f aca="false">HYPERLINK("https://lindat.mff.cuni.cz/services/teitok/pdtc10/index.php?action=vallex&amp;frame=v-w2077f1", "naletět (v-w2077f1)")</f>
        <v>naletět (v-w2077f1)</v>
      </c>
    </row>
    <row r="17147" customFormat="false" ht="12.8" hidden="false" customHeight="false" outlineLevel="0" collapsed="false">
      <c r="B17147" s="0" t="s">
        <v>7</v>
      </c>
    </row>
    <row r="17148" customFormat="false" ht="12.8" hidden="false" customHeight="false" outlineLevel="0" collapsed="false">
      <c r="B17148" s="0" t="s">
        <v>119</v>
      </c>
    </row>
    <row r="17150" customFormat="false" ht="12.8" hidden="false" customHeight="false" outlineLevel="0" collapsed="false">
      <c r="A17150" s="0" t="s">
        <v>6603</v>
      </c>
      <c r="B17150" s="0" t="str">
        <f aca="false">HYPERLINK("https://lindat.mff.cuni.cz/services/teitok/pdtc10/index.php?action=vallex&amp;frame=v-w2084f1", "naleznout (v-w2084f1)")</f>
        <v>naleznout (v-w2084f1)</v>
      </c>
    </row>
    <row r="17151" customFormat="false" ht="12.8" hidden="false" customHeight="false" outlineLevel="0" collapsed="false">
      <c r="B17151" s="0" t="s">
        <v>7</v>
      </c>
      <c r="C17151" s="0" t="s">
        <v>6604</v>
      </c>
      <c r="D17151" s="0" t="s">
        <v>6342</v>
      </c>
      <c r="E17151" s="0" t="s">
        <v>6342</v>
      </c>
      <c r="F17151" s="0" t="s">
        <v>6342</v>
      </c>
    </row>
    <row r="17152" customFormat="false" ht="12.8" hidden="false" customHeight="false" outlineLevel="0" collapsed="false">
      <c r="B17152" s="0" t="s">
        <v>14</v>
      </c>
      <c r="C17152" s="0" t="s">
        <v>6605</v>
      </c>
      <c r="D17152" s="0" t="s">
        <v>6344</v>
      </c>
      <c r="E17152" s="0" t="s">
        <v>6344</v>
      </c>
      <c r="F17152" s="0" t="s">
        <v>6344</v>
      </c>
    </row>
    <row r="17154" customFormat="false" ht="12.8" hidden="false" customHeight="false" outlineLevel="0" collapsed="false">
      <c r="A17154" s="0" t="s">
        <v>6606</v>
      </c>
      <c r="B17154" s="0" t="str">
        <f aca="false">HYPERLINK("https://lindat.mff.cuni.cz/services/teitok/pdtc10/index.php?action=vallex&amp;frame=v-w11011f2", "naleštit (v-w11011f2)")</f>
        <v>naleštit (v-w11011f2)</v>
      </c>
    </row>
    <row r="17155" customFormat="false" ht="12.8" hidden="false" customHeight="false" outlineLevel="0" collapsed="false">
      <c r="B17155" s="0" t="s">
        <v>7</v>
      </c>
    </row>
    <row r="17156" customFormat="false" ht="12.8" hidden="false" customHeight="false" outlineLevel="0" collapsed="false">
      <c r="B17156" s="0" t="s">
        <v>14</v>
      </c>
    </row>
    <row r="17158" customFormat="false" ht="12.8" hidden="false" customHeight="false" outlineLevel="0" collapsed="false">
      <c r="A17158" s="0" t="s">
        <v>6607</v>
      </c>
      <c r="B17158" s="0" t="str">
        <f aca="false">HYPERLINK("https://lindat.mff.cuni.cz/services/teitok/pdtc10/index.php?action=vallex&amp;frame=v-w2088f1", "nalistovat (v-w2088f1)")</f>
        <v>nalistovat (v-w2088f1)</v>
      </c>
    </row>
    <row r="17159" customFormat="false" ht="12.8" hidden="false" customHeight="false" outlineLevel="0" collapsed="false">
      <c r="B17159" s="0" t="s">
        <v>7</v>
      </c>
    </row>
    <row r="17160" customFormat="false" ht="12.8" hidden="false" customHeight="false" outlineLevel="0" collapsed="false">
      <c r="B17160" s="0" t="s">
        <v>172</v>
      </c>
    </row>
    <row r="17162" customFormat="false" ht="12.8" hidden="false" customHeight="false" outlineLevel="0" collapsed="false">
      <c r="A17162" s="0" t="s">
        <v>6608</v>
      </c>
      <c r="B17162" s="0" t="str">
        <f aca="false">HYPERLINK("https://lindat.mff.cuni.cz/services/teitok/pdtc10/index.php?action=vallex&amp;frame=v-w2091f1", "nalodit (v-w2091f1)")</f>
        <v>nalodit (v-w2091f1)</v>
      </c>
    </row>
    <row r="17163" customFormat="false" ht="12.8" hidden="false" customHeight="false" outlineLevel="0" collapsed="false">
      <c r="B17163" s="0" t="s">
        <v>7</v>
      </c>
    </row>
    <row r="17164" customFormat="false" ht="12.8" hidden="false" customHeight="false" outlineLevel="0" collapsed="false">
      <c r="B17164" s="0" t="s">
        <v>14</v>
      </c>
    </row>
    <row r="17165" customFormat="false" ht="12.8" hidden="false" customHeight="false" outlineLevel="0" collapsed="false">
      <c r="B17165" s="0" t="s">
        <v>124</v>
      </c>
    </row>
    <row r="17167" customFormat="false" ht="12.8" hidden="false" customHeight="false" outlineLevel="0" collapsed="false">
      <c r="A17167" s="0" t="s">
        <v>6609</v>
      </c>
      <c r="B17167" s="0" t="str">
        <f aca="false">HYPERLINK("https://lindat.mff.cuni.cz/services/teitok/pdtc10/index.php?action=vallex&amp;frame=v-w2092f1", "nalodit se (v-w2092f1)")</f>
        <v>nalodit se (v-w2092f1)</v>
      </c>
    </row>
    <row r="17168" customFormat="false" ht="12.8" hidden="false" customHeight="false" outlineLevel="0" collapsed="false">
      <c r="B17168" s="0" t="s">
        <v>7</v>
      </c>
    </row>
    <row r="17169" customFormat="false" ht="12.8" hidden="false" customHeight="false" outlineLevel="0" collapsed="false">
      <c r="B17169" s="0" t="s">
        <v>124</v>
      </c>
    </row>
    <row r="17171" customFormat="false" ht="12.8" hidden="false" customHeight="false" outlineLevel="0" collapsed="false">
      <c r="A17171" s="0" t="s">
        <v>6610</v>
      </c>
      <c r="B17171" s="0" t="str">
        <f aca="false">HYPERLINK("https://lindat.mff.cuni.cz/services/teitok/pdtc10/index.php?action=vallex&amp;frame=v-w2093f1", "nalomit (v-w2093f1)")</f>
        <v>nalomit (v-w2093f1)</v>
      </c>
    </row>
    <row r="17172" customFormat="false" ht="12.8" hidden="false" customHeight="false" outlineLevel="0" collapsed="false">
      <c r="B17172" s="0" t="s">
        <v>7</v>
      </c>
    </row>
    <row r="17173" customFormat="false" ht="12.8" hidden="false" customHeight="false" outlineLevel="0" collapsed="false">
      <c r="B17173" s="0" t="s">
        <v>14</v>
      </c>
    </row>
    <row r="17174" customFormat="false" ht="12.8" hidden="false" customHeight="false" outlineLevel="0" collapsed="false">
      <c r="B17174" s="0" t="s">
        <v>2773</v>
      </c>
    </row>
    <row r="17176" customFormat="false" ht="12.8" hidden="false" customHeight="false" outlineLevel="0" collapsed="false">
      <c r="A17176" s="0" t="s">
        <v>6611</v>
      </c>
      <c r="B17176" s="0" t="str">
        <f aca="false">HYPERLINK("https://lindat.mff.cuni.cz/services/teitok/pdtc10/index.php?action=vallex&amp;frame=v-w2094f1", "naloupit (v-w2094f1)")</f>
        <v>naloupit (v-w2094f1)</v>
      </c>
    </row>
    <row r="17177" customFormat="false" ht="12.8" hidden="false" customHeight="false" outlineLevel="0" collapsed="false">
      <c r="B17177" s="0" t="s">
        <v>7</v>
      </c>
    </row>
    <row r="17178" customFormat="false" ht="12.8" hidden="false" customHeight="false" outlineLevel="0" collapsed="false">
      <c r="B17178" s="0" t="s">
        <v>14</v>
      </c>
    </row>
    <row r="17180" customFormat="false" ht="12.8" hidden="false" customHeight="false" outlineLevel="0" collapsed="false">
      <c r="A17180" s="0" t="s">
        <v>6612</v>
      </c>
      <c r="B17180" s="0" t="str">
        <f aca="false">HYPERLINK("https://lindat.mff.cuni.cz/services/teitok/pdtc10/index.php?action=vallex&amp;frame=v-w12291_MMf1_MM", "naloďovat se (v-w12291_MMf1_MM)")</f>
        <v>naloďovat se (v-w12291_MMf1_MM)</v>
      </c>
    </row>
    <row r="17181" customFormat="false" ht="12.8" hidden="false" customHeight="false" outlineLevel="0" collapsed="false">
      <c r="B17181" s="0" t="s">
        <v>7</v>
      </c>
    </row>
    <row r="17182" customFormat="false" ht="12.8" hidden="false" customHeight="false" outlineLevel="0" collapsed="false">
      <c r="B17182" s="0" t="s">
        <v>124</v>
      </c>
    </row>
    <row r="17184" customFormat="false" ht="12.8" hidden="false" customHeight="false" outlineLevel="0" collapsed="false">
      <c r="A17184" s="0" t="s">
        <v>6613</v>
      </c>
      <c r="B17184" s="0" t="str">
        <f aca="false">HYPERLINK("https://lindat.mff.cuni.cz/services/teitok/pdtc10/index.php?action=vallex&amp;frame=v-w2096f3", "naložit (v-w2096f3)")</f>
        <v>naložit (v-w2096f3)</v>
      </c>
    </row>
    <row r="17185" customFormat="false" ht="12.8" hidden="false" customHeight="false" outlineLevel="0" collapsed="false">
      <c r="B17185" s="0" t="s">
        <v>7</v>
      </c>
    </row>
    <row r="17186" customFormat="false" ht="12.8" hidden="false" customHeight="false" outlineLevel="0" collapsed="false">
      <c r="B17186" s="0" t="s">
        <v>14</v>
      </c>
    </row>
    <row r="17187" customFormat="false" ht="12.8" hidden="false" customHeight="false" outlineLevel="0" collapsed="false">
      <c r="B17187" s="0" t="s">
        <v>6292</v>
      </c>
    </row>
    <row r="17189" customFormat="false" ht="12.8" hidden="false" customHeight="false" outlineLevel="0" collapsed="false">
      <c r="A17189" s="0" t="s">
        <v>6614</v>
      </c>
      <c r="B17189" s="0" t="str">
        <f aca="false">HYPERLINK("https://lindat.mff.cuni.cz/services/teitok/pdtc10/index.php?action=vallex&amp;frame=v-w2096f2", "naložit (v-w2096f2)")</f>
        <v>naložit (v-w2096f2)</v>
      </c>
    </row>
    <row r="17190" customFormat="false" ht="12.8" hidden="false" customHeight="false" outlineLevel="0" collapsed="false">
      <c r="B17190" s="0" t="s">
        <v>7</v>
      </c>
    </row>
    <row r="17191" customFormat="false" ht="12.8" hidden="false" customHeight="false" outlineLevel="0" collapsed="false">
      <c r="B17191" s="0" t="s">
        <v>14</v>
      </c>
    </row>
    <row r="17192" customFormat="false" ht="12.8" hidden="false" customHeight="false" outlineLevel="0" collapsed="false">
      <c r="B17192" s="0" t="s">
        <v>124</v>
      </c>
    </row>
    <row r="17194" customFormat="false" ht="12.8" hidden="false" customHeight="false" outlineLevel="0" collapsed="false">
      <c r="A17194" s="0" t="s">
        <v>6615</v>
      </c>
      <c r="B17194" s="0" t="str">
        <f aca="false">HYPERLINK("https://lindat.mff.cuni.cz/services/teitok/pdtc10/index.php?action=vallex&amp;frame=v-w2096f1", "naložit (v-w2096f1)")</f>
        <v>naložit (v-w2096f1)</v>
      </c>
    </row>
    <row r="17195" customFormat="false" ht="12.8" hidden="false" customHeight="false" outlineLevel="0" collapsed="false">
      <c r="B17195" s="0" t="s">
        <v>7</v>
      </c>
      <c r="C17195" s="0" t="s">
        <v>1154</v>
      </c>
    </row>
    <row r="17196" customFormat="false" ht="12.8" hidden="false" customHeight="false" outlineLevel="0" collapsed="false">
      <c r="B17196" s="0" t="s">
        <v>548</v>
      </c>
      <c r="C17196" s="0" t="s">
        <v>413</v>
      </c>
    </row>
    <row r="17197" customFormat="false" ht="12.8" hidden="false" customHeight="false" outlineLevel="0" collapsed="false">
      <c r="B17197" s="0" t="s">
        <v>474</v>
      </c>
    </row>
    <row r="17198" customFormat="false" ht="12.8" hidden="false" customHeight="false" outlineLevel="0" collapsed="false">
      <c r="B17198" s="0" t="s">
        <v>479</v>
      </c>
    </row>
    <row r="17199" customFormat="false" ht="12.8" hidden="false" customHeight="false" outlineLevel="0" collapsed="false">
      <c r="B17199" s="0" t="s">
        <v>481</v>
      </c>
    </row>
    <row r="17200" customFormat="false" ht="12.8" hidden="false" customHeight="false" outlineLevel="0" collapsed="false">
      <c r="B17200" s="0" t="s">
        <v>483</v>
      </c>
    </row>
    <row r="17202" customFormat="false" ht="12.8" hidden="false" customHeight="false" outlineLevel="0" collapsed="false">
      <c r="A17202" s="0" t="s">
        <v>6616</v>
      </c>
      <c r="B17202" s="0" t="str">
        <f aca="false">HYPERLINK("https://lindat.mff.cuni.cz/services/teitok/pdtc10/index.php?action=vallex&amp;frame=v-w2096hsa_698", "naložit (v-w2096hsa_698)")</f>
        <v>naložit (v-w2096hsa_698)</v>
      </c>
    </row>
    <row r="17203" customFormat="false" ht="12.8" hidden="false" customHeight="false" outlineLevel="0" collapsed="false">
      <c r="B17203" s="0" t="s">
        <v>7</v>
      </c>
    </row>
    <row r="17204" customFormat="false" ht="12.8" hidden="false" customHeight="false" outlineLevel="0" collapsed="false">
      <c r="B17204" s="0" t="s">
        <v>14</v>
      </c>
      <c r="C17204" s="0" t="s">
        <v>400</v>
      </c>
    </row>
    <row r="17206" customFormat="false" ht="12.8" hidden="false" customHeight="false" outlineLevel="0" collapsed="false">
      <c r="A17206" s="0" t="s">
        <v>6617</v>
      </c>
      <c r="B17206" s="0" t="str">
        <f aca="false">HYPERLINK("https://lindat.mff.cuni.cz/services/teitok/pdtc10/index.php?action=vallex&amp;frame=v-w2096hsa_699", "naložit (v-w2096hsa_699)")</f>
        <v>naložit (v-w2096hsa_699)</v>
      </c>
    </row>
    <row r="17207" customFormat="false" ht="12.8" hidden="false" customHeight="false" outlineLevel="0" collapsed="false">
      <c r="B17207" s="0" t="s">
        <v>7</v>
      </c>
    </row>
    <row r="17208" customFormat="false" ht="12.8" hidden="false" customHeight="false" outlineLevel="0" collapsed="false">
      <c r="B17208" s="0" t="s">
        <v>14</v>
      </c>
    </row>
    <row r="17209" customFormat="false" ht="12.8" hidden="false" customHeight="false" outlineLevel="0" collapsed="false">
      <c r="B17209" s="0" t="s">
        <v>48</v>
      </c>
    </row>
    <row r="17211" customFormat="false" ht="12.8" hidden="false" customHeight="false" outlineLevel="0" collapsed="false">
      <c r="A17211" s="0" t="s">
        <v>6618</v>
      </c>
      <c r="B17211" s="0" t="str">
        <f aca="false">HYPERLINK("https://lindat.mff.cuni.cz/services/teitok/pdtc10/index.php?action=vallex&amp;frame=v-w2096f4_ZU", "naložit (v-w2096f4_ZU)")</f>
        <v>naložit (v-w2096f4_ZU)</v>
      </c>
    </row>
    <row r="17212" customFormat="false" ht="12.8" hidden="false" customHeight="false" outlineLevel="0" collapsed="false">
      <c r="B17212" s="0" t="s">
        <v>7</v>
      </c>
    </row>
    <row r="17213" customFormat="false" ht="12.8" hidden="false" customHeight="false" outlineLevel="0" collapsed="false">
      <c r="B17213" s="0" t="s">
        <v>14</v>
      </c>
    </row>
    <row r="17214" customFormat="false" ht="12.8" hidden="false" customHeight="false" outlineLevel="0" collapsed="false">
      <c r="B17214" s="0" t="s">
        <v>35</v>
      </c>
    </row>
    <row r="17216" customFormat="false" ht="12.8" hidden="false" customHeight="false" outlineLevel="0" collapsed="false">
      <c r="A17216" s="0" t="s">
        <v>6619</v>
      </c>
      <c r="B17216" s="0" t="str">
        <f aca="false">HYPERLINK("https://lindat.mff.cuni.cz/services/teitok/pdtc10/index.php?action=vallex&amp;frame=v-w2071f1", "nalákat (v-w2071f1)")</f>
        <v>nalákat (v-w2071f1)</v>
      </c>
    </row>
    <row r="17217" customFormat="false" ht="12.8" hidden="false" customHeight="false" outlineLevel="0" collapsed="false">
      <c r="B17217" s="0" t="s">
        <v>7</v>
      </c>
      <c r="C17217" s="0" t="s">
        <v>194</v>
      </c>
      <c r="D17217" s="0" t="s">
        <v>5251</v>
      </c>
      <c r="E17217" s="0" t="s">
        <v>5251</v>
      </c>
      <c r="F17217" s="0" t="s">
        <v>5251</v>
      </c>
    </row>
    <row r="17218" customFormat="false" ht="12.8" hidden="false" customHeight="false" outlineLevel="0" collapsed="false">
      <c r="B17218" s="0" t="s">
        <v>81</v>
      </c>
      <c r="C17218" s="0" t="s">
        <v>6620</v>
      </c>
      <c r="D17218" s="0" t="s">
        <v>5253</v>
      </c>
      <c r="E17218" s="0" t="s">
        <v>5253</v>
      </c>
      <c r="F17218" s="0" t="s">
        <v>5253</v>
      </c>
    </row>
    <row r="17219" customFormat="false" ht="12.8" hidden="false" customHeight="false" outlineLevel="0" collapsed="false">
      <c r="B17219" s="0" t="s">
        <v>6336</v>
      </c>
      <c r="C17219" s="0" t="s">
        <v>3427</v>
      </c>
      <c r="D17219" s="0" t="s">
        <v>5254</v>
      </c>
      <c r="E17219" s="0" t="s">
        <v>5254</v>
      </c>
      <c r="F17219" s="0" t="s">
        <v>5254</v>
      </c>
    </row>
    <row r="17221" customFormat="false" ht="12.8" hidden="false" customHeight="false" outlineLevel="0" collapsed="false">
      <c r="A17221" s="0" t="s">
        <v>6621</v>
      </c>
      <c r="B17221" s="0" t="str">
        <f aca="false">HYPERLINK("https://lindat.mff.cuni.cz/services/teitok/pdtc10/index.php?action=vallex&amp;frame=v-w2073f1", "naléhat (v-w2073f1)")</f>
        <v>naléhat (v-w2073f1)</v>
      </c>
    </row>
    <row r="17222" customFormat="false" ht="12.8" hidden="false" customHeight="false" outlineLevel="0" collapsed="false">
      <c r="B17222" s="0" t="s">
        <v>7</v>
      </c>
      <c r="C17222" s="0" t="s">
        <v>6622</v>
      </c>
      <c r="D17222" s="0" t="s">
        <v>1243</v>
      </c>
      <c r="E17222" s="0" t="s">
        <v>1243</v>
      </c>
      <c r="F17222" s="0" t="s">
        <v>1243</v>
      </c>
    </row>
    <row r="17223" customFormat="false" ht="12.8" hidden="false" customHeight="false" outlineLevel="0" collapsed="false">
      <c r="B17223" s="0" t="s">
        <v>41</v>
      </c>
      <c r="C17223" s="0" t="s">
        <v>6623</v>
      </c>
      <c r="D17223" s="0" t="s">
        <v>2636</v>
      </c>
      <c r="E17223" s="0" t="s">
        <v>2636</v>
      </c>
      <c r="F17223" s="0" t="s">
        <v>2636</v>
      </c>
    </row>
    <row r="17225" customFormat="false" ht="12.8" hidden="false" customHeight="false" outlineLevel="0" collapsed="false">
      <c r="A17225" s="0" t="s">
        <v>6624</v>
      </c>
      <c r="B17225" s="0" t="str">
        <f aca="false">HYPERLINK("https://lindat.mff.cuni.cz/services/teitok/pdtc10/index.php?action=vallex&amp;frame=v-w2073hsa_68", "naléhat (v-w2073hsa_68)")</f>
        <v>naléhat (v-w2073hsa_68)</v>
      </c>
    </row>
    <row r="17226" customFormat="false" ht="12.8" hidden="false" customHeight="false" outlineLevel="0" collapsed="false">
      <c r="B17226" s="0" t="s">
        <v>7</v>
      </c>
      <c r="C17226" s="0" t="s">
        <v>4379</v>
      </c>
    </row>
    <row r="17227" customFormat="false" ht="12.8" hidden="false" customHeight="false" outlineLevel="0" collapsed="false">
      <c r="B17227" s="0" t="s">
        <v>41</v>
      </c>
      <c r="C17227" s="0" t="s">
        <v>6625</v>
      </c>
    </row>
    <row r="17229" customFormat="false" ht="12.8" hidden="false" customHeight="false" outlineLevel="0" collapsed="false">
      <c r="A17229" s="0" t="s">
        <v>6626</v>
      </c>
      <c r="B17229" s="0" t="str">
        <f aca="false">HYPERLINK("https://lindat.mff.cuni.cz/services/teitok/pdtc10/index.php?action=vallex&amp;frame=v-w11521_ZUf1_ZU", "nalétat (v-w11521_ZUf1_ZU)")</f>
        <v>nalétat (v-w11521_ZUf1_ZU)</v>
      </c>
    </row>
    <row r="17230" customFormat="false" ht="12.8" hidden="false" customHeight="false" outlineLevel="0" collapsed="false">
      <c r="B17230" s="0" t="s">
        <v>7</v>
      </c>
    </row>
    <row r="17231" customFormat="false" ht="12.8" hidden="false" customHeight="false" outlineLevel="0" collapsed="false">
      <c r="B17231" s="0" t="s">
        <v>14</v>
      </c>
    </row>
    <row r="17233" customFormat="false" ht="12.8" hidden="false" customHeight="false" outlineLevel="0" collapsed="false">
      <c r="A17233" s="0" t="s">
        <v>6627</v>
      </c>
      <c r="B17233" s="0" t="str">
        <f aca="false">HYPERLINK("https://lindat.mff.cuni.cz/services/teitok/pdtc10/index.php?action=vallex&amp;frame=v-w12088_ZUf1_ZU", "nalétnout (v-w12088_ZUf1_ZU)")</f>
        <v>nalétnout (v-w12088_ZUf1_ZU)</v>
      </c>
    </row>
    <row r="17234" customFormat="false" ht="12.8" hidden="false" customHeight="false" outlineLevel="0" collapsed="false">
      <c r="B17234" s="0" t="s">
        <v>7</v>
      </c>
    </row>
    <row r="17235" customFormat="false" ht="12.8" hidden="false" customHeight="false" outlineLevel="0" collapsed="false">
      <c r="B17235" s="0" t="s">
        <v>338</v>
      </c>
    </row>
    <row r="17237" customFormat="false" ht="12.8" hidden="false" customHeight="false" outlineLevel="0" collapsed="false">
      <c r="A17237" s="0" t="s">
        <v>6628</v>
      </c>
      <c r="B17237" s="0" t="str">
        <f aca="false">HYPERLINK("https://lindat.mff.cuni.cz/services/teitok/pdtc10/index.php?action=vallex&amp;frame=v-w2078f1", "nalévat (v-w2078f1)")</f>
        <v>nalévat (v-w2078f1)</v>
      </c>
    </row>
    <row r="17238" customFormat="false" ht="12.8" hidden="false" customHeight="false" outlineLevel="0" collapsed="false">
      <c r="B17238" s="0" t="s">
        <v>7</v>
      </c>
      <c r="C17238" s="0" t="s">
        <v>157</v>
      </c>
    </row>
    <row r="17239" customFormat="false" ht="12.8" hidden="false" customHeight="false" outlineLevel="0" collapsed="false">
      <c r="B17239" s="0" t="s">
        <v>14</v>
      </c>
      <c r="C17239" s="0" t="s">
        <v>159</v>
      </c>
    </row>
    <row r="17240" customFormat="false" ht="12.8" hidden="false" customHeight="false" outlineLevel="0" collapsed="false">
      <c r="B17240" s="0" t="s">
        <v>106</v>
      </c>
    </row>
    <row r="17242" customFormat="false" ht="12.8" hidden="false" customHeight="false" outlineLevel="0" collapsed="false">
      <c r="A17242" s="0" t="s">
        <v>6629</v>
      </c>
      <c r="B17242" s="0" t="str">
        <f aca="false">HYPERLINK("https://lindat.mff.cuni.cz/services/teitok/pdtc10/index.php?action=vallex&amp;frame=v-w2078hsa_541", "nalévat (v-w2078hsa_541)")</f>
        <v>nalévat (v-w2078hsa_541)</v>
      </c>
    </row>
    <row r="17243" customFormat="false" ht="12.8" hidden="false" customHeight="false" outlineLevel="0" collapsed="false">
      <c r="B17243" s="0" t="s">
        <v>7</v>
      </c>
      <c r="C17243" s="0" t="s">
        <v>157</v>
      </c>
      <c r="D17243" s="0" t="s">
        <v>1410</v>
      </c>
      <c r="E17243" s="0" t="s">
        <v>1410</v>
      </c>
      <c r="F17243" s="0" t="s">
        <v>1410</v>
      </c>
    </row>
    <row r="17244" customFormat="false" ht="12.8" hidden="false" customHeight="false" outlineLevel="0" collapsed="false">
      <c r="B17244" s="0" t="s">
        <v>14</v>
      </c>
      <c r="C17244" s="0" t="s">
        <v>159</v>
      </c>
      <c r="D17244" s="0" t="s">
        <v>1411</v>
      </c>
      <c r="E17244" s="0" t="s">
        <v>1411</v>
      </c>
      <c r="F17244" s="0" t="s">
        <v>1411</v>
      </c>
    </row>
    <row r="17245" customFormat="false" ht="12.8" hidden="false" customHeight="false" outlineLevel="0" collapsed="false">
      <c r="B17245" s="0" t="s">
        <v>124</v>
      </c>
      <c r="D17245" s="0" t="s">
        <v>1412</v>
      </c>
      <c r="E17245" s="0" t="s">
        <v>1412</v>
      </c>
      <c r="F17245" s="0" t="s">
        <v>1412</v>
      </c>
    </row>
    <row r="17247" customFormat="false" ht="12.8" hidden="false" customHeight="false" outlineLevel="0" collapsed="false">
      <c r="A17247" s="0" t="s">
        <v>6630</v>
      </c>
      <c r="B17247" s="0" t="str">
        <f aca="false">HYPERLINK("https://lindat.mff.cuni.cz/services/teitok/pdtc10/index.php?action=vallex&amp;frame=v-w2080f1", "nalézat (v-w2080f1)")</f>
        <v>nalézat (v-w2080f1)</v>
      </c>
    </row>
    <row r="17248" customFormat="false" ht="12.8" hidden="false" customHeight="false" outlineLevel="0" collapsed="false">
      <c r="B17248" s="0" t="s">
        <v>7</v>
      </c>
      <c r="C17248" s="0" t="s">
        <v>6631</v>
      </c>
      <c r="D17248" s="0" t="s">
        <v>6342</v>
      </c>
      <c r="E17248" s="0" t="s">
        <v>6342</v>
      </c>
      <c r="F17248" s="0" t="s">
        <v>6342</v>
      </c>
    </row>
    <row r="17249" customFormat="false" ht="12.8" hidden="false" customHeight="false" outlineLevel="0" collapsed="false">
      <c r="B17249" s="0" t="s">
        <v>14</v>
      </c>
      <c r="C17249" s="0" t="s">
        <v>1230</v>
      </c>
      <c r="D17249" s="0" t="s">
        <v>6344</v>
      </c>
      <c r="E17249" s="0" t="s">
        <v>6344</v>
      </c>
      <c r="F17249" s="0" t="s">
        <v>6344</v>
      </c>
    </row>
    <row r="17251" customFormat="false" ht="12.8" hidden="false" customHeight="false" outlineLevel="0" collapsed="false">
      <c r="A17251" s="0" t="s">
        <v>6632</v>
      </c>
      <c r="B17251" s="0" t="str">
        <f aca="false">HYPERLINK("https://lindat.mff.cuni.cz/services/teitok/pdtc10/index.php?action=vallex&amp;frame=v-w2081f1", "nalézat se (v-w2081f1)")</f>
        <v>nalézat se (v-w2081f1)</v>
      </c>
    </row>
    <row r="17252" customFormat="false" ht="12.8" hidden="false" customHeight="false" outlineLevel="0" collapsed="false">
      <c r="B17252" s="0" t="s">
        <v>7</v>
      </c>
      <c r="F17252" s="0" t="s">
        <v>6633</v>
      </c>
    </row>
    <row r="17253" customFormat="false" ht="12.8" hidden="false" customHeight="false" outlineLevel="0" collapsed="false">
      <c r="B17253" s="0" t="s">
        <v>11</v>
      </c>
    </row>
    <row r="17255" customFormat="false" ht="12.8" hidden="false" customHeight="false" outlineLevel="0" collapsed="false">
      <c r="A17255" s="0" t="s">
        <v>6634</v>
      </c>
      <c r="B17255" s="0" t="str">
        <f aca="false">HYPERLINK("https://lindat.mff.cuni.cz/services/teitok/pdtc10/index.php?action=vallex&amp;frame=v-w2085f1", "nalézt (v-w2085f1)")</f>
        <v>nalézt (v-w2085f1)</v>
      </c>
    </row>
    <row r="17256" customFormat="false" ht="12.8" hidden="false" customHeight="false" outlineLevel="0" collapsed="false">
      <c r="B17256" s="0" t="s">
        <v>7</v>
      </c>
      <c r="C17256" s="0" t="s">
        <v>6635</v>
      </c>
      <c r="D17256" s="0" t="s">
        <v>6342</v>
      </c>
      <c r="E17256" s="0" t="s">
        <v>6342</v>
      </c>
      <c r="F17256" s="0" t="s">
        <v>6342</v>
      </c>
    </row>
    <row r="17257" customFormat="false" ht="12.8" hidden="false" customHeight="false" outlineLevel="0" collapsed="false">
      <c r="B17257" s="0" t="s">
        <v>14</v>
      </c>
      <c r="C17257" s="0" t="s">
        <v>6636</v>
      </c>
      <c r="D17257" s="0" t="s">
        <v>6344</v>
      </c>
      <c r="E17257" s="0" t="s">
        <v>6344</v>
      </c>
      <c r="F17257" s="0" t="s">
        <v>6344</v>
      </c>
    </row>
    <row r="17259" customFormat="false" ht="12.8" hidden="false" customHeight="false" outlineLevel="0" collapsed="false">
      <c r="A17259" s="0" t="s">
        <v>6637</v>
      </c>
      <c r="B17259" s="0" t="str">
        <f aca="false">HYPERLINK("https://lindat.mff.cuni.cz/services/teitok/pdtc10/index.php?action=vallex&amp;frame=v-w2085f7_ZU", "nalézt (v-w2085f7_ZU)")</f>
        <v>nalézt (v-w2085f7_ZU)</v>
      </c>
    </row>
    <row r="17260" customFormat="false" ht="12.8" hidden="false" customHeight="false" outlineLevel="0" collapsed="false">
      <c r="B17260" s="0" t="s">
        <v>7</v>
      </c>
      <c r="D17260" s="0" t="s">
        <v>6342</v>
      </c>
      <c r="E17260" s="0" t="s">
        <v>6342</v>
      </c>
      <c r="F17260" s="0" t="s">
        <v>6342</v>
      </c>
    </row>
    <row r="17261" customFormat="false" ht="12.8" hidden="false" customHeight="false" outlineLevel="0" collapsed="false">
      <c r="B17261" s="0" t="s">
        <v>6638</v>
      </c>
      <c r="D17261" s="0" t="s">
        <v>6535</v>
      </c>
      <c r="E17261" s="0" t="s">
        <v>6535</v>
      </c>
      <c r="F17261" s="0" t="s">
        <v>6535</v>
      </c>
    </row>
    <row r="17263" customFormat="false" ht="12.8" hidden="false" customHeight="false" outlineLevel="0" collapsed="false">
      <c r="A17263" s="0" t="s">
        <v>6637</v>
      </c>
      <c r="B17263" s="0" t="str">
        <f aca="false">HYPERLINK("https://lindat.mff.cuni.cz/services/teitok/pdtc10/index.php?action=vallex&amp;frame=v-w2085f2", "nalézt (v-w2085f2) - substituted with v-w2085f7_ZU")</f>
        <v>nalézt (v-w2085f2) - substituted with v-w2085f7_ZU</v>
      </c>
    </row>
    <row r="17264" customFormat="false" ht="12.8" hidden="false" customHeight="false" outlineLevel="0" collapsed="false">
      <c r="B17264" s="0" t="s">
        <v>7</v>
      </c>
      <c r="C17264" s="0" t="s">
        <v>2431</v>
      </c>
    </row>
    <row r="17265" customFormat="false" ht="12.8" hidden="false" customHeight="false" outlineLevel="0" collapsed="false">
      <c r="B17265" s="0" t="s">
        <v>6638</v>
      </c>
      <c r="C17265" s="0" t="s">
        <v>6639</v>
      </c>
    </row>
    <row r="17267" customFormat="false" ht="12.8" hidden="false" customHeight="false" outlineLevel="0" collapsed="false">
      <c r="A17267" s="0" t="s">
        <v>6637</v>
      </c>
      <c r="B17267" s="0" t="str">
        <f aca="false">HYPERLINK("https://lindat.mff.cuni.cz/services/teitok/pdtc10/index.php?action=vallex&amp;frame=v-w2085f3_ZU", "nalézt (v-w2085f3_ZU) - substituted with v-w2085f7_ZU")</f>
        <v>nalézt (v-w2085f3_ZU) - substituted with v-w2085f7_ZU</v>
      </c>
    </row>
    <row r="17268" customFormat="false" ht="12.8" hidden="false" customHeight="false" outlineLevel="0" collapsed="false">
      <c r="B17268" s="0" t="s">
        <v>7</v>
      </c>
      <c r="C17268" s="0" t="s">
        <v>498</v>
      </c>
    </row>
    <row r="17269" customFormat="false" ht="12.8" hidden="false" customHeight="false" outlineLevel="0" collapsed="false">
      <c r="B17269" s="0" t="s">
        <v>6638</v>
      </c>
      <c r="C17269" s="0" t="s">
        <v>500</v>
      </c>
    </row>
    <row r="17271" customFormat="false" ht="12.8" hidden="false" customHeight="false" outlineLevel="0" collapsed="false">
      <c r="A17271" s="0" t="s">
        <v>6637</v>
      </c>
      <c r="B17271" s="0" t="str">
        <f aca="false">HYPERLINK("https://lindat.mff.cuni.cz/services/teitok/pdtc10/index.php?action=vallex&amp;frame=v-w2085f4_ZU", "nalézt (v-w2085f4_ZU) - substituted with v-w2085f7_ZU")</f>
        <v>nalézt (v-w2085f4_ZU) - substituted with v-w2085f7_ZU</v>
      </c>
    </row>
    <row r="17272" customFormat="false" ht="12.8" hidden="false" customHeight="false" outlineLevel="0" collapsed="false">
      <c r="B17272" s="0" t="s">
        <v>7</v>
      </c>
      <c r="C17272" s="0" t="s">
        <v>569</v>
      </c>
    </row>
    <row r="17273" customFormat="false" ht="12.8" hidden="false" customHeight="false" outlineLevel="0" collapsed="false">
      <c r="B17273" s="0" t="s">
        <v>6638</v>
      </c>
      <c r="C17273" s="0" t="s">
        <v>6640</v>
      </c>
    </row>
    <row r="17275" customFormat="false" ht="12.8" hidden="false" customHeight="false" outlineLevel="0" collapsed="false">
      <c r="A17275" s="0" t="s">
        <v>6637</v>
      </c>
      <c r="B17275" s="0" t="str">
        <f aca="false">HYPERLINK("https://lindat.mff.cuni.cz/services/teitok/pdtc10/index.php?action=vallex&amp;frame=v-w2085f6_ZU", "nalézt (v-w2085f6_ZU) - substituted with v-w2085f7_ZU")</f>
        <v>nalézt (v-w2085f6_ZU) - substituted with v-w2085f7_ZU</v>
      </c>
    </row>
    <row r="17276" customFormat="false" ht="12.8" hidden="false" customHeight="false" outlineLevel="0" collapsed="false">
      <c r="B17276" s="0" t="s">
        <v>7</v>
      </c>
      <c r="C17276" s="0" t="s">
        <v>5768</v>
      </c>
    </row>
    <row r="17277" customFormat="false" ht="12.8" hidden="false" customHeight="false" outlineLevel="0" collapsed="false">
      <c r="B17277" s="0" t="s">
        <v>6638</v>
      </c>
      <c r="C17277" s="0" t="s">
        <v>5769</v>
      </c>
    </row>
    <row r="17279" customFormat="false" ht="12.8" hidden="false" customHeight="false" outlineLevel="0" collapsed="false">
      <c r="A17279" s="0" t="s">
        <v>6637</v>
      </c>
      <c r="B17279" s="0" t="str">
        <f aca="false">HYPERLINK("https://lindat.mff.cuni.cz/services/teitok/pdtc10/index.php?action=vallex&amp;frame=v-w2085hsa_261", "nalézt (v-w2085hsa_261) - substituted with v-w2085f7_ZU")</f>
        <v>nalézt (v-w2085hsa_261) - substituted with v-w2085f7_ZU</v>
      </c>
    </row>
    <row r="17280" customFormat="false" ht="12.8" hidden="false" customHeight="false" outlineLevel="0" collapsed="false">
      <c r="B17280" s="0" t="s">
        <v>7</v>
      </c>
    </row>
    <row r="17281" customFormat="false" ht="12.8" hidden="false" customHeight="false" outlineLevel="0" collapsed="false">
      <c r="B17281" s="0" t="s">
        <v>6638</v>
      </c>
    </row>
    <row r="17283" customFormat="false" ht="12.8" hidden="false" customHeight="false" outlineLevel="0" collapsed="false">
      <c r="A17283" s="0" t="s">
        <v>6641</v>
      </c>
      <c r="B17283" s="0" t="str">
        <f aca="false">HYPERLINK("https://lindat.mff.cuni.cz/services/teitok/pdtc10/index.php?action=vallex&amp;frame=v-w2085f5_ZU", "nalézt (v-w2085f5_ZU)")</f>
        <v>nalézt (v-w2085f5_ZU)</v>
      </c>
    </row>
    <row r="17284" customFormat="false" ht="12.8" hidden="false" customHeight="false" outlineLevel="0" collapsed="false">
      <c r="B17284" s="0" t="s">
        <v>7</v>
      </c>
      <c r="C17284" s="0" t="s">
        <v>5768</v>
      </c>
    </row>
    <row r="17285" customFormat="false" ht="12.8" hidden="false" customHeight="false" outlineLevel="0" collapsed="false">
      <c r="B17285" s="0" t="s">
        <v>5933</v>
      </c>
      <c r="C17285" s="0" t="s">
        <v>6642</v>
      </c>
    </row>
    <row r="17286" customFormat="false" ht="12.8" hidden="false" customHeight="false" outlineLevel="0" collapsed="false">
      <c r="B17286" s="0" t="s">
        <v>237</v>
      </c>
    </row>
    <row r="17288" customFormat="false" ht="12.8" hidden="false" customHeight="false" outlineLevel="0" collapsed="false">
      <c r="A17288" s="0" t="s">
        <v>6641</v>
      </c>
      <c r="B17288" s="0" t="str">
        <f aca="false">HYPERLINK("https://lindat.mff.cuni.cz/services/teitok/pdtc10/index.php?action=vallex&amp;frame=v-w2085hsa_262", "nalézt (v-w2085hsa_262) - substituted with v-w2085f5_ZU")</f>
        <v>nalézt (v-w2085hsa_262) - substituted with v-w2085f5_ZU</v>
      </c>
    </row>
    <row r="17289" customFormat="false" ht="12.8" hidden="false" customHeight="false" outlineLevel="0" collapsed="false">
      <c r="B17289" s="0" t="s">
        <v>7</v>
      </c>
    </row>
    <row r="17290" customFormat="false" ht="12.8" hidden="false" customHeight="false" outlineLevel="0" collapsed="false">
      <c r="B17290" s="0" t="s">
        <v>5933</v>
      </c>
    </row>
    <row r="17291" customFormat="false" ht="12.8" hidden="false" customHeight="false" outlineLevel="0" collapsed="false">
      <c r="B17291" s="0" t="s">
        <v>237</v>
      </c>
    </row>
    <row r="17293" customFormat="false" ht="12.8" hidden="false" customHeight="false" outlineLevel="0" collapsed="false">
      <c r="A17293" s="0" t="s">
        <v>6643</v>
      </c>
      <c r="B17293" s="0" t="str">
        <f aca="false">HYPERLINK("https://lindat.mff.cuni.cz/services/teitok/pdtc10/index.php?action=vallex&amp;frame=v-w2089f1", "nalít (v-w2089f1)")</f>
        <v>nalít (v-w2089f1)</v>
      </c>
    </row>
    <row r="17294" customFormat="false" ht="12.8" hidden="false" customHeight="false" outlineLevel="0" collapsed="false">
      <c r="B17294" s="0" t="s">
        <v>7</v>
      </c>
      <c r="C17294" s="0" t="s">
        <v>157</v>
      </c>
    </row>
    <row r="17295" customFormat="false" ht="12.8" hidden="false" customHeight="false" outlineLevel="0" collapsed="false">
      <c r="B17295" s="0" t="s">
        <v>14</v>
      </c>
      <c r="C17295" s="0" t="s">
        <v>159</v>
      </c>
    </row>
    <row r="17296" customFormat="false" ht="12.8" hidden="false" customHeight="false" outlineLevel="0" collapsed="false">
      <c r="B17296" s="0" t="s">
        <v>106</v>
      </c>
    </row>
    <row r="17298" customFormat="false" ht="12.8" hidden="false" customHeight="false" outlineLevel="0" collapsed="false">
      <c r="A17298" s="0" t="s">
        <v>6644</v>
      </c>
      <c r="B17298" s="0" t="str">
        <f aca="false">HYPERLINK("https://lindat.mff.cuni.cz/services/teitok/pdtc10/index.php?action=vallex&amp;frame=v-w2089f2", "nalít (v-w2089f2)")</f>
        <v>nalít (v-w2089f2)</v>
      </c>
    </row>
    <row r="17299" customFormat="false" ht="12.8" hidden="false" customHeight="false" outlineLevel="0" collapsed="false">
      <c r="B17299" s="0" t="s">
        <v>7</v>
      </c>
      <c r="C17299" s="0" t="s">
        <v>1287</v>
      </c>
    </row>
    <row r="17300" customFormat="false" ht="12.8" hidden="false" customHeight="false" outlineLevel="0" collapsed="false">
      <c r="B17300" s="0" t="s">
        <v>14</v>
      </c>
      <c r="C17300" s="0" t="s">
        <v>1146</v>
      </c>
    </row>
    <row r="17301" customFormat="false" ht="12.8" hidden="false" customHeight="false" outlineLevel="0" collapsed="false">
      <c r="B17301" s="0" t="s">
        <v>124</v>
      </c>
    </row>
    <row r="17303" customFormat="false" ht="12.8" hidden="false" customHeight="false" outlineLevel="0" collapsed="false">
      <c r="A17303" s="0" t="s">
        <v>6645</v>
      </c>
      <c r="B17303" s="0" t="str">
        <f aca="false">HYPERLINK("https://lindat.mff.cuni.cz/services/teitok/pdtc10/index.php?action=vallex&amp;frame=v-w2089hsa_9", "nalít (v-w2089hsa_9)")</f>
        <v>nalít (v-w2089hsa_9)</v>
      </c>
    </row>
    <row r="17304" customFormat="false" ht="12.8" hidden="false" customHeight="false" outlineLevel="0" collapsed="false">
      <c r="B17304" s="0" t="s">
        <v>7</v>
      </c>
      <c r="C17304" s="0" t="s">
        <v>6646</v>
      </c>
      <c r="D17304" s="0" t="s">
        <v>1410</v>
      </c>
      <c r="E17304" s="0" t="s">
        <v>1410</v>
      </c>
      <c r="F17304" s="0" t="s">
        <v>1410</v>
      </c>
    </row>
    <row r="17305" customFormat="false" ht="12.8" hidden="false" customHeight="false" outlineLevel="0" collapsed="false">
      <c r="B17305" s="0" t="s">
        <v>14</v>
      </c>
      <c r="C17305" s="0" t="s">
        <v>6647</v>
      </c>
      <c r="D17305" s="0" t="s">
        <v>1411</v>
      </c>
      <c r="E17305" s="0" t="s">
        <v>1411</v>
      </c>
      <c r="F17305" s="0" t="s">
        <v>1411</v>
      </c>
    </row>
    <row r="17306" customFormat="false" ht="12.8" hidden="false" customHeight="false" outlineLevel="0" collapsed="false">
      <c r="B17306" s="0" t="s">
        <v>124</v>
      </c>
      <c r="D17306" s="0" t="s">
        <v>1412</v>
      </c>
      <c r="E17306" s="0" t="s">
        <v>1412</v>
      </c>
      <c r="F17306" s="0" t="s">
        <v>1412</v>
      </c>
    </row>
    <row r="17308" customFormat="false" ht="12.8" hidden="false" customHeight="false" outlineLevel="0" collapsed="false">
      <c r="A17308" s="0" t="s">
        <v>6648</v>
      </c>
      <c r="B17308" s="0" t="str">
        <f aca="false">HYPERLINK("https://lindat.mff.cuni.cz/services/teitok/pdtc10/index.php?action=vallex&amp;frame=v-whsb_1195hsa_1196", "nalítnout (v-whsb_1195hsa_1196)")</f>
        <v>nalítnout (v-whsb_1195hsa_1196)</v>
      </c>
    </row>
    <row r="17309" customFormat="false" ht="12.8" hidden="false" customHeight="false" outlineLevel="0" collapsed="false">
      <c r="B17309" s="0" t="s">
        <v>7</v>
      </c>
    </row>
    <row r="17310" customFormat="false" ht="12.8" hidden="false" customHeight="false" outlineLevel="0" collapsed="false">
      <c r="B17310" s="0" t="s">
        <v>124</v>
      </c>
    </row>
    <row r="17312" customFormat="false" ht="12.8" hidden="false" customHeight="false" outlineLevel="0" collapsed="false">
      <c r="A17312" s="0" t="s">
        <v>6649</v>
      </c>
      <c r="B17312" s="0" t="str">
        <f aca="false">HYPERLINK("https://lindat.mff.cuni.cz/services/teitok/pdtc10/index.php?action=vallex&amp;frame=v-w12233_ZUf1_ZU", "nalívat (v-w12233_ZUf1_ZU)")</f>
        <v>nalívat (v-w12233_ZUf1_ZU)</v>
      </c>
    </row>
    <row r="17313" customFormat="false" ht="12.8" hidden="false" customHeight="false" outlineLevel="0" collapsed="false">
      <c r="B17313" s="0" t="s">
        <v>7</v>
      </c>
    </row>
    <row r="17314" customFormat="false" ht="12.8" hidden="false" customHeight="false" outlineLevel="0" collapsed="false">
      <c r="B17314" s="0" t="s">
        <v>14</v>
      </c>
    </row>
    <row r="17315" customFormat="false" ht="12.8" hidden="false" customHeight="false" outlineLevel="0" collapsed="false">
      <c r="B17315" s="0" t="s">
        <v>338</v>
      </c>
    </row>
    <row r="17317" customFormat="false" ht="12.8" hidden="false" customHeight="false" outlineLevel="0" collapsed="false">
      <c r="A17317" s="0" t="s">
        <v>6650</v>
      </c>
      <c r="B17317" s="0" t="str">
        <f aca="false">HYPERLINK("https://lindat.mff.cuni.cz/services/teitok/pdtc10/index.php?action=vallex&amp;frame=v-w2087f2", "nalíčit (v-w2087f2)")</f>
        <v>nalíčit (v-w2087f2)</v>
      </c>
    </row>
    <row r="17318" customFormat="false" ht="12.8" hidden="false" customHeight="false" outlineLevel="0" collapsed="false">
      <c r="B17318" s="0" t="s">
        <v>7</v>
      </c>
    </row>
    <row r="17319" customFormat="false" ht="12.8" hidden="false" customHeight="false" outlineLevel="0" collapsed="false">
      <c r="B17319" s="0" t="s">
        <v>14</v>
      </c>
    </row>
    <row r="17320" customFormat="false" ht="12.8" hidden="false" customHeight="false" outlineLevel="0" collapsed="false">
      <c r="B17320" s="0" t="s">
        <v>35</v>
      </c>
    </row>
    <row r="17322" customFormat="false" ht="12.8" hidden="false" customHeight="false" outlineLevel="0" collapsed="false">
      <c r="A17322" s="0" t="s">
        <v>6651</v>
      </c>
      <c r="B17322" s="0" t="str">
        <f aca="false">HYPERLINK("https://lindat.mff.cuni.cz/services/teitok/pdtc10/index.php?action=vallex&amp;frame=v-w2087f1", "nalíčit (v-w2087f1)")</f>
        <v>nalíčit (v-w2087f1)</v>
      </c>
    </row>
    <row r="17323" customFormat="false" ht="12.8" hidden="false" customHeight="false" outlineLevel="0" collapsed="false">
      <c r="B17323" s="0" t="s">
        <v>7</v>
      </c>
      <c r="C17323" s="0" t="s">
        <v>1332</v>
      </c>
      <c r="D17323" s="0" t="s">
        <v>113</v>
      </c>
      <c r="E17323" s="0" t="s">
        <v>113</v>
      </c>
      <c r="F17323" s="0" t="s">
        <v>113</v>
      </c>
    </row>
    <row r="17324" customFormat="false" ht="12.8" hidden="false" customHeight="false" outlineLevel="0" collapsed="false">
      <c r="B17324" s="0" t="s">
        <v>14</v>
      </c>
      <c r="C17324" s="0" t="s">
        <v>33</v>
      </c>
      <c r="D17324" s="0" t="s">
        <v>78</v>
      </c>
      <c r="E17324" s="0" t="s">
        <v>78</v>
      </c>
      <c r="F17324" s="0" t="s">
        <v>78</v>
      </c>
    </row>
    <row r="17326" customFormat="false" ht="12.8" hidden="false" customHeight="false" outlineLevel="0" collapsed="false">
      <c r="A17326" s="0" t="s">
        <v>6652</v>
      </c>
      <c r="B17326" s="0" t="str">
        <f aca="false">HYPERLINK("https://lindat.mff.cuni.cz/services/teitok/pdtc10/index.php?action=vallex&amp;frame=v-w2099f1", "namalovat (v-w2099f1)")</f>
        <v>namalovat (v-w2099f1)</v>
      </c>
    </row>
    <row r="17327" customFormat="false" ht="12.8" hidden="false" customHeight="false" outlineLevel="0" collapsed="false">
      <c r="B17327" s="0" t="s">
        <v>7</v>
      </c>
      <c r="C17327" s="0" t="s">
        <v>2791</v>
      </c>
      <c r="D17327" s="0" t="s">
        <v>113</v>
      </c>
      <c r="E17327" s="0" t="s">
        <v>113</v>
      </c>
      <c r="F17327" s="0" t="s">
        <v>113</v>
      </c>
    </row>
    <row r="17328" customFormat="false" ht="12.8" hidden="false" customHeight="false" outlineLevel="0" collapsed="false">
      <c r="B17328" s="0" t="s">
        <v>14</v>
      </c>
      <c r="C17328" s="0" t="s">
        <v>1170</v>
      </c>
      <c r="D17328" s="0" t="s">
        <v>78</v>
      </c>
      <c r="E17328" s="0" t="s">
        <v>78</v>
      </c>
      <c r="F17328" s="0" t="s">
        <v>78</v>
      </c>
    </row>
    <row r="17330" customFormat="false" ht="12.8" hidden="false" customHeight="false" outlineLevel="0" collapsed="false">
      <c r="A17330" s="0" t="s">
        <v>6653</v>
      </c>
      <c r="B17330" s="0" t="str">
        <f aca="false">HYPERLINK("https://lindat.mff.cuni.cz/services/teitok/pdtc10/index.php?action=vallex&amp;frame=v-w2099f3_ZU", "namalovat (v-w2099f3_ZU)")</f>
        <v>namalovat (v-w2099f3_ZU)</v>
      </c>
    </row>
    <row r="17331" customFormat="false" ht="12.8" hidden="false" customHeight="false" outlineLevel="0" collapsed="false">
      <c r="B17331" s="0" t="s">
        <v>7</v>
      </c>
    </row>
    <row r="17332" customFormat="false" ht="12.8" hidden="false" customHeight="false" outlineLevel="0" collapsed="false">
      <c r="B17332" s="0" t="s">
        <v>14</v>
      </c>
    </row>
    <row r="17334" customFormat="false" ht="12.8" hidden="false" customHeight="false" outlineLevel="0" collapsed="false">
      <c r="A17334" s="0" t="s">
        <v>6653</v>
      </c>
      <c r="B17334" s="0" t="str">
        <f aca="false">HYPERLINK("https://lindat.mff.cuni.cz/services/teitok/pdtc10/index.php?action=vallex&amp;frame=v-w2099f2_ZU", "namalovat (v-w2099f2_ZU) - substituted with v-w2099f3_ZU")</f>
        <v>namalovat (v-w2099f2_ZU) - substituted with v-w2099f3_ZU</v>
      </c>
    </row>
    <row r="17335" customFormat="false" ht="12.8" hidden="false" customHeight="false" outlineLevel="0" collapsed="false">
      <c r="B17335" s="0" t="s">
        <v>7</v>
      </c>
    </row>
    <row r="17336" customFormat="false" ht="12.8" hidden="false" customHeight="false" outlineLevel="0" collapsed="false">
      <c r="B17336" s="0" t="s">
        <v>14</v>
      </c>
    </row>
    <row r="17338" customFormat="false" ht="12.8" hidden="false" customHeight="false" outlineLevel="0" collapsed="false">
      <c r="A17338" s="0" t="s">
        <v>6654</v>
      </c>
      <c r="B17338" s="0" t="str">
        <f aca="false">HYPERLINK("https://lindat.mff.cuni.cz/services/teitok/pdtc10/index.php?action=vallex&amp;frame=v-w12093_ZUf1_ZU", "namasírovat (v-w12093_ZUf1_ZU)")</f>
        <v>namasírovat (v-w12093_ZUf1_ZU)</v>
      </c>
    </row>
    <row r="17339" customFormat="false" ht="12.8" hidden="false" customHeight="false" outlineLevel="0" collapsed="false">
      <c r="B17339" s="0" t="s">
        <v>7</v>
      </c>
    </row>
    <row r="17340" customFormat="false" ht="12.8" hidden="false" customHeight="false" outlineLevel="0" collapsed="false">
      <c r="B17340" s="0" t="s">
        <v>14</v>
      </c>
    </row>
    <row r="17342" customFormat="false" ht="12.8" hidden="false" customHeight="false" outlineLevel="0" collapsed="false">
      <c r="A17342" s="0" t="s">
        <v>6655</v>
      </c>
      <c r="B17342" s="0" t="str">
        <f aca="false">HYPERLINK("https://lindat.mff.cuni.cz/services/teitok/pdtc10/index.php?action=vallex&amp;frame=v-whsa_1566f1_ZU", "namazat (v-whsa_1566f1_ZU)")</f>
        <v>namazat (v-whsa_1566f1_ZU)</v>
      </c>
    </row>
    <row r="17343" customFormat="false" ht="12.8" hidden="false" customHeight="false" outlineLevel="0" collapsed="false">
      <c r="B17343" s="0" t="s">
        <v>7</v>
      </c>
    </row>
    <row r="17344" customFormat="false" ht="12.8" hidden="false" customHeight="false" outlineLevel="0" collapsed="false">
      <c r="B17344" s="0" t="s">
        <v>14</v>
      </c>
    </row>
    <row r="17345" customFormat="false" ht="12.8" hidden="false" customHeight="false" outlineLevel="0" collapsed="false">
      <c r="B17345" s="0" t="s">
        <v>338</v>
      </c>
    </row>
    <row r="17347" customFormat="false" ht="12.8" hidden="false" customHeight="false" outlineLevel="0" collapsed="false">
      <c r="A17347" s="0" t="s">
        <v>6656</v>
      </c>
      <c r="B17347" s="0" t="str">
        <f aca="false">HYPERLINK("https://lindat.mff.cuni.cz/services/teitok/pdtc10/index.php?action=vallex&amp;frame=v-whsa_1566hsa_1567", "namazat (v-whsa_1566hsa_1567)")</f>
        <v>namazat (v-whsa_1566hsa_1567)</v>
      </c>
    </row>
    <row r="17348" customFormat="false" ht="12.8" hidden="false" customHeight="false" outlineLevel="0" collapsed="false">
      <c r="B17348" s="0" t="s">
        <v>7</v>
      </c>
    </row>
    <row r="17349" customFormat="false" ht="12.8" hidden="false" customHeight="false" outlineLevel="0" collapsed="false">
      <c r="B17349" s="0" t="s">
        <v>14</v>
      </c>
    </row>
    <row r="17351" customFormat="false" ht="12.8" hidden="false" customHeight="false" outlineLevel="0" collapsed="false">
      <c r="A17351" s="0" t="s">
        <v>6657</v>
      </c>
      <c r="B17351" s="0" t="str">
        <f aca="false">HYPERLINK("https://lindat.mff.cuni.cz/services/teitok/pdtc10/index.php?action=vallex&amp;frame=v-w11799_ZUf1_ZU", "namazat se (v-w11799_ZUf1_ZU)")</f>
        <v>namazat se (v-w11799_ZUf1_ZU)</v>
      </c>
    </row>
    <row r="17352" customFormat="false" ht="12.8" hidden="false" customHeight="false" outlineLevel="0" collapsed="false">
      <c r="B17352" s="0" t="s">
        <v>7</v>
      </c>
    </row>
    <row r="17354" customFormat="false" ht="12.8" hidden="false" customHeight="false" outlineLevel="0" collapsed="false">
      <c r="A17354" s="0" t="s">
        <v>6658</v>
      </c>
      <c r="B17354" s="0" t="str">
        <f aca="false">HYPERLINK("https://lindat.mff.cuni.cz/services/teitok/pdtc10/index.php?action=vallex&amp;frame=v-whsa_109hsa_110", "namačkat (v-whsa_109hsa_110)")</f>
        <v>namačkat (v-whsa_109hsa_110)</v>
      </c>
    </row>
    <row r="17355" customFormat="false" ht="12.8" hidden="false" customHeight="false" outlineLevel="0" collapsed="false">
      <c r="B17355" s="0" t="s">
        <v>7</v>
      </c>
      <c r="C17355" s="0" t="s">
        <v>46</v>
      </c>
      <c r="D17355" s="0" t="s">
        <v>6659</v>
      </c>
      <c r="E17355" s="0" t="s">
        <v>6659</v>
      </c>
      <c r="F17355" s="0" t="s">
        <v>6659</v>
      </c>
    </row>
    <row r="17356" customFormat="false" ht="12.8" hidden="false" customHeight="false" outlineLevel="0" collapsed="false">
      <c r="B17356" s="0" t="s">
        <v>14</v>
      </c>
      <c r="C17356" s="0" t="s">
        <v>115</v>
      </c>
      <c r="D17356" s="0" t="s">
        <v>6660</v>
      </c>
      <c r="E17356" s="0" t="s">
        <v>6660</v>
      </c>
      <c r="F17356" s="0" t="s">
        <v>6660</v>
      </c>
    </row>
    <row r="17357" customFormat="false" ht="12.8" hidden="false" customHeight="false" outlineLevel="0" collapsed="false">
      <c r="B17357" s="0" t="s">
        <v>124</v>
      </c>
      <c r="D17357" s="0" t="s">
        <v>6661</v>
      </c>
      <c r="E17357" s="0" t="s">
        <v>6661</v>
      </c>
      <c r="F17357" s="0" t="s">
        <v>6661</v>
      </c>
    </row>
    <row r="17359" customFormat="false" ht="12.8" hidden="false" customHeight="false" outlineLevel="0" collapsed="false">
      <c r="A17359" s="0" t="s">
        <v>6662</v>
      </c>
      <c r="B17359" s="0" t="str">
        <f aca="false">HYPERLINK("https://lindat.mff.cuni.cz/services/teitok/pdtc10/index.php?action=vallex&amp;frame=v-w11495f1", "namačkat se (v-w11495f1)")</f>
        <v>namačkat se (v-w11495f1)</v>
      </c>
    </row>
    <row r="17360" customFormat="false" ht="12.8" hidden="false" customHeight="false" outlineLevel="0" collapsed="false">
      <c r="B17360" s="0" t="s">
        <v>7</v>
      </c>
      <c r="C17360" s="0" t="s">
        <v>1380</v>
      </c>
      <c r="D17360" s="0" t="s">
        <v>5352</v>
      </c>
      <c r="E17360" s="0" t="s">
        <v>5352</v>
      </c>
      <c r="F17360" s="0" t="s">
        <v>5352</v>
      </c>
    </row>
    <row r="17361" customFormat="false" ht="12.8" hidden="false" customHeight="false" outlineLevel="0" collapsed="false">
      <c r="B17361" s="0" t="s">
        <v>124</v>
      </c>
      <c r="C17361" s="0" t="s">
        <v>4440</v>
      </c>
      <c r="D17361" s="0" t="s">
        <v>6663</v>
      </c>
      <c r="E17361" s="0" t="s">
        <v>6663</v>
      </c>
      <c r="F17361" s="0" t="s">
        <v>6663</v>
      </c>
    </row>
    <row r="17363" customFormat="false" ht="12.8" hidden="false" customHeight="false" outlineLevel="0" collapsed="false">
      <c r="A17363" s="0" t="s">
        <v>6664</v>
      </c>
      <c r="B17363" s="0" t="str">
        <f aca="false">HYPERLINK("https://lindat.mff.cuni.cz/services/teitok/pdtc10/index.php?action=vallex&amp;frame=v-w10997f2", "namixovat (v-w10997f2)")</f>
        <v>namixovat (v-w10997f2)</v>
      </c>
    </row>
    <row r="17364" customFormat="false" ht="12.8" hidden="false" customHeight="false" outlineLevel="0" collapsed="false">
      <c r="B17364" s="0" t="s">
        <v>7</v>
      </c>
      <c r="C17364" s="0" t="s">
        <v>335</v>
      </c>
      <c r="D17364" s="0" t="s">
        <v>4721</v>
      </c>
      <c r="E17364" s="0" t="s">
        <v>4721</v>
      </c>
      <c r="F17364" s="0" t="s">
        <v>4721</v>
      </c>
    </row>
    <row r="17365" customFormat="false" ht="12.8" hidden="false" customHeight="false" outlineLevel="0" collapsed="false">
      <c r="B17365" s="0" t="s">
        <v>14</v>
      </c>
      <c r="C17365" s="0" t="s">
        <v>384</v>
      </c>
      <c r="D17365" s="0" t="s">
        <v>4723</v>
      </c>
      <c r="E17365" s="0" t="s">
        <v>4723</v>
      </c>
      <c r="F17365" s="0" t="s">
        <v>4723</v>
      </c>
    </row>
    <row r="17366" customFormat="false" ht="12.8" hidden="false" customHeight="false" outlineLevel="0" collapsed="false">
      <c r="B17366" s="0" t="s">
        <v>3086</v>
      </c>
      <c r="D17366" s="0" t="s">
        <v>4725</v>
      </c>
      <c r="E17366" s="0" t="s">
        <v>4725</v>
      </c>
      <c r="F17366" s="0" t="s">
        <v>4725</v>
      </c>
    </row>
    <row r="17368" customFormat="false" ht="12.8" hidden="false" customHeight="false" outlineLevel="0" collapsed="false">
      <c r="A17368" s="0" t="s">
        <v>6665</v>
      </c>
      <c r="B17368" s="0" t="str">
        <f aca="false">HYPERLINK("https://lindat.mff.cuni.cz/services/teitok/pdtc10/index.php?action=vallex&amp;frame=v-whsb_308f1_MM", "namlouvat (v-whsb_308f1_MM)")</f>
        <v>namlouvat (v-whsb_308f1_MM)</v>
      </c>
    </row>
    <row r="17369" customFormat="false" ht="12.8" hidden="false" customHeight="false" outlineLevel="0" collapsed="false">
      <c r="B17369" s="0" t="s">
        <v>7</v>
      </c>
    </row>
    <row r="17370" customFormat="false" ht="12.8" hidden="false" customHeight="false" outlineLevel="0" collapsed="false">
      <c r="B17370" s="0" t="s">
        <v>14</v>
      </c>
    </row>
    <row r="17371" customFormat="false" ht="12.8" hidden="false" customHeight="false" outlineLevel="0" collapsed="false">
      <c r="B17371" s="0" t="s">
        <v>48</v>
      </c>
    </row>
    <row r="17373" customFormat="false" ht="12.8" hidden="false" customHeight="false" outlineLevel="0" collapsed="false">
      <c r="A17373" s="0" t="s">
        <v>6666</v>
      </c>
      <c r="B17373" s="0" t="str">
        <f aca="false">HYPERLINK("https://lindat.mff.cuni.cz/services/teitok/pdtc10/index.php?action=vallex&amp;frame=v-whsb_308hsa_309", "namlouvat (v-whsb_308hsa_309)")</f>
        <v>namlouvat (v-whsb_308hsa_309)</v>
      </c>
    </row>
    <row r="17374" customFormat="false" ht="12.8" hidden="false" customHeight="false" outlineLevel="0" collapsed="false">
      <c r="B17374" s="0" t="s">
        <v>7</v>
      </c>
    </row>
    <row r="17375" customFormat="false" ht="12.8" hidden="false" customHeight="false" outlineLevel="0" collapsed="false">
      <c r="B17375" s="0" t="s">
        <v>14</v>
      </c>
    </row>
    <row r="17377" customFormat="false" ht="12.8" hidden="false" customHeight="false" outlineLevel="0" collapsed="false">
      <c r="A17377" s="0" t="s">
        <v>6667</v>
      </c>
      <c r="B17377" s="0" t="str">
        <f aca="false">HYPERLINK("https://lindat.mff.cuni.cz/services/teitok/pdtc10/index.php?action=vallex&amp;frame=v-whsa_308hsa_310", "namlouvat (v-whsa_308hsa_310)")</f>
        <v>namlouvat (v-whsa_308hsa_310)</v>
      </c>
    </row>
    <row r="17378" customFormat="false" ht="12.8" hidden="false" customHeight="false" outlineLevel="0" collapsed="false">
      <c r="B17378" s="0" t="s">
        <v>7</v>
      </c>
    </row>
    <row r="17379" customFormat="false" ht="12.8" hidden="false" customHeight="false" outlineLevel="0" collapsed="false">
      <c r="B17379" s="0" t="s">
        <v>54</v>
      </c>
    </row>
    <row r="17380" customFormat="false" ht="12.8" hidden="false" customHeight="false" outlineLevel="0" collapsed="false">
      <c r="B17380" s="0" t="s">
        <v>48</v>
      </c>
    </row>
    <row r="17382" customFormat="false" ht="12.8" hidden="false" customHeight="false" outlineLevel="0" collapsed="false">
      <c r="A17382" s="0" t="s">
        <v>6668</v>
      </c>
      <c r="B17382" s="0" t="str">
        <f aca="false">HYPERLINK("https://lindat.mff.cuni.cz/services/teitok/pdtc10/index.php?action=vallex&amp;frame=v-w2109f1", "namluvit (v-w2109f1)")</f>
        <v>namluvit (v-w2109f1)</v>
      </c>
    </row>
    <row r="17383" customFormat="false" ht="12.8" hidden="false" customHeight="false" outlineLevel="0" collapsed="false">
      <c r="B17383" s="0" t="s">
        <v>7</v>
      </c>
      <c r="F17383" s="0" t="s">
        <v>358</v>
      </c>
    </row>
    <row r="17384" customFormat="false" ht="12.8" hidden="false" customHeight="false" outlineLevel="0" collapsed="false">
      <c r="B17384" s="0" t="s">
        <v>14</v>
      </c>
      <c r="F17384" s="0" t="s">
        <v>1278</v>
      </c>
    </row>
    <row r="17386" customFormat="false" ht="12.8" hidden="false" customHeight="false" outlineLevel="0" collapsed="false">
      <c r="A17386" s="0" t="s">
        <v>6669</v>
      </c>
      <c r="B17386" s="0" t="str">
        <f aca="false">HYPERLINK("https://lindat.mff.cuni.cz/services/teitok/pdtc10/index.php?action=vallex&amp;frame=v-w2109hsa_1769", "namluvit (v-w2109hsa_1769)")</f>
        <v>namluvit (v-w2109hsa_1769)</v>
      </c>
    </row>
    <row r="17387" customFormat="false" ht="12.8" hidden="false" customHeight="false" outlineLevel="0" collapsed="false">
      <c r="B17387" s="0" t="s">
        <v>7</v>
      </c>
    </row>
    <row r="17388" customFormat="false" ht="12.8" hidden="false" customHeight="false" outlineLevel="0" collapsed="false">
      <c r="B17388" s="0" t="s">
        <v>14</v>
      </c>
    </row>
    <row r="17389" customFormat="false" ht="12.8" hidden="false" customHeight="false" outlineLevel="0" collapsed="false">
      <c r="B17389" s="0" t="s">
        <v>48</v>
      </c>
    </row>
    <row r="17391" customFormat="false" ht="12.8" hidden="false" customHeight="false" outlineLevel="0" collapsed="false">
      <c r="A17391" s="0" t="s">
        <v>6670</v>
      </c>
      <c r="B17391" s="0" t="str">
        <f aca="false">HYPERLINK("https://lindat.mff.cuni.cz/services/teitok/pdtc10/index.php?action=vallex&amp;frame=v-w2109hsa_1770", "namluvit (v-w2109hsa_1770)")</f>
        <v>namluvit (v-w2109hsa_1770)</v>
      </c>
    </row>
    <row r="17392" customFormat="false" ht="12.8" hidden="false" customHeight="false" outlineLevel="0" collapsed="false">
      <c r="B17392" s="0" t="s">
        <v>7</v>
      </c>
    </row>
    <row r="17393" customFormat="false" ht="12.8" hidden="false" customHeight="false" outlineLevel="0" collapsed="false">
      <c r="B17393" s="0" t="s">
        <v>14</v>
      </c>
    </row>
    <row r="17395" customFormat="false" ht="12.8" hidden="false" customHeight="false" outlineLevel="0" collapsed="false">
      <c r="A17395" s="0" t="s">
        <v>6671</v>
      </c>
      <c r="B17395" s="0" t="str">
        <f aca="false">HYPERLINK("https://lindat.mff.cuni.cz/services/teitok/pdtc10/index.php?action=vallex&amp;frame=v-whsa_24f1_ZU", "namlít (v-whsa_24f1_ZU)")</f>
        <v>namlít (v-whsa_24f1_ZU)</v>
      </c>
    </row>
    <row r="17396" customFormat="false" ht="12.8" hidden="false" customHeight="false" outlineLevel="0" collapsed="false">
      <c r="B17396" s="0" t="s">
        <v>7</v>
      </c>
    </row>
    <row r="17397" customFormat="false" ht="12.8" hidden="false" customHeight="false" outlineLevel="0" collapsed="false">
      <c r="B17397" s="0" t="s">
        <v>14</v>
      </c>
    </row>
    <row r="17398" customFormat="false" ht="12.8" hidden="false" customHeight="false" outlineLevel="0" collapsed="false">
      <c r="B17398" s="0" t="s">
        <v>84</v>
      </c>
    </row>
    <row r="17400" customFormat="false" ht="12.8" hidden="false" customHeight="false" outlineLevel="0" collapsed="false">
      <c r="A17400" s="0" t="s">
        <v>6671</v>
      </c>
      <c r="B17400" s="0" t="str">
        <f aca="false">HYPERLINK("https://lindat.mff.cuni.cz/services/teitok/pdtc10/index.php?action=vallex&amp;frame=v-whsa_24hsa_25", "namlít (v-whsa_24hsa_25) - substituted with v-whsa_24f1_ZU")</f>
        <v>namlít (v-whsa_24hsa_25) - substituted with v-whsa_24f1_ZU</v>
      </c>
    </row>
    <row r="17401" customFormat="false" ht="12.8" hidden="false" customHeight="false" outlineLevel="0" collapsed="false">
      <c r="B17401" s="0" t="s">
        <v>7</v>
      </c>
    </row>
    <row r="17402" customFormat="false" ht="12.8" hidden="false" customHeight="false" outlineLevel="0" collapsed="false">
      <c r="B17402" s="0" t="s">
        <v>14</v>
      </c>
    </row>
    <row r="17403" customFormat="false" ht="12.8" hidden="false" customHeight="false" outlineLevel="0" collapsed="false">
      <c r="B17403" s="0" t="s">
        <v>84</v>
      </c>
    </row>
    <row r="17405" customFormat="false" ht="12.8" hidden="false" customHeight="false" outlineLevel="0" collapsed="false">
      <c r="A17405" s="0" t="s">
        <v>6672</v>
      </c>
      <c r="B17405" s="0" t="str">
        <f aca="false">HYPERLINK("https://lindat.mff.cuni.cz/services/teitok/pdtc10/index.php?action=vallex&amp;frame=v-w2111f1", "namnožit (v-w2111f1)")</f>
        <v>namnožit (v-w2111f1)</v>
      </c>
    </row>
    <row r="17406" customFormat="false" ht="12.8" hidden="false" customHeight="false" outlineLevel="0" collapsed="false">
      <c r="B17406" s="0" t="s">
        <v>7</v>
      </c>
      <c r="D17406" s="0" t="s">
        <v>113</v>
      </c>
      <c r="E17406" s="0" t="s">
        <v>113</v>
      </c>
      <c r="F17406" s="0" t="s">
        <v>113</v>
      </c>
    </row>
    <row r="17407" customFormat="false" ht="12.8" hidden="false" customHeight="false" outlineLevel="0" collapsed="false">
      <c r="B17407" s="0" t="s">
        <v>14</v>
      </c>
      <c r="D17407" s="0" t="s">
        <v>624</v>
      </c>
      <c r="E17407" s="0" t="s">
        <v>624</v>
      </c>
      <c r="F17407" s="0" t="s">
        <v>624</v>
      </c>
    </row>
    <row r="17409" customFormat="false" ht="12.8" hidden="false" customHeight="false" outlineLevel="0" collapsed="false">
      <c r="A17409" s="0" t="s">
        <v>6673</v>
      </c>
      <c r="B17409" s="0" t="str">
        <f aca="false">HYPERLINK("https://lindat.mff.cuni.cz/services/teitok/pdtc10/index.php?action=vallex&amp;frame=v-w11260f1", "namoci si (v-w11260f1)")</f>
        <v>namoci si (v-w11260f1)</v>
      </c>
    </row>
    <row r="17410" customFormat="false" ht="12.8" hidden="false" customHeight="false" outlineLevel="0" collapsed="false">
      <c r="B17410" s="0" t="s">
        <v>7</v>
      </c>
      <c r="F17410" s="0" t="s">
        <v>335</v>
      </c>
    </row>
    <row r="17411" customFormat="false" ht="12.8" hidden="false" customHeight="false" outlineLevel="0" collapsed="false">
      <c r="B17411" s="0" t="s">
        <v>14</v>
      </c>
      <c r="F17411" s="0" t="s">
        <v>461</v>
      </c>
    </row>
    <row r="17413" customFormat="false" ht="12.8" hidden="false" customHeight="false" outlineLevel="0" collapsed="false">
      <c r="A17413" s="0" t="s">
        <v>6674</v>
      </c>
      <c r="B17413" s="0" t="str">
        <f aca="false">HYPERLINK("https://lindat.mff.cuni.cz/services/teitok/pdtc10/index.php?action=vallex&amp;frame=v-w2113f2", "namontovat (v-w2113f2)")</f>
        <v>namontovat (v-w2113f2)</v>
      </c>
    </row>
    <row r="17414" customFormat="false" ht="12.8" hidden="false" customHeight="false" outlineLevel="0" collapsed="false">
      <c r="B17414" s="0" t="s">
        <v>7</v>
      </c>
    </row>
    <row r="17415" customFormat="false" ht="12.8" hidden="false" customHeight="false" outlineLevel="0" collapsed="false">
      <c r="B17415" s="0" t="s">
        <v>14</v>
      </c>
    </row>
    <row r="17416" customFormat="false" ht="12.8" hidden="false" customHeight="false" outlineLevel="0" collapsed="false">
      <c r="B17416" s="0" t="s">
        <v>11</v>
      </c>
    </row>
    <row r="17418" customFormat="false" ht="12.8" hidden="false" customHeight="false" outlineLevel="0" collapsed="false">
      <c r="A17418" s="0" t="s">
        <v>6675</v>
      </c>
      <c r="B17418" s="0" t="str">
        <f aca="false">HYPERLINK("https://lindat.mff.cuni.cz/services/teitok/pdtc10/index.php?action=vallex&amp;frame=v-w2113f1", "namontovat (v-w2113f1)")</f>
        <v>namontovat (v-w2113f1)</v>
      </c>
    </row>
    <row r="17419" customFormat="false" ht="12.8" hidden="false" customHeight="false" outlineLevel="0" collapsed="false">
      <c r="B17419" s="0" t="s">
        <v>7</v>
      </c>
    </row>
    <row r="17420" customFormat="false" ht="12.8" hidden="false" customHeight="false" outlineLevel="0" collapsed="false">
      <c r="B17420" s="0" t="s">
        <v>14</v>
      </c>
    </row>
    <row r="17421" customFormat="false" ht="12.8" hidden="false" customHeight="false" outlineLevel="0" collapsed="false">
      <c r="B17421" s="0" t="s">
        <v>124</v>
      </c>
    </row>
    <row r="17423" customFormat="false" ht="12.8" hidden="false" customHeight="false" outlineLevel="0" collapsed="false">
      <c r="A17423" s="0" t="s">
        <v>6676</v>
      </c>
      <c r="B17423" s="0" t="str">
        <f aca="false">HYPERLINK("https://lindat.mff.cuni.cz/services/teitok/pdtc10/index.php?action=vallex&amp;frame=v-w11698_ZUf1_ZU", "namotat (v-w11698_ZUf1_ZU)")</f>
        <v>namotat (v-w11698_ZUf1_ZU)</v>
      </c>
    </row>
    <row r="17424" customFormat="false" ht="12.8" hidden="false" customHeight="false" outlineLevel="0" collapsed="false">
      <c r="B17424" s="0" t="s">
        <v>7</v>
      </c>
    </row>
    <row r="17425" customFormat="false" ht="12.8" hidden="false" customHeight="false" outlineLevel="0" collapsed="false">
      <c r="B17425" s="0" t="s">
        <v>14</v>
      </c>
    </row>
    <row r="17426" customFormat="false" ht="12.8" hidden="false" customHeight="false" outlineLevel="0" collapsed="false">
      <c r="B17426" s="0" t="s">
        <v>124</v>
      </c>
    </row>
    <row r="17428" customFormat="false" ht="12.8" hidden="false" customHeight="false" outlineLevel="0" collapsed="false">
      <c r="A17428" s="0" t="s">
        <v>6677</v>
      </c>
      <c r="B17428" s="0" t="str">
        <f aca="false">HYPERLINK("https://lindat.mff.cuni.cz/services/teitok/pdtc10/index.php?action=vallex&amp;frame=v-w11254f1", "namotat se (v-w11254f1)")</f>
        <v>namotat se (v-w11254f1)</v>
      </c>
    </row>
    <row r="17429" customFormat="false" ht="12.8" hidden="false" customHeight="false" outlineLevel="0" collapsed="false">
      <c r="B17429" s="0" t="s">
        <v>7</v>
      </c>
      <c r="C17429" s="0" t="s">
        <v>247</v>
      </c>
    </row>
    <row r="17430" customFormat="false" ht="12.8" hidden="false" customHeight="false" outlineLevel="0" collapsed="false">
      <c r="B17430" s="0" t="s">
        <v>124</v>
      </c>
    </row>
    <row r="17432" customFormat="false" ht="12.8" hidden="false" customHeight="false" outlineLevel="0" collapsed="false">
      <c r="A17432" s="0" t="s">
        <v>6678</v>
      </c>
      <c r="B17432" s="0" t="str">
        <f aca="false">HYPERLINK("https://lindat.mff.cuni.cz/services/teitok/pdtc10/index.php?action=vallex&amp;frame=v-whsa_1678hsa_1679", "namočit (v-whsa_1678hsa_1679)")</f>
        <v>namočit (v-whsa_1678hsa_1679)</v>
      </c>
    </row>
    <row r="17433" customFormat="false" ht="12.8" hidden="false" customHeight="false" outlineLevel="0" collapsed="false">
      <c r="B17433" s="0" t="s">
        <v>7</v>
      </c>
    </row>
    <row r="17434" customFormat="false" ht="12.8" hidden="false" customHeight="false" outlineLevel="0" collapsed="false">
      <c r="B17434" s="0" t="s">
        <v>14</v>
      </c>
    </row>
    <row r="17436" customFormat="false" ht="12.8" hidden="false" customHeight="false" outlineLevel="0" collapsed="false">
      <c r="A17436" s="0" t="s">
        <v>6679</v>
      </c>
      <c r="B17436" s="0" t="str">
        <f aca="false">HYPERLINK("https://lindat.mff.cuni.cz/services/teitok/pdtc10/index.php?action=vallex&amp;frame=v-w2112f1", "namočit se (v-w2112f1)")</f>
        <v>namočit se (v-w2112f1)</v>
      </c>
    </row>
    <row r="17437" customFormat="false" ht="12.8" hidden="false" customHeight="false" outlineLevel="0" collapsed="false">
      <c r="B17437" s="0" t="s">
        <v>7</v>
      </c>
    </row>
    <row r="17438" customFormat="false" ht="12.8" hidden="false" customHeight="false" outlineLevel="0" collapsed="false">
      <c r="B17438" s="0" t="s">
        <v>124</v>
      </c>
    </row>
    <row r="17440" customFormat="false" ht="12.8" hidden="false" customHeight="false" outlineLevel="0" collapsed="false">
      <c r="A17440" s="0" t="s">
        <v>6680</v>
      </c>
      <c r="B17440" s="0" t="str">
        <f aca="false">HYPERLINK("https://lindat.mff.cuni.cz/services/teitok/pdtc10/index.php?action=vallex&amp;frame=v-w2112f3_ZU", "namočit se (v-w2112f3_ZU)")</f>
        <v>namočit se (v-w2112f3_ZU)</v>
      </c>
    </row>
    <row r="17441" customFormat="false" ht="12.8" hidden="false" customHeight="false" outlineLevel="0" collapsed="false">
      <c r="B17441" s="0" t="s">
        <v>7</v>
      </c>
    </row>
    <row r="17443" customFormat="false" ht="12.8" hidden="false" customHeight="false" outlineLevel="0" collapsed="false">
      <c r="A17443" s="0" t="s">
        <v>6680</v>
      </c>
      <c r="B17443" s="0" t="str">
        <f aca="false">HYPERLINK("https://lindat.mff.cuni.cz/services/teitok/pdtc10/index.php?action=vallex&amp;frame=v-w2112f2_ZU", "namočit se (v-w2112f2_ZU) - substituted with v-w2112f3_ZU")</f>
        <v>namočit se (v-w2112f2_ZU) - substituted with v-w2112f3_ZU</v>
      </c>
    </row>
    <row r="17444" customFormat="false" ht="12.8" hidden="false" customHeight="false" outlineLevel="0" collapsed="false">
      <c r="B17444" s="0" t="s">
        <v>7</v>
      </c>
    </row>
    <row r="17446" customFormat="false" ht="12.8" hidden="false" customHeight="false" outlineLevel="0" collapsed="false">
      <c r="A17446" s="0" t="s">
        <v>6681</v>
      </c>
      <c r="B17446" s="0" t="str">
        <f aca="false">HYPERLINK("https://lindat.mff.cuni.cz/services/teitok/pdtc10/index.php?action=vallex&amp;frame=v-w12203_ZUf1_ZU", "namrazit (v-w12203_ZUf1_ZU)")</f>
        <v>namrazit (v-w12203_ZUf1_ZU)</v>
      </c>
    </row>
    <row r="17447" customFormat="false" ht="12.8" hidden="false" customHeight="false" outlineLevel="0" collapsed="false">
      <c r="B17447" s="0" t="s">
        <v>7</v>
      </c>
    </row>
    <row r="17448" customFormat="false" ht="12.8" hidden="false" customHeight="false" outlineLevel="0" collapsed="false">
      <c r="B17448" s="0" t="s">
        <v>14</v>
      </c>
    </row>
    <row r="17450" customFormat="false" ht="12.8" hidden="false" customHeight="false" outlineLevel="0" collapsed="false">
      <c r="A17450" s="0" t="s">
        <v>6682</v>
      </c>
      <c r="B17450" s="0" t="str">
        <f aca="false">HYPERLINK("https://lindat.mff.cuni.cz/services/teitok/pdtc10/index.php?action=vallex&amp;frame=v-whsb_335hsa_336", "namrzat (v-whsb_335hsa_336)")</f>
        <v>namrzat (v-whsb_335hsa_336)</v>
      </c>
    </row>
    <row r="17451" customFormat="false" ht="12.8" hidden="false" customHeight="false" outlineLevel="0" collapsed="false">
      <c r="B17451" s="0" t="s">
        <v>7</v>
      </c>
    </row>
    <row r="17453" customFormat="false" ht="12.8" hidden="false" customHeight="false" outlineLevel="0" collapsed="false">
      <c r="A17453" s="0" t="s">
        <v>6683</v>
      </c>
      <c r="B17453" s="0" t="str">
        <f aca="false">HYPERLINK("https://lindat.mff.cuni.cz/services/teitok/pdtc10/index.php?action=vallex&amp;frame=v-w2097f1", "namáhat (v-w2097f1)")</f>
        <v>namáhat (v-w2097f1)</v>
      </c>
    </row>
    <row r="17454" customFormat="false" ht="12.8" hidden="false" customHeight="false" outlineLevel="0" collapsed="false">
      <c r="B17454" s="0" t="s">
        <v>7</v>
      </c>
      <c r="C17454" s="0" t="s">
        <v>191</v>
      </c>
      <c r="F17454" s="0" t="s">
        <v>335</v>
      </c>
    </row>
    <row r="17455" customFormat="false" ht="12.8" hidden="false" customHeight="false" outlineLevel="0" collapsed="false">
      <c r="B17455" s="0" t="s">
        <v>14</v>
      </c>
      <c r="C17455" s="0" t="s">
        <v>47</v>
      </c>
      <c r="F17455" s="0" t="s">
        <v>461</v>
      </c>
    </row>
    <row r="17457" customFormat="false" ht="12.8" hidden="false" customHeight="false" outlineLevel="0" collapsed="false">
      <c r="A17457" s="0" t="s">
        <v>6684</v>
      </c>
      <c r="B17457" s="0" t="str">
        <f aca="false">HYPERLINK("https://lindat.mff.cuni.cz/services/teitok/pdtc10/index.php?action=vallex&amp;frame=v-w2098f1", "namáhat se (v-w2098f1)")</f>
        <v>namáhat se (v-w2098f1)</v>
      </c>
    </row>
    <row r="17458" customFormat="false" ht="12.8" hidden="false" customHeight="false" outlineLevel="0" collapsed="false">
      <c r="B17458" s="0" t="s">
        <v>7</v>
      </c>
    </row>
    <row r="17459" customFormat="false" ht="12.8" hidden="false" customHeight="false" outlineLevel="0" collapsed="false">
      <c r="B17459" s="0" t="s">
        <v>712</v>
      </c>
    </row>
    <row r="17461" customFormat="false" ht="12.8" hidden="false" customHeight="false" outlineLevel="0" collapsed="false">
      <c r="A17461" s="0" t="s">
        <v>6685</v>
      </c>
      <c r="B17461" s="0" t="str">
        <f aca="false">HYPERLINK("https://lindat.mff.cuni.cz/services/teitok/pdtc10/index.php?action=vallex&amp;frame=v-w11734_ZUf1_ZU", "namáčet (v-w11734_ZUf1_ZU)")</f>
        <v>namáčet (v-w11734_ZUf1_ZU)</v>
      </c>
    </row>
    <row r="17462" customFormat="false" ht="12.8" hidden="false" customHeight="false" outlineLevel="0" collapsed="false">
      <c r="B17462" s="0" t="s">
        <v>7</v>
      </c>
    </row>
    <row r="17463" customFormat="false" ht="12.8" hidden="false" customHeight="false" outlineLevel="0" collapsed="false">
      <c r="B17463" s="0" t="s">
        <v>14</v>
      </c>
    </row>
    <row r="17465" customFormat="false" ht="12.8" hidden="false" customHeight="false" outlineLevel="0" collapsed="false">
      <c r="A17465" s="0" t="s">
        <v>6686</v>
      </c>
      <c r="B17465" s="0" t="str">
        <f aca="false">HYPERLINK("https://lindat.mff.cuni.cz/services/teitok/pdtc10/index.php?action=vallex&amp;frame=v-w2103f2_ZU", "namíchat (v-w2103f2_ZU)")</f>
        <v>namíchat (v-w2103f2_ZU)</v>
      </c>
    </row>
    <row r="17466" customFormat="false" ht="12.8" hidden="false" customHeight="false" outlineLevel="0" collapsed="false">
      <c r="B17466" s="0" t="s">
        <v>7</v>
      </c>
    </row>
    <row r="17467" customFormat="false" ht="12.8" hidden="false" customHeight="false" outlineLevel="0" collapsed="false">
      <c r="B17467" s="0" t="s">
        <v>232</v>
      </c>
    </row>
    <row r="17468" customFormat="false" ht="12.8" hidden="false" customHeight="false" outlineLevel="0" collapsed="false">
      <c r="B17468" s="0" t="s">
        <v>35</v>
      </c>
    </row>
    <row r="17470" customFormat="false" ht="12.8" hidden="false" customHeight="false" outlineLevel="0" collapsed="false">
      <c r="A17470" s="0" t="s">
        <v>6686</v>
      </c>
      <c r="B17470" s="0" t="str">
        <f aca="false">HYPERLINK("https://lindat.mff.cuni.cz/services/teitok/pdtc10/index.php?action=vallex&amp;frame=v-w2103f1", "namíchat (v-w2103f1) - substituted with v-w2103f2_ZU")</f>
        <v>namíchat (v-w2103f1) - substituted with v-w2103f2_ZU</v>
      </c>
    </row>
    <row r="17471" customFormat="false" ht="12.8" hidden="false" customHeight="false" outlineLevel="0" collapsed="false">
      <c r="B17471" s="0" t="s">
        <v>7</v>
      </c>
      <c r="D17471" s="0" t="s">
        <v>5549</v>
      </c>
      <c r="E17471" s="0" t="s">
        <v>5549</v>
      </c>
      <c r="F17471" s="0" t="s">
        <v>5549</v>
      </c>
    </row>
    <row r="17472" customFormat="false" ht="12.8" hidden="false" customHeight="false" outlineLevel="0" collapsed="false">
      <c r="B17472" s="0" t="s">
        <v>232</v>
      </c>
      <c r="D17472" s="0" t="s">
        <v>5550</v>
      </c>
      <c r="E17472" s="0" t="s">
        <v>5550</v>
      </c>
      <c r="F17472" s="0" t="s">
        <v>5550</v>
      </c>
    </row>
    <row r="17473" customFormat="false" ht="12.8" hidden="false" customHeight="false" outlineLevel="0" collapsed="false">
      <c r="B17473" s="0" t="s">
        <v>35</v>
      </c>
      <c r="D17473" s="0" t="s">
        <v>5551</v>
      </c>
      <c r="E17473" s="0" t="s">
        <v>5551</v>
      </c>
      <c r="F17473" s="0" t="s">
        <v>5551</v>
      </c>
    </row>
    <row r="17475" customFormat="false" ht="12.8" hidden="false" customHeight="false" outlineLevel="0" collapsed="false">
      <c r="A17475" s="0" t="s">
        <v>6687</v>
      </c>
      <c r="B17475" s="0" t="str">
        <f aca="false">HYPERLINK("https://lindat.mff.cuni.cz/services/teitok/pdtc10/index.php?action=vallex&amp;frame=v-w11659_ZUf1_ZU", "namíchnout (v-w11659_ZUf1_ZU)")</f>
        <v>namíchnout (v-w11659_ZUf1_ZU)</v>
      </c>
    </row>
    <row r="17476" customFormat="false" ht="12.8" hidden="false" customHeight="false" outlineLevel="0" collapsed="false">
      <c r="B17476" s="0" t="s">
        <v>7</v>
      </c>
      <c r="C17476" s="0" t="s">
        <v>191</v>
      </c>
      <c r="D17476" s="0" t="s">
        <v>335</v>
      </c>
      <c r="E17476" s="0" t="s">
        <v>335</v>
      </c>
      <c r="F17476" s="0" t="s">
        <v>335</v>
      </c>
    </row>
    <row r="17477" customFormat="false" ht="12.8" hidden="false" customHeight="false" outlineLevel="0" collapsed="false">
      <c r="B17477" s="0" t="s">
        <v>14</v>
      </c>
      <c r="C17477" s="0" t="s">
        <v>155</v>
      </c>
      <c r="D17477" s="0" t="s">
        <v>461</v>
      </c>
      <c r="E17477" s="0" t="s">
        <v>461</v>
      </c>
      <c r="F17477" s="0" t="s">
        <v>461</v>
      </c>
    </row>
    <row r="17479" customFormat="false" ht="12.8" hidden="false" customHeight="false" outlineLevel="0" collapsed="false">
      <c r="A17479" s="0" t="s">
        <v>6688</v>
      </c>
      <c r="B17479" s="0" t="str">
        <f aca="false">HYPERLINK("https://lindat.mff.cuni.cz/services/teitok/pdtc10/index.php?action=vallex&amp;frame=v-w2106f1", "namítat (v-w2106f1)")</f>
        <v>namítat (v-w2106f1)</v>
      </c>
    </row>
    <row r="17480" customFormat="false" ht="12.8" hidden="false" customHeight="false" outlineLevel="0" collapsed="false">
      <c r="B17480" s="0" t="s">
        <v>7</v>
      </c>
      <c r="C17480" s="0" t="s">
        <v>6689</v>
      </c>
      <c r="D17480" s="0" t="s">
        <v>4824</v>
      </c>
      <c r="E17480" s="0" t="s">
        <v>4824</v>
      </c>
      <c r="F17480" s="0" t="s">
        <v>4824</v>
      </c>
    </row>
    <row r="17481" customFormat="false" ht="12.8" hidden="false" customHeight="false" outlineLevel="0" collapsed="false">
      <c r="B17481" s="0" t="s">
        <v>5525</v>
      </c>
      <c r="C17481" s="0" t="s">
        <v>6690</v>
      </c>
      <c r="D17481" s="0" t="s">
        <v>361</v>
      </c>
      <c r="E17481" s="0" t="s">
        <v>361</v>
      </c>
      <c r="F17481" s="0" t="s">
        <v>361</v>
      </c>
    </row>
    <row r="17482" customFormat="false" ht="12.8" hidden="false" customHeight="false" outlineLevel="0" collapsed="false">
      <c r="B17482" s="0" t="s">
        <v>63</v>
      </c>
      <c r="C17482" s="0" t="s">
        <v>6691</v>
      </c>
      <c r="D17482" s="0" t="s">
        <v>173</v>
      </c>
      <c r="E17482" s="0" t="s">
        <v>173</v>
      </c>
      <c r="F17482" s="0" t="s">
        <v>173</v>
      </c>
    </row>
    <row r="17483" customFormat="false" ht="12.8" hidden="false" customHeight="false" outlineLevel="0" collapsed="false">
      <c r="B17483" s="0" t="s">
        <v>106</v>
      </c>
      <c r="C17483" s="0" t="s">
        <v>6692</v>
      </c>
      <c r="D17483" s="0" t="s">
        <v>1165</v>
      </c>
      <c r="E17483" s="0" t="s">
        <v>1165</v>
      </c>
      <c r="F17483" s="0" t="s">
        <v>1165</v>
      </c>
    </row>
    <row r="17485" customFormat="false" ht="12.8" hidden="false" customHeight="false" outlineLevel="0" collapsed="false">
      <c r="A17485" s="0" t="s">
        <v>6693</v>
      </c>
      <c r="B17485" s="0" t="str">
        <f aca="false">HYPERLINK("https://lindat.mff.cuni.cz/services/teitok/pdtc10/index.php?action=vallex&amp;frame=v-w2108hsa_1297", "namítnout (v-w2108hsa_1297)")</f>
        <v>namítnout (v-w2108hsa_1297)</v>
      </c>
    </row>
    <row r="17486" customFormat="false" ht="12.8" hidden="false" customHeight="false" outlineLevel="0" collapsed="false">
      <c r="B17486" s="0" t="s">
        <v>7</v>
      </c>
      <c r="D17486" s="0" t="s">
        <v>4824</v>
      </c>
      <c r="E17486" s="0" t="s">
        <v>4824</v>
      </c>
      <c r="F17486" s="0" t="s">
        <v>4824</v>
      </c>
    </row>
    <row r="17487" customFormat="false" ht="12.8" hidden="false" customHeight="false" outlineLevel="0" collapsed="false">
      <c r="B17487" s="0" t="s">
        <v>5525</v>
      </c>
      <c r="D17487" s="0" t="s">
        <v>361</v>
      </c>
      <c r="E17487" s="0" t="s">
        <v>361</v>
      </c>
      <c r="F17487" s="0" t="s">
        <v>361</v>
      </c>
    </row>
    <row r="17488" customFormat="false" ht="12.8" hidden="false" customHeight="false" outlineLevel="0" collapsed="false">
      <c r="B17488" s="0" t="s">
        <v>6694</v>
      </c>
      <c r="D17488" s="0" t="s">
        <v>173</v>
      </c>
      <c r="E17488" s="0" t="s">
        <v>173</v>
      </c>
      <c r="F17488" s="0" t="s">
        <v>173</v>
      </c>
    </row>
    <row r="17489" customFormat="false" ht="12.8" hidden="false" customHeight="false" outlineLevel="0" collapsed="false">
      <c r="B17489" s="0" t="s">
        <v>106</v>
      </c>
      <c r="D17489" s="0" t="s">
        <v>1165</v>
      </c>
      <c r="E17489" s="0" t="s">
        <v>1165</v>
      </c>
      <c r="F17489" s="0" t="s">
        <v>1165</v>
      </c>
    </row>
    <row r="17491" customFormat="false" ht="12.8" hidden="false" customHeight="false" outlineLevel="0" collapsed="false">
      <c r="A17491" s="0" t="s">
        <v>6693</v>
      </c>
      <c r="B17491" s="0" t="str">
        <f aca="false">HYPERLINK("https://lindat.mff.cuni.cz/services/teitok/pdtc10/index.php?action=vallex&amp;frame=v-w2108f1", "namítnout (v-w2108f1) - substituted with v-w2108hsa_1297")</f>
        <v>namítnout (v-w2108f1) - substituted with v-w2108hsa_1297</v>
      </c>
    </row>
    <row r="17492" customFormat="false" ht="12.8" hidden="false" customHeight="false" outlineLevel="0" collapsed="false">
      <c r="B17492" s="0" t="s">
        <v>7</v>
      </c>
      <c r="C17492" s="0" t="s">
        <v>6695</v>
      </c>
    </row>
    <row r="17493" customFormat="false" ht="12.8" hidden="false" customHeight="false" outlineLevel="0" collapsed="false">
      <c r="B17493" s="0" t="s">
        <v>5525</v>
      </c>
      <c r="C17493" s="0" t="s">
        <v>6696</v>
      </c>
    </row>
    <row r="17494" customFormat="false" ht="12.8" hidden="false" customHeight="false" outlineLevel="0" collapsed="false">
      <c r="B17494" s="0" t="s">
        <v>6694</v>
      </c>
      <c r="C17494" s="0" t="s">
        <v>6697</v>
      </c>
    </row>
    <row r="17495" customFormat="false" ht="12.8" hidden="false" customHeight="false" outlineLevel="0" collapsed="false">
      <c r="B17495" s="0" t="s">
        <v>106</v>
      </c>
      <c r="C17495" s="0" t="s">
        <v>4154</v>
      </c>
    </row>
    <row r="17497" customFormat="false" ht="12.8" hidden="false" customHeight="false" outlineLevel="0" collapsed="false">
      <c r="A17497" s="0" t="s">
        <v>6698</v>
      </c>
      <c r="B17497" s="0" t="str">
        <f aca="false">HYPERLINK("https://lindat.mff.cuni.cz/services/teitok/pdtc10/index.php?action=vallex&amp;frame=v-w2105f1", "namířit (v-w2105f1)")</f>
        <v>namířit (v-w2105f1)</v>
      </c>
    </row>
    <row r="17498" customFormat="false" ht="12.8" hidden="false" customHeight="false" outlineLevel="0" collapsed="false">
      <c r="B17498" s="0" t="s">
        <v>7</v>
      </c>
      <c r="C17498" s="0" t="s">
        <v>1637</v>
      </c>
    </row>
    <row r="17499" customFormat="false" ht="12.8" hidden="false" customHeight="false" outlineLevel="0" collapsed="false">
      <c r="B17499" s="0" t="s">
        <v>14</v>
      </c>
      <c r="C17499" s="0" t="s">
        <v>4027</v>
      </c>
    </row>
    <row r="17500" customFormat="false" ht="12.8" hidden="false" customHeight="false" outlineLevel="0" collapsed="false">
      <c r="B17500" s="0" t="s">
        <v>124</v>
      </c>
      <c r="C17500" s="0" t="s">
        <v>6699</v>
      </c>
    </row>
    <row r="17502" customFormat="false" ht="12.8" hidden="false" customHeight="false" outlineLevel="0" collapsed="false">
      <c r="A17502" s="0" t="s">
        <v>6700</v>
      </c>
      <c r="B17502" s="0" t="str">
        <f aca="false">HYPERLINK("https://lindat.mff.cuni.cz/services/teitok/pdtc10/index.php?action=vallex&amp;frame=v-w2105f3", "namířit (v-w2105f3)")</f>
        <v>namířit (v-w2105f3)</v>
      </c>
    </row>
    <row r="17503" customFormat="false" ht="12.8" hidden="false" customHeight="false" outlineLevel="0" collapsed="false">
      <c r="B17503" s="0" t="s">
        <v>7</v>
      </c>
    </row>
    <row r="17504" customFormat="false" ht="12.8" hidden="false" customHeight="false" outlineLevel="0" collapsed="false">
      <c r="B17504" s="0" t="s">
        <v>124</v>
      </c>
    </row>
    <row r="17506" customFormat="false" ht="12.8" hidden="false" customHeight="false" outlineLevel="0" collapsed="false">
      <c r="A17506" s="0" t="s">
        <v>6701</v>
      </c>
      <c r="B17506" s="0" t="str">
        <f aca="false">HYPERLINK("https://lindat.mff.cuni.cz/services/teitok/pdtc10/index.php?action=vallex&amp;frame=v-w2105f2", "namířit (v-w2105f2)")</f>
        <v>namířit (v-w2105f2)</v>
      </c>
    </row>
    <row r="17507" customFormat="false" ht="12.8" hidden="false" customHeight="false" outlineLevel="0" collapsed="false">
      <c r="B17507" s="0" t="s">
        <v>7</v>
      </c>
    </row>
    <row r="17508" customFormat="false" ht="12.8" hidden="false" customHeight="false" outlineLevel="0" collapsed="false">
      <c r="B17508" s="0" t="s">
        <v>124</v>
      </c>
    </row>
    <row r="17510" customFormat="false" ht="12.8" hidden="false" customHeight="false" outlineLevel="0" collapsed="false">
      <c r="A17510" s="0" t="s">
        <v>6702</v>
      </c>
      <c r="B17510" s="0" t="str">
        <f aca="false">HYPERLINK("https://lindat.mff.cuni.cz/services/teitok/pdtc10/index.php?action=vallex&amp;frame=v-w2100f1", "naměřit (v-w2100f1)")</f>
        <v>naměřit (v-w2100f1)</v>
      </c>
    </row>
    <row r="17511" customFormat="false" ht="12.8" hidden="false" customHeight="false" outlineLevel="0" collapsed="false">
      <c r="B17511" s="0" t="s">
        <v>7</v>
      </c>
    </row>
    <row r="17512" customFormat="false" ht="12.8" hidden="false" customHeight="false" outlineLevel="0" collapsed="false">
      <c r="B17512" s="0" t="s">
        <v>14</v>
      </c>
    </row>
    <row r="17514" customFormat="false" ht="12.8" hidden="false" customHeight="false" outlineLevel="0" collapsed="false">
      <c r="A17514" s="0" t="s">
        <v>6703</v>
      </c>
      <c r="B17514" s="0" t="str">
        <f aca="false">HYPERLINK("https://lindat.mff.cuni.cz/services/teitok/pdtc10/index.php?action=vallex&amp;frame=v-w2115f1", "nandat (v-w2115f1)")</f>
        <v>nandat (v-w2115f1)</v>
      </c>
    </row>
    <row r="17515" customFormat="false" ht="12.8" hidden="false" customHeight="false" outlineLevel="0" collapsed="false">
      <c r="B17515" s="0" t="s">
        <v>7</v>
      </c>
    </row>
    <row r="17516" customFormat="false" ht="12.8" hidden="false" customHeight="false" outlineLevel="0" collapsed="false">
      <c r="B17516" s="0" t="s">
        <v>525</v>
      </c>
    </row>
    <row r="17517" customFormat="false" ht="12.8" hidden="false" customHeight="false" outlineLevel="0" collapsed="false">
      <c r="B17517" s="0" t="s">
        <v>142</v>
      </c>
    </row>
    <row r="17519" customFormat="false" ht="12.8" hidden="false" customHeight="false" outlineLevel="0" collapsed="false">
      <c r="A17519" s="0" t="s">
        <v>6704</v>
      </c>
      <c r="B17519" s="0" t="str">
        <f aca="false">HYPERLINK("https://lindat.mff.cuni.cz/services/teitok/pdtc10/index.php?action=vallex&amp;frame=v-w2115hsa_113", "nandat (v-w2115hsa_113)")</f>
        <v>nandat (v-w2115hsa_113)</v>
      </c>
    </row>
    <row r="17520" customFormat="false" ht="12.8" hidden="false" customHeight="false" outlineLevel="0" collapsed="false">
      <c r="B17520" s="0" t="s">
        <v>7</v>
      </c>
    </row>
    <row r="17521" customFormat="false" ht="12.8" hidden="false" customHeight="false" outlineLevel="0" collapsed="false">
      <c r="B17521" s="0" t="s">
        <v>14</v>
      </c>
    </row>
    <row r="17522" customFormat="false" ht="12.8" hidden="false" customHeight="false" outlineLevel="0" collapsed="false">
      <c r="B17522" s="0" t="s">
        <v>106</v>
      </c>
    </row>
    <row r="17524" customFormat="false" ht="12.8" hidden="false" customHeight="false" outlineLevel="0" collapsed="false">
      <c r="A17524" s="0" t="s">
        <v>6705</v>
      </c>
      <c r="B17524" s="0" t="str">
        <f aca="false">HYPERLINK("https://lindat.mff.cuni.cz/services/teitok/pdtc10/index.php?action=vallex&amp;frame=v-w2115hsa_114", "nandat (v-w2115hsa_114)")</f>
        <v>nandat (v-w2115hsa_114)</v>
      </c>
    </row>
    <row r="17525" customFormat="false" ht="12.8" hidden="false" customHeight="false" outlineLevel="0" collapsed="false">
      <c r="B17525" s="0" t="s">
        <v>7</v>
      </c>
    </row>
    <row r="17526" customFormat="false" ht="12.8" hidden="false" customHeight="false" outlineLevel="0" collapsed="false">
      <c r="B17526" s="0" t="s">
        <v>14</v>
      </c>
    </row>
    <row r="17527" customFormat="false" ht="12.8" hidden="false" customHeight="false" outlineLevel="0" collapsed="false">
      <c r="B17527" s="0" t="s">
        <v>124</v>
      </c>
    </row>
    <row r="17529" customFormat="false" ht="12.8" hidden="false" customHeight="false" outlineLevel="0" collapsed="false">
      <c r="A17529" s="0" t="s">
        <v>6706</v>
      </c>
      <c r="B17529" s="0" t="str">
        <f aca="false">HYPERLINK("https://lindat.mff.cuni.cz/services/teitok/pdtc10/index.php?action=vallex&amp;frame=v-whsa_457hsa_458", "nanosit (v-whsa_457hsa_458)")</f>
        <v>nanosit (v-whsa_457hsa_458)</v>
      </c>
    </row>
    <row r="17530" customFormat="false" ht="12.8" hidden="false" customHeight="false" outlineLevel="0" collapsed="false">
      <c r="B17530" s="0" t="s">
        <v>7</v>
      </c>
    </row>
    <row r="17531" customFormat="false" ht="12.8" hidden="false" customHeight="false" outlineLevel="0" collapsed="false">
      <c r="B17531" s="0" t="s">
        <v>14</v>
      </c>
    </row>
    <row r="17533" customFormat="false" ht="12.8" hidden="false" customHeight="false" outlineLevel="0" collapsed="false">
      <c r="A17533" s="0" t="s">
        <v>6707</v>
      </c>
      <c r="B17533" s="0" t="str">
        <f aca="false">HYPERLINK("https://lindat.mff.cuni.cz/services/teitok/pdtc10/index.php?action=vallex&amp;frame=v-w2114f1", "nanášet (v-w2114f1)")</f>
        <v>nanášet (v-w2114f1)</v>
      </c>
    </row>
    <row r="17534" customFormat="false" ht="12.8" hidden="false" customHeight="false" outlineLevel="0" collapsed="false">
      <c r="B17534" s="0" t="s">
        <v>7</v>
      </c>
    </row>
    <row r="17535" customFormat="false" ht="12.8" hidden="false" customHeight="false" outlineLevel="0" collapsed="false">
      <c r="B17535" s="0" t="s">
        <v>14</v>
      </c>
    </row>
    <row r="17536" customFormat="false" ht="12.8" hidden="false" customHeight="false" outlineLevel="0" collapsed="false">
      <c r="B17536" s="0" t="s">
        <v>124</v>
      </c>
    </row>
    <row r="17538" customFormat="false" ht="12.8" hidden="false" customHeight="false" outlineLevel="0" collapsed="false">
      <c r="A17538" s="0" t="s">
        <v>6708</v>
      </c>
      <c r="B17538" s="0" t="str">
        <f aca="false">HYPERLINK("https://lindat.mff.cuni.cz/services/teitok/pdtc10/index.php?action=vallex&amp;frame=v-w2117f1", "nanést (v-w2117f1)")</f>
        <v>nanést (v-w2117f1)</v>
      </c>
    </row>
    <row r="17539" customFormat="false" ht="12.8" hidden="false" customHeight="false" outlineLevel="0" collapsed="false">
      <c r="B17539" s="0" t="s">
        <v>7</v>
      </c>
    </row>
    <row r="17540" customFormat="false" ht="12.8" hidden="false" customHeight="false" outlineLevel="0" collapsed="false">
      <c r="B17540" s="0" t="s">
        <v>14</v>
      </c>
    </row>
    <row r="17541" customFormat="false" ht="12.8" hidden="false" customHeight="false" outlineLevel="0" collapsed="false">
      <c r="B17541" s="0" t="s">
        <v>124</v>
      </c>
    </row>
    <row r="17543" customFormat="false" ht="12.8" hidden="false" customHeight="false" outlineLevel="0" collapsed="false">
      <c r="A17543" s="0" t="s">
        <v>6709</v>
      </c>
      <c r="B17543" s="0" t="str">
        <f aca="false">HYPERLINK("https://lindat.mff.cuni.cz/services/teitok/pdtc10/index.php?action=vallex&amp;frame=v-w2118f1", "naoktrojovat (v-w2118f1)")</f>
        <v>naoktrojovat (v-w2118f1)</v>
      </c>
    </row>
    <row r="17544" customFormat="false" ht="12.8" hidden="false" customHeight="false" outlineLevel="0" collapsed="false">
      <c r="B17544" s="0" t="s">
        <v>7</v>
      </c>
    </row>
    <row r="17545" customFormat="false" ht="12.8" hidden="false" customHeight="false" outlineLevel="0" collapsed="false">
      <c r="B17545" s="0" t="s">
        <v>14</v>
      </c>
    </row>
    <row r="17547" customFormat="false" ht="12.8" hidden="false" customHeight="false" outlineLevel="0" collapsed="false">
      <c r="A17547" s="0" t="s">
        <v>6710</v>
      </c>
      <c r="B17547" s="0" t="str">
        <f aca="false">HYPERLINK("https://lindat.mff.cuni.cz/services/teitok/pdtc10/index.php?action=vallex&amp;frame=v-w11522_ZUf1_ZU", "naočkovat (v-w11522_ZUf1_ZU)")</f>
        <v>naočkovat (v-w11522_ZUf1_ZU)</v>
      </c>
    </row>
    <row r="17548" customFormat="false" ht="12.8" hidden="false" customHeight="false" outlineLevel="0" collapsed="false">
      <c r="B17548" s="0" t="s">
        <v>7</v>
      </c>
    </row>
    <row r="17549" customFormat="false" ht="12.8" hidden="false" customHeight="false" outlineLevel="0" collapsed="false">
      <c r="B17549" s="0" t="s">
        <v>81</v>
      </c>
    </row>
    <row r="17550" customFormat="false" ht="12.8" hidden="false" customHeight="false" outlineLevel="0" collapsed="false">
      <c r="B17550" s="0" t="s">
        <v>1560</v>
      </c>
    </row>
    <row r="17552" customFormat="false" ht="12.8" hidden="false" customHeight="false" outlineLevel="0" collapsed="false">
      <c r="A17552" s="0" t="s">
        <v>6711</v>
      </c>
      <c r="B17552" s="0" t="str">
        <f aca="false">HYPERLINK("https://lindat.mff.cuni.cz/services/teitok/pdtc10/index.php?action=vallex&amp;frame=v-w2121f2", "napadat (v-w2121f2)")</f>
        <v>napadat (v-w2121f2)</v>
      </c>
    </row>
    <row r="17553" customFormat="false" ht="12.8" hidden="false" customHeight="false" outlineLevel="0" collapsed="false">
      <c r="B17553" s="0" t="s">
        <v>7</v>
      </c>
      <c r="C17553" s="0" t="s">
        <v>6712</v>
      </c>
      <c r="D17553" s="0" t="s">
        <v>150</v>
      </c>
      <c r="E17553" s="0" t="s">
        <v>150</v>
      </c>
      <c r="F17553" s="0" t="s">
        <v>150</v>
      </c>
    </row>
    <row r="17554" customFormat="false" ht="12.8" hidden="false" customHeight="false" outlineLevel="0" collapsed="false">
      <c r="B17554" s="0" t="s">
        <v>14</v>
      </c>
      <c r="C17554" s="0" t="s">
        <v>2993</v>
      </c>
      <c r="D17554" s="0" t="s">
        <v>152</v>
      </c>
      <c r="E17554" s="0" t="s">
        <v>152</v>
      </c>
      <c r="F17554" s="0" t="s">
        <v>152</v>
      </c>
    </row>
    <row r="17556" customFormat="false" ht="12.8" hidden="false" customHeight="false" outlineLevel="0" collapsed="false">
      <c r="A17556" s="0" t="s">
        <v>6713</v>
      </c>
      <c r="B17556" s="0" t="str">
        <f aca="false">HYPERLINK("https://lindat.mff.cuni.cz/services/teitok/pdtc10/index.php?action=vallex&amp;frame=v-w2121hsa_1407", "napadat (v-w2121hsa_1407)")</f>
        <v>napadat (v-w2121hsa_1407)</v>
      </c>
    </row>
    <row r="17557" customFormat="false" ht="12.8" hidden="false" customHeight="false" outlineLevel="0" collapsed="false">
      <c r="B17557" s="0" t="s">
        <v>6714</v>
      </c>
    </row>
    <row r="17558" customFormat="false" ht="12.8" hidden="false" customHeight="false" outlineLevel="0" collapsed="false">
      <c r="B17558" s="0" t="s">
        <v>6715</v>
      </c>
    </row>
    <row r="17560" customFormat="false" ht="12.8" hidden="false" customHeight="false" outlineLevel="0" collapsed="false">
      <c r="A17560" s="0" t="s">
        <v>6713</v>
      </c>
      <c r="B17560" s="0" t="str">
        <f aca="false">HYPERLINK("https://lindat.mff.cuni.cz/services/teitok/pdtc10/index.php?action=vallex&amp;frame=v-w2121f1", "napadat (v-w2121f1) - substituted with v-w2121hsa_1407")</f>
        <v>napadat (v-w2121f1) - substituted with v-w2121hsa_1407</v>
      </c>
    </row>
    <row r="17561" customFormat="false" ht="12.8" hidden="false" customHeight="false" outlineLevel="0" collapsed="false">
      <c r="B17561" s="0" t="s">
        <v>6714</v>
      </c>
      <c r="C17561" s="0" t="s">
        <v>31</v>
      </c>
    </row>
    <row r="17562" customFormat="false" ht="12.8" hidden="false" customHeight="false" outlineLevel="0" collapsed="false">
      <c r="B17562" s="0" t="s">
        <v>6715</v>
      </c>
      <c r="C17562" s="0" t="s">
        <v>461</v>
      </c>
    </row>
    <row r="17564" customFormat="false" ht="12.8" hidden="false" customHeight="false" outlineLevel="0" collapsed="false">
      <c r="A17564" s="0" t="s">
        <v>6716</v>
      </c>
      <c r="B17564" s="0" t="str">
        <f aca="false">HYPERLINK("https://lindat.mff.cuni.cz/services/teitok/pdtc10/index.php?action=vallex&amp;frame=v-w2121f3", "napadat (v-w2121f3)")</f>
        <v>napadat (v-w2121f3)</v>
      </c>
    </row>
    <row r="17565" customFormat="false" ht="12.8" hidden="false" customHeight="false" outlineLevel="0" collapsed="false">
      <c r="B17565" s="0" t="s">
        <v>2401</v>
      </c>
    </row>
    <row r="17567" customFormat="false" ht="12.8" hidden="false" customHeight="false" outlineLevel="0" collapsed="false">
      <c r="A17567" s="0" t="s">
        <v>6717</v>
      </c>
      <c r="B17567" s="0" t="str">
        <f aca="false">HYPERLINK("https://lindat.mff.cuni.cz/services/teitok/pdtc10/index.php?action=vallex&amp;frame=v-w2121hsa_1406", "napadat (v-w2121hsa_1406)")</f>
        <v>napadat (v-w2121hsa_1406)</v>
      </c>
    </row>
    <row r="17568" customFormat="false" ht="12.8" hidden="false" customHeight="false" outlineLevel="0" collapsed="false">
      <c r="B17568" s="0" t="s">
        <v>7</v>
      </c>
    </row>
    <row r="17569" customFormat="false" ht="12.8" hidden="false" customHeight="false" outlineLevel="0" collapsed="false">
      <c r="B17569" s="0" t="s">
        <v>41</v>
      </c>
    </row>
    <row r="17571" customFormat="false" ht="12.8" hidden="false" customHeight="false" outlineLevel="0" collapsed="false">
      <c r="A17571" s="0" t="s">
        <v>6718</v>
      </c>
      <c r="B17571" s="0" t="str">
        <f aca="false">HYPERLINK("https://lindat.mff.cuni.cz/services/teitok/pdtc10/index.php?action=vallex&amp;frame=v-w2123f1", "napadnout (v-w2123f1)")</f>
        <v>napadnout (v-w2123f1)</v>
      </c>
    </row>
    <row r="17572" customFormat="false" ht="12.8" hidden="false" customHeight="false" outlineLevel="0" collapsed="false">
      <c r="B17572" s="0" t="s">
        <v>7</v>
      </c>
      <c r="C17572" s="0" t="s">
        <v>6719</v>
      </c>
      <c r="D17572" s="0" t="s">
        <v>150</v>
      </c>
      <c r="E17572" s="0" t="s">
        <v>150</v>
      </c>
      <c r="F17572" s="0" t="s">
        <v>150</v>
      </c>
    </row>
    <row r="17573" customFormat="false" ht="12.8" hidden="false" customHeight="false" outlineLevel="0" collapsed="false">
      <c r="B17573" s="0" t="s">
        <v>14</v>
      </c>
      <c r="C17573" s="0" t="s">
        <v>6720</v>
      </c>
      <c r="D17573" s="0" t="s">
        <v>152</v>
      </c>
      <c r="E17573" s="0" t="s">
        <v>152</v>
      </c>
      <c r="F17573" s="0" t="s">
        <v>152</v>
      </c>
    </row>
    <row r="17575" customFormat="false" ht="12.8" hidden="false" customHeight="false" outlineLevel="0" collapsed="false">
      <c r="A17575" s="0" t="s">
        <v>6721</v>
      </c>
      <c r="B17575" s="0" t="str">
        <f aca="false">HYPERLINK("https://lindat.mff.cuni.cz/services/teitok/pdtc10/index.php?action=vallex&amp;frame=v-w2123f2", "napadnout (v-w2123f2)")</f>
        <v>napadnout (v-w2123f2)</v>
      </c>
    </row>
    <row r="17576" customFormat="false" ht="12.8" hidden="false" customHeight="false" outlineLevel="0" collapsed="false">
      <c r="B17576" s="0" t="s">
        <v>199</v>
      </c>
      <c r="C17576" s="0" t="s">
        <v>6722</v>
      </c>
      <c r="D17576" s="0" t="s">
        <v>6723</v>
      </c>
      <c r="E17576" s="0" t="s">
        <v>6723</v>
      </c>
      <c r="F17576" s="0" t="s">
        <v>6723</v>
      </c>
    </row>
    <row r="17577" customFormat="false" ht="12.8" hidden="false" customHeight="false" outlineLevel="0" collapsed="false">
      <c r="B17577" s="0" t="s">
        <v>6724</v>
      </c>
      <c r="C17577" s="0" t="s">
        <v>6725</v>
      </c>
      <c r="D17577" s="0" t="s">
        <v>6726</v>
      </c>
      <c r="E17577" s="0" t="s">
        <v>6726</v>
      </c>
      <c r="F17577" s="0" t="s">
        <v>6726</v>
      </c>
    </row>
    <row r="17579" customFormat="false" ht="12.8" hidden="false" customHeight="false" outlineLevel="0" collapsed="false">
      <c r="A17579" s="0" t="s">
        <v>6727</v>
      </c>
      <c r="B17579" s="0" t="str">
        <f aca="false">HYPERLINK("https://lindat.mff.cuni.cz/services/teitok/pdtc10/index.php?action=vallex&amp;frame=v-w2123f4_ZU", "napadnout (v-w2123f4_ZU)")</f>
        <v>napadnout (v-w2123f4_ZU)</v>
      </c>
    </row>
    <row r="17580" customFormat="false" ht="12.8" hidden="false" customHeight="false" outlineLevel="0" collapsed="false">
      <c r="B17580" s="0" t="s">
        <v>7</v>
      </c>
      <c r="C17580" s="0" t="s">
        <v>3664</v>
      </c>
      <c r="D17580" s="0" t="s">
        <v>6728</v>
      </c>
      <c r="E17580" s="0" t="s">
        <v>6728</v>
      </c>
      <c r="F17580" s="0" t="s">
        <v>6728</v>
      </c>
    </row>
    <row r="17581" customFormat="false" ht="12.8" hidden="false" customHeight="false" outlineLevel="0" collapsed="false">
      <c r="B17581" s="0" t="s">
        <v>14</v>
      </c>
      <c r="C17581" s="0" t="s">
        <v>3860</v>
      </c>
      <c r="D17581" s="0" t="s">
        <v>6729</v>
      </c>
      <c r="E17581" s="0" t="s">
        <v>6729</v>
      </c>
      <c r="F17581" s="0" t="s">
        <v>6729</v>
      </c>
    </row>
    <row r="17583" customFormat="false" ht="12.8" hidden="false" customHeight="false" outlineLevel="0" collapsed="false">
      <c r="A17583" s="0" t="s">
        <v>6730</v>
      </c>
      <c r="B17583" s="0" t="str">
        <f aca="false">HYPERLINK("https://lindat.mff.cuni.cz/services/teitok/pdtc10/index.php?action=vallex&amp;frame=v-w2123f3", "napadnout (v-w2123f3)")</f>
        <v>napadnout (v-w2123f3)</v>
      </c>
    </row>
    <row r="17584" customFormat="false" ht="12.8" hidden="false" customHeight="false" outlineLevel="0" collapsed="false">
      <c r="B17584" s="0" t="s">
        <v>2401</v>
      </c>
    </row>
    <row r="17586" customFormat="false" ht="12.8" hidden="false" customHeight="false" outlineLevel="0" collapsed="false">
      <c r="A17586" s="0" t="s">
        <v>6731</v>
      </c>
      <c r="B17586" s="0" t="str">
        <f aca="false">HYPERLINK("https://lindat.mff.cuni.cz/services/teitok/pdtc10/index.php?action=vallex&amp;frame=v-w12001_ZUf1_ZU", "napadávat (v-w12001_ZUf1_ZU)")</f>
        <v>napadávat (v-w12001_ZUf1_ZU)</v>
      </c>
    </row>
    <row r="17587" customFormat="false" ht="12.8" hidden="false" customHeight="false" outlineLevel="0" collapsed="false">
      <c r="B17587" s="0" t="s">
        <v>7</v>
      </c>
    </row>
    <row r="17588" customFormat="false" ht="12.8" hidden="false" customHeight="false" outlineLevel="0" collapsed="false">
      <c r="B17588" s="0" t="s">
        <v>14</v>
      </c>
    </row>
    <row r="17590" customFormat="false" ht="12.8" hidden="false" customHeight="false" outlineLevel="0" collapsed="false">
      <c r="A17590" s="0" t="s">
        <v>6732</v>
      </c>
      <c r="B17590" s="0" t="str">
        <f aca="false">HYPERLINK("https://lindat.mff.cuni.cz/services/teitok/pdtc10/index.php?action=vallex&amp;frame=v-w11713_ZUf1_ZU", "naparádit (v-w11713_ZUf1_ZU)")</f>
        <v>naparádit (v-w11713_ZUf1_ZU)</v>
      </c>
    </row>
    <row r="17591" customFormat="false" ht="12.8" hidden="false" customHeight="false" outlineLevel="0" collapsed="false">
      <c r="B17591" s="0" t="s">
        <v>7</v>
      </c>
    </row>
    <row r="17592" customFormat="false" ht="12.8" hidden="false" customHeight="false" outlineLevel="0" collapsed="false">
      <c r="B17592" s="0" t="s">
        <v>14</v>
      </c>
    </row>
    <row r="17593" customFormat="false" ht="12.8" hidden="false" customHeight="false" outlineLevel="0" collapsed="false">
      <c r="B17593" s="0" t="s">
        <v>181</v>
      </c>
    </row>
    <row r="17595" customFormat="false" ht="12.8" hidden="false" customHeight="false" outlineLevel="0" collapsed="false">
      <c r="A17595" s="0" t="s">
        <v>6733</v>
      </c>
      <c r="B17595" s="0" t="str">
        <f aca="false">HYPERLINK("https://lindat.mff.cuni.cz/services/teitok/pdtc10/index.php?action=vallex&amp;frame=v-w10180f2", "napasovat (v-w10180f2)")</f>
        <v>napasovat (v-w10180f2)</v>
      </c>
    </row>
    <row r="17596" customFormat="false" ht="12.8" hidden="false" customHeight="false" outlineLevel="0" collapsed="false">
      <c r="B17596" s="0" t="s">
        <v>7</v>
      </c>
      <c r="D17596" s="0" t="s">
        <v>2235</v>
      </c>
      <c r="E17596" s="0" t="s">
        <v>2235</v>
      </c>
      <c r="F17596" s="0" t="s">
        <v>2235</v>
      </c>
    </row>
    <row r="17597" customFormat="false" ht="12.8" hidden="false" customHeight="false" outlineLevel="0" collapsed="false">
      <c r="B17597" s="0" t="s">
        <v>14</v>
      </c>
      <c r="C17597" s="0" t="s">
        <v>155</v>
      </c>
      <c r="D17597" s="0" t="s">
        <v>2237</v>
      </c>
      <c r="E17597" s="0" t="s">
        <v>2237</v>
      </c>
      <c r="F17597" s="0" t="s">
        <v>2237</v>
      </c>
    </row>
    <row r="17598" customFormat="false" ht="12.8" hidden="false" customHeight="false" outlineLevel="0" collapsed="false">
      <c r="B17598" s="0" t="s">
        <v>124</v>
      </c>
      <c r="D17598" s="0" t="s">
        <v>2238</v>
      </c>
      <c r="E17598" s="0" t="s">
        <v>2238</v>
      </c>
      <c r="F17598" s="0" t="s">
        <v>2238</v>
      </c>
    </row>
    <row r="17600" customFormat="false" ht="12.8" hidden="false" customHeight="false" outlineLevel="0" collapsed="false">
      <c r="A17600" s="0" t="s">
        <v>6734</v>
      </c>
      <c r="B17600" s="0" t="str">
        <f aca="false">HYPERLINK("https://lindat.mff.cuni.cz/services/teitok/pdtc10/index.php?action=vallex&amp;frame=v-whsa_599hsa_600", "napichovat (v-whsa_599hsa_600)")</f>
        <v>napichovat (v-whsa_599hsa_600)</v>
      </c>
    </row>
    <row r="17601" customFormat="false" ht="12.8" hidden="false" customHeight="false" outlineLevel="0" collapsed="false">
      <c r="B17601" s="0" t="s">
        <v>7</v>
      </c>
      <c r="C17601" s="0" t="s">
        <v>3243</v>
      </c>
      <c r="D17601" s="0" t="s">
        <v>2235</v>
      </c>
      <c r="E17601" s="0" t="s">
        <v>2235</v>
      </c>
      <c r="F17601" s="0" t="s">
        <v>2235</v>
      </c>
    </row>
    <row r="17602" customFormat="false" ht="12.8" hidden="false" customHeight="false" outlineLevel="0" collapsed="false">
      <c r="B17602" s="0" t="s">
        <v>14</v>
      </c>
      <c r="C17602" s="0" t="s">
        <v>3244</v>
      </c>
      <c r="D17602" s="0" t="s">
        <v>2237</v>
      </c>
      <c r="E17602" s="0" t="s">
        <v>2237</v>
      </c>
      <c r="F17602" s="0" t="s">
        <v>2237</v>
      </c>
    </row>
    <row r="17603" customFormat="false" ht="12.8" hidden="false" customHeight="false" outlineLevel="0" collapsed="false">
      <c r="B17603" s="0" t="s">
        <v>124</v>
      </c>
      <c r="D17603" s="0" t="s">
        <v>2238</v>
      </c>
      <c r="E17603" s="0" t="s">
        <v>2238</v>
      </c>
      <c r="F17603" s="0" t="s">
        <v>2238</v>
      </c>
    </row>
    <row r="17605" customFormat="false" ht="12.8" hidden="false" customHeight="false" outlineLevel="0" collapsed="false">
      <c r="A17605" s="0" t="s">
        <v>6735</v>
      </c>
      <c r="B17605" s="0" t="str">
        <f aca="false">HYPERLINK("https://lindat.mff.cuni.cz/services/teitok/pdtc10/index.php?action=vallex&amp;frame=v-whsa_817hsa_818", "naplakat se (v-whsa_817hsa_818)")</f>
        <v>naplakat se (v-whsa_817hsa_818)</v>
      </c>
    </row>
    <row r="17606" customFormat="false" ht="12.8" hidden="false" customHeight="false" outlineLevel="0" collapsed="false">
      <c r="B17606" s="0" t="s">
        <v>7</v>
      </c>
    </row>
    <row r="17608" customFormat="false" ht="12.8" hidden="false" customHeight="false" outlineLevel="0" collapsed="false">
      <c r="A17608" s="0" t="s">
        <v>6736</v>
      </c>
      <c r="B17608" s="0" t="str">
        <f aca="false">HYPERLINK("https://lindat.mff.cuni.cz/services/teitok/pdtc10/index.php?action=vallex&amp;frame=v-w2132f5_ZU", "naplnit (v-w2132f5_ZU)")</f>
        <v>naplnit (v-w2132f5_ZU)</v>
      </c>
    </row>
    <row r="17609" customFormat="false" ht="12.8" hidden="false" customHeight="false" outlineLevel="0" collapsed="false">
      <c r="B17609" s="0" t="s">
        <v>7</v>
      </c>
    </row>
    <row r="17610" customFormat="false" ht="12.8" hidden="false" customHeight="false" outlineLevel="0" collapsed="false">
      <c r="B17610" s="0" t="s">
        <v>14</v>
      </c>
    </row>
    <row r="17611" customFormat="false" ht="12.8" hidden="false" customHeight="false" outlineLevel="0" collapsed="false">
      <c r="B17611" s="0" t="s">
        <v>6292</v>
      </c>
    </row>
    <row r="17613" customFormat="false" ht="12.8" hidden="false" customHeight="false" outlineLevel="0" collapsed="false">
      <c r="A17613" s="0" t="s">
        <v>6736</v>
      </c>
      <c r="B17613" s="0" t="str">
        <f aca="false">HYPERLINK("https://lindat.mff.cuni.cz/services/teitok/pdtc10/index.php?action=vallex&amp;frame=v-w2132f2", "naplnit (v-w2132f2) - substituted with v-w2132f5_ZU")</f>
        <v>naplnit (v-w2132f2) - substituted with v-w2132f5_ZU</v>
      </c>
    </row>
    <row r="17614" customFormat="false" ht="12.8" hidden="false" customHeight="false" outlineLevel="0" collapsed="false">
      <c r="B17614" s="0" t="s">
        <v>7</v>
      </c>
      <c r="C17614" s="0" t="s">
        <v>171</v>
      </c>
      <c r="D17614" s="0" t="s">
        <v>6737</v>
      </c>
      <c r="E17614" s="0" t="s">
        <v>6737</v>
      </c>
      <c r="F17614" s="0" t="s">
        <v>6737</v>
      </c>
    </row>
    <row r="17615" customFormat="false" ht="12.8" hidden="false" customHeight="false" outlineLevel="0" collapsed="false">
      <c r="B17615" s="0" t="s">
        <v>14</v>
      </c>
      <c r="C17615" s="0" t="s">
        <v>6738</v>
      </c>
      <c r="D17615" s="0" t="s">
        <v>6739</v>
      </c>
      <c r="E17615" s="0" t="s">
        <v>6739</v>
      </c>
      <c r="F17615" s="0" t="s">
        <v>6739</v>
      </c>
    </row>
    <row r="17616" customFormat="false" ht="12.8" hidden="false" customHeight="false" outlineLevel="0" collapsed="false">
      <c r="B17616" s="0" t="s">
        <v>6292</v>
      </c>
      <c r="C17616" s="0" t="s">
        <v>6740</v>
      </c>
      <c r="D17616" s="0" t="s">
        <v>6741</v>
      </c>
      <c r="E17616" s="0" t="s">
        <v>6741</v>
      </c>
      <c r="F17616" s="0" t="s">
        <v>6741</v>
      </c>
    </row>
    <row r="17618" customFormat="false" ht="12.8" hidden="false" customHeight="false" outlineLevel="0" collapsed="false">
      <c r="A17618" s="0" t="s">
        <v>6742</v>
      </c>
      <c r="B17618" s="0" t="str">
        <f aca="false">HYPERLINK("https://lindat.mff.cuni.cz/services/teitok/pdtc10/index.php?action=vallex&amp;frame=v-w2132f1", "naplnit (v-w2132f1)")</f>
        <v>naplnit (v-w2132f1)</v>
      </c>
    </row>
    <row r="17619" customFormat="false" ht="12.8" hidden="false" customHeight="false" outlineLevel="0" collapsed="false">
      <c r="B17619" s="0" t="s">
        <v>7</v>
      </c>
      <c r="C17619" s="0" t="s">
        <v>6743</v>
      </c>
      <c r="D17619" s="0" t="s">
        <v>6744</v>
      </c>
      <c r="E17619" s="0" t="s">
        <v>6744</v>
      </c>
      <c r="F17619" s="0" t="s">
        <v>6744</v>
      </c>
    </row>
    <row r="17620" customFormat="false" ht="12.8" hidden="false" customHeight="false" outlineLevel="0" collapsed="false">
      <c r="B17620" s="0" t="s">
        <v>232</v>
      </c>
      <c r="C17620" s="0" t="s">
        <v>6745</v>
      </c>
      <c r="D17620" s="0" t="s">
        <v>6746</v>
      </c>
      <c r="E17620" s="0" t="s">
        <v>6746</v>
      </c>
      <c r="F17620" s="0" t="s">
        <v>6746</v>
      </c>
    </row>
    <row r="17622" customFormat="false" ht="12.8" hidden="false" customHeight="false" outlineLevel="0" collapsed="false">
      <c r="A17622" s="0" t="s">
        <v>6747</v>
      </c>
      <c r="B17622" s="0" t="str">
        <f aca="false">HYPERLINK("https://lindat.mff.cuni.cz/services/teitok/pdtc10/index.php?action=vallex&amp;frame=v-w2132f3_ZU", "naplnit (v-w2132f3_ZU)")</f>
        <v>naplnit (v-w2132f3_ZU)</v>
      </c>
    </row>
    <row r="17623" customFormat="false" ht="12.8" hidden="false" customHeight="false" outlineLevel="0" collapsed="false">
      <c r="B17623" s="0" t="s">
        <v>7</v>
      </c>
    </row>
    <row r="17624" customFormat="false" ht="12.8" hidden="false" customHeight="false" outlineLevel="0" collapsed="false">
      <c r="B17624" s="0" t="s">
        <v>14</v>
      </c>
    </row>
    <row r="17625" customFormat="false" ht="12.8" hidden="false" customHeight="false" outlineLevel="0" collapsed="false">
      <c r="B17625" s="0" t="s">
        <v>338</v>
      </c>
    </row>
    <row r="17627" customFormat="false" ht="12.8" hidden="false" customHeight="false" outlineLevel="0" collapsed="false">
      <c r="A17627" s="0" t="s">
        <v>6748</v>
      </c>
      <c r="B17627" s="0" t="str">
        <f aca="false">HYPERLINK("https://lindat.mff.cuni.cz/services/teitok/pdtc10/index.php?action=vallex&amp;frame=v-w2132f4_ZU", "naplnit (v-w2132f4_ZU)")</f>
        <v>naplnit (v-w2132f4_ZU)</v>
      </c>
    </row>
    <row r="17628" customFormat="false" ht="12.8" hidden="false" customHeight="false" outlineLevel="0" collapsed="false">
      <c r="B17628" s="0" t="s">
        <v>7</v>
      </c>
    </row>
    <row r="17629" customFormat="false" ht="12.8" hidden="false" customHeight="false" outlineLevel="0" collapsed="false">
      <c r="B17629" s="0" t="s">
        <v>1059</v>
      </c>
    </row>
    <row r="17631" customFormat="false" ht="12.8" hidden="false" customHeight="false" outlineLevel="0" collapsed="false">
      <c r="A17631" s="0" t="s">
        <v>6749</v>
      </c>
      <c r="B17631" s="0" t="str">
        <f aca="false">HYPERLINK("https://lindat.mff.cuni.cz/services/teitok/pdtc10/index.php?action=vallex&amp;frame=v-w2133f1", "naplnit se (v-w2133f1)")</f>
        <v>naplnit se (v-w2133f1)</v>
      </c>
    </row>
    <row r="17632" customFormat="false" ht="12.8" hidden="false" customHeight="false" outlineLevel="0" collapsed="false">
      <c r="B17632" s="0" t="s">
        <v>7</v>
      </c>
      <c r="F17632" s="0" t="s">
        <v>6750</v>
      </c>
    </row>
    <row r="17634" customFormat="false" ht="12.8" hidden="false" customHeight="false" outlineLevel="0" collapsed="false">
      <c r="A17634" s="0" t="s">
        <v>6751</v>
      </c>
      <c r="B17634" s="0" t="str">
        <f aca="false">HYPERLINK("https://lindat.mff.cuni.cz/services/teitok/pdtc10/index.php?action=vallex&amp;frame=v-w2133f3_MM", "naplnit se (v-w2133f3_MM)")</f>
        <v>naplnit se (v-w2133f3_MM)</v>
      </c>
    </row>
    <row r="17635" customFormat="false" ht="12.8" hidden="false" customHeight="false" outlineLevel="0" collapsed="false">
      <c r="B17635" s="0" t="s">
        <v>7</v>
      </c>
    </row>
    <row r="17636" customFormat="false" ht="12.8" hidden="false" customHeight="false" outlineLevel="0" collapsed="false">
      <c r="B17636" s="0" t="s">
        <v>3771</v>
      </c>
    </row>
    <row r="17638" customFormat="false" ht="12.8" hidden="false" customHeight="false" outlineLevel="0" collapsed="false">
      <c r="A17638" s="0" t="s">
        <v>6751</v>
      </c>
      <c r="B17638" s="0" t="str">
        <f aca="false">HYPERLINK("https://lindat.mff.cuni.cz/services/teitok/pdtc10/index.php?action=vallex&amp;frame=v-w2133f2_ZU", "naplnit se (v-w2133f2_ZU) - substituted with v-w2133f3_MM")</f>
        <v>naplnit se (v-w2133f2_ZU) - substituted with v-w2133f3_MM</v>
      </c>
    </row>
    <row r="17639" customFormat="false" ht="12.8" hidden="false" customHeight="false" outlineLevel="0" collapsed="false">
      <c r="B17639" s="0" t="s">
        <v>7</v>
      </c>
    </row>
    <row r="17640" customFormat="false" ht="12.8" hidden="false" customHeight="false" outlineLevel="0" collapsed="false">
      <c r="B17640" s="0" t="s">
        <v>3771</v>
      </c>
    </row>
    <row r="17642" customFormat="false" ht="12.8" hidden="false" customHeight="false" outlineLevel="0" collapsed="false">
      <c r="A17642" s="0" t="s">
        <v>6752</v>
      </c>
      <c r="B17642" s="0" t="str">
        <f aca="false">HYPERLINK("https://lindat.mff.cuni.cz/services/teitok/pdtc10/index.php?action=vallex&amp;frame=v-w2129f1", "naplánovat (v-w2129f1)")</f>
        <v>naplánovat (v-w2129f1)</v>
      </c>
    </row>
    <row r="17643" customFormat="false" ht="12.8" hidden="false" customHeight="false" outlineLevel="0" collapsed="false">
      <c r="B17643" s="0" t="s">
        <v>7</v>
      </c>
      <c r="C17643" s="0" t="s">
        <v>6753</v>
      </c>
      <c r="D17643" s="0" t="s">
        <v>5583</v>
      </c>
      <c r="E17643" s="0" t="s">
        <v>5583</v>
      </c>
      <c r="F17643" s="0" t="s">
        <v>5583</v>
      </c>
    </row>
    <row r="17644" customFormat="false" ht="12.8" hidden="false" customHeight="false" outlineLevel="0" collapsed="false">
      <c r="B17644" s="0" t="s">
        <v>6754</v>
      </c>
      <c r="C17644" s="0" t="s">
        <v>6755</v>
      </c>
      <c r="D17644" s="0" t="s">
        <v>5585</v>
      </c>
      <c r="E17644" s="0" t="s">
        <v>5585</v>
      </c>
      <c r="F17644" s="0" t="s">
        <v>5585</v>
      </c>
    </row>
    <row r="17646" customFormat="false" ht="12.8" hidden="false" customHeight="false" outlineLevel="0" collapsed="false">
      <c r="A17646" s="0" t="s">
        <v>6756</v>
      </c>
      <c r="B17646" s="0" t="str">
        <f aca="false">HYPERLINK("https://lindat.mff.cuni.cz/services/teitok/pdtc10/index.php?action=vallex&amp;frame=v-w2135f1", "naplňovat (v-w2135f1)")</f>
        <v>naplňovat (v-w2135f1)</v>
      </c>
    </row>
    <row r="17647" customFormat="false" ht="12.8" hidden="false" customHeight="false" outlineLevel="0" collapsed="false">
      <c r="B17647" s="0" t="s">
        <v>7</v>
      </c>
      <c r="D17647" s="0" t="s">
        <v>6737</v>
      </c>
      <c r="E17647" s="0" t="s">
        <v>6737</v>
      </c>
      <c r="F17647" s="0" t="s">
        <v>6737</v>
      </c>
    </row>
    <row r="17648" customFormat="false" ht="12.8" hidden="false" customHeight="false" outlineLevel="0" collapsed="false">
      <c r="B17648" s="0" t="s">
        <v>14</v>
      </c>
      <c r="D17648" s="0" t="s">
        <v>6739</v>
      </c>
      <c r="E17648" s="0" t="s">
        <v>6739</v>
      </c>
      <c r="F17648" s="0" t="s">
        <v>6739</v>
      </c>
    </row>
    <row r="17649" customFormat="false" ht="12.8" hidden="false" customHeight="false" outlineLevel="0" collapsed="false">
      <c r="B17649" s="0" t="s">
        <v>6292</v>
      </c>
      <c r="D17649" s="0" t="s">
        <v>6741</v>
      </c>
      <c r="E17649" s="0" t="s">
        <v>6741</v>
      </c>
      <c r="F17649" s="0" t="s">
        <v>6741</v>
      </c>
    </row>
    <row r="17651" customFormat="false" ht="12.8" hidden="false" customHeight="false" outlineLevel="0" collapsed="false">
      <c r="A17651" s="0" t="s">
        <v>6757</v>
      </c>
      <c r="B17651" s="0" t="str">
        <f aca="false">HYPERLINK("https://lindat.mff.cuni.cz/services/teitok/pdtc10/index.php?action=vallex&amp;frame=v-w2135f2", "naplňovat (v-w2135f2)")</f>
        <v>naplňovat (v-w2135f2)</v>
      </c>
    </row>
    <row r="17652" customFormat="false" ht="12.8" hidden="false" customHeight="false" outlineLevel="0" collapsed="false">
      <c r="B17652" s="0" t="s">
        <v>7</v>
      </c>
      <c r="C17652" s="0" t="s">
        <v>6758</v>
      </c>
      <c r="D17652" s="0" t="s">
        <v>1771</v>
      </c>
      <c r="E17652" s="0" t="s">
        <v>1771</v>
      </c>
      <c r="F17652" s="0" t="s">
        <v>1771</v>
      </c>
    </row>
    <row r="17653" customFormat="false" ht="12.8" hidden="false" customHeight="false" outlineLevel="0" collapsed="false">
      <c r="B17653" s="0" t="s">
        <v>232</v>
      </c>
      <c r="C17653" s="0" t="s">
        <v>6759</v>
      </c>
      <c r="D17653" s="0" t="s">
        <v>1773</v>
      </c>
      <c r="E17653" s="0" t="s">
        <v>1773</v>
      </c>
      <c r="F17653" s="0" t="s">
        <v>1773</v>
      </c>
    </row>
    <row r="17655" customFormat="false" ht="12.8" hidden="false" customHeight="false" outlineLevel="0" collapsed="false">
      <c r="A17655" s="0" t="s">
        <v>6760</v>
      </c>
      <c r="B17655" s="0" t="str">
        <f aca="false">HYPERLINK("https://lindat.mff.cuni.cz/services/teitok/pdtc10/index.php?action=vallex&amp;frame=v-w2136f1", "naplňovat se (v-w2136f1)")</f>
        <v>naplňovat se (v-w2136f1)</v>
      </c>
    </row>
    <row r="17656" customFormat="false" ht="12.8" hidden="false" customHeight="false" outlineLevel="0" collapsed="false">
      <c r="B17656" s="0" t="s">
        <v>7</v>
      </c>
      <c r="F17656" s="0" t="s">
        <v>6750</v>
      </c>
    </row>
    <row r="17658" customFormat="false" ht="12.8" hidden="false" customHeight="false" outlineLevel="0" collapsed="false">
      <c r="A17658" s="0" t="s">
        <v>6761</v>
      </c>
      <c r="B17658" s="0" t="str">
        <f aca="false">HYPERLINK("https://lindat.mff.cuni.cz/services/teitok/pdtc10/index.php?action=vallex&amp;frame=v-w2138f3", "napnout (v-w2138f3)")</f>
        <v>napnout (v-w2138f3)</v>
      </c>
    </row>
    <row r="17659" customFormat="false" ht="12.8" hidden="false" customHeight="false" outlineLevel="0" collapsed="false">
      <c r="B17659" s="0" t="s">
        <v>7</v>
      </c>
      <c r="C17659" s="0" t="s">
        <v>108</v>
      </c>
    </row>
    <row r="17660" customFormat="false" ht="12.8" hidden="false" customHeight="false" outlineLevel="0" collapsed="false">
      <c r="B17660" s="0" t="s">
        <v>6762</v>
      </c>
      <c r="C17660" s="0" t="s">
        <v>624</v>
      </c>
    </row>
    <row r="17662" customFormat="false" ht="12.8" hidden="false" customHeight="false" outlineLevel="0" collapsed="false">
      <c r="A17662" s="0" t="s">
        <v>6763</v>
      </c>
      <c r="B17662" s="0" t="str">
        <f aca="false">HYPERLINK("https://lindat.mff.cuni.cz/services/teitok/pdtc10/index.php?action=vallex&amp;frame=v-w2138f1", "napnout (v-w2138f1)")</f>
        <v>napnout (v-w2138f1)</v>
      </c>
    </row>
    <row r="17663" customFormat="false" ht="12.8" hidden="false" customHeight="false" outlineLevel="0" collapsed="false">
      <c r="B17663" s="0" t="s">
        <v>7</v>
      </c>
      <c r="F17663" s="0" t="s">
        <v>247</v>
      </c>
    </row>
    <row r="17664" customFormat="false" ht="12.8" hidden="false" customHeight="false" outlineLevel="0" collapsed="false">
      <c r="B17664" s="0" t="s">
        <v>14</v>
      </c>
      <c r="F17664" s="0" t="s">
        <v>155</v>
      </c>
    </row>
    <row r="17666" customFormat="false" ht="12.8" hidden="false" customHeight="false" outlineLevel="0" collapsed="false">
      <c r="A17666" s="0" t="s">
        <v>6764</v>
      </c>
      <c r="B17666" s="0" t="str">
        <f aca="false">HYPERLINK("https://lindat.mff.cuni.cz/services/teitok/pdtc10/index.php?action=vallex&amp;frame=v-w11275f1", "napnout se (v-w11275f1)")</f>
        <v>napnout se (v-w11275f1)</v>
      </c>
    </row>
    <row r="17667" customFormat="false" ht="12.8" hidden="false" customHeight="false" outlineLevel="0" collapsed="false">
      <c r="B17667" s="0" t="s">
        <v>7</v>
      </c>
      <c r="D17667" s="0" t="s">
        <v>6765</v>
      </c>
      <c r="E17667" s="0" t="s">
        <v>6765</v>
      </c>
      <c r="F17667" s="0" t="s">
        <v>6765</v>
      </c>
    </row>
    <row r="17669" customFormat="false" ht="12.8" hidden="false" customHeight="false" outlineLevel="0" collapsed="false">
      <c r="A17669" s="0" t="s">
        <v>6766</v>
      </c>
      <c r="B17669" s="0" t="str">
        <f aca="false">HYPERLINK("https://lindat.mff.cuni.cz/services/teitok/pdtc10/index.php?action=vallex&amp;frame=v-w2142f1", "napodobit (v-w2142f1)")</f>
        <v>napodobit (v-w2142f1)</v>
      </c>
    </row>
    <row r="17670" customFormat="false" ht="12.8" hidden="false" customHeight="false" outlineLevel="0" collapsed="false">
      <c r="B17670" s="0" t="s">
        <v>7</v>
      </c>
      <c r="C17670" s="0" t="s">
        <v>6767</v>
      </c>
      <c r="D17670" s="0" t="s">
        <v>2736</v>
      </c>
      <c r="E17670" s="0" t="s">
        <v>2736</v>
      </c>
      <c r="F17670" s="0" t="s">
        <v>2736</v>
      </c>
    </row>
    <row r="17671" customFormat="false" ht="12.8" hidden="false" customHeight="false" outlineLevel="0" collapsed="false">
      <c r="B17671" s="0" t="s">
        <v>93</v>
      </c>
      <c r="C17671" s="0" t="s">
        <v>6768</v>
      </c>
      <c r="D17671" s="0" t="s">
        <v>624</v>
      </c>
      <c r="E17671" s="0" t="s">
        <v>624</v>
      </c>
      <c r="F17671" s="0" t="s">
        <v>624</v>
      </c>
    </row>
    <row r="17673" customFormat="false" ht="12.8" hidden="false" customHeight="false" outlineLevel="0" collapsed="false">
      <c r="A17673" s="0" t="s">
        <v>6769</v>
      </c>
      <c r="B17673" s="0" t="str">
        <f aca="false">HYPERLINK("https://lindat.mff.cuni.cz/services/teitok/pdtc10/index.php?action=vallex&amp;frame=v-w2144f1", "napodobovat (v-w2144f1)")</f>
        <v>napodobovat (v-w2144f1)</v>
      </c>
    </row>
    <row r="17674" customFormat="false" ht="12.8" hidden="false" customHeight="false" outlineLevel="0" collapsed="false">
      <c r="B17674" s="0" t="s">
        <v>7</v>
      </c>
      <c r="C17674" s="0" t="s">
        <v>6770</v>
      </c>
      <c r="D17674" s="0" t="s">
        <v>2736</v>
      </c>
      <c r="E17674" s="0" t="s">
        <v>2736</v>
      </c>
      <c r="F17674" s="0" t="s">
        <v>2736</v>
      </c>
    </row>
    <row r="17675" customFormat="false" ht="12.8" hidden="false" customHeight="false" outlineLevel="0" collapsed="false">
      <c r="B17675" s="0" t="s">
        <v>93</v>
      </c>
      <c r="C17675" s="0" t="s">
        <v>6771</v>
      </c>
      <c r="D17675" s="0" t="s">
        <v>624</v>
      </c>
      <c r="E17675" s="0" t="s">
        <v>624</v>
      </c>
      <c r="F17675" s="0" t="s">
        <v>624</v>
      </c>
    </row>
    <row r="17677" customFormat="false" ht="12.8" hidden="false" customHeight="false" outlineLevel="0" collapsed="false">
      <c r="A17677" s="0" t="s">
        <v>6772</v>
      </c>
      <c r="B17677" s="0" t="str">
        <f aca="false">HYPERLINK("https://lindat.mff.cuni.cz/services/teitok/pdtc10/index.php?action=vallex&amp;frame=v-w2146f1", "napojit (v-w2146f1)")</f>
        <v>napojit (v-w2146f1)</v>
      </c>
    </row>
    <row r="17678" customFormat="false" ht="12.8" hidden="false" customHeight="false" outlineLevel="0" collapsed="false">
      <c r="B17678" s="0" t="s">
        <v>7</v>
      </c>
      <c r="D17678" s="0" t="s">
        <v>4976</v>
      </c>
      <c r="E17678" s="0" t="s">
        <v>4976</v>
      </c>
      <c r="F17678" s="0" t="s">
        <v>4976</v>
      </c>
    </row>
    <row r="17679" customFormat="false" ht="12.8" hidden="false" customHeight="false" outlineLevel="0" collapsed="false">
      <c r="B17679" s="0" t="s">
        <v>14</v>
      </c>
      <c r="D17679" s="0" t="s">
        <v>1209</v>
      </c>
      <c r="E17679" s="0" t="s">
        <v>1209</v>
      </c>
      <c r="F17679" s="0" t="s">
        <v>1209</v>
      </c>
    </row>
    <row r="17680" customFormat="false" ht="12.8" hidden="false" customHeight="false" outlineLevel="0" collapsed="false">
      <c r="B17680" s="0" t="s">
        <v>124</v>
      </c>
      <c r="D17680" s="0" t="s">
        <v>6773</v>
      </c>
      <c r="E17680" s="0" t="s">
        <v>6773</v>
      </c>
      <c r="F17680" s="0" t="s">
        <v>6773</v>
      </c>
    </row>
    <row r="17682" customFormat="false" ht="12.8" hidden="false" customHeight="false" outlineLevel="0" collapsed="false">
      <c r="A17682" s="0" t="s">
        <v>6774</v>
      </c>
      <c r="B17682" s="0" t="str">
        <f aca="false">HYPERLINK("https://lindat.mff.cuni.cz/services/teitok/pdtc10/index.php?action=vallex&amp;frame=v-w2146f2", "napojit (v-w2146f2)")</f>
        <v>napojit (v-w2146f2)</v>
      </c>
    </row>
    <row r="17683" customFormat="false" ht="12.8" hidden="false" customHeight="false" outlineLevel="0" collapsed="false">
      <c r="B17683" s="0" t="s">
        <v>7</v>
      </c>
    </row>
    <row r="17684" customFormat="false" ht="12.8" hidden="false" customHeight="false" outlineLevel="0" collapsed="false">
      <c r="B17684" s="0" t="s">
        <v>14</v>
      </c>
    </row>
    <row r="17686" customFormat="false" ht="12.8" hidden="false" customHeight="false" outlineLevel="0" collapsed="false">
      <c r="A17686" s="0" t="s">
        <v>6775</v>
      </c>
      <c r="B17686" s="0" t="str">
        <f aca="false">HYPERLINK("https://lindat.mff.cuni.cz/services/teitok/pdtc10/index.php?action=vallex&amp;frame=v-w11523_ZUf1_ZU", "napojit se (v-w11523_ZUf1_ZU)")</f>
        <v>napojit se (v-w11523_ZUf1_ZU)</v>
      </c>
    </row>
    <row r="17687" customFormat="false" ht="12.8" hidden="false" customHeight="false" outlineLevel="0" collapsed="false">
      <c r="B17687" s="0" t="s">
        <v>7</v>
      </c>
      <c r="C17687" s="0" t="s">
        <v>184</v>
      </c>
    </row>
    <row r="17688" customFormat="false" ht="12.8" hidden="false" customHeight="false" outlineLevel="0" collapsed="false">
      <c r="B17688" s="0" t="s">
        <v>41</v>
      </c>
      <c r="C17688" s="0" t="s">
        <v>6776</v>
      </c>
    </row>
    <row r="17690" customFormat="false" ht="12.8" hidden="false" customHeight="false" outlineLevel="0" collapsed="false">
      <c r="A17690" s="0" t="s">
        <v>6777</v>
      </c>
      <c r="B17690" s="0" t="str">
        <f aca="false">HYPERLINK("https://lindat.mff.cuni.cz/services/teitok/pdtc10/index.php?action=vallex&amp;frame=v-w11857_ZUf1_ZU", "napojovat (v-w11857_ZUf1_ZU)")</f>
        <v>napojovat (v-w11857_ZUf1_ZU)</v>
      </c>
    </row>
    <row r="17691" customFormat="false" ht="12.8" hidden="false" customHeight="false" outlineLevel="0" collapsed="false">
      <c r="B17691" s="0" t="s">
        <v>7</v>
      </c>
    </row>
    <row r="17692" customFormat="false" ht="12.8" hidden="false" customHeight="false" outlineLevel="0" collapsed="false">
      <c r="B17692" s="0" t="s">
        <v>14</v>
      </c>
    </row>
    <row r="17693" customFormat="false" ht="12.8" hidden="false" customHeight="false" outlineLevel="0" collapsed="false">
      <c r="B17693" s="0" t="s">
        <v>338</v>
      </c>
    </row>
    <row r="17695" customFormat="false" ht="12.8" hidden="false" customHeight="false" outlineLevel="0" collapsed="false">
      <c r="A17695" s="0" t="s">
        <v>6778</v>
      </c>
      <c r="B17695" s="0" t="str">
        <f aca="false">HYPERLINK("https://lindat.mff.cuni.cz/services/teitok/pdtc10/index.php?action=vallex&amp;frame=v-w2149f1", "napomenout (v-w2149f1)")</f>
        <v>napomenout (v-w2149f1)</v>
      </c>
    </row>
    <row r="17696" customFormat="false" ht="12.8" hidden="false" customHeight="false" outlineLevel="0" collapsed="false">
      <c r="B17696" s="0" t="s">
        <v>7</v>
      </c>
    </row>
    <row r="17697" customFormat="false" ht="12.8" hidden="false" customHeight="false" outlineLevel="0" collapsed="false">
      <c r="B17697" s="0" t="s">
        <v>14</v>
      </c>
    </row>
    <row r="17699" customFormat="false" ht="12.8" hidden="false" customHeight="false" outlineLevel="0" collapsed="false">
      <c r="A17699" s="0" t="s">
        <v>6779</v>
      </c>
      <c r="B17699" s="0" t="str">
        <f aca="false">HYPERLINK("https://lindat.mff.cuni.cz/services/teitok/pdtc10/index.php?action=vallex&amp;frame=v-w2151f2", "napomoci (v-w2151f2)")</f>
        <v>napomoci (v-w2151f2)</v>
      </c>
    </row>
    <row r="17700" customFormat="false" ht="12.8" hidden="false" customHeight="false" outlineLevel="0" collapsed="false">
      <c r="B17700" s="0" t="s">
        <v>7</v>
      </c>
      <c r="C17700" s="0" t="s">
        <v>6780</v>
      </c>
      <c r="D17700" s="0" t="s">
        <v>6781</v>
      </c>
      <c r="E17700" s="0" t="s">
        <v>6781</v>
      </c>
      <c r="F17700" s="0" t="s">
        <v>6781</v>
      </c>
    </row>
    <row r="17701" customFormat="false" ht="12.8" hidden="false" customHeight="false" outlineLevel="0" collapsed="false">
      <c r="B17701" s="0" t="s">
        <v>268</v>
      </c>
      <c r="C17701" s="0" t="s">
        <v>6782</v>
      </c>
      <c r="D17701" s="0" t="s">
        <v>6783</v>
      </c>
      <c r="E17701" s="0" t="s">
        <v>6783</v>
      </c>
      <c r="F17701" s="0" t="s">
        <v>6783</v>
      </c>
    </row>
    <row r="17703" customFormat="false" ht="12.8" hidden="false" customHeight="false" outlineLevel="0" collapsed="false">
      <c r="A17703" s="0" t="s">
        <v>6784</v>
      </c>
      <c r="B17703" s="0" t="str">
        <f aca="false">HYPERLINK("https://lindat.mff.cuni.cz/services/teitok/pdtc10/index.php?action=vallex&amp;frame=v-w2151f3", "napomoci (v-w2151f3)")</f>
        <v>napomoci (v-w2151f3)</v>
      </c>
    </row>
    <row r="17704" customFormat="false" ht="12.8" hidden="false" customHeight="false" outlineLevel="0" collapsed="false">
      <c r="B17704" s="0" t="s">
        <v>979</v>
      </c>
      <c r="C17704" s="0" t="s">
        <v>6785</v>
      </c>
      <c r="D17704" s="0" t="s">
        <v>6786</v>
      </c>
      <c r="E17704" s="0" t="s">
        <v>6786</v>
      </c>
      <c r="F17704" s="0" t="s">
        <v>6786</v>
      </c>
    </row>
    <row r="17705" customFormat="false" ht="12.8" hidden="false" customHeight="false" outlineLevel="0" collapsed="false">
      <c r="B17705" s="0" t="s">
        <v>48</v>
      </c>
      <c r="C17705" s="0" t="s">
        <v>6787</v>
      </c>
      <c r="D17705" s="0" t="s">
        <v>6788</v>
      </c>
      <c r="E17705" s="0" t="s">
        <v>6788</v>
      </c>
      <c r="F17705" s="0" t="s">
        <v>6788</v>
      </c>
    </row>
    <row r="17706" customFormat="false" ht="12.8" hidden="false" customHeight="false" outlineLevel="0" collapsed="false">
      <c r="B17706" s="0" t="s">
        <v>6789</v>
      </c>
      <c r="C17706" s="0" t="s">
        <v>6790</v>
      </c>
      <c r="D17706" s="0" t="s">
        <v>6791</v>
      </c>
      <c r="E17706" s="0" t="s">
        <v>6791</v>
      </c>
      <c r="F17706" s="0" t="s">
        <v>6791</v>
      </c>
    </row>
    <row r="17708" customFormat="false" ht="12.8" hidden="false" customHeight="false" outlineLevel="0" collapsed="false">
      <c r="A17708" s="0" t="s">
        <v>6792</v>
      </c>
      <c r="B17708" s="0" t="str">
        <f aca="false">HYPERLINK("https://lindat.mff.cuni.cz/services/teitok/pdtc10/index.php?action=vallex&amp;frame=v-w2151f1", "napomoci (v-w2151f1)")</f>
        <v>napomoci (v-w2151f1)</v>
      </c>
    </row>
    <row r="17709" customFormat="false" ht="12.8" hidden="false" customHeight="false" outlineLevel="0" collapsed="false">
      <c r="B17709" s="0" t="s">
        <v>7</v>
      </c>
      <c r="C17709" s="0" t="s">
        <v>6793</v>
      </c>
      <c r="D17709" s="0" t="s">
        <v>6786</v>
      </c>
      <c r="E17709" s="0" t="s">
        <v>6786</v>
      </c>
      <c r="F17709" s="0" t="s">
        <v>6786</v>
      </c>
    </row>
    <row r="17710" customFormat="false" ht="12.8" hidden="false" customHeight="false" outlineLevel="0" collapsed="false">
      <c r="B17710" s="0" t="s">
        <v>48</v>
      </c>
      <c r="C17710" s="0" t="s">
        <v>6794</v>
      </c>
      <c r="D17710" s="0" t="s">
        <v>6788</v>
      </c>
      <c r="E17710" s="0" t="s">
        <v>6788</v>
      </c>
      <c r="F17710" s="0" t="s">
        <v>6788</v>
      </c>
    </row>
    <row r="17711" customFormat="false" ht="12.8" hidden="false" customHeight="false" outlineLevel="0" collapsed="false">
      <c r="B17711" s="0" t="s">
        <v>6795</v>
      </c>
      <c r="C17711" s="0" t="s">
        <v>6790</v>
      </c>
      <c r="D17711" s="0" t="s">
        <v>6791</v>
      </c>
      <c r="E17711" s="0" t="s">
        <v>6791</v>
      </c>
      <c r="F17711" s="0" t="s">
        <v>6791</v>
      </c>
    </row>
    <row r="17713" customFormat="false" ht="12.8" hidden="false" customHeight="false" outlineLevel="0" collapsed="false">
      <c r="A17713" s="0" t="s">
        <v>6796</v>
      </c>
      <c r="B17713" s="0" t="str">
        <f aca="false">HYPERLINK("https://lindat.mff.cuni.cz/services/teitok/pdtc10/index.php?action=vallex&amp;frame=v-w2148f1", "napomáhat (v-w2148f1)")</f>
        <v>napomáhat (v-w2148f1)</v>
      </c>
    </row>
    <row r="17714" customFormat="false" ht="12.8" hidden="false" customHeight="false" outlineLevel="0" collapsed="false">
      <c r="B17714" s="0" t="s">
        <v>7</v>
      </c>
      <c r="C17714" s="0" t="s">
        <v>6797</v>
      </c>
      <c r="D17714" s="0" t="s">
        <v>6781</v>
      </c>
      <c r="E17714" s="0" t="s">
        <v>6781</v>
      </c>
      <c r="F17714" s="0" t="s">
        <v>6781</v>
      </c>
    </row>
    <row r="17715" customFormat="false" ht="12.8" hidden="false" customHeight="false" outlineLevel="0" collapsed="false">
      <c r="B17715" s="0" t="s">
        <v>268</v>
      </c>
      <c r="C17715" s="0" t="s">
        <v>5444</v>
      </c>
      <c r="D17715" s="0" t="s">
        <v>6783</v>
      </c>
      <c r="E17715" s="0" t="s">
        <v>6783</v>
      </c>
      <c r="F17715" s="0" t="s">
        <v>6783</v>
      </c>
    </row>
    <row r="17717" customFormat="false" ht="12.8" hidden="false" customHeight="false" outlineLevel="0" collapsed="false">
      <c r="A17717" s="0" t="s">
        <v>6798</v>
      </c>
      <c r="B17717" s="0" t="str">
        <f aca="false">HYPERLINK("https://lindat.mff.cuni.cz/services/teitok/pdtc10/index.php?action=vallex&amp;frame=v-w2148f3", "napomáhat (v-w2148f3)")</f>
        <v>napomáhat (v-w2148f3)</v>
      </c>
    </row>
    <row r="17718" customFormat="false" ht="12.8" hidden="false" customHeight="false" outlineLevel="0" collapsed="false">
      <c r="B17718" s="0" t="s">
        <v>7</v>
      </c>
      <c r="C17718" s="0" t="s">
        <v>6799</v>
      </c>
      <c r="D17718" s="0" t="s">
        <v>6786</v>
      </c>
      <c r="E17718" s="0" t="s">
        <v>6786</v>
      </c>
      <c r="F17718" s="0" t="s">
        <v>6786</v>
      </c>
    </row>
    <row r="17719" customFormat="false" ht="12.8" hidden="false" customHeight="false" outlineLevel="0" collapsed="false">
      <c r="B17719" s="0" t="s">
        <v>48</v>
      </c>
      <c r="C17719" s="0" t="s">
        <v>6787</v>
      </c>
      <c r="D17719" s="0" t="s">
        <v>6788</v>
      </c>
      <c r="E17719" s="0" t="s">
        <v>6788</v>
      </c>
      <c r="F17719" s="0" t="s">
        <v>6788</v>
      </c>
    </row>
    <row r="17720" customFormat="false" ht="12.8" hidden="false" customHeight="false" outlineLevel="0" collapsed="false">
      <c r="B17720" s="0" t="s">
        <v>6795</v>
      </c>
      <c r="C17720" s="0" t="s">
        <v>6800</v>
      </c>
      <c r="D17720" s="0" t="s">
        <v>6791</v>
      </c>
      <c r="E17720" s="0" t="s">
        <v>6791</v>
      </c>
      <c r="F17720" s="0" t="s">
        <v>6791</v>
      </c>
    </row>
    <row r="17722" customFormat="false" ht="12.8" hidden="false" customHeight="false" outlineLevel="0" collapsed="false">
      <c r="A17722" s="0" t="s">
        <v>6801</v>
      </c>
      <c r="B17722" s="0" t="str">
        <f aca="false">HYPERLINK("https://lindat.mff.cuni.cz/services/teitok/pdtc10/index.php?action=vallex&amp;frame=v-w2148f4_ZU", "napomáhat (v-w2148f4_ZU)")</f>
        <v>napomáhat (v-w2148f4_ZU)</v>
      </c>
    </row>
    <row r="17723" customFormat="false" ht="12.8" hidden="false" customHeight="false" outlineLevel="0" collapsed="false">
      <c r="B17723" s="0" t="s">
        <v>6802</v>
      </c>
      <c r="D17723" s="0" t="s">
        <v>6786</v>
      </c>
      <c r="E17723" s="0" t="s">
        <v>6786</v>
      </c>
      <c r="F17723" s="0" t="s">
        <v>6786</v>
      </c>
    </row>
    <row r="17724" customFormat="false" ht="12.8" hidden="false" customHeight="false" outlineLevel="0" collapsed="false">
      <c r="B17724" s="0" t="s">
        <v>48</v>
      </c>
      <c r="D17724" s="0" t="s">
        <v>6788</v>
      </c>
      <c r="E17724" s="0" t="s">
        <v>6788</v>
      </c>
      <c r="F17724" s="0" t="s">
        <v>6788</v>
      </c>
    </row>
    <row r="17725" customFormat="false" ht="12.8" hidden="false" customHeight="false" outlineLevel="0" collapsed="false">
      <c r="B17725" s="0" t="s">
        <v>6789</v>
      </c>
      <c r="D17725" s="0" t="s">
        <v>6791</v>
      </c>
      <c r="E17725" s="0" t="s">
        <v>6791</v>
      </c>
      <c r="F17725" s="0" t="s">
        <v>6791</v>
      </c>
    </row>
    <row r="17727" customFormat="false" ht="12.8" hidden="false" customHeight="false" outlineLevel="0" collapsed="false">
      <c r="A17727" s="0" t="s">
        <v>6801</v>
      </c>
      <c r="B17727" s="0" t="str">
        <f aca="false">HYPERLINK("https://lindat.mff.cuni.cz/services/teitok/pdtc10/index.php?action=vallex&amp;frame=v-w2148f2", "napomáhat (v-w2148f2) - substituted with v-w2148f4_ZU")</f>
        <v>napomáhat (v-w2148f2) - substituted with v-w2148f4_ZU</v>
      </c>
    </row>
    <row r="17728" customFormat="false" ht="12.8" hidden="false" customHeight="false" outlineLevel="0" collapsed="false">
      <c r="B17728" s="0" t="s">
        <v>6802</v>
      </c>
    </row>
    <row r="17729" customFormat="false" ht="12.8" hidden="false" customHeight="false" outlineLevel="0" collapsed="false">
      <c r="B17729" s="0" t="s">
        <v>48</v>
      </c>
    </row>
    <row r="17730" customFormat="false" ht="12.8" hidden="false" customHeight="false" outlineLevel="0" collapsed="false">
      <c r="B17730" s="0" t="s">
        <v>6789</v>
      </c>
    </row>
    <row r="17732" customFormat="false" ht="12.8" hidden="false" customHeight="false" outlineLevel="0" collapsed="false">
      <c r="A17732" s="0" t="s">
        <v>6803</v>
      </c>
      <c r="B17732" s="0" t="str">
        <f aca="false">HYPERLINK("https://lindat.mff.cuni.cz/services/teitok/pdtc10/index.php?action=vallex&amp;frame=v-w11524_ZUf1_ZU", "napomínat (v-w11524_ZUf1_ZU)")</f>
        <v>napomínat (v-w11524_ZUf1_ZU)</v>
      </c>
    </row>
    <row r="17733" customFormat="false" ht="12.8" hidden="false" customHeight="false" outlineLevel="0" collapsed="false">
      <c r="B17733" s="0" t="s">
        <v>7</v>
      </c>
      <c r="D17733" s="0" t="s">
        <v>1154</v>
      </c>
      <c r="E17733" s="0" t="s">
        <v>1154</v>
      </c>
      <c r="F17733" s="0" t="s">
        <v>1154</v>
      </c>
    </row>
    <row r="17734" customFormat="false" ht="12.8" hidden="false" customHeight="false" outlineLevel="0" collapsed="false">
      <c r="B17734" s="0" t="s">
        <v>14</v>
      </c>
      <c r="C17734" s="0" t="s">
        <v>155</v>
      </c>
      <c r="D17734" s="0" t="s">
        <v>6804</v>
      </c>
      <c r="E17734" s="0" t="s">
        <v>6805</v>
      </c>
      <c r="F17734" s="0" t="s">
        <v>6805</v>
      </c>
    </row>
    <row r="17736" customFormat="false" ht="12.8" hidden="false" customHeight="false" outlineLevel="0" collapsed="false">
      <c r="A17736" s="0" t="s">
        <v>6806</v>
      </c>
      <c r="B17736" s="0" t="str">
        <f aca="false">HYPERLINK("https://lindat.mff.cuni.cz/services/teitok/pdtc10/index.php?action=vallex&amp;frame=v-whsb_165hsa_166", "naporcovat (v-whsb_165hsa_166)")</f>
        <v>naporcovat (v-whsb_165hsa_166)</v>
      </c>
    </row>
    <row r="17737" customFormat="false" ht="12.8" hidden="false" customHeight="false" outlineLevel="0" collapsed="false">
      <c r="B17737" s="0" t="s">
        <v>7</v>
      </c>
    </row>
    <row r="17738" customFormat="false" ht="12.8" hidden="false" customHeight="false" outlineLevel="0" collapsed="false">
      <c r="B17738" s="0" t="s">
        <v>14</v>
      </c>
    </row>
    <row r="17739" customFormat="false" ht="12.8" hidden="false" customHeight="false" outlineLevel="0" collapsed="false">
      <c r="B17739" s="0" t="s">
        <v>84</v>
      </c>
    </row>
    <row r="17741" customFormat="false" ht="12.8" hidden="false" customHeight="false" outlineLevel="0" collapsed="false">
      <c r="A17741" s="0" t="s">
        <v>6807</v>
      </c>
      <c r="B17741" s="0" t="str">
        <f aca="false">HYPERLINK("https://lindat.mff.cuni.cz/services/teitok/pdtc10/index.php?action=vallex&amp;frame=v-w2154f1", "napovídat (v-w2154f1)")</f>
        <v>napovídat (v-w2154f1)</v>
      </c>
    </row>
    <row r="17742" customFormat="false" ht="12.8" hidden="false" customHeight="false" outlineLevel="0" collapsed="false">
      <c r="B17742" s="0" t="s">
        <v>7</v>
      </c>
      <c r="C17742" s="0" t="s">
        <v>6808</v>
      </c>
      <c r="D17742" s="0" t="s">
        <v>6809</v>
      </c>
      <c r="E17742" s="0" t="s">
        <v>6810</v>
      </c>
      <c r="F17742" s="0" t="s">
        <v>6810</v>
      </c>
    </row>
    <row r="17743" customFormat="false" ht="12.8" hidden="false" customHeight="false" outlineLevel="0" collapsed="false">
      <c r="B17743" s="0" t="s">
        <v>6387</v>
      </c>
      <c r="C17743" s="0" t="s">
        <v>6811</v>
      </c>
      <c r="D17743" s="0" t="s">
        <v>6812</v>
      </c>
      <c r="E17743" s="0" t="s">
        <v>6813</v>
      </c>
      <c r="F17743" s="0" t="s">
        <v>6813</v>
      </c>
    </row>
    <row r="17744" customFormat="false" ht="12.8" hidden="false" customHeight="false" outlineLevel="0" collapsed="false">
      <c r="B17744" s="0" t="s">
        <v>48</v>
      </c>
      <c r="C17744" s="0" t="s">
        <v>6814</v>
      </c>
      <c r="D17744" s="0" t="s">
        <v>6185</v>
      </c>
      <c r="E17744" s="0" t="s">
        <v>5001</v>
      </c>
      <c r="F17744" s="0" t="s">
        <v>5001</v>
      </c>
    </row>
    <row r="17746" customFormat="false" ht="12.8" hidden="false" customHeight="false" outlineLevel="0" collapsed="false">
      <c r="A17746" s="0" t="s">
        <v>6815</v>
      </c>
      <c r="B17746" s="0" t="str">
        <f aca="false">HYPERLINK("https://lindat.mff.cuni.cz/services/teitok/pdtc10/index.php?action=vallex&amp;frame=v-w2154f2", "napovídat (v-w2154f2)")</f>
        <v>napovídat (v-w2154f2)</v>
      </c>
    </row>
    <row r="17747" customFormat="false" ht="12.8" hidden="false" customHeight="false" outlineLevel="0" collapsed="false">
      <c r="B17747" s="0" t="s">
        <v>7</v>
      </c>
    </row>
    <row r="17748" customFormat="false" ht="12.8" hidden="false" customHeight="false" outlineLevel="0" collapsed="false">
      <c r="B17748" s="0" t="s">
        <v>6816</v>
      </c>
    </row>
    <row r="17749" customFormat="false" ht="12.8" hidden="false" customHeight="false" outlineLevel="0" collapsed="false">
      <c r="B17749" s="0" t="s">
        <v>363</v>
      </c>
    </row>
    <row r="17750" customFormat="false" ht="12.8" hidden="false" customHeight="false" outlineLevel="0" collapsed="false">
      <c r="B17750" s="0" t="s">
        <v>106</v>
      </c>
    </row>
    <row r="17752" customFormat="false" ht="12.8" hidden="false" customHeight="false" outlineLevel="0" collapsed="false">
      <c r="A17752" s="0" t="s">
        <v>6817</v>
      </c>
      <c r="B17752" s="0" t="str">
        <f aca="false">HYPERLINK("https://lindat.mff.cuni.cz/services/teitok/pdtc10/index.php?action=vallex&amp;frame=v-w2154hsa_454", "napovídat (v-w2154hsa_454)")</f>
        <v>napovídat (v-w2154hsa_454)</v>
      </c>
    </row>
    <row r="17753" customFormat="false" ht="12.8" hidden="false" customHeight="false" outlineLevel="0" collapsed="false">
      <c r="B17753" s="0" t="s">
        <v>7</v>
      </c>
      <c r="D17753" s="0" t="s">
        <v>6809</v>
      </c>
      <c r="E17753" s="0" t="s">
        <v>6810</v>
      </c>
      <c r="F17753" s="0" t="s">
        <v>6810</v>
      </c>
    </row>
    <row r="17754" customFormat="false" ht="12.8" hidden="false" customHeight="false" outlineLevel="0" collapsed="false">
      <c r="B17754" s="0" t="s">
        <v>1925</v>
      </c>
      <c r="D17754" s="0" t="s">
        <v>6818</v>
      </c>
      <c r="E17754" s="0" t="s">
        <v>6819</v>
      </c>
      <c r="F17754" s="0" t="s">
        <v>6819</v>
      </c>
    </row>
    <row r="17755" customFormat="false" ht="12.8" hidden="false" customHeight="false" outlineLevel="0" collapsed="false">
      <c r="B17755" s="0" t="s">
        <v>363</v>
      </c>
      <c r="D17755" s="0" t="s">
        <v>6812</v>
      </c>
      <c r="E17755" s="0" t="s">
        <v>6813</v>
      </c>
      <c r="F17755" s="0" t="s">
        <v>6813</v>
      </c>
    </row>
    <row r="17756" customFormat="false" ht="12.8" hidden="false" customHeight="false" outlineLevel="0" collapsed="false">
      <c r="B17756" s="0" t="s">
        <v>106</v>
      </c>
      <c r="D17756" s="0" t="s">
        <v>6185</v>
      </c>
      <c r="E17756" s="0" t="s">
        <v>5001</v>
      </c>
      <c r="F17756" s="0" t="s">
        <v>5001</v>
      </c>
    </row>
    <row r="17758" customFormat="false" ht="12.8" hidden="false" customHeight="false" outlineLevel="0" collapsed="false">
      <c r="A17758" s="0" t="s">
        <v>6820</v>
      </c>
      <c r="B17758" s="0" t="str">
        <f aca="false">HYPERLINK("https://lindat.mff.cuni.cz/services/teitok/pdtc10/index.php?action=vallex&amp;frame=v-w2153f1", "napovědět (v-w2153f1)")</f>
        <v>napovědět (v-w2153f1)</v>
      </c>
    </row>
    <row r="17759" customFormat="false" ht="12.8" hidden="false" customHeight="false" outlineLevel="0" collapsed="false">
      <c r="B17759" s="0" t="s">
        <v>7</v>
      </c>
      <c r="D17759" s="0" t="s">
        <v>6809</v>
      </c>
      <c r="E17759" s="0" t="s">
        <v>6810</v>
      </c>
      <c r="F17759" s="0" t="s">
        <v>6810</v>
      </c>
    </row>
    <row r="17760" customFormat="false" ht="12.8" hidden="false" customHeight="false" outlineLevel="0" collapsed="false">
      <c r="B17760" s="0" t="s">
        <v>6821</v>
      </c>
      <c r="D17760" s="0" t="s">
        <v>6812</v>
      </c>
      <c r="E17760" s="0" t="s">
        <v>6813</v>
      </c>
      <c r="F17760" s="0" t="s">
        <v>6813</v>
      </c>
    </row>
    <row r="17761" customFormat="false" ht="12.8" hidden="false" customHeight="false" outlineLevel="0" collapsed="false">
      <c r="B17761" s="0" t="s">
        <v>48</v>
      </c>
      <c r="D17761" s="0" t="s">
        <v>6185</v>
      </c>
      <c r="E17761" s="0" t="s">
        <v>5001</v>
      </c>
      <c r="F17761" s="0" t="s">
        <v>5001</v>
      </c>
    </row>
    <row r="17763" customFormat="false" ht="12.8" hidden="false" customHeight="false" outlineLevel="0" collapsed="false">
      <c r="A17763" s="0" t="s">
        <v>6822</v>
      </c>
      <c r="B17763" s="0" t="str">
        <f aca="false">HYPERLINK("https://lindat.mff.cuni.cz/services/teitok/pdtc10/index.php?action=vallex&amp;frame=v-w2139f1", "napočítat (v-w2139f1)")</f>
        <v>napočítat (v-w2139f1)</v>
      </c>
    </row>
    <row r="17764" customFormat="false" ht="12.8" hidden="false" customHeight="false" outlineLevel="0" collapsed="false">
      <c r="B17764" s="0" t="s">
        <v>7</v>
      </c>
      <c r="C17764" s="0" t="s">
        <v>1332</v>
      </c>
    </row>
    <row r="17765" customFormat="false" ht="12.8" hidden="false" customHeight="false" outlineLevel="0" collapsed="false">
      <c r="B17765" s="0" t="s">
        <v>14</v>
      </c>
      <c r="C17765" s="0" t="s">
        <v>120</v>
      </c>
    </row>
    <row r="17767" customFormat="false" ht="12.8" hidden="false" customHeight="false" outlineLevel="0" collapsed="false">
      <c r="A17767" s="0" t="s">
        <v>6823</v>
      </c>
      <c r="B17767" s="0" t="str">
        <f aca="false">HYPERLINK("https://lindat.mff.cuni.cz/services/teitok/pdtc10/index.php?action=vallex&amp;frame=v-w2139f2_MM", "napočítat (v-w2139f2_MM)")</f>
        <v>napočítat (v-w2139f2_MM)</v>
      </c>
    </row>
    <row r="17768" customFormat="false" ht="12.8" hidden="false" customHeight="false" outlineLevel="0" collapsed="false">
      <c r="B17768" s="0" t="s">
        <v>7</v>
      </c>
    </row>
    <row r="17769" customFormat="false" ht="12.8" hidden="false" customHeight="false" outlineLevel="0" collapsed="false">
      <c r="B17769" s="0" t="s">
        <v>14</v>
      </c>
    </row>
    <row r="17770" customFormat="false" ht="12.8" hidden="false" customHeight="false" outlineLevel="0" collapsed="false">
      <c r="B17770" s="0" t="s">
        <v>84</v>
      </c>
    </row>
    <row r="17772" customFormat="false" ht="12.8" hidden="false" customHeight="false" outlineLevel="0" collapsed="false">
      <c r="A17772" s="0" t="s">
        <v>6824</v>
      </c>
      <c r="B17772" s="0" t="str">
        <f aca="false">HYPERLINK("https://lindat.mff.cuni.cz/services/teitok/pdtc10/index.php?action=vallex&amp;frame=v-whsb_567hsa_568", "napracovat (v-whsb_567hsa_568)")</f>
        <v>napracovat (v-whsb_567hsa_568)</v>
      </c>
    </row>
    <row r="17773" customFormat="false" ht="12.8" hidden="false" customHeight="false" outlineLevel="0" collapsed="false">
      <c r="B17773" s="0" t="s">
        <v>7</v>
      </c>
    </row>
    <row r="17774" customFormat="false" ht="12.8" hidden="false" customHeight="false" outlineLevel="0" collapsed="false">
      <c r="B17774" s="0" t="s">
        <v>14</v>
      </c>
    </row>
    <row r="17776" customFormat="false" ht="12.8" hidden="false" customHeight="false" outlineLevel="0" collapsed="false">
      <c r="A17776" s="0" t="s">
        <v>6825</v>
      </c>
      <c r="B17776" s="0" t="str">
        <f aca="false">HYPERLINK("https://lindat.mff.cuni.cz/services/teitok/pdtc10/index.php?action=vallex&amp;frame=v-w12122_ZUf1_ZU", "napracovat se (v-w12122_ZUf1_ZU)")</f>
        <v>napracovat se (v-w12122_ZUf1_ZU)</v>
      </c>
    </row>
    <row r="17777" customFormat="false" ht="12.8" hidden="false" customHeight="false" outlineLevel="0" collapsed="false">
      <c r="B17777" s="0" t="s">
        <v>7</v>
      </c>
    </row>
    <row r="17778" customFormat="false" ht="12.8" hidden="false" customHeight="false" outlineLevel="0" collapsed="false">
      <c r="B17778" s="0" t="s">
        <v>3200</v>
      </c>
    </row>
    <row r="17780" customFormat="false" ht="12.8" hidden="false" customHeight="false" outlineLevel="0" collapsed="false">
      <c r="A17780" s="0" t="s">
        <v>6826</v>
      </c>
      <c r="B17780" s="0" t="str">
        <f aca="false">HYPERLINK("https://lindat.mff.cuni.cz/services/teitok/pdtc10/index.php?action=vallex&amp;frame=v-whsb_147f1_ZU", "napracovávat (v-whsb_147f1_ZU)")</f>
        <v>napracovávat (v-whsb_147f1_ZU)</v>
      </c>
    </row>
    <row r="17781" customFormat="false" ht="12.8" hidden="false" customHeight="false" outlineLevel="0" collapsed="false">
      <c r="B17781" s="0" t="s">
        <v>7</v>
      </c>
    </row>
    <row r="17782" customFormat="false" ht="12.8" hidden="false" customHeight="false" outlineLevel="0" collapsed="false">
      <c r="B17782" s="0" t="s">
        <v>14</v>
      </c>
    </row>
    <row r="17784" customFormat="false" ht="12.8" hidden="false" customHeight="false" outlineLevel="0" collapsed="false">
      <c r="A17784" s="0" t="s">
        <v>6826</v>
      </c>
      <c r="B17784" s="0" t="str">
        <f aca="false">HYPERLINK("https://lindat.mff.cuni.cz/services/teitok/pdtc10/index.php?action=vallex&amp;frame=v-whsb_147hsa_148", "napracovávat (v-whsb_147hsa_148) - substituted with v-whsb_147f1_ZU")</f>
        <v>napracovávat (v-whsb_147hsa_148) - substituted with v-whsb_147f1_ZU</v>
      </c>
    </row>
    <row r="17785" customFormat="false" ht="12.8" hidden="false" customHeight="false" outlineLevel="0" collapsed="false">
      <c r="B17785" s="0" t="s">
        <v>7</v>
      </c>
    </row>
    <row r="17786" customFormat="false" ht="12.8" hidden="false" customHeight="false" outlineLevel="0" collapsed="false">
      <c r="B17786" s="0" t="s">
        <v>14</v>
      </c>
    </row>
    <row r="17788" customFormat="false" ht="12.8" hidden="false" customHeight="false" outlineLevel="0" collapsed="false">
      <c r="A17788" s="0" t="s">
        <v>6827</v>
      </c>
      <c r="B17788" s="0" t="str">
        <f aca="false">HYPERLINK("https://lindat.mff.cuni.cz/services/teitok/pdtc10/index.php?action=vallex&amp;frame=v-w2158f1", "napravit (v-w2158f1)")</f>
        <v>napravit (v-w2158f1)</v>
      </c>
    </row>
    <row r="17789" customFormat="false" ht="12.8" hidden="false" customHeight="false" outlineLevel="0" collapsed="false">
      <c r="B17789" s="0" t="s">
        <v>7</v>
      </c>
      <c r="C17789" s="0" t="s">
        <v>6828</v>
      </c>
      <c r="D17789" s="0" t="s">
        <v>4732</v>
      </c>
      <c r="E17789" s="0" t="s">
        <v>4732</v>
      </c>
      <c r="F17789" s="0" t="s">
        <v>4732</v>
      </c>
    </row>
    <row r="17790" customFormat="false" ht="12.8" hidden="false" customHeight="false" outlineLevel="0" collapsed="false">
      <c r="B17790" s="0" t="s">
        <v>14</v>
      </c>
      <c r="C17790" s="0" t="s">
        <v>469</v>
      </c>
      <c r="D17790" s="0" t="s">
        <v>4737</v>
      </c>
      <c r="E17790" s="0" t="s">
        <v>4737</v>
      </c>
      <c r="F17790" s="0" t="s">
        <v>4737</v>
      </c>
    </row>
    <row r="17792" customFormat="false" ht="12.8" hidden="false" customHeight="false" outlineLevel="0" collapsed="false">
      <c r="A17792" s="0" t="s">
        <v>6829</v>
      </c>
      <c r="B17792" s="0" t="str">
        <f aca="false">HYPERLINK("https://lindat.mff.cuni.cz/services/teitok/pdtc10/index.php?action=vallex&amp;frame=v-w2159f1", "napravovat (v-w2159f1)")</f>
        <v>napravovat (v-w2159f1)</v>
      </c>
    </row>
    <row r="17793" customFormat="false" ht="12.8" hidden="false" customHeight="false" outlineLevel="0" collapsed="false">
      <c r="B17793" s="0" t="s">
        <v>7</v>
      </c>
      <c r="D17793" s="0" t="s">
        <v>4732</v>
      </c>
      <c r="E17793" s="0" t="s">
        <v>4732</v>
      </c>
      <c r="F17793" s="0" t="s">
        <v>4732</v>
      </c>
    </row>
    <row r="17794" customFormat="false" ht="12.8" hidden="false" customHeight="false" outlineLevel="0" collapsed="false">
      <c r="B17794" s="0" t="s">
        <v>14</v>
      </c>
      <c r="D17794" s="0" t="s">
        <v>4737</v>
      </c>
      <c r="E17794" s="0" t="s">
        <v>4737</v>
      </c>
      <c r="F17794" s="0" t="s">
        <v>4737</v>
      </c>
    </row>
    <row r="17796" customFormat="false" ht="12.8" hidden="false" customHeight="false" outlineLevel="0" collapsed="false">
      <c r="A17796" s="0" t="s">
        <v>6830</v>
      </c>
      <c r="B17796" s="0" t="str">
        <f aca="false">HYPERLINK("https://lindat.mff.cuni.cz/services/teitok/pdtc10/index.php?action=vallex&amp;frame=v-w11079f2", "naprogramovat (v-w11079f2)")</f>
        <v>naprogramovat (v-w11079f2)</v>
      </c>
    </row>
    <row r="17797" customFormat="false" ht="12.8" hidden="false" customHeight="false" outlineLevel="0" collapsed="false">
      <c r="B17797" s="0" t="s">
        <v>7</v>
      </c>
      <c r="C17797" s="0" t="s">
        <v>191</v>
      </c>
      <c r="D17797" s="0" t="s">
        <v>191</v>
      </c>
      <c r="E17797" s="0" t="s">
        <v>191</v>
      </c>
      <c r="F17797" s="0" t="s">
        <v>191</v>
      </c>
    </row>
    <row r="17798" customFormat="false" ht="12.8" hidden="false" customHeight="false" outlineLevel="0" collapsed="false">
      <c r="B17798" s="0" t="s">
        <v>14</v>
      </c>
      <c r="C17798" s="0" t="s">
        <v>6831</v>
      </c>
      <c r="D17798" s="0" t="s">
        <v>6832</v>
      </c>
      <c r="E17798" s="0" t="s">
        <v>6832</v>
      </c>
      <c r="F17798" s="0" t="s">
        <v>6832</v>
      </c>
    </row>
    <row r="17800" customFormat="false" ht="12.8" hidden="false" customHeight="false" outlineLevel="0" collapsed="false">
      <c r="A17800" s="0" t="s">
        <v>6833</v>
      </c>
      <c r="B17800" s="0" t="str">
        <f aca="false">HYPERLINK("https://lindat.mff.cuni.cz/services/teitok/pdtc10/index.php?action=vallex&amp;frame=v-whsa_1913hsa_1914", "napršet (v-whsa_1913hsa_1914)")</f>
        <v>napršet (v-whsa_1913hsa_1914)</v>
      </c>
    </row>
    <row r="17802" customFormat="false" ht="12.8" hidden="false" customHeight="false" outlineLevel="0" collapsed="false">
      <c r="A17802" s="0" t="s">
        <v>6834</v>
      </c>
      <c r="B17802" s="0" t="str">
        <f aca="false">HYPERLINK("https://lindat.mff.cuni.cz/services/teitok/pdtc10/index.php?action=vallex&amp;frame=v-w2163f5", "napsat (v-w2163f5)")</f>
        <v>napsat (v-w2163f5)</v>
      </c>
    </row>
    <row r="17803" customFormat="false" ht="12.8" hidden="false" customHeight="false" outlineLevel="0" collapsed="false">
      <c r="B17803" s="0" t="s">
        <v>7</v>
      </c>
    </row>
    <row r="17804" customFormat="false" ht="12.8" hidden="false" customHeight="false" outlineLevel="0" collapsed="false">
      <c r="B17804" s="0" t="s">
        <v>615</v>
      </c>
    </row>
    <row r="17805" customFormat="false" ht="12.8" hidden="false" customHeight="false" outlineLevel="0" collapsed="false">
      <c r="B17805" s="0" t="s">
        <v>48</v>
      </c>
    </row>
    <row r="17807" customFormat="false" ht="12.8" hidden="false" customHeight="false" outlineLevel="0" collapsed="false">
      <c r="A17807" s="0" t="s">
        <v>6835</v>
      </c>
      <c r="B17807" s="0" t="str">
        <f aca="false">HYPERLINK("https://lindat.mff.cuni.cz/services/teitok/pdtc10/index.php?action=vallex&amp;frame=v-w2163f6", "napsat (v-w2163f6)")</f>
        <v>napsat (v-w2163f6)</v>
      </c>
    </row>
    <row r="17808" customFormat="false" ht="12.8" hidden="false" customHeight="false" outlineLevel="0" collapsed="false">
      <c r="B17808" s="0" t="s">
        <v>7</v>
      </c>
    </row>
    <row r="17809" customFormat="false" ht="12.8" hidden="false" customHeight="false" outlineLevel="0" collapsed="false">
      <c r="B17809" s="0" t="s">
        <v>244</v>
      </c>
    </row>
    <row r="17810" customFormat="false" ht="12.8" hidden="false" customHeight="false" outlineLevel="0" collapsed="false">
      <c r="B17810" s="0" t="s">
        <v>106</v>
      </c>
    </row>
    <row r="17812" customFormat="false" ht="12.8" hidden="false" customHeight="false" outlineLevel="0" collapsed="false">
      <c r="A17812" s="0" t="s">
        <v>6836</v>
      </c>
      <c r="B17812" s="0" t="str">
        <f aca="false">HYPERLINK("https://lindat.mff.cuni.cz/services/teitok/pdtc10/index.php?action=vallex&amp;frame=v-w2163hsa_705", "napsat (v-w2163hsa_705)")</f>
        <v>napsat (v-w2163hsa_705)</v>
      </c>
    </row>
    <row r="17813" customFormat="false" ht="12.8" hidden="false" customHeight="false" outlineLevel="0" collapsed="false">
      <c r="B17813" s="0" t="s">
        <v>7</v>
      </c>
    </row>
    <row r="17814" customFormat="false" ht="12.8" hidden="false" customHeight="false" outlineLevel="0" collapsed="false">
      <c r="B17814" s="0" t="s">
        <v>165</v>
      </c>
    </row>
    <row r="17815" customFormat="false" ht="12.8" hidden="false" customHeight="false" outlineLevel="0" collapsed="false">
      <c r="B17815" s="0" t="s">
        <v>11</v>
      </c>
    </row>
    <row r="17817" customFormat="false" ht="12.8" hidden="false" customHeight="false" outlineLevel="0" collapsed="false">
      <c r="A17817" s="0" t="s">
        <v>6836</v>
      </c>
      <c r="B17817" s="0" t="str">
        <f aca="false">HYPERLINK("https://lindat.mff.cuni.cz/services/teitok/pdtc10/index.php?action=vallex&amp;frame=v-w2163f4", "napsat (v-w2163f4) - substituted with v-w2163hsa_705")</f>
        <v>napsat (v-w2163f4) - substituted with v-w2163hsa_705</v>
      </c>
    </row>
    <row r="17818" customFormat="false" ht="12.8" hidden="false" customHeight="false" outlineLevel="0" collapsed="false">
      <c r="B17818" s="0" t="s">
        <v>7</v>
      </c>
      <c r="C17818" s="0" t="s">
        <v>5452</v>
      </c>
      <c r="D17818" s="0" t="s">
        <v>2736</v>
      </c>
      <c r="E17818" s="0" t="s">
        <v>2736</v>
      </c>
      <c r="F17818" s="0" t="s">
        <v>2736</v>
      </c>
    </row>
    <row r="17819" customFormat="false" ht="12.8" hidden="false" customHeight="false" outlineLevel="0" collapsed="false">
      <c r="B17819" s="0" t="s">
        <v>165</v>
      </c>
      <c r="C17819" s="0" t="s">
        <v>44</v>
      </c>
      <c r="D17819" s="0" t="s">
        <v>6837</v>
      </c>
      <c r="E17819" s="0" t="s">
        <v>6837</v>
      </c>
      <c r="F17819" s="0" t="s">
        <v>6837</v>
      </c>
    </row>
    <row r="17820" customFormat="false" ht="12.8" hidden="false" customHeight="false" outlineLevel="0" collapsed="false">
      <c r="B17820" s="0" t="s">
        <v>11</v>
      </c>
    </row>
    <row r="17822" customFormat="false" ht="12.8" hidden="false" customHeight="false" outlineLevel="0" collapsed="false">
      <c r="A17822" s="0" t="s">
        <v>6838</v>
      </c>
      <c r="B17822" s="0" t="str">
        <f aca="false">HYPERLINK("https://lindat.mff.cuni.cz/services/teitok/pdtc10/index.php?action=vallex&amp;frame=v-w2163f3", "napsat (v-w2163f3)")</f>
        <v>napsat (v-w2163f3)</v>
      </c>
    </row>
    <row r="17823" customFormat="false" ht="12.8" hidden="false" customHeight="false" outlineLevel="0" collapsed="false">
      <c r="B17823" s="0" t="s">
        <v>7</v>
      </c>
      <c r="C17823" s="0" t="s">
        <v>5452</v>
      </c>
      <c r="D17823" s="0" t="s">
        <v>2736</v>
      </c>
      <c r="E17823" s="0" t="s">
        <v>2736</v>
      </c>
      <c r="F17823" s="0" t="s">
        <v>2736</v>
      </c>
    </row>
    <row r="17824" customFormat="false" ht="12.8" hidden="false" customHeight="false" outlineLevel="0" collapsed="false">
      <c r="B17824" s="0" t="s">
        <v>6839</v>
      </c>
      <c r="C17824" s="0" t="s">
        <v>6840</v>
      </c>
      <c r="D17824" s="0" t="s">
        <v>6837</v>
      </c>
      <c r="E17824" s="0" t="s">
        <v>6837</v>
      </c>
      <c r="F17824" s="0" t="s">
        <v>6837</v>
      </c>
    </row>
    <row r="17825" customFormat="false" ht="12.8" hidden="false" customHeight="false" outlineLevel="0" collapsed="false">
      <c r="B17825" s="0" t="s">
        <v>124</v>
      </c>
    </row>
    <row r="17827" customFormat="false" ht="12.8" hidden="false" customHeight="false" outlineLevel="0" collapsed="false">
      <c r="A17827" s="0" t="s">
        <v>6841</v>
      </c>
      <c r="B17827" s="0" t="str">
        <f aca="false">HYPERLINK("https://lindat.mff.cuni.cz/services/teitok/pdtc10/index.php?action=vallex&amp;frame=v-w2163f7", "napsat (v-w2163f7)")</f>
        <v>napsat (v-w2163f7)</v>
      </c>
    </row>
    <row r="17828" customFormat="false" ht="12.8" hidden="false" customHeight="false" outlineLevel="0" collapsed="false">
      <c r="B17828" s="0" t="s">
        <v>7</v>
      </c>
    </row>
    <row r="17829" customFormat="false" ht="12.8" hidden="false" customHeight="false" outlineLevel="0" collapsed="false">
      <c r="B17829" s="0" t="s">
        <v>615</v>
      </c>
    </row>
    <row r="17830" customFormat="false" ht="12.8" hidden="false" customHeight="false" outlineLevel="0" collapsed="false">
      <c r="B17830" s="0" t="s">
        <v>124</v>
      </c>
    </row>
    <row r="17832" customFormat="false" ht="12.8" hidden="false" customHeight="false" outlineLevel="0" collapsed="false">
      <c r="A17832" s="0" t="s">
        <v>6842</v>
      </c>
      <c r="B17832" s="0" t="str">
        <f aca="false">HYPERLINK("https://lindat.mff.cuni.cz/services/teitok/pdtc10/index.php?action=vallex&amp;frame=v-w2163f2", "napsat (v-w2163f2)")</f>
        <v>napsat (v-w2163f2)</v>
      </c>
    </row>
    <row r="17833" customFormat="false" ht="12.8" hidden="false" customHeight="false" outlineLevel="0" collapsed="false">
      <c r="B17833" s="0" t="s">
        <v>7</v>
      </c>
      <c r="C17833" s="0" t="s">
        <v>3410</v>
      </c>
      <c r="D17833" s="0" t="s">
        <v>1874</v>
      </c>
      <c r="E17833" s="0" t="s">
        <v>1874</v>
      </c>
      <c r="F17833" s="0" t="s">
        <v>1874</v>
      </c>
    </row>
    <row r="17834" customFormat="false" ht="12.8" hidden="false" customHeight="false" outlineLevel="0" collapsed="false">
      <c r="B17834" s="0" t="s">
        <v>14</v>
      </c>
      <c r="C17834" s="0" t="s">
        <v>6843</v>
      </c>
      <c r="D17834" s="0" t="s">
        <v>173</v>
      </c>
      <c r="E17834" s="0" t="s">
        <v>173</v>
      </c>
      <c r="F17834" s="0" t="s">
        <v>173</v>
      </c>
    </row>
    <row r="17836" customFormat="false" ht="12.8" hidden="false" customHeight="false" outlineLevel="0" collapsed="false">
      <c r="A17836" s="0" t="s">
        <v>6844</v>
      </c>
      <c r="B17836" s="0" t="str">
        <f aca="false">HYPERLINK("https://lindat.mff.cuni.cz/services/teitok/pdtc10/index.php?action=vallex&amp;frame=v-w2163f1", "napsat (v-w2163f1)")</f>
        <v>napsat (v-w2163f1)</v>
      </c>
    </row>
    <row r="17837" customFormat="false" ht="12.8" hidden="false" customHeight="false" outlineLevel="0" collapsed="false">
      <c r="B17837" s="0" t="s">
        <v>7</v>
      </c>
      <c r="C17837" s="0" t="s">
        <v>6845</v>
      </c>
      <c r="D17837" s="0" t="s">
        <v>164</v>
      </c>
      <c r="E17837" s="0" t="s">
        <v>164</v>
      </c>
      <c r="F17837" s="0" t="s">
        <v>164</v>
      </c>
    </row>
    <row r="17838" customFormat="false" ht="12.8" hidden="false" customHeight="false" outlineLevel="0" collapsed="false">
      <c r="B17838" s="0" t="s">
        <v>6431</v>
      </c>
      <c r="C17838" s="0" t="s">
        <v>6846</v>
      </c>
      <c r="D17838" s="0" t="s">
        <v>1766</v>
      </c>
      <c r="E17838" s="0" t="s">
        <v>1766</v>
      </c>
      <c r="F17838" s="0" t="s">
        <v>1766</v>
      </c>
    </row>
    <row r="17839" customFormat="false" ht="12.8" hidden="false" customHeight="false" outlineLevel="0" collapsed="false">
      <c r="B17839" s="0" t="s">
        <v>363</v>
      </c>
      <c r="C17839" s="0" t="s">
        <v>6847</v>
      </c>
      <c r="D17839" s="0" t="s">
        <v>167</v>
      </c>
      <c r="E17839" s="0" t="s">
        <v>167</v>
      </c>
      <c r="F17839" s="0" t="s">
        <v>167</v>
      </c>
    </row>
    <row r="17840" customFormat="false" ht="12.8" hidden="false" customHeight="false" outlineLevel="0" collapsed="false">
      <c r="B17840" s="0" t="s">
        <v>106</v>
      </c>
      <c r="C17840" s="0" t="s">
        <v>6848</v>
      </c>
      <c r="D17840" s="0" t="s">
        <v>168</v>
      </c>
      <c r="E17840" s="0" t="s">
        <v>168</v>
      </c>
      <c r="F17840" s="0" t="s">
        <v>168</v>
      </c>
    </row>
    <row r="17842" customFormat="false" ht="12.8" hidden="false" customHeight="false" outlineLevel="0" collapsed="false">
      <c r="A17842" s="0" t="s">
        <v>6849</v>
      </c>
      <c r="B17842" s="0" t="str">
        <f aca="false">HYPERLINK("https://lindat.mff.cuni.cz/services/teitok/pdtc10/index.php?action=vallex&amp;frame=v-w2163hsa_841", "napsat (v-w2163hsa_841)")</f>
        <v>napsat (v-w2163hsa_841)</v>
      </c>
    </row>
    <row r="17843" customFormat="false" ht="12.8" hidden="false" customHeight="false" outlineLevel="0" collapsed="false">
      <c r="B17843" s="0" t="s">
        <v>7</v>
      </c>
      <c r="C17843" s="0" t="s">
        <v>2199</v>
      </c>
    </row>
    <row r="17844" customFormat="false" ht="12.8" hidden="false" customHeight="false" outlineLevel="0" collapsed="false">
      <c r="B17844" s="0" t="s">
        <v>14</v>
      </c>
      <c r="C17844" s="0" t="s">
        <v>26</v>
      </c>
    </row>
    <row r="17846" customFormat="false" ht="12.8" hidden="false" customHeight="false" outlineLevel="0" collapsed="false">
      <c r="A17846" s="0" t="s">
        <v>6850</v>
      </c>
      <c r="B17846" s="0" t="str">
        <f aca="false">HYPERLINK("https://lindat.mff.cuni.cz/services/teitok/pdtc10/index.php?action=vallex&amp;frame=v-w2163f8_ZU", "napsat (v-w2163f8_ZU)")</f>
        <v>napsat (v-w2163f8_ZU)</v>
      </c>
    </row>
    <row r="17847" customFormat="false" ht="12.8" hidden="false" customHeight="false" outlineLevel="0" collapsed="false">
      <c r="B17847" s="0" t="s">
        <v>7</v>
      </c>
    </row>
    <row r="17848" customFormat="false" ht="12.8" hidden="false" customHeight="false" outlineLevel="0" collapsed="false">
      <c r="B17848" s="0" t="s">
        <v>6851</v>
      </c>
    </row>
    <row r="17849" customFormat="false" ht="12.8" hidden="false" customHeight="false" outlineLevel="0" collapsed="false">
      <c r="B17849" s="0" t="s">
        <v>48</v>
      </c>
    </row>
    <row r="17851" customFormat="false" ht="12.8" hidden="false" customHeight="false" outlineLevel="0" collapsed="false">
      <c r="A17851" s="0" t="s">
        <v>6850</v>
      </c>
      <c r="B17851" s="0" t="str">
        <f aca="false">HYPERLINK("https://lindat.mff.cuni.cz/services/teitok/pdtc10/index.php?action=vallex&amp;frame=v-w2163hsa_704", "napsat (v-w2163hsa_704) - substituted with v-w2163f8_ZU")</f>
        <v>napsat (v-w2163hsa_704) - substituted with v-w2163f8_ZU</v>
      </c>
    </row>
    <row r="17852" customFormat="false" ht="12.8" hidden="false" customHeight="false" outlineLevel="0" collapsed="false">
      <c r="B17852" s="0" t="s">
        <v>7</v>
      </c>
    </row>
    <row r="17853" customFormat="false" ht="12.8" hidden="false" customHeight="false" outlineLevel="0" collapsed="false">
      <c r="B17853" s="0" t="s">
        <v>6851</v>
      </c>
    </row>
    <row r="17854" customFormat="false" ht="12.8" hidden="false" customHeight="false" outlineLevel="0" collapsed="false">
      <c r="B17854" s="0" t="s">
        <v>48</v>
      </c>
    </row>
    <row r="17856" customFormat="false" ht="12.8" hidden="false" customHeight="false" outlineLevel="0" collapsed="false">
      <c r="A17856" s="0" t="s">
        <v>6852</v>
      </c>
      <c r="B17856" s="0" t="str">
        <f aca="false">HYPERLINK("https://lindat.mff.cuni.cz/services/teitok/pdtc10/index.php?action=vallex&amp;frame=v-w2163f9_ZU", "napsat (v-w2163f9_ZU)")</f>
        <v>napsat (v-w2163f9_ZU)</v>
      </c>
    </row>
    <row r="17857" customFormat="false" ht="12.8" hidden="false" customHeight="false" outlineLevel="0" collapsed="false">
      <c r="B17857" s="0" t="s">
        <v>7</v>
      </c>
    </row>
    <row r="17858" customFormat="false" ht="12.8" hidden="false" customHeight="false" outlineLevel="0" collapsed="false">
      <c r="B17858" s="0" t="s">
        <v>14</v>
      </c>
    </row>
    <row r="17859" customFormat="false" ht="12.8" hidden="false" customHeight="false" outlineLevel="0" collapsed="false">
      <c r="B17859" s="0" t="s">
        <v>6853</v>
      </c>
    </row>
    <row r="17861" customFormat="false" ht="12.8" hidden="false" customHeight="false" outlineLevel="0" collapsed="false">
      <c r="A17861" s="0" t="s">
        <v>6854</v>
      </c>
      <c r="B17861" s="0" t="str">
        <f aca="false">HYPERLINK("https://lindat.mff.cuni.cz/services/teitok/pdtc10/index.php?action=vallex&amp;frame=v-w2163hsa_703", "napsat (v-w2163hsa_703)")</f>
        <v>napsat (v-w2163hsa_703)</v>
      </c>
    </row>
    <row r="17862" customFormat="false" ht="12.8" hidden="false" customHeight="false" outlineLevel="0" collapsed="false">
      <c r="B17862" s="0" t="s">
        <v>7</v>
      </c>
    </row>
    <row r="17863" customFormat="false" ht="12.8" hidden="false" customHeight="false" outlineLevel="0" collapsed="false">
      <c r="B17863" s="0" t="s">
        <v>14</v>
      </c>
    </row>
    <row r="17864" customFormat="false" ht="12.8" hidden="false" customHeight="false" outlineLevel="0" collapsed="false">
      <c r="B17864" s="0" t="s">
        <v>48</v>
      </c>
    </row>
    <row r="17866" customFormat="false" ht="12.8" hidden="false" customHeight="false" outlineLevel="0" collapsed="false">
      <c r="A17866" s="0" t="s">
        <v>6855</v>
      </c>
      <c r="B17866" s="0" t="str">
        <f aca="false">HYPERLINK("https://lindat.mff.cuni.cz/services/teitok/pdtc10/index.php?action=vallex&amp;frame=v-w10570f2", "napumpovat (v-w10570f2)")</f>
        <v>napumpovat (v-w10570f2)</v>
      </c>
    </row>
    <row r="17867" customFormat="false" ht="12.8" hidden="false" customHeight="false" outlineLevel="0" collapsed="false">
      <c r="B17867" s="0" t="s">
        <v>7</v>
      </c>
      <c r="C17867" s="0" t="s">
        <v>6378</v>
      </c>
      <c r="D17867" s="0" t="s">
        <v>1410</v>
      </c>
      <c r="E17867" s="0" t="s">
        <v>1410</v>
      </c>
      <c r="F17867" s="0" t="s">
        <v>1410</v>
      </c>
    </row>
    <row r="17868" customFormat="false" ht="12.8" hidden="false" customHeight="false" outlineLevel="0" collapsed="false">
      <c r="B17868" s="0" t="s">
        <v>14</v>
      </c>
      <c r="C17868" s="0" t="s">
        <v>6856</v>
      </c>
      <c r="D17868" s="0" t="s">
        <v>1411</v>
      </c>
      <c r="E17868" s="0" t="s">
        <v>1411</v>
      </c>
      <c r="F17868" s="0" t="s">
        <v>1411</v>
      </c>
    </row>
    <row r="17869" customFormat="false" ht="12.8" hidden="false" customHeight="false" outlineLevel="0" collapsed="false">
      <c r="B17869" s="0" t="s">
        <v>124</v>
      </c>
      <c r="C17869" s="0" t="s">
        <v>2162</v>
      </c>
      <c r="D17869" s="0" t="s">
        <v>1412</v>
      </c>
      <c r="E17869" s="0" t="s">
        <v>1412</v>
      </c>
      <c r="F17869" s="0" t="s">
        <v>1412</v>
      </c>
    </row>
    <row r="17871" customFormat="false" ht="12.8" hidden="false" customHeight="false" outlineLevel="0" collapsed="false">
      <c r="A17871" s="0" t="s">
        <v>6857</v>
      </c>
      <c r="B17871" s="0" t="str">
        <f aca="false">HYPERLINK("https://lindat.mff.cuni.cz/services/teitok/pdtc10/index.php?action=vallex&amp;frame=v-w2164f1", "napustit (v-w2164f1)")</f>
        <v>napustit (v-w2164f1)</v>
      </c>
    </row>
    <row r="17872" customFormat="false" ht="12.8" hidden="false" customHeight="false" outlineLevel="0" collapsed="false">
      <c r="B17872" s="0" t="s">
        <v>7</v>
      </c>
    </row>
    <row r="17873" customFormat="false" ht="12.8" hidden="false" customHeight="false" outlineLevel="0" collapsed="false">
      <c r="B17873" s="0" t="s">
        <v>14</v>
      </c>
    </row>
    <row r="17875" customFormat="false" ht="12.8" hidden="false" customHeight="false" outlineLevel="0" collapsed="false">
      <c r="A17875" s="0" t="s">
        <v>6858</v>
      </c>
      <c r="B17875" s="0" t="str">
        <f aca="false">HYPERLINK("https://lindat.mff.cuni.cz/services/teitok/pdtc10/index.php?action=vallex&amp;frame=v-whsb_597hsa_598", "napytlíkovat (v-whsb_597hsa_598)")</f>
        <v>napytlíkovat (v-whsb_597hsa_598)</v>
      </c>
    </row>
    <row r="17876" customFormat="false" ht="12.8" hidden="false" customHeight="false" outlineLevel="0" collapsed="false">
      <c r="B17876" s="0" t="s">
        <v>7</v>
      </c>
    </row>
    <row r="17877" customFormat="false" ht="12.8" hidden="false" customHeight="false" outlineLevel="0" collapsed="false">
      <c r="B17877" s="0" t="s">
        <v>14</v>
      </c>
    </row>
    <row r="17879" customFormat="false" ht="12.8" hidden="false" customHeight="false" outlineLevel="0" collapsed="false">
      <c r="A17879" s="0" t="s">
        <v>6859</v>
      </c>
      <c r="B17879" s="0" t="str">
        <f aca="false">HYPERLINK("https://lindat.mff.cuni.cz/services/teitok/pdtc10/index.php?action=vallex&amp;frame=v-w10700f2", "napáchat (v-w10700f2)")</f>
        <v>napáchat (v-w10700f2)</v>
      </c>
    </row>
    <row r="17880" customFormat="false" ht="12.8" hidden="false" customHeight="false" outlineLevel="0" collapsed="false">
      <c r="B17880" s="0" t="s">
        <v>7</v>
      </c>
      <c r="C17880" s="0" t="s">
        <v>4208</v>
      </c>
      <c r="D17880" s="0" t="s">
        <v>570</v>
      </c>
      <c r="E17880" s="0" t="s">
        <v>570</v>
      </c>
      <c r="F17880" s="0" t="s">
        <v>570</v>
      </c>
    </row>
    <row r="17881" customFormat="false" ht="12.8" hidden="false" customHeight="false" outlineLevel="0" collapsed="false">
      <c r="B17881" s="0" t="s">
        <v>14</v>
      </c>
      <c r="C17881" s="0" t="s">
        <v>6860</v>
      </c>
      <c r="D17881" s="0" t="s">
        <v>5917</v>
      </c>
      <c r="E17881" s="0" t="s">
        <v>5917</v>
      </c>
      <c r="F17881" s="0" t="s">
        <v>5917</v>
      </c>
    </row>
    <row r="17883" customFormat="false" ht="12.8" hidden="false" customHeight="false" outlineLevel="0" collapsed="false">
      <c r="A17883" s="0" t="s">
        <v>6861</v>
      </c>
      <c r="B17883" s="0" t="str">
        <f aca="false">HYPERLINK("https://lindat.mff.cuni.cz/services/teitok/pdtc10/index.php?action=vallex&amp;frame=v-w2124f2", "napájet (v-w2124f2)")</f>
        <v>napájet (v-w2124f2)</v>
      </c>
    </row>
    <row r="17884" customFormat="false" ht="12.8" hidden="false" customHeight="false" outlineLevel="0" collapsed="false">
      <c r="B17884" s="0" t="s">
        <v>7</v>
      </c>
      <c r="D17884" s="0" t="s">
        <v>4976</v>
      </c>
      <c r="E17884" s="0" t="s">
        <v>4976</v>
      </c>
      <c r="F17884" s="0" t="s">
        <v>4976</v>
      </c>
    </row>
    <row r="17885" customFormat="false" ht="12.8" hidden="false" customHeight="false" outlineLevel="0" collapsed="false">
      <c r="B17885" s="0" t="s">
        <v>14</v>
      </c>
      <c r="D17885" s="0" t="s">
        <v>1209</v>
      </c>
      <c r="E17885" s="0" t="s">
        <v>1209</v>
      </c>
      <c r="F17885" s="0" t="s">
        <v>1209</v>
      </c>
    </row>
    <row r="17886" customFormat="false" ht="12.8" hidden="false" customHeight="false" outlineLevel="0" collapsed="false">
      <c r="B17886" s="0" t="s">
        <v>124</v>
      </c>
      <c r="D17886" s="0" t="s">
        <v>6773</v>
      </c>
      <c r="E17886" s="0" t="s">
        <v>6773</v>
      </c>
      <c r="F17886" s="0" t="s">
        <v>6773</v>
      </c>
    </row>
    <row r="17888" customFormat="false" ht="12.8" hidden="false" customHeight="false" outlineLevel="0" collapsed="false">
      <c r="A17888" s="0" t="s">
        <v>6862</v>
      </c>
      <c r="B17888" s="0" t="str">
        <f aca="false">HYPERLINK("https://lindat.mff.cuni.cz/services/teitok/pdtc10/index.php?action=vallex&amp;frame=v-w2124f1", "napájet (v-w2124f1)")</f>
        <v>napájet (v-w2124f1)</v>
      </c>
    </row>
    <row r="17889" customFormat="false" ht="12.8" hidden="false" customHeight="false" outlineLevel="0" collapsed="false">
      <c r="B17889" s="0" t="s">
        <v>7</v>
      </c>
      <c r="D17889" s="0" t="s">
        <v>6863</v>
      </c>
      <c r="E17889" s="0" t="s">
        <v>6863</v>
      </c>
      <c r="F17889" s="0" t="s">
        <v>6863</v>
      </c>
    </row>
    <row r="17890" customFormat="false" ht="12.8" hidden="false" customHeight="false" outlineLevel="0" collapsed="false">
      <c r="B17890" s="0" t="s">
        <v>14</v>
      </c>
      <c r="C17890" s="0" t="s">
        <v>2685</v>
      </c>
      <c r="D17890" s="0" t="s">
        <v>6202</v>
      </c>
      <c r="E17890" s="0" t="s">
        <v>6202</v>
      </c>
      <c r="F17890" s="0" t="s">
        <v>6202</v>
      </c>
    </row>
    <row r="17892" customFormat="false" ht="12.8" hidden="false" customHeight="false" outlineLevel="0" collapsed="false">
      <c r="A17892" s="0" t="s">
        <v>6864</v>
      </c>
      <c r="B17892" s="0" t="str">
        <f aca="false">HYPERLINK("https://lindat.mff.cuni.cz/services/teitok/pdtc10/index.php?action=vallex&amp;frame=v-w2124f3", "napájet (v-w2124f3)")</f>
        <v>napájet (v-w2124f3)</v>
      </c>
    </row>
    <row r="17893" customFormat="false" ht="12.8" hidden="false" customHeight="false" outlineLevel="0" collapsed="false">
      <c r="B17893" s="0" t="s">
        <v>7</v>
      </c>
    </row>
    <row r="17894" customFormat="false" ht="12.8" hidden="false" customHeight="false" outlineLevel="0" collapsed="false">
      <c r="B17894" s="0" t="s">
        <v>14</v>
      </c>
    </row>
    <row r="17896" customFormat="false" ht="12.8" hidden="false" customHeight="false" outlineLevel="0" collapsed="false">
      <c r="A17896" s="0" t="s">
        <v>6865</v>
      </c>
      <c r="B17896" s="0" t="str">
        <f aca="false">HYPERLINK("https://lindat.mff.cuni.cz/services/teitok/pdtc10/index.php?action=vallex&amp;frame=v-w2125f1", "napálit (v-w2125f1)")</f>
        <v>napálit (v-w2125f1)</v>
      </c>
    </row>
    <row r="17897" customFormat="false" ht="12.8" hidden="false" customHeight="false" outlineLevel="0" collapsed="false">
      <c r="B17897" s="0" t="s">
        <v>7</v>
      </c>
    </row>
    <row r="17898" customFormat="false" ht="12.8" hidden="false" customHeight="false" outlineLevel="0" collapsed="false">
      <c r="B17898" s="0" t="s">
        <v>14</v>
      </c>
    </row>
    <row r="17900" customFormat="false" ht="12.8" hidden="false" customHeight="false" outlineLevel="0" collapsed="false">
      <c r="A17900" s="0" t="s">
        <v>6866</v>
      </c>
      <c r="B17900" s="0" t="str">
        <f aca="false">HYPERLINK("https://lindat.mff.cuni.cz/services/teitok/pdtc10/index.php?action=vallex&amp;frame=v-w2125hsa_1033", "napálit (v-w2125hsa_1033)")</f>
        <v>napálit (v-w2125hsa_1033)</v>
      </c>
    </row>
    <row r="17901" customFormat="false" ht="12.8" hidden="false" customHeight="false" outlineLevel="0" collapsed="false">
      <c r="B17901" s="0" t="s">
        <v>7</v>
      </c>
      <c r="C17901" s="0" t="s">
        <v>335</v>
      </c>
    </row>
    <row r="17902" customFormat="false" ht="12.8" hidden="false" customHeight="false" outlineLevel="0" collapsed="false">
      <c r="B17902" s="0" t="s">
        <v>14</v>
      </c>
    </row>
    <row r="17903" customFormat="false" ht="12.8" hidden="false" customHeight="false" outlineLevel="0" collapsed="false">
      <c r="B17903" s="0" t="s">
        <v>124</v>
      </c>
      <c r="C17903" s="0" t="s">
        <v>6867</v>
      </c>
    </row>
    <row r="17905" customFormat="false" ht="12.8" hidden="false" customHeight="false" outlineLevel="0" collapsed="false">
      <c r="A17905" s="0" t="s">
        <v>6868</v>
      </c>
      <c r="B17905" s="0" t="str">
        <f aca="false">HYPERLINK("https://lindat.mff.cuni.cz/services/teitok/pdtc10/index.php?action=vallex&amp;frame=v-whsa_394hsa_395", "napéci (v-whsa_394hsa_395)")</f>
        <v>napéci (v-whsa_394hsa_395)</v>
      </c>
    </row>
    <row r="17906" customFormat="false" ht="12.8" hidden="false" customHeight="false" outlineLevel="0" collapsed="false">
      <c r="B17906" s="0" t="s">
        <v>7</v>
      </c>
    </row>
    <row r="17907" customFormat="false" ht="12.8" hidden="false" customHeight="false" outlineLevel="0" collapsed="false">
      <c r="B17907" s="0" t="s">
        <v>14</v>
      </c>
    </row>
    <row r="17908" customFormat="false" ht="12.8" hidden="false" customHeight="false" outlineLevel="0" collapsed="false">
      <c r="B17908" s="0" t="s">
        <v>35</v>
      </c>
    </row>
    <row r="17910" customFormat="false" ht="12.8" hidden="false" customHeight="false" outlineLevel="0" collapsed="false">
      <c r="A17910" s="0" t="s">
        <v>6869</v>
      </c>
      <c r="B17910" s="0" t="str">
        <f aca="false">HYPERLINK("https://lindat.mff.cuni.cz/services/teitok/pdtc10/index.php?action=vallex&amp;frame=v-w12292_MMf1_MM", "napíchnout (v-w12292_MMf1_MM)")</f>
        <v>napíchnout (v-w12292_MMf1_MM)</v>
      </c>
    </row>
    <row r="17911" customFormat="false" ht="12.8" hidden="false" customHeight="false" outlineLevel="0" collapsed="false">
      <c r="B17911" s="0" t="s">
        <v>7</v>
      </c>
    </row>
    <row r="17912" customFormat="false" ht="12.8" hidden="false" customHeight="false" outlineLevel="0" collapsed="false">
      <c r="B17912" s="0" t="s">
        <v>14</v>
      </c>
    </row>
    <row r="17913" customFormat="false" ht="12.8" hidden="false" customHeight="false" outlineLevel="0" collapsed="false">
      <c r="B17913" s="0" t="s">
        <v>124</v>
      </c>
    </row>
    <row r="17915" customFormat="false" ht="12.8" hidden="false" customHeight="false" outlineLevel="0" collapsed="false">
      <c r="A17915" s="0" t="s">
        <v>6870</v>
      </c>
      <c r="B17915" s="0" t="str">
        <f aca="false">HYPERLINK("https://lindat.mff.cuni.cz/services/teitok/pdtc10/index.php?action=vallex&amp;frame=v-w11078f2", "napínat (v-w11078f2)")</f>
        <v>napínat (v-w11078f2)</v>
      </c>
    </row>
    <row r="17916" customFormat="false" ht="12.8" hidden="false" customHeight="false" outlineLevel="0" collapsed="false">
      <c r="B17916" s="0" t="s">
        <v>7</v>
      </c>
      <c r="F17916" s="0" t="s">
        <v>6871</v>
      </c>
    </row>
    <row r="17917" customFormat="false" ht="12.8" hidden="false" customHeight="false" outlineLevel="0" collapsed="false">
      <c r="B17917" s="0" t="s">
        <v>14</v>
      </c>
      <c r="F17917" s="0" t="s">
        <v>6872</v>
      </c>
    </row>
    <row r="17918" customFormat="false" ht="12.8" hidden="false" customHeight="false" outlineLevel="0" collapsed="false">
      <c r="B17918" s="0" t="s">
        <v>35</v>
      </c>
      <c r="F17918" s="0" t="s">
        <v>1526</v>
      </c>
    </row>
    <row r="17919" customFormat="false" ht="12.8" hidden="false" customHeight="false" outlineLevel="0" collapsed="false">
      <c r="B17919" s="0" t="s">
        <v>84</v>
      </c>
      <c r="F17919" s="0" t="s">
        <v>6873</v>
      </c>
    </row>
    <row r="17921" customFormat="false" ht="12.8" hidden="false" customHeight="false" outlineLevel="0" collapsed="false">
      <c r="A17921" s="0" t="s">
        <v>6874</v>
      </c>
      <c r="B17921" s="0" t="str">
        <f aca="false">HYPERLINK("https://lindat.mff.cuni.cz/services/teitok/pdtc10/index.php?action=vallex&amp;frame=v-w2128f1", "napít se (v-w2128f1)")</f>
        <v>napít se (v-w2128f1)</v>
      </c>
    </row>
    <row r="17922" customFormat="false" ht="12.8" hidden="false" customHeight="false" outlineLevel="0" collapsed="false">
      <c r="B17922" s="0" t="s">
        <v>7</v>
      </c>
      <c r="E17922" s="0" t="s">
        <v>88</v>
      </c>
      <c r="F17922" s="0" t="s">
        <v>88</v>
      </c>
    </row>
    <row r="17923" customFormat="false" ht="12.8" hidden="false" customHeight="false" outlineLevel="0" collapsed="false">
      <c r="B17923" s="0" t="s">
        <v>1087</v>
      </c>
      <c r="E17923" s="0" t="s">
        <v>74</v>
      </c>
      <c r="F17923" s="0" t="s">
        <v>74</v>
      </c>
    </row>
    <row r="17925" customFormat="false" ht="12.8" hidden="false" customHeight="false" outlineLevel="0" collapsed="false">
      <c r="A17925" s="0" t="s">
        <v>6875</v>
      </c>
      <c r="B17925" s="0" t="str">
        <f aca="false">HYPERLINK("https://lindat.mff.cuni.cz/services/teitok/pdtc10/index.php?action=vallex&amp;frame=v-w11269f1", "napěchovat se (v-w11269f1)")</f>
        <v>napěchovat se (v-w11269f1)</v>
      </c>
    </row>
    <row r="17926" customFormat="false" ht="12.8" hidden="false" customHeight="false" outlineLevel="0" collapsed="false">
      <c r="B17926" s="0" t="s">
        <v>7</v>
      </c>
      <c r="C17926" s="0" t="s">
        <v>191</v>
      </c>
      <c r="D17926" s="0" t="s">
        <v>6876</v>
      </c>
      <c r="E17926" s="0" t="s">
        <v>6876</v>
      </c>
      <c r="F17926" s="0" t="s">
        <v>6876</v>
      </c>
    </row>
    <row r="17927" customFormat="false" ht="12.8" hidden="false" customHeight="false" outlineLevel="0" collapsed="false">
      <c r="B17927" s="0" t="s">
        <v>124</v>
      </c>
      <c r="D17927" s="0" t="s">
        <v>6877</v>
      </c>
      <c r="E17927" s="0" t="s">
        <v>6877</v>
      </c>
      <c r="F17927" s="0" t="s">
        <v>6877</v>
      </c>
    </row>
    <row r="17929" customFormat="false" ht="12.8" hidden="false" customHeight="false" outlineLevel="0" collapsed="false">
      <c r="A17929" s="0" t="s">
        <v>6878</v>
      </c>
      <c r="B17929" s="0" t="str">
        <f aca="false">HYPERLINK("https://lindat.mff.cuni.cz/services/teitok/pdtc10/index.php?action=vallex&amp;frame=v-w11464f1", "napřemýšlet se (v-w11464f1)")</f>
        <v>napřemýšlet se (v-w11464f1)</v>
      </c>
    </row>
    <row r="17930" customFormat="false" ht="12.8" hidden="false" customHeight="false" outlineLevel="0" collapsed="false">
      <c r="B17930" s="0" t="s">
        <v>7</v>
      </c>
    </row>
    <row r="17931" customFormat="false" ht="12.8" hidden="false" customHeight="false" outlineLevel="0" collapsed="false">
      <c r="B17931" s="0" t="s">
        <v>363</v>
      </c>
    </row>
    <row r="17933" customFormat="false" ht="12.8" hidden="false" customHeight="false" outlineLevel="0" collapsed="false">
      <c r="A17933" s="0" t="s">
        <v>6879</v>
      </c>
      <c r="B17933" s="0" t="str">
        <f aca="false">HYPERLINK("https://lindat.mff.cuni.cz/services/teitok/pdtc10/index.php?action=vallex&amp;frame=v-whsa_354hsa_355", "napřáhnout (v-whsa_354hsa_355)")</f>
        <v>napřáhnout (v-whsa_354hsa_355)</v>
      </c>
    </row>
    <row r="17934" customFormat="false" ht="12.8" hidden="false" customHeight="false" outlineLevel="0" collapsed="false">
      <c r="B17934" s="0" t="s">
        <v>7</v>
      </c>
      <c r="C17934" s="0" t="s">
        <v>247</v>
      </c>
      <c r="F17934" s="0" t="s">
        <v>247</v>
      </c>
    </row>
    <row r="17935" customFormat="false" ht="12.8" hidden="false" customHeight="false" outlineLevel="0" collapsed="false">
      <c r="B17935" s="0" t="s">
        <v>14</v>
      </c>
      <c r="F17935" s="0" t="s">
        <v>155</v>
      </c>
    </row>
    <row r="17937" customFormat="false" ht="12.8" hidden="false" customHeight="false" outlineLevel="0" collapsed="false">
      <c r="A17937" s="0" t="s">
        <v>6880</v>
      </c>
      <c r="B17937" s="0" t="str">
        <f aca="false">HYPERLINK("https://lindat.mff.cuni.cz/services/teitok/pdtc10/index.php?action=vallex&amp;frame=v-w2160f2", "napřít (v-w2160f2)")</f>
        <v>napřít (v-w2160f2)</v>
      </c>
    </row>
    <row r="17938" customFormat="false" ht="12.8" hidden="false" customHeight="false" outlineLevel="0" collapsed="false">
      <c r="B17938" s="0" t="s">
        <v>7</v>
      </c>
    </row>
    <row r="17939" customFormat="false" ht="12.8" hidden="false" customHeight="false" outlineLevel="0" collapsed="false">
      <c r="B17939" s="0" t="s">
        <v>14</v>
      </c>
    </row>
    <row r="17940" customFormat="false" ht="12.8" hidden="false" customHeight="false" outlineLevel="0" collapsed="false">
      <c r="B17940" s="0" t="s">
        <v>6881</v>
      </c>
    </row>
    <row r="17942" customFormat="false" ht="12.8" hidden="false" customHeight="false" outlineLevel="0" collapsed="false">
      <c r="A17942" s="0" t="s">
        <v>6882</v>
      </c>
      <c r="B17942" s="0" t="str">
        <f aca="false">HYPERLINK("https://lindat.mff.cuni.cz/services/teitok/pdtc10/index.php?action=vallex&amp;frame=v-w2160f1", "napřít (v-w2160f1)")</f>
        <v>napřít (v-w2160f1)</v>
      </c>
    </row>
    <row r="17943" customFormat="false" ht="12.8" hidden="false" customHeight="false" outlineLevel="0" collapsed="false">
      <c r="B17943" s="0" t="s">
        <v>7</v>
      </c>
    </row>
    <row r="17944" customFormat="false" ht="12.8" hidden="false" customHeight="false" outlineLevel="0" collapsed="false">
      <c r="B17944" s="0" t="s">
        <v>14</v>
      </c>
    </row>
    <row r="17945" customFormat="false" ht="12.8" hidden="false" customHeight="false" outlineLevel="0" collapsed="false">
      <c r="B17945" s="0" t="s">
        <v>124</v>
      </c>
    </row>
    <row r="17947" customFormat="false" ht="12.8" hidden="false" customHeight="false" outlineLevel="0" collapsed="false">
      <c r="A17947" s="0" t="s">
        <v>6883</v>
      </c>
      <c r="B17947" s="0" t="str">
        <f aca="false">HYPERLINK("https://lindat.mff.cuni.cz/services/teitok/pdtc10/index.php?action=vallex&amp;frame=v-w2168f3", "narazit (v-w2168f3)")</f>
        <v>narazit (v-w2168f3)</v>
      </c>
    </row>
    <row r="17948" customFormat="false" ht="12.8" hidden="false" customHeight="false" outlineLevel="0" collapsed="false">
      <c r="B17948" s="0" t="s">
        <v>7</v>
      </c>
    </row>
    <row r="17949" customFormat="false" ht="12.8" hidden="false" customHeight="false" outlineLevel="0" collapsed="false">
      <c r="B17949" s="0" t="s">
        <v>14</v>
      </c>
    </row>
    <row r="17950" customFormat="false" ht="12.8" hidden="false" customHeight="false" outlineLevel="0" collapsed="false">
      <c r="B17950" s="0" t="s">
        <v>124</v>
      </c>
    </row>
    <row r="17952" customFormat="false" ht="12.8" hidden="false" customHeight="false" outlineLevel="0" collapsed="false">
      <c r="A17952" s="0" t="s">
        <v>6884</v>
      </c>
      <c r="B17952" s="0" t="str">
        <f aca="false">HYPERLINK("https://lindat.mff.cuni.cz/services/teitok/pdtc10/index.php?action=vallex&amp;frame=v-w2168f4", "narazit (v-w2168f4)")</f>
        <v>narazit (v-w2168f4)</v>
      </c>
    </row>
    <row r="17953" customFormat="false" ht="12.8" hidden="false" customHeight="false" outlineLevel="0" collapsed="false">
      <c r="B17953" s="0" t="s">
        <v>7</v>
      </c>
      <c r="F17953" s="0" t="s">
        <v>6885</v>
      </c>
    </row>
    <row r="17954" customFormat="false" ht="12.8" hidden="false" customHeight="false" outlineLevel="0" collapsed="false">
      <c r="B17954" s="0" t="s">
        <v>14</v>
      </c>
      <c r="F17954" s="0" t="s">
        <v>2517</v>
      </c>
    </row>
    <row r="17956" customFormat="false" ht="12.8" hidden="false" customHeight="false" outlineLevel="0" collapsed="false">
      <c r="A17956" s="0" t="s">
        <v>6886</v>
      </c>
      <c r="B17956" s="0" t="str">
        <f aca="false">HYPERLINK("https://lindat.mff.cuni.cz/services/teitok/pdtc10/index.php?action=vallex&amp;frame=v-w2168f5", "narazit (v-w2168f5)")</f>
        <v>narazit (v-w2168f5)</v>
      </c>
    </row>
    <row r="17957" customFormat="false" ht="12.8" hidden="false" customHeight="false" outlineLevel="0" collapsed="false">
      <c r="B17957" s="0" t="s">
        <v>7</v>
      </c>
    </row>
    <row r="17958" customFormat="false" ht="12.8" hidden="false" customHeight="false" outlineLevel="0" collapsed="false">
      <c r="B17958" s="0" t="s">
        <v>14</v>
      </c>
    </row>
    <row r="17960" customFormat="false" ht="12.8" hidden="false" customHeight="false" outlineLevel="0" collapsed="false">
      <c r="A17960" s="0" t="s">
        <v>6887</v>
      </c>
      <c r="B17960" s="0" t="str">
        <f aca="false">HYPERLINK("https://lindat.mff.cuni.cz/services/teitok/pdtc10/index.php?action=vallex&amp;frame=v-w2168f1", "narazit (v-w2168f1)")</f>
        <v>narazit (v-w2168f1)</v>
      </c>
    </row>
    <row r="17961" customFormat="false" ht="12.8" hidden="false" customHeight="false" outlineLevel="0" collapsed="false">
      <c r="B17961" s="0" t="s">
        <v>7</v>
      </c>
      <c r="C17961" s="0" t="s">
        <v>6888</v>
      </c>
      <c r="D17961" s="0" t="s">
        <v>6889</v>
      </c>
      <c r="E17961" s="0" t="s">
        <v>6889</v>
      </c>
      <c r="F17961" s="0" t="s">
        <v>6889</v>
      </c>
    </row>
    <row r="17962" customFormat="false" ht="12.8" hidden="false" customHeight="false" outlineLevel="0" collapsed="false">
      <c r="B17962" s="0" t="s">
        <v>41</v>
      </c>
      <c r="C17962" s="0" t="s">
        <v>1923</v>
      </c>
      <c r="D17962" s="0" t="s">
        <v>6890</v>
      </c>
      <c r="E17962" s="0" t="s">
        <v>6890</v>
      </c>
      <c r="F17962" s="0" t="s">
        <v>6890</v>
      </c>
    </row>
    <row r="17964" customFormat="false" ht="12.8" hidden="false" customHeight="false" outlineLevel="0" collapsed="false">
      <c r="A17964" s="0" t="s">
        <v>6891</v>
      </c>
      <c r="B17964" s="0" t="str">
        <f aca="false">HYPERLINK("https://lindat.mff.cuni.cz/services/teitok/pdtc10/index.php?action=vallex&amp;frame=v-w2168f7_ZU", "narazit (v-w2168f7_ZU)")</f>
        <v>narazit (v-w2168f7_ZU)</v>
      </c>
    </row>
    <row r="17965" customFormat="false" ht="12.8" hidden="false" customHeight="false" outlineLevel="0" collapsed="false">
      <c r="B17965" s="0" t="s">
        <v>7</v>
      </c>
    </row>
    <row r="17966" customFormat="false" ht="12.8" hidden="false" customHeight="false" outlineLevel="0" collapsed="false">
      <c r="B17966" s="0" t="s">
        <v>6892</v>
      </c>
    </row>
    <row r="17968" customFormat="false" ht="12.8" hidden="false" customHeight="false" outlineLevel="0" collapsed="false">
      <c r="A17968" s="0" t="s">
        <v>6891</v>
      </c>
      <c r="B17968" s="0" t="str">
        <f aca="false">HYPERLINK("https://lindat.mff.cuni.cz/services/teitok/pdtc10/index.php?action=vallex&amp;frame=v-w2168f6_ZU", "narazit (v-w2168f6_ZU) - substituted with v-w2168f7_ZU")</f>
        <v>narazit (v-w2168f6_ZU) - substituted with v-w2168f7_ZU</v>
      </c>
    </row>
    <row r="17969" customFormat="false" ht="12.8" hidden="false" customHeight="false" outlineLevel="0" collapsed="false">
      <c r="B17969" s="0" t="s">
        <v>7</v>
      </c>
    </row>
    <row r="17970" customFormat="false" ht="12.8" hidden="false" customHeight="false" outlineLevel="0" collapsed="false">
      <c r="B17970" s="0" t="s">
        <v>6892</v>
      </c>
    </row>
    <row r="17972" customFormat="false" ht="12.8" hidden="false" customHeight="false" outlineLevel="0" collapsed="false">
      <c r="A17972" s="0" t="s">
        <v>6893</v>
      </c>
      <c r="B17972" s="0" t="str">
        <f aca="false">HYPERLINK("https://lindat.mff.cuni.cz/services/teitok/pdtc10/index.php?action=vallex&amp;frame=v-w2168f2", "narazit (v-w2168f2)")</f>
        <v>narazit (v-w2168f2)</v>
      </c>
    </row>
    <row r="17973" customFormat="false" ht="12.8" hidden="false" customHeight="false" outlineLevel="0" collapsed="false">
      <c r="B17973" s="0" t="s">
        <v>7</v>
      </c>
      <c r="C17973" s="0" t="s">
        <v>6894</v>
      </c>
      <c r="D17973" s="0" t="s">
        <v>6516</v>
      </c>
      <c r="E17973" s="0" t="s">
        <v>6895</v>
      </c>
      <c r="F17973" s="0" t="s">
        <v>6895</v>
      </c>
    </row>
    <row r="17974" customFormat="false" ht="12.8" hidden="false" customHeight="false" outlineLevel="0" collapsed="false">
      <c r="B17974" s="0" t="s">
        <v>124</v>
      </c>
      <c r="C17974" s="0" t="s">
        <v>2291</v>
      </c>
      <c r="D17974" s="0" t="s">
        <v>2291</v>
      </c>
      <c r="E17974" s="0" t="s">
        <v>6896</v>
      </c>
      <c r="F17974" s="0" t="s">
        <v>6896</v>
      </c>
    </row>
    <row r="17976" customFormat="false" ht="12.8" hidden="false" customHeight="false" outlineLevel="0" collapsed="false">
      <c r="A17976" s="0" t="s">
        <v>6897</v>
      </c>
      <c r="B17976" s="0" t="str">
        <f aca="false">HYPERLINK("https://lindat.mff.cuni.cz/services/teitok/pdtc10/index.php?action=vallex&amp;frame=v-w2169f1", "narazit si (v-w2169f1)")</f>
        <v>narazit si (v-w2169f1)</v>
      </c>
    </row>
    <row r="17977" customFormat="false" ht="12.8" hidden="false" customHeight="false" outlineLevel="0" collapsed="false">
      <c r="B17977" s="0" t="s">
        <v>7</v>
      </c>
    </row>
    <row r="17978" customFormat="false" ht="12.8" hidden="false" customHeight="false" outlineLevel="0" collapsed="false">
      <c r="B17978" s="0" t="s">
        <v>548</v>
      </c>
    </row>
    <row r="17980" customFormat="false" ht="12.8" hidden="false" customHeight="false" outlineLevel="0" collapsed="false">
      <c r="A17980" s="0" t="s">
        <v>6898</v>
      </c>
      <c r="B17980" s="0" t="str">
        <f aca="false">HYPERLINK("https://lindat.mff.cuni.cz/services/teitok/pdtc10/index.php?action=vallex&amp;frame=v-w12000_ZUf1_ZU", "narobit (v-w12000_ZUf1_ZU)")</f>
        <v>narobit (v-w12000_ZUf1_ZU)</v>
      </c>
    </row>
    <row r="17981" customFormat="false" ht="12.8" hidden="false" customHeight="false" outlineLevel="0" collapsed="false">
      <c r="B17981" s="0" t="s">
        <v>7</v>
      </c>
    </row>
    <row r="17982" customFormat="false" ht="12.8" hidden="false" customHeight="false" outlineLevel="0" collapsed="false">
      <c r="B17982" s="0" t="s">
        <v>14</v>
      </c>
    </row>
    <row r="17984" customFormat="false" ht="12.8" hidden="false" customHeight="false" outlineLevel="0" collapsed="false">
      <c r="A17984" s="0" t="s">
        <v>6899</v>
      </c>
      <c r="B17984" s="0" t="str">
        <f aca="false">HYPERLINK("https://lindat.mff.cuni.cz/services/teitok/pdtc10/index.php?action=vallex&amp;frame=v-w2173f2", "narodit se (v-w2173f2)")</f>
        <v>narodit se (v-w2173f2)</v>
      </c>
    </row>
    <row r="17985" customFormat="false" ht="12.8" hidden="false" customHeight="false" outlineLevel="0" collapsed="false">
      <c r="B17985" s="0" t="s">
        <v>7</v>
      </c>
    </row>
    <row r="17986" customFormat="false" ht="12.8" hidden="false" customHeight="false" outlineLevel="0" collapsed="false">
      <c r="B17986" s="0" t="s">
        <v>227</v>
      </c>
    </row>
    <row r="17988" customFormat="false" ht="12.8" hidden="false" customHeight="false" outlineLevel="0" collapsed="false">
      <c r="A17988" s="0" t="s">
        <v>6900</v>
      </c>
      <c r="B17988" s="0" t="str">
        <f aca="false">HYPERLINK("https://lindat.mff.cuni.cz/services/teitok/pdtc10/index.php?action=vallex&amp;frame=v-w2173f3_ZU", "narodit se (v-w2173f3_ZU)")</f>
        <v>narodit se (v-w2173f3_ZU)</v>
      </c>
    </row>
    <row r="17989" customFormat="false" ht="12.8" hidden="false" customHeight="false" outlineLevel="0" collapsed="false">
      <c r="B17989" s="0" t="s">
        <v>7</v>
      </c>
    </row>
    <row r="17990" customFormat="false" ht="12.8" hidden="false" customHeight="false" outlineLevel="0" collapsed="false">
      <c r="B17990" s="0" t="s">
        <v>119</v>
      </c>
    </row>
    <row r="17991" customFormat="false" ht="12.8" hidden="false" customHeight="false" outlineLevel="0" collapsed="false">
      <c r="B17991" s="0" t="s">
        <v>35</v>
      </c>
    </row>
    <row r="17993" customFormat="false" ht="12.8" hidden="false" customHeight="false" outlineLevel="0" collapsed="false">
      <c r="A17993" s="0" t="s">
        <v>6900</v>
      </c>
      <c r="B17993" s="0" t="str">
        <f aca="false">HYPERLINK("https://lindat.mff.cuni.cz/services/teitok/pdtc10/index.php?action=vallex&amp;frame=v-w2173f1", "narodit se (v-w2173f1) - substituted with v-w2173f3_ZU")</f>
        <v>narodit se (v-w2173f1) - substituted with v-w2173f3_ZU</v>
      </c>
    </row>
    <row r="17994" customFormat="false" ht="12.8" hidden="false" customHeight="false" outlineLevel="0" collapsed="false">
      <c r="B17994" s="0" t="s">
        <v>7</v>
      </c>
      <c r="C17994" s="0" t="s">
        <v>3903</v>
      </c>
      <c r="D17994" s="0" t="s">
        <v>3903</v>
      </c>
      <c r="E17994" s="0" t="s">
        <v>3903</v>
      </c>
      <c r="F17994" s="0" t="s">
        <v>3903</v>
      </c>
    </row>
    <row r="17995" customFormat="false" ht="12.8" hidden="false" customHeight="false" outlineLevel="0" collapsed="false">
      <c r="B17995" s="0" t="s">
        <v>119</v>
      </c>
      <c r="D17995" s="0" t="s">
        <v>6901</v>
      </c>
      <c r="E17995" s="0" t="s">
        <v>6901</v>
      </c>
      <c r="F17995" s="0" t="s">
        <v>6901</v>
      </c>
    </row>
    <row r="17996" customFormat="false" ht="12.8" hidden="false" customHeight="false" outlineLevel="0" collapsed="false">
      <c r="B17996" s="0" t="s">
        <v>35</v>
      </c>
    </row>
    <row r="17998" customFormat="false" ht="12.8" hidden="false" customHeight="false" outlineLevel="0" collapsed="false">
      <c r="A17998" s="0" t="s">
        <v>6902</v>
      </c>
      <c r="B17998" s="0" t="str">
        <f aca="false">HYPERLINK("https://lindat.mff.cuni.cz/services/teitok/pdtc10/index.php?action=vallex&amp;frame=v-w11322f1", "naroubovat (v-w11322f1)")</f>
        <v>naroubovat (v-w11322f1)</v>
      </c>
    </row>
    <row r="17999" customFormat="false" ht="12.8" hidden="false" customHeight="false" outlineLevel="0" collapsed="false">
      <c r="B17999" s="0" t="s">
        <v>7</v>
      </c>
      <c r="C17999" s="0" t="s">
        <v>191</v>
      </c>
      <c r="D17999" s="0" t="s">
        <v>113</v>
      </c>
      <c r="E17999" s="0" t="s">
        <v>113</v>
      </c>
      <c r="F17999" s="0" t="s">
        <v>113</v>
      </c>
    </row>
    <row r="18000" customFormat="false" ht="12.8" hidden="false" customHeight="false" outlineLevel="0" collapsed="false">
      <c r="B18000" s="0" t="s">
        <v>14</v>
      </c>
      <c r="C18000" s="0" t="s">
        <v>1544</v>
      </c>
      <c r="D18000" s="0" t="s">
        <v>6903</v>
      </c>
      <c r="E18000" s="0" t="s">
        <v>6903</v>
      </c>
      <c r="F18000" s="0" t="s">
        <v>6903</v>
      </c>
    </row>
    <row r="18002" customFormat="false" ht="12.8" hidden="false" customHeight="false" outlineLevel="0" collapsed="false">
      <c r="A18002" s="0" t="s">
        <v>6904</v>
      </c>
      <c r="B18002" s="0" t="str">
        <f aca="false">HYPERLINK("https://lindat.mff.cuni.cz/services/teitok/pdtc10/index.php?action=vallex&amp;frame=v-w11322f2_ZU", "naroubovat (v-w11322f2_ZU)")</f>
        <v>naroubovat (v-w11322f2_ZU)</v>
      </c>
    </row>
    <row r="18003" customFormat="false" ht="12.8" hidden="false" customHeight="false" outlineLevel="0" collapsed="false">
      <c r="B18003" s="0" t="s">
        <v>7</v>
      </c>
      <c r="D18003" s="0" t="s">
        <v>46</v>
      </c>
      <c r="E18003" s="0" t="s">
        <v>46</v>
      </c>
      <c r="F18003" s="0" t="s">
        <v>46</v>
      </c>
    </row>
    <row r="18004" customFormat="false" ht="12.8" hidden="false" customHeight="false" outlineLevel="0" collapsed="false">
      <c r="B18004" s="0" t="s">
        <v>14</v>
      </c>
      <c r="D18004" s="0" t="s">
        <v>1170</v>
      </c>
      <c r="E18004" s="0" t="s">
        <v>1170</v>
      </c>
      <c r="F18004" s="0" t="s">
        <v>1170</v>
      </c>
    </row>
    <row r="18005" customFormat="false" ht="12.8" hidden="false" customHeight="false" outlineLevel="0" collapsed="false">
      <c r="B18005" s="0" t="s">
        <v>1755</v>
      </c>
    </row>
    <row r="18007" customFormat="false" ht="12.8" hidden="false" customHeight="false" outlineLevel="0" collapsed="false">
      <c r="A18007" s="0" t="s">
        <v>6904</v>
      </c>
      <c r="B18007" s="0" t="str">
        <f aca="false">HYPERLINK("https://lindat.mff.cuni.cz/services/teitok/pdtc10/index.php?action=vallex&amp;frame=v-w11322hsa_990", "naroubovat (v-w11322hsa_990) - substituted with v-w11322f2_ZU")</f>
        <v>naroubovat (v-w11322hsa_990) - substituted with v-w11322f2_ZU</v>
      </c>
    </row>
    <row r="18008" customFormat="false" ht="12.8" hidden="false" customHeight="false" outlineLevel="0" collapsed="false">
      <c r="B18008" s="0" t="s">
        <v>7</v>
      </c>
    </row>
    <row r="18009" customFormat="false" ht="12.8" hidden="false" customHeight="false" outlineLevel="0" collapsed="false">
      <c r="B18009" s="0" t="s">
        <v>14</v>
      </c>
    </row>
    <row r="18010" customFormat="false" ht="12.8" hidden="false" customHeight="false" outlineLevel="0" collapsed="false">
      <c r="B18010" s="0" t="s">
        <v>1755</v>
      </c>
    </row>
    <row r="18012" customFormat="false" ht="12.8" hidden="false" customHeight="false" outlineLevel="0" collapsed="false">
      <c r="A18012" s="0" t="s">
        <v>6905</v>
      </c>
      <c r="B18012" s="0" t="str">
        <f aca="false">HYPERLINK("https://lindat.mff.cuni.cz/services/teitok/pdtc10/index.php?action=vallex&amp;frame=v-w2175f1", "naroubovat se (v-w2175f1)")</f>
        <v>naroubovat se (v-w2175f1)</v>
      </c>
    </row>
    <row r="18013" customFormat="false" ht="12.8" hidden="false" customHeight="false" outlineLevel="0" collapsed="false">
      <c r="B18013" s="0" t="s">
        <v>7</v>
      </c>
    </row>
    <row r="18014" customFormat="false" ht="12.8" hidden="false" customHeight="false" outlineLevel="0" collapsed="false">
      <c r="B18014" s="0" t="s">
        <v>41</v>
      </c>
    </row>
    <row r="18016" customFormat="false" ht="12.8" hidden="false" customHeight="false" outlineLevel="0" collapsed="false">
      <c r="A18016" s="0" t="s">
        <v>6906</v>
      </c>
      <c r="B18016" s="0" t="str">
        <f aca="false">HYPERLINK("https://lindat.mff.cuni.cz/services/teitok/pdtc10/index.php?action=vallex&amp;frame=v-w11026f2", "narovnat (v-w11026f2)")</f>
        <v>narovnat (v-w11026f2)</v>
      </c>
    </row>
    <row r="18017" customFormat="false" ht="12.8" hidden="false" customHeight="false" outlineLevel="0" collapsed="false">
      <c r="B18017" s="0" t="s">
        <v>7</v>
      </c>
      <c r="F18017" s="0" t="s">
        <v>6907</v>
      </c>
    </row>
    <row r="18018" customFormat="false" ht="12.8" hidden="false" customHeight="false" outlineLevel="0" collapsed="false">
      <c r="B18018" s="0" t="s">
        <v>14</v>
      </c>
      <c r="F18018" s="0" t="s">
        <v>313</v>
      </c>
    </row>
    <row r="18020" customFormat="false" ht="12.8" hidden="false" customHeight="false" outlineLevel="0" collapsed="false">
      <c r="A18020" s="0" t="s">
        <v>6908</v>
      </c>
      <c r="B18020" s="0" t="str">
        <f aca="false">HYPERLINK("https://lindat.mff.cuni.cz/services/teitok/pdtc10/index.php?action=vallex&amp;frame=v-w12218_ZUf1_ZU", "narovnat se (v-w12218_ZUf1_ZU)")</f>
        <v>narovnat se (v-w12218_ZUf1_ZU)</v>
      </c>
    </row>
    <row r="18021" customFormat="false" ht="12.8" hidden="false" customHeight="false" outlineLevel="0" collapsed="false">
      <c r="B18021" s="0" t="s">
        <v>7</v>
      </c>
    </row>
    <row r="18023" customFormat="false" ht="12.8" hidden="false" customHeight="false" outlineLevel="0" collapsed="false">
      <c r="A18023" s="0" t="s">
        <v>6909</v>
      </c>
      <c r="B18023" s="0" t="str">
        <f aca="false">HYPERLINK("https://lindat.mff.cuni.cz/services/teitok/pdtc10/index.php?action=vallex&amp;frame=v-w11473f1", "narovnávat se (v-w11473f1)")</f>
        <v>narovnávat se (v-w11473f1)</v>
      </c>
    </row>
    <row r="18024" customFormat="false" ht="12.8" hidden="false" customHeight="false" outlineLevel="0" collapsed="false">
      <c r="B18024" s="0" t="s">
        <v>7</v>
      </c>
      <c r="D18024" s="0" t="s">
        <v>6910</v>
      </c>
      <c r="E18024" s="0" t="s">
        <v>6910</v>
      </c>
      <c r="F18024" s="0" t="s">
        <v>6911</v>
      </c>
    </row>
    <row r="18026" customFormat="false" ht="12.8" hidden="false" customHeight="false" outlineLevel="0" collapsed="false">
      <c r="A18026" s="0" t="s">
        <v>6912</v>
      </c>
      <c r="B18026" s="0" t="str">
        <f aca="false">HYPERLINK("https://lindat.mff.cuni.cz/services/teitok/pdtc10/index.php?action=vallex&amp;frame=v-whsa_1377f1_MM", "narukovat (v-whsa_1377f1_MM)")</f>
        <v>narukovat (v-whsa_1377f1_MM)</v>
      </c>
    </row>
    <row r="18027" customFormat="false" ht="12.8" hidden="false" customHeight="false" outlineLevel="0" collapsed="false">
      <c r="B18027" s="0" t="s">
        <v>7</v>
      </c>
    </row>
    <row r="18028" customFormat="false" ht="12.8" hidden="false" customHeight="false" outlineLevel="0" collapsed="false">
      <c r="B18028" s="0" t="s">
        <v>14</v>
      </c>
    </row>
    <row r="18030" customFormat="false" ht="12.8" hidden="false" customHeight="false" outlineLevel="0" collapsed="false">
      <c r="A18030" s="0" t="s">
        <v>6913</v>
      </c>
      <c r="B18030" s="0" t="str">
        <f aca="false">HYPERLINK("https://lindat.mff.cuni.cz/services/teitok/pdtc10/index.php?action=vallex&amp;frame=v-whsa_1377hsa_1378", "narukovat (v-whsa_1377hsa_1378)")</f>
        <v>narukovat (v-whsa_1377hsa_1378)</v>
      </c>
    </row>
    <row r="18031" customFormat="false" ht="12.8" hidden="false" customHeight="false" outlineLevel="0" collapsed="false">
      <c r="B18031" s="0" t="s">
        <v>7</v>
      </c>
    </row>
    <row r="18033" customFormat="false" ht="12.8" hidden="false" customHeight="false" outlineLevel="0" collapsed="false">
      <c r="A18033" s="0" t="s">
        <v>6914</v>
      </c>
      <c r="B18033" s="0" t="str">
        <f aca="false">HYPERLINK("https://lindat.mff.cuni.cz/services/teitok/pdtc10/index.php?action=vallex&amp;frame=v-w2185f1", "narušit (v-w2185f1)")</f>
        <v>narušit (v-w2185f1)</v>
      </c>
    </row>
    <row r="18034" customFormat="false" ht="12.8" hidden="false" customHeight="false" outlineLevel="0" collapsed="false">
      <c r="B18034" s="0" t="s">
        <v>7</v>
      </c>
      <c r="C18034" s="0" t="s">
        <v>6915</v>
      </c>
      <c r="D18034" s="0" t="s">
        <v>6916</v>
      </c>
      <c r="E18034" s="0" t="s">
        <v>6916</v>
      </c>
      <c r="F18034" s="0" t="s">
        <v>6916</v>
      </c>
    </row>
    <row r="18035" customFormat="false" ht="12.8" hidden="false" customHeight="false" outlineLevel="0" collapsed="false">
      <c r="B18035" s="0" t="s">
        <v>14</v>
      </c>
      <c r="C18035" s="0" t="s">
        <v>6917</v>
      </c>
      <c r="D18035" s="0" t="s">
        <v>6918</v>
      </c>
      <c r="E18035" s="0" t="s">
        <v>6918</v>
      </c>
      <c r="F18035" s="0" t="s">
        <v>6918</v>
      </c>
    </row>
    <row r="18037" customFormat="false" ht="12.8" hidden="false" customHeight="false" outlineLevel="0" collapsed="false">
      <c r="A18037" s="0" t="s">
        <v>6919</v>
      </c>
      <c r="B18037" s="0" t="str">
        <f aca="false">HYPERLINK("https://lindat.mff.cuni.cz/services/teitok/pdtc10/index.php?action=vallex&amp;frame=v-w2188f1", "narušovat (v-w2188f1)")</f>
        <v>narušovat (v-w2188f1)</v>
      </c>
    </row>
    <row r="18038" customFormat="false" ht="12.8" hidden="false" customHeight="false" outlineLevel="0" collapsed="false">
      <c r="B18038" s="0" t="s">
        <v>7</v>
      </c>
      <c r="C18038" s="0" t="s">
        <v>6920</v>
      </c>
      <c r="D18038" s="0" t="s">
        <v>6916</v>
      </c>
      <c r="E18038" s="0" t="s">
        <v>6916</v>
      </c>
      <c r="F18038" s="0" t="s">
        <v>6916</v>
      </c>
    </row>
    <row r="18039" customFormat="false" ht="12.8" hidden="false" customHeight="false" outlineLevel="0" collapsed="false">
      <c r="B18039" s="0" t="s">
        <v>14</v>
      </c>
      <c r="C18039" s="0" t="s">
        <v>6921</v>
      </c>
      <c r="D18039" s="0" t="s">
        <v>6918</v>
      </c>
      <c r="E18039" s="0" t="s">
        <v>6918</v>
      </c>
      <c r="F18039" s="0" t="s">
        <v>6918</v>
      </c>
    </row>
    <row r="18041" customFormat="false" ht="12.8" hidden="false" customHeight="false" outlineLevel="0" collapsed="false">
      <c r="A18041" s="0" t="s">
        <v>6922</v>
      </c>
      <c r="B18041" s="0" t="str">
        <f aca="false">HYPERLINK("https://lindat.mff.cuni.cz/services/teitok/pdtc10/index.php?action=vallex&amp;frame=v-w2170f3", "narážet (v-w2170f3)")</f>
        <v>narážet (v-w2170f3)</v>
      </c>
    </row>
    <row r="18042" customFormat="false" ht="12.8" hidden="false" customHeight="false" outlineLevel="0" collapsed="false">
      <c r="B18042" s="0" t="s">
        <v>7</v>
      </c>
    </row>
    <row r="18043" customFormat="false" ht="12.8" hidden="false" customHeight="false" outlineLevel="0" collapsed="false">
      <c r="B18043" s="0" t="s">
        <v>14</v>
      </c>
    </row>
    <row r="18044" customFormat="false" ht="12.8" hidden="false" customHeight="false" outlineLevel="0" collapsed="false">
      <c r="B18044" s="0" t="s">
        <v>124</v>
      </c>
    </row>
    <row r="18046" customFormat="false" ht="12.8" hidden="false" customHeight="false" outlineLevel="0" collapsed="false">
      <c r="A18046" s="0" t="s">
        <v>6923</v>
      </c>
      <c r="B18046" s="0" t="str">
        <f aca="false">HYPERLINK("https://lindat.mff.cuni.cz/services/teitok/pdtc10/index.php?action=vallex&amp;frame=v-w2170f6_ZU", "narážet (v-w2170f6_ZU)")</f>
        <v>narážet (v-w2170f6_ZU)</v>
      </c>
    </row>
    <row r="18047" customFormat="false" ht="12.8" hidden="false" customHeight="false" outlineLevel="0" collapsed="false">
      <c r="B18047" s="0" t="s">
        <v>7</v>
      </c>
      <c r="C18047" s="0" t="s">
        <v>1801</v>
      </c>
    </row>
    <row r="18048" customFormat="false" ht="12.8" hidden="false" customHeight="false" outlineLevel="0" collapsed="false">
      <c r="B18048" s="0" t="s">
        <v>41</v>
      </c>
      <c r="C18048" s="0" t="s">
        <v>6924</v>
      </c>
    </row>
    <row r="18050" customFormat="false" ht="12.8" hidden="false" customHeight="false" outlineLevel="0" collapsed="false">
      <c r="A18050" s="0" t="s">
        <v>6925</v>
      </c>
      <c r="B18050" s="0" t="str">
        <f aca="false">HYPERLINK("https://lindat.mff.cuni.cz/services/teitok/pdtc10/index.php?action=vallex&amp;frame=v-w2170f5_ZU", "narážet (v-w2170f5_ZU)")</f>
        <v>narážet (v-w2170f5_ZU)</v>
      </c>
    </row>
    <row r="18051" customFormat="false" ht="12.8" hidden="false" customHeight="false" outlineLevel="0" collapsed="false">
      <c r="B18051" s="0" t="s">
        <v>7</v>
      </c>
      <c r="C18051" s="0" t="s">
        <v>6926</v>
      </c>
    </row>
    <row r="18052" customFormat="false" ht="12.8" hidden="false" customHeight="false" outlineLevel="0" collapsed="false">
      <c r="B18052" s="0" t="s">
        <v>41</v>
      </c>
      <c r="C18052" s="0" t="s">
        <v>313</v>
      </c>
    </row>
    <row r="18054" customFormat="false" ht="12.8" hidden="false" customHeight="false" outlineLevel="0" collapsed="false">
      <c r="A18054" s="0" t="s">
        <v>6925</v>
      </c>
      <c r="B18054" s="0" t="str">
        <f aca="false">HYPERLINK("https://lindat.mff.cuni.cz/services/teitok/pdtc10/index.php?action=vallex&amp;frame=v-w2170f1", "narážet (v-w2170f1) - substituted with v-w2170f5_ZU")</f>
        <v>narážet (v-w2170f1) - substituted with v-w2170f5_ZU</v>
      </c>
    </row>
    <row r="18055" customFormat="false" ht="12.8" hidden="false" customHeight="false" outlineLevel="0" collapsed="false">
      <c r="B18055" s="0" t="s">
        <v>7</v>
      </c>
      <c r="C18055" s="0" t="s">
        <v>6927</v>
      </c>
    </row>
    <row r="18056" customFormat="false" ht="12.8" hidden="false" customHeight="false" outlineLevel="0" collapsed="false">
      <c r="B18056" s="0" t="s">
        <v>41</v>
      </c>
      <c r="C18056" s="0" t="s">
        <v>6928</v>
      </c>
    </row>
    <row r="18058" customFormat="false" ht="12.8" hidden="false" customHeight="false" outlineLevel="0" collapsed="false">
      <c r="A18058" s="0" t="s">
        <v>6925</v>
      </c>
      <c r="B18058" s="0" t="str">
        <f aca="false">HYPERLINK("https://lindat.mff.cuni.cz/services/teitok/pdtc10/index.php?action=vallex&amp;frame=v-w2170f4_ZU", "narážet (v-w2170f4_ZU) - substituted with v-w2170f5_ZU")</f>
        <v>narážet (v-w2170f4_ZU) - substituted with v-w2170f5_ZU</v>
      </c>
    </row>
    <row r="18059" customFormat="false" ht="12.8" hidden="false" customHeight="false" outlineLevel="0" collapsed="false">
      <c r="B18059" s="0" t="s">
        <v>7</v>
      </c>
    </row>
    <row r="18060" customFormat="false" ht="12.8" hidden="false" customHeight="false" outlineLevel="0" collapsed="false">
      <c r="B18060" s="0" t="s">
        <v>41</v>
      </c>
    </row>
    <row r="18062" customFormat="false" ht="12.8" hidden="false" customHeight="false" outlineLevel="0" collapsed="false">
      <c r="A18062" s="0" t="s">
        <v>6929</v>
      </c>
      <c r="B18062" s="0" t="str">
        <f aca="false">HYPERLINK("https://lindat.mff.cuni.cz/services/teitok/pdtc10/index.php?action=vallex&amp;frame=v-w2170f2", "narážet (v-w2170f2)")</f>
        <v>narážet (v-w2170f2)</v>
      </c>
    </row>
    <row r="18063" customFormat="false" ht="12.8" hidden="false" customHeight="false" outlineLevel="0" collapsed="false">
      <c r="B18063" s="0" t="s">
        <v>7</v>
      </c>
      <c r="D18063" s="0" t="s">
        <v>6516</v>
      </c>
      <c r="E18063" s="0" t="s">
        <v>6516</v>
      </c>
      <c r="F18063" s="0" t="s">
        <v>6516</v>
      </c>
    </row>
    <row r="18064" customFormat="false" ht="12.8" hidden="false" customHeight="false" outlineLevel="0" collapsed="false">
      <c r="B18064" s="0" t="s">
        <v>124</v>
      </c>
      <c r="D18064" s="0" t="s">
        <v>2291</v>
      </c>
      <c r="E18064" s="0" t="s">
        <v>2291</v>
      </c>
      <c r="F18064" s="0" t="s">
        <v>2291</v>
      </c>
    </row>
    <row r="18066" customFormat="false" ht="12.8" hidden="false" customHeight="false" outlineLevel="0" collapsed="false">
      <c r="A18066" s="0" t="s">
        <v>6930</v>
      </c>
      <c r="B18066" s="0" t="str">
        <f aca="false">HYPERLINK("https://lindat.mff.cuni.cz/services/teitok/pdtc10/index.php?action=vallex&amp;frame=v-w2170f7_ZU", "narážet (v-w2170f7_ZU)")</f>
        <v>narážet (v-w2170f7_ZU)</v>
      </c>
    </row>
    <row r="18067" customFormat="false" ht="12.8" hidden="false" customHeight="false" outlineLevel="0" collapsed="false">
      <c r="B18067" s="0" t="s">
        <v>7</v>
      </c>
    </row>
    <row r="18068" customFormat="false" ht="12.8" hidden="false" customHeight="false" outlineLevel="0" collapsed="false">
      <c r="B18068" s="0" t="s">
        <v>14</v>
      </c>
    </row>
    <row r="18070" customFormat="false" ht="12.8" hidden="false" customHeight="false" outlineLevel="0" collapsed="false">
      <c r="A18070" s="0" t="s">
        <v>6931</v>
      </c>
      <c r="B18070" s="0" t="str">
        <f aca="false">HYPERLINK("https://lindat.mff.cuni.cz/services/teitok/pdtc10/index.php?action=vallex&amp;frame=v-w2179f1", "narůst (v-w2179f1)")</f>
        <v>narůst (v-w2179f1)</v>
      </c>
    </row>
    <row r="18071" customFormat="false" ht="12.8" hidden="false" customHeight="false" outlineLevel="0" collapsed="false">
      <c r="B18071" s="0" t="s">
        <v>7</v>
      </c>
      <c r="C18071" s="0" t="s">
        <v>6932</v>
      </c>
      <c r="D18071" s="0" t="s">
        <v>6244</v>
      </c>
      <c r="E18071" s="0" t="s">
        <v>6244</v>
      </c>
      <c r="F18071" s="0" t="s">
        <v>6244</v>
      </c>
    </row>
    <row r="18072" customFormat="false" ht="12.8" hidden="false" customHeight="false" outlineLevel="0" collapsed="false">
      <c r="B18072" s="0" t="s">
        <v>63</v>
      </c>
      <c r="C18072" s="0" t="s">
        <v>6933</v>
      </c>
      <c r="D18072" s="0" t="s">
        <v>4496</v>
      </c>
      <c r="E18072" s="0" t="s">
        <v>4496</v>
      </c>
      <c r="F18072" s="0" t="s">
        <v>4496</v>
      </c>
    </row>
    <row r="18073" customFormat="false" ht="12.8" hidden="false" customHeight="false" outlineLevel="0" collapsed="false">
      <c r="B18073" s="0" t="s">
        <v>35</v>
      </c>
      <c r="C18073" s="0" t="s">
        <v>6934</v>
      </c>
      <c r="D18073" s="0" t="s">
        <v>4497</v>
      </c>
      <c r="E18073" s="0" t="s">
        <v>4497</v>
      </c>
      <c r="F18073" s="0" t="s">
        <v>4497</v>
      </c>
    </row>
    <row r="18075" customFormat="false" ht="12.8" hidden="false" customHeight="false" outlineLevel="0" collapsed="false">
      <c r="A18075" s="0" t="s">
        <v>6935</v>
      </c>
      <c r="B18075" s="0" t="str">
        <f aca="false">HYPERLINK("https://lindat.mff.cuni.cz/services/teitok/pdtc10/index.php?action=vallex&amp;frame=v-w2179hsa_1536", "narůst (v-w2179hsa_1536)")</f>
        <v>narůst (v-w2179hsa_1536)</v>
      </c>
    </row>
    <row r="18076" customFormat="false" ht="12.8" hidden="false" customHeight="false" outlineLevel="0" collapsed="false">
      <c r="B18076" s="0" t="s">
        <v>7</v>
      </c>
    </row>
    <row r="18078" customFormat="false" ht="12.8" hidden="false" customHeight="false" outlineLevel="0" collapsed="false">
      <c r="A18078" s="0" t="s">
        <v>6936</v>
      </c>
      <c r="B18078" s="0" t="str">
        <f aca="false">HYPERLINK("https://lindat.mff.cuni.cz/services/teitok/pdtc10/index.php?action=vallex&amp;frame=v-w2182f1", "narůstat (v-w2182f1)")</f>
        <v>narůstat (v-w2182f1)</v>
      </c>
    </row>
    <row r="18079" customFormat="false" ht="12.8" hidden="false" customHeight="false" outlineLevel="0" collapsed="false">
      <c r="B18079" s="0" t="s">
        <v>7</v>
      </c>
      <c r="C18079" s="0" t="s">
        <v>6937</v>
      </c>
      <c r="D18079" s="0" t="s">
        <v>6244</v>
      </c>
      <c r="E18079" s="0" t="s">
        <v>6244</v>
      </c>
      <c r="F18079" s="0" t="s">
        <v>6244</v>
      </c>
    </row>
    <row r="18080" customFormat="false" ht="12.8" hidden="false" customHeight="false" outlineLevel="0" collapsed="false">
      <c r="B18080" s="0" t="s">
        <v>63</v>
      </c>
      <c r="C18080" s="0" t="s">
        <v>6938</v>
      </c>
      <c r="D18080" s="0" t="s">
        <v>4496</v>
      </c>
      <c r="E18080" s="0" t="s">
        <v>4496</v>
      </c>
      <c r="F18080" s="0" t="s">
        <v>4496</v>
      </c>
    </row>
    <row r="18081" customFormat="false" ht="12.8" hidden="false" customHeight="false" outlineLevel="0" collapsed="false">
      <c r="B18081" s="0" t="s">
        <v>35</v>
      </c>
      <c r="C18081" s="0" t="s">
        <v>6939</v>
      </c>
      <c r="D18081" s="0" t="s">
        <v>4497</v>
      </c>
      <c r="E18081" s="0" t="s">
        <v>4497</v>
      </c>
      <c r="F18081" s="0" t="s">
        <v>4497</v>
      </c>
    </row>
    <row r="18083" customFormat="false" ht="12.8" hidden="false" customHeight="false" outlineLevel="0" collapsed="false">
      <c r="A18083" s="0" t="s">
        <v>6940</v>
      </c>
      <c r="B18083" s="0" t="str">
        <f aca="false">HYPERLINK("https://lindat.mff.cuni.cz/services/teitok/pdtc10/index.php?action=vallex&amp;frame=v-w2200f3", "nasadit (v-w2200f3)")</f>
        <v>nasadit (v-w2200f3)</v>
      </c>
    </row>
    <row r="18084" customFormat="false" ht="12.8" hidden="false" customHeight="false" outlineLevel="0" collapsed="false">
      <c r="B18084" s="0" t="s">
        <v>7</v>
      </c>
    </row>
    <row r="18085" customFormat="false" ht="12.8" hidden="false" customHeight="false" outlineLevel="0" collapsed="false">
      <c r="B18085" s="0" t="s">
        <v>14</v>
      </c>
    </row>
    <row r="18086" customFormat="false" ht="12.8" hidden="false" customHeight="false" outlineLevel="0" collapsed="false">
      <c r="B18086" s="0" t="s">
        <v>48</v>
      </c>
    </row>
    <row r="18088" customFormat="false" ht="12.8" hidden="false" customHeight="false" outlineLevel="0" collapsed="false">
      <c r="A18088" s="0" t="s">
        <v>6941</v>
      </c>
      <c r="B18088" s="0" t="str">
        <f aca="false">HYPERLINK("https://lindat.mff.cuni.cz/services/teitok/pdtc10/index.php?action=vallex&amp;frame=v-w2200f6", "nasadit (v-w2200f6)")</f>
        <v>nasadit (v-w2200f6)</v>
      </c>
    </row>
    <row r="18089" customFormat="false" ht="12.8" hidden="false" customHeight="false" outlineLevel="0" collapsed="false">
      <c r="B18089" s="0" t="s">
        <v>7</v>
      </c>
    </row>
    <row r="18090" customFormat="false" ht="12.8" hidden="false" customHeight="false" outlineLevel="0" collapsed="false">
      <c r="B18090" s="0" t="s">
        <v>14</v>
      </c>
    </row>
    <row r="18091" customFormat="false" ht="12.8" hidden="false" customHeight="false" outlineLevel="0" collapsed="false">
      <c r="B18091" s="0" t="s">
        <v>124</v>
      </c>
    </row>
    <row r="18093" customFormat="false" ht="12.8" hidden="false" customHeight="false" outlineLevel="0" collapsed="false">
      <c r="A18093" s="0" t="s">
        <v>6942</v>
      </c>
      <c r="B18093" s="0" t="str">
        <f aca="false">HYPERLINK("https://lindat.mff.cuni.cz/services/teitok/pdtc10/index.php?action=vallex&amp;frame=v-w2200f1", "nasadit (v-w2200f1)")</f>
        <v>nasadit (v-w2200f1)</v>
      </c>
    </row>
    <row r="18094" customFormat="false" ht="12.8" hidden="false" customHeight="false" outlineLevel="0" collapsed="false">
      <c r="B18094" s="0" t="s">
        <v>7</v>
      </c>
      <c r="D18094" s="0" t="s">
        <v>127</v>
      </c>
      <c r="E18094" s="0" t="s">
        <v>127</v>
      </c>
      <c r="F18094" s="0" t="s">
        <v>127</v>
      </c>
    </row>
    <row r="18095" customFormat="false" ht="12.8" hidden="false" customHeight="false" outlineLevel="0" collapsed="false">
      <c r="B18095" s="0" t="s">
        <v>14</v>
      </c>
      <c r="C18095" s="0" t="s">
        <v>155</v>
      </c>
      <c r="D18095" s="0" t="s">
        <v>129</v>
      </c>
      <c r="E18095" s="0" t="s">
        <v>129</v>
      </c>
      <c r="F18095" s="0" t="s">
        <v>129</v>
      </c>
    </row>
    <row r="18097" customFormat="false" ht="12.8" hidden="false" customHeight="false" outlineLevel="0" collapsed="false">
      <c r="A18097" s="0" t="s">
        <v>6943</v>
      </c>
      <c r="B18097" s="0" t="str">
        <f aca="false">HYPERLINK("https://lindat.mff.cuni.cz/services/teitok/pdtc10/index.php?action=vallex&amp;frame=v-w2200f2", "nasadit (v-w2200f2)")</f>
        <v>nasadit (v-w2200f2)</v>
      </c>
    </row>
    <row r="18098" customFormat="false" ht="12.8" hidden="false" customHeight="false" outlineLevel="0" collapsed="false">
      <c r="B18098" s="0" t="s">
        <v>7</v>
      </c>
      <c r="D18098" s="0" t="s">
        <v>69</v>
      </c>
      <c r="E18098" s="0" t="s">
        <v>69</v>
      </c>
      <c r="F18098" s="0" t="s">
        <v>69</v>
      </c>
    </row>
    <row r="18099" customFormat="false" ht="12.8" hidden="false" customHeight="false" outlineLevel="0" collapsed="false">
      <c r="B18099" s="0" t="s">
        <v>14</v>
      </c>
      <c r="D18099" s="0" t="s">
        <v>71</v>
      </c>
      <c r="E18099" s="0" t="s">
        <v>71</v>
      </c>
      <c r="F18099" s="0" t="s">
        <v>71</v>
      </c>
    </row>
    <row r="18101" customFormat="false" ht="12.8" hidden="false" customHeight="false" outlineLevel="0" collapsed="false">
      <c r="A18101" s="0" t="s">
        <v>6944</v>
      </c>
      <c r="B18101" s="0" t="str">
        <f aca="false">HYPERLINK("https://lindat.mff.cuni.cz/services/teitok/pdtc10/index.php?action=vallex&amp;frame=v-w2200f5", "nasadit (v-w2200f5)")</f>
        <v>nasadit (v-w2200f5)</v>
      </c>
    </row>
    <row r="18102" customFormat="false" ht="12.8" hidden="false" customHeight="false" outlineLevel="0" collapsed="false">
      <c r="B18102" s="0" t="s">
        <v>7</v>
      </c>
    </row>
    <row r="18103" customFormat="false" ht="12.8" hidden="false" customHeight="false" outlineLevel="0" collapsed="false">
      <c r="B18103" s="0" t="s">
        <v>14</v>
      </c>
    </row>
    <row r="18105" customFormat="false" ht="12.8" hidden="false" customHeight="false" outlineLevel="0" collapsed="false">
      <c r="A18105" s="0" t="s">
        <v>6945</v>
      </c>
      <c r="B18105" s="0" t="str">
        <f aca="false">HYPERLINK("https://lindat.mff.cuni.cz/services/teitok/pdtc10/index.php?action=vallex&amp;frame=v-w2200f4", "nasadit (v-w2200f4)")</f>
        <v>nasadit (v-w2200f4)</v>
      </c>
    </row>
    <row r="18106" customFormat="false" ht="12.8" hidden="false" customHeight="false" outlineLevel="0" collapsed="false">
      <c r="B18106" s="0" t="s">
        <v>7</v>
      </c>
    </row>
    <row r="18107" customFormat="false" ht="12.8" hidden="false" customHeight="false" outlineLevel="0" collapsed="false">
      <c r="B18107" s="0" t="s">
        <v>6946</v>
      </c>
    </row>
    <row r="18108" customFormat="false" ht="12.8" hidden="false" customHeight="false" outlineLevel="0" collapsed="false">
      <c r="B18108" s="0" t="s">
        <v>142</v>
      </c>
    </row>
    <row r="18110" customFormat="false" ht="12.8" hidden="false" customHeight="false" outlineLevel="0" collapsed="false">
      <c r="A18110" s="0" t="s">
        <v>6947</v>
      </c>
      <c r="B18110" s="0" t="str">
        <f aca="false">HYPERLINK("https://lindat.mff.cuni.cz/services/teitok/pdtc10/index.php?action=vallex&amp;frame=v-w2200f7_ZU", "nasadit (v-w2200f7_ZU)")</f>
        <v>nasadit (v-w2200f7_ZU)</v>
      </c>
    </row>
    <row r="18111" customFormat="false" ht="12.8" hidden="false" customHeight="false" outlineLevel="0" collapsed="false">
      <c r="B18111" s="0" t="s">
        <v>7</v>
      </c>
    </row>
    <row r="18112" customFormat="false" ht="12.8" hidden="false" customHeight="false" outlineLevel="0" collapsed="false">
      <c r="B18112" s="0" t="s">
        <v>14</v>
      </c>
    </row>
    <row r="18114" customFormat="false" ht="12.8" hidden="false" customHeight="false" outlineLevel="0" collapsed="false">
      <c r="A18114" s="0" t="s">
        <v>6948</v>
      </c>
      <c r="B18114" s="0" t="str">
        <f aca="false">HYPERLINK("https://lindat.mff.cuni.cz/services/teitok/pdtc10/index.php?action=vallex&amp;frame=v-whsa_908hsa_909", "nasadit se (v-whsa_908hsa_909)")</f>
        <v>nasadit se (v-whsa_908hsa_909)</v>
      </c>
    </row>
    <row r="18115" customFormat="false" ht="12.8" hidden="false" customHeight="false" outlineLevel="0" collapsed="false">
      <c r="B18115" s="0" t="s">
        <v>7</v>
      </c>
    </row>
    <row r="18116" customFormat="false" ht="12.8" hidden="false" customHeight="false" outlineLevel="0" collapsed="false">
      <c r="B18116" s="0" t="s">
        <v>124</v>
      </c>
    </row>
    <row r="18118" customFormat="false" ht="12.8" hidden="false" customHeight="false" outlineLevel="0" collapsed="false">
      <c r="A18118" s="0" t="s">
        <v>6949</v>
      </c>
      <c r="B18118" s="0" t="str">
        <f aca="false">HYPERLINK("https://lindat.mff.cuni.cz/services/teitok/pdtc10/index.php?action=vallex&amp;frame=v-w2204f1", "nasazovat (v-w2204f1)")</f>
        <v>nasazovat (v-w2204f1)</v>
      </c>
    </row>
    <row r="18119" customFormat="false" ht="12.8" hidden="false" customHeight="false" outlineLevel="0" collapsed="false">
      <c r="B18119" s="0" t="s">
        <v>7</v>
      </c>
    </row>
    <row r="18120" customFormat="false" ht="12.8" hidden="false" customHeight="false" outlineLevel="0" collapsed="false">
      <c r="B18120" s="0" t="s">
        <v>14</v>
      </c>
    </row>
    <row r="18121" customFormat="false" ht="12.8" hidden="false" customHeight="false" outlineLevel="0" collapsed="false">
      <c r="B18121" s="0" t="s">
        <v>48</v>
      </c>
    </row>
    <row r="18123" customFormat="false" ht="12.8" hidden="false" customHeight="false" outlineLevel="0" collapsed="false">
      <c r="A18123" s="0" t="s">
        <v>6950</v>
      </c>
      <c r="B18123" s="0" t="str">
        <f aca="false">HYPERLINK("https://lindat.mff.cuni.cz/services/teitok/pdtc10/index.php?action=vallex&amp;frame=v-w2204f2", "nasazovat (v-w2204f2)")</f>
        <v>nasazovat (v-w2204f2)</v>
      </c>
    </row>
    <row r="18124" customFormat="false" ht="12.8" hidden="false" customHeight="false" outlineLevel="0" collapsed="false">
      <c r="B18124" s="0" t="s">
        <v>7</v>
      </c>
    </row>
    <row r="18125" customFormat="false" ht="12.8" hidden="false" customHeight="false" outlineLevel="0" collapsed="false">
      <c r="B18125" s="0" t="s">
        <v>14</v>
      </c>
    </row>
    <row r="18127" customFormat="false" ht="12.8" hidden="false" customHeight="false" outlineLevel="0" collapsed="false">
      <c r="A18127" s="0" t="s">
        <v>6951</v>
      </c>
      <c r="B18127" s="0" t="str">
        <f aca="false">HYPERLINK("https://lindat.mff.cuni.cz/services/teitok/pdtc10/index.php?action=vallex&amp;frame=v-w2204f3", "nasazovat (v-w2204f3)")</f>
        <v>nasazovat (v-w2204f3)</v>
      </c>
    </row>
    <row r="18128" customFormat="false" ht="12.8" hidden="false" customHeight="false" outlineLevel="0" collapsed="false">
      <c r="B18128" s="0" t="s">
        <v>7</v>
      </c>
      <c r="C18128" s="0" t="s">
        <v>335</v>
      </c>
      <c r="D18128" s="0" t="s">
        <v>69</v>
      </c>
      <c r="E18128" s="0" t="s">
        <v>69</v>
      </c>
      <c r="F18128" s="0" t="s">
        <v>69</v>
      </c>
    </row>
    <row r="18129" customFormat="false" ht="12.8" hidden="false" customHeight="false" outlineLevel="0" collapsed="false">
      <c r="B18129" s="0" t="s">
        <v>14</v>
      </c>
      <c r="C18129" s="0" t="s">
        <v>567</v>
      </c>
      <c r="D18129" s="0" t="s">
        <v>71</v>
      </c>
      <c r="E18129" s="0" t="s">
        <v>71</v>
      </c>
      <c r="F18129" s="0" t="s">
        <v>71</v>
      </c>
    </row>
    <row r="18131" customFormat="false" ht="12.8" hidden="false" customHeight="false" outlineLevel="0" collapsed="false">
      <c r="A18131" s="0" t="s">
        <v>6952</v>
      </c>
      <c r="B18131" s="0" t="str">
        <f aca="false">HYPERLINK("https://lindat.mff.cuni.cz/services/teitok/pdtc10/index.php?action=vallex&amp;frame=v-w2204f4", "nasazovat (v-w2204f4)")</f>
        <v>nasazovat (v-w2204f4)</v>
      </c>
    </row>
    <row r="18132" customFormat="false" ht="12.8" hidden="false" customHeight="false" outlineLevel="0" collapsed="false">
      <c r="B18132" s="0" t="s">
        <v>7</v>
      </c>
    </row>
    <row r="18133" customFormat="false" ht="12.8" hidden="false" customHeight="false" outlineLevel="0" collapsed="false">
      <c r="B18133" s="0" t="s">
        <v>14</v>
      </c>
    </row>
    <row r="18135" customFormat="false" ht="12.8" hidden="false" customHeight="false" outlineLevel="0" collapsed="false">
      <c r="A18135" s="0" t="s">
        <v>6953</v>
      </c>
      <c r="B18135" s="0" t="str">
        <f aca="false">HYPERLINK("https://lindat.mff.cuni.cz/services/teitok/pdtc10/index.php?action=vallex&amp;frame=v-w2204f5", "nasazovat (v-w2204f5)")</f>
        <v>nasazovat (v-w2204f5)</v>
      </c>
    </row>
    <row r="18136" customFormat="false" ht="12.8" hidden="false" customHeight="false" outlineLevel="0" collapsed="false">
      <c r="B18136" s="0" t="s">
        <v>7</v>
      </c>
    </row>
    <row r="18137" customFormat="false" ht="12.8" hidden="false" customHeight="false" outlineLevel="0" collapsed="false">
      <c r="B18137" s="0" t="s">
        <v>6946</v>
      </c>
    </row>
    <row r="18138" customFormat="false" ht="12.8" hidden="false" customHeight="false" outlineLevel="0" collapsed="false">
      <c r="B18138" s="0" t="s">
        <v>142</v>
      </c>
    </row>
    <row r="18140" customFormat="false" ht="12.8" hidden="false" customHeight="false" outlineLevel="0" collapsed="false">
      <c r="A18140" s="0" t="s">
        <v>6954</v>
      </c>
      <c r="B18140" s="0" t="str">
        <f aca="false">HYPERLINK("https://lindat.mff.cuni.cz/services/teitok/pdtc10/index.php?action=vallex&amp;frame=v-w2204f6_ZU", "nasazovat (v-w2204f6_ZU)")</f>
        <v>nasazovat (v-w2204f6_ZU)</v>
      </c>
    </row>
    <row r="18141" customFormat="false" ht="12.8" hidden="false" customHeight="false" outlineLevel="0" collapsed="false">
      <c r="B18141" s="0" t="s">
        <v>7</v>
      </c>
      <c r="D18141" s="0" t="s">
        <v>504</v>
      </c>
      <c r="E18141" s="0" t="s">
        <v>504</v>
      </c>
      <c r="F18141" s="0" t="s">
        <v>504</v>
      </c>
    </row>
    <row r="18142" customFormat="false" ht="12.8" hidden="false" customHeight="false" outlineLevel="0" collapsed="false">
      <c r="B18142" s="0" t="s">
        <v>6955</v>
      </c>
      <c r="C18142" s="0" t="s">
        <v>3589</v>
      </c>
      <c r="D18142" s="0" t="s">
        <v>6956</v>
      </c>
      <c r="E18142" s="0" t="s">
        <v>6956</v>
      </c>
      <c r="F18142" s="0" t="s">
        <v>6956</v>
      </c>
    </row>
    <row r="18144" customFormat="false" ht="12.8" hidden="false" customHeight="false" outlineLevel="0" collapsed="false">
      <c r="A18144" s="0" t="s">
        <v>6954</v>
      </c>
      <c r="B18144" s="0" t="str">
        <f aca="false">HYPERLINK("https://lindat.mff.cuni.cz/services/teitok/pdtc10/index.php?action=vallex&amp;frame=v-w2204hsa_635", "nasazovat (v-w2204hsa_635) - substituted with v-w2204f6_ZU")</f>
        <v>nasazovat (v-w2204hsa_635) - substituted with v-w2204f6_ZU</v>
      </c>
    </row>
    <row r="18145" customFormat="false" ht="12.8" hidden="false" customHeight="false" outlineLevel="0" collapsed="false">
      <c r="B18145" s="0" t="s">
        <v>7</v>
      </c>
    </row>
    <row r="18146" customFormat="false" ht="12.8" hidden="false" customHeight="false" outlineLevel="0" collapsed="false">
      <c r="B18146" s="0" t="s">
        <v>6955</v>
      </c>
    </row>
    <row r="18148" customFormat="false" ht="12.8" hidden="false" customHeight="false" outlineLevel="0" collapsed="false">
      <c r="A18148" s="0" t="s">
        <v>6957</v>
      </c>
      <c r="B18148" s="0" t="str">
        <f aca="false">HYPERLINK("https://lindat.mff.cuni.cz/services/teitok/pdtc10/index.php?action=vallex&amp;frame=v-w2204hsa_1614", "nasazovat (v-w2204hsa_1614)")</f>
        <v>nasazovat (v-w2204hsa_1614)</v>
      </c>
    </row>
    <row r="18149" customFormat="false" ht="12.8" hidden="false" customHeight="false" outlineLevel="0" collapsed="false">
      <c r="B18149" s="0" t="s">
        <v>7</v>
      </c>
    </row>
    <row r="18150" customFormat="false" ht="12.8" hidden="false" customHeight="false" outlineLevel="0" collapsed="false">
      <c r="B18150" s="0" t="s">
        <v>14</v>
      </c>
    </row>
    <row r="18151" customFormat="false" ht="12.8" hidden="false" customHeight="false" outlineLevel="0" collapsed="false">
      <c r="B18151" s="0" t="s">
        <v>124</v>
      </c>
    </row>
    <row r="18153" customFormat="false" ht="12.8" hidden="false" customHeight="false" outlineLevel="0" collapsed="false">
      <c r="A18153" s="0" t="s">
        <v>6958</v>
      </c>
      <c r="B18153" s="0" t="str">
        <f aca="false">HYPERLINK("https://lindat.mff.cuni.cz/services/teitok/pdtc10/index.php?action=vallex&amp;frame=v-w2205f1", "nasbírat (v-w2205f1)")</f>
        <v>nasbírat (v-w2205f1)</v>
      </c>
    </row>
    <row r="18154" customFormat="false" ht="12.8" hidden="false" customHeight="false" outlineLevel="0" collapsed="false">
      <c r="B18154" s="0" t="s">
        <v>7</v>
      </c>
      <c r="C18154" s="0" t="s">
        <v>2857</v>
      </c>
      <c r="D18154" s="0" t="s">
        <v>77</v>
      </c>
      <c r="E18154" s="0" t="s">
        <v>77</v>
      </c>
      <c r="F18154" s="0" t="s">
        <v>6959</v>
      </c>
    </row>
    <row r="18155" customFormat="false" ht="12.8" hidden="false" customHeight="false" outlineLevel="0" collapsed="false">
      <c r="B18155" s="0" t="s">
        <v>14</v>
      </c>
      <c r="C18155" s="0" t="s">
        <v>2666</v>
      </c>
      <c r="D18155" s="0" t="s">
        <v>79</v>
      </c>
      <c r="E18155" s="0" t="s">
        <v>79</v>
      </c>
      <c r="F18155" s="0" t="s">
        <v>1093</v>
      </c>
    </row>
    <row r="18157" customFormat="false" ht="12.8" hidden="false" customHeight="false" outlineLevel="0" collapsed="false">
      <c r="A18157" s="0" t="s">
        <v>6960</v>
      </c>
      <c r="B18157" s="0" t="str">
        <f aca="false">HYPERLINK("https://lindat.mff.cuni.cz/services/teitok/pdtc10/index.php?action=vallex&amp;frame=v-w2205hsa_667", "nasbírat (v-w2205hsa_667)")</f>
        <v>nasbírat (v-w2205hsa_667)</v>
      </c>
    </row>
    <row r="18158" customFormat="false" ht="12.8" hidden="false" customHeight="false" outlineLevel="0" collapsed="false">
      <c r="B18158" s="0" t="s">
        <v>7</v>
      </c>
      <c r="C18158" s="0" t="s">
        <v>623</v>
      </c>
    </row>
    <row r="18159" customFormat="false" ht="12.8" hidden="false" customHeight="false" outlineLevel="0" collapsed="false">
      <c r="B18159" s="0" t="s">
        <v>6961</v>
      </c>
      <c r="C18159" s="0" t="s">
        <v>6640</v>
      </c>
    </row>
    <row r="18161" customFormat="false" ht="12.8" hidden="false" customHeight="false" outlineLevel="0" collapsed="false">
      <c r="A18161" s="0" t="s">
        <v>6960</v>
      </c>
      <c r="B18161" s="0" t="str">
        <f aca="false">HYPERLINK("https://lindat.mff.cuni.cz/services/teitok/pdtc10/index.php?action=vallex&amp;frame=v-w2205f2", "nasbírat (v-w2205f2) - substituted with v-w2205hsa_667")</f>
        <v>nasbírat (v-w2205f2) - substituted with v-w2205hsa_667</v>
      </c>
    </row>
    <row r="18162" customFormat="false" ht="12.8" hidden="false" customHeight="false" outlineLevel="0" collapsed="false">
      <c r="B18162" s="0" t="s">
        <v>7</v>
      </c>
    </row>
    <row r="18163" customFormat="false" ht="12.8" hidden="false" customHeight="false" outlineLevel="0" collapsed="false">
      <c r="B18163" s="0" t="s">
        <v>6961</v>
      </c>
    </row>
    <row r="18165" customFormat="false" ht="12.8" hidden="false" customHeight="false" outlineLevel="0" collapsed="false">
      <c r="A18165" s="0" t="s">
        <v>6962</v>
      </c>
      <c r="B18165" s="0" t="str">
        <f aca="false">HYPERLINK("https://lindat.mff.cuni.cz/services/teitok/pdtc10/index.php?action=vallex&amp;frame=v-w2205f3_ZU", "nasbírat (v-w2205f3_ZU)")</f>
        <v>nasbírat (v-w2205f3_ZU)</v>
      </c>
    </row>
    <row r="18166" customFormat="false" ht="12.8" hidden="false" customHeight="false" outlineLevel="0" collapsed="false">
      <c r="B18166" s="0" t="s">
        <v>7</v>
      </c>
    </row>
    <row r="18167" customFormat="false" ht="12.8" hidden="false" customHeight="false" outlineLevel="0" collapsed="false">
      <c r="B18167" s="0" t="s">
        <v>14</v>
      </c>
    </row>
    <row r="18169" customFormat="false" ht="12.8" hidden="false" customHeight="false" outlineLevel="0" collapsed="false">
      <c r="A18169" s="0" t="s">
        <v>6962</v>
      </c>
      <c r="B18169" s="0" t="str">
        <f aca="false">HYPERLINK("https://lindat.mff.cuni.cz/services/teitok/pdtc10/index.php?action=vallex&amp;frame=v-w2205hsa_666", "nasbírat (v-w2205hsa_666) - substituted with v-w2205f3_ZU")</f>
        <v>nasbírat (v-w2205hsa_666) - substituted with v-w2205f3_ZU</v>
      </c>
    </row>
    <row r="18170" customFormat="false" ht="12.8" hidden="false" customHeight="false" outlineLevel="0" collapsed="false">
      <c r="B18170" s="0" t="s">
        <v>7</v>
      </c>
    </row>
    <row r="18171" customFormat="false" ht="12.8" hidden="false" customHeight="false" outlineLevel="0" collapsed="false">
      <c r="B18171" s="0" t="s">
        <v>14</v>
      </c>
    </row>
    <row r="18173" customFormat="false" ht="12.8" hidden="false" customHeight="false" outlineLevel="0" collapsed="false">
      <c r="A18173" s="0" t="s">
        <v>6963</v>
      </c>
      <c r="B18173" s="0" t="str">
        <f aca="false">HYPERLINK("https://lindat.mff.cuni.cz/services/teitok/pdtc10/index.php?action=vallex&amp;frame=v-w2207f1", "nasedat (v-w2207f1)")</f>
        <v>nasedat (v-w2207f1)</v>
      </c>
    </row>
    <row r="18174" customFormat="false" ht="12.8" hidden="false" customHeight="false" outlineLevel="0" collapsed="false">
      <c r="B18174" s="0" t="s">
        <v>7</v>
      </c>
      <c r="C18174" s="0" t="s">
        <v>4651</v>
      </c>
    </row>
    <row r="18175" customFormat="false" ht="12.8" hidden="false" customHeight="false" outlineLevel="0" collapsed="false">
      <c r="B18175" s="0" t="s">
        <v>124</v>
      </c>
    </row>
    <row r="18177" customFormat="false" ht="12.8" hidden="false" customHeight="false" outlineLevel="0" collapsed="false">
      <c r="A18177" s="0" t="s">
        <v>6964</v>
      </c>
      <c r="B18177" s="0" t="str">
        <f aca="false">HYPERLINK("https://lindat.mff.cuni.cz/services/teitok/pdtc10/index.php?action=vallex&amp;frame=v-whsb_231hsa_232", "nasedlat (v-whsb_231hsa_232)")</f>
        <v>nasedlat (v-whsb_231hsa_232)</v>
      </c>
    </row>
    <row r="18178" customFormat="false" ht="12.8" hidden="false" customHeight="false" outlineLevel="0" collapsed="false">
      <c r="B18178" s="0" t="s">
        <v>7</v>
      </c>
    </row>
    <row r="18179" customFormat="false" ht="12.8" hidden="false" customHeight="false" outlineLevel="0" collapsed="false">
      <c r="B18179" s="0" t="s">
        <v>14</v>
      </c>
    </row>
    <row r="18181" customFormat="false" ht="12.8" hidden="false" customHeight="false" outlineLevel="0" collapsed="false">
      <c r="A18181" s="0" t="s">
        <v>6965</v>
      </c>
      <c r="B18181" s="0" t="str">
        <f aca="false">HYPERLINK("https://lindat.mff.cuni.cz/services/teitok/pdtc10/index.php?action=vallex&amp;frame=v-w11006f2", "nasednout (v-w11006f2)")</f>
        <v>nasednout (v-w11006f2)</v>
      </c>
    </row>
    <row r="18182" customFormat="false" ht="12.8" hidden="false" customHeight="false" outlineLevel="0" collapsed="false">
      <c r="B18182" s="0" t="s">
        <v>7</v>
      </c>
      <c r="C18182" s="0" t="s">
        <v>108</v>
      </c>
    </row>
    <row r="18183" customFormat="false" ht="12.8" hidden="false" customHeight="false" outlineLevel="0" collapsed="false">
      <c r="B18183" s="0" t="s">
        <v>124</v>
      </c>
      <c r="C18183" s="0" t="s">
        <v>6966</v>
      </c>
    </row>
    <row r="18185" customFormat="false" ht="12.8" hidden="false" customHeight="false" outlineLevel="0" collapsed="false">
      <c r="A18185" s="0" t="s">
        <v>6967</v>
      </c>
      <c r="B18185" s="0" t="str">
        <f aca="false">HYPERLINK("https://lindat.mff.cuni.cz/services/teitok/pdtc10/index.php?action=vallex&amp;frame=v-whsa_1438hsa_1439", "nasekat (v-whsa_1438hsa_1439)")</f>
        <v>nasekat (v-whsa_1438hsa_1439)</v>
      </c>
    </row>
    <row r="18186" customFormat="false" ht="12.8" hidden="false" customHeight="false" outlineLevel="0" collapsed="false">
      <c r="B18186" s="0" t="s">
        <v>7</v>
      </c>
    </row>
    <row r="18187" customFormat="false" ht="12.8" hidden="false" customHeight="false" outlineLevel="0" collapsed="false">
      <c r="B18187" s="0" t="s">
        <v>14</v>
      </c>
    </row>
    <row r="18188" customFormat="false" ht="12.8" hidden="false" customHeight="false" outlineLevel="0" collapsed="false">
      <c r="B18188" s="0" t="s">
        <v>84</v>
      </c>
    </row>
    <row r="18190" customFormat="false" ht="12.8" hidden="false" customHeight="false" outlineLevel="0" collapsed="false">
      <c r="A18190" s="0" t="s">
        <v>6968</v>
      </c>
      <c r="B18190" s="0" t="str">
        <f aca="false">HYPERLINK("https://lindat.mff.cuni.cz/services/teitok/pdtc10/index.php?action=vallex&amp;frame=v-whsa_1438hsa_1440", "nasekat (v-whsa_1438hsa_1440)")</f>
        <v>nasekat (v-whsa_1438hsa_1440)</v>
      </c>
    </row>
    <row r="18191" customFormat="false" ht="12.8" hidden="false" customHeight="false" outlineLevel="0" collapsed="false">
      <c r="B18191" s="0" t="s">
        <v>7</v>
      </c>
    </row>
    <row r="18192" customFormat="false" ht="12.8" hidden="false" customHeight="false" outlineLevel="0" collapsed="false">
      <c r="B18192" s="0" t="s">
        <v>14</v>
      </c>
    </row>
    <row r="18193" customFormat="false" ht="12.8" hidden="false" customHeight="false" outlineLevel="0" collapsed="false">
      <c r="B18193" s="0" t="s">
        <v>35</v>
      </c>
    </row>
    <row r="18195" customFormat="false" ht="12.8" hidden="false" customHeight="false" outlineLevel="0" collapsed="false">
      <c r="A18195" s="0" t="s">
        <v>6969</v>
      </c>
      <c r="B18195" s="0" t="str">
        <f aca="false">HYPERLINK("https://lindat.mff.cuni.cz/services/teitok/pdtc10/index.php?action=vallex&amp;frame=v-w2208f1", "naservírovat (v-w2208f1)")</f>
        <v>naservírovat (v-w2208f1)</v>
      </c>
    </row>
    <row r="18196" customFormat="false" ht="12.8" hidden="false" customHeight="false" outlineLevel="0" collapsed="false">
      <c r="B18196" s="0" t="s">
        <v>7</v>
      </c>
    </row>
    <row r="18197" customFormat="false" ht="12.8" hidden="false" customHeight="false" outlineLevel="0" collapsed="false">
      <c r="B18197" s="0" t="s">
        <v>14</v>
      </c>
    </row>
    <row r="18198" customFormat="false" ht="12.8" hidden="false" customHeight="false" outlineLevel="0" collapsed="false">
      <c r="B18198" s="0" t="s">
        <v>48</v>
      </c>
    </row>
    <row r="18200" customFormat="false" ht="12.8" hidden="false" customHeight="false" outlineLevel="0" collapsed="false">
      <c r="A18200" s="0" t="s">
        <v>6970</v>
      </c>
      <c r="B18200" s="0" t="str">
        <f aca="false">HYPERLINK("https://lindat.mff.cuni.cz/services/teitok/pdtc10/index.php?action=vallex&amp;frame=v-w10744f2", "nashromáždit (v-w10744f2)")</f>
        <v>nashromáždit (v-w10744f2)</v>
      </c>
    </row>
    <row r="18201" customFormat="false" ht="12.8" hidden="false" customHeight="false" outlineLevel="0" collapsed="false">
      <c r="B18201" s="0" t="s">
        <v>7</v>
      </c>
      <c r="C18201" s="0" t="s">
        <v>157</v>
      </c>
      <c r="D18201" s="0" t="s">
        <v>77</v>
      </c>
      <c r="E18201" s="0" t="s">
        <v>77</v>
      </c>
      <c r="F18201" s="0" t="s">
        <v>77</v>
      </c>
    </row>
    <row r="18202" customFormat="false" ht="12.8" hidden="false" customHeight="false" outlineLevel="0" collapsed="false">
      <c r="B18202" s="0" t="s">
        <v>14</v>
      </c>
      <c r="C18202" s="0" t="s">
        <v>2788</v>
      </c>
      <c r="D18202" s="0" t="s">
        <v>79</v>
      </c>
      <c r="E18202" s="0" t="s">
        <v>79</v>
      </c>
      <c r="F18202" s="0" t="s">
        <v>79</v>
      </c>
    </row>
    <row r="18204" customFormat="false" ht="12.8" hidden="false" customHeight="false" outlineLevel="0" collapsed="false">
      <c r="A18204" s="0" t="s">
        <v>6971</v>
      </c>
      <c r="B18204" s="0" t="str">
        <f aca="false">HYPERLINK("https://lindat.mff.cuni.cz/services/teitok/pdtc10/index.php?action=vallex&amp;frame=v-w2210f2", "naskakovat (v-w2210f2)")</f>
        <v>naskakovat (v-w2210f2)</v>
      </c>
    </row>
    <row r="18205" customFormat="false" ht="12.8" hidden="false" customHeight="false" outlineLevel="0" collapsed="false">
      <c r="B18205" s="0" t="s">
        <v>7</v>
      </c>
    </row>
    <row r="18206" customFormat="false" ht="12.8" hidden="false" customHeight="false" outlineLevel="0" collapsed="false">
      <c r="B18206" s="0" t="s">
        <v>124</v>
      </c>
    </row>
    <row r="18208" customFormat="false" ht="12.8" hidden="false" customHeight="false" outlineLevel="0" collapsed="false">
      <c r="A18208" s="0" t="s">
        <v>6972</v>
      </c>
      <c r="B18208" s="0" t="str">
        <f aca="false">HYPERLINK("https://lindat.mff.cuni.cz/services/teitok/pdtc10/index.php?action=vallex&amp;frame=v-w2210f3", "naskakovat (v-w2210f3)")</f>
        <v>naskakovat (v-w2210f3)</v>
      </c>
    </row>
    <row r="18209" customFormat="false" ht="12.8" hidden="false" customHeight="false" outlineLevel="0" collapsed="false">
      <c r="B18209" s="0" t="s">
        <v>7</v>
      </c>
      <c r="D18209" s="0" t="s">
        <v>708</v>
      </c>
      <c r="E18209" s="0" t="s">
        <v>708</v>
      </c>
      <c r="F18209" s="0" t="s">
        <v>708</v>
      </c>
    </row>
    <row r="18211" customFormat="false" ht="12.8" hidden="false" customHeight="false" outlineLevel="0" collapsed="false">
      <c r="A18211" s="0" t="s">
        <v>6973</v>
      </c>
      <c r="B18211" s="0" t="str">
        <f aca="false">HYPERLINK("https://lindat.mff.cuni.cz/services/teitok/pdtc10/index.php?action=vallex&amp;frame=v-w2210f1", "naskakovat (v-w2210f1)")</f>
        <v>naskakovat (v-w2210f1)</v>
      </c>
    </row>
    <row r="18212" customFormat="false" ht="12.8" hidden="false" customHeight="false" outlineLevel="0" collapsed="false">
      <c r="B18212" s="0" t="s">
        <v>603</v>
      </c>
    </row>
    <row r="18213" customFormat="false" ht="12.8" hidden="false" customHeight="false" outlineLevel="0" collapsed="false">
      <c r="B18213" s="0" t="s">
        <v>6974</v>
      </c>
    </row>
    <row r="18215" customFormat="false" ht="12.8" hidden="false" customHeight="false" outlineLevel="0" collapsed="false">
      <c r="A18215" s="0" t="s">
        <v>6975</v>
      </c>
      <c r="B18215" s="0" t="str">
        <f aca="false">HYPERLINK("https://lindat.mff.cuni.cz/services/teitok/pdtc10/index.php?action=vallex&amp;frame=v-w11778_ZUf1_ZU", "naskautovat (v-w11778_ZUf1_ZU)")</f>
        <v>naskautovat (v-w11778_ZUf1_ZU)</v>
      </c>
    </row>
    <row r="18216" customFormat="false" ht="12.8" hidden="false" customHeight="false" outlineLevel="0" collapsed="false">
      <c r="B18216" s="0" t="s">
        <v>7</v>
      </c>
    </row>
    <row r="18217" customFormat="false" ht="12.8" hidden="false" customHeight="false" outlineLevel="0" collapsed="false">
      <c r="B18217" s="0" t="s">
        <v>14</v>
      </c>
    </row>
    <row r="18219" customFormat="false" ht="12.8" hidden="false" customHeight="false" outlineLevel="0" collapsed="false">
      <c r="A18219" s="0" t="s">
        <v>6976</v>
      </c>
      <c r="B18219" s="0" t="str">
        <f aca="false">HYPERLINK("https://lindat.mff.cuni.cz/services/teitok/pdtc10/index.php?action=vallex&amp;frame=v-whsa_527hsa_528", "naskenovat (v-whsa_527hsa_528)")</f>
        <v>naskenovat (v-whsa_527hsa_528)</v>
      </c>
    </row>
    <row r="18220" customFormat="false" ht="12.8" hidden="false" customHeight="false" outlineLevel="0" collapsed="false">
      <c r="B18220" s="0" t="s">
        <v>7</v>
      </c>
    </row>
    <row r="18221" customFormat="false" ht="12.8" hidden="false" customHeight="false" outlineLevel="0" collapsed="false">
      <c r="B18221" s="0" t="s">
        <v>14</v>
      </c>
    </row>
    <row r="18223" customFormat="false" ht="12.8" hidden="false" customHeight="false" outlineLevel="0" collapsed="false">
      <c r="A18223" s="0" t="s">
        <v>6977</v>
      </c>
      <c r="B18223" s="0" t="str">
        <f aca="false">HYPERLINK("https://lindat.mff.cuni.cz/services/teitok/pdtc10/index.php?action=vallex&amp;frame=v-w2211f1", "naskicovat (v-w2211f1)")</f>
        <v>naskicovat (v-w2211f1)</v>
      </c>
    </row>
    <row r="18224" customFormat="false" ht="12.8" hidden="false" customHeight="false" outlineLevel="0" collapsed="false">
      <c r="B18224" s="0" t="s">
        <v>7</v>
      </c>
    </row>
    <row r="18225" customFormat="false" ht="12.8" hidden="false" customHeight="false" outlineLevel="0" collapsed="false">
      <c r="B18225" s="0" t="s">
        <v>232</v>
      </c>
    </row>
    <row r="18227" customFormat="false" ht="12.8" hidden="false" customHeight="false" outlineLevel="0" collapsed="false">
      <c r="A18227" s="0" t="s">
        <v>6978</v>
      </c>
      <c r="B18227" s="0" t="str">
        <f aca="false">HYPERLINK("https://lindat.mff.cuni.cz/services/teitok/pdtc10/index.php?action=vallex&amp;frame=v-whsa_1235hsa_1236", "naskládat (v-whsa_1235hsa_1236)")</f>
        <v>naskládat (v-whsa_1235hsa_1236)</v>
      </c>
    </row>
    <row r="18228" customFormat="false" ht="12.8" hidden="false" customHeight="false" outlineLevel="0" collapsed="false">
      <c r="B18228" s="0" t="s">
        <v>7</v>
      </c>
    </row>
    <row r="18229" customFormat="false" ht="12.8" hidden="false" customHeight="false" outlineLevel="0" collapsed="false">
      <c r="B18229" s="0" t="s">
        <v>14</v>
      </c>
    </row>
    <row r="18230" customFormat="false" ht="12.8" hidden="false" customHeight="false" outlineLevel="0" collapsed="false">
      <c r="B18230" s="0" t="s">
        <v>124</v>
      </c>
    </row>
    <row r="18232" customFormat="false" ht="12.8" hidden="false" customHeight="false" outlineLevel="0" collapsed="false">
      <c r="A18232" s="0" t="s">
        <v>6979</v>
      </c>
      <c r="B18232" s="0" t="str">
        <f aca="false">HYPERLINK("https://lindat.mff.cuni.cz/services/teitok/pdtc10/index.php?action=vallex&amp;frame=v-w2212f2", "naskočit (v-w2212f2)")</f>
        <v>naskočit (v-w2212f2)</v>
      </c>
    </row>
    <row r="18233" customFormat="false" ht="12.8" hidden="false" customHeight="false" outlineLevel="0" collapsed="false">
      <c r="B18233" s="0" t="s">
        <v>7</v>
      </c>
      <c r="C18233" s="0" t="s">
        <v>191</v>
      </c>
    </row>
    <row r="18234" customFormat="false" ht="12.8" hidden="false" customHeight="false" outlineLevel="0" collapsed="false">
      <c r="B18234" s="0" t="s">
        <v>124</v>
      </c>
    </row>
    <row r="18236" customFormat="false" ht="12.8" hidden="false" customHeight="false" outlineLevel="0" collapsed="false">
      <c r="A18236" s="0" t="s">
        <v>6980</v>
      </c>
      <c r="B18236" s="0" t="str">
        <f aca="false">HYPERLINK("https://lindat.mff.cuni.cz/services/teitok/pdtc10/index.php?action=vallex&amp;frame=v-w2212f3", "naskočit (v-w2212f3)")</f>
        <v>naskočit (v-w2212f3)</v>
      </c>
    </row>
    <row r="18237" customFormat="false" ht="12.8" hidden="false" customHeight="false" outlineLevel="0" collapsed="false">
      <c r="B18237" s="0" t="s">
        <v>7</v>
      </c>
      <c r="C18237" s="0" t="s">
        <v>708</v>
      </c>
      <c r="D18237" s="0" t="s">
        <v>708</v>
      </c>
      <c r="E18237" s="0" t="s">
        <v>708</v>
      </c>
      <c r="F18237" s="0" t="s">
        <v>708</v>
      </c>
    </row>
    <row r="18239" customFormat="false" ht="12.8" hidden="false" customHeight="false" outlineLevel="0" collapsed="false">
      <c r="A18239" s="0" t="s">
        <v>6981</v>
      </c>
      <c r="B18239" s="0" t="str">
        <f aca="false">HYPERLINK("https://lindat.mff.cuni.cz/services/teitok/pdtc10/index.php?action=vallex&amp;frame=v-w2212f1", "naskočit (v-w2212f1)")</f>
        <v>naskočit (v-w2212f1)</v>
      </c>
    </row>
    <row r="18240" customFormat="false" ht="12.8" hidden="false" customHeight="false" outlineLevel="0" collapsed="false">
      <c r="B18240" s="0" t="s">
        <v>603</v>
      </c>
    </row>
    <row r="18241" customFormat="false" ht="12.8" hidden="false" customHeight="false" outlineLevel="0" collapsed="false">
      <c r="B18241" s="0" t="s">
        <v>6974</v>
      </c>
    </row>
    <row r="18243" customFormat="false" ht="12.8" hidden="false" customHeight="false" outlineLevel="0" collapsed="false">
      <c r="A18243" s="0" t="s">
        <v>6982</v>
      </c>
      <c r="B18243" s="0" t="str">
        <f aca="false">HYPERLINK("https://lindat.mff.cuni.cz/services/teitok/pdtc10/index.php?action=vallex&amp;frame=v-w2215f2_ZU", "naskytnout se (v-w2215f2_ZU)")</f>
        <v>naskytnout se (v-w2215f2_ZU)</v>
      </c>
    </row>
    <row r="18244" customFormat="false" ht="12.8" hidden="false" customHeight="false" outlineLevel="0" collapsed="false">
      <c r="B18244" s="0" t="s">
        <v>7</v>
      </c>
      <c r="C18244" s="0" t="s">
        <v>1378</v>
      </c>
    </row>
    <row r="18246" customFormat="false" ht="12.8" hidden="false" customHeight="false" outlineLevel="0" collapsed="false">
      <c r="A18246" s="0" t="s">
        <v>6983</v>
      </c>
      <c r="B18246" s="0" t="str">
        <f aca="false">HYPERLINK("https://lindat.mff.cuni.cz/services/teitok/pdtc10/index.php?action=vallex&amp;frame=v-w2215hsa_265", "naskytnout se (v-w2215hsa_265)")</f>
        <v>naskytnout se (v-w2215hsa_265)</v>
      </c>
    </row>
    <row r="18247" customFormat="false" ht="12.8" hidden="false" customHeight="false" outlineLevel="0" collapsed="false">
      <c r="B18247" s="0" t="s">
        <v>6984</v>
      </c>
    </row>
    <row r="18248" customFormat="false" ht="12.8" hidden="false" customHeight="false" outlineLevel="0" collapsed="false">
      <c r="B18248" s="0" t="s">
        <v>6304</v>
      </c>
    </row>
    <row r="18250" customFormat="false" ht="12.8" hidden="false" customHeight="false" outlineLevel="0" collapsed="false">
      <c r="A18250" s="0" t="s">
        <v>6983</v>
      </c>
      <c r="B18250" s="0" t="str">
        <f aca="false">HYPERLINK("https://lindat.mff.cuni.cz/services/teitok/pdtc10/index.php?action=vallex&amp;frame=v-w2215f1", "naskytnout se (v-w2215f1) - substituted with v-w2215hsa_265")</f>
        <v>naskytnout se (v-w2215f1) - substituted with v-w2215hsa_265</v>
      </c>
    </row>
    <row r="18251" customFormat="false" ht="12.8" hidden="false" customHeight="false" outlineLevel="0" collapsed="false">
      <c r="B18251" s="0" t="s">
        <v>6984</v>
      </c>
    </row>
    <row r="18252" customFormat="false" ht="12.8" hidden="false" customHeight="false" outlineLevel="0" collapsed="false">
      <c r="B18252" s="0" t="s">
        <v>6304</v>
      </c>
    </row>
    <row r="18254" customFormat="false" ht="12.8" hidden="false" customHeight="false" outlineLevel="0" collapsed="false">
      <c r="A18254" s="0" t="s">
        <v>6985</v>
      </c>
      <c r="B18254" s="0" t="str">
        <f aca="false">HYPERLINK("https://lindat.mff.cuni.cz/services/teitok/pdtc10/index.php?action=vallex&amp;frame=v-w2215hsa_266", "naskytnout se (v-w2215hsa_266)")</f>
        <v>naskytnout se (v-w2215hsa_266)</v>
      </c>
    </row>
    <row r="18255" customFormat="false" ht="12.8" hidden="false" customHeight="false" outlineLevel="0" collapsed="false">
      <c r="B18255" s="0" t="s">
        <v>603</v>
      </c>
    </row>
    <row r="18256" customFormat="false" ht="12.8" hidden="false" customHeight="false" outlineLevel="0" collapsed="false">
      <c r="B18256" s="0" t="s">
        <v>6986</v>
      </c>
      <c r="C18256" s="0" t="s">
        <v>6987</v>
      </c>
    </row>
    <row r="18258" customFormat="false" ht="12.8" hidden="false" customHeight="false" outlineLevel="0" collapsed="false">
      <c r="A18258" s="0" t="s">
        <v>6988</v>
      </c>
      <c r="B18258" s="0" t="str">
        <f aca="false">HYPERLINK("https://lindat.mff.cuni.cz/services/teitok/pdtc10/index.php?action=vallex&amp;frame=v-whsa_41hsa_42", "naskákat se (v-whsa_41hsa_42)")</f>
        <v>naskákat se (v-whsa_41hsa_42)</v>
      </c>
    </row>
    <row r="18259" customFormat="false" ht="12.8" hidden="false" customHeight="false" outlineLevel="0" collapsed="false">
      <c r="B18259" s="0" t="s">
        <v>7</v>
      </c>
    </row>
    <row r="18261" customFormat="false" ht="12.8" hidden="false" customHeight="false" outlineLevel="0" collapsed="false">
      <c r="A18261" s="0" t="s">
        <v>6989</v>
      </c>
      <c r="B18261" s="0" t="str">
        <f aca="false">HYPERLINK("https://lindat.mff.cuni.cz/services/teitok/pdtc10/index.php?action=vallex&amp;frame=v-w2214f2", "naskýtat se (v-w2214f2)")</f>
        <v>naskýtat se (v-w2214f2)</v>
      </c>
    </row>
    <row r="18262" customFormat="false" ht="12.8" hidden="false" customHeight="false" outlineLevel="0" collapsed="false">
      <c r="B18262" s="0" t="s">
        <v>7</v>
      </c>
      <c r="C18262" s="0" t="s">
        <v>736</v>
      </c>
    </row>
    <row r="18264" customFormat="false" ht="12.8" hidden="false" customHeight="false" outlineLevel="0" collapsed="false">
      <c r="A18264" s="0" t="s">
        <v>6990</v>
      </c>
      <c r="B18264" s="0" t="str">
        <f aca="false">HYPERLINK("https://lindat.mff.cuni.cz/services/teitok/pdtc10/index.php?action=vallex&amp;frame=v-w2214f1", "naskýtat se (v-w2214f1)")</f>
        <v>naskýtat se (v-w2214f1)</v>
      </c>
    </row>
    <row r="18265" customFormat="false" ht="12.8" hidden="false" customHeight="false" outlineLevel="0" collapsed="false">
      <c r="B18265" s="0" t="s">
        <v>6991</v>
      </c>
    </row>
    <row r="18266" customFormat="false" ht="12.8" hidden="false" customHeight="false" outlineLevel="0" collapsed="false">
      <c r="B18266" s="0" t="s">
        <v>6304</v>
      </c>
    </row>
    <row r="18268" customFormat="false" ht="12.8" hidden="false" customHeight="false" outlineLevel="0" collapsed="false">
      <c r="A18268" s="0" t="s">
        <v>6992</v>
      </c>
      <c r="B18268" s="0" t="str">
        <f aca="false">HYPERLINK("https://lindat.mff.cuni.cz/services/teitok/pdtc10/index.php?action=vallex&amp;frame=v-w11884_ZUf1_ZU", "naslinit (v-w11884_ZUf1_ZU)")</f>
        <v>naslinit (v-w11884_ZUf1_ZU)</v>
      </c>
    </row>
    <row r="18269" customFormat="false" ht="12.8" hidden="false" customHeight="false" outlineLevel="0" collapsed="false">
      <c r="B18269" s="0" t="s">
        <v>7</v>
      </c>
    </row>
    <row r="18270" customFormat="false" ht="12.8" hidden="false" customHeight="false" outlineLevel="0" collapsed="false">
      <c r="B18270" s="0" t="s">
        <v>14</v>
      </c>
    </row>
    <row r="18272" customFormat="false" ht="12.8" hidden="false" customHeight="false" outlineLevel="0" collapsed="false">
      <c r="A18272" s="0" t="s">
        <v>6993</v>
      </c>
      <c r="B18272" s="0" t="str">
        <f aca="false">HYPERLINK("https://lindat.mff.cuni.cz/services/teitok/pdtc10/index.php?action=vallex&amp;frame=v-w2220f1", "naslouchat (v-w2220f1)")</f>
        <v>naslouchat (v-w2220f1)</v>
      </c>
    </row>
    <row r="18273" customFormat="false" ht="12.8" hidden="false" customHeight="false" outlineLevel="0" collapsed="false">
      <c r="B18273" s="0" t="s">
        <v>7</v>
      </c>
      <c r="C18273" s="0" t="s">
        <v>1287</v>
      </c>
      <c r="D18273" s="0" t="s">
        <v>126</v>
      </c>
      <c r="E18273" s="0" t="s">
        <v>126</v>
      </c>
      <c r="F18273" s="0" t="s">
        <v>126</v>
      </c>
    </row>
    <row r="18274" customFormat="false" ht="12.8" hidden="false" customHeight="false" outlineLevel="0" collapsed="false">
      <c r="B18274" s="0" t="s">
        <v>6994</v>
      </c>
      <c r="C18274" s="0" t="s">
        <v>159</v>
      </c>
      <c r="D18274" s="0" t="s">
        <v>493</v>
      </c>
      <c r="E18274" s="0" t="s">
        <v>493</v>
      </c>
      <c r="F18274" s="0" t="s">
        <v>493</v>
      </c>
    </row>
    <row r="18276" customFormat="false" ht="12.8" hidden="false" customHeight="false" outlineLevel="0" collapsed="false">
      <c r="A18276" s="0" t="s">
        <v>6995</v>
      </c>
      <c r="B18276" s="0" t="str">
        <f aca="false">HYPERLINK("https://lindat.mff.cuni.cz/services/teitok/pdtc10/index.php?action=vallex&amp;frame=v-whsa_198hsa_199", "nasluhovat (v-whsa_198hsa_199)")</f>
        <v>nasluhovat (v-whsa_198hsa_199)</v>
      </c>
    </row>
    <row r="18277" customFormat="false" ht="12.8" hidden="false" customHeight="false" outlineLevel="0" collapsed="false">
      <c r="B18277" s="0" t="s">
        <v>7</v>
      </c>
    </row>
    <row r="18278" customFormat="false" ht="12.8" hidden="false" customHeight="false" outlineLevel="0" collapsed="false">
      <c r="B18278" s="0" t="s">
        <v>14</v>
      </c>
    </row>
    <row r="18280" customFormat="false" ht="12.8" hidden="false" customHeight="false" outlineLevel="0" collapsed="false">
      <c r="A18280" s="0" t="s">
        <v>6996</v>
      </c>
      <c r="B18280" s="0" t="str">
        <f aca="false">HYPERLINK("https://lindat.mff.cuni.cz/services/teitok/pdtc10/index.php?action=vallex&amp;frame=v-w2223f1", "nasmlouvat (v-w2223f1)")</f>
        <v>nasmlouvat (v-w2223f1)</v>
      </c>
    </row>
    <row r="18281" customFormat="false" ht="12.8" hidden="false" customHeight="false" outlineLevel="0" collapsed="false">
      <c r="B18281" s="0" t="s">
        <v>7</v>
      </c>
    </row>
    <row r="18282" customFormat="false" ht="12.8" hidden="false" customHeight="false" outlineLevel="0" collapsed="false">
      <c r="B18282" s="0" t="s">
        <v>165</v>
      </c>
    </row>
    <row r="18283" customFormat="false" ht="12.8" hidden="false" customHeight="false" outlineLevel="0" collapsed="false">
      <c r="B18283" s="0" t="s">
        <v>2767</v>
      </c>
    </row>
    <row r="18285" customFormat="false" ht="12.8" hidden="false" customHeight="false" outlineLevel="0" collapsed="false">
      <c r="A18285" s="0" t="s">
        <v>6997</v>
      </c>
      <c r="B18285" s="0" t="str">
        <f aca="false">HYPERLINK("https://lindat.mff.cuni.cz/services/teitok/pdtc10/index.php?action=vallex&amp;frame=v-whsa_1180f1_ZU", "nasmát se (v-whsa_1180f1_ZU)")</f>
        <v>nasmát se (v-whsa_1180f1_ZU)</v>
      </c>
    </row>
    <row r="18286" customFormat="false" ht="12.8" hidden="false" customHeight="false" outlineLevel="0" collapsed="false">
      <c r="B18286" s="0" t="s">
        <v>7</v>
      </c>
    </row>
    <row r="18287" customFormat="false" ht="12.8" hidden="false" customHeight="false" outlineLevel="0" collapsed="false">
      <c r="B18287" s="0" t="s">
        <v>6998</v>
      </c>
    </row>
    <row r="18289" customFormat="false" ht="12.8" hidden="false" customHeight="false" outlineLevel="0" collapsed="false">
      <c r="A18289" s="0" t="s">
        <v>6997</v>
      </c>
      <c r="B18289" s="0" t="str">
        <f aca="false">HYPERLINK("https://lindat.mff.cuni.cz/services/teitok/pdtc10/index.php?action=vallex&amp;frame=v-whsa_1180hsa_1181", "nasmát se (v-whsa_1180hsa_1181) - substituted with v-whsa_1180f1_ZU")</f>
        <v>nasmát se (v-whsa_1180hsa_1181) - substituted with v-whsa_1180f1_ZU</v>
      </c>
    </row>
    <row r="18290" customFormat="false" ht="12.8" hidden="false" customHeight="false" outlineLevel="0" collapsed="false">
      <c r="B18290" s="0" t="s">
        <v>7</v>
      </c>
    </row>
    <row r="18291" customFormat="false" ht="12.8" hidden="false" customHeight="false" outlineLevel="0" collapsed="false">
      <c r="B18291" s="0" t="s">
        <v>6998</v>
      </c>
    </row>
    <row r="18293" customFormat="false" ht="12.8" hidden="false" customHeight="false" outlineLevel="0" collapsed="false">
      <c r="A18293" s="0" t="s">
        <v>6999</v>
      </c>
      <c r="B18293" s="0" t="str">
        <f aca="false">HYPERLINK("https://lindat.mff.cuni.cz/services/teitok/pdtc10/index.php?action=vallex&amp;frame=v-w2221f1", "nasměrovat (v-w2221f1)")</f>
        <v>nasměrovat (v-w2221f1)</v>
      </c>
    </row>
    <row r="18294" customFormat="false" ht="12.8" hidden="false" customHeight="false" outlineLevel="0" collapsed="false">
      <c r="B18294" s="0" t="s">
        <v>7</v>
      </c>
      <c r="C18294" s="0" t="s">
        <v>7000</v>
      </c>
      <c r="D18294" s="0" t="s">
        <v>1435</v>
      </c>
      <c r="E18294" s="0" t="s">
        <v>1435</v>
      </c>
      <c r="F18294" s="0" t="s">
        <v>1435</v>
      </c>
    </row>
    <row r="18295" customFormat="false" ht="12.8" hidden="false" customHeight="false" outlineLevel="0" collapsed="false">
      <c r="B18295" s="0" t="s">
        <v>14</v>
      </c>
      <c r="C18295" s="0" t="s">
        <v>3565</v>
      </c>
      <c r="D18295" s="0" t="s">
        <v>1437</v>
      </c>
      <c r="E18295" s="0" t="s">
        <v>1437</v>
      </c>
      <c r="F18295" s="0" t="s">
        <v>1437</v>
      </c>
    </row>
    <row r="18296" customFormat="false" ht="12.8" hidden="false" customHeight="false" outlineLevel="0" collapsed="false">
      <c r="B18296" s="0" t="s">
        <v>124</v>
      </c>
      <c r="C18296" s="0" t="s">
        <v>1337</v>
      </c>
      <c r="D18296" s="0" t="s">
        <v>7001</v>
      </c>
      <c r="E18296" s="0" t="s">
        <v>7001</v>
      </c>
      <c r="F18296" s="0" t="s">
        <v>7001</v>
      </c>
    </row>
    <row r="18298" customFormat="false" ht="12.8" hidden="false" customHeight="false" outlineLevel="0" collapsed="false">
      <c r="A18298" s="0" t="s">
        <v>7002</v>
      </c>
      <c r="B18298" s="0" t="str">
        <f aca="false">HYPERLINK("https://lindat.mff.cuni.cz/services/teitok/pdtc10/index.php?action=vallex&amp;frame=v-w2221f2_ZU", "nasměrovat (v-w2221f2_ZU)")</f>
        <v>nasměrovat (v-w2221f2_ZU)</v>
      </c>
    </row>
    <row r="18299" customFormat="false" ht="12.8" hidden="false" customHeight="false" outlineLevel="0" collapsed="false">
      <c r="B18299" s="0" t="s">
        <v>7</v>
      </c>
      <c r="D18299" s="0" t="s">
        <v>1435</v>
      </c>
      <c r="E18299" s="0" t="s">
        <v>1435</v>
      </c>
      <c r="F18299" s="0" t="s">
        <v>1435</v>
      </c>
    </row>
    <row r="18300" customFormat="false" ht="12.8" hidden="false" customHeight="false" outlineLevel="0" collapsed="false">
      <c r="B18300" s="0" t="s">
        <v>14</v>
      </c>
      <c r="D18300" s="0" t="s">
        <v>1437</v>
      </c>
      <c r="E18300" s="0" t="s">
        <v>1437</v>
      </c>
      <c r="F18300" s="0" t="s">
        <v>1437</v>
      </c>
    </row>
    <row r="18301" customFormat="false" ht="12.8" hidden="false" customHeight="false" outlineLevel="0" collapsed="false">
      <c r="B18301" s="0" t="s">
        <v>279</v>
      </c>
      <c r="D18301" s="0" t="s">
        <v>7001</v>
      </c>
      <c r="E18301" s="0" t="s">
        <v>7001</v>
      </c>
      <c r="F18301" s="0" t="s">
        <v>7001</v>
      </c>
    </row>
    <row r="18303" customFormat="false" ht="12.8" hidden="false" customHeight="false" outlineLevel="0" collapsed="false">
      <c r="A18303" s="0" t="s">
        <v>7003</v>
      </c>
      <c r="B18303" s="0" t="str">
        <f aca="false">HYPERLINK("https://lindat.mff.cuni.cz/services/teitok/pdtc10/index.php?action=vallex&amp;frame=v-w2221f3_ZU", "nasměrovat (v-w2221f3_ZU)")</f>
        <v>nasměrovat (v-w2221f3_ZU)</v>
      </c>
    </row>
    <row r="18304" customFormat="false" ht="12.8" hidden="false" customHeight="false" outlineLevel="0" collapsed="false">
      <c r="B18304" s="0" t="s">
        <v>7</v>
      </c>
    </row>
    <row r="18305" customFormat="false" ht="12.8" hidden="false" customHeight="false" outlineLevel="0" collapsed="false">
      <c r="B18305" s="0" t="s">
        <v>14</v>
      </c>
    </row>
    <row r="18306" customFormat="false" ht="12.8" hidden="false" customHeight="false" outlineLevel="0" collapsed="false">
      <c r="B18306" s="0" t="s">
        <v>338</v>
      </c>
    </row>
    <row r="18308" customFormat="false" ht="12.8" hidden="false" customHeight="false" outlineLevel="0" collapsed="false">
      <c r="A18308" s="0" t="s">
        <v>7004</v>
      </c>
      <c r="B18308" s="0" t="str">
        <f aca="false">HYPERLINK("https://lindat.mff.cuni.cz/services/teitok/pdtc10/index.php?action=vallex&amp;frame=v-w2222f1", "nasměrovávat (v-w2222f1)")</f>
        <v>nasměrovávat (v-w2222f1)</v>
      </c>
    </row>
    <row r="18309" customFormat="false" ht="12.8" hidden="false" customHeight="false" outlineLevel="0" collapsed="false">
      <c r="B18309" s="0" t="s">
        <v>7</v>
      </c>
      <c r="C18309" s="0" t="s">
        <v>569</v>
      </c>
      <c r="D18309" s="0" t="s">
        <v>1435</v>
      </c>
      <c r="E18309" s="0" t="s">
        <v>1435</v>
      </c>
      <c r="F18309" s="0" t="s">
        <v>1435</v>
      </c>
    </row>
    <row r="18310" customFormat="false" ht="12.8" hidden="false" customHeight="false" outlineLevel="0" collapsed="false">
      <c r="B18310" s="0" t="s">
        <v>14</v>
      </c>
      <c r="C18310" s="0" t="s">
        <v>78</v>
      </c>
      <c r="D18310" s="0" t="s">
        <v>1437</v>
      </c>
      <c r="E18310" s="0" t="s">
        <v>1437</v>
      </c>
      <c r="F18310" s="0" t="s">
        <v>1437</v>
      </c>
    </row>
    <row r="18311" customFormat="false" ht="12.8" hidden="false" customHeight="false" outlineLevel="0" collapsed="false">
      <c r="B18311" s="0" t="s">
        <v>124</v>
      </c>
      <c r="D18311" s="0" t="s">
        <v>7001</v>
      </c>
      <c r="E18311" s="0" t="s">
        <v>7001</v>
      </c>
      <c r="F18311" s="0" t="s">
        <v>7001</v>
      </c>
    </row>
    <row r="18313" customFormat="false" ht="12.8" hidden="false" customHeight="false" outlineLevel="0" collapsed="false">
      <c r="A18313" s="0" t="s">
        <v>7005</v>
      </c>
      <c r="B18313" s="0" t="str">
        <f aca="false">HYPERLINK("https://lindat.mff.cuni.cz/services/teitok/pdtc10/index.php?action=vallex&amp;frame=v-whsa_149hsa_150", "nasnídat se (v-whsa_149hsa_150)")</f>
        <v>nasnídat se (v-whsa_149hsa_150)</v>
      </c>
    </row>
    <row r="18314" customFormat="false" ht="12.8" hidden="false" customHeight="false" outlineLevel="0" collapsed="false">
      <c r="B18314" s="0" t="s">
        <v>7</v>
      </c>
    </row>
    <row r="18316" customFormat="false" ht="12.8" hidden="false" customHeight="false" outlineLevel="0" collapsed="false">
      <c r="A18316" s="0" t="s">
        <v>7006</v>
      </c>
      <c r="B18316" s="0" t="str">
        <f aca="false">HYPERLINK("https://lindat.mff.cuni.cz/services/teitok/pdtc10/index.php?action=vallex&amp;frame=v-w10330f2", "nasněžit (v-w10330f2)")</f>
        <v>nasněžit (v-w10330f2)</v>
      </c>
    </row>
    <row r="18317" customFormat="false" ht="12.8" hidden="false" customHeight="false" outlineLevel="0" collapsed="false">
      <c r="B18317" s="0" t="s">
        <v>7</v>
      </c>
      <c r="C18317" s="0" t="s">
        <v>1142</v>
      </c>
    </row>
    <row r="18318" customFormat="false" ht="12.8" hidden="false" customHeight="false" outlineLevel="0" collapsed="false">
      <c r="B18318" s="0" t="s">
        <v>14</v>
      </c>
      <c r="C18318" s="0" t="s">
        <v>7007</v>
      </c>
    </row>
    <row r="18320" customFormat="false" ht="12.8" hidden="false" customHeight="false" outlineLevel="0" collapsed="false">
      <c r="A18320" s="0" t="s">
        <v>7008</v>
      </c>
      <c r="B18320" s="0" t="str">
        <f aca="false">HYPERLINK("https://lindat.mff.cuni.cz/services/teitok/pdtc10/index.php?action=vallex&amp;frame=v-whsa_1635hsa_1636", "naspořit (v-whsa_1635hsa_1636)")</f>
        <v>naspořit (v-whsa_1635hsa_1636)</v>
      </c>
    </row>
    <row r="18321" customFormat="false" ht="12.8" hidden="false" customHeight="false" outlineLevel="0" collapsed="false">
      <c r="B18321" s="0" t="s">
        <v>7</v>
      </c>
    </row>
    <row r="18322" customFormat="false" ht="12.8" hidden="false" customHeight="false" outlineLevel="0" collapsed="false">
      <c r="B18322" s="0" t="s">
        <v>14</v>
      </c>
    </row>
    <row r="18324" customFormat="false" ht="12.8" hidden="false" customHeight="false" outlineLevel="0" collapsed="false">
      <c r="A18324" s="0" t="s">
        <v>7009</v>
      </c>
      <c r="B18324" s="0" t="str">
        <f aca="false">HYPERLINK("https://lindat.mff.cuni.cz/services/teitok/pdtc10/index.php?action=vallex&amp;frame=v-w2227f1", "nastartovat (v-w2227f1)")</f>
        <v>nastartovat (v-w2227f1)</v>
      </c>
    </row>
    <row r="18325" customFormat="false" ht="12.8" hidden="false" customHeight="false" outlineLevel="0" collapsed="false">
      <c r="B18325" s="0" t="s">
        <v>7</v>
      </c>
      <c r="C18325" s="0" t="s">
        <v>7010</v>
      </c>
      <c r="D18325" s="0" t="s">
        <v>69</v>
      </c>
      <c r="E18325" s="0" t="s">
        <v>69</v>
      </c>
      <c r="F18325" s="0" t="s">
        <v>69</v>
      </c>
    </row>
    <row r="18326" customFormat="false" ht="12.8" hidden="false" customHeight="false" outlineLevel="0" collapsed="false">
      <c r="B18326" s="0" t="s">
        <v>14</v>
      </c>
      <c r="C18326" s="0" t="s">
        <v>7011</v>
      </c>
      <c r="D18326" s="0" t="s">
        <v>71</v>
      </c>
      <c r="E18326" s="0" t="s">
        <v>71</v>
      </c>
      <c r="F18326" s="0" t="s">
        <v>71</v>
      </c>
    </row>
    <row r="18328" customFormat="false" ht="12.8" hidden="false" customHeight="false" outlineLevel="0" collapsed="false">
      <c r="A18328" s="0" t="s">
        <v>7012</v>
      </c>
      <c r="B18328" s="0" t="str">
        <f aca="false">HYPERLINK("https://lindat.mff.cuni.cz/services/teitok/pdtc10/index.php?action=vallex&amp;frame=v-w2228f1", "nastat (v-w2228f1)")</f>
        <v>nastat (v-w2228f1)</v>
      </c>
    </row>
    <row r="18329" customFormat="false" ht="12.8" hidden="false" customHeight="false" outlineLevel="0" collapsed="false">
      <c r="B18329" s="0" t="s">
        <v>7</v>
      </c>
      <c r="C18329" s="0" t="s">
        <v>7013</v>
      </c>
      <c r="D18329" s="0" t="s">
        <v>1899</v>
      </c>
      <c r="E18329" s="0" t="s">
        <v>1899</v>
      </c>
      <c r="F18329" s="0" t="s">
        <v>1899</v>
      </c>
    </row>
    <row r="18331" customFormat="false" ht="12.8" hidden="false" customHeight="false" outlineLevel="0" collapsed="false">
      <c r="A18331" s="0" t="s">
        <v>7014</v>
      </c>
      <c r="B18331" s="0" t="str">
        <f aca="false">HYPERLINK("https://lindat.mff.cuni.cz/services/teitok/pdtc10/index.php?action=vallex&amp;frame=v-w2231f1", "nastavit (v-w2231f1)")</f>
        <v>nastavit (v-w2231f1)</v>
      </c>
    </row>
    <row r="18332" customFormat="false" ht="12.8" hidden="false" customHeight="false" outlineLevel="0" collapsed="false">
      <c r="B18332" s="0" t="s">
        <v>7</v>
      </c>
      <c r="C18332" s="0" t="s">
        <v>1567</v>
      </c>
      <c r="D18332" s="0" t="s">
        <v>3028</v>
      </c>
      <c r="E18332" s="0" t="s">
        <v>3028</v>
      </c>
      <c r="F18332" s="0" t="s">
        <v>3028</v>
      </c>
    </row>
    <row r="18333" customFormat="false" ht="12.8" hidden="false" customHeight="false" outlineLevel="0" collapsed="false">
      <c r="B18333" s="0" t="s">
        <v>14</v>
      </c>
      <c r="C18333" s="0" t="s">
        <v>6840</v>
      </c>
      <c r="D18333" s="0" t="s">
        <v>356</v>
      </c>
      <c r="E18333" s="0" t="s">
        <v>356</v>
      </c>
      <c r="F18333" s="0" t="s">
        <v>356</v>
      </c>
    </row>
    <row r="18335" customFormat="false" ht="12.8" hidden="false" customHeight="false" outlineLevel="0" collapsed="false">
      <c r="A18335" s="0" t="s">
        <v>7015</v>
      </c>
      <c r="B18335" s="0" t="str">
        <f aca="false">HYPERLINK("https://lindat.mff.cuni.cz/services/teitok/pdtc10/index.php?action=vallex&amp;frame=v-w2231f2", "nastavit (v-w2231f2)")</f>
        <v>nastavit (v-w2231f2)</v>
      </c>
    </row>
    <row r="18336" customFormat="false" ht="12.8" hidden="false" customHeight="false" outlineLevel="0" collapsed="false">
      <c r="B18336" s="0" t="s">
        <v>7</v>
      </c>
    </row>
    <row r="18337" customFormat="false" ht="12.8" hidden="false" customHeight="false" outlineLevel="0" collapsed="false">
      <c r="B18337" s="0" t="s">
        <v>14</v>
      </c>
    </row>
    <row r="18339" customFormat="false" ht="12.8" hidden="false" customHeight="false" outlineLevel="0" collapsed="false">
      <c r="A18339" s="0" t="s">
        <v>7016</v>
      </c>
      <c r="B18339" s="0" t="str">
        <f aca="false">HYPERLINK("https://lindat.mff.cuni.cz/services/teitok/pdtc10/index.php?action=vallex&amp;frame=v-w2231f4", "nastavit (v-w2231f4)")</f>
        <v>nastavit (v-w2231f4)</v>
      </c>
    </row>
    <row r="18340" customFormat="false" ht="12.8" hidden="false" customHeight="false" outlineLevel="0" collapsed="false">
      <c r="B18340" s="0" t="s">
        <v>7</v>
      </c>
    </row>
    <row r="18341" customFormat="false" ht="12.8" hidden="false" customHeight="false" outlineLevel="0" collapsed="false">
      <c r="B18341" s="0" t="s">
        <v>14</v>
      </c>
    </row>
    <row r="18343" customFormat="false" ht="12.8" hidden="false" customHeight="false" outlineLevel="0" collapsed="false">
      <c r="A18343" s="0" t="s">
        <v>7017</v>
      </c>
      <c r="B18343" s="0" t="str">
        <f aca="false">HYPERLINK("https://lindat.mff.cuni.cz/services/teitok/pdtc10/index.php?action=vallex&amp;frame=v-w2231f3", "nastavit (v-w2231f3)")</f>
        <v>nastavit (v-w2231f3)</v>
      </c>
    </row>
    <row r="18344" customFormat="false" ht="12.8" hidden="false" customHeight="false" outlineLevel="0" collapsed="false">
      <c r="B18344" s="0" t="s">
        <v>7</v>
      </c>
    </row>
    <row r="18345" customFormat="false" ht="12.8" hidden="false" customHeight="false" outlineLevel="0" collapsed="false">
      <c r="B18345" s="0" t="s">
        <v>7018</v>
      </c>
    </row>
    <row r="18346" customFormat="false" ht="12.8" hidden="false" customHeight="false" outlineLevel="0" collapsed="false">
      <c r="B18346" s="0" t="s">
        <v>142</v>
      </c>
    </row>
    <row r="18348" customFormat="false" ht="12.8" hidden="false" customHeight="false" outlineLevel="0" collapsed="false">
      <c r="A18348" s="0" t="s">
        <v>7019</v>
      </c>
      <c r="B18348" s="0" t="str">
        <f aca="false">HYPERLINK("https://lindat.mff.cuni.cz/services/teitok/pdtc10/index.php?action=vallex&amp;frame=v-w2231f5_ZU", "nastavit (v-w2231f5_ZU)")</f>
        <v>nastavit (v-w2231f5_ZU)</v>
      </c>
    </row>
    <row r="18349" customFormat="false" ht="12.8" hidden="false" customHeight="false" outlineLevel="0" collapsed="false">
      <c r="B18349" s="0" t="s">
        <v>7</v>
      </c>
      <c r="C18349" s="0" t="s">
        <v>1261</v>
      </c>
      <c r="D18349" s="0" t="s">
        <v>1135</v>
      </c>
      <c r="E18349" s="0" t="s">
        <v>1135</v>
      </c>
      <c r="F18349" s="0" t="s">
        <v>1135</v>
      </c>
    </row>
    <row r="18350" customFormat="false" ht="12.8" hidden="false" customHeight="false" outlineLevel="0" collapsed="false">
      <c r="B18350" s="0" t="s">
        <v>14</v>
      </c>
      <c r="C18350" s="0" t="s">
        <v>4407</v>
      </c>
      <c r="D18350" s="0" t="s">
        <v>1137</v>
      </c>
      <c r="E18350" s="0" t="s">
        <v>1137</v>
      </c>
      <c r="F18350" s="0" t="s">
        <v>1137</v>
      </c>
    </row>
    <row r="18351" customFormat="false" ht="12.8" hidden="false" customHeight="false" outlineLevel="0" collapsed="false">
      <c r="B18351" s="0" t="s">
        <v>37</v>
      </c>
      <c r="C18351" s="0" t="s">
        <v>1234</v>
      </c>
      <c r="D18351" s="0" t="s">
        <v>1139</v>
      </c>
      <c r="E18351" s="0" t="s">
        <v>1139</v>
      </c>
      <c r="F18351" s="0" t="s">
        <v>1139</v>
      </c>
    </row>
    <row r="18353" customFormat="false" ht="12.8" hidden="false" customHeight="false" outlineLevel="0" collapsed="false">
      <c r="A18353" s="0" t="s">
        <v>7019</v>
      </c>
      <c r="B18353" s="0" t="str">
        <f aca="false">HYPERLINK("https://lindat.mff.cuni.cz/services/teitok/pdtc10/index.php?action=vallex&amp;frame=v-w2231hsa_62", "nastavit (v-w2231hsa_62) - substituted with v-w2231f5_ZU")</f>
        <v>nastavit (v-w2231hsa_62) - substituted with v-w2231f5_ZU</v>
      </c>
    </row>
    <row r="18354" customFormat="false" ht="12.8" hidden="false" customHeight="false" outlineLevel="0" collapsed="false">
      <c r="B18354" s="0" t="s">
        <v>7</v>
      </c>
    </row>
    <row r="18355" customFormat="false" ht="12.8" hidden="false" customHeight="false" outlineLevel="0" collapsed="false">
      <c r="B18355" s="0" t="s">
        <v>14</v>
      </c>
    </row>
    <row r="18356" customFormat="false" ht="12.8" hidden="false" customHeight="false" outlineLevel="0" collapsed="false">
      <c r="B18356" s="0" t="s">
        <v>37</v>
      </c>
    </row>
    <row r="18358" customFormat="false" ht="12.8" hidden="false" customHeight="false" outlineLevel="0" collapsed="false">
      <c r="A18358" s="0" t="s">
        <v>7020</v>
      </c>
      <c r="B18358" s="0" t="str">
        <f aca="false">HYPERLINK("https://lindat.mff.cuni.cz/services/teitok/pdtc10/index.php?action=vallex&amp;frame=v-w2232f1", "nastavovat (v-w2232f1)")</f>
        <v>nastavovat (v-w2232f1)</v>
      </c>
    </row>
    <row r="18359" customFormat="false" ht="12.8" hidden="false" customHeight="false" outlineLevel="0" collapsed="false">
      <c r="B18359" s="0" t="s">
        <v>7</v>
      </c>
      <c r="C18359" s="0" t="s">
        <v>46</v>
      </c>
    </row>
    <row r="18360" customFormat="false" ht="12.8" hidden="false" customHeight="false" outlineLevel="0" collapsed="false">
      <c r="B18360" s="0" t="s">
        <v>14</v>
      </c>
      <c r="C18360" s="0" t="s">
        <v>47</v>
      </c>
    </row>
    <row r="18362" customFormat="false" ht="12.8" hidden="false" customHeight="false" outlineLevel="0" collapsed="false">
      <c r="A18362" s="0" t="s">
        <v>7021</v>
      </c>
      <c r="B18362" s="0" t="str">
        <f aca="false">HYPERLINK("https://lindat.mff.cuni.cz/services/teitok/pdtc10/index.php?action=vallex&amp;frame=v-w2232f2", "nastavovat (v-w2232f2)")</f>
        <v>nastavovat (v-w2232f2)</v>
      </c>
    </row>
    <row r="18363" customFormat="false" ht="12.8" hidden="false" customHeight="false" outlineLevel="0" collapsed="false">
      <c r="B18363" s="0" t="s">
        <v>7</v>
      </c>
    </row>
    <row r="18364" customFormat="false" ht="12.8" hidden="false" customHeight="false" outlineLevel="0" collapsed="false">
      <c r="B18364" s="0" t="s">
        <v>14</v>
      </c>
    </row>
    <row r="18366" customFormat="false" ht="12.8" hidden="false" customHeight="false" outlineLevel="0" collapsed="false">
      <c r="A18366" s="0" t="s">
        <v>7022</v>
      </c>
      <c r="B18366" s="0" t="str">
        <f aca="false">HYPERLINK("https://lindat.mff.cuni.cz/services/teitok/pdtc10/index.php?action=vallex&amp;frame=v-w2232f3_ZU", "nastavovat (v-w2232f3_ZU)")</f>
        <v>nastavovat (v-w2232f3_ZU)</v>
      </c>
    </row>
    <row r="18367" customFormat="false" ht="12.8" hidden="false" customHeight="false" outlineLevel="0" collapsed="false">
      <c r="B18367" s="0" t="s">
        <v>7</v>
      </c>
      <c r="D18367" s="0" t="s">
        <v>2998</v>
      </c>
      <c r="E18367" s="0" t="s">
        <v>2998</v>
      </c>
      <c r="F18367" s="0" t="s">
        <v>2998</v>
      </c>
    </row>
    <row r="18368" customFormat="false" ht="12.8" hidden="false" customHeight="false" outlineLevel="0" collapsed="false">
      <c r="B18368" s="0" t="s">
        <v>14</v>
      </c>
      <c r="D18368" s="0" t="s">
        <v>3001</v>
      </c>
      <c r="E18368" s="0" t="s">
        <v>3001</v>
      </c>
      <c r="F18368" s="0" t="s">
        <v>3001</v>
      </c>
    </row>
    <row r="18370" customFormat="false" ht="12.8" hidden="false" customHeight="false" outlineLevel="0" collapsed="false">
      <c r="A18370" s="0" t="s">
        <v>7023</v>
      </c>
      <c r="B18370" s="0" t="str">
        <f aca="false">HYPERLINK("https://lindat.mff.cuni.cz/services/teitok/pdtc10/index.php?action=vallex&amp;frame=v-w11090f2", "nastavět (v-w11090f2)")</f>
        <v>nastavět (v-w11090f2)</v>
      </c>
    </row>
    <row r="18371" customFormat="false" ht="12.8" hidden="false" customHeight="false" outlineLevel="0" collapsed="false">
      <c r="B18371" s="0" t="s">
        <v>7</v>
      </c>
      <c r="C18371" s="0" t="s">
        <v>191</v>
      </c>
      <c r="D18371" s="0" t="s">
        <v>4799</v>
      </c>
      <c r="E18371" s="0" t="s">
        <v>4799</v>
      </c>
      <c r="F18371" s="0" t="s">
        <v>4799</v>
      </c>
    </row>
    <row r="18372" customFormat="false" ht="12.8" hidden="false" customHeight="false" outlineLevel="0" collapsed="false">
      <c r="B18372" s="0" t="s">
        <v>14</v>
      </c>
      <c r="C18372" s="0" t="s">
        <v>47</v>
      </c>
      <c r="D18372" s="0" t="s">
        <v>4801</v>
      </c>
      <c r="E18372" s="0" t="s">
        <v>4801</v>
      </c>
      <c r="F18372" s="0" t="s">
        <v>4801</v>
      </c>
    </row>
    <row r="18373" customFormat="false" ht="12.8" hidden="false" customHeight="false" outlineLevel="0" collapsed="false">
      <c r="B18373" s="0" t="s">
        <v>35</v>
      </c>
      <c r="D18373" s="0" t="s">
        <v>5460</v>
      </c>
      <c r="E18373" s="0" t="s">
        <v>5460</v>
      </c>
      <c r="F18373" s="0" t="s">
        <v>5460</v>
      </c>
    </row>
    <row r="18375" customFormat="false" ht="12.8" hidden="false" customHeight="false" outlineLevel="0" collapsed="false">
      <c r="A18375" s="0" t="s">
        <v>7024</v>
      </c>
      <c r="B18375" s="0" t="str">
        <f aca="false">HYPERLINK("https://lindat.mff.cuni.cz/services/teitok/pdtc10/index.php?action=vallex&amp;frame=v-whsa_1281hsa_1282", "nastiňovat (v-whsa_1281hsa_1282)")</f>
        <v>nastiňovat (v-whsa_1281hsa_1282)</v>
      </c>
    </row>
    <row r="18376" customFormat="false" ht="12.8" hidden="false" customHeight="false" outlineLevel="0" collapsed="false">
      <c r="B18376" s="0" t="s">
        <v>7</v>
      </c>
      <c r="C18376" s="0" t="s">
        <v>569</v>
      </c>
      <c r="D18376" s="0" t="s">
        <v>3803</v>
      </c>
      <c r="E18376" s="0" t="s">
        <v>3803</v>
      </c>
      <c r="F18376" s="0" t="s">
        <v>3803</v>
      </c>
    </row>
    <row r="18377" customFormat="false" ht="12.8" hidden="false" customHeight="false" outlineLevel="0" collapsed="false">
      <c r="B18377" s="0" t="s">
        <v>14</v>
      </c>
      <c r="C18377" s="0" t="s">
        <v>120</v>
      </c>
      <c r="D18377" s="0" t="s">
        <v>1467</v>
      </c>
      <c r="E18377" s="0" t="s">
        <v>1467</v>
      </c>
      <c r="F18377" s="0" t="s">
        <v>1467</v>
      </c>
    </row>
    <row r="18378" customFormat="false" ht="12.8" hidden="false" customHeight="false" outlineLevel="0" collapsed="false">
      <c r="B18378" s="0" t="s">
        <v>106</v>
      </c>
    </row>
    <row r="18380" customFormat="false" ht="12.8" hidden="false" customHeight="false" outlineLevel="0" collapsed="false">
      <c r="A18380" s="0" t="s">
        <v>7025</v>
      </c>
      <c r="B18380" s="0" t="str">
        <f aca="false">HYPERLINK("https://lindat.mff.cuni.cz/services/teitok/pdtc10/index.php?action=vallex&amp;frame=v-w2240f1", "nastolit (v-w2240f1)")</f>
        <v>nastolit (v-w2240f1)</v>
      </c>
    </row>
    <row r="18381" customFormat="false" ht="12.8" hidden="false" customHeight="false" outlineLevel="0" collapsed="false">
      <c r="B18381" s="0" t="s">
        <v>7</v>
      </c>
      <c r="C18381" s="0" t="s">
        <v>3610</v>
      </c>
      <c r="D18381" s="0" t="s">
        <v>569</v>
      </c>
      <c r="E18381" s="0" t="s">
        <v>569</v>
      </c>
      <c r="F18381" s="0" t="s">
        <v>569</v>
      </c>
    </row>
    <row r="18382" customFormat="false" ht="12.8" hidden="false" customHeight="false" outlineLevel="0" collapsed="false">
      <c r="B18382" s="0" t="s">
        <v>14</v>
      </c>
      <c r="C18382" s="0" t="s">
        <v>1511</v>
      </c>
      <c r="D18382" s="0" t="s">
        <v>1146</v>
      </c>
      <c r="E18382" s="0" t="s">
        <v>1146</v>
      </c>
      <c r="F18382" s="0" t="s">
        <v>1146</v>
      </c>
    </row>
    <row r="18384" customFormat="false" ht="12.8" hidden="false" customHeight="false" outlineLevel="0" collapsed="false">
      <c r="A18384" s="0" t="s">
        <v>7026</v>
      </c>
      <c r="B18384" s="0" t="str">
        <f aca="false">HYPERLINK("https://lindat.mff.cuni.cz/services/teitok/pdtc10/index.php?action=vallex&amp;frame=v-w2241f1", "nastolovat (v-w2241f1)")</f>
        <v>nastolovat (v-w2241f1)</v>
      </c>
    </row>
    <row r="18385" customFormat="false" ht="12.8" hidden="false" customHeight="false" outlineLevel="0" collapsed="false">
      <c r="B18385" s="0" t="s">
        <v>7</v>
      </c>
      <c r="C18385" s="0" t="s">
        <v>7027</v>
      </c>
      <c r="D18385" s="0" t="s">
        <v>569</v>
      </c>
      <c r="E18385" s="0" t="s">
        <v>569</v>
      </c>
      <c r="F18385" s="0" t="s">
        <v>569</v>
      </c>
    </row>
    <row r="18386" customFormat="false" ht="12.8" hidden="false" customHeight="false" outlineLevel="0" collapsed="false">
      <c r="B18386" s="0" t="s">
        <v>14</v>
      </c>
      <c r="C18386" s="0" t="s">
        <v>1289</v>
      </c>
      <c r="D18386" s="0" t="s">
        <v>1146</v>
      </c>
      <c r="E18386" s="0" t="s">
        <v>1146</v>
      </c>
      <c r="F18386" s="0" t="s">
        <v>1146</v>
      </c>
    </row>
    <row r="18388" customFormat="false" ht="12.8" hidden="false" customHeight="false" outlineLevel="0" collapsed="false">
      <c r="A18388" s="0" t="s">
        <v>7028</v>
      </c>
      <c r="B18388" s="0" t="str">
        <f aca="false">HYPERLINK("https://lindat.mff.cuni.cz/services/teitok/pdtc10/index.php?action=vallex&amp;frame=v-w2242f2", "nastoupit (v-w2242f2)")</f>
        <v>nastoupit (v-w2242f2)</v>
      </c>
    </row>
    <row r="18389" customFormat="false" ht="12.8" hidden="false" customHeight="false" outlineLevel="0" collapsed="false">
      <c r="B18389" s="0" t="s">
        <v>7</v>
      </c>
      <c r="C18389" s="0" t="s">
        <v>7029</v>
      </c>
      <c r="D18389" s="0" t="s">
        <v>3837</v>
      </c>
      <c r="E18389" s="0" t="s">
        <v>3837</v>
      </c>
      <c r="F18389" s="0" t="s">
        <v>3837</v>
      </c>
    </row>
    <row r="18390" customFormat="false" ht="12.8" hidden="false" customHeight="false" outlineLevel="0" collapsed="false">
      <c r="B18390" s="0" t="s">
        <v>7030</v>
      </c>
      <c r="C18390" s="0" t="s">
        <v>7031</v>
      </c>
      <c r="D18390" s="0" t="s">
        <v>1918</v>
      </c>
      <c r="E18390" s="0" t="s">
        <v>1918</v>
      </c>
      <c r="F18390" s="0" t="s">
        <v>1918</v>
      </c>
    </row>
    <row r="18392" customFormat="false" ht="12.8" hidden="false" customHeight="false" outlineLevel="0" collapsed="false">
      <c r="A18392" s="0" t="s">
        <v>7032</v>
      </c>
      <c r="B18392" s="0" t="str">
        <f aca="false">HYPERLINK("https://lindat.mff.cuni.cz/services/teitok/pdtc10/index.php?action=vallex&amp;frame=v-w2242f1", "nastoupit (v-w2242f1)")</f>
        <v>nastoupit (v-w2242f1)</v>
      </c>
    </row>
    <row r="18393" customFormat="false" ht="12.8" hidden="false" customHeight="false" outlineLevel="0" collapsed="false">
      <c r="B18393" s="0" t="s">
        <v>7</v>
      </c>
      <c r="C18393" s="0" t="s">
        <v>7033</v>
      </c>
      <c r="D18393" s="0" t="s">
        <v>3837</v>
      </c>
      <c r="E18393" s="0" t="s">
        <v>3837</v>
      </c>
      <c r="F18393" s="0" t="s">
        <v>3837</v>
      </c>
    </row>
    <row r="18394" customFormat="false" ht="12.8" hidden="false" customHeight="false" outlineLevel="0" collapsed="false">
      <c r="B18394" s="0" t="s">
        <v>11</v>
      </c>
      <c r="C18394" s="0" t="s">
        <v>7034</v>
      </c>
      <c r="D18394" s="0" t="s">
        <v>3838</v>
      </c>
      <c r="E18394" s="0" t="s">
        <v>3838</v>
      </c>
      <c r="F18394" s="0" t="s">
        <v>3838</v>
      </c>
    </row>
    <row r="18396" customFormat="false" ht="12.8" hidden="false" customHeight="false" outlineLevel="0" collapsed="false">
      <c r="A18396" s="0" t="s">
        <v>7035</v>
      </c>
      <c r="B18396" s="0" t="str">
        <f aca="false">HYPERLINK("https://lindat.mff.cuni.cz/services/teitok/pdtc10/index.php?action=vallex&amp;frame=v-w2242f3", "nastoupit (v-w2242f3)")</f>
        <v>nastoupit (v-w2242f3)</v>
      </c>
    </row>
    <row r="18397" customFormat="false" ht="12.8" hidden="false" customHeight="false" outlineLevel="0" collapsed="false">
      <c r="B18397" s="0" t="s">
        <v>7</v>
      </c>
      <c r="C18397" s="0" t="s">
        <v>7036</v>
      </c>
    </row>
    <row r="18398" customFormat="false" ht="12.8" hidden="false" customHeight="false" outlineLevel="0" collapsed="false">
      <c r="B18398" s="0" t="s">
        <v>124</v>
      </c>
    </row>
    <row r="18400" customFormat="false" ht="12.8" hidden="false" customHeight="false" outlineLevel="0" collapsed="false">
      <c r="A18400" s="0" t="s">
        <v>7037</v>
      </c>
      <c r="B18400" s="0" t="str">
        <f aca="false">HYPERLINK("https://lindat.mff.cuni.cz/services/teitok/pdtc10/index.php?action=vallex&amp;frame=v-w2242f7_ZU", "nastoupit (v-w2242f7_ZU)")</f>
        <v>nastoupit (v-w2242f7_ZU)</v>
      </c>
    </row>
    <row r="18401" customFormat="false" ht="12.8" hidden="false" customHeight="false" outlineLevel="0" collapsed="false">
      <c r="B18401" s="0" t="s">
        <v>7</v>
      </c>
    </row>
    <row r="18402" customFormat="false" ht="12.8" hidden="false" customHeight="false" outlineLevel="0" collapsed="false">
      <c r="B18402" s="0" t="s">
        <v>124</v>
      </c>
    </row>
    <row r="18404" customFormat="false" ht="12.8" hidden="false" customHeight="false" outlineLevel="0" collapsed="false">
      <c r="A18404" s="0" t="s">
        <v>7037</v>
      </c>
      <c r="B18404" s="0" t="str">
        <f aca="false">HYPERLINK("https://lindat.mff.cuni.cz/services/teitok/pdtc10/index.php?action=vallex&amp;frame=v-w2242f4", "nastoupit (v-w2242f4) - substituted with v-w2242f7_ZU")</f>
        <v>nastoupit (v-w2242f4) - substituted with v-w2242f7_ZU</v>
      </c>
    </row>
    <row r="18405" customFormat="false" ht="12.8" hidden="false" customHeight="false" outlineLevel="0" collapsed="false">
      <c r="B18405" s="0" t="s">
        <v>7</v>
      </c>
      <c r="C18405" s="0" t="s">
        <v>7038</v>
      </c>
      <c r="D18405" s="0" t="s">
        <v>3837</v>
      </c>
      <c r="E18405" s="0" t="s">
        <v>3837</v>
      </c>
      <c r="F18405" s="0" t="s">
        <v>3837</v>
      </c>
    </row>
    <row r="18406" customFormat="false" ht="12.8" hidden="false" customHeight="false" outlineLevel="0" collapsed="false">
      <c r="B18406" s="0" t="s">
        <v>124</v>
      </c>
      <c r="C18406" s="0" t="s">
        <v>7039</v>
      </c>
      <c r="D18406" s="0" t="s">
        <v>7040</v>
      </c>
      <c r="E18406" s="0" t="s">
        <v>7040</v>
      </c>
      <c r="F18406" s="0" t="s">
        <v>7040</v>
      </c>
    </row>
    <row r="18408" customFormat="false" ht="12.8" hidden="false" customHeight="false" outlineLevel="0" collapsed="false">
      <c r="A18408" s="0" t="s">
        <v>7037</v>
      </c>
      <c r="B18408" s="0" t="str">
        <f aca="false">HYPERLINK("https://lindat.mff.cuni.cz/services/teitok/pdtc10/index.php?action=vallex&amp;frame=v-w2242f5_ZU", "nastoupit (v-w2242f5_ZU) - substituted with v-w2242f7_ZU")</f>
        <v>nastoupit (v-w2242f5_ZU) - substituted with v-w2242f7_ZU</v>
      </c>
    </row>
    <row r="18409" customFormat="false" ht="12.8" hidden="false" customHeight="false" outlineLevel="0" collapsed="false">
      <c r="B18409" s="0" t="s">
        <v>7</v>
      </c>
    </row>
    <row r="18410" customFormat="false" ht="12.8" hidden="false" customHeight="false" outlineLevel="0" collapsed="false">
      <c r="B18410" s="0" t="s">
        <v>124</v>
      </c>
    </row>
    <row r="18412" customFormat="false" ht="12.8" hidden="false" customHeight="false" outlineLevel="0" collapsed="false">
      <c r="A18412" s="0" t="s">
        <v>7037</v>
      </c>
      <c r="B18412" s="0" t="str">
        <f aca="false">HYPERLINK("https://lindat.mff.cuni.cz/services/teitok/pdtc10/index.php?action=vallex&amp;frame=v-w2242f6_ZU", "nastoupit (v-w2242f6_ZU) - substituted with v-w2242f7_ZU")</f>
        <v>nastoupit (v-w2242f6_ZU) - substituted with v-w2242f7_ZU</v>
      </c>
    </row>
    <row r="18413" customFormat="false" ht="12.8" hidden="false" customHeight="false" outlineLevel="0" collapsed="false">
      <c r="B18413" s="0" t="s">
        <v>7</v>
      </c>
    </row>
    <row r="18414" customFormat="false" ht="12.8" hidden="false" customHeight="false" outlineLevel="0" collapsed="false">
      <c r="B18414" s="0" t="s">
        <v>124</v>
      </c>
    </row>
    <row r="18416" customFormat="false" ht="12.8" hidden="false" customHeight="false" outlineLevel="0" collapsed="false">
      <c r="A18416" s="0" t="s">
        <v>7041</v>
      </c>
      <c r="B18416" s="0" t="str">
        <f aca="false">HYPERLINK("https://lindat.mff.cuni.cz/services/teitok/pdtc10/index.php?action=vallex&amp;frame=v-w2242f8_MM", "nastoupit (v-w2242f8_MM)")</f>
        <v>nastoupit (v-w2242f8_MM)</v>
      </c>
    </row>
    <row r="18417" customFormat="false" ht="12.8" hidden="false" customHeight="false" outlineLevel="0" collapsed="false">
      <c r="B18417" s="0" t="s">
        <v>7</v>
      </c>
    </row>
    <row r="18418" customFormat="false" ht="12.8" hidden="false" customHeight="false" outlineLevel="0" collapsed="false">
      <c r="B18418" s="0" t="s">
        <v>7042</v>
      </c>
    </row>
    <row r="18419" customFormat="false" ht="12.8" hidden="false" customHeight="false" outlineLevel="0" collapsed="false">
      <c r="B18419" s="0" t="s">
        <v>35</v>
      </c>
    </row>
    <row r="18421" customFormat="false" ht="12.8" hidden="false" customHeight="false" outlineLevel="0" collapsed="false">
      <c r="A18421" s="0" t="s">
        <v>7041</v>
      </c>
      <c r="B18421" s="0" t="str">
        <f aca="false">HYPERLINK("https://lindat.mff.cuni.cz/services/teitok/pdtc10/index.php?action=vallex&amp;frame=v-w2242hsa_107", "nastoupit (v-w2242hsa_107) - substituted with v-w2242f8_MM")</f>
        <v>nastoupit (v-w2242hsa_107) - substituted with v-w2242f8_MM</v>
      </c>
    </row>
    <row r="18422" customFormat="false" ht="12.8" hidden="false" customHeight="false" outlineLevel="0" collapsed="false">
      <c r="B18422" s="0" t="s">
        <v>7</v>
      </c>
    </row>
    <row r="18423" customFormat="false" ht="12.8" hidden="false" customHeight="false" outlineLevel="0" collapsed="false">
      <c r="B18423" s="0" t="s">
        <v>7042</v>
      </c>
    </row>
    <row r="18424" customFormat="false" ht="12.8" hidden="false" customHeight="false" outlineLevel="0" collapsed="false">
      <c r="B18424" s="0" t="s">
        <v>35</v>
      </c>
    </row>
    <row r="18426" customFormat="false" ht="12.8" hidden="false" customHeight="false" outlineLevel="0" collapsed="false">
      <c r="A18426" s="0" t="s">
        <v>7043</v>
      </c>
      <c r="B18426" s="0" t="str">
        <f aca="false">HYPERLINK("https://lindat.mff.cuni.cz/services/teitok/pdtc10/index.php?action=vallex&amp;frame=v-whsa_1122hsa_1123", "nastražit (v-whsa_1122hsa_1123)")</f>
        <v>nastražit (v-whsa_1122hsa_1123)</v>
      </c>
    </row>
    <row r="18427" customFormat="false" ht="12.8" hidden="false" customHeight="false" outlineLevel="0" collapsed="false">
      <c r="B18427" s="0" t="s">
        <v>7</v>
      </c>
    </row>
    <row r="18428" customFormat="false" ht="12.8" hidden="false" customHeight="false" outlineLevel="0" collapsed="false">
      <c r="B18428" s="0" t="s">
        <v>14</v>
      </c>
    </row>
    <row r="18430" customFormat="false" ht="12.8" hidden="false" customHeight="false" outlineLevel="0" collapsed="false">
      <c r="A18430" s="0" t="s">
        <v>7044</v>
      </c>
      <c r="B18430" s="0" t="str">
        <f aca="false">HYPERLINK("https://lindat.mff.cuni.cz/services/teitok/pdtc10/index.php?action=vallex&amp;frame=v-w12169_ZUf1_ZU", "nastrkat (v-w12169_ZUf1_ZU)")</f>
        <v>nastrkat (v-w12169_ZUf1_ZU)</v>
      </c>
    </row>
    <row r="18431" customFormat="false" ht="12.8" hidden="false" customHeight="false" outlineLevel="0" collapsed="false">
      <c r="B18431" s="0" t="s">
        <v>7</v>
      </c>
    </row>
    <row r="18432" customFormat="false" ht="12.8" hidden="false" customHeight="false" outlineLevel="0" collapsed="false">
      <c r="B18432" s="0" t="s">
        <v>14</v>
      </c>
    </row>
    <row r="18433" customFormat="false" ht="12.8" hidden="false" customHeight="false" outlineLevel="0" collapsed="false">
      <c r="B18433" s="0" t="s">
        <v>338</v>
      </c>
    </row>
    <row r="18435" customFormat="false" ht="12.8" hidden="false" customHeight="false" outlineLevel="0" collapsed="false">
      <c r="A18435" s="0" t="s">
        <v>7045</v>
      </c>
      <c r="B18435" s="0" t="str">
        <f aca="false">HYPERLINK("https://lindat.mff.cuni.cz/services/teitok/pdtc10/index.php?action=vallex&amp;frame=v-whsa_906hsa_907", "nastrojit (v-whsa_906hsa_907)")</f>
        <v>nastrojit (v-whsa_906hsa_907)</v>
      </c>
    </row>
    <row r="18436" customFormat="false" ht="12.8" hidden="false" customHeight="false" outlineLevel="0" collapsed="false">
      <c r="B18436" s="0" t="s">
        <v>7</v>
      </c>
    </row>
    <row r="18437" customFormat="false" ht="12.8" hidden="false" customHeight="false" outlineLevel="0" collapsed="false">
      <c r="B18437" s="0" t="s">
        <v>14</v>
      </c>
    </row>
    <row r="18438" customFormat="false" ht="12.8" hidden="false" customHeight="false" outlineLevel="0" collapsed="false">
      <c r="B18438" s="0" t="s">
        <v>181</v>
      </c>
    </row>
    <row r="18440" customFormat="false" ht="12.8" hidden="false" customHeight="false" outlineLevel="0" collapsed="false">
      <c r="A18440" s="0" t="s">
        <v>7046</v>
      </c>
      <c r="B18440" s="0" t="str">
        <f aca="false">HYPERLINK("https://lindat.mff.cuni.cz/services/teitok/pdtc10/index.php?action=vallex&amp;frame=v-whsb_213hsa_214", "nastrouhat (v-whsb_213hsa_214)")</f>
        <v>nastrouhat (v-whsb_213hsa_214)</v>
      </c>
    </row>
    <row r="18441" customFormat="false" ht="12.8" hidden="false" customHeight="false" outlineLevel="0" collapsed="false">
      <c r="B18441" s="0" t="s">
        <v>7</v>
      </c>
    </row>
    <row r="18442" customFormat="false" ht="12.8" hidden="false" customHeight="false" outlineLevel="0" collapsed="false">
      <c r="B18442" s="0" t="s">
        <v>14</v>
      </c>
    </row>
    <row r="18444" customFormat="false" ht="12.8" hidden="false" customHeight="false" outlineLevel="0" collapsed="false">
      <c r="A18444" s="0" t="s">
        <v>7047</v>
      </c>
      <c r="B18444" s="0" t="str">
        <f aca="false">HYPERLINK("https://lindat.mff.cuni.cz/services/teitok/pdtc10/index.php?action=vallex&amp;frame=v-w2243f1", "nastrčit (v-w2243f1)")</f>
        <v>nastrčit (v-w2243f1)</v>
      </c>
    </row>
    <row r="18445" customFormat="false" ht="12.8" hidden="false" customHeight="false" outlineLevel="0" collapsed="false">
      <c r="B18445" s="0" t="s">
        <v>7</v>
      </c>
    </row>
    <row r="18446" customFormat="false" ht="12.8" hidden="false" customHeight="false" outlineLevel="0" collapsed="false">
      <c r="B18446" s="0" t="s">
        <v>14</v>
      </c>
    </row>
    <row r="18447" customFormat="false" ht="12.8" hidden="false" customHeight="false" outlineLevel="0" collapsed="false">
      <c r="B18447" s="0" t="s">
        <v>48</v>
      </c>
    </row>
    <row r="18449" customFormat="false" ht="12.8" hidden="false" customHeight="false" outlineLevel="0" collapsed="false">
      <c r="A18449" s="0" t="s">
        <v>7048</v>
      </c>
      <c r="B18449" s="0" t="str">
        <f aca="false">HYPERLINK("https://lindat.mff.cuni.cz/services/teitok/pdtc10/index.php?action=vallex&amp;frame=v-w2243f2", "nastrčit (v-w2243f2)")</f>
        <v>nastrčit (v-w2243f2)</v>
      </c>
    </row>
    <row r="18450" customFormat="false" ht="12.8" hidden="false" customHeight="false" outlineLevel="0" collapsed="false">
      <c r="B18450" s="0" t="s">
        <v>7</v>
      </c>
    </row>
    <row r="18451" customFormat="false" ht="12.8" hidden="false" customHeight="false" outlineLevel="0" collapsed="false">
      <c r="B18451" s="0" t="s">
        <v>14</v>
      </c>
    </row>
    <row r="18452" customFormat="false" ht="12.8" hidden="false" customHeight="false" outlineLevel="0" collapsed="false">
      <c r="B18452" s="0" t="s">
        <v>124</v>
      </c>
    </row>
    <row r="18454" customFormat="false" ht="12.8" hidden="false" customHeight="false" outlineLevel="0" collapsed="false">
      <c r="A18454" s="0" t="s">
        <v>7049</v>
      </c>
      <c r="B18454" s="0" t="str">
        <f aca="false">HYPERLINK("https://lindat.mff.cuni.cz/services/teitok/pdtc10/index.php?action=vallex&amp;frame=v-w2251f1", "nastudovat (v-w2251f1)")</f>
        <v>nastudovat (v-w2251f1)</v>
      </c>
    </row>
    <row r="18455" customFormat="false" ht="12.8" hidden="false" customHeight="false" outlineLevel="0" collapsed="false">
      <c r="B18455" s="0" t="s">
        <v>7</v>
      </c>
    </row>
    <row r="18456" customFormat="false" ht="12.8" hidden="false" customHeight="false" outlineLevel="0" collapsed="false">
      <c r="B18456" s="0" t="s">
        <v>14</v>
      </c>
    </row>
    <row r="18458" customFormat="false" ht="12.8" hidden="false" customHeight="false" outlineLevel="0" collapsed="false">
      <c r="A18458" s="0" t="s">
        <v>7050</v>
      </c>
      <c r="B18458" s="0" t="str">
        <f aca="false">HYPERLINK("https://lindat.mff.cuni.cz/services/teitok/pdtc10/index.php?action=vallex&amp;frame=v-w2251hsa_1134", "nastudovat (v-w2251hsa_1134)")</f>
        <v>nastudovat (v-w2251hsa_1134)</v>
      </c>
    </row>
    <row r="18459" customFormat="false" ht="12.8" hidden="false" customHeight="false" outlineLevel="0" collapsed="false">
      <c r="B18459" s="0" t="s">
        <v>7</v>
      </c>
    </row>
    <row r="18460" customFormat="false" ht="12.8" hidden="false" customHeight="false" outlineLevel="0" collapsed="false">
      <c r="B18460" s="0" t="s">
        <v>14</v>
      </c>
    </row>
    <row r="18462" customFormat="false" ht="12.8" hidden="false" customHeight="false" outlineLevel="0" collapsed="false">
      <c r="A18462" s="0" t="s">
        <v>7051</v>
      </c>
      <c r="B18462" s="0" t="str">
        <f aca="false">HYPERLINK("https://lindat.mff.cuni.cz/services/teitok/pdtc10/index.php?action=vallex&amp;frame=v-w2256f2", "nastupovat (v-w2256f2)")</f>
        <v>nastupovat (v-w2256f2)</v>
      </c>
    </row>
    <row r="18463" customFormat="false" ht="12.8" hidden="false" customHeight="false" outlineLevel="0" collapsed="false">
      <c r="B18463" s="0" t="s">
        <v>7</v>
      </c>
      <c r="C18463" s="0" t="s">
        <v>7052</v>
      </c>
      <c r="D18463" s="0" t="s">
        <v>6477</v>
      </c>
      <c r="E18463" s="0" t="s">
        <v>6477</v>
      </c>
      <c r="F18463" s="0" t="s">
        <v>6477</v>
      </c>
    </row>
    <row r="18464" customFormat="false" ht="12.8" hidden="false" customHeight="false" outlineLevel="0" collapsed="false">
      <c r="B18464" s="0" t="s">
        <v>7030</v>
      </c>
      <c r="C18464" s="0" t="s">
        <v>7053</v>
      </c>
      <c r="D18464" s="0" t="s">
        <v>6479</v>
      </c>
      <c r="E18464" s="0" t="s">
        <v>6479</v>
      </c>
      <c r="F18464" s="0" t="s">
        <v>6479</v>
      </c>
    </row>
    <row r="18466" customFormat="false" ht="12.8" hidden="false" customHeight="false" outlineLevel="0" collapsed="false">
      <c r="A18466" s="0" t="s">
        <v>7054</v>
      </c>
      <c r="B18466" s="0" t="str">
        <f aca="false">HYPERLINK("https://lindat.mff.cuni.cz/services/teitok/pdtc10/index.php?action=vallex&amp;frame=v-w2256f4", "nastupovat (v-w2256f4)")</f>
        <v>nastupovat (v-w2256f4)</v>
      </c>
    </row>
    <row r="18467" customFormat="false" ht="12.8" hidden="false" customHeight="false" outlineLevel="0" collapsed="false">
      <c r="B18467" s="0" t="s">
        <v>7</v>
      </c>
      <c r="D18467" s="0" t="s">
        <v>3837</v>
      </c>
      <c r="E18467" s="0" t="s">
        <v>3837</v>
      </c>
      <c r="F18467" s="0" t="s">
        <v>3837</v>
      </c>
    </row>
    <row r="18468" customFormat="false" ht="12.8" hidden="false" customHeight="false" outlineLevel="0" collapsed="false">
      <c r="B18468" s="0" t="s">
        <v>11</v>
      </c>
      <c r="D18468" s="0" t="s">
        <v>3838</v>
      </c>
      <c r="E18468" s="0" t="s">
        <v>3838</v>
      </c>
      <c r="F18468" s="0" t="s">
        <v>3838</v>
      </c>
    </row>
    <row r="18470" customFormat="false" ht="12.8" hidden="false" customHeight="false" outlineLevel="0" collapsed="false">
      <c r="A18470" s="0" t="s">
        <v>7055</v>
      </c>
      <c r="B18470" s="0" t="str">
        <f aca="false">HYPERLINK("https://lindat.mff.cuni.cz/services/teitok/pdtc10/index.php?action=vallex&amp;frame=v-w2256f1", "nastupovat (v-w2256f1)")</f>
        <v>nastupovat (v-w2256f1)</v>
      </c>
    </row>
    <row r="18471" customFormat="false" ht="12.8" hidden="false" customHeight="false" outlineLevel="0" collapsed="false">
      <c r="B18471" s="0" t="s">
        <v>7</v>
      </c>
    </row>
    <row r="18472" customFormat="false" ht="12.8" hidden="false" customHeight="false" outlineLevel="0" collapsed="false">
      <c r="B18472" s="0" t="s">
        <v>124</v>
      </c>
    </row>
    <row r="18474" customFormat="false" ht="12.8" hidden="false" customHeight="false" outlineLevel="0" collapsed="false">
      <c r="A18474" s="0" t="s">
        <v>7056</v>
      </c>
      <c r="B18474" s="0" t="str">
        <f aca="false">HYPERLINK("https://lindat.mff.cuni.cz/services/teitok/pdtc10/index.php?action=vallex&amp;frame=v-w2256f3", "nastupovat (v-w2256f3)")</f>
        <v>nastupovat (v-w2256f3)</v>
      </c>
    </row>
    <row r="18475" customFormat="false" ht="12.8" hidden="false" customHeight="false" outlineLevel="0" collapsed="false">
      <c r="B18475" s="0" t="s">
        <v>7</v>
      </c>
      <c r="C18475" s="0" t="s">
        <v>7057</v>
      </c>
      <c r="D18475" s="0" t="s">
        <v>3837</v>
      </c>
      <c r="E18475" s="0" t="s">
        <v>3837</v>
      </c>
      <c r="F18475" s="0" t="s">
        <v>3837</v>
      </c>
    </row>
    <row r="18476" customFormat="false" ht="12.8" hidden="false" customHeight="false" outlineLevel="0" collapsed="false">
      <c r="B18476" s="0" t="s">
        <v>124</v>
      </c>
      <c r="C18476" s="0" t="s">
        <v>7058</v>
      </c>
      <c r="D18476" s="0" t="s">
        <v>7040</v>
      </c>
      <c r="E18476" s="0" t="s">
        <v>7040</v>
      </c>
      <c r="F18476" s="0" t="s">
        <v>7040</v>
      </c>
    </row>
    <row r="18478" customFormat="false" ht="12.8" hidden="false" customHeight="false" outlineLevel="0" collapsed="false">
      <c r="A18478" s="0" t="s">
        <v>7059</v>
      </c>
      <c r="B18478" s="0" t="str">
        <f aca="false">HYPERLINK("https://lindat.mff.cuni.cz/services/teitok/pdtc10/index.php?action=vallex&amp;frame=v-whsa_1322hsa_1323", "nastydnout (v-whsa_1322hsa_1323)")</f>
        <v>nastydnout (v-whsa_1322hsa_1323)</v>
      </c>
    </row>
    <row r="18479" customFormat="false" ht="12.8" hidden="false" customHeight="false" outlineLevel="0" collapsed="false">
      <c r="B18479" s="0" t="s">
        <v>7</v>
      </c>
    </row>
    <row r="18481" customFormat="false" ht="12.8" hidden="false" customHeight="false" outlineLevel="0" collapsed="false">
      <c r="A18481" s="0" t="s">
        <v>7060</v>
      </c>
      <c r="B18481" s="0" t="str">
        <f aca="false">HYPERLINK("https://lindat.mff.cuni.cz/services/teitok/pdtc10/index.php?action=vallex&amp;frame=v-w2229f1", "nastávat (v-w2229f1)")</f>
        <v>nastávat (v-w2229f1)</v>
      </c>
    </row>
    <row r="18482" customFormat="false" ht="12.8" hidden="false" customHeight="false" outlineLevel="0" collapsed="false">
      <c r="B18482" s="0" t="s">
        <v>7</v>
      </c>
      <c r="C18482" s="0" t="s">
        <v>7061</v>
      </c>
      <c r="D18482" s="0" t="s">
        <v>1899</v>
      </c>
      <c r="E18482" s="0" t="s">
        <v>1899</v>
      </c>
      <c r="F18482" s="0" t="s">
        <v>1899</v>
      </c>
    </row>
    <row r="18484" customFormat="false" ht="12.8" hidden="false" customHeight="false" outlineLevel="0" collapsed="false">
      <c r="A18484" s="0" t="s">
        <v>7062</v>
      </c>
      <c r="B18484" s="0" t="str">
        <f aca="false">HYPERLINK("https://lindat.mff.cuni.cz/services/teitok/pdtc10/index.php?action=vallex&amp;frame=v-w2237f1", "nastínit (v-w2237f1)")</f>
        <v>nastínit (v-w2237f1)</v>
      </c>
    </row>
    <row r="18485" customFormat="false" ht="12.8" hidden="false" customHeight="false" outlineLevel="0" collapsed="false">
      <c r="B18485" s="0" t="s">
        <v>7</v>
      </c>
      <c r="C18485" s="0" t="s">
        <v>4116</v>
      </c>
      <c r="D18485" s="0" t="s">
        <v>3803</v>
      </c>
      <c r="E18485" s="0" t="s">
        <v>3803</v>
      </c>
      <c r="F18485" s="0" t="s">
        <v>3803</v>
      </c>
    </row>
    <row r="18486" customFormat="false" ht="12.8" hidden="false" customHeight="false" outlineLevel="0" collapsed="false">
      <c r="B18486" s="0" t="s">
        <v>6387</v>
      </c>
      <c r="C18486" s="0" t="s">
        <v>462</v>
      </c>
      <c r="D18486" s="0" t="s">
        <v>1467</v>
      </c>
      <c r="E18486" s="0" t="s">
        <v>1467</v>
      </c>
      <c r="F18486" s="0" t="s">
        <v>1467</v>
      </c>
    </row>
    <row r="18487" customFormat="false" ht="12.8" hidden="false" customHeight="false" outlineLevel="0" collapsed="false">
      <c r="B18487" s="0" t="s">
        <v>106</v>
      </c>
    </row>
    <row r="18489" customFormat="false" ht="12.8" hidden="false" customHeight="false" outlineLevel="0" collapsed="false">
      <c r="A18489" s="0" t="s">
        <v>7063</v>
      </c>
      <c r="B18489" s="0" t="str">
        <f aca="false">HYPERLINK("https://lindat.mff.cuni.cz/services/teitok/pdtc10/index.php?action=vallex&amp;frame=v-w2234f1", "nastěhovat (v-w2234f1)")</f>
        <v>nastěhovat (v-w2234f1)</v>
      </c>
    </row>
    <row r="18490" customFormat="false" ht="12.8" hidden="false" customHeight="false" outlineLevel="0" collapsed="false">
      <c r="B18490" s="0" t="s">
        <v>7</v>
      </c>
      <c r="F18490" s="0" t="s">
        <v>7064</v>
      </c>
    </row>
    <row r="18491" customFormat="false" ht="12.8" hidden="false" customHeight="false" outlineLevel="0" collapsed="false">
      <c r="B18491" s="0" t="s">
        <v>14</v>
      </c>
      <c r="F18491" s="0" t="s">
        <v>7065</v>
      </c>
    </row>
    <row r="18492" customFormat="false" ht="12.8" hidden="false" customHeight="false" outlineLevel="0" collapsed="false">
      <c r="B18492" s="0" t="s">
        <v>124</v>
      </c>
      <c r="F18492" s="0" t="s">
        <v>7066</v>
      </c>
    </row>
    <row r="18494" customFormat="false" ht="12.8" hidden="false" customHeight="false" outlineLevel="0" collapsed="false">
      <c r="A18494" s="0" t="s">
        <v>7067</v>
      </c>
      <c r="B18494" s="0" t="str">
        <f aca="false">HYPERLINK("https://lindat.mff.cuni.cz/services/teitok/pdtc10/index.php?action=vallex&amp;frame=v-w2235f1", "nastěhovat se (v-w2235f1)")</f>
        <v>nastěhovat se (v-w2235f1)</v>
      </c>
    </row>
    <row r="18495" customFormat="false" ht="12.8" hidden="false" customHeight="false" outlineLevel="0" collapsed="false">
      <c r="B18495" s="0" t="s">
        <v>7</v>
      </c>
      <c r="C18495" s="0" t="s">
        <v>7068</v>
      </c>
      <c r="F18495" s="0" t="s">
        <v>7069</v>
      </c>
    </row>
    <row r="18496" customFormat="false" ht="12.8" hidden="false" customHeight="false" outlineLevel="0" collapsed="false">
      <c r="B18496" s="0" t="s">
        <v>124</v>
      </c>
      <c r="F18496" s="0" t="s">
        <v>7066</v>
      </c>
    </row>
    <row r="18498" customFormat="false" ht="12.8" hidden="false" customHeight="false" outlineLevel="0" collapsed="false">
      <c r="A18498" s="0" t="s">
        <v>7070</v>
      </c>
      <c r="B18498" s="0" t="str">
        <f aca="false">HYPERLINK("https://lindat.mff.cuni.cz/services/teitok/pdtc10/index.php?action=vallex&amp;frame=v-w2247f1", "nastřelit (v-w2247f1)")</f>
        <v>nastřelit (v-w2247f1)</v>
      </c>
    </row>
    <row r="18499" customFormat="false" ht="12.8" hidden="false" customHeight="false" outlineLevel="0" collapsed="false">
      <c r="B18499" s="0" t="s">
        <v>7</v>
      </c>
    </row>
    <row r="18500" customFormat="false" ht="12.8" hidden="false" customHeight="false" outlineLevel="0" collapsed="false">
      <c r="B18500" s="0" t="s">
        <v>14</v>
      </c>
    </row>
    <row r="18502" customFormat="false" ht="12.8" hidden="false" customHeight="false" outlineLevel="0" collapsed="false">
      <c r="A18502" s="0" t="s">
        <v>7071</v>
      </c>
      <c r="B18502" s="0" t="str">
        <f aca="false">HYPERLINK("https://lindat.mff.cuni.cz/services/teitok/pdtc10/index.php?action=vallex&amp;frame=v-w12077_ZUf1_ZU", "nastřihávat (v-w12077_ZUf1_ZU)")</f>
        <v>nastřihávat (v-w12077_ZUf1_ZU)</v>
      </c>
    </row>
    <row r="18503" customFormat="false" ht="12.8" hidden="false" customHeight="false" outlineLevel="0" collapsed="false">
      <c r="B18503" s="0" t="s">
        <v>7</v>
      </c>
    </row>
    <row r="18504" customFormat="false" ht="12.8" hidden="false" customHeight="false" outlineLevel="0" collapsed="false">
      <c r="B18504" s="0" t="s">
        <v>14</v>
      </c>
    </row>
    <row r="18506" customFormat="false" ht="12.8" hidden="false" customHeight="false" outlineLevel="0" collapsed="false">
      <c r="A18506" s="0" t="s">
        <v>7072</v>
      </c>
      <c r="B18506" s="0" t="str">
        <f aca="false">HYPERLINK("https://lindat.mff.cuni.cz/services/teitok/pdtc10/index.php?action=vallex&amp;frame=v-w2248f1", "nastříkat (v-w2248f1)")</f>
        <v>nastříkat (v-w2248f1)</v>
      </c>
    </row>
    <row r="18507" customFormat="false" ht="12.8" hidden="false" customHeight="false" outlineLevel="0" collapsed="false">
      <c r="B18507" s="0" t="s">
        <v>7</v>
      </c>
    </row>
    <row r="18508" customFormat="false" ht="12.8" hidden="false" customHeight="false" outlineLevel="0" collapsed="false">
      <c r="B18508" s="0" t="s">
        <v>14</v>
      </c>
    </row>
    <row r="18509" customFormat="false" ht="12.8" hidden="false" customHeight="false" outlineLevel="0" collapsed="false">
      <c r="B18509" s="0" t="s">
        <v>124</v>
      </c>
    </row>
    <row r="18511" customFormat="false" ht="12.8" hidden="false" customHeight="false" outlineLevel="0" collapsed="false">
      <c r="A18511" s="0" t="s">
        <v>7073</v>
      </c>
      <c r="B18511" s="0" t="str">
        <f aca="false">HYPERLINK("https://lindat.mff.cuni.cz/services/teitok/pdtc10/index.php?action=vallex&amp;frame=v-w2248f2", "nastříkat (v-w2248f2)")</f>
        <v>nastříkat (v-w2248f2)</v>
      </c>
    </row>
    <row r="18512" customFormat="false" ht="12.8" hidden="false" customHeight="false" outlineLevel="0" collapsed="false">
      <c r="B18512" s="0" t="s">
        <v>7</v>
      </c>
    </row>
    <row r="18513" customFormat="false" ht="12.8" hidden="false" customHeight="false" outlineLevel="0" collapsed="false">
      <c r="B18513" s="0" t="s">
        <v>14</v>
      </c>
    </row>
    <row r="18515" customFormat="false" ht="12.8" hidden="false" customHeight="false" outlineLevel="0" collapsed="false">
      <c r="A18515" s="0" t="s">
        <v>7074</v>
      </c>
      <c r="B18515" s="0" t="str">
        <f aca="false">HYPERLINK("https://lindat.mff.cuni.cz/services/teitok/pdtc10/index.php?action=vallex&amp;frame=v-w2249f2", "nastřílet (v-w2249f2)")</f>
        <v>nastřílet (v-w2249f2)</v>
      </c>
    </row>
    <row r="18516" customFormat="false" ht="12.8" hidden="false" customHeight="false" outlineLevel="0" collapsed="false">
      <c r="B18516" s="0" t="s">
        <v>7</v>
      </c>
    </row>
    <row r="18517" customFormat="false" ht="12.8" hidden="false" customHeight="false" outlineLevel="0" collapsed="false">
      <c r="B18517" s="0" t="s">
        <v>14</v>
      </c>
    </row>
    <row r="18518" customFormat="false" ht="12.8" hidden="false" customHeight="false" outlineLevel="0" collapsed="false">
      <c r="B18518" s="0" t="s">
        <v>106</v>
      </c>
    </row>
    <row r="18520" customFormat="false" ht="12.8" hidden="false" customHeight="false" outlineLevel="0" collapsed="false">
      <c r="A18520" s="0" t="s">
        <v>7075</v>
      </c>
      <c r="B18520" s="0" t="str">
        <f aca="false">HYPERLINK("https://lindat.mff.cuni.cz/services/teitok/pdtc10/index.php?action=vallex&amp;frame=v-w2249f1", "nastřílet (v-w2249f1)")</f>
        <v>nastřílet (v-w2249f1)</v>
      </c>
    </row>
    <row r="18521" customFormat="false" ht="12.8" hidden="false" customHeight="false" outlineLevel="0" collapsed="false">
      <c r="B18521" s="0" t="s">
        <v>7</v>
      </c>
    </row>
    <row r="18522" customFormat="false" ht="12.8" hidden="false" customHeight="false" outlineLevel="0" collapsed="false">
      <c r="B18522" s="0" t="s">
        <v>14</v>
      </c>
    </row>
    <row r="18524" customFormat="false" ht="12.8" hidden="false" customHeight="false" outlineLevel="0" collapsed="false">
      <c r="A18524" s="0" t="s">
        <v>7076</v>
      </c>
      <c r="B18524" s="0" t="str">
        <f aca="false">HYPERLINK("https://lindat.mff.cuni.cz/services/teitok/pdtc10/index.php?action=vallex&amp;frame=v-w11761_ZUf1_ZU", "nasušit (v-w11761_ZUf1_ZU)")</f>
        <v>nasušit (v-w11761_ZUf1_ZU)</v>
      </c>
    </row>
    <row r="18525" customFormat="false" ht="12.8" hidden="false" customHeight="false" outlineLevel="0" collapsed="false">
      <c r="B18525" s="0" t="s">
        <v>7</v>
      </c>
    </row>
    <row r="18526" customFormat="false" ht="12.8" hidden="false" customHeight="false" outlineLevel="0" collapsed="false">
      <c r="B18526" s="0" t="s">
        <v>14</v>
      </c>
    </row>
    <row r="18528" customFormat="false" ht="12.8" hidden="false" customHeight="false" outlineLevel="0" collapsed="false">
      <c r="A18528" s="0" t="s">
        <v>7077</v>
      </c>
      <c r="B18528" s="0" t="str">
        <f aca="false">HYPERLINK("https://lindat.mff.cuni.cz/services/teitok/pdtc10/index.php?action=vallex&amp;frame=v-w2257f1", "nasvědčovat (v-w2257f1)")</f>
        <v>nasvědčovat (v-w2257f1)</v>
      </c>
    </row>
    <row r="18529" customFormat="false" ht="12.8" hidden="false" customHeight="false" outlineLevel="0" collapsed="false">
      <c r="B18529" s="0" t="s">
        <v>7</v>
      </c>
    </row>
    <row r="18530" customFormat="false" ht="12.8" hidden="false" customHeight="false" outlineLevel="0" collapsed="false">
      <c r="B18530" s="0" t="s">
        <v>7078</v>
      </c>
    </row>
    <row r="18532" customFormat="false" ht="12.8" hidden="false" customHeight="false" outlineLevel="0" collapsed="false">
      <c r="A18532" s="0" t="s">
        <v>7079</v>
      </c>
      <c r="B18532" s="0" t="str">
        <f aca="false">HYPERLINK("https://lindat.mff.cuni.cz/services/teitok/pdtc10/index.php?action=vallex&amp;frame=v-w12089_ZUf1_ZU", "nasycovat se (v-w12089_ZUf1_ZU)")</f>
        <v>nasycovat se (v-w12089_ZUf1_ZU)</v>
      </c>
    </row>
    <row r="18533" customFormat="false" ht="12.8" hidden="false" customHeight="false" outlineLevel="0" collapsed="false">
      <c r="B18533" s="0" t="s">
        <v>7</v>
      </c>
    </row>
    <row r="18534" customFormat="false" ht="12.8" hidden="false" customHeight="false" outlineLevel="0" collapsed="false">
      <c r="B18534" s="0" t="s">
        <v>3771</v>
      </c>
    </row>
    <row r="18536" customFormat="false" ht="12.8" hidden="false" customHeight="false" outlineLevel="0" collapsed="false">
      <c r="A18536" s="0" t="s">
        <v>7080</v>
      </c>
      <c r="B18536" s="0" t="str">
        <f aca="false">HYPERLINK("https://lindat.mff.cuni.cz/services/teitok/pdtc10/index.php?action=vallex&amp;frame=v-w2259f1", "nasypat (v-w2259f1)")</f>
        <v>nasypat (v-w2259f1)</v>
      </c>
    </row>
    <row r="18537" customFormat="false" ht="12.8" hidden="false" customHeight="false" outlineLevel="0" collapsed="false">
      <c r="B18537" s="0" t="s">
        <v>7</v>
      </c>
    </row>
    <row r="18538" customFormat="false" ht="12.8" hidden="false" customHeight="false" outlineLevel="0" collapsed="false">
      <c r="B18538" s="0" t="s">
        <v>14</v>
      </c>
    </row>
    <row r="18539" customFormat="false" ht="12.8" hidden="false" customHeight="false" outlineLevel="0" collapsed="false">
      <c r="B18539" s="0" t="s">
        <v>124</v>
      </c>
    </row>
    <row r="18541" customFormat="false" ht="12.8" hidden="false" customHeight="false" outlineLevel="0" collapsed="false">
      <c r="A18541" s="0" t="s">
        <v>7081</v>
      </c>
      <c r="B18541" s="0" t="str">
        <f aca="false">HYPERLINK("https://lindat.mff.cuni.cz/services/teitok/pdtc10/index.php?action=vallex&amp;frame=v-w2260f1", "nasytit (v-w2260f1)")</f>
        <v>nasytit (v-w2260f1)</v>
      </c>
    </row>
    <row r="18542" customFormat="false" ht="12.8" hidden="false" customHeight="false" outlineLevel="0" collapsed="false">
      <c r="B18542" s="0" t="s">
        <v>7</v>
      </c>
    </row>
    <row r="18543" customFormat="false" ht="12.8" hidden="false" customHeight="false" outlineLevel="0" collapsed="false">
      <c r="B18543" s="0" t="s">
        <v>14</v>
      </c>
    </row>
    <row r="18545" customFormat="false" ht="12.8" hidden="false" customHeight="false" outlineLevel="0" collapsed="false">
      <c r="A18545" s="0" t="s">
        <v>7082</v>
      </c>
      <c r="B18545" s="0" t="str">
        <f aca="false">HYPERLINK("https://lindat.mff.cuni.cz/services/teitok/pdtc10/index.php?action=vallex&amp;frame=v-w2201f1", "nasát (v-w2201f1)")</f>
        <v>nasát (v-w2201f1)</v>
      </c>
    </row>
    <row r="18546" customFormat="false" ht="12.8" hidden="false" customHeight="false" outlineLevel="0" collapsed="false">
      <c r="B18546" s="0" t="s">
        <v>7</v>
      </c>
      <c r="F18546" s="0" t="s">
        <v>118</v>
      </c>
    </row>
    <row r="18547" customFormat="false" ht="12.8" hidden="false" customHeight="false" outlineLevel="0" collapsed="false">
      <c r="B18547" s="0" t="s">
        <v>4381</v>
      </c>
      <c r="F18547" s="0" t="s">
        <v>159</v>
      </c>
    </row>
    <row r="18549" customFormat="false" ht="12.8" hidden="false" customHeight="false" outlineLevel="0" collapsed="false">
      <c r="A18549" s="0" t="s">
        <v>7083</v>
      </c>
      <c r="B18549" s="0" t="str">
        <f aca="false">HYPERLINK("https://lindat.mff.cuni.cz/services/teitok/pdtc10/index.php?action=vallex&amp;frame=v-whsa_1952f1_MM", "nasávat (v-whsa_1952f1_MM)")</f>
        <v>nasávat (v-whsa_1952f1_MM)</v>
      </c>
    </row>
    <row r="18550" customFormat="false" ht="12.8" hidden="false" customHeight="false" outlineLevel="0" collapsed="false">
      <c r="B18550" s="0" t="s">
        <v>7</v>
      </c>
    </row>
    <row r="18551" customFormat="false" ht="12.8" hidden="false" customHeight="false" outlineLevel="0" collapsed="false">
      <c r="B18551" s="0" t="s">
        <v>14</v>
      </c>
    </row>
    <row r="18553" customFormat="false" ht="12.8" hidden="false" customHeight="false" outlineLevel="0" collapsed="false">
      <c r="A18553" s="0" t="s">
        <v>7084</v>
      </c>
      <c r="B18553" s="0" t="str">
        <f aca="false">HYPERLINK("https://lindat.mff.cuni.cz/services/teitok/pdtc10/index.php?action=vallex&amp;frame=v-whsa_1952hsa_1953", "nasávat (v-whsa_1952hsa_1953)")</f>
        <v>nasávat (v-whsa_1952hsa_1953)</v>
      </c>
    </row>
    <row r="18554" customFormat="false" ht="12.8" hidden="false" customHeight="false" outlineLevel="0" collapsed="false">
      <c r="B18554" s="0" t="s">
        <v>7</v>
      </c>
    </row>
    <row r="18555" customFormat="false" ht="12.8" hidden="false" customHeight="false" outlineLevel="0" collapsed="false">
      <c r="B18555" s="0" t="s">
        <v>14</v>
      </c>
    </row>
    <row r="18557" customFormat="false" ht="12.8" hidden="false" customHeight="false" outlineLevel="0" collapsed="false">
      <c r="A18557" s="0" t="s">
        <v>7085</v>
      </c>
      <c r="B18557" s="0" t="str">
        <f aca="false">HYPERLINK("https://lindat.mff.cuni.cz/services/teitok/pdtc10/index.php?action=vallex&amp;frame=v-w2203f1", "nasázet (v-w2203f1)")</f>
        <v>nasázet (v-w2203f1)</v>
      </c>
    </row>
    <row r="18558" customFormat="false" ht="12.8" hidden="false" customHeight="false" outlineLevel="0" collapsed="false">
      <c r="B18558" s="0" t="s">
        <v>7</v>
      </c>
    </row>
    <row r="18559" customFormat="false" ht="12.8" hidden="false" customHeight="false" outlineLevel="0" collapsed="false">
      <c r="B18559" s="0" t="s">
        <v>14</v>
      </c>
    </row>
    <row r="18560" customFormat="false" ht="12.8" hidden="false" customHeight="false" outlineLevel="0" collapsed="false">
      <c r="B18560" s="0" t="s">
        <v>48</v>
      </c>
    </row>
    <row r="18562" customFormat="false" ht="12.8" hidden="false" customHeight="false" outlineLevel="0" collapsed="false">
      <c r="A18562" s="0" t="s">
        <v>7086</v>
      </c>
      <c r="B18562" s="0" t="str">
        <f aca="false">HYPERLINK("https://lindat.mff.cuni.cz/services/teitok/pdtc10/index.php?action=vallex&amp;frame=v-w10451f2", "nasčítat (v-w10451f2)")</f>
        <v>nasčítat (v-w10451f2)</v>
      </c>
    </row>
    <row r="18563" customFormat="false" ht="12.8" hidden="false" customHeight="false" outlineLevel="0" collapsed="false">
      <c r="B18563" s="0" t="s">
        <v>7</v>
      </c>
    </row>
    <row r="18564" customFormat="false" ht="12.8" hidden="false" customHeight="false" outlineLevel="0" collapsed="false">
      <c r="B18564" s="0" t="s">
        <v>14</v>
      </c>
    </row>
    <row r="18565" customFormat="false" ht="12.8" hidden="false" customHeight="false" outlineLevel="0" collapsed="false">
      <c r="B18565" s="0" t="s">
        <v>35</v>
      </c>
    </row>
    <row r="18566" customFormat="false" ht="12.8" hidden="false" customHeight="false" outlineLevel="0" collapsed="false">
      <c r="B18566" s="0" t="s">
        <v>84</v>
      </c>
    </row>
    <row r="18568" customFormat="false" ht="12.8" hidden="false" customHeight="false" outlineLevel="0" collapsed="false">
      <c r="A18568" s="0" t="s">
        <v>7087</v>
      </c>
      <c r="B18568" s="0" t="str">
        <f aca="false">HYPERLINK("https://lindat.mff.cuni.cz/services/teitok/pdtc10/index.php?action=vallex&amp;frame=v-w10451f3", "nasčítat (v-w10451f3)")</f>
        <v>nasčítat (v-w10451f3)</v>
      </c>
    </row>
    <row r="18569" customFormat="false" ht="12.8" hidden="false" customHeight="false" outlineLevel="0" collapsed="false">
      <c r="B18569" s="0" t="s">
        <v>7</v>
      </c>
    </row>
    <row r="18570" customFormat="false" ht="12.8" hidden="false" customHeight="false" outlineLevel="0" collapsed="false">
      <c r="B18570" s="0" t="s">
        <v>14</v>
      </c>
    </row>
    <row r="18572" customFormat="false" ht="12.8" hidden="false" customHeight="false" outlineLevel="0" collapsed="false">
      <c r="A18572" s="0" t="s">
        <v>7088</v>
      </c>
      <c r="B18572" s="0" t="str">
        <f aca="false">HYPERLINK("https://lindat.mff.cuni.cz/services/teitok/pdtc10/index.php?action=vallex&amp;frame=v-w2269f2", "natahovat (v-w2269f2)")</f>
        <v>natahovat (v-w2269f2)</v>
      </c>
    </row>
    <row r="18573" customFormat="false" ht="12.8" hidden="false" customHeight="false" outlineLevel="0" collapsed="false">
      <c r="B18573" s="0" t="s">
        <v>7</v>
      </c>
      <c r="F18573" s="0" t="s">
        <v>6871</v>
      </c>
    </row>
    <row r="18574" customFormat="false" ht="12.8" hidden="false" customHeight="false" outlineLevel="0" collapsed="false">
      <c r="B18574" s="0" t="s">
        <v>14</v>
      </c>
      <c r="F18574" s="0" t="s">
        <v>6872</v>
      </c>
    </row>
    <row r="18575" customFormat="false" ht="12.8" hidden="false" customHeight="false" outlineLevel="0" collapsed="false">
      <c r="B18575" s="0" t="s">
        <v>35</v>
      </c>
      <c r="F18575" s="0" t="s">
        <v>1526</v>
      </c>
    </row>
    <row r="18576" customFormat="false" ht="12.8" hidden="false" customHeight="false" outlineLevel="0" collapsed="false">
      <c r="B18576" s="0" t="s">
        <v>84</v>
      </c>
      <c r="F18576" s="0" t="s">
        <v>6873</v>
      </c>
    </row>
    <row r="18578" customFormat="false" ht="12.8" hidden="false" customHeight="false" outlineLevel="0" collapsed="false">
      <c r="A18578" s="0" t="s">
        <v>7089</v>
      </c>
      <c r="B18578" s="0" t="str">
        <f aca="false">HYPERLINK("https://lindat.mff.cuni.cz/services/teitok/pdtc10/index.php?action=vallex&amp;frame=v-w2269f1", "natahovat (v-w2269f1)")</f>
        <v>natahovat (v-w2269f1)</v>
      </c>
    </row>
    <row r="18579" customFormat="false" ht="12.8" hidden="false" customHeight="false" outlineLevel="0" collapsed="false">
      <c r="B18579" s="0" t="s">
        <v>7</v>
      </c>
      <c r="C18579" s="0" t="s">
        <v>113</v>
      </c>
      <c r="F18579" s="0" t="s">
        <v>247</v>
      </c>
    </row>
    <row r="18580" customFormat="false" ht="12.8" hidden="false" customHeight="false" outlineLevel="0" collapsed="false">
      <c r="B18580" s="0" t="s">
        <v>14</v>
      </c>
      <c r="C18580" s="0" t="s">
        <v>74</v>
      </c>
      <c r="F18580" s="0" t="s">
        <v>155</v>
      </c>
    </row>
    <row r="18582" customFormat="false" ht="12.8" hidden="false" customHeight="false" outlineLevel="0" collapsed="false">
      <c r="A18582" s="0" t="s">
        <v>7090</v>
      </c>
      <c r="B18582" s="0" t="str">
        <f aca="false">HYPERLINK("https://lindat.mff.cuni.cz/services/teitok/pdtc10/index.php?action=vallex&amp;frame=v-w2269f3_ZU", "natahovat (v-w2269f3_ZU)")</f>
        <v>natahovat (v-w2269f3_ZU)</v>
      </c>
    </row>
    <row r="18583" customFormat="false" ht="12.8" hidden="false" customHeight="false" outlineLevel="0" collapsed="false">
      <c r="B18583" s="0" t="s">
        <v>7</v>
      </c>
      <c r="F18583" s="0" t="s">
        <v>118</v>
      </c>
    </row>
    <row r="18584" customFormat="false" ht="12.8" hidden="false" customHeight="false" outlineLevel="0" collapsed="false">
      <c r="B18584" s="0" t="s">
        <v>297</v>
      </c>
      <c r="F18584" s="0" t="s">
        <v>159</v>
      </c>
    </row>
    <row r="18586" customFormat="false" ht="12.8" hidden="false" customHeight="false" outlineLevel="0" collapsed="false">
      <c r="A18586" s="0" t="s">
        <v>7091</v>
      </c>
      <c r="B18586" s="0" t="str">
        <f aca="false">HYPERLINK("https://lindat.mff.cuni.cz/services/teitok/pdtc10/index.php?action=vallex&amp;frame=v-whsa_838hsa_839", "natahovat se (v-whsa_838hsa_839)")</f>
        <v>natahovat se (v-whsa_838hsa_839)</v>
      </c>
    </row>
    <row r="18587" customFormat="false" ht="12.8" hidden="false" customHeight="false" outlineLevel="0" collapsed="false">
      <c r="B18587" s="0" t="s">
        <v>7</v>
      </c>
      <c r="C18587" s="0" t="s">
        <v>7092</v>
      </c>
    </row>
    <row r="18588" customFormat="false" ht="12.8" hidden="false" customHeight="false" outlineLevel="0" collapsed="false">
      <c r="B18588" s="0" t="s">
        <v>459</v>
      </c>
    </row>
    <row r="18589" customFormat="false" ht="12.8" hidden="false" customHeight="false" outlineLevel="0" collapsed="false">
      <c r="B18589" s="0" t="s">
        <v>124</v>
      </c>
    </row>
    <row r="18591" customFormat="false" ht="12.8" hidden="false" customHeight="false" outlineLevel="0" collapsed="false">
      <c r="A18591" s="0" t="s">
        <v>7093</v>
      </c>
      <c r="B18591" s="0" t="str">
        <f aca="false">HYPERLINK("https://lindat.mff.cuni.cz/services/teitok/pdtc10/index.php?action=vallex&amp;frame=v-w12295_MMf1_MM", "natankovat (v-w12295_MMf1_MM)")</f>
        <v>natankovat (v-w12295_MMf1_MM)</v>
      </c>
    </row>
    <row r="18592" customFormat="false" ht="12.8" hidden="false" customHeight="false" outlineLevel="0" collapsed="false">
      <c r="B18592" s="0" t="s">
        <v>7</v>
      </c>
    </row>
    <row r="18593" customFormat="false" ht="12.8" hidden="false" customHeight="false" outlineLevel="0" collapsed="false">
      <c r="B18593" s="0" t="s">
        <v>14</v>
      </c>
    </row>
    <row r="18595" customFormat="false" ht="12.8" hidden="false" customHeight="false" outlineLevel="0" collapsed="false">
      <c r="A18595" s="0" t="s">
        <v>7094</v>
      </c>
      <c r="B18595" s="0" t="str">
        <f aca="false">HYPERLINK("https://lindat.mff.cuni.cz/services/teitok/pdtc10/index.php?action=vallex&amp;frame=v-w11366f1", "natlačit se (v-w11366f1)")</f>
        <v>natlačit se (v-w11366f1)</v>
      </c>
    </row>
    <row r="18596" customFormat="false" ht="12.8" hidden="false" customHeight="false" outlineLevel="0" collapsed="false">
      <c r="B18596" s="0" t="s">
        <v>7</v>
      </c>
      <c r="C18596" s="0" t="s">
        <v>46</v>
      </c>
      <c r="D18596" s="0" t="s">
        <v>5352</v>
      </c>
      <c r="E18596" s="0" t="s">
        <v>5352</v>
      </c>
      <c r="F18596" s="0" t="s">
        <v>5352</v>
      </c>
    </row>
    <row r="18597" customFormat="false" ht="12.8" hidden="false" customHeight="false" outlineLevel="0" collapsed="false">
      <c r="B18597" s="0" t="s">
        <v>124</v>
      </c>
      <c r="D18597" s="0" t="s">
        <v>6663</v>
      </c>
      <c r="E18597" s="0" t="s">
        <v>6663</v>
      </c>
      <c r="F18597" s="0" t="s">
        <v>6663</v>
      </c>
    </row>
    <row r="18599" customFormat="false" ht="12.8" hidden="false" customHeight="false" outlineLevel="0" collapsed="false">
      <c r="A18599" s="0" t="s">
        <v>7095</v>
      </c>
      <c r="B18599" s="0" t="str">
        <f aca="false">HYPERLINK("https://lindat.mff.cuni.cz/services/teitok/pdtc10/index.php?action=vallex&amp;frame=v-w10587f2", "natlouci (v-w10587f2)")</f>
        <v>natlouci (v-w10587f2)</v>
      </c>
    </row>
    <row r="18600" customFormat="false" ht="12.8" hidden="false" customHeight="false" outlineLevel="0" collapsed="false">
      <c r="B18600" s="0" t="s">
        <v>7</v>
      </c>
    </row>
    <row r="18601" customFormat="false" ht="12.8" hidden="false" customHeight="false" outlineLevel="0" collapsed="false">
      <c r="B18601" s="0" t="s">
        <v>142</v>
      </c>
    </row>
    <row r="18603" customFormat="false" ht="12.8" hidden="false" customHeight="false" outlineLevel="0" collapsed="false">
      <c r="A18603" s="0" t="s">
        <v>7096</v>
      </c>
      <c r="B18603" s="0" t="str">
        <f aca="false">HYPERLINK("https://lindat.mff.cuni.cz/services/teitok/pdtc10/index.php?action=vallex&amp;frame=v-w10587f3_MM", "natlouci (v-w10587f3_MM)")</f>
        <v>natlouci (v-w10587f3_MM)</v>
      </c>
    </row>
    <row r="18604" customFormat="false" ht="12.8" hidden="false" customHeight="false" outlineLevel="0" collapsed="false">
      <c r="B18604" s="0" t="s">
        <v>7</v>
      </c>
    </row>
    <row r="18605" customFormat="false" ht="12.8" hidden="false" customHeight="false" outlineLevel="0" collapsed="false">
      <c r="B18605" s="0" t="s">
        <v>14</v>
      </c>
    </row>
    <row r="18606" customFormat="false" ht="12.8" hidden="false" customHeight="false" outlineLevel="0" collapsed="false">
      <c r="B18606" s="0" t="s">
        <v>124</v>
      </c>
    </row>
    <row r="18608" customFormat="false" ht="12.8" hidden="false" customHeight="false" outlineLevel="0" collapsed="false">
      <c r="A18608" s="0" t="s">
        <v>7097</v>
      </c>
      <c r="B18608" s="0" t="str">
        <f aca="false">HYPERLINK("https://lindat.mff.cuni.cz/services/teitok/pdtc10/index.php?action=vallex&amp;frame=v-w2277f1", "natočit (v-w2277f1)")</f>
        <v>natočit (v-w2277f1)</v>
      </c>
    </row>
    <row r="18609" customFormat="false" ht="12.8" hidden="false" customHeight="false" outlineLevel="0" collapsed="false">
      <c r="B18609" s="0" t="s">
        <v>7</v>
      </c>
      <c r="C18609" s="0" t="s">
        <v>7098</v>
      </c>
      <c r="D18609" s="0" t="s">
        <v>23</v>
      </c>
      <c r="E18609" s="0" t="s">
        <v>23</v>
      </c>
      <c r="F18609" s="0" t="s">
        <v>23</v>
      </c>
    </row>
    <row r="18610" customFormat="false" ht="12.8" hidden="false" customHeight="false" outlineLevel="0" collapsed="false">
      <c r="B18610" s="0" t="s">
        <v>14</v>
      </c>
      <c r="C18610" s="0" t="s">
        <v>7099</v>
      </c>
      <c r="D18610" s="0" t="s">
        <v>3662</v>
      </c>
      <c r="E18610" s="0" t="s">
        <v>3662</v>
      </c>
      <c r="F18610" s="0" t="s">
        <v>3662</v>
      </c>
    </row>
    <row r="18612" customFormat="false" ht="12.8" hidden="false" customHeight="false" outlineLevel="0" collapsed="false">
      <c r="A18612" s="0" t="s">
        <v>7100</v>
      </c>
      <c r="B18612" s="0" t="str">
        <f aca="false">HYPERLINK("https://lindat.mff.cuni.cz/services/teitok/pdtc10/index.php?action=vallex&amp;frame=v-w2277hsa_889", "natočit (v-w2277hsa_889)")</f>
        <v>natočit (v-w2277hsa_889)</v>
      </c>
    </row>
    <row r="18613" customFormat="false" ht="12.8" hidden="false" customHeight="false" outlineLevel="0" collapsed="false">
      <c r="B18613" s="0" t="s">
        <v>7</v>
      </c>
    </row>
    <row r="18614" customFormat="false" ht="12.8" hidden="false" customHeight="false" outlineLevel="0" collapsed="false">
      <c r="B18614" s="0" t="s">
        <v>14</v>
      </c>
    </row>
    <row r="18616" customFormat="false" ht="12.8" hidden="false" customHeight="false" outlineLevel="0" collapsed="false">
      <c r="A18616" s="0" t="s">
        <v>7101</v>
      </c>
      <c r="B18616" s="0" t="str">
        <f aca="false">HYPERLINK("https://lindat.mff.cuni.cz/services/teitok/pdtc10/index.php?action=vallex&amp;frame=v-w2277hsa_890", "natočit (v-w2277hsa_890)")</f>
        <v>natočit (v-w2277hsa_890)</v>
      </c>
    </row>
    <row r="18617" customFormat="false" ht="12.8" hidden="false" customHeight="false" outlineLevel="0" collapsed="false">
      <c r="B18617" s="0" t="s">
        <v>7</v>
      </c>
    </row>
    <row r="18618" customFormat="false" ht="12.8" hidden="false" customHeight="false" outlineLevel="0" collapsed="false">
      <c r="B18618" s="0" t="s">
        <v>14</v>
      </c>
    </row>
    <row r="18619" customFormat="false" ht="12.8" hidden="false" customHeight="false" outlineLevel="0" collapsed="false">
      <c r="B18619" s="0" t="s">
        <v>106</v>
      </c>
    </row>
    <row r="18621" customFormat="false" ht="12.8" hidden="false" customHeight="false" outlineLevel="0" collapsed="false">
      <c r="A18621" s="0" t="s">
        <v>7102</v>
      </c>
      <c r="B18621" s="0" t="str">
        <f aca="false">HYPERLINK("https://lindat.mff.cuni.cz/services/teitok/pdtc10/index.php?action=vallex&amp;frame=v-whsa_877f1_ZU", "natrefit (v-whsa_877f1_ZU)")</f>
        <v>natrefit (v-whsa_877f1_ZU)</v>
      </c>
    </row>
    <row r="18622" customFormat="false" ht="12.8" hidden="false" customHeight="false" outlineLevel="0" collapsed="false">
      <c r="B18622" s="0" t="s">
        <v>7</v>
      </c>
    </row>
    <row r="18623" customFormat="false" ht="12.8" hidden="false" customHeight="false" outlineLevel="0" collapsed="false">
      <c r="B18623" s="0" t="s">
        <v>41</v>
      </c>
    </row>
    <row r="18625" customFormat="false" ht="12.8" hidden="false" customHeight="false" outlineLevel="0" collapsed="false">
      <c r="A18625" s="0" t="s">
        <v>7102</v>
      </c>
      <c r="B18625" s="0" t="str">
        <f aca="false">HYPERLINK("https://lindat.mff.cuni.cz/services/teitok/pdtc10/index.php?action=vallex&amp;frame=v-whsa_877hsa_878", "natrefit (v-whsa_877hsa_878) - substituted with v-whsa_877f1_ZU")</f>
        <v>natrefit (v-whsa_877hsa_878) - substituted with v-whsa_877f1_ZU</v>
      </c>
    </row>
    <row r="18626" customFormat="false" ht="12.8" hidden="false" customHeight="false" outlineLevel="0" collapsed="false">
      <c r="B18626" s="0" t="s">
        <v>7</v>
      </c>
    </row>
    <row r="18627" customFormat="false" ht="12.8" hidden="false" customHeight="false" outlineLevel="0" collapsed="false">
      <c r="B18627" s="0" t="s">
        <v>41</v>
      </c>
    </row>
    <row r="18629" customFormat="false" ht="12.8" hidden="false" customHeight="false" outlineLevel="0" collapsed="false">
      <c r="A18629" s="0" t="s">
        <v>7103</v>
      </c>
      <c r="B18629" s="0" t="str">
        <f aca="false">HYPERLINK("https://lindat.mff.cuni.cz/services/teitok/pdtc10/index.php?action=vallex&amp;frame=v-whsa_1537hsa_1538", "natrhat (v-whsa_1537hsa_1538)")</f>
        <v>natrhat (v-whsa_1537hsa_1538)</v>
      </c>
    </row>
    <row r="18630" customFormat="false" ht="12.8" hidden="false" customHeight="false" outlineLevel="0" collapsed="false">
      <c r="B18630" s="0" t="s">
        <v>7</v>
      </c>
    </row>
    <row r="18631" customFormat="false" ht="12.8" hidden="false" customHeight="false" outlineLevel="0" collapsed="false">
      <c r="B18631" s="0" t="s">
        <v>14</v>
      </c>
    </row>
    <row r="18633" customFormat="false" ht="12.8" hidden="false" customHeight="false" outlineLevel="0" collapsed="false">
      <c r="A18633" s="0" t="s">
        <v>7104</v>
      </c>
      <c r="B18633" s="0" t="str">
        <f aca="false">HYPERLINK("https://lindat.mff.cuni.cz/services/teitok/pdtc10/index.php?action=vallex&amp;frame=v-w2279f1", "natrhnout (v-w2279f1)")</f>
        <v>natrhnout (v-w2279f1)</v>
      </c>
    </row>
    <row r="18634" customFormat="false" ht="12.8" hidden="false" customHeight="false" outlineLevel="0" collapsed="false">
      <c r="B18634" s="0" t="s">
        <v>7</v>
      </c>
    </row>
    <row r="18635" customFormat="false" ht="12.8" hidden="false" customHeight="false" outlineLevel="0" collapsed="false">
      <c r="B18635" s="0" t="s">
        <v>14</v>
      </c>
    </row>
    <row r="18637" customFormat="false" ht="12.8" hidden="false" customHeight="false" outlineLevel="0" collapsed="false">
      <c r="A18637" s="0" t="s">
        <v>7105</v>
      </c>
      <c r="B18637" s="0" t="str">
        <f aca="false">HYPERLINK("https://lindat.mff.cuni.cz/services/teitok/pdtc10/index.php?action=vallex&amp;frame=v-w2278f1", "natrénovat (v-w2278f1)")</f>
        <v>natrénovat (v-w2278f1)</v>
      </c>
    </row>
    <row r="18638" customFormat="false" ht="12.8" hidden="false" customHeight="false" outlineLevel="0" collapsed="false">
      <c r="B18638" s="0" t="s">
        <v>7</v>
      </c>
    </row>
    <row r="18639" customFormat="false" ht="12.8" hidden="false" customHeight="false" outlineLevel="0" collapsed="false">
      <c r="B18639" s="0" t="s">
        <v>14</v>
      </c>
    </row>
    <row r="18641" customFormat="false" ht="12.8" hidden="false" customHeight="false" outlineLevel="0" collapsed="false">
      <c r="A18641" s="0" t="s">
        <v>7106</v>
      </c>
      <c r="B18641" s="0" t="str">
        <f aca="false">HYPERLINK("https://lindat.mff.cuni.cz/services/teitok/pdtc10/index.php?action=vallex&amp;frame=v-w2282f1", "naturalizovat se (v-w2282f1)")</f>
        <v>naturalizovat se (v-w2282f1)</v>
      </c>
    </row>
    <row r="18642" customFormat="false" ht="12.8" hidden="false" customHeight="false" outlineLevel="0" collapsed="false">
      <c r="B18642" s="0" t="s">
        <v>7</v>
      </c>
    </row>
    <row r="18644" customFormat="false" ht="12.8" hidden="false" customHeight="false" outlineLevel="0" collapsed="false">
      <c r="A18644" s="0" t="s">
        <v>7107</v>
      </c>
      <c r="B18644" s="0" t="str">
        <f aca="false">HYPERLINK("https://lindat.mff.cuni.cz/services/teitok/pdtc10/index.php?action=vallex&amp;frame=v-w2267f1", "natáhnout (v-w2267f1)")</f>
        <v>natáhnout (v-w2267f1)</v>
      </c>
    </row>
    <row r="18645" customFormat="false" ht="12.8" hidden="false" customHeight="false" outlineLevel="0" collapsed="false">
      <c r="B18645" s="0" t="s">
        <v>7</v>
      </c>
      <c r="C18645" s="0" t="s">
        <v>31</v>
      </c>
      <c r="D18645" s="0" t="s">
        <v>46</v>
      </c>
      <c r="E18645" s="0" t="s">
        <v>46</v>
      </c>
      <c r="F18645" s="0" t="s">
        <v>1380</v>
      </c>
    </row>
    <row r="18646" customFormat="false" ht="12.8" hidden="false" customHeight="false" outlineLevel="0" collapsed="false">
      <c r="B18646" s="0" t="s">
        <v>14</v>
      </c>
      <c r="C18646" s="0" t="s">
        <v>74</v>
      </c>
      <c r="D18646" s="0" t="s">
        <v>155</v>
      </c>
      <c r="E18646" s="0" t="s">
        <v>155</v>
      </c>
      <c r="F18646" s="0" t="s">
        <v>47</v>
      </c>
    </row>
    <row r="18648" customFormat="false" ht="12.8" hidden="false" customHeight="false" outlineLevel="0" collapsed="false">
      <c r="A18648" s="0" t="s">
        <v>7108</v>
      </c>
      <c r="B18648" s="0" t="str">
        <f aca="false">HYPERLINK("https://lindat.mff.cuni.cz/services/teitok/pdtc10/index.php?action=vallex&amp;frame=v-w2267f2_ZU", "natáhnout (v-w2267f2_ZU)")</f>
        <v>natáhnout (v-w2267f2_ZU)</v>
      </c>
    </row>
    <row r="18649" customFormat="false" ht="12.8" hidden="false" customHeight="false" outlineLevel="0" collapsed="false">
      <c r="B18649" s="0" t="s">
        <v>7</v>
      </c>
    </row>
    <row r="18650" customFormat="false" ht="12.8" hidden="false" customHeight="false" outlineLevel="0" collapsed="false">
      <c r="B18650" s="0" t="s">
        <v>14</v>
      </c>
    </row>
    <row r="18652" customFormat="false" ht="12.8" hidden="false" customHeight="false" outlineLevel="0" collapsed="false">
      <c r="A18652" s="0" t="s">
        <v>7108</v>
      </c>
      <c r="B18652" s="0" t="str">
        <f aca="false">HYPERLINK("https://lindat.mff.cuni.cz/services/teitok/pdtc10/index.php?action=vallex&amp;frame=v-w2267hsa_1703", "natáhnout (v-w2267hsa_1703) - substituted with v-w2267f2_ZU")</f>
        <v>natáhnout (v-w2267hsa_1703) - substituted with v-w2267f2_ZU</v>
      </c>
    </row>
    <row r="18653" customFormat="false" ht="12.8" hidden="false" customHeight="false" outlineLevel="0" collapsed="false">
      <c r="B18653" s="0" t="s">
        <v>7</v>
      </c>
    </row>
    <row r="18654" customFormat="false" ht="12.8" hidden="false" customHeight="false" outlineLevel="0" collapsed="false">
      <c r="B18654" s="0" t="s">
        <v>14</v>
      </c>
    </row>
    <row r="18656" customFormat="false" ht="12.8" hidden="false" customHeight="false" outlineLevel="0" collapsed="false">
      <c r="A18656" s="0" t="s">
        <v>7109</v>
      </c>
      <c r="B18656" s="0" t="str">
        <f aca="false">HYPERLINK("https://lindat.mff.cuni.cz/services/teitok/pdtc10/index.php?action=vallex&amp;frame=v-w2267f3_ZU", "natáhnout (v-w2267f3_ZU)")</f>
        <v>natáhnout (v-w2267f3_ZU)</v>
      </c>
    </row>
    <row r="18657" customFormat="false" ht="12.8" hidden="false" customHeight="false" outlineLevel="0" collapsed="false">
      <c r="B18657" s="0" t="s">
        <v>7</v>
      </c>
    </row>
    <row r="18658" customFormat="false" ht="12.8" hidden="false" customHeight="false" outlineLevel="0" collapsed="false">
      <c r="B18658" s="0" t="s">
        <v>14</v>
      </c>
    </row>
    <row r="18660" customFormat="false" ht="12.8" hidden="false" customHeight="false" outlineLevel="0" collapsed="false">
      <c r="A18660" s="0" t="s">
        <v>7110</v>
      </c>
      <c r="B18660" s="0" t="str">
        <f aca="false">HYPERLINK("https://lindat.mff.cuni.cz/services/teitok/pdtc10/index.php?action=vallex&amp;frame=v-w2267hsa_1704", "natáhnout (v-w2267hsa_1704)")</f>
        <v>natáhnout (v-w2267hsa_1704)</v>
      </c>
    </row>
    <row r="18661" customFormat="false" ht="12.8" hidden="false" customHeight="false" outlineLevel="0" collapsed="false">
      <c r="B18661" s="0" t="s">
        <v>7</v>
      </c>
    </row>
    <row r="18662" customFormat="false" ht="12.8" hidden="false" customHeight="false" outlineLevel="0" collapsed="false">
      <c r="B18662" s="0" t="s">
        <v>14</v>
      </c>
    </row>
    <row r="18664" customFormat="false" ht="12.8" hidden="false" customHeight="false" outlineLevel="0" collapsed="false">
      <c r="A18664" s="0" t="s">
        <v>7111</v>
      </c>
      <c r="B18664" s="0" t="str">
        <f aca="false">HYPERLINK("https://lindat.mff.cuni.cz/services/teitok/pdtc10/index.php?action=vallex&amp;frame=v-w11786_ZUf2_ZU", "natáhnout se (v-w11786_ZUf2_ZU)")</f>
        <v>natáhnout se (v-w11786_ZUf2_ZU)</v>
      </c>
    </row>
    <row r="18665" customFormat="false" ht="12.8" hidden="false" customHeight="false" outlineLevel="0" collapsed="false">
      <c r="B18665" s="0" t="s">
        <v>7</v>
      </c>
    </row>
    <row r="18666" customFormat="false" ht="12.8" hidden="false" customHeight="false" outlineLevel="0" collapsed="false">
      <c r="B18666" s="0" t="s">
        <v>338</v>
      </c>
    </row>
    <row r="18668" customFormat="false" ht="12.8" hidden="false" customHeight="false" outlineLevel="0" collapsed="false">
      <c r="A18668" s="0" t="s">
        <v>7111</v>
      </c>
      <c r="B18668" s="0" t="str">
        <f aca="false">HYPERLINK("https://lindat.mff.cuni.cz/services/teitok/pdtc10/index.php?action=vallex&amp;frame=v-w11786_ZUf1_ZU", "natáhnout se (v-w11786_ZUf1_ZU) - substituted with v-w11786_ZUf2_ZU")</f>
        <v>natáhnout se (v-w11786_ZUf1_ZU) - substituted with v-w11786_ZUf2_ZU</v>
      </c>
    </row>
    <row r="18669" customFormat="false" ht="12.8" hidden="false" customHeight="false" outlineLevel="0" collapsed="false">
      <c r="B18669" s="0" t="s">
        <v>7</v>
      </c>
    </row>
    <row r="18670" customFormat="false" ht="12.8" hidden="false" customHeight="false" outlineLevel="0" collapsed="false">
      <c r="B18670" s="0" t="s">
        <v>338</v>
      </c>
    </row>
    <row r="18672" customFormat="false" ht="12.8" hidden="false" customHeight="false" outlineLevel="0" collapsed="false">
      <c r="A18672" s="0" t="s">
        <v>7112</v>
      </c>
      <c r="B18672" s="0" t="str">
        <f aca="false">HYPERLINK("https://lindat.mff.cuni.cz/services/teitok/pdtc10/index.php?action=vallex&amp;frame=v-w11786_ZUf3_ZU", "natáhnout se (v-w11786_ZUf3_ZU)")</f>
        <v>natáhnout se (v-w11786_ZUf3_ZU)</v>
      </c>
    </row>
    <row r="18673" customFormat="false" ht="12.8" hidden="false" customHeight="false" outlineLevel="0" collapsed="false">
      <c r="B18673" s="0" t="s">
        <v>7</v>
      </c>
    </row>
    <row r="18675" customFormat="false" ht="12.8" hidden="false" customHeight="false" outlineLevel="0" collapsed="false">
      <c r="A18675" s="0" t="s">
        <v>7113</v>
      </c>
      <c r="B18675" s="0" t="str">
        <f aca="false">HYPERLINK("https://lindat.mff.cuni.cz/services/teitok/pdtc10/index.php?action=vallex&amp;frame=v-w2266f1", "natáčet (v-w2266f1)")</f>
        <v>natáčet (v-w2266f1)</v>
      </c>
    </row>
    <row r="18676" customFormat="false" ht="12.8" hidden="false" customHeight="false" outlineLevel="0" collapsed="false">
      <c r="B18676" s="0" t="s">
        <v>7</v>
      </c>
      <c r="C18676" s="0" t="s">
        <v>7114</v>
      </c>
      <c r="D18676" s="0" t="s">
        <v>23</v>
      </c>
      <c r="E18676" s="0" t="s">
        <v>23</v>
      </c>
      <c r="F18676" s="0" t="s">
        <v>23</v>
      </c>
    </row>
    <row r="18677" customFormat="false" ht="12.8" hidden="false" customHeight="false" outlineLevel="0" collapsed="false">
      <c r="B18677" s="0" t="s">
        <v>14</v>
      </c>
      <c r="C18677" s="0" t="s">
        <v>7115</v>
      </c>
      <c r="D18677" s="0" t="s">
        <v>3662</v>
      </c>
      <c r="E18677" s="0" t="s">
        <v>3662</v>
      </c>
      <c r="F18677" s="0" t="s">
        <v>3662</v>
      </c>
    </row>
    <row r="18679" customFormat="false" ht="12.8" hidden="false" customHeight="false" outlineLevel="0" collapsed="false">
      <c r="A18679" s="0" t="s">
        <v>7116</v>
      </c>
      <c r="B18679" s="0" t="str">
        <f aca="false">HYPERLINK("https://lindat.mff.cuni.cz/services/teitok/pdtc10/index.php?action=vallex&amp;frame=v-w2266f2_ZU", "natáčet (v-w2266f2_ZU)")</f>
        <v>natáčet (v-w2266f2_ZU)</v>
      </c>
    </row>
    <row r="18680" customFormat="false" ht="12.8" hidden="false" customHeight="false" outlineLevel="0" collapsed="false">
      <c r="B18680" s="0" t="s">
        <v>7</v>
      </c>
    </row>
    <row r="18681" customFormat="false" ht="12.8" hidden="false" customHeight="false" outlineLevel="0" collapsed="false">
      <c r="B18681" s="0" t="s">
        <v>14</v>
      </c>
    </row>
    <row r="18683" customFormat="false" ht="12.8" hidden="false" customHeight="false" outlineLevel="0" collapsed="false">
      <c r="A18683" s="0" t="s">
        <v>7116</v>
      </c>
      <c r="B18683" s="0" t="str">
        <f aca="false">HYPERLINK("https://lindat.mff.cuni.cz/services/teitok/pdtc10/index.php?action=vallex&amp;frame=v-w2266hsa_802", "natáčet (v-w2266hsa_802) - substituted with v-w2266f2_ZU")</f>
        <v>natáčet (v-w2266hsa_802) - substituted with v-w2266f2_ZU</v>
      </c>
    </row>
    <row r="18684" customFormat="false" ht="12.8" hidden="false" customHeight="false" outlineLevel="0" collapsed="false">
      <c r="B18684" s="0" t="s">
        <v>7</v>
      </c>
    </row>
    <row r="18685" customFormat="false" ht="12.8" hidden="false" customHeight="false" outlineLevel="0" collapsed="false">
      <c r="B18685" s="0" t="s">
        <v>14</v>
      </c>
    </row>
    <row r="18687" customFormat="false" ht="12.8" hidden="false" customHeight="false" outlineLevel="0" collapsed="false">
      <c r="A18687" s="0" t="s">
        <v>7117</v>
      </c>
      <c r="B18687" s="0" t="str">
        <f aca="false">HYPERLINK("https://lindat.mff.cuni.cz/services/teitok/pdtc10/index.php?action=vallex&amp;frame=v-w2266hsa_803", "natáčet (v-w2266hsa_803)")</f>
        <v>natáčet (v-w2266hsa_803)</v>
      </c>
    </row>
    <row r="18688" customFormat="false" ht="12.8" hidden="false" customHeight="false" outlineLevel="0" collapsed="false">
      <c r="B18688" s="0" t="s">
        <v>7</v>
      </c>
    </row>
    <row r="18689" customFormat="false" ht="12.8" hidden="false" customHeight="false" outlineLevel="0" collapsed="false">
      <c r="B18689" s="0" t="s">
        <v>14</v>
      </c>
    </row>
    <row r="18691" customFormat="false" ht="12.8" hidden="false" customHeight="false" outlineLevel="0" collapsed="false">
      <c r="A18691" s="0" t="s">
        <v>7118</v>
      </c>
      <c r="B18691" s="0" t="str">
        <f aca="false">HYPERLINK("https://lindat.mff.cuni.cz/services/teitok/pdtc10/index.php?action=vallex&amp;frame=v-w2271f1", "natéci (v-w2271f1)")</f>
        <v>natéci (v-w2271f1)</v>
      </c>
    </row>
    <row r="18692" customFormat="false" ht="12.8" hidden="false" customHeight="false" outlineLevel="0" collapsed="false">
      <c r="B18692" s="0" t="s">
        <v>7</v>
      </c>
    </row>
    <row r="18693" customFormat="false" ht="12.8" hidden="false" customHeight="false" outlineLevel="0" collapsed="false">
      <c r="B18693" s="0" t="s">
        <v>124</v>
      </c>
    </row>
    <row r="18695" customFormat="false" ht="12.8" hidden="false" customHeight="false" outlineLevel="0" collapsed="false">
      <c r="A18695" s="0" t="s">
        <v>7119</v>
      </c>
      <c r="B18695" s="0" t="str">
        <f aca="false">HYPERLINK("https://lindat.mff.cuni.cz/services/teitok/pdtc10/index.php?action=vallex&amp;frame=v-w2271f2", "natéci (v-w2271f2)")</f>
        <v>natéci (v-w2271f2)</v>
      </c>
    </row>
    <row r="18696" customFormat="false" ht="12.8" hidden="false" customHeight="false" outlineLevel="0" collapsed="false">
      <c r="B18696" s="0" t="s">
        <v>7</v>
      </c>
    </row>
    <row r="18698" customFormat="false" ht="12.8" hidden="false" customHeight="false" outlineLevel="0" collapsed="false">
      <c r="A18698" s="0" t="s">
        <v>7120</v>
      </c>
      <c r="B18698" s="0" t="str">
        <f aca="false">HYPERLINK("https://lindat.mff.cuni.cz/services/teitok/pdtc10/index.php?action=vallex&amp;frame=v-whsa_625hsa_626", "natírat (v-whsa_625hsa_626)")</f>
        <v>natírat (v-whsa_625hsa_626)</v>
      </c>
    </row>
    <row r="18699" customFormat="false" ht="12.8" hidden="false" customHeight="false" outlineLevel="0" collapsed="false">
      <c r="B18699" s="0" t="s">
        <v>7</v>
      </c>
    </row>
    <row r="18700" customFormat="false" ht="12.8" hidden="false" customHeight="false" outlineLevel="0" collapsed="false">
      <c r="B18700" s="0" t="s">
        <v>14</v>
      </c>
    </row>
    <row r="18702" customFormat="false" ht="12.8" hidden="false" customHeight="false" outlineLevel="0" collapsed="false">
      <c r="A18702" s="0" t="s">
        <v>7121</v>
      </c>
      <c r="B18702" s="0" t="str">
        <f aca="false">HYPERLINK("https://lindat.mff.cuni.cz/services/teitok/pdtc10/index.php?action=vallex&amp;frame=v-w11309f1", "natěsnat se (v-w11309f1)")</f>
        <v>natěsnat se (v-w11309f1)</v>
      </c>
    </row>
    <row r="18703" customFormat="false" ht="12.8" hidden="false" customHeight="false" outlineLevel="0" collapsed="false">
      <c r="B18703" s="0" t="s">
        <v>7</v>
      </c>
    </row>
    <row r="18704" customFormat="false" ht="12.8" hidden="false" customHeight="false" outlineLevel="0" collapsed="false">
      <c r="B18704" s="0" t="s">
        <v>124</v>
      </c>
    </row>
    <row r="18706" customFormat="false" ht="12.8" hidden="false" customHeight="false" outlineLevel="0" collapsed="false">
      <c r="A18706" s="0" t="s">
        <v>7122</v>
      </c>
      <c r="B18706" s="0" t="str">
        <f aca="false">HYPERLINK("https://lindat.mff.cuni.cz/services/teitok/pdtc10/index.php?action=vallex&amp;frame=v-w11309hsa_1186", "natěsnat se (v-w11309hsa_1186)")</f>
        <v>natěsnat se (v-w11309hsa_1186)</v>
      </c>
    </row>
    <row r="18707" customFormat="false" ht="12.8" hidden="false" customHeight="false" outlineLevel="0" collapsed="false">
      <c r="B18707" s="0" t="s">
        <v>7</v>
      </c>
      <c r="C18707" s="0" t="s">
        <v>335</v>
      </c>
      <c r="D18707" s="0" t="s">
        <v>7123</v>
      </c>
      <c r="E18707" s="0" t="s">
        <v>7123</v>
      </c>
      <c r="F18707" s="0" t="s">
        <v>7123</v>
      </c>
    </row>
    <row r="18708" customFormat="false" ht="12.8" hidden="false" customHeight="false" outlineLevel="0" collapsed="false">
      <c r="B18708" s="0" t="s">
        <v>11</v>
      </c>
      <c r="D18708" s="0" t="s">
        <v>5353</v>
      </c>
      <c r="E18708" s="0" t="s">
        <v>5353</v>
      </c>
      <c r="F18708" s="0" t="s">
        <v>5353</v>
      </c>
    </row>
    <row r="18710" customFormat="false" ht="12.8" hidden="false" customHeight="false" outlineLevel="0" collapsed="false">
      <c r="A18710" s="0" t="s">
        <v>7124</v>
      </c>
      <c r="B18710" s="0" t="str">
        <f aca="false">HYPERLINK("https://lindat.mff.cuni.cz/services/teitok/pdtc10/index.php?action=vallex&amp;frame=v-whsa_1199hsa_1200", "natřepat (v-whsa_1199hsa_1200)")</f>
        <v>natřepat (v-whsa_1199hsa_1200)</v>
      </c>
    </row>
    <row r="18711" customFormat="false" ht="12.8" hidden="false" customHeight="false" outlineLevel="0" collapsed="false">
      <c r="B18711" s="0" t="s">
        <v>7</v>
      </c>
    </row>
    <row r="18712" customFormat="false" ht="12.8" hidden="false" customHeight="false" outlineLevel="0" collapsed="false">
      <c r="B18712" s="0" t="s">
        <v>142</v>
      </c>
    </row>
    <row r="18714" customFormat="false" ht="12.8" hidden="false" customHeight="false" outlineLevel="0" collapsed="false">
      <c r="A18714" s="0" t="s">
        <v>7125</v>
      </c>
      <c r="B18714" s="0" t="str">
        <f aca="false">HYPERLINK("https://lindat.mff.cuni.cz/services/teitok/pdtc10/index.php?action=vallex&amp;frame=v-w2280f1", "natřít (v-w2280f1)")</f>
        <v>natřít (v-w2280f1)</v>
      </c>
    </row>
    <row r="18715" customFormat="false" ht="12.8" hidden="false" customHeight="false" outlineLevel="0" collapsed="false">
      <c r="B18715" s="0" t="s">
        <v>7</v>
      </c>
      <c r="D18715" s="0" t="s">
        <v>113</v>
      </c>
      <c r="E18715" s="0" t="s">
        <v>113</v>
      </c>
      <c r="F18715" s="0" t="s">
        <v>113</v>
      </c>
    </row>
    <row r="18716" customFormat="false" ht="12.8" hidden="false" customHeight="false" outlineLevel="0" collapsed="false">
      <c r="B18716" s="0" t="s">
        <v>14</v>
      </c>
      <c r="C18716" s="0" t="s">
        <v>155</v>
      </c>
      <c r="D18716" s="0" t="s">
        <v>78</v>
      </c>
      <c r="E18716" s="0" t="s">
        <v>78</v>
      </c>
      <c r="F18716" s="0" t="s">
        <v>78</v>
      </c>
    </row>
    <row r="18718" customFormat="false" ht="12.8" hidden="false" customHeight="false" outlineLevel="0" collapsed="false">
      <c r="A18718" s="0" t="s">
        <v>7126</v>
      </c>
      <c r="B18718" s="0" t="str">
        <f aca="false">HYPERLINK("https://lindat.mff.cuni.cz/services/teitok/pdtc10/index.php?action=vallex&amp;frame=v-w2280f2_ZU", "natřít (v-w2280f2_ZU)")</f>
        <v>natřít (v-w2280f2_ZU)</v>
      </c>
    </row>
    <row r="18719" customFormat="false" ht="12.8" hidden="false" customHeight="false" outlineLevel="0" collapsed="false">
      <c r="B18719" s="0" t="s">
        <v>7</v>
      </c>
    </row>
    <row r="18720" customFormat="false" ht="12.8" hidden="false" customHeight="false" outlineLevel="0" collapsed="false">
      <c r="B18720" s="0" t="s">
        <v>525</v>
      </c>
    </row>
    <row r="18721" customFormat="false" ht="12.8" hidden="false" customHeight="false" outlineLevel="0" collapsed="false">
      <c r="B18721" s="0" t="s">
        <v>142</v>
      </c>
    </row>
    <row r="18723" customFormat="false" ht="12.8" hidden="false" customHeight="false" outlineLevel="0" collapsed="false">
      <c r="A18723" s="0" t="s">
        <v>7127</v>
      </c>
      <c r="B18723" s="0" t="str">
        <f aca="false">HYPERLINK("https://lindat.mff.cuni.cz/services/teitok/pdtc10/index.php?action=vallex&amp;frame=v-w2283f2_ZU", "naučit (v-w2283f2_ZU)")</f>
        <v>naučit (v-w2283f2_ZU)</v>
      </c>
    </row>
    <row r="18724" customFormat="false" ht="12.8" hidden="false" customHeight="false" outlineLevel="0" collapsed="false">
      <c r="B18724" s="0" t="s">
        <v>7</v>
      </c>
      <c r="C18724" s="0" t="s">
        <v>7128</v>
      </c>
      <c r="D18724" s="0" t="s">
        <v>23</v>
      </c>
      <c r="E18724" s="0" t="s">
        <v>23</v>
      </c>
      <c r="F18724" s="0" t="s">
        <v>23</v>
      </c>
    </row>
    <row r="18725" customFormat="false" ht="12.8" hidden="false" customHeight="false" outlineLevel="0" collapsed="false">
      <c r="B18725" s="0" t="s">
        <v>7129</v>
      </c>
      <c r="C18725" s="0" t="s">
        <v>7130</v>
      </c>
      <c r="D18725" s="0" t="s">
        <v>7131</v>
      </c>
      <c r="E18725" s="0" t="s">
        <v>7131</v>
      </c>
      <c r="F18725" s="0" t="s">
        <v>7131</v>
      </c>
    </row>
    <row r="18726" customFormat="false" ht="12.8" hidden="false" customHeight="false" outlineLevel="0" collapsed="false">
      <c r="B18726" s="0" t="s">
        <v>81</v>
      </c>
      <c r="C18726" s="0" t="s">
        <v>7132</v>
      </c>
      <c r="D18726" s="0" t="s">
        <v>7133</v>
      </c>
      <c r="E18726" s="0" t="s">
        <v>7133</v>
      </c>
      <c r="F18726" s="0" t="s">
        <v>7133</v>
      </c>
    </row>
    <row r="18728" customFormat="false" ht="12.8" hidden="false" customHeight="false" outlineLevel="0" collapsed="false">
      <c r="A18728" s="0" t="s">
        <v>7127</v>
      </c>
      <c r="B18728" s="0" t="str">
        <f aca="false">HYPERLINK("https://lindat.mff.cuni.cz/services/teitok/pdtc10/index.php?action=vallex&amp;frame=v-w2283f1", "naučit (v-w2283f1) - substituted with v-w2283f2_ZU")</f>
        <v>naučit (v-w2283f1) - substituted with v-w2283f2_ZU</v>
      </c>
    </row>
    <row r="18729" customFormat="false" ht="12.8" hidden="false" customHeight="false" outlineLevel="0" collapsed="false">
      <c r="B18729" s="0" t="s">
        <v>7</v>
      </c>
      <c r="C18729" s="0" t="s">
        <v>1637</v>
      </c>
    </row>
    <row r="18730" customFormat="false" ht="12.8" hidden="false" customHeight="false" outlineLevel="0" collapsed="false">
      <c r="B18730" s="0" t="s">
        <v>7129</v>
      </c>
      <c r="C18730" s="0" t="s">
        <v>7134</v>
      </c>
    </row>
    <row r="18731" customFormat="false" ht="12.8" hidden="false" customHeight="false" outlineLevel="0" collapsed="false">
      <c r="B18731" s="0" t="s">
        <v>81</v>
      </c>
      <c r="C18731" s="0" t="s">
        <v>3566</v>
      </c>
    </row>
    <row r="18733" customFormat="false" ht="12.8" hidden="false" customHeight="false" outlineLevel="0" collapsed="false">
      <c r="A18733" s="0" t="s">
        <v>7135</v>
      </c>
      <c r="B18733" s="0" t="str">
        <f aca="false">HYPERLINK("https://lindat.mff.cuni.cz/services/teitok/pdtc10/index.php?action=vallex&amp;frame=v-w2284f1", "naučit se (v-w2284f1)")</f>
        <v>naučit se (v-w2284f1)</v>
      </c>
    </row>
    <row r="18734" customFormat="false" ht="12.8" hidden="false" customHeight="false" outlineLevel="0" collapsed="false">
      <c r="B18734" s="0" t="s">
        <v>7</v>
      </c>
      <c r="C18734" s="0" t="s">
        <v>7136</v>
      </c>
      <c r="D18734" s="0" t="s">
        <v>2256</v>
      </c>
      <c r="E18734" s="0" t="s">
        <v>2256</v>
      </c>
      <c r="F18734" s="0" t="s">
        <v>2256</v>
      </c>
    </row>
    <row r="18735" customFormat="false" ht="12.8" hidden="false" customHeight="false" outlineLevel="0" collapsed="false">
      <c r="B18735" s="0" t="s">
        <v>2619</v>
      </c>
      <c r="C18735" s="0" t="s">
        <v>7137</v>
      </c>
      <c r="D18735" s="0" t="s">
        <v>2259</v>
      </c>
      <c r="E18735" s="0" t="s">
        <v>2259</v>
      </c>
      <c r="F18735" s="0" t="s">
        <v>2259</v>
      </c>
    </row>
    <row r="18736" customFormat="false" ht="12.8" hidden="false" customHeight="false" outlineLevel="0" collapsed="false">
      <c r="B18736" s="0" t="s">
        <v>1349</v>
      </c>
      <c r="C18736" s="0" t="s">
        <v>2480</v>
      </c>
      <c r="D18736" s="0" t="s">
        <v>2260</v>
      </c>
      <c r="E18736" s="0" t="s">
        <v>2260</v>
      </c>
      <c r="F18736" s="0" t="s">
        <v>2260</v>
      </c>
    </row>
    <row r="18738" customFormat="false" ht="12.8" hidden="false" customHeight="false" outlineLevel="0" collapsed="false">
      <c r="A18738" s="0" t="s">
        <v>7138</v>
      </c>
      <c r="B18738" s="0" t="str">
        <f aca="false">HYPERLINK("https://lindat.mff.cuni.cz/services/teitok/pdtc10/index.php?action=vallex&amp;frame=v-w2284hsa_1250", "naučit se (v-w2284hsa_1250)")</f>
        <v>naučit se (v-w2284hsa_1250)</v>
      </c>
    </row>
    <row r="18739" customFormat="false" ht="12.8" hidden="false" customHeight="false" outlineLevel="0" collapsed="false">
      <c r="B18739" s="0" t="s">
        <v>7</v>
      </c>
    </row>
    <row r="18740" customFormat="false" ht="12.8" hidden="false" customHeight="false" outlineLevel="0" collapsed="false">
      <c r="B18740" s="0" t="s">
        <v>662</v>
      </c>
    </row>
    <row r="18741" customFormat="false" ht="12.8" hidden="false" customHeight="false" outlineLevel="0" collapsed="false">
      <c r="B18741" s="0" t="s">
        <v>441</v>
      </c>
    </row>
    <row r="18743" customFormat="false" ht="12.8" hidden="false" customHeight="false" outlineLevel="0" collapsed="false">
      <c r="A18743" s="0" t="s">
        <v>7139</v>
      </c>
      <c r="B18743" s="0" t="str">
        <f aca="false">HYPERLINK("https://lindat.mff.cuni.cz/services/teitok/pdtc10/index.php?action=vallex&amp;frame=v-w11502f1", "navalit se (v-w11502f1)")</f>
        <v>navalit se (v-w11502f1)</v>
      </c>
    </row>
    <row r="18744" customFormat="false" ht="12.8" hidden="false" customHeight="false" outlineLevel="0" collapsed="false">
      <c r="B18744" s="0" t="s">
        <v>7</v>
      </c>
      <c r="D18744" s="0" t="s">
        <v>7140</v>
      </c>
      <c r="E18744" s="0" t="s">
        <v>7140</v>
      </c>
      <c r="F18744" s="0" t="s">
        <v>7140</v>
      </c>
    </row>
    <row r="18745" customFormat="false" ht="12.8" hidden="false" customHeight="false" outlineLevel="0" collapsed="false">
      <c r="B18745" s="0" t="s">
        <v>41</v>
      </c>
      <c r="D18745" s="0" t="s">
        <v>1436</v>
      </c>
      <c r="E18745" s="0" t="s">
        <v>1436</v>
      </c>
      <c r="F18745" s="0" t="s">
        <v>1436</v>
      </c>
    </row>
    <row r="18747" customFormat="false" ht="12.8" hidden="false" customHeight="false" outlineLevel="0" collapsed="false">
      <c r="A18747" s="0" t="s">
        <v>7141</v>
      </c>
      <c r="B18747" s="0" t="str">
        <f aca="false">HYPERLINK("https://lindat.mff.cuni.cz/services/teitok/pdtc10/index.php?action=vallex&amp;frame=v-w2294f3", "navazovat (v-w2294f3)")</f>
        <v>navazovat (v-w2294f3)</v>
      </c>
    </row>
    <row r="18748" customFormat="false" ht="12.8" hidden="false" customHeight="false" outlineLevel="0" collapsed="false">
      <c r="B18748" s="0" t="s">
        <v>7</v>
      </c>
    </row>
    <row r="18749" customFormat="false" ht="12.8" hidden="false" customHeight="false" outlineLevel="0" collapsed="false">
      <c r="B18749" s="0" t="s">
        <v>14</v>
      </c>
    </row>
    <row r="18751" customFormat="false" ht="12.8" hidden="false" customHeight="false" outlineLevel="0" collapsed="false">
      <c r="A18751" s="0" t="s">
        <v>7142</v>
      </c>
      <c r="B18751" s="0" t="str">
        <f aca="false">HYPERLINK("https://lindat.mff.cuni.cz/services/teitok/pdtc10/index.php?action=vallex&amp;frame=v-w2294f4_ZU", "navazovat (v-w2294f4_ZU)")</f>
        <v>navazovat (v-w2294f4_ZU)</v>
      </c>
    </row>
    <row r="18752" customFormat="false" ht="12.8" hidden="false" customHeight="false" outlineLevel="0" collapsed="false">
      <c r="B18752" s="0" t="s">
        <v>7</v>
      </c>
    </row>
    <row r="18753" customFormat="false" ht="12.8" hidden="false" customHeight="false" outlineLevel="0" collapsed="false">
      <c r="B18753" s="0" t="s">
        <v>5029</v>
      </c>
    </row>
    <row r="18755" customFormat="false" ht="12.8" hidden="false" customHeight="false" outlineLevel="0" collapsed="false">
      <c r="A18755" s="0" t="s">
        <v>7142</v>
      </c>
      <c r="B18755" s="0" t="str">
        <f aca="false">HYPERLINK("https://lindat.mff.cuni.cz/services/teitok/pdtc10/index.php?action=vallex&amp;frame=v-w2294f1", "navazovat (v-w2294f1) - substituted with v-w2294f4_ZU")</f>
        <v>navazovat (v-w2294f1) - substituted with v-w2294f4_ZU</v>
      </c>
    </row>
    <row r="18756" customFormat="false" ht="12.8" hidden="false" customHeight="false" outlineLevel="0" collapsed="false">
      <c r="B18756" s="0" t="s">
        <v>7</v>
      </c>
      <c r="C18756" s="0" t="s">
        <v>7143</v>
      </c>
    </row>
    <row r="18757" customFormat="false" ht="12.8" hidden="false" customHeight="false" outlineLevel="0" collapsed="false">
      <c r="B18757" s="0" t="s">
        <v>5029</v>
      </c>
      <c r="C18757" s="0" t="s">
        <v>7144</v>
      </c>
    </row>
    <row r="18759" customFormat="false" ht="12.8" hidden="false" customHeight="false" outlineLevel="0" collapsed="false">
      <c r="A18759" s="0" t="s">
        <v>7145</v>
      </c>
      <c r="B18759" s="0" t="str">
        <f aca="false">HYPERLINK("https://lindat.mff.cuni.cz/services/teitok/pdtc10/index.php?action=vallex&amp;frame=v-w2294f7_ZU", "navazovat (v-w2294f7_ZU)")</f>
        <v>navazovat (v-w2294f7_ZU)</v>
      </c>
    </row>
    <row r="18760" customFormat="false" ht="12.8" hidden="false" customHeight="false" outlineLevel="0" collapsed="false">
      <c r="B18760" s="0" t="s">
        <v>7</v>
      </c>
    </row>
    <row r="18761" customFormat="false" ht="12.8" hidden="false" customHeight="false" outlineLevel="0" collapsed="false">
      <c r="B18761" s="0" t="s">
        <v>7146</v>
      </c>
    </row>
    <row r="18763" customFormat="false" ht="12.8" hidden="false" customHeight="false" outlineLevel="0" collapsed="false">
      <c r="A18763" s="0" t="s">
        <v>7145</v>
      </c>
      <c r="B18763" s="0" t="str">
        <f aca="false">HYPERLINK("https://lindat.mff.cuni.cz/services/teitok/pdtc10/index.php?action=vallex&amp;frame=v-w2294f2", "navazovat (v-w2294f2) - substituted with v-w2294f7_ZU")</f>
        <v>navazovat (v-w2294f2) - substituted with v-w2294f7_ZU</v>
      </c>
    </row>
    <row r="18764" customFormat="false" ht="12.8" hidden="false" customHeight="false" outlineLevel="0" collapsed="false">
      <c r="B18764" s="0" t="s">
        <v>7</v>
      </c>
    </row>
    <row r="18765" customFormat="false" ht="12.8" hidden="false" customHeight="false" outlineLevel="0" collapsed="false">
      <c r="B18765" s="0" t="s">
        <v>7146</v>
      </c>
    </row>
    <row r="18767" customFormat="false" ht="12.8" hidden="false" customHeight="false" outlineLevel="0" collapsed="false">
      <c r="A18767" s="0" t="s">
        <v>7145</v>
      </c>
      <c r="B18767" s="0" t="str">
        <f aca="false">HYPERLINK("https://lindat.mff.cuni.cz/services/teitok/pdtc10/index.php?action=vallex&amp;frame=v-w2294f5_ZU", "navazovat (v-w2294f5_ZU) - substituted with v-w2294f7_ZU")</f>
        <v>navazovat (v-w2294f5_ZU) - substituted with v-w2294f7_ZU</v>
      </c>
    </row>
    <row r="18768" customFormat="false" ht="12.8" hidden="false" customHeight="false" outlineLevel="0" collapsed="false">
      <c r="B18768" s="0" t="s">
        <v>7</v>
      </c>
    </row>
    <row r="18769" customFormat="false" ht="12.8" hidden="false" customHeight="false" outlineLevel="0" collapsed="false">
      <c r="B18769" s="0" t="s">
        <v>7146</v>
      </c>
    </row>
    <row r="18771" customFormat="false" ht="12.8" hidden="false" customHeight="false" outlineLevel="0" collapsed="false">
      <c r="A18771" s="0" t="s">
        <v>7147</v>
      </c>
      <c r="B18771" s="0" t="str">
        <f aca="false">HYPERLINK("https://lindat.mff.cuni.cz/services/teitok/pdtc10/index.php?action=vallex&amp;frame=v-w2294f6_ZU", "navazovat (v-w2294f6_ZU)")</f>
        <v>navazovat (v-w2294f6_ZU)</v>
      </c>
    </row>
    <row r="18772" customFormat="false" ht="12.8" hidden="false" customHeight="false" outlineLevel="0" collapsed="false">
      <c r="B18772" s="0" t="s">
        <v>7</v>
      </c>
    </row>
    <row r="18773" customFormat="false" ht="12.8" hidden="false" customHeight="false" outlineLevel="0" collapsed="false">
      <c r="B18773" s="0" t="s">
        <v>14</v>
      </c>
    </row>
    <row r="18775" customFormat="false" ht="12.8" hidden="false" customHeight="false" outlineLevel="0" collapsed="false">
      <c r="A18775" s="0" t="s">
        <v>7148</v>
      </c>
      <c r="B18775" s="0" t="str">
        <f aca="false">HYPERLINK("https://lindat.mff.cuni.cz/services/teitok/pdtc10/index.php?action=vallex&amp;frame=v-whsa_1080f1_ZU", "navařit (v-whsa_1080f1_ZU)")</f>
        <v>navařit (v-whsa_1080f1_ZU)</v>
      </c>
    </row>
    <row r="18776" customFormat="false" ht="12.8" hidden="false" customHeight="false" outlineLevel="0" collapsed="false">
      <c r="B18776" s="0" t="s">
        <v>7</v>
      </c>
    </row>
    <row r="18777" customFormat="false" ht="12.8" hidden="false" customHeight="false" outlineLevel="0" collapsed="false">
      <c r="B18777" s="0" t="s">
        <v>4381</v>
      </c>
    </row>
    <row r="18778" customFormat="false" ht="12.8" hidden="false" customHeight="false" outlineLevel="0" collapsed="false">
      <c r="B18778" s="0" t="s">
        <v>35</v>
      </c>
    </row>
    <row r="18780" customFormat="false" ht="12.8" hidden="false" customHeight="false" outlineLevel="0" collapsed="false">
      <c r="A18780" s="0" t="s">
        <v>7148</v>
      </c>
      <c r="B18780" s="0" t="str">
        <f aca="false">HYPERLINK("https://lindat.mff.cuni.cz/services/teitok/pdtc10/index.php?action=vallex&amp;frame=v-whsa_1080hsa_1081", "navařit (v-whsa_1080hsa_1081) - substituted with v-whsa_1080f1_ZU")</f>
        <v>navařit (v-whsa_1080hsa_1081) - substituted with v-whsa_1080f1_ZU</v>
      </c>
    </row>
    <row r="18781" customFormat="false" ht="12.8" hidden="false" customHeight="false" outlineLevel="0" collapsed="false">
      <c r="B18781" s="0" t="s">
        <v>7</v>
      </c>
    </row>
    <row r="18782" customFormat="false" ht="12.8" hidden="false" customHeight="false" outlineLevel="0" collapsed="false">
      <c r="B18782" s="0" t="s">
        <v>4381</v>
      </c>
    </row>
    <row r="18783" customFormat="false" ht="12.8" hidden="false" customHeight="false" outlineLevel="0" collapsed="false">
      <c r="B18783" s="0" t="s">
        <v>35</v>
      </c>
    </row>
    <row r="18785" customFormat="false" ht="12.8" hidden="false" customHeight="false" outlineLevel="0" collapsed="false">
      <c r="A18785" s="0" t="s">
        <v>7149</v>
      </c>
      <c r="B18785" s="0" t="str">
        <f aca="false">HYPERLINK("https://lindat.mff.cuni.cz/services/teitok/pdtc10/index.php?action=vallex&amp;frame=v-whsa_1080f2_ZU", "navařit (v-whsa_1080f2_ZU)")</f>
        <v>navařit (v-whsa_1080f2_ZU)</v>
      </c>
    </row>
    <row r="18786" customFormat="false" ht="12.8" hidden="false" customHeight="false" outlineLevel="0" collapsed="false">
      <c r="B18786" s="0" t="s">
        <v>7</v>
      </c>
    </row>
    <row r="18787" customFormat="false" ht="12.8" hidden="false" customHeight="false" outlineLevel="0" collapsed="false">
      <c r="B18787" s="0" t="s">
        <v>14</v>
      </c>
    </row>
    <row r="18789" customFormat="false" ht="12.8" hidden="false" customHeight="false" outlineLevel="0" collapsed="false">
      <c r="A18789" s="0" t="s">
        <v>7150</v>
      </c>
      <c r="B18789" s="0" t="str">
        <f aca="false">HYPERLINK("https://lindat.mff.cuni.cz/services/teitok/pdtc10/index.php?action=vallex&amp;frame=v-w2297f1", "naverbovat (v-w2297f1)")</f>
        <v>naverbovat (v-w2297f1)</v>
      </c>
    </row>
    <row r="18790" customFormat="false" ht="12.8" hidden="false" customHeight="false" outlineLevel="0" collapsed="false">
      <c r="B18790" s="0" t="s">
        <v>7</v>
      </c>
    </row>
    <row r="18791" customFormat="false" ht="12.8" hidden="false" customHeight="false" outlineLevel="0" collapsed="false">
      <c r="B18791" s="0" t="s">
        <v>14</v>
      </c>
    </row>
    <row r="18793" customFormat="false" ht="12.8" hidden="false" customHeight="false" outlineLevel="0" collapsed="false">
      <c r="A18793" s="0" t="s">
        <v>7151</v>
      </c>
      <c r="B18793" s="0" t="str">
        <f aca="false">HYPERLINK("https://lindat.mff.cuni.cz/services/teitok/pdtc10/index.php?action=vallex&amp;frame=v-w2296f1", "navečeřet se (v-w2296f1)")</f>
        <v>navečeřet se (v-w2296f1)</v>
      </c>
    </row>
    <row r="18794" customFormat="false" ht="12.8" hidden="false" customHeight="false" outlineLevel="0" collapsed="false">
      <c r="B18794" s="0" t="s">
        <v>7</v>
      </c>
    </row>
    <row r="18796" customFormat="false" ht="12.8" hidden="false" customHeight="false" outlineLevel="0" collapsed="false">
      <c r="A18796" s="0" t="s">
        <v>7152</v>
      </c>
      <c r="B18796" s="0" t="str">
        <f aca="false">HYPERLINK("https://lindat.mff.cuni.cz/services/teitok/pdtc10/index.php?action=vallex&amp;frame=v-w11760_ZUf1_ZU", "navlhnout (v-w11760_ZUf1_ZU)")</f>
        <v>navlhnout (v-w11760_ZUf1_ZU)</v>
      </c>
    </row>
    <row r="18797" customFormat="false" ht="12.8" hidden="false" customHeight="false" outlineLevel="0" collapsed="false">
      <c r="B18797" s="0" t="s">
        <v>7</v>
      </c>
    </row>
    <row r="18799" customFormat="false" ht="12.8" hidden="false" customHeight="false" outlineLevel="0" collapsed="false">
      <c r="A18799" s="0" t="s">
        <v>7153</v>
      </c>
      <c r="B18799" s="0" t="str">
        <f aca="false">HYPERLINK("https://lindat.mff.cuni.cz/services/teitok/pdtc10/index.php?action=vallex&amp;frame=v-w11846_ZUf1_ZU", "navlékat (v-w11846_ZUf1_ZU)")</f>
        <v>navlékat (v-w11846_ZUf1_ZU)</v>
      </c>
    </row>
    <row r="18800" customFormat="false" ht="12.8" hidden="false" customHeight="false" outlineLevel="0" collapsed="false">
      <c r="B18800" s="0" t="s">
        <v>7</v>
      </c>
    </row>
    <row r="18801" customFormat="false" ht="12.8" hidden="false" customHeight="false" outlineLevel="0" collapsed="false">
      <c r="B18801" s="0" t="s">
        <v>14</v>
      </c>
    </row>
    <row r="18802" customFormat="false" ht="12.8" hidden="false" customHeight="false" outlineLevel="0" collapsed="false">
      <c r="B18802" s="0" t="s">
        <v>48</v>
      </c>
    </row>
    <row r="18804" customFormat="false" ht="12.8" hidden="false" customHeight="false" outlineLevel="0" collapsed="false">
      <c r="A18804" s="0" t="s">
        <v>7154</v>
      </c>
      <c r="B18804" s="0" t="str">
        <f aca="false">HYPERLINK("https://lindat.mff.cuni.cz/services/teitok/pdtc10/index.php?action=vallex&amp;frame=v-w11846_ZUf2_ZU", "navlékat (v-w11846_ZUf2_ZU)")</f>
        <v>navlékat (v-w11846_ZUf2_ZU)</v>
      </c>
    </row>
    <row r="18805" customFormat="false" ht="12.8" hidden="false" customHeight="false" outlineLevel="0" collapsed="false">
      <c r="B18805" s="0" t="s">
        <v>7</v>
      </c>
    </row>
    <row r="18806" customFormat="false" ht="12.8" hidden="false" customHeight="false" outlineLevel="0" collapsed="false">
      <c r="B18806" s="0" t="s">
        <v>14</v>
      </c>
    </row>
    <row r="18808" customFormat="false" ht="12.8" hidden="false" customHeight="false" outlineLevel="0" collapsed="false">
      <c r="A18808" s="0" t="s">
        <v>7155</v>
      </c>
      <c r="B18808" s="0" t="str">
        <f aca="false">HYPERLINK("https://lindat.mff.cuni.cz/services/teitok/pdtc10/index.php?action=vallex&amp;frame=v-w2298f1", "navléknout (v-w2298f1)")</f>
        <v>navléknout (v-w2298f1)</v>
      </c>
    </row>
    <row r="18809" customFormat="false" ht="12.8" hidden="false" customHeight="false" outlineLevel="0" collapsed="false">
      <c r="B18809" s="0" t="s">
        <v>7</v>
      </c>
    </row>
    <row r="18810" customFormat="false" ht="12.8" hidden="false" customHeight="false" outlineLevel="0" collapsed="false">
      <c r="B18810" s="0" t="s">
        <v>14</v>
      </c>
    </row>
    <row r="18811" customFormat="false" ht="12.8" hidden="false" customHeight="false" outlineLevel="0" collapsed="false">
      <c r="B18811" s="0" t="s">
        <v>48</v>
      </c>
    </row>
    <row r="18813" customFormat="false" ht="12.8" hidden="false" customHeight="false" outlineLevel="0" collapsed="false">
      <c r="A18813" s="0" t="s">
        <v>7156</v>
      </c>
      <c r="B18813" s="0" t="str">
        <f aca="false">HYPERLINK("https://lindat.mff.cuni.cz/services/teitok/pdtc10/index.php?action=vallex&amp;frame=v-w2298f2_ZU", "navléknout (v-w2298f2_ZU)")</f>
        <v>navléknout (v-w2298f2_ZU)</v>
      </c>
    </row>
    <row r="18814" customFormat="false" ht="12.8" hidden="false" customHeight="false" outlineLevel="0" collapsed="false">
      <c r="B18814" s="0" t="s">
        <v>7</v>
      </c>
    </row>
    <row r="18815" customFormat="false" ht="12.8" hidden="false" customHeight="false" outlineLevel="0" collapsed="false">
      <c r="B18815" s="0" t="s">
        <v>14</v>
      </c>
    </row>
    <row r="18816" customFormat="false" ht="12.8" hidden="false" customHeight="false" outlineLevel="0" collapsed="false">
      <c r="B18816" s="0" t="s">
        <v>181</v>
      </c>
    </row>
    <row r="18818" customFormat="false" ht="12.8" hidden="false" customHeight="false" outlineLevel="0" collapsed="false">
      <c r="A18818" s="0" t="s">
        <v>7157</v>
      </c>
      <c r="B18818" s="0" t="str">
        <f aca="false">HYPERLINK("https://lindat.mff.cuni.cz/services/teitok/pdtc10/index.php?action=vallex&amp;frame=v-w2298hsa_55", "navléknout (v-w2298hsa_55)")</f>
        <v>navléknout (v-w2298hsa_55)</v>
      </c>
    </row>
    <row r="18819" customFormat="false" ht="12.8" hidden="false" customHeight="false" outlineLevel="0" collapsed="false">
      <c r="B18819" s="0" t="s">
        <v>7</v>
      </c>
    </row>
    <row r="18820" customFormat="false" ht="12.8" hidden="false" customHeight="false" outlineLevel="0" collapsed="false">
      <c r="B18820" s="0" t="s">
        <v>14</v>
      </c>
    </row>
    <row r="18821" customFormat="false" ht="12.8" hidden="false" customHeight="false" outlineLevel="0" collapsed="false">
      <c r="B18821" s="0" t="s">
        <v>124</v>
      </c>
    </row>
    <row r="18823" customFormat="false" ht="12.8" hidden="false" customHeight="false" outlineLevel="0" collapsed="false">
      <c r="A18823" s="0" t="s">
        <v>7158</v>
      </c>
      <c r="B18823" s="0" t="str">
        <f aca="false">HYPERLINK("https://lindat.mff.cuni.cz/services/teitok/pdtc10/index.php?action=vallex&amp;frame=v-w12294_MMf1_MM", "navlíknout (v-w12294_MMf1_MM)")</f>
        <v>navlíknout (v-w12294_MMf1_MM)</v>
      </c>
    </row>
    <row r="18824" customFormat="false" ht="12.8" hidden="false" customHeight="false" outlineLevel="0" collapsed="false">
      <c r="B18824" s="0" t="s">
        <v>7</v>
      </c>
    </row>
    <row r="18825" customFormat="false" ht="12.8" hidden="false" customHeight="false" outlineLevel="0" collapsed="false">
      <c r="B18825" s="0" t="s">
        <v>14</v>
      </c>
    </row>
    <row r="18826" customFormat="false" ht="12.8" hidden="false" customHeight="false" outlineLevel="0" collapsed="false">
      <c r="B18826" s="0" t="s">
        <v>48</v>
      </c>
    </row>
    <row r="18828" customFormat="false" ht="12.8" hidden="false" customHeight="false" outlineLevel="0" collapsed="false">
      <c r="A18828" s="0" t="s">
        <v>7159</v>
      </c>
      <c r="B18828" s="0" t="str">
        <f aca="false">HYPERLINK("https://lindat.mff.cuni.cz/services/teitok/pdtc10/index.php?action=vallex&amp;frame=v-w12294_MMf2_MM", "navlíknout (v-w12294_MMf2_MM)")</f>
        <v>navlíknout (v-w12294_MMf2_MM)</v>
      </c>
    </row>
    <row r="18829" customFormat="false" ht="12.8" hidden="false" customHeight="false" outlineLevel="0" collapsed="false">
      <c r="B18829" s="0" t="s">
        <v>7</v>
      </c>
    </row>
    <row r="18830" customFormat="false" ht="12.8" hidden="false" customHeight="false" outlineLevel="0" collapsed="false">
      <c r="B18830" s="0" t="s">
        <v>14</v>
      </c>
    </row>
    <row r="18831" customFormat="false" ht="12.8" hidden="false" customHeight="false" outlineLevel="0" collapsed="false">
      <c r="B18831" s="0" t="s">
        <v>181</v>
      </c>
    </row>
    <row r="18833" customFormat="false" ht="12.8" hidden="false" customHeight="false" outlineLevel="0" collapsed="false">
      <c r="A18833" s="0" t="s">
        <v>7160</v>
      </c>
      <c r="B18833" s="0" t="str">
        <f aca="false">HYPERLINK("https://lindat.mff.cuni.cz/services/teitok/pdtc10/index.php?action=vallex&amp;frame=v-w12294_MMf3_MM", "navlíknout (v-w12294_MMf3_MM)")</f>
        <v>navlíknout (v-w12294_MMf3_MM)</v>
      </c>
    </row>
    <row r="18834" customFormat="false" ht="12.8" hidden="false" customHeight="false" outlineLevel="0" collapsed="false">
      <c r="B18834" s="0" t="s">
        <v>7</v>
      </c>
    </row>
    <row r="18835" customFormat="false" ht="12.8" hidden="false" customHeight="false" outlineLevel="0" collapsed="false">
      <c r="B18835" s="0" t="s">
        <v>14</v>
      </c>
    </row>
    <row r="18836" customFormat="false" ht="12.8" hidden="false" customHeight="false" outlineLevel="0" collapsed="false">
      <c r="B18836" s="0" t="s">
        <v>48</v>
      </c>
    </row>
    <row r="18838" customFormat="false" ht="12.8" hidden="false" customHeight="false" outlineLevel="0" collapsed="false">
      <c r="A18838" s="0" t="s">
        <v>7161</v>
      </c>
      <c r="B18838" s="0" t="str">
        <f aca="false">HYPERLINK("https://lindat.mff.cuni.cz/services/teitok/pdtc10/index.php?action=vallex&amp;frame=v-w2300f1", "navodit (v-w2300f1)")</f>
        <v>navodit (v-w2300f1)</v>
      </c>
    </row>
    <row r="18839" customFormat="false" ht="12.8" hidden="false" customHeight="false" outlineLevel="0" collapsed="false">
      <c r="B18839" s="0" t="s">
        <v>7</v>
      </c>
    </row>
    <row r="18840" customFormat="false" ht="12.8" hidden="false" customHeight="false" outlineLevel="0" collapsed="false">
      <c r="B18840" s="0" t="s">
        <v>14</v>
      </c>
    </row>
    <row r="18842" customFormat="false" ht="12.8" hidden="false" customHeight="false" outlineLevel="0" collapsed="false">
      <c r="A18842" s="0" t="s">
        <v>7162</v>
      </c>
      <c r="B18842" s="0" t="str">
        <f aca="false">HYPERLINK("https://lindat.mff.cuni.cz/services/teitok/pdtc10/index.php?action=vallex&amp;frame=v-w2300hsa_412", "navodit (v-w2300hsa_412)")</f>
        <v>navodit (v-w2300hsa_412)</v>
      </c>
    </row>
    <row r="18843" customFormat="false" ht="12.8" hidden="false" customHeight="false" outlineLevel="0" collapsed="false">
      <c r="B18843" s="0" t="s">
        <v>7</v>
      </c>
      <c r="C18843" s="0" t="s">
        <v>113</v>
      </c>
      <c r="D18843" s="0" t="s">
        <v>570</v>
      </c>
      <c r="E18843" s="0" t="s">
        <v>570</v>
      </c>
      <c r="F18843" s="0" t="s">
        <v>570</v>
      </c>
    </row>
    <row r="18844" customFormat="false" ht="12.8" hidden="false" customHeight="false" outlineLevel="0" collapsed="false">
      <c r="B18844" s="0" t="s">
        <v>7163</v>
      </c>
      <c r="C18844" s="0" t="s">
        <v>7164</v>
      </c>
      <c r="D18844" s="0" t="s">
        <v>573</v>
      </c>
      <c r="E18844" s="0" t="s">
        <v>573</v>
      </c>
      <c r="F18844" s="0" t="s">
        <v>573</v>
      </c>
    </row>
    <row r="18845" customFormat="false" ht="12.8" hidden="false" customHeight="false" outlineLevel="0" collapsed="false">
      <c r="B18845" s="0" t="s">
        <v>11</v>
      </c>
      <c r="D18845" s="0" t="s">
        <v>574</v>
      </c>
      <c r="E18845" s="0" t="s">
        <v>574</v>
      </c>
      <c r="F18845" s="0" t="s">
        <v>574</v>
      </c>
    </row>
    <row r="18847" customFormat="false" ht="12.8" hidden="false" customHeight="false" outlineLevel="0" collapsed="false">
      <c r="A18847" s="0" t="s">
        <v>7162</v>
      </c>
      <c r="B18847" s="0" t="str">
        <f aca="false">HYPERLINK("https://lindat.mff.cuni.cz/services/teitok/pdtc10/index.php?action=vallex&amp;frame=v-w2300f2", "navodit (v-w2300f2) - substituted with v-w2300hsa_412")</f>
        <v>navodit (v-w2300f2) - substituted with v-w2300hsa_412</v>
      </c>
    </row>
    <row r="18848" customFormat="false" ht="12.8" hidden="false" customHeight="false" outlineLevel="0" collapsed="false">
      <c r="B18848" s="0" t="s">
        <v>7</v>
      </c>
    </row>
    <row r="18849" customFormat="false" ht="12.8" hidden="false" customHeight="false" outlineLevel="0" collapsed="false">
      <c r="B18849" s="0" t="s">
        <v>7163</v>
      </c>
    </row>
    <row r="18850" customFormat="false" ht="12.8" hidden="false" customHeight="false" outlineLevel="0" collapsed="false">
      <c r="B18850" s="0" t="s">
        <v>11</v>
      </c>
    </row>
    <row r="18852" customFormat="false" ht="12.8" hidden="false" customHeight="false" outlineLevel="0" collapsed="false">
      <c r="A18852" s="0" t="s">
        <v>7165</v>
      </c>
      <c r="B18852" s="0" t="str">
        <f aca="false">HYPERLINK("https://lindat.mff.cuni.cz/services/teitok/pdtc10/index.php?action=vallex&amp;frame=v-w12296_MMf1_MM", "navonět (v-w12296_MMf1_MM)")</f>
        <v>navonět (v-w12296_MMf1_MM)</v>
      </c>
    </row>
    <row r="18853" customFormat="false" ht="12.8" hidden="false" customHeight="false" outlineLevel="0" collapsed="false">
      <c r="B18853" s="0" t="s">
        <v>7</v>
      </c>
    </row>
    <row r="18854" customFormat="false" ht="12.8" hidden="false" customHeight="false" outlineLevel="0" collapsed="false">
      <c r="B18854" s="0" t="s">
        <v>14</v>
      </c>
    </row>
    <row r="18856" customFormat="false" ht="12.8" hidden="false" customHeight="false" outlineLevel="0" collapsed="false">
      <c r="A18856" s="0" t="s">
        <v>7166</v>
      </c>
      <c r="B18856" s="0" t="str">
        <f aca="false">HYPERLINK("https://lindat.mff.cuni.cz/services/teitok/pdtc10/index.php?action=vallex&amp;frame=v-w12258_ZUf1_ZU", "navozit (v-w12258_ZUf1_ZU)")</f>
        <v>navozit (v-w12258_ZUf1_ZU)</v>
      </c>
    </row>
    <row r="18857" customFormat="false" ht="12.8" hidden="false" customHeight="false" outlineLevel="0" collapsed="false">
      <c r="B18857" s="0" t="s">
        <v>7</v>
      </c>
    </row>
    <row r="18858" customFormat="false" ht="12.8" hidden="false" customHeight="false" outlineLevel="0" collapsed="false">
      <c r="B18858" s="0" t="s">
        <v>14</v>
      </c>
    </row>
    <row r="18860" customFormat="false" ht="12.8" hidden="false" customHeight="false" outlineLevel="0" collapsed="false">
      <c r="A18860" s="0" t="s">
        <v>7167</v>
      </c>
      <c r="B18860" s="0" t="str">
        <f aca="false">HYPERLINK("https://lindat.mff.cuni.cz/services/teitok/pdtc10/index.php?action=vallex&amp;frame=v-w2301hsa_707", "navozovat (v-w2301hsa_707)")</f>
        <v>navozovat (v-w2301hsa_707)</v>
      </c>
    </row>
    <row r="18861" customFormat="false" ht="12.8" hidden="false" customHeight="false" outlineLevel="0" collapsed="false">
      <c r="B18861" s="0" t="s">
        <v>7</v>
      </c>
      <c r="C18861" s="0" t="s">
        <v>113</v>
      </c>
      <c r="D18861" s="0" t="s">
        <v>570</v>
      </c>
      <c r="E18861" s="0" t="s">
        <v>570</v>
      </c>
      <c r="F18861" s="0" t="s">
        <v>570</v>
      </c>
    </row>
    <row r="18862" customFormat="false" ht="12.8" hidden="false" customHeight="false" outlineLevel="0" collapsed="false">
      <c r="B18862" s="0" t="s">
        <v>7168</v>
      </c>
      <c r="C18862" s="0" t="s">
        <v>7164</v>
      </c>
      <c r="D18862" s="0" t="s">
        <v>573</v>
      </c>
      <c r="E18862" s="0" t="s">
        <v>573</v>
      </c>
      <c r="F18862" s="0" t="s">
        <v>573</v>
      </c>
    </row>
    <row r="18863" customFormat="false" ht="12.8" hidden="false" customHeight="false" outlineLevel="0" collapsed="false">
      <c r="B18863" s="0" t="s">
        <v>11</v>
      </c>
      <c r="D18863" s="0" t="s">
        <v>574</v>
      </c>
      <c r="E18863" s="0" t="s">
        <v>574</v>
      </c>
      <c r="F18863" s="0" t="s">
        <v>574</v>
      </c>
    </row>
    <row r="18865" customFormat="false" ht="12.8" hidden="false" customHeight="false" outlineLevel="0" collapsed="false">
      <c r="A18865" s="0" t="s">
        <v>7167</v>
      </c>
      <c r="B18865" s="0" t="str">
        <f aca="false">HYPERLINK("https://lindat.mff.cuni.cz/services/teitok/pdtc10/index.php?action=vallex&amp;frame=v-w2301f1", "navozovat (v-w2301f1) - substituted with v-w2301hsa_707")</f>
        <v>navozovat (v-w2301f1) - substituted with v-w2301hsa_707</v>
      </c>
    </row>
    <row r="18866" customFormat="false" ht="12.8" hidden="false" customHeight="false" outlineLevel="0" collapsed="false">
      <c r="B18866" s="0" t="s">
        <v>7</v>
      </c>
    </row>
    <row r="18867" customFormat="false" ht="12.8" hidden="false" customHeight="false" outlineLevel="0" collapsed="false">
      <c r="B18867" s="0" t="s">
        <v>7168</v>
      </c>
    </row>
    <row r="18868" customFormat="false" ht="12.8" hidden="false" customHeight="false" outlineLevel="0" collapsed="false">
      <c r="B18868" s="0" t="s">
        <v>11</v>
      </c>
    </row>
    <row r="18870" customFormat="false" ht="12.8" hidden="false" customHeight="false" outlineLevel="0" collapsed="false">
      <c r="A18870" s="0" t="s">
        <v>7169</v>
      </c>
      <c r="B18870" s="0" t="str">
        <f aca="false">HYPERLINK("https://lindat.mff.cuni.cz/services/teitok/pdtc10/index.php?action=vallex&amp;frame=v-w2304f1", "navracet (v-w2304f1)")</f>
        <v>navracet (v-w2304f1)</v>
      </c>
    </row>
    <row r="18871" customFormat="false" ht="12.8" hidden="false" customHeight="false" outlineLevel="0" collapsed="false">
      <c r="B18871" s="0" t="s">
        <v>7</v>
      </c>
      <c r="D18871" s="0" t="s">
        <v>4161</v>
      </c>
      <c r="E18871" s="0" t="s">
        <v>4161</v>
      </c>
      <c r="F18871" s="0" t="s">
        <v>4161</v>
      </c>
    </row>
    <row r="18872" customFormat="false" ht="12.8" hidden="false" customHeight="false" outlineLevel="0" collapsed="false">
      <c r="B18872" s="0" t="s">
        <v>14</v>
      </c>
      <c r="D18872" s="0" t="s">
        <v>7170</v>
      </c>
      <c r="E18872" s="0" t="s">
        <v>7170</v>
      </c>
      <c r="F18872" s="0" t="s">
        <v>7170</v>
      </c>
    </row>
    <row r="18873" customFormat="false" ht="12.8" hidden="false" customHeight="false" outlineLevel="0" collapsed="false">
      <c r="B18873" s="0" t="s">
        <v>48</v>
      </c>
      <c r="D18873" s="0" t="s">
        <v>7171</v>
      </c>
      <c r="E18873" s="0" t="s">
        <v>7171</v>
      </c>
      <c r="F18873" s="0" t="s">
        <v>7171</v>
      </c>
    </row>
    <row r="18875" customFormat="false" ht="12.8" hidden="false" customHeight="false" outlineLevel="0" collapsed="false">
      <c r="A18875" s="0" t="s">
        <v>7172</v>
      </c>
      <c r="B18875" s="0" t="str">
        <f aca="false">HYPERLINK("https://lindat.mff.cuni.cz/services/teitok/pdtc10/index.php?action=vallex&amp;frame=v-w2304f2", "navracet (v-w2304f2)")</f>
        <v>navracet (v-w2304f2)</v>
      </c>
    </row>
    <row r="18876" customFormat="false" ht="12.8" hidden="false" customHeight="false" outlineLevel="0" collapsed="false">
      <c r="B18876" s="0" t="s">
        <v>7</v>
      </c>
      <c r="D18876" s="0" t="s">
        <v>7173</v>
      </c>
      <c r="E18876" s="0" t="s">
        <v>7173</v>
      </c>
      <c r="F18876" s="0" t="s">
        <v>7173</v>
      </c>
    </row>
    <row r="18877" customFormat="false" ht="12.8" hidden="false" customHeight="false" outlineLevel="0" collapsed="false">
      <c r="B18877" s="0" t="s">
        <v>14</v>
      </c>
      <c r="D18877" s="0" t="s">
        <v>7174</v>
      </c>
      <c r="E18877" s="0" t="s">
        <v>7174</v>
      </c>
      <c r="F18877" s="0" t="s">
        <v>7174</v>
      </c>
    </row>
    <row r="18878" customFormat="false" ht="12.8" hidden="false" customHeight="false" outlineLevel="0" collapsed="false">
      <c r="B18878" s="0" t="s">
        <v>124</v>
      </c>
      <c r="D18878" s="0" t="s">
        <v>7175</v>
      </c>
      <c r="E18878" s="0" t="s">
        <v>7175</v>
      </c>
      <c r="F18878" s="0" t="s">
        <v>7175</v>
      </c>
    </row>
    <row r="18880" customFormat="false" ht="12.8" hidden="false" customHeight="false" outlineLevel="0" collapsed="false">
      <c r="A18880" s="0" t="s">
        <v>7176</v>
      </c>
      <c r="B18880" s="0" t="str">
        <f aca="false">HYPERLINK("https://lindat.mff.cuni.cz/services/teitok/pdtc10/index.php?action=vallex&amp;frame=v-w11352f1", "navracet se (v-w11352f1)")</f>
        <v>navracet se (v-w11352f1)</v>
      </c>
    </row>
    <row r="18881" customFormat="false" ht="12.8" hidden="false" customHeight="false" outlineLevel="0" collapsed="false">
      <c r="B18881" s="0" t="s">
        <v>7</v>
      </c>
      <c r="C18881" s="0" t="s">
        <v>7177</v>
      </c>
      <c r="D18881" s="0" t="s">
        <v>7178</v>
      </c>
      <c r="E18881" s="0" t="s">
        <v>7178</v>
      </c>
      <c r="F18881" s="0" t="s">
        <v>7178</v>
      </c>
    </row>
    <row r="18882" customFormat="false" ht="12.8" hidden="false" customHeight="false" outlineLevel="0" collapsed="false">
      <c r="B18882" s="0" t="s">
        <v>279</v>
      </c>
      <c r="D18882" s="0" t="s">
        <v>7179</v>
      </c>
      <c r="E18882" s="0" t="s">
        <v>7179</v>
      </c>
      <c r="F18882" s="0" t="s">
        <v>7179</v>
      </c>
    </row>
    <row r="18884" customFormat="false" ht="12.8" hidden="false" customHeight="false" outlineLevel="0" collapsed="false">
      <c r="A18884" s="0" t="s">
        <v>7180</v>
      </c>
      <c r="B18884" s="0" t="str">
        <f aca="false">HYPERLINK("https://lindat.mff.cuni.cz/services/teitok/pdtc10/index.php?action=vallex&amp;frame=v-w11352f2", "navracet se (v-w11352f2)")</f>
        <v>navracet se (v-w11352f2)</v>
      </c>
    </row>
    <row r="18885" customFormat="false" ht="12.8" hidden="false" customHeight="false" outlineLevel="0" collapsed="false">
      <c r="B18885" s="0" t="s">
        <v>7</v>
      </c>
      <c r="C18885" s="0" t="s">
        <v>2431</v>
      </c>
      <c r="D18885" s="0" t="s">
        <v>1705</v>
      </c>
      <c r="E18885" s="0" t="s">
        <v>1706</v>
      </c>
      <c r="F18885" s="0" t="s">
        <v>1706</v>
      </c>
    </row>
    <row r="18886" customFormat="false" ht="12.8" hidden="false" customHeight="false" outlineLevel="0" collapsed="false">
      <c r="B18886" s="0" t="s">
        <v>338</v>
      </c>
      <c r="D18886" s="0" t="s">
        <v>1707</v>
      </c>
      <c r="E18886" s="0" t="s">
        <v>1707</v>
      </c>
      <c r="F18886" s="0" t="s">
        <v>1707</v>
      </c>
    </row>
    <row r="18888" customFormat="false" ht="12.8" hidden="false" customHeight="false" outlineLevel="0" collapsed="false">
      <c r="A18888" s="0" t="s">
        <v>7181</v>
      </c>
      <c r="B18888" s="0" t="str">
        <f aca="false">HYPERLINK("https://lindat.mff.cuni.cz/services/teitok/pdtc10/index.php?action=vallex&amp;frame=v-w2310f1", "navrhnout (v-w2310f1)")</f>
        <v>navrhnout (v-w2310f1)</v>
      </c>
    </row>
    <row r="18889" customFormat="false" ht="12.8" hidden="false" customHeight="false" outlineLevel="0" collapsed="false">
      <c r="B18889" s="0" t="s">
        <v>7</v>
      </c>
      <c r="C18889" s="0" t="s">
        <v>7182</v>
      </c>
      <c r="D18889" s="0" t="s">
        <v>1604</v>
      </c>
      <c r="E18889" s="0" t="s">
        <v>1604</v>
      </c>
      <c r="F18889" s="0" t="s">
        <v>1604</v>
      </c>
    </row>
    <row r="18890" customFormat="false" ht="12.8" hidden="false" customHeight="false" outlineLevel="0" collapsed="false">
      <c r="B18890" s="0" t="s">
        <v>7183</v>
      </c>
      <c r="C18890" s="0" t="s">
        <v>7184</v>
      </c>
      <c r="D18890" s="0" t="s">
        <v>2139</v>
      </c>
      <c r="E18890" s="0" t="s">
        <v>2139</v>
      </c>
      <c r="F18890" s="0" t="s">
        <v>2139</v>
      </c>
    </row>
    <row r="18891" customFormat="false" ht="12.8" hidden="false" customHeight="false" outlineLevel="0" collapsed="false">
      <c r="B18891" s="0" t="s">
        <v>48</v>
      </c>
      <c r="C18891" s="0" t="s">
        <v>7185</v>
      </c>
      <c r="D18891" s="0" t="s">
        <v>7186</v>
      </c>
      <c r="E18891" s="0" t="s">
        <v>7186</v>
      </c>
      <c r="F18891" s="0" t="s">
        <v>7186</v>
      </c>
    </row>
    <row r="18893" customFormat="false" ht="12.8" hidden="false" customHeight="false" outlineLevel="0" collapsed="false">
      <c r="A18893" s="0" t="s">
        <v>7187</v>
      </c>
      <c r="B18893" s="0" t="str">
        <f aca="false">HYPERLINK("https://lindat.mff.cuni.cz/services/teitok/pdtc10/index.php?action=vallex&amp;frame=v-w2310f2", "navrhnout (v-w2310f2)")</f>
        <v>navrhnout (v-w2310f2)</v>
      </c>
    </row>
    <row r="18894" customFormat="false" ht="12.8" hidden="false" customHeight="false" outlineLevel="0" collapsed="false">
      <c r="B18894" s="0" t="s">
        <v>7</v>
      </c>
      <c r="C18894" s="0" t="s">
        <v>7188</v>
      </c>
      <c r="D18894" s="0" t="s">
        <v>1604</v>
      </c>
      <c r="E18894" s="0" t="s">
        <v>1604</v>
      </c>
      <c r="F18894" s="0" t="s">
        <v>1604</v>
      </c>
    </row>
    <row r="18895" customFormat="false" ht="12.8" hidden="false" customHeight="false" outlineLevel="0" collapsed="false">
      <c r="B18895" s="0" t="s">
        <v>14</v>
      </c>
      <c r="C18895" s="0" t="s">
        <v>7189</v>
      </c>
      <c r="D18895" s="0" t="s">
        <v>2139</v>
      </c>
      <c r="E18895" s="0" t="s">
        <v>2139</v>
      </c>
      <c r="F18895" s="0" t="s">
        <v>2139</v>
      </c>
    </row>
    <row r="18896" customFormat="false" ht="12.8" hidden="false" customHeight="false" outlineLevel="0" collapsed="false">
      <c r="B18896" s="0" t="s">
        <v>106</v>
      </c>
      <c r="C18896" s="0" t="s">
        <v>7190</v>
      </c>
      <c r="D18896" s="0" t="s">
        <v>7186</v>
      </c>
      <c r="E18896" s="0" t="s">
        <v>7186</v>
      </c>
      <c r="F18896" s="0" t="s">
        <v>7186</v>
      </c>
    </row>
    <row r="18898" customFormat="false" ht="12.8" hidden="false" customHeight="false" outlineLevel="0" collapsed="false">
      <c r="A18898" s="0" t="s">
        <v>7191</v>
      </c>
      <c r="B18898" s="0" t="str">
        <f aca="false">HYPERLINK("https://lindat.mff.cuni.cz/services/teitok/pdtc10/index.php?action=vallex&amp;frame=v-w2310f4", "navrhnout (v-w2310f4)")</f>
        <v>navrhnout (v-w2310f4)</v>
      </c>
    </row>
    <row r="18899" customFormat="false" ht="12.8" hidden="false" customHeight="false" outlineLevel="0" collapsed="false">
      <c r="B18899" s="0" t="s">
        <v>7</v>
      </c>
      <c r="C18899" s="0" t="s">
        <v>113</v>
      </c>
      <c r="D18899" s="0" t="s">
        <v>113</v>
      </c>
      <c r="E18899" s="0" t="s">
        <v>113</v>
      </c>
      <c r="F18899" s="0" t="s">
        <v>113</v>
      </c>
    </row>
    <row r="18900" customFormat="false" ht="12.8" hidden="false" customHeight="false" outlineLevel="0" collapsed="false">
      <c r="B18900" s="0" t="s">
        <v>14</v>
      </c>
      <c r="C18900" s="0" t="s">
        <v>78</v>
      </c>
      <c r="D18900" s="0" t="s">
        <v>78</v>
      </c>
      <c r="E18900" s="0" t="s">
        <v>78</v>
      </c>
      <c r="F18900" s="0" t="s">
        <v>78</v>
      </c>
    </row>
    <row r="18901" customFormat="false" ht="12.8" hidden="false" customHeight="false" outlineLevel="0" collapsed="false">
      <c r="B18901" s="0" t="s">
        <v>7192</v>
      </c>
    </row>
    <row r="18903" customFormat="false" ht="12.8" hidden="false" customHeight="false" outlineLevel="0" collapsed="false">
      <c r="A18903" s="0" t="s">
        <v>7193</v>
      </c>
      <c r="B18903" s="0" t="str">
        <f aca="false">HYPERLINK("https://lindat.mff.cuni.cz/services/teitok/pdtc10/index.php?action=vallex&amp;frame=v-w2310f3", "navrhnout (v-w2310f3)")</f>
        <v>navrhnout (v-w2310f3)</v>
      </c>
    </row>
    <row r="18904" customFormat="false" ht="12.8" hidden="false" customHeight="false" outlineLevel="0" collapsed="false">
      <c r="B18904" s="0" t="s">
        <v>7</v>
      </c>
      <c r="C18904" s="0" t="s">
        <v>7194</v>
      </c>
      <c r="D18904" s="0" t="s">
        <v>4771</v>
      </c>
      <c r="E18904" s="0" t="s">
        <v>4771</v>
      </c>
      <c r="F18904" s="0" t="s">
        <v>4771</v>
      </c>
    </row>
    <row r="18905" customFormat="false" ht="12.8" hidden="false" customHeight="false" outlineLevel="0" collapsed="false">
      <c r="B18905" s="0" t="s">
        <v>14</v>
      </c>
      <c r="C18905" s="0" t="s">
        <v>7195</v>
      </c>
      <c r="D18905" s="0" t="s">
        <v>4773</v>
      </c>
      <c r="E18905" s="0" t="s">
        <v>4773</v>
      </c>
      <c r="F18905" s="0" t="s">
        <v>4773</v>
      </c>
    </row>
    <row r="18907" customFormat="false" ht="12.8" hidden="false" customHeight="false" outlineLevel="0" collapsed="false">
      <c r="A18907" s="0" t="s">
        <v>7196</v>
      </c>
      <c r="B18907" s="0" t="str">
        <f aca="false">HYPERLINK("https://lindat.mff.cuni.cz/services/teitok/pdtc10/index.php?action=vallex&amp;frame=v-w2313f1", "navrhovat (v-w2313f1)")</f>
        <v>navrhovat (v-w2313f1)</v>
      </c>
    </row>
    <row r="18908" customFormat="false" ht="12.8" hidden="false" customHeight="false" outlineLevel="0" collapsed="false">
      <c r="B18908" s="0" t="s">
        <v>7</v>
      </c>
      <c r="C18908" s="0" t="s">
        <v>7197</v>
      </c>
      <c r="D18908" s="0" t="s">
        <v>1604</v>
      </c>
      <c r="E18908" s="0" t="s">
        <v>1604</v>
      </c>
      <c r="F18908" s="0" t="s">
        <v>1604</v>
      </c>
    </row>
    <row r="18909" customFormat="false" ht="12.8" hidden="false" customHeight="false" outlineLevel="0" collapsed="false">
      <c r="B18909" s="0" t="s">
        <v>7183</v>
      </c>
      <c r="C18909" s="0" t="s">
        <v>7198</v>
      </c>
      <c r="D18909" s="0" t="s">
        <v>2139</v>
      </c>
      <c r="E18909" s="0" t="s">
        <v>2139</v>
      </c>
      <c r="F18909" s="0" t="s">
        <v>2139</v>
      </c>
    </row>
    <row r="18910" customFormat="false" ht="12.8" hidden="false" customHeight="false" outlineLevel="0" collapsed="false">
      <c r="B18910" s="0" t="s">
        <v>48</v>
      </c>
      <c r="C18910" s="0" t="s">
        <v>7199</v>
      </c>
      <c r="D18910" s="0" t="s">
        <v>7186</v>
      </c>
      <c r="E18910" s="0" t="s">
        <v>7186</v>
      </c>
      <c r="F18910" s="0" t="s">
        <v>7186</v>
      </c>
    </row>
    <row r="18912" customFormat="false" ht="12.8" hidden="false" customHeight="false" outlineLevel="0" collapsed="false">
      <c r="A18912" s="0" t="s">
        <v>7200</v>
      </c>
      <c r="B18912" s="0" t="str">
        <f aca="false">HYPERLINK("https://lindat.mff.cuni.cz/services/teitok/pdtc10/index.php?action=vallex&amp;frame=v-w2313f2", "navrhovat (v-w2313f2)")</f>
        <v>navrhovat (v-w2313f2)</v>
      </c>
    </row>
    <row r="18913" customFormat="false" ht="12.8" hidden="false" customHeight="false" outlineLevel="0" collapsed="false">
      <c r="B18913" s="0" t="s">
        <v>7</v>
      </c>
      <c r="C18913" s="0" t="s">
        <v>3303</v>
      </c>
      <c r="D18913" s="0" t="s">
        <v>1604</v>
      </c>
      <c r="E18913" s="0" t="s">
        <v>1604</v>
      </c>
      <c r="F18913" s="0" t="s">
        <v>1604</v>
      </c>
    </row>
    <row r="18914" customFormat="false" ht="12.8" hidden="false" customHeight="false" outlineLevel="0" collapsed="false">
      <c r="B18914" s="0" t="s">
        <v>14</v>
      </c>
      <c r="C18914" s="0" t="s">
        <v>7201</v>
      </c>
      <c r="D18914" s="0" t="s">
        <v>2139</v>
      </c>
      <c r="E18914" s="0" t="s">
        <v>2139</v>
      </c>
      <c r="F18914" s="0" t="s">
        <v>2139</v>
      </c>
    </row>
    <row r="18915" customFormat="false" ht="12.8" hidden="false" customHeight="false" outlineLevel="0" collapsed="false">
      <c r="B18915" s="0" t="s">
        <v>106</v>
      </c>
      <c r="C18915" s="0" t="s">
        <v>7202</v>
      </c>
      <c r="D18915" s="0" t="s">
        <v>7186</v>
      </c>
      <c r="E18915" s="0" t="s">
        <v>7186</v>
      </c>
      <c r="F18915" s="0" t="s">
        <v>7186</v>
      </c>
    </row>
    <row r="18917" customFormat="false" ht="12.8" hidden="false" customHeight="false" outlineLevel="0" collapsed="false">
      <c r="A18917" s="0" t="s">
        <v>7203</v>
      </c>
      <c r="B18917" s="0" t="str">
        <f aca="false">HYPERLINK("https://lindat.mff.cuni.cz/services/teitok/pdtc10/index.php?action=vallex&amp;frame=v-w2313f4", "navrhovat (v-w2313f4)")</f>
        <v>navrhovat (v-w2313f4)</v>
      </c>
    </row>
    <row r="18918" customFormat="false" ht="12.8" hidden="false" customHeight="false" outlineLevel="0" collapsed="false">
      <c r="B18918" s="0" t="s">
        <v>7</v>
      </c>
      <c r="D18918" s="0" t="s">
        <v>113</v>
      </c>
      <c r="E18918" s="0" t="s">
        <v>113</v>
      </c>
      <c r="F18918" s="0" t="s">
        <v>113</v>
      </c>
    </row>
    <row r="18919" customFormat="false" ht="12.8" hidden="false" customHeight="false" outlineLevel="0" collapsed="false">
      <c r="B18919" s="0" t="s">
        <v>14</v>
      </c>
      <c r="D18919" s="0" t="s">
        <v>78</v>
      </c>
      <c r="E18919" s="0" t="s">
        <v>78</v>
      </c>
      <c r="F18919" s="0" t="s">
        <v>78</v>
      </c>
    </row>
    <row r="18920" customFormat="false" ht="12.8" hidden="false" customHeight="false" outlineLevel="0" collapsed="false">
      <c r="B18920" s="0" t="s">
        <v>84</v>
      </c>
    </row>
    <row r="18922" customFormat="false" ht="12.8" hidden="false" customHeight="false" outlineLevel="0" collapsed="false">
      <c r="A18922" s="0" t="s">
        <v>7204</v>
      </c>
      <c r="B18922" s="0" t="str">
        <f aca="false">HYPERLINK("https://lindat.mff.cuni.cz/services/teitok/pdtc10/index.php?action=vallex&amp;frame=v-w2313f3", "navrhovat (v-w2313f3)")</f>
        <v>navrhovat (v-w2313f3)</v>
      </c>
    </row>
    <row r="18923" customFormat="false" ht="12.8" hidden="false" customHeight="false" outlineLevel="0" collapsed="false">
      <c r="B18923" s="0" t="s">
        <v>7</v>
      </c>
      <c r="C18923" s="0" t="s">
        <v>7205</v>
      </c>
      <c r="D18923" s="0" t="s">
        <v>4771</v>
      </c>
      <c r="E18923" s="0" t="s">
        <v>4771</v>
      </c>
      <c r="F18923" s="0" t="s">
        <v>4771</v>
      </c>
    </row>
    <row r="18924" customFormat="false" ht="12.8" hidden="false" customHeight="false" outlineLevel="0" collapsed="false">
      <c r="B18924" s="0" t="s">
        <v>14</v>
      </c>
      <c r="C18924" s="0" t="s">
        <v>7206</v>
      </c>
      <c r="D18924" s="0" t="s">
        <v>4773</v>
      </c>
      <c r="E18924" s="0" t="s">
        <v>4773</v>
      </c>
      <c r="F18924" s="0" t="s">
        <v>4773</v>
      </c>
    </row>
    <row r="18926" customFormat="false" ht="12.8" hidden="false" customHeight="false" outlineLevel="0" collapsed="false">
      <c r="A18926" s="0" t="s">
        <v>7207</v>
      </c>
      <c r="B18926" s="0" t="str">
        <f aca="false">HYPERLINK("https://lindat.mff.cuni.cz/services/teitok/pdtc10/index.php?action=vallex&amp;frame=v-w10515f2", "navrtat (v-w10515f2)")</f>
        <v>navrtat (v-w10515f2)</v>
      </c>
    </row>
    <row r="18927" customFormat="false" ht="12.8" hidden="false" customHeight="false" outlineLevel="0" collapsed="false">
      <c r="B18927" s="0" t="s">
        <v>7</v>
      </c>
    </row>
    <row r="18928" customFormat="false" ht="12.8" hidden="false" customHeight="false" outlineLevel="0" collapsed="false">
      <c r="B18928" s="0" t="s">
        <v>14</v>
      </c>
    </row>
    <row r="18930" customFormat="false" ht="12.8" hidden="false" customHeight="false" outlineLevel="0" collapsed="false">
      <c r="A18930" s="0" t="s">
        <v>7208</v>
      </c>
      <c r="B18930" s="0" t="str">
        <f aca="false">HYPERLINK("https://lindat.mff.cuni.cz/services/teitok/pdtc10/index.php?action=vallex&amp;frame=v-whsa_925hsa_926", "navrtávat (v-whsa_925hsa_926)")</f>
        <v>navrtávat (v-whsa_925hsa_926)</v>
      </c>
    </row>
    <row r="18931" customFormat="false" ht="12.8" hidden="false" customHeight="false" outlineLevel="0" collapsed="false">
      <c r="B18931" s="0" t="s">
        <v>7</v>
      </c>
    </row>
    <row r="18932" customFormat="false" ht="12.8" hidden="false" customHeight="false" outlineLevel="0" collapsed="false">
      <c r="B18932" s="0" t="s">
        <v>14</v>
      </c>
    </row>
    <row r="18934" customFormat="false" ht="12.8" hidden="false" customHeight="false" outlineLevel="0" collapsed="false">
      <c r="A18934" s="0" t="s">
        <v>7209</v>
      </c>
      <c r="B18934" s="0" t="str">
        <f aca="false">HYPERLINK("https://lindat.mff.cuni.cz/services/teitok/pdtc10/index.php?action=vallex&amp;frame=v-w2306f1", "navrátit (v-w2306f1)")</f>
        <v>navrátit (v-w2306f1)</v>
      </c>
    </row>
    <row r="18935" customFormat="false" ht="12.8" hidden="false" customHeight="false" outlineLevel="0" collapsed="false">
      <c r="B18935" s="0" t="s">
        <v>7</v>
      </c>
      <c r="C18935" s="0" t="s">
        <v>3664</v>
      </c>
      <c r="D18935" s="0" t="s">
        <v>4161</v>
      </c>
      <c r="E18935" s="0" t="s">
        <v>4161</v>
      </c>
      <c r="F18935" s="0" t="s">
        <v>4161</v>
      </c>
    </row>
    <row r="18936" customFormat="false" ht="12.8" hidden="false" customHeight="false" outlineLevel="0" collapsed="false">
      <c r="B18936" s="0" t="s">
        <v>14</v>
      </c>
      <c r="C18936" s="0" t="s">
        <v>7210</v>
      </c>
      <c r="D18936" s="0" t="s">
        <v>7170</v>
      </c>
      <c r="E18936" s="0" t="s">
        <v>7170</v>
      </c>
      <c r="F18936" s="0" t="s">
        <v>7170</v>
      </c>
    </row>
    <row r="18937" customFormat="false" ht="12.8" hidden="false" customHeight="false" outlineLevel="0" collapsed="false">
      <c r="B18937" s="0" t="s">
        <v>48</v>
      </c>
      <c r="C18937" s="0" t="s">
        <v>7171</v>
      </c>
      <c r="D18937" s="0" t="s">
        <v>7171</v>
      </c>
      <c r="E18937" s="0" t="s">
        <v>7171</v>
      </c>
      <c r="F18937" s="0" t="s">
        <v>7171</v>
      </c>
    </row>
    <row r="18939" customFormat="false" ht="12.8" hidden="false" customHeight="false" outlineLevel="0" collapsed="false">
      <c r="A18939" s="0" t="s">
        <v>7211</v>
      </c>
      <c r="B18939" s="0" t="str">
        <f aca="false">HYPERLINK("https://lindat.mff.cuni.cz/services/teitok/pdtc10/index.php?action=vallex&amp;frame=v-w2306f2", "navrátit (v-w2306f2)")</f>
        <v>navrátit (v-w2306f2)</v>
      </c>
    </row>
    <row r="18940" customFormat="false" ht="12.8" hidden="false" customHeight="false" outlineLevel="0" collapsed="false">
      <c r="B18940" s="0" t="s">
        <v>7</v>
      </c>
      <c r="C18940" s="0" t="s">
        <v>460</v>
      </c>
      <c r="D18940" s="0" t="s">
        <v>7173</v>
      </c>
      <c r="E18940" s="0" t="s">
        <v>7173</v>
      </c>
      <c r="F18940" s="0" t="s">
        <v>7173</v>
      </c>
    </row>
    <row r="18941" customFormat="false" ht="12.8" hidden="false" customHeight="false" outlineLevel="0" collapsed="false">
      <c r="B18941" s="0" t="s">
        <v>14</v>
      </c>
      <c r="C18941" s="0" t="s">
        <v>6697</v>
      </c>
      <c r="D18941" s="0" t="s">
        <v>7174</v>
      </c>
      <c r="E18941" s="0" t="s">
        <v>7174</v>
      </c>
      <c r="F18941" s="0" t="s">
        <v>7174</v>
      </c>
    </row>
    <row r="18942" customFormat="false" ht="12.8" hidden="false" customHeight="false" outlineLevel="0" collapsed="false">
      <c r="B18942" s="0" t="s">
        <v>124</v>
      </c>
      <c r="C18942" s="0" t="s">
        <v>7212</v>
      </c>
      <c r="D18942" s="0" t="s">
        <v>7175</v>
      </c>
      <c r="E18942" s="0" t="s">
        <v>7175</v>
      </c>
      <c r="F18942" s="0" t="s">
        <v>7175</v>
      </c>
    </row>
    <row r="18944" customFormat="false" ht="12.8" hidden="false" customHeight="false" outlineLevel="0" collapsed="false">
      <c r="A18944" s="0" t="s">
        <v>7213</v>
      </c>
      <c r="B18944" s="0" t="str">
        <f aca="false">HYPERLINK("https://lindat.mff.cuni.cz/services/teitok/pdtc10/index.php?action=vallex&amp;frame=v-w11525_ZUf1_ZU", "navrátit se (v-w11525_ZUf1_ZU)")</f>
        <v>navrátit se (v-w11525_ZUf1_ZU)</v>
      </c>
    </row>
    <row r="18945" customFormat="false" ht="12.8" hidden="false" customHeight="false" outlineLevel="0" collapsed="false">
      <c r="B18945" s="0" t="s">
        <v>7</v>
      </c>
      <c r="C18945" s="0" t="s">
        <v>4445</v>
      </c>
    </row>
    <row r="18946" customFormat="false" ht="12.8" hidden="false" customHeight="false" outlineLevel="0" collapsed="false">
      <c r="B18946" s="0" t="s">
        <v>124</v>
      </c>
    </row>
    <row r="18948" customFormat="false" ht="12.8" hidden="false" customHeight="false" outlineLevel="0" collapsed="false">
      <c r="A18948" s="0" t="s">
        <v>7214</v>
      </c>
      <c r="B18948" s="0" t="str">
        <f aca="false">HYPERLINK("https://lindat.mff.cuni.cz/services/teitok/pdtc10/index.php?action=vallex&amp;frame=v-w11525_ZUhsa_730", "navrátit se (v-w11525_ZUhsa_730)")</f>
        <v>navrátit se (v-w11525_ZUhsa_730)</v>
      </c>
    </row>
    <row r="18949" customFormat="false" ht="12.8" hidden="false" customHeight="false" outlineLevel="0" collapsed="false">
      <c r="B18949" s="0" t="s">
        <v>7</v>
      </c>
      <c r="C18949" s="0" t="s">
        <v>7215</v>
      </c>
      <c r="D18949" s="0" t="s">
        <v>7178</v>
      </c>
      <c r="E18949" s="0" t="s">
        <v>7178</v>
      </c>
      <c r="F18949" s="0" t="s">
        <v>7178</v>
      </c>
    </row>
    <row r="18950" customFormat="false" ht="12.8" hidden="false" customHeight="false" outlineLevel="0" collapsed="false">
      <c r="B18950" s="0" t="s">
        <v>237</v>
      </c>
      <c r="D18950" s="0" t="s">
        <v>384</v>
      </c>
      <c r="E18950" s="0" t="s">
        <v>384</v>
      </c>
      <c r="F18950" s="0" t="s">
        <v>384</v>
      </c>
    </row>
    <row r="18952" customFormat="false" ht="12.8" hidden="false" customHeight="false" outlineLevel="0" collapsed="false">
      <c r="A18952" s="0" t="s">
        <v>7216</v>
      </c>
      <c r="B18952" s="0" t="str">
        <f aca="false">HYPERLINK("https://lindat.mff.cuni.cz/services/teitok/pdtc10/index.php?action=vallex&amp;frame=v-w10444f4", "navršit (v-w10444f4)")</f>
        <v>navršit (v-w10444f4)</v>
      </c>
    </row>
    <row r="18953" customFormat="false" ht="12.8" hidden="false" customHeight="false" outlineLevel="0" collapsed="false">
      <c r="B18953" s="0" t="s">
        <v>7</v>
      </c>
      <c r="F18953" s="0" t="s">
        <v>2523</v>
      </c>
    </row>
    <row r="18954" customFormat="false" ht="12.8" hidden="false" customHeight="false" outlineLevel="0" collapsed="false">
      <c r="B18954" s="0" t="s">
        <v>14</v>
      </c>
      <c r="F18954" s="0" t="s">
        <v>493</v>
      </c>
    </row>
    <row r="18955" customFormat="false" ht="12.8" hidden="false" customHeight="false" outlineLevel="0" collapsed="false">
      <c r="B18955" s="0" t="s">
        <v>124</v>
      </c>
    </row>
    <row r="18957" customFormat="false" ht="12.8" hidden="false" customHeight="false" outlineLevel="0" collapsed="false">
      <c r="A18957" s="0" t="s">
        <v>7217</v>
      </c>
      <c r="B18957" s="0" t="str">
        <f aca="false">HYPERLINK("https://lindat.mff.cuni.cz/services/teitok/pdtc10/index.php?action=vallex&amp;frame=v-w10444f2", "navršit (v-w10444f2)")</f>
        <v>navršit (v-w10444f2)</v>
      </c>
    </row>
    <row r="18958" customFormat="false" ht="12.8" hidden="false" customHeight="false" outlineLevel="0" collapsed="false">
      <c r="B18958" s="0" t="s">
        <v>7</v>
      </c>
      <c r="F18958" s="0" t="s">
        <v>2523</v>
      </c>
    </row>
    <row r="18959" customFormat="false" ht="12.8" hidden="false" customHeight="false" outlineLevel="0" collapsed="false">
      <c r="B18959" s="0" t="s">
        <v>14</v>
      </c>
      <c r="F18959" s="0" t="s">
        <v>493</v>
      </c>
    </row>
    <row r="18961" customFormat="false" ht="12.8" hidden="false" customHeight="false" outlineLevel="0" collapsed="false">
      <c r="A18961" s="0" t="s">
        <v>7218</v>
      </c>
      <c r="B18961" s="0" t="str">
        <f aca="false">HYPERLINK("https://lindat.mff.cuni.cz/services/teitok/pdtc10/index.php?action=vallex&amp;frame=v-w10444f3", "navršit (v-w10444f3)")</f>
        <v>navršit (v-w10444f3)</v>
      </c>
    </row>
    <row r="18962" customFormat="false" ht="12.8" hidden="false" customHeight="false" outlineLevel="0" collapsed="false">
      <c r="B18962" s="0" t="s">
        <v>7</v>
      </c>
      <c r="C18962" s="0" t="s">
        <v>16</v>
      </c>
    </row>
    <row r="18963" customFormat="false" ht="12.8" hidden="false" customHeight="false" outlineLevel="0" collapsed="false">
      <c r="B18963" s="0" t="s">
        <v>14</v>
      </c>
    </row>
    <row r="18965" customFormat="false" ht="12.8" hidden="false" customHeight="false" outlineLevel="0" collapsed="false">
      <c r="A18965" s="0" t="s">
        <v>7219</v>
      </c>
      <c r="B18965" s="0" t="str">
        <f aca="false">HYPERLINK("https://lindat.mff.cuni.cz/services/teitok/pdtc10/index.php?action=vallex&amp;frame=v-w11316f1", "navršit se (v-w11316f1)")</f>
        <v>navršit se (v-w11316f1)</v>
      </c>
    </row>
    <row r="18966" customFormat="false" ht="12.8" hidden="false" customHeight="false" outlineLevel="0" collapsed="false">
      <c r="B18966" s="0" t="s">
        <v>7</v>
      </c>
    </row>
    <row r="18968" customFormat="false" ht="12.8" hidden="false" customHeight="false" outlineLevel="0" collapsed="false">
      <c r="A18968" s="0" t="s">
        <v>7220</v>
      </c>
      <c r="B18968" s="0" t="str">
        <f aca="false">HYPERLINK("https://lindat.mff.cuni.cz/services/teitok/pdtc10/index.php?action=vallex&amp;frame=v-whsa_717f1_ZU", "navršovat (v-whsa_717f1_ZU)")</f>
        <v>navršovat (v-whsa_717f1_ZU)</v>
      </c>
    </row>
    <row r="18969" customFormat="false" ht="12.8" hidden="false" customHeight="false" outlineLevel="0" collapsed="false">
      <c r="B18969" s="0" t="s">
        <v>7</v>
      </c>
    </row>
    <row r="18970" customFormat="false" ht="12.8" hidden="false" customHeight="false" outlineLevel="0" collapsed="false">
      <c r="B18970" s="0" t="s">
        <v>14</v>
      </c>
    </row>
    <row r="18972" customFormat="false" ht="12.8" hidden="false" customHeight="false" outlineLevel="0" collapsed="false">
      <c r="A18972" s="0" t="s">
        <v>7220</v>
      </c>
      <c r="B18972" s="0" t="str">
        <f aca="false">HYPERLINK("https://lindat.mff.cuni.cz/services/teitok/pdtc10/index.php?action=vallex&amp;frame=v-whsa_717hsa_718", "navršovat (v-whsa_717hsa_718) - substituted with v-whsa_717f1_ZU")</f>
        <v>navršovat (v-whsa_717hsa_718) - substituted with v-whsa_717f1_ZU</v>
      </c>
    </row>
    <row r="18973" customFormat="false" ht="12.8" hidden="false" customHeight="false" outlineLevel="0" collapsed="false">
      <c r="B18973" s="0" t="s">
        <v>7</v>
      </c>
    </row>
    <row r="18974" customFormat="false" ht="12.8" hidden="false" customHeight="false" outlineLevel="0" collapsed="false">
      <c r="B18974" s="0" t="s">
        <v>14</v>
      </c>
    </row>
    <row r="18976" customFormat="false" ht="12.8" hidden="false" customHeight="false" outlineLevel="0" collapsed="false">
      <c r="A18976" s="0" t="s">
        <v>7221</v>
      </c>
      <c r="B18976" s="0" t="str">
        <f aca="false">HYPERLINK("https://lindat.mff.cuni.cz/services/teitok/pdtc10/index.php?action=vallex&amp;frame=v-w12099_ZUf1_ZU", "navyknout si (v-w12099_ZUf1_ZU)")</f>
        <v>navyknout si (v-w12099_ZUf1_ZU)</v>
      </c>
    </row>
    <row r="18977" customFormat="false" ht="12.8" hidden="false" customHeight="false" outlineLevel="0" collapsed="false">
      <c r="B18977" s="0" t="s">
        <v>7</v>
      </c>
    </row>
    <row r="18978" customFormat="false" ht="12.8" hidden="false" customHeight="false" outlineLevel="0" collapsed="false">
      <c r="B18978" s="0" t="s">
        <v>6428</v>
      </c>
    </row>
    <row r="18980" customFormat="false" ht="12.8" hidden="false" customHeight="false" outlineLevel="0" collapsed="false">
      <c r="A18980" s="0" t="s">
        <v>7222</v>
      </c>
      <c r="B18980" s="0" t="str">
        <f aca="false">HYPERLINK("https://lindat.mff.cuni.cz/services/teitok/pdtc10/index.php?action=vallex&amp;frame=v-w2325f1", "navyšovat (v-w2325f1)")</f>
        <v>navyšovat (v-w2325f1)</v>
      </c>
    </row>
    <row r="18981" customFormat="false" ht="12.8" hidden="false" customHeight="false" outlineLevel="0" collapsed="false">
      <c r="B18981" s="0" t="s">
        <v>7</v>
      </c>
      <c r="C18981" s="0" t="s">
        <v>7223</v>
      </c>
      <c r="D18981" s="0" t="s">
        <v>6436</v>
      </c>
      <c r="E18981" s="0" t="s">
        <v>6436</v>
      </c>
      <c r="F18981" s="0" t="s">
        <v>6436</v>
      </c>
    </row>
    <row r="18982" customFormat="false" ht="12.8" hidden="false" customHeight="false" outlineLevel="0" collapsed="false">
      <c r="B18982" s="0" t="s">
        <v>14</v>
      </c>
      <c r="C18982" s="0" t="s">
        <v>7224</v>
      </c>
      <c r="D18982" s="0" t="s">
        <v>6437</v>
      </c>
      <c r="E18982" s="0" t="s">
        <v>6437</v>
      </c>
      <c r="F18982" s="0" t="s">
        <v>6437</v>
      </c>
    </row>
    <row r="18983" customFormat="false" ht="12.8" hidden="false" customHeight="false" outlineLevel="0" collapsed="false">
      <c r="B18983" s="0" t="s">
        <v>35</v>
      </c>
      <c r="C18983" s="0" t="s">
        <v>7225</v>
      </c>
      <c r="D18983" s="0" t="s">
        <v>6438</v>
      </c>
      <c r="E18983" s="0" t="s">
        <v>6438</v>
      </c>
      <c r="F18983" s="0" t="s">
        <v>6438</v>
      </c>
    </row>
    <row r="18984" customFormat="false" ht="12.8" hidden="false" customHeight="false" outlineLevel="0" collapsed="false">
      <c r="B18984" s="0" t="s">
        <v>84</v>
      </c>
      <c r="C18984" s="0" t="s">
        <v>7226</v>
      </c>
      <c r="D18984" s="0" t="s">
        <v>6440</v>
      </c>
      <c r="E18984" s="0" t="s">
        <v>6440</v>
      </c>
      <c r="F18984" s="0" t="s">
        <v>6440</v>
      </c>
    </row>
    <row r="18986" customFormat="false" ht="12.8" hidden="false" customHeight="false" outlineLevel="0" collapsed="false">
      <c r="A18986" s="0" t="s">
        <v>7227</v>
      </c>
      <c r="B18986" s="0" t="str">
        <f aca="false">HYPERLINK("https://lindat.mff.cuni.cz/services/teitok/pdtc10/index.php?action=vallex&amp;frame=v-whsa_601hsa_602", "navzdouvat se (v-whsa_601hsa_602)")</f>
        <v>navzdouvat se (v-whsa_601hsa_602)</v>
      </c>
    </row>
    <row r="18987" customFormat="false" ht="12.8" hidden="false" customHeight="false" outlineLevel="0" collapsed="false">
      <c r="B18987" s="0" t="s">
        <v>7</v>
      </c>
    </row>
    <row r="18989" customFormat="false" ht="12.8" hidden="false" customHeight="false" outlineLevel="0" collapsed="false">
      <c r="A18989" s="0" t="s">
        <v>7228</v>
      </c>
      <c r="B18989" s="0" t="str">
        <f aca="false">HYPERLINK("https://lindat.mff.cuni.cz/services/teitok/pdtc10/index.php?action=vallex&amp;frame=v-w2288f2", "navádět (v-w2288f2)")</f>
        <v>navádět (v-w2288f2)</v>
      </c>
    </row>
    <row r="18990" customFormat="false" ht="12.8" hidden="false" customHeight="false" outlineLevel="0" collapsed="false">
      <c r="B18990" s="0" t="s">
        <v>7</v>
      </c>
    </row>
    <row r="18991" customFormat="false" ht="12.8" hidden="false" customHeight="false" outlineLevel="0" collapsed="false">
      <c r="B18991" s="0" t="s">
        <v>14</v>
      </c>
    </row>
    <row r="18992" customFormat="false" ht="12.8" hidden="false" customHeight="false" outlineLevel="0" collapsed="false">
      <c r="B18992" s="0" t="s">
        <v>124</v>
      </c>
    </row>
    <row r="18994" customFormat="false" ht="12.8" hidden="false" customHeight="false" outlineLevel="0" collapsed="false">
      <c r="A18994" s="0" t="s">
        <v>7229</v>
      </c>
      <c r="B18994" s="0" t="str">
        <f aca="false">HYPERLINK("https://lindat.mff.cuni.cz/services/teitok/pdtc10/index.php?action=vallex&amp;frame=v-w2288f1", "navádět (v-w2288f1)")</f>
        <v>navádět (v-w2288f1)</v>
      </c>
    </row>
    <row r="18995" customFormat="false" ht="12.8" hidden="false" customHeight="false" outlineLevel="0" collapsed="false">
      <c r="B18995" s="0" t="s">
        <v>7</v>
      </c>
    </row>
    <row r="18996" customFormat="false" ht="12.8" hidden="false" customHeight="false" outlineLevel="0" collapsed="false">
      <c r="B18996" s="0" t="s">
        <v>81</v>
      </c>
    </row>
    <row r="18997" customFormat="false" ht="12.8" hidden="false" customHeight="false" outlineLevel="0" collapsed="false">
      <c r="B18997" s="0" t="s">
        <v>7230</v>
      </c>
    </row>
    <row r="18999" customFormat="false" ht="12.8" hidden="false" customHeight="false" outlineLevel="0" collapsed="false">
      <c r="A18999" s="0" t="s">
        <v>7231</v>
      </c>
      <c r="B18999" s="0" t="str">
        <f aca="false">HYPERLINK("https://lindat.mff.cuni.cz/services/teitok/pdtc10/index.php?action=vallex&amp;frame=v-w2291f3", "navázat (v-w2291f3)")</f>
        <v>navázat (v-w2291f3)</v>
      </c>
    </row>
    <row r="19000" customFormat="false" ht="12.8" hidden="false" customHeight="false" outlineLevel="0" collapsed="false">
      <c r="B19000" s="0" t="s">
        <v>7</v>
      </c>
    </row>
    <row r="19001" customFormat="false" ht="12.8" hidden="false" customHeight="false" outlineLevel="0" collapsed="false">
      <c r="B19001" s="0" t="s">
        <v>14</v>
      </c>
    </row>
    <row r="19003" customFormat="false" ht="12.8" hidden="false" customHeight="false" outlineLevel="0" collapsed="false">
      <c r="A19003" s="0" t="s">
        <v>7232</v>
      </c>
      <c r="B19003" s="0" t="str">
        <f aca="false">HYPERLINK("https://lindat.mff.cuni.cz/services/teitok/pdtc10/index.php?action=vallex&amp;frame=v-w2291f2", "navázat (v-w2291f2)")</f>
        <v>navázat (v-w2291f2)</v>
      </c>
    </row>
    <row r="19004" customFormat="false" ht="12.8" hidden="false" customHeight="false" outlineLevel="0" collapsed="false">
      <c r="B19004" s="0" t="s">
        <v>7</v>
      </c>
      <c r="C19004" s="0" t="s">
        <v>7233</v>
      </c>
      <c r="D19004" s="0" t="s">
        <v>1559</v>
      </c>
      <c r="E19004" s="0" t="s">
        <v>1559</v>
      </c>
      <c r="F19004" s="0" t="s">
        <v>1559</v>
      </c>
    </row>
    <row r="19005" customFormat="false" ht="12.8" hidden="false" customHeight="false" outlineLevel="0" collapsed="false">
      <c r="B19005" s="0" t="s">
        <v>41</v>
      </c>
      <c r="C19005" s="0" t="s">
        <v>7234</v>
      </c>
      <c r="D19005" s="0" t="s">
        <v>47</v>
      </c>
      <c r="E19005" s="0" t="s">
        <v>47</v>
      </c>
      <c r="F19005" s="0" t="s">
        <v>47</v>
      </c>
    </row>
    <row r="19007" customFormat="false" ht="12.8" hidden="false" customHeight="false" outlineLevel="0" collapsed="false">
      <c r="A19007" s="0" t="s">
        <v>7235</v>
      </c>
      <c r="B19007" s="0" t="str">
        <f aca="false">HYPERLINK("https://lindat.mff.cuni.cz/services/teitok/pdtc10/index.php?action=vallex&amp;frame=v-w2291hsa_873", "navázat (v-w2291hsa_873)")</f>
        <v>navázat (v-w2291hsa_873)</v>
      </c>
    </row>
    <row r="19008" customFormat="false" ht="12.8" hidden="false" customHeight="false" outlineLevel="0" collapsed="false">
      <c r="B19008" s="0" t="s">
        <v>7</v>
      </c>
    </row>
    <row r="19009" customFormat="false" ht="12.8" hidden="false" customHeight="false" outlineLevel="0" collapsed="false">
      <c r="B19009" s="0" t="s">
        <v>7236</v>
      </c>
      <c r="C19009" s="0" t="s">
        <v>7237</v>
      </c>
    </row>
    <row r="19011" customFormat="false" ht="12.8" hidden="false" customHeight="false" outlineLevel="0" collapsed="false">
      <c r="A19011" s="0" t="s">
        <v>7235</v>
      </c>
      <c r="B19011" s="0" t="str">
        <f aca="false">HYPERLINK("https://lindat.mff.cuni.cz/services/teitok/pdtc10/index.php?action=vallex&amp;frame=v-w2291f1", "navázat (v-w2291f1) - substituted with v-w2291hsa_873")</f>
        <v>navázat (v-w2291f1) - substituted with v-w2291hsa_873</v>
      </c>
    </row>
    <row r="19012" customFormat="false" ht="12.8" hidden="false" customHeight="false" outlineLevel="0" collapsed="false">
      <c r="B19012" s="0" t="s">
        <v>7</v>
      </c>
      <c r="C19012" s="0" t="s">
        <v>623</v>
      </c>
    </row>
    <row r="19013" customFormat="false" ht="12.8" hidden="false" customHeight="false" outlineLevel="0" collapsed="false">
      <c r="B19013" s="0" t="s">
        <v>7236</v>
      </c>
      <c r="C19013" s="0" t="s">
        <v>7238</v>
      </c>
    </row>
    <row r="19015" customFormat="false" ht="12.8" hidden="false" customHeight="false" outlineLevel="0" collapsed="false">
      <c r="A19015" s="0" t="s">
        <v>7239</v>
      </c>
      <c r="B19015" s="0" t="str">
        <f aca="false">HYPERLINK("https://lindat.mff.cuni.cz/services/teitok/pdtc10/index.php?action=vallex&amp;frame=v-w2291hsa_872", "navázat (v-w2291hsa_872)")</f>
        <v>navázat (v-w2291hsa_872)</v>
      </c>
    </row>
    <row r="19016" customFormat="false" ht="12.8" hidden="false" customHeight="false" outlineLevel="0" collapsed="false">
      <c r="B19016" s="0" t="s">
        <v>7</v>
      </c>
      <c r="C19016" s="0" t="s">
        <v>2736</v>
      </c>
    </row>
    <row r="19017" customFormat="false" ht="12.8" hidden="false" customHeight="false" outlineLevel="0" collapsed="false">
      <c r="B19017" s="0" t="s">
        <v>14</v>
      </c>
      <c r="C19017" s="0" t="s">
        <v>466</v>
      </c>
    </row>
    <row r="19018" customFormat="false" ht="12.8" hidden="false" customHeight="false" outlineLevel="0" collapsed="false">
      <c r="B19018" s="0" t="s">
        <v>1755</v>
      </c>
      <c r="C19018" s="0" t="s">
        <v>7240</v>
      </c>
    </row>
    <row r="19020" customFormat="false" ht="12.8" hidden="false" customHeight="false" outlineLevel="0" collapsed="false">
      <c r="A19020" s="0" t="s">
        <v>7241</v>
      </c>
      <c r="B19020" s="0" t="str">
        <f aca="false">HYPERLINK("https://lindat.mff.cuni.cz/services/teitok/pdtc10/index.php?action=vallex&amp;frame=v-w2291hsa_737", "navázat (v-w2291hsa_737)")</f>
        <v>navázat (v-w2291hsa_737)</v>
      </c>
    </row>
    <row r="19021" customFormat="false" ht="12.8" hidden="false" customHeight="false" outlineLevel="0" collapsed="false">
      <c r="B19021" s="0" t="s">
        <v>7</v>
      </c>
    </row>
    <row r="19022" customFormat="false" ht="12.8" hidden="false" customHeight="false" outlineLevel="0" collapsed="false">
      <c r="B19022" s="0" t="s">
        <v>14</v>
      </c>
    </row>
    <row r="19023" customFormat="false" ht="12.8" hidden="false" customHeight="false" outlineLevel="0" collapsed="false">
      <c r="B19023" s="0" t="s">
        <v>124</v>
      </c>
    </row>
    <row r="19025" customFormat="false" ht="12.8" hidden="false" customHeight="false" outlineLevel="0" collapsed="false">
      <c r="A19025" s="0" t="s">
        <v>7242</v>
      </c>
      <c r="B19025" s="0" t="str">
        <f aca="false">HYPERLINK("https://lindat.mff.cuni.cz/services/teitok/pdtc10/index.php?action=vallex&amp;frame=v-w11975_ZUf1_ZU", "navážet (v-w11975_ZUf1_ZU)")</f>
        <v>navážet (v-w11975_ZUf1_ZU)</v>
      </c>
    </row>
    <row r="19026" customFormat="false" ht="12.8" hidden="false" customHeight="false" outlineLevel="0" collapsed="false">
      <c r="B19026" s="0" t="s">
        <v>7</v>
      </c>
    </row>
    <row r="19027" customFormat="false" ht="12.8" hidden="false" customHeight="false" outlineLevel="0" collapsed="false">
      <c r="B19027" s="0" t="s">
        <v>14</v>
      </c>
    </row>
    <row r="19029" customFormat="false" ht="12.8" hidden="false" customHeight="false" outlineLevel="0" collapsed="false">
      <c r="A19029" s="0" t="s">
        <v>7243</v>
      </c>
      <c r="B19029" s="0" t="str">
        <f aca="false">HYPERLINK("https://lindat.mff.cuni.cz/services/teitok/pdtc10/index.php?action=vallex&amp;frame=v-w11422f1", "navážet se (v-w11422f1)")</f>
        <v>navážet se (v-w11422f1)</v>
      </c>
    </row>
    <row r="19030" customFormat="false" ht="12.8" hidden="false" customHeight="false" outlineLevel="0" collapsed="false">
      <c r="B19030" s="0" t="s">
        <v>7</v>
      </c>
    </row>
    <row r="19031" customFormat="false" ht="12.8" hidden="false" customHeight="false" outlineLevel="0" collapsed="false">
      <c r="B19031" s="0" t="s">
        <v>985</v>
      </c>
    </row>
    <row r="19033" customFormat="false" ht="12.8" hidden="false" customHeight="false" outlineLevel="0" collapsed="false">
      <c r="A19033" s="0" t="s">
        <v>7244</v>
      </c>
      <c r="B19033" s="0" t="str">
        <f aca="false">HYPERLINK("https://lindat.mff.cuni.cz/services/teitok/pdtc10/index.php?action=vallex&amp;frame=v-whsa_235hsa_236", "navést (v-whsa_235hsa_236)")</f>
        <v>navést (v-whsa_235hsa_236)</v>
      </c>
    </row>
    <row r="19034" customFormat="false" ht="12.8" hidden="false" customHeight="false" outlineLevel="0" collapsed="false">
      <c r="B19034" s="0" t="s">
        <v>7</v>
      </c>
      <c r="C19034" s="0" t="s">
        <v>2012</v>
      </c>
    </row>
    <row r="19035" customFormat="false" ht="12.8" hidden="false" customHeight="false" outlineLevel="0" collapsed="false">
      <c r="B19035" s="0" t="s">
        <v>41</v>
      </c>
    </row>
    <row r="19036" customFormat="false" ht="12.8" hidden="false" customHeight="false" outlineLevel="0" collapsed="false">
      <c r="B19036" s="0" t="s">
        <v>81</v>
      </c>
      <c r="C19036" s="0" t="s">
        <v>7245</v>
      </c>
    </row>
    <row r="19038" customFormat="false" ht="12.8" hidden="false" customHeight="false" outlineLevel="0" collapsed="false">
      <c r="A19038" s="0" t="s">
        <v>7246</v>
      </c>
      <c r="B19038" s="0" t="str">
        <f aca="false">HYPERLINK("https://lindat.mff.cuni.cz/services/teitok/pdtc10/index.php?action=vallex&amp;frame=v-whsb_235f1_MM", "navést (v-whsb_235f1_MM)")</f>
        <v>navést (v-whsb_235f1_MM)</v>
      </c>
    </row>
    <row r="19039" customFormat="false" ht="12.8" hidden="false" customHeight="false" outlineLevel="0" collapsed="false">
      <c r="B19039" s="0" t="s">
        <v>7</v>
      </c>
    </row>
    <row r="19040" customFormat="false" ht="12.8" hidden="false" customHeight="false" outlineLevel="0" collapsed="false">
      <c r="B19040" s="0" t="s">
        <v>14</v>
      </c>
    </row>
    <row r="19041" customFormat="false" ht="12.8" hidden="false" customHeight="false" outlineLevel="0" collapsed="false">
      <c r="B19041" s="0" t="s">
        <v>124</v>
      </c>
    </row>
    <row r="19043" customFormat="false" ht="12.8" hidden="false" customHeight="false" outlineLevel="0" collapsed="false">
      <c r="A19043" s="0" t="s">
        <v>7247</v>
      </c>
      <c r="B19043" s="0" t="str">
        <f aca="false">HYPERLINK("https://lindat.mff.cuni.cz/services/teitok/pdtc10/index.php?action=vallex&amp;frame=v-w11123f2", "navézt (v-w11123f2)")</f>
        <v>navézt (v-w11123f2)</v>
      </c>
    </row>
    <row r="19044" customFormat="false" ht="12.8" hidden="false" customHeight="false" outlineLevel="0" collapsed="false">
      <c r="B19044" s="0" t="s">
        <v>7</v>
      </c>
      <c r="C19044" s="0" t="s">
        <v>46</v>
      </c>
      <c r="D19044" s="0" t="s">
        <v>132</v>
      </c>
      <c r="E19044" s="0" t="s">
        <v>132</v>
      </c>
      <c r="F19044" s="0" t="s">
        <v>132</v>
      </c>
    </row>
    <row r="19045" customFormat="false" ht="12.8" hidden="false" customHeight="false" outlineLevel="0" collapsed="false">
      <c r="B19045" s="0" t="s">
        <v>14</v>
      </c>
      <c r="C19045" s="0" t="s">
        <v>47</v>
      </c>
      <c r="D19045" s="0" t="s">
        <v>7248</v>
      </c>
      <c r="E19045" s="0" t="s">
        <v>7248</v>
      </c>
      <c r="F19045" s="0" t="s">
        <v>7248</v>
      </c>
    </row>
    <row r="19047" customFormat="false" ht="12.8" hidden="false" customHeight="false" outlineLevel="0" collapsed="false">
      <c r="A19047" s="0" t="s">
        <v>7249</v>
      </c>
      <c r="B19047" s="0" t="str">
        <f aca="false">HYPERLINK("https://lindat.mff.cuni.cz/services/teitok/pdtc10/index.php?action=vallex&amp;frame=v-w12386_MMf1_MM", "navíjet (v-w12386_MMf1_MM)")</f>
        <v>navíjet (v-w12386_MMf1_MM)</v>
      </c>
    </row>
    <row r="19048" customFormat="false" ht="12.8" hidden="false" customHeight="false" outlineLevel="0" collapsed="false">
      <c r="B19048" s="0" t="s">
        <v>7</v>
      </c>
    </row>
    <row r="19049" customFormat="false" ht="12.8" hidden="false" customHeight="false" outlineLevel="0" collapsed="false">
      <c r="B19049" s="0" t="s">
        <v>14</v>
      </c>
    </row>
    <row r="19051" customFormat="false" ht="12.8" hidden="false" customHeight="false" outlineLevel="0" collapsed="false">
      <c r="A19051" s="0" t="s">
        <v>7250</v>
      </c>
      <c r="B19051" s="0" t="str">
        <f aca="false">HYPERLINK("https://lindat.mff.cuni.cz/services/teitok/pdtc10/index.php?action=vallex&amp;frame=v-w2323f1", "navýšit (v-w2323f1)")</f>
        <v>navýšit (v-w2323f1)</v>
      </c>
    </row>
    <row r="19052" customFormat="false" ht="12.8" hidden="false" customHeight="false" outlineLevel="0" collapsed="false">
      <c r="B19052" s="0" t="s">
        <v>7</v>
      </c>
      <c r="C19052" s="0" t="s">
        <v>7251</v>
      </c>
      <c r="D19052" s="0" t="s">
        <v>6436</v>
      </c>
      <c r="E19052" s="0" t="s">
        <v>6436</v>
      </c>
      <c r="F19052" s="0" t="s">
        <v>6436</v>
      </c>
    </row>
    <row r="19053" customFormat="false" ht="12.8" hidden="false" customHeight="false" outlineLevel="0" collapsed="false">
      <c r="B19053" s="0" t="s">
        <v>14</v>
      </c>
      <c r="C19053" s="0" t="s">
        <v>7252</v>
      </c>
      <c r="D19053" s="0" t="s">
        <v>6437</v>
      </c>
      <c r="E19053" s="0" t="s">
        <v>6437</v>
      </c>
      <c r="F19053" s="0" t="s">
        <v>6437</v>
      </c>
    </row>
    <row r="19054" customFormat="false" ht="12.8" hidden="false" customHeight="false" outlineLevel="0" collapsed="false">
      <c r="B19054" s="0" t="s">
        <v>35</v>
      </c>
      <c r="C19054" s="0" t="s">
        <v>7253</v>
      </c>
      <c r="D19054" s="0" t="s">
        <v>6438</v>
      </c>
      <c r="E19054" s="0" t="s">
        <v>6438</v>
      </c>
      <c r="F19054" s="0" t="s">
        <v>6438</v>
      </c>
    </row>
    <row r="19055" customFormat="false" ht="12.8" hidden="false" customHeight="false" outlineLevel="0" collapsed="false">
      <c r="B19055" s="0" t="s">
        <v>84</v>
      </c>
      <c r="C19055" s="0" t="s">
        <v>7254</v>
      </c>
      <c r="D19055" s="0" t="s">
        <v>6440</v>
      </c>
      <c r="E19055" s="0" t="s">
        <v>6440</v>
      </c>
      <c r="F19055" s="0" t="s">
        <v>6440</v>
      </c>
    </row>
    <row r="19057" customFormat="false" ht="12.8" hidden="false" customHeight="false" outlineLevel="0" collapsed="false">
      <c r="A19057" s="0" t="s">
        <v>7255</v>
      </c>
      <c r="B19057" s="0" t="str">
        <f aca="false">HYPERLINK("https://lindat.mff.cuni.cz/services/teitok/pdtc10/index.php?action=vallex&amp;frame=v-w2323f2", "navýšit (v-w2323f2)")</f>
        <v>navýšit (v-w2323f2)</v>
      </c>
    </row>
    <row r="19058" customFormat="false" ht="12.8" hidden="false" customHeight="false" outlineLevel="0" collapsed="false">
      <c r="B19058" s="0" t="s">
        <v>7</v>
      </c>
      <c r="C19058" s="0" t="s">
        <v>6498</v>
      </c>
      <c r="D19058" s="0" t="s">
        <v>6436</v>
      </c>
      <c r="E19058" s="0" t="s">
        <v>6436</v>
      </c>
      <c r="F19058" s="0" t="s">
        <v>6436</v>
      </c>
    </row>
    <row r="19059" customFormat="false" ht="12.8" hidden="false" customHeight="false" outlineLevel="0" collapsed="false">
      <c r="B19059" s="0" t="s">
        <v>14</v>
      </c>
      <c r="C19059" s="0" t="s">
        <v>7256</v>
      </c>
      <c r="D19059" s="0" t="s">
        <v>6437</v>
      </c>
      <c r="E19059" s="0" t="s">
        <v>6437</v>
      </c>
      <c r="F19059" s="0" t="s">
        <v>6437</v>
      </c>
    </row>
    <row r="19061" customFormat="false" ht="12.8" hidden="false" customHeight="false" outlineLevel="0" collapsed="false">
      <c r="A19061" s="0" t="s">
        <v>7257</v>
      </c>
      <c r="B19061" s="0" t="str">
        <f aca="false">HYPERLINK("https://lindat.mff.cuni.cz/services/teitok/pdtc10/index.php?action=vallex&amp;frame=v-whsa_829hsa_830", "navýšit se (v-whsa_829hsa_830)")</f>
        <v>navýšit se (v-whsa_829hsa_830)</v>
      </c>
    </row>
    <row r="19062" customFormat="false" ht="12.8" hidden="false" customHeight="false" outlineLevel="0" collapsed="false">
      <c r="B19062" s="0" t="s">
        <v>7</v>
      </c>
    </row>
    <row r="19063" customFormat="false" ht="12.8" hidden="false" customHeight="false" outlineLevel="0" collapsed="false">
      <c r="B19063" s="0" t="s">
        <v>35</v>
      </c>
    </row>
    <row r="19064" customFormat="false" ht="12.8" hidden="false" customHeight="false" outlineLevel="0" collapsed="false">
      <c r="B19064" s="0" t="s">
        <v>63</v>
      </c>
    </row>
    <row r="19066" customFormat="false" ht="12.8" hidden="false" customHeight="false" outlineLevel="0" collapsed="false">
      <c r="A19066" s="0" t="s">
        <v>7258</v>
      </c>
      <c r="B19066" s="0" t="str">
        <f aca="false">HYPERLINK("https://lindat.mff.cuni.cz/services/teitok/pdtc10/index.php?action=vallex&amp;frame=v-w12293_MMf1_MM", "navěsit (v-w12293_MMf1_MM)")</f>
        <v>navěsit (v-w12293_MMf1_MM)</v>
      </c>
    </row>
    <row r="19067" customFormat="false" ht="12.8" hidden="false" customHeight="false" outlineLevel="0" collapsed="false">
      <c r="B19067" s="0" t="s">
        <v>7</v>
      </c>
    </row>
    <row r="19068" customFormat="false" ht="12.8" hidden="false" customHeight="false" outlineLevel="0" collapsed="false">
      <c r="B19068" s="0" t="s">
        <v>14</v>
      </c>
    </row>
    <row r="19070" customFormat="false" ht="12.8" hidden="false" customHeight="false" outlineLevel="0" collapsed="false">
      <c r="A19070" s="0" t="s">
        <v>7259</v>
      </c>
      <c r="B19070" s="0" t="str">
        <f aca="false">HYPERLINK("https://lindat.mff.cuni.cz/services/teitok/pdtc10/index.php?action=vallex&amp;frame=v-w2319f1", "navštívit (v-w2319f1)")</f>
        <v>navštívit (v-w2319f1)</v>
      </c>
    </row>
    <row r="19071" customFormat="false" ht="12.8" hidden="false" customHeight="false" outlineLevel="0" collapsed="false">
      <c r="B19071" s="0" t="s">
        <v>7</v>
      </c>
      <c r="C19071" s="0" t="s">
        <v>7260</v>
      </c>
      <c r="D19071" s="0" t="s">
        <v>2439</v>
      </c>
      <c r="E19071" s="0" t="s">
        <v>2439</v>
      </c>
      <c r="F19071" s="0" t="s">
        <v>2439</v>
      </c>
    </row>
    <row r="19072" customFormat="false" ht="12.8" hidden="false" customHeight="false" outlineLevel="0" collapsed="false">
      <c r="B19072" s="0" t="s">
        <v>14</v>
      </c>
      <c r="C19072" s="0" t="s">
        <v>312</v>
      </c>
      <c r="D19072" s="0" t="s">
        <v>7261</v>
      </c>
      <c r="E19072" s="0" t="s">
        <v>7261</v>
      </c>
      <c r="F19072" s="0" t="s">
        <v>7261</v>
      </c>
    </row>
    <row r="19074" customFormat="false" ht="12.8" hidden="false" customHeight="false" outlineLevel="0" collapsed="false">
      <c r="A19074" s="0" t="s">
        <v>7262</v>
      </c>
      <c r="B19074" s="0" t="str">
        <f aca="false">HYPERLINK("https://lindat.mff.cuni.cz/services/teitok/pdtc10/index.php?action=vallex&amp;frame=v-w2319hsa_471", "navštívit (v-w2319hsa_471)")</f>
        <v>navštívit (v-w2319hsa_471)</v>
      </c>
    </row>
    <row r="19075" customFormat="false" ht="12.8" hidden="false" customHeight="false" outlineLevel="0" collapsed="false">
      <c r="B19075" s="0" t="s">
        <v>7</v>
      </c>
    </row>
    <row r="19076" customFormat="false" ht="12.8" hidden="false" customHeight="false" outlineLevel="0" collapsed="false">
      <c r="B19076" s="0" t="s">
        <v>14</v>
      </c>
    </row>
    <row r="19078" customFormat="false" ht="12.8" hidden="false" customHeight="false" outlineLevel="0" collapsed="false">
      <c r="A19078" s="0" t="s">
        <v>7263</v>
      </c>
      <c r="B19078" s="0" t="str">
        <f aca="false">HYPERLINK("https://lindat.mff.cuni.cz/services/teitok/pdtc10/index.php?action=vallex&amp;frame=v-w2317f1", "navštěvovat (v-w2317f1)")</f>
        <v>navštěvovat (v-w2317f1)</v>
      </c>
    </row>
    <row r="19079" customFormat="false" ht="12.8" hidden="false" customHeight="false" outlineLevel="0" collapsed="false">
      <c r="B19079" s="0" t="s">
        <v>7</v>
      </c>
      <c r="C19079" s="0" t="s">
        <v>5634</v>
      </c>
      <c r="D19079" s="0" t="s">
        <v>2439</v>
      </c>
      <c r="E19079" s="0" t="s">
        <v>2439</v>
      </c>
      <c r="F19079" s="0" t="s">
        <v>2439</v>
      </c>
    </row>
    <row r="19080" customFormat="false" ht="12.8" hidden="false" customHeight="false" outlineLevel="0" collapsed="false">
      <c r="B19080" s="0" t="s">
        <v>14</v>
      </c>
      <c r="C19080" s="0" t="s">
        <v>7264</v>
      </c>
      <c r="D19080" s="0" t="s">
        <v>7261</v>
      </c>
      <c r="E19080" s="0" t="s">
        <v>7261</v>
      </c>
      <c r="F19080" s="0" t="s">
        <v>7261</v>
      </c>
    </row>
    <row r="19082" customFormat="false" ht="12.8" hidden="false" customHeight="false" outlineLevel="0" collapsed="false">
      <c r="A19082" s="0" t="s">
        <v>7265</v>
      </c>
      <c r="B19082" s="0" t="str">
        <f aca="false">HYPERLINK("https://lindat.mff.cuni.cz/services/teitok/pdtc10/index.php?action=vallex&amp;frame=v-w2317hsa_130", "navštěvovat (v-w2317hsa_130)")</f>
        <v>navštěvovat (v-w2317hsa_130)</v>
      </c>
    </row>
    <row r="19083" customFormat="false" ht="12.8" hidden="false" customHeight="false" outlineLevel="0" collapsed="false">
      <c r="B19083" s="0" t="s">
        <v>7</v>
      </c>
    </row>
    <row r="19084" customFormat="false" ht="12.8" hidden="false" customHeight="false" outlineLevel="0" collapsed="false">
      <c r="B19084" s="0" t="s">
        <v>14</v>
      </c>
    </row>
    <row r="19086" customFormat="false" ht="12.8" hidden="false" customHeight="false" outlineLevel="0" collapsed="false">
      <c r="A19086" s="0" t="s">
        <v>7266</v>
      </c>
      <c r="B19086" s="0" t="str">
        <f aca="false">HYPERLINK("https://lindat.mff.cuni.cz/services/teitok/pdtc10/index.php?action=vallex&amp;frame=v-whsa_1683hsa_1684", "navštěvovat se (v-whsa_1683hsa_1684)")</f>
        <v>navštěvovat se (v-whsa_1683hsa_1684)</v>
      </c>
    </row>
    <row r="19087" customFormat="false" ht="12.8" hidden="false" customHeight="false" outlineLevel="0" collapsed="false">
      <c r="B19087" s="0" t="s">
        <v>7</v>
      </c>
    </row>
    <row r="19088" customFormat="false" ht="12.8" hidden="false" customHeight="false" outlineLevel="0" collapsed="false">
      <c r="B19088" s="0" t="s">
        <v>548</v>
      </c>
    </row>
    <row r="19090" customFormat="false" ht="12.8" hidden="false" customHeight="false" outlineLevel="0" collapsed="false">
      <c r="A19090" s="0" t="s">
        <v>7267</v>
      </c>
      <c r="B19090" s="0" t="str">
        <f aca="false">HYPERLINK("https://lindat.mff.cuni.cz/services/teitok/pdtc10/index.php?action=vallex&amp;frame=v-w2329f1", "naznačit (v-w2329f1)")</f>
        <v>naznačit (v-w2329f1)</v>
      </c>
    </row>
    <row r="19091" customFormat="false" ht="12.8" hidden="false" customHeight="false" outlineLevel="0" collapsed="false">
      <c r="B19091" s="0" t="s">
        <v>7</v>
      </c>
      <c r="C19091" s="0" t="s">
        <v>7268</v>
      </c>
      <c r="D19091" s="0" t="s">
        <v>7269</v>
      </c>
      <c r="E19091" s="0" t="s">
        <v>7270</v>
      </c>
      <c r="F19091" s="0" t="s">
        <v>7270</v>
      </c>
    </row>
    <row r="19092" customFormat="false" ht="12.8" hidden="false" customHeight="false" outlineLevel="0" collapsed="false">
      <c r="B19092" s="0" t="s">
        <v>6387</v>
      </c>
      <c r="C19092" s="0" t="s">
        <v>7271</v>
      </c>
      <c r="D19092" s="0" t="s">
        <v>7272</v>
      </c>
      <c r="E19092" s="0" t="s">
        <v>7273</v>
      </c>
      <c r="F19092" s="0" t="s">
        <v>7273</v>
      </c>
    </row>
    <row r="19093" customFormat="false" ht="12.8" hidden="false" customHeight="false" outlineLevel="0" collapsed="false">
      <c r="B19093" s="0" t="s">
        <v>106</v>
      </c>
      <c r="C19093" s="0" t="s">
        <v>7274</v>
      </c>
      <c r="D19093" s="0" t="s">
        <v>7275</v>
      </c>
      <c r="E19093" s="0" t="s">
        <v>7276</v>
      </c>
      <c r="F19093" s="0" t="s">
        <v>7276</v>
      </c>
    </row>
    <row r="19095" customFormat="false" ht="12.8" hidden="false" customHeight="false" outlineLevel="0" collapsed="false">
      <c r="A19095" s="0" t="s">
        <v>7277</v>
      </c>
      <c r="B19095" s="0" t="str">
        <f aca="false">HYPERLINK("https://lindat.mff.cuni.cz/services/teitok/pdtc10/index.php?action=vallex&amp;frame=v-w2330f1", "naznačovat (v-w2330f1)")</f>
        <v>naznačovat (v-w2330f1)</v>
      </c>
    </row>
    <row r="19096" customFormat="false" ht="12.8" hidden="false" customHeight="false" outlineLevel="0" collapsed="false">
      <c r="B19096" s="0" t="s">
        <v>7</v>
      </c>
      <c r="C19096" s="0" t="s">
        <v>7278</v>
      </c>
      <c r="D19096" s="0" t="s">
        <v>6809</v>
      </c>
      <c r="E19096" s="0" t="s">
        <v>6810</v>
      </c>
      <c r="F19096" s="0" t="s">
        <v>6810</v>
      </c>
    </row>
    <row r="19097" customFormat="false" ht="12.8" hidden="false" customHeight="false" outlineLevel="0" collapsed="false">
      <c r="B19097" s="0" t="s">
        <v>6387</v>
      </c>
      <c r="C19097" s="0" t="s">
        <v>7279</v>
      </c>
      <c r="D19097" s="0" t="s">
        <v>6812</v>
      </c>
      <c r="E19097" s="0" t="s">
        <v>6813</v>
      </c>
      <c r="F19097" s="0" t="s">
        <v>6813</v>
      </c>
    </row>
    <row r="19098" customFormat="false" ht="12.8" hidden="false" customHeight="false" outlineLevel="0" collapsed="false">
      <c r="B19098" s="0" t="s">
        <v>48</v>
      </c>
      <c r="C19098" s="0" t="s">
        <v>7280</v>
      </c>
      <c r="D19098" s="0" t="s">
        <v>6185</v>
      </c>
      <c r="E19098" s="0" t="s">
        <v>5001</v>
      </c>
      <c r="F19098" s="0" t="s">
        <v>5001</v>
      </c>
    </row>
    <row r="19100" customFormat="false" ht="12.8" hidden="false" customHeight="false" outlineLevel="0" collapsed="false">
      <c r="A19100" s="0" t="s">
        <v>7281</v>
      </c>
      <c r="B19100" s="0" t="str">
        <f aca="false">HYPERLINK("https://lindat.mff.cuni.cz/services/teitok/pdtc10/index.php?action=vallex&amp;frame=v-w2330f2", "naznačovat (v-w2330f2)")</f>
        <v>naznačovat (v-w2330f2)</v>
      </c>
    </row>
    <row r="19101" customFormat="false" ht="12.8" hidden="false" customHeight="false" outlineLevel="0" collapsed="false">
      <c r="B19101" s="0" t="s">
        <v>7</v>
      </c>
      <c r="C19101" s="0" t="s">
        <v>7282</v>
      </c>
      <c r="D19101" s="0" t="s">
        <v>7269</v>
      </c>
      <c r="E19101" s="0" t="s">
        <v>7270</v>
      </c>
      <c r="F19101" s="0" t="s">
        <v>7270</v>
      </c>
    </row>
    <row r="19102" customFormat="false" ht="12.8" hidden="false" customHeight="false" outlineLevel="0" collapsed="false">
      <c r="B19102" s="0" t="s">
        <v>6431</v>
      </c>
      <c r="C19102" s="0" t="s">
        <v>7283</v>
      </c>
      <c r="D19102" s="0" t="s">
        <v>7284</v>
      </c>
      <c r="E19102" s="0" t="s">
        <v>7285</v>
      </c>
      <c r="F19102" s="0" t="s">
        <v>7285</v>
      </c>
    </row>
    <row r="19103" customFormat="false" ht="12.8" hidden="false" customHeight="false" outlineLevel="0" collapsed="false">
      <c r="B19103" s="0" t="s">
        <v>363</v>
      </c>
      <c r="C19103" s="0" t="s">
        <v>166</v>
      </c>
      <c r="D19103" s="0" t="s">
        <v>7272</v>
      </c>
      <c r="E19103" s="0" t="s">
        <v>7273</v>
      </c>
      <c r="F19103" s="0" t="s">
        <v>7273</v>
      </c>
    </row>
    <row r="19104" customFormat="false" ht="12.8" hidden="false" customHeight="false" outlineLevel="0" collapsed="false">
      <c r="B19104" s="0" t="s">
        <v>106</v>
      </c>
      <c r="C19104" s="0" t="s">
        <v>6185</v>
      </c>
      <c r="D19104" s="0" t="s">
        <v>7275</v>
      </c>
      <c r="E19104" s="0" t="s">
        <v>7276</v>
      </c>
      <c r="F19104" s="0" t="s">
        <v>7276</v>
      </c>
    </row>
    <row r="19106" customFormat="false" ht="12.8" hidden="false" customHeight="false" outlineLevel="0" collapsed="false">
      <c r="A19106" s="0" t="s">
        <v>7286</v>
      </c>
      <c r="B19106" s="0" t="str">
        <f aca="false">HYPERLINK("https://lindat.mff.cuni.cz/services/teitok/pdtc10/index.php?action=vallex&amp;frame=v-w12149_ZUf1_ZU", "nazout (v-w12149_ZUf1_ZU)")</f>
        <v>nazout (v-w12149_ZUf1_ZU)</v>
      </c>
    </row>
    <row r="19107" customFormat="false" ht="12.8" hidden="false" customHeight="false" outlineLevel="0" collapsed="false">
      <c r="B19107" s="0" t="s">
        <v>7</v>
      </c>
    </row>
    <row r="19108" customFormat="false" ht="12.8" hidden="false" customHeight="false" outlineLevel="0" collapsed="false">
      <c r="B19108" s="0" t="s">
        <v>14</v>
      </c>
    </row>
    <row r="19110" customFormat="false" ht="12.8" hidden="false" customHeight="false" outlineLevel="0" collapsed="false">
      <c r="A19110" s="0" t="s">
        <v>7287</v>
      </c>
      <c r="B19110" s="0" t="str">
        <f aca="false">HYPERLINK("https://lindat.mff.cuni.cz/services/teitok/pdtc10/index.php?action=vallex&amp;frame=v-w2335f1", "nazpívat (v-w2335f1)")</f>
        <v>nazpívat (v-w2335f1)</v>
      </c>
    </row>
    <row r="19111" customFormat="false" ht="12.8" hidden="false" customHeight="false" outlineLevel="0" collapsed="false">
      <c r="B19111" s="0" t="s">
        <v>7</v>
      </c>
      <c r="C19111" s="0" t="s">
        <v>88</v>
      </c>
    </row>
    <row r="19112" customFormat="false" ht="12.8" hidden="false" customHeight="false" outlineLevel="0" collapsed="false">
      <c r="B19112" s="0" t="s">
        <v>14</v>
      </c>
      <c r="C19112" s="0" t="s">
        <v>1170</v>
      </c>
    </row>
    <row r="19114" customFormat="false" ht="12.8" hidden="false" customHeight="false" outlineLevel="0" collapsed="false">
      <c r="A19114" s="0" t="s">
        <v>7288</v>
      </c>
      <c r="B19114" s="0" t="str">
        <f aca="false">HYPERLINK("https://lindat.mff.cuni.cz/services/teitok/pdtc10/index.php?action=vallex&amp;frame=v-w2336f1", "nazrát (v-w2336f1)")</f>
        <v>nazrát (v-w2336f1)</v>
      </c>
    </row>
    <row r="19115" customFormat="false" ht="12.8" hidden="false" customHeight="false" outlineLevel="0" collapsed="false">
      <c r="B19115" s="0" t="s">
        <v>7</v>
      </c>
      <c r="D19115" s="0" t="s">
        <v>7289</v>
      </c>
      <c r="E19115" s="0" t="s">
        <v>7289</v>
      </c>
      <c r="F19115" s="0" t="s">
        <v>7289</v>
      </c>
    </row>
    <row r="19117" customFormat="false" ht="12.8" hidden="false" customHeight="false" outlineLevel="0" collapsed="false">
      <c r="A19117" s="0" t="s">
        <v>7290</v>
      </c>
      <c r="B19117" s="0" t="str">
        <f aca="false">HYPERLINK("https://lindat.mff.cuni.cz/services/teitok/pdtc10/index.php?action=vallex&amp;frame=v-w2338f1", "nazvat (v-w2338f1)")</f>
        <v>nazvat (v-w2338f1)</v>
      </c>
    </row>
    <row r="19118" customFormat="false" ht="12.8" hidden="false" customHeight="false" outlineLevel="0" collapsed="false">
      <c r="B19118" s="0" t="s">
        <v>7</v>
      </c>
      <c r="C19118" s="0" t="s">
        <v>429</v>
      </c>
      <c r="D19118" s="0" t="s">
        <v>2266</v>
      </c>
      <c r="E19118" s="0" t="s">
        <v>2266</v>
      </c>
      <c r="F19118" s="0" t="s">
        <v>2266</v>
      </c>
    </row>
    <row r="19119" customFormat="false" ht="12.8" hidden="false" customHeight="false" outlineLevel="0" collapsed="false">
      <c r="B19119" s="0" t="s">
        <v>14</v>
      </c>
      <c r="C19119" s="0" t="s">
        <v>7291</v>
      </c>
      <c r="D19119" s="0" t="s">
        <v>7292</v>
      </c>
      <c r="E19119" s="0" t="s">
        <v>7292</v>
      </c>
      <c r="F19119" s="0" t="s">
        <v>7292</v>
      </c>
    </row>
    <row r="19120" customFormat="false" ht="12.8" hidden="false" customHeight="false" outlineLevel="0" collapsed="false">
      <c r="B19120" s="0" t="s">
        <v>7293</v>
      </c>
      <c r="C19120" s="0" t="s">
        <v>7294</v>
      </c>
      <c r="D19120" s="0" t="s">
        <v>7295</v>
      </c>
      <c r="E19120" s="0" t="s">
        <v>7295</v>
      </c>
      <c r="F19120" s="0" t="s">
        <v>7295</v>
      </c>
    </row>
    <row r="19122" customFormat="false" ht="12.8" hidden="false" customHeight="false" outlineLevel="0" collapsed="false">
      <c r="A19122" s="0" t="s">
        <v>7296</v>
      </c>
      <c r="B19122" s="0" t="str">
        <f aca="false">HYPERLINK("https://lindat.mff.cuni.cz/services/teitok/pdtc10/index.php?action=vallex&amp;frame=v-w2338f2", "nazvat (v-w2338f2)")</f>
        <v>nazvat (v-w2338f2)</v>
      </c>
    </row>
    <row r="19123" customFormat="false" ht="12.8" hidden="false" customHeight="false" outlineLevel="0" collapsed="false">
      <c r="B19123" s="0" t="s">
        <v>7</v>
      </c>
      <c r="C19123" s="0" t="s">
        <v>7297</v>
      </c>
      <c r="D19123" s="0" t="s">
        <v>2266</v>
      </c>
      <c r="E19123" s="0" t="s">
        <v>2266</v>
      </c>
      <c r="F19123" s="0" t="s">
        <v>2266</v>
      </c>
    </row>
    <row r="19124" customFormat="false" ht="12.8" hidden="false" customHeight="false" outlineLevel="0" collapsed="false">
      <c r="B19124" s="0" t="s">
        <v>14</v>
      </c>
      <c r="C19124" s="0" t="s">
        <v>7298</v>
      </c>
      <c r="D19124" s="0" t="s">
        <v>7292</v>
      </c>
      <c r="E19124" s="0" t="s">
        <v>7292</v>
      </c>
      <c r="F19124" s="0" t="s">
        <v>7292</v>
      </c>
    </row>
    <row r="19125" customFormat="false" ht="12.8" hidden="false" customHeight="false" outlineLevel="0" collapsed="false">
      <c r="B19125" s="0" t="s">
        <v>662</v>
      </c>
      <c r="C19125" s="0" t="s">
        <v>7299</v>
      </c>
      <c r="D19125" s="0" t="s">
        <v>7300</v>
      </c>
      <c r="E19125" s="0" t="s">
        <v>7300</v>
      </c>
      <c r="F19125" s="0" t="s">
        <v>7300</v>
      </c>
    </row>
    <row r="19127" customFormat="false" ht="12.8" hidden="false" customHeight="false" outlineLevel="0" collapsed="false">
      <c r="A19127" s="0" t="s">
        <v>7301</v>
      </c>
      <c r="B19127" s="0" t="str">
        <f aca="false">HYPERLINK("https://lindat.mff.cuni.cz/services/teitok/pdtc10/index.php?action=vallex&amp;frame=v-w2328f1", "nazírat (v-w2328f1)")</f>
        <v>nazírat (v-w2328f1)</v>
      </c>
    </row>
    <row r="19128" customFormat="false" ht="12.8" hidden="false" customHeight="false" outlineLevel="0" collapsed="false">
      <c r="B19128" s="0" t="s">
        <v>7</v>
      </c>
    </row>
    <row r="19129" customFormat="false" ht="12.8" hidden="false" customHeight="false" outlineLevel="0" collapsed="false">
      <c r="B19129" s="0" t="s">
        <v>41</v>
      </c>
    </row>
    <row r="19130" customFormat="false" ht="12.8" hidden="false" customHeight="false" outlineLevel="0" collapsed="false">
      <c r="B19130" s="0" t="s">
        <v>3398</v>
      </c>
    </row>
    <row r="19131" customFormat="false" ht="12.8" hidden="false" customHeight="false" outlineLevel="0" collapsed="false">
      <c r="B19131" s="0" t="s">
        <v>474</v>
      </c>
    </row>
    <row r="19132" customFormat="false" ht="12.8" hidden="false" customHeight="false" outlineLevel="0" collapsed="false">
      <c r="B19132" s="0" t="s">
        <v>479</v>
      </c>
    </row>
    <row r="19133" customFormat="false" ht="12.8" hidden="false" customHeight="false" outlineLevel="0" collapsed="false">
      <c r="B19133" s="0" t="s">
        <v>481</v>
      </c>
    </row>
    <row r="19134" customFormat="false" ht="12.8" hidden="false" customHeight="false" outlineLevel="0" collapsed="false">
      <c r="B19134" s="0" t="s">
        <v>483</v>
      </c>
    </row>
    <row r="19136" customFormat="false" ht="12.8" hidden="false" customHeight="false" outlineLevel="0" collapsed="false">
      <c r="A19136" s="0" t="s">
        <v>7302</v>
      </c>
      <c r="B19136" s="0" t="str">
        <f aca="false">HYPERLINK("https://lindat.mff.cuni.cz/services/teitok/pdtc10/index.php?action=vallex&amp;frame=v-w2340f1", "nazývat (v-w2340f1)")</f>
        <v>nazývat (v-w2340f1)</v>
      </c>
    </row>
    <row r="19137" customFormat="false" ht="12.8" hidden="false" customHeight="false" outlineLevel="0" collapsed="false">
      <c r="B19137" s="0" t="s">
        <v>7</v>
      </c>
      <c r="C19137" s="0" t="s">
        <v>7303</v>
      </c>
      <c r="D19137" s="0" t="s">
        <v>2266</v>
      </c>
      <c r="E19137" s="0" t="s">
        <v>2266</v>
      </c>
      <c r="F19137" s="0" t="s">
        <v>2266</v>
      </c>
    </row>
    <row r="19138" customFormat="false" ht="12.8" hidden="false" customHeight="false" outlineLevel="0" collapsed="false">
      <c r="B19138" s="0" t="s">
        <v>14</v>
      </c>
      <c r="C19138" s="0" t="s">
        <v>166</v>
      </c>
      <c r="D19138" s="0" t="s">
        <v>7292</v>
      </c>
      <c r="E19138" s="0" t="s">
        <v>7292</v>
      </c>
      <c r="F19138" s="0" t="s">
        <v>7292</v>
      </c>
    </row>
    <row r="19139" customFormat="false" ht="12.8" hidden="false" customHeight="false" outlineLevel="0" collapsed="false">
      <c r="B19139" s="0" t="s">
        <v>7293</v>
      </c>
      <c r="C19139" s="0" t="s">
        <v>7304</v>
      </c>
      <c r="D19139" s="0" t="s">
        <v>7295</v>
      </c>
      <c r="E19139" s="0" t="s">
        <v>7295</v>
      </c>
      <c r="F19139" s="0" t="s">
        <v>7295</v>
      </c>
    </row>
    <row r="19141" customFormat="false" ht="12.8" hidden="false" customHeight="false" outlineLevel="0" collapsed="false">
      <c r="A19141" s="0" t="s">
        <v>7305</v>
      </c>
      <c r="B19141" s="0" t="str">
        <f aca="false">HYPERLINK("https://lindat.mff.cuni.cz/services/teitok/pdtc10/index.php?action=vallex&amp;frame=v-w2340f2", "nazývat (v-w2340f2)")</f>
        <v>nazývat (v-w2340f2)</v>
      </c>
    </row>
    <row r="19142" customFormat="false" ht="12.8" hidden="false" customHeight="false" outlineLevel="0" collapsed="false">
      <c r="B19142" s="0" t="s">
        <v>7</v>
      </c>
      <c r="C19142" s="0" t="s">
        <v>7297</v>
      </c>
      <c r="D19142" s="0" t="s">
        <v>2266</v>
      </c>
      <c r="E19142" s="0" t="s">
        <v>2266</v>
      </c>
      <c r="F19142" s="0" t="s">
        <v>2266</v>
      </c>
    </row>
    <row r="19143" customFormat="false" ht="12.8" hidden="false" customHeight="false" outlineLevel="0" collapsed="false">
      <c r="B19143" s="0" t="s">
        <v>14</v>
      </c>
      <c r="C19143" s="0" t="s">
        <v>7298</v>
      </c>
      <c r="D19143" s="0" t="s">
        <v>7292</v>
      </c>
      <c r="E19143" s="0" t="s">
        <v>7292</v>
      </c>
      <c r="F19143" s="0" t="s">
        <v>7292</v>
      </c>
    </row>
    <row r="19144" customFormat="false" ht="12.8" hidden="false" customHeight="false" outlineLevel="0" collapsed="false">
      <c r="B19144" s="0" t="s">
        <v>662</v>
      </c>
      <c r="C19144" s="0" t="s">
        <v>7299</v>
      </c>
      <c r="D19144" s="0" t="s">
        <v>7300</v>
      </c>
      <c r="E19144" s="0" t="s">
        <v>7300</v>
      </c>
      <c r="F19144" s="0" t="s">
        <v>7300</v>
      </c>
    </row>
    <row r="19146" customFormat="false" ht="12.8" hidden="false" customHeight="false" outlineLevel="0" collapsed="false">
      <c r="A19146" s="0" t="s">
        <v>7306</v>
      </c>
      <c r="B19146" s="0" t="str">
        <f aca="false">HYPERLINK("https://lindat.mff.cuni.cz/services/teitok/pdtc10/index.php?action=vallex&amp;frame=v-w2341f1", "nazývat se (v-w2341f1)")</f>
        <v>nazývat se (v-w2341f1)</v>
      </c>
    </row>
    <row r="19147" customFormat="false" ht="12.8" hidden="false" customHeight="false" outlineLevel="0" collapsed="false">
      <c r="B19147" s="0" t="s">
        <v>7</v>
      </c>
      <c r="C19147" s="0" t="s">
        <v>7307</v>
      </c>
      <c r="D19147" s="0" t="s">
        <v>4367</v>
      </c>
      <c r="E19147" s="0" t="s">
        <v>4367</v>
      </c>
      <c r="F19147" s="0" t="s">
        <v>4367</v>
      </c>
    </row>
    <row r="19148" customFormat="false" ht="12.8" hidden="false" customHeight="false" outlineLevel="0" collapsed="false">
      <c r="B19148" s="0" t="s">
        <v>7308</v>
      </c>
      <c r="C19148" s="0" t="s">
        <v>7309</v>
      </c>
      <c r="D19148" s="0" t="s">
        <v>4369</v>
      </c>
      <c r="E19148" s="0" t="s">
        <v>4369</v>
      </c>
      <c r="F19148" s="0" t="s">
        <v>4369</v>
      </c>
    </row>
    <row r="19150" customFormat="false" ht="12.8" hidden="false" customHeight="false" outlineLevel="0" collapsed="false">
      <c r="A19150" s="0" t="s">
        <v>7310</v>
      </c>
      <c r="B19150" s="0" t="str">
        <f aca="false">HYPERLINK("https://lindat.mff.cuni.cz/services/teitok/pdtc10/index.php?action=vallex&amp;frame=v-w2341f2", "nazývat se (v-w2341f2)")</f>
        <v>nazývat se (v-w2341f2)</v>
      </c>
    </row>
    <row r="19151" customFormat="false" ht="12.8" hidden="false" customHeight="false" outlineLevel="0" collapsed="false">
      <c r="B19151" s="0" t="s">
        <v>7</v>
      </c>
      <c r="C19151" s="0" t="s">
        <v>7311</v>
      </c>
    </row>
    <row r="19152" customFormat="false" ht="12.8" hidden="false" customHeight="false" outlineLevel="0" collapsed="false">
      <c r="B19152" s="0" t="s">
        <v>662</v>
      </c>
      <c r="C19152" s="0" t="s">
        <v>7299</v>
      </c>
    </row>
    <row r="19154" customFormat="false" ht="12.8" hidden="false" customHeight="false" outlineLevel="0" collapsed="false">
      <c r="A19154" s="0" t="s">
        <v>7312</v>
      </c>
      <c r="B19154" s="0" t="str">
        <f aca="false">HYPERLINK("https://lindat.mff.cuni.cz/services/teitok/pdtc10/index.php?action=vallex&amp;frame=v-w2285f1", "naúčtovat (v-w2285f1)")</f>
        <v>naúčtovat (v-w2285f1)</v>
      </c>
    </row>
    <row r="19155" customFormat="false" ht="12.8" hidden="false" customHeight="false" outlineLevel="0" collapsed="false">
      <c r="B19155" s="0" t="s">
        <v>7</v>
      </c>
    </row>
    <row r="19156" customFormat="false" ht="12.8" hidden="false" customHeight="false" outlineLevel="0" collapsed="false">
      <c r="B19156" s="0" t="s">
        <v>14</v>
      </c>
    </row>
    <row r="19157" customFormat="false" ht="12.8" hidden="false" customHeight="false" outlineLevel="0" collapsed="false">
      <c r="B19157" s="0" t="s">
        <v>48</v>
      </c>
    </row>
    <row r="19158" customFormat="false" ht="12.8" hidden="false" customHeight="false" outlineLevel="0" collapsed="false">
      <c r="B19158" s="0" t="s">
        <v>550</v>
      </c>
    </row>
    <row r="19160" customFormat="false" ht="12.8" hidden="false" customHeight="false" outlineLevel="0" collapsed="false">
      <c r="A19160" s="0" t="s">
        <v>7313</v>
      </c>
      <c r="B19160" s="0" t="str">
        <f aca="false">HYPERLINK("https://lindat.mff.cuni.cz/services/teitok/pdtc10/index.php?action=vallex&amp;frame=v-w12381_MMf1_MM", "načančat (v-w12381_MMf1_MM)")</f>
        <v>načančat (v-w12381_MMf1_MM)</v>
      </c>
    </row>
    <row r="19161" customFormat="false" ht="12.8" hidden="false" customHeight="false" outlineLevel="0" collapsed="false">
      <c r="B19161" s="0" t="s">
        <v>7</v>
      </c>
    </row>
    <row r="19162" customFormat="false" ht="12.8" hidden="false" customHeight="false" outlineLevel="0" collapsed="false">
      <c r="B19162" s="0" t="s">
        <v>14</v>
      </c>
    </row>
    <row r="19164" customFormat="false" ht="12.8" hidden="false" customHeight="false" outlineLevel="0" collapsed="false">
      <c r="A19164" s="0" t="s">
        <v>7314</v>
      </c>
      <c r="B19164" s="0" t="str">
        <f aca="false">HYPERLINK("https://lindat.mff.cuni.cz/services/teitok/pdtc10/index.php?action=vallex&amp;frame=v-w12040_ZUf1_ZU", "načapat (v-w12040_ZUf1_ZU)")</f>
        <v>načapat (v-w12040_ZUf1_ZU)</v>
      </c>
    </row>
    <row r="19165" customFormat="false" ht="12.8" hidden="false" customHeight="false" outlineLevel="0" collapsed="false">
      <c r="B19165" s="0" t="s">
        <v>7</v>
      </c>
    </row>
    <row r="19166" customFormat="false" ht="12.8" hidden="false" customHeight="false" outlineLevel="0" collapsed="false">
      <c r="B19166" s="0" t="s">
        <v>14</v>
      </c>
    </row>
    <row r="19168" customFormat="false" ht="12.8" hidden="false" customHeight="false" outlineLevel="0" collapsed="false">
      <c r="A19168" s="0" t="s">
        <v>7315</v>
      </c>
      <c r="B19168" s="0" t="str">
        <f aca="false">HYPERLINK("https://lindat.mff.cuni.cz/services/teitok/pdtc10/index.php?action=vallex&amp;frame=v-w1964hsa_1177", "načasovat (v-w1964hsa_1177)")</f>
        <v>načasovat (v-w1964hsa_1177)</v>
      </c>
    </row>
    <row r="19169" customFormat="false" ht="12.8" hidden="false" customHeight="false" outlineLevel="0" collapsed="false">
      <c r="B19169" s="0" t="s">
        <v>7</v>
      </c>
    </row>
    <row r="19170" customFormat="false" ht="12.8" hidden="false" customHeight="false" outlineLevel="0" collapsed="false">
      <c r="B19170" s="0" t="s">
        <v>232</v>
      </c>
    </row>
    <row r="19172" customFormat="false" ht="12.8" hidden="false" customHeight="false" outlineLevel="0" collapsed="false">
      <c r="A19172" s="0" t="s">
        <v>7315</v>
      </c>
      <c r="B19172" s="0" t="str">
        <f aca="false">HYPERLINK("https://lindat.mff.cuni.cz/services/teitok/pdtc10/index.php?action=vallex&amp;frame=v-w1964f1", "načasovat (v-w1964f1) - substituted with v-w1964hsa_1177")</f>
        <v>načasovat (v-w1964f1) - substituted with v-w1964hsa_1177</v>
      </c>
    </row>
    <row r="19173" customFormat="false" ht="12.8" hidden="false" customHeight="false" outlineLevel="0" collapsed="false">
      <c r="B19173" s="0" t="s">
        <v>7</v>
      </c>
      <c r="C19173" s="0" t="s">
        <v>248</v>
      </c>
    </row>
    <row r="19174" customFormat="false" ht="12.8" hidden="false" customHeight="false" outlineLevel="0" collapsed="false">
      <c r="B19174" s="0" t="s">
        <v>232</v>
      </c>
      <c r="C19174" s="0" t="s">
        <v>1170</v>
      </c>
    </row>
    <row r="19176" customFormat="false" ht="12.8" hidden="false" customHeight="false" outlineLevel="0" collapsed="false">
      <c r="A19176" s="0" t="s">
        <v>7316</v>
      </c>
      <c r="B19176" s="0" t="str">
        <f aca="false">HYPERLINK("https://lindat.mff.cuni.cz/services/teitok/pdtc10/index.php?action=vallex&amp;frame=v-w1964f2", "načasovat (v-w1964f2)")</f>
        <v>načasovat (v-w1964f2)</v>
      </c>
    </row>
    <row r="19177" customFormat="false" ht="12.8" hidden="false" customHeight="false" outlineLevel="0" collapsed="false">
      <c r="B19177" s="0" t="s">
        <v>7</v>
      </c>
    </row>
    <row r="19178" customFormat="false" ht="12.8" hidden="false" customHeight="false" outlineLevel="0" collapsed="false">
      <c r="B19178" s="0" t="s">
        <v>14</v>
      </c>
    </row>
    <row r="19180" customFormat="false" ht="12.8" hidden="false" customHeight="false" outlineLevel="0" collapsed="false">
      <c r="A19180" s="0" t="s">
        <v>7317</v>
      </c>
      <c r="B19180" s="0" t="str">
        <f aca="false">HYPERLINK("https://lindat.mff.cuni.cz/services/teitok/pdtc10/index.php?action=vallex&amp;frame=v-w1965f1", "načechrat (v-w1965f1)")</f>
        <v>načechrat (v-w1965f1)</v>
      </c>
    </row>
    <row r="19181" customFormat="false" ht="12.8" hidden="false" customHeight="false" outlineLevel="0" collapsed="false">
      <c r="B19181" s="0" t="s">
        <v>7</v>
      </c>
    </row>
    <row r="19182" customFormat="false" ht="12.8" hidden="false" customHeight="false" outlineLevel="0" collapsed="false">
      <c r="B19182" s="0" t="s">
        <v>14</v>
      </c>
    </row>
    <row r="19184" customFormat="false" ht="12.8" hidden="false" customHeight="false" outlineLevel="0" collapsed="false">
      <c r="A19184" s="0" t="s">
        <v>7318</v>
      </c>
      <c r="B19184" s="0" t="str">
        <f aca="false">HYPERLINK("https://lindat.mff.cuni.cz/services/teitok/pdtc10/index.php?action=vallex&amp;frame=v-w12290_MMf1_MM", "načepovat (v-w12290_MMf1_MM)")</f>
        <v>načepovat (v-w12290_MMf1_MM)</v>
      </c>
    </row>
    <row r="19185" customFormat="false" ht="12.8" hidden="false" customHeight="false" outlineLevel="0" collapsed="false">
      <c r="B19185" s="0" t="s">
        <v>7</v>
      </c>
    </row>
    <row r="19186" customFormat="false" ht="12.8" hidden="false" customHeight="false" outlineLevel="0" collapsed="false">
      <c r="B19186" s="0" t="s">
        <v>14</v>
      </c>
    </row>
    <row r="19187" customFormat="false" ht="12.8" hidden="false" customHeight="false" outlineLevel="0" collapsed="false">
      <c r="B19187" s="0" t="s">
        <v>124</v>
      </c>
    </row>
    <row r="19189" customFormat="false" ht="12.8" hidden="false" customHeight="false" outlineLevel="0" collapsed="false">
      <c r="A19189" s="0" t="s">
        <v>7319</v>
      </c>
      <c r="B19189" s="0" t="str">
        <f aca="false">HYPERLINK("https://lindat.mff.cuni.cz/services/teitok/pdtc10/index.php?action=vallex&amp;frame=v-w12290_MMf2_MM", "načepovat (v-w12290_MMf2_MM)")</f>
        <v>načepovat (v-w12290_MMf2_MM)</v>
      </c>
    </row>
    <row r="19190" customFormat="false" ht="12.8" hidden="false" customHeight="false" outlineLevel="0" collapsed="false">
      <c r="B19190" s="0" t="s">
        <v>7</v>
      </c>
    </row>
    <row r="19191" customFormat="false" ht="12.8" hidden="false" customHeight="false" outlineLevel="0" collapsed="false">
      <c r="B19191" s="0" t="s">
        <v>14</v>
      </c>
    </row>
    <row r="19192" customFormat="false" ht="12.8" hidden="false" customHeight="false" outlineLevel="0" collapsed="false">
      <c r="B19192" s="0" t="s">
        <v>106</v>
      </c>
    </row>
    <row r="19194" customFormat="false" ht="12.8" hidden="false" customHeight="false" outlineLevel="0" collapsed="false">
      <c r="A19194" s="0" t="s">
        <v>7320</v>
      </c>
      <c r="B19194" s="0" t="str">
        <f aca="false">HYPERLINK("https://lindat.mff.cuni.cz/services/teitok/pdtc10/index.php?action=vallex&amp;frame=v-w10309f2", "načerpat (v-w10309f2)")</f>
        <v>načerpat (v-w10309f2)</v>
      </c>
    </row>
    <row r="19195" customFormat="false" ht="12.8" hidden="false" customHeight="false" outlineLevel="0" collapsed="false">
      <c r="B19195" s="0" t="s">
        <v>7</v>
      </c>
      <c r="C19195" s="0" t="s">
        <v>46</v>
      </c>
    </row>
    <row r="19196" customFormat="false" ht="12.8" hidden="false" customHeight="false" outlineLevel="0" collapsed="false">
      <c r="B19196" s="0" t="s">
        <v>14</v>
      </c>
      <c r="C19196" s="0" t="s">
        <v>384</v>
      </c>
    </row>
    <row r="19197" customFormat="false" ht="12.8" hidden="false" customHeight="false" outlineLevel="0" collapsed="false">
      <c r="B19197" s="0" t="s">
        <v>7321</v>
      </c>
    </row>
    <row r="19199" customFormat="false" ht="12.8" hidden="false" customHeight="false" outlineLevel="0" collapsed="false">
      <c r="A19199" s="0" t="s">
        <v>7322</v>
      </c>
      <c r="B19199" s="0" t="str">
        <f aca="false">HYPERLINK("https://lindat.mff.cuni.cz/services/teitok/pdtc10/index.php?action=vallex&amp;frame=v-w11763_ZUf1_ZU", "načesat (v-w11763_ZUf1_ZU)")</f>
        <v>načesat (v-w11763_ZUf1_ZU)</v>
      </c>
    </row>
    <row r="19200" customFormat="false" ht="12.8" hidden="false" customHeight="false" outlineLevel="0" collapsed="false">
      <c r="B19200" s="0" t="s">
        <v>7</v>
      </c>
    </row>
    <row r="19201" customFormat="false" ht="12.8" hidden="false" customHeight="false" outlineLevel="0" collapsed="false">
      <c r="B19201" s="0" t="s">
        <v>14</v>
      </c>
    </row>
    <row r="19203" customFormat="false" ht="12.8" hidden="false" customHeight="false" outlineLevel="0" collapsed="false">
      <c r="A19203" s="0" t="s">
        <v>7323</v>
      </c>
      <c r="B19203" s="0" t="str">
        <f aca="false">HYPERLINK("https://lindat.mff.cuni.cz/services/teitok/pdtc10/index.php?action=vallex&amp;frame=v-w10429f2", "načmárat (v-w10429f2)")</f>
        <v>načmárat (v-w10429f2)</v>
      </c>
    </row>
    <row r="19204" customFormat="false" ht="12.8" hidden="false" customHeight="false" outlineLevel="0" collapsed="false">
      <c r="B19204" s="0" t="s">
        <v>7</v>
      </c>
    </row>
    <row r="19205" customFormat="false" ht="12.8" hidden="false" customHeight="false" outlineLevel="0" collapsed="false">
      <c r="B19205" s="0" t="s">
        <v>6839</v>
      </c>
    </row>
    <row r="19206" customFormat="false" ht="12.8" hidden="false" customHeight="false" outlineLevel="0" collapsed="false">
      <c r="B19206" s="0" t="s">
        <v>124</v>
      </c>
    </row>
    <row r="19208" customFormat="false" ht="12.8" hidden="false" customHeight="false" outlineLevel="0" collapsed="false">
      <c r="A19208" s="0" t="s">
        <v>7324</v>
      </c>
      <c r="B19208" s="0" t="str">
        <f aca="false">HYPERLINK("https://lindat.mff.cuni.cz/services/teitok/pdtc10/index.php?action=vallex&amp;frame=v-w1969f1", "načrtnout (v-w1969f1)")</f>
        <v>načrtnout (v-w1969f1)</v>
      </c>
    </row>
    <row r="19209" customFormat="false" ht="12.8" hidden="false" customHeight="false" outlineLevel="0" collapsed="false">
      <c r="B19209" s="0" t="s">
        <v>7</v>
      </c>
      <c r="C19209" s="0" t="s">
        <v>1874</v>
      </c>
      <c r="D19209" s="0" t="s">
        <v>3803</v>
      </c>
      <c r="E19209" s="0" t="s">
        <v>3803</v>
      </c>
      <c r="F19209" s="0" t="s">
        <v>3803</v>
      </c>
    </row>
    <row r="19210" customFormat="false" ht="12.8" hidden="false" customHeight="false" outlineLevel="0" collapsed="false">
      <c r="B19210" s="0" t="s">
        <v>14</v>
      </c>
      <c r="C19210" s="0" t="s">
        <v>2666</v>
      </c>
      <c r="D19210" s="0" t="s">
        <v>1467</v>
      </c>
      <c r="E19210" s="0" t="s">
        <v>1467</v>
      </c>
      <c r="F19210" s="0" t="s">
        <v>1467</v>
      </c>
    </row>
    <row r="19212" customFormat="false" ht="12.8" hidden="false" customHeight="false" outlineLevel="0" collapsed="false">
      <c r="A19212" s="0" t="s">
        <v>7325</v>
      </c>
      <c r="B19212" s="0" t="str">
        <f aca="false">HYPERLINK("https://lindat.mff.cuni.cz/services/teitok/pdtc10/index.php?action=vallex&amp;frame=v-w1967f1", "načrtávat (v-w1967f1)")</f>
        <v>načrtávat (v-w1967f1)</v>
      </c>
    </row>
    <row r="19213" customFormat="false" ht="12.8" hidden="false" customHeight="false" outlineLevel="0" collapsed="false">
      <c r="B19213" s="0" t="s">
        <v>7</v>
      </c>
      <c r="D19213" s="0" t="s">
        <v>3803</v>
      </c>
      <c r="E19213" s="0" t="s">
        <v>3803</v>
      </c>
      <c r="F19213" s="0" t="s">
        <v>3803</v>
      </c>
    </row>
    <row r="19214" customFormat="false" ht="12.8" hidden="false" customHeight="false" outlineLevel="0" collapsed="false">
      <c r="B19214" s="0" t="s">
        <v>14</v>
      </c>
      <c r="D19214" s="0" t="s">
        <v>1467</v>
      </c>
      <c r="E19214" s="0" t="s">
        <v>1467</v>
      </c>
      <c r="F19214" s="0" t="s">
        <v>1467</v>
      </c>
    </row>
    <row r="19216" customFormat="false" ht="12.8" hidden="false" customHeight="false" outlineLevel="0" collapsed="false">
      <c r="A19216" s="0" t="s">
        <v>7326</v>
      </c>
      <c r="B19216" s="0" t="str">
        <f aca="false">HYPERLINK("https://lindat.mff.cuni.cz/services/teitok/pdtc10/index.php?action=vallex&amp;frame=v-whsa_468hsa_469", "načíst (v-whsa_468hsa_469)")</f>
        <v>načíst (v-whsa_468hsa_469)</v>
      </c>
    </row>
    <row r="19217" customFormat="false" ht="12.8" hidden="false" customHeight="false" outlineLevel="0" collapsed="false">
      <c r="B19217" s="0" t="s">
        <v>7</v>
      </c>
    </row>
    <row r="19218" customFormat="false" ht="12.8" hidden="false" customHeight="false" outlineLevel="0" collapsed="false">
      <c r="B19218" s="0" t="s">
        <v>14</v>
      </c>
    </row>
    <row r="19220" customFormat="false" ht="12.8" hidden="false" customHeight="false" outlineLevel="0" collapsed="false">
      <c r="A19220" s="0" t="s">
        <v>7327</v>
      </c>
      <c r="B19220" s="0" t="str">
        <f aca="false">HYPERLINK("https://lindat.mff.cuni.cz/services/teitok/pdtc10/index.php?action=vallex&amp;frame=v-w1966f1", "načít (v-w1966f1)")</f>
        <v>načít (v-w1966f1)</v>
      </c>
    </row>
    <row r="19221" customFormat="false" ht="12.8" hidden="false" customHeight="false" outlineLevel="0" collapsed="false">
      <c r="B19221" s="0" t="s">
        <v>7</v>
      </c>
    </row>
    <row r="19222" customFormat="false" ht="12.8" hidden="false" customHeight="false" outlineLevel="0" collapsed="false">
      <c r="B19222" s="0" t="s">
        <v>14</v>
      </c>
    </row>
    <row r="19224" customFormat="false" ht="12.8" hidden="false" customHeight="false" outlineLevel="0" collapsed="false">
      <c r="A19224" s="0" t="s">
        <v>7328</v>
      </c>
      <c r="B19224" s="0" t="str">
        <f aca="false">HYPERLINK("https://lindat.mff.cuni.cz/services/teitok/pdtc10/index.php?action=vallex&amp;frame=v-whsa_1246hsa_1247", "načítat (v-whsa_1246hsa_1247)")</f>
        <v>načítat (v-whsa_1246hsa_1247)</v>
      </c>
    </row>
    <row r="19225" customFormat="false" ht="12.8" hidden="false" customHeight="false" outlineLevel="0" collapsed="false">
      <c r="B19225" s="0" t="s">
        <v>7</v>
      </c>
      <c r="C19225" s="0" t="s">
        <v>316</v>
      </c>
    </row>
    <row r="19226" customFormat="false" ht="12.8" hidden="false" customHeight="false" outlineLevel="0" collapsed="false">
      <c r="B19226" s="0" t="s">
        <v>14</v>
      </c>
      <c r="C19226" s="0" t="s">
        <v>2685</v>
      </c>
    </row>
    <row r="19228" customFormat="false" ht="12.8" hidden="false" customHeight="false" outlineLevel="0" collapsed="false">
      <c r="A19228" s="0" t="s">
        <v>7329</v>
      </c>
      <c r="B19228" s="0" t="str">
        <f aca="false">HYPERLINK("https://lindat.mff.cuni.cz/services/teitok/pdtc10/index.php?action=vallex&amp;frame=v-w10963f2", "nařezat (v-w10963f2)")</f>
        <v>nařezat (v-w10963f2)</v>
      </c>
    </row>
    <row r="19229" customFormat="false" ht="12.8" hidden="false" customHeight="false" outlineLevel="0" collapsed="false">
      <c r="B19229" s="0" t="s">
        <v>7</v>
      </c>
      <c r="C19229" s="0" t="s">
        <v>184</v>
      </c>
      <c r="D19229" s="0" t="s">
        <v>7330</v>
      </c>
      <c r="E19229" s="0" t="s">
        <v>7330</v>
      </c>
      <c r="F19229" s="0" t="s">
        <v>7330</v>
      </c>
    </row>
    <row r="19230" customFormat="false" ht="12.8" hidden="false" customHeight="false" outlineLevel="0" collapsed="false">
      <c r="B19230" s="0" t="s">
        <v>14</v>
      </c>
      <c r="C19230" s="0" t="s">
        <v>384</v>
      </c>
      <c r="D19230" s="0" t="s">
        <v>7331</v>
      </c>
      <c r="E19230" s="0" t="s">
        <v>7331</v>
      </c>
      <c r="F19230" s="0" t="s">
        <v>7331</v>
      </c>
    </row>
    <row r="19231" customFormat="false" ht="12.8" hidden="false" customHeight="false" outlineLevel="0" collapsed="false">
      <c r="B19231" s="0" t="s">
        <v>4978</v>
      </c>
      <c r="D19231" s="0" t="s">
        <v>7332</v>
      </c>
      <c r="E19231" s="0" t="s">
        <v>7332</v>
      </c>
      <c r="F19231" s="0" t="s">
        <v>7332</v>
      </c>
    </row>
    <row r="19233" customFormat="false" ht="12.8" hidden="false" customHeight="false" outlineLevel="0" collapsed="false">
      <c r="A19233" s="0" t="s">
        <v>7333</v>
      </c>
      <c r="B19233" s="0" t="str">
        <f aca="false">HYPERLINK("https://lindat.mff.cuni.cz/services/teitok/pdtc10/index.php?action=vallex&amp;frame=v-w2197f1", "nařizovat (v-w2197f1)")</f>
        <v>nařizovat (v-w2197f1)</v>
      </c>
    </row>
    <row r="19234" customFormat="false" ht="12.8" hidden="false" customHeight="false" outlineLevel="0" collapsed="false">
      <c r="B19234" s="0" t="s">
        <v>7</v>
      </c>
      <c r="C19234" s="0" t="s">
        <v>7334</v>
      </c>
      <c r="D19234" s="0" t="s">
        <v>316</v>
      </c>
      <c r="E19234" s="0" t="s">
        <v>316</v>
      </c>
      <c r="F19234" s="0" t="s">
        <v>316</v>
      </c>
    </row>
    <row r="19235" customFormat="false" ht="12.8" hidden="false" customHeight="false" outlineLevel="0" collapsed="false">
      <c r="B19235" s="0" t="s">
        <v>1599</v>
      </c>
      <c r="C19235" s="0" t="s">
        <v>7335</v>
      </c>
      <c r="D19235" s="0" t="s">
        <v>1600</v>
      </c>
      <c r="E19235" s="0" t="s">
        <v>1600</v>
      </c>
      <c r="F19235" s="0" t="s">
        <v>1600</v>
      </c>
    </row>
    <row r="19236" customFormat="false" ht="12.8" hidden="false" customHeight="false" outlineLevel="0" collapsed="false">
      <c r="B19236" s="0" t="s">
        <v>48</v>
      </c>
      <c r="C19236" s="0" t="s">
        <v>7336</v>
      </c>
      <c r="D19236" s="0" t="s">
        <v>1601</v>
      </c>
      <c r="E19236" s="0" t="s">
        <v>1601</v>
      </c>
      <c r="F19236" s="0" t="s">
        <v>1601</v>
      </c>
    </row>
    <row r="19238" customFormat="false" ht="12.8" hidden="false" customHeight="false" outlineLevel="0" collapsed="false">
      <c r="A19238" s="0" t="s">
        <v>7337</v>
      </c>
      <c r="B19238" s="0" t="str">
        <f aca="false">HYPERLINK("https://lindat.mff.cuni.cz/services/teitok/pdtc10/index.php?action=vallex&amp;frame=v-w2197f2", "nařizovat (v-w2197f2)")</f>
        <v>nařizovat (v-w2197f2)</v>
      </c>
    </row>
    <row r="19239" customFormat="false" ht="12.8" hidden="false" customHeight="false" outlineLevel="0" collapsed="false">
      <c r="B19239" s="0" t="s">
        <v>7</v>
      </c>
    </row>
    <row r="19240" customFormat="false" ht="12.8" hidden="false" customHeight="false" outlineLevel="0" collapsed="false">
      <c r="B19240" s="0" t="s">
        <v>14</v>
      </c>
    </row>
    <row r="19242" customFormat="false" ht="12.8" hidden="false" customHeight="false" outlineLevel="0" collapsed="false">
      <c r="A19242" s="0" t="s">
        <v>7338</v>
      </c>
      <c r="B19242" s="0" t="str">
        <f aca="false">HYPERLINK("https://lindat.mff.cuni.cz/services/teitok/pdtc10/index.php?action=vallex&amp;frame=v-w2199f1", "nařknout (v-w2199f1)")</f>
        <v>nařknout (v-w2199f1)</v>
      </c>
    </row>
    <row r="19243" customFormat="false" ht="12.8" hidden="false" customHeight="false" outlineLevel="0" collapsed="false">
      <c r="B19243" s="0" t="s">
        <v>7</v>
      </c>
      <c r="C19243" s="0" t="s">
        <v>2431</v>
      </c>
      <c r="D19243" s="0" t="s">
        <v>3303</v>
      </c>
      <c r="E19243" s="0" t="s">
        <v>3303</v>
      </c>
      <c r="F19243" s="0" t="s">
        <v>3303</v>
      </c>
    </row>
    <row r="19244" customFormat="false" ht="12.8" hidden="false" customHeight="false" outlineLevel="0" collapsed="false">
      <c r="B19244" s="0" t="s">
        <v>81</v>
      </c>
      <c r="C19244" s="0" t="s">
        <v>7339</v>
      </c>
      <c r="D19244" s="0" t="s">
        <v>3308</v>
      </c>
      <c r="E19244" s="0" t="s">
        <v>3308</v>
      </c>
      <c r="F19244" s="0" t="s">
        <v>3308</v>
      </c>
    </row>
    <row r="19245" customFormat="false" ht="12.8" hidden="false" customHeight="false" outlineLevel="0" collapsed="false">
      <c r="B19245" s="0" t="s">
        <v>7340</v>
      </c>
      <c r="C19245" s="0" t="s">
        <v>7341</v>
      </c>
      <c r="D19245" s="0" t="s">
        <v>3306</v>
      </c>
      <c r="E19245" s="0" t="s">
        <v>3306</v>
      </c>
      <c r="F19245" s="0" t="s">
        <v>3306</v>
      </c>
    </row>
    <row r="19247" customFormat="false" ht="12.8" hidden="false" customHeight="false" outlineLevel="0" collapsed="false">
      <c r="A19247" s="0" t="s">
        <v>7342</v>
      </c>
      <c r="B19247" s="0" t="str">
        <f aca="false">HYPERLINK("https://lindat.mff.cuni.cz/services/teitok/pdtc10/index.php?action=vallex&amp;frame=v-w2192hsa_777", "nařídit (v-w2192hsa_777)")</f>
        <v>nařídit (v-w2192hsa_777)</v>
      </c>
    </row>
    <row r="19248" customFormat="false" ht="12.8" hidden="false" customHeight="false" outlineLevel="0" collapsed="false">
      <c r="B19248" s="0" t="s">
        <v>7</v>
      </c>
      <c r="D19248" s="0" t="s">
        <v>316</v>
      </c>
      <c r="E19248" s="0" t="s">
        <v>316</v>
      </c>
      <c r="F19248" s="0" t="s">
        <v>316</v>
      </c>
    </row>
    <row r="19249" customFormat="false" ht="12.8" hidden="false" customHeight="false" outlineLevel="0" collapsed="false">
      <c r="B19249" s="0" t="s">
        <v>2132</v>
      </c>
      <c r="D19249" s="0" t="s">
        <v>1600</v>
      </c>
      <c r="E19249" s="0" t="s">
        <v>1600</v>
      </c>
      <c r="F19249" s="0" t="s">
        <v>1600</v>
      </c>
    </row>
    <row r="19250" customFormat="false" ht="12.8" hidden="false" customHeight="false" outlineLevel="0" collapsed="false">
      <c r="B19250" s="0" t="s">
        <v>48</v>
      </c>
      <c r="D19250" s="0" t="s">
        <v>1601</v>
      </c>
      <c r="E19250" s="0" t="s">
        <v>1601</v>
      </c>
      <c r="F19250" s="0" t="s">
        <v>1601</v>
      </c>
    </row>
    <row r="19252" customFormat="false" ht="12.8" hidden="false" customHeight="false" outlineLevel="0" collapsed="false">
      <c r="A19252" s="0" t="s">
        <v>7342</v>
      </c>
      <c r="B19252" s="0" t="str">
        <f aca="false">HYPERLINK("https://lindat.mff.cuni.cz/services/teitok/pdtc10/index.php?action=vallex&amp;frame=v-w2192f1", "nařídit (v-w2192f1) - substituted with v-w2192hsa_777")</f>
        <v>nařídit (v-w2192f1) - substituted with v-w2192hsa_777</v>
      </c>
    </row>
    <row r="19253" customFormat="false" ht="12.8" hidden="false" customHeight="false" outlineLevel="0" collapsed="false">
      <c r="B19253" s="0" t="s">
        <v>7</v>
      </c>
      <c r="C19253" s="0" t="s">
        <v>7343</v>
      </c>
    </row>
    <row r="19254" customFormat="false" ht="12.8" hidden="false" customHeight="false" outlineLevel="0" collapsed="false">
      <c r="B19254" s="0" t="s">
        <v>2132</v>
      </c>
      <c r="C19254" s="0" t="s">
        <v>7344</v>
      </c>
    </row>
    <row r="19255" customFormat="false" ht="12.8" hidden="false" customHeight="false" outlineLevel="0" collapsed="false">
      <c r="B19255" s="0" t="s">
        <v>48</v>
      </c>
      <c r="C19255" s="0" t="s">
        <v>7345</v>
      </c>
    </row>
    <row r="19257" customFormat="false" ht="12.8" hidden="false" customHeight="false" outlineLevel="0" collapsed="false">
      <c r="A19257" s="0" t="s">
        <v>7346</v>
      </c>
      <c r="B19257" s="0" t="str">
        <f aca="false">HYPERLINK("https://lindat.mff.cuni.cz/services/teitok/pdtc10/index.php?action=vallex&amp;frame=v-w2192f2", "nařídit (v-w2192f2)")</f>
        <v>nařídit (v-w2192f2)</v>
      </c>
    </row>
    <row r="19258" customFormat="false" ht="12.8" hidden="false" customHeight="false" outlineLevel="0" collapsed="false">
      <c r="B19258" s="0" t="s">
        <v>7</v>
      </c>
    </row>
    <row r="19259" customFormat="false" ht="12.8" hidden="false" customHeight="false" outlineLevel="0" collapsed="false">
      <c r="B19259" s="0" t="s">
        <v>14</v>
      </c>
    </row>
    <row r="19261" customFormat="false" ht="12.8" hidden="false" customHeight="false" outlineLevel="0" collapsed="false">
      <c r="A19261" s="0" t="s">
        <v>7347</v>
      </c>
      <c r="B19261" s="0" t="str">
        <f aca="false">HYPERLINK("https://lindat.mff.cuni.cz/services/teitok/pdtc10/index.php?action=vallex&amp;frame=v-w2193hsa_709", "naříkat (v-w2193hsa_709)")</f>
        <v>naříkat (v-w2193hsa_709)</v>
      </c>
    </row>
    <row r="19262" customFormat="false" ht="12.8" hidden="false" customHeight="false" outlineLevel="0" collapsed="false">
      <c r="B19262" s="0" t="s">
        <v>7</v>
      </c>
      <c r="C19262" s="0" t="s">
        <v>191</v>
      </c>
      <c r="D19262" s="0" t="s">
        <v>7348</v>
      </c>
      <c r="E19262" s="0" t="s">
        <v>7348</v>
      </c>
      <c r="F19262" s="0" t="s">
        <v>7348</v>
      </c>
    </row>
    <row r="19263" customFormat="false" ht="12.8" hidden="false" customHeight="false" outlineLevel="0" collapsed="false">
      <c r="B19263" s="0" t="s">
        <v>1092</v>
      </c>
      <c r="C19263" s="0" t="s">
        <v>155</v>
      </c>
      <c r="D19263" s="0" t="s">
        <v>3599</v>
      </c>
      <c r="E19263" s="0" t="s">
        <v>3599</v>
      </c>
      <c r="F19263" s="0" t="s">
        <v>3599</v>
      </c>
    </row>
    <row r="19265" customFormat="false" ht="12.8" hidden="false" customHeight="false" outlineLevel="0" collapsed="false">
      <c r="A19265" s="0" t="s">
        <v>7347</v>
      </c>
      <c r="B19265" s="0" t="str">
        <f aca="false">HYPERLINK("https://lindat.mff.cuni.cz/services/teitok/pdtc10/index.php?action=vallex&amp;frame=v-w2193f1", "naříkat (v-w2193f1) - substituted with v-w2193hsa_709")</f>
        <v>naříkat (v-w2193f1) - substituted with v-w2193hsa_709</v>
      </c>
    </row>
    <row r="19266" customFormat="false" ht="12.8" hidden="false" customHeight="false" outlineLevel="0" collapsed="false">
      <c r="B19266" s="0" t="s">
        <v>7</v>
      </c>
      <c r="C19266" s="0" t="s">
        <v>113</v>
      </c>
    </row>
    <row r="19267" customFormat="false" ht="12.8" hidden="false" customHeight="false" outlineLevel="0" collapsed="false">
      <c r="B19267" s="0" t="s">
        <v>1092</v>
      </c>
      <c r="C19267" s="0" t="s">
        <v>567</v>
      </c>
    </row>
    <row r="19269" customFormat="false" ht="12.8" hidden="false" customHeight="false" outlineLevel="0" collapsed="false">
      <c r="A19269" s="0" t="s">
        <v>7349</v>
      </c>
      <c r="B19269" s="0" t="str">
        <f aca="false">HYPERLINK("https://lindat.mff.cuni.cz/services/teitok/pdtc10/index.php?action=vallex&amp;frame=v-w2196f1", "naříznout (v-w2196f1)")</f>
        <v>naříznout (v-w2196f1)</v>
      </c>
    </row>
    <row r="19270" customFormat="false" ht="12.8" hidden="false" customHeight="false" outlineLevel="0" collapsed="false">
      <c r="B19270" s="0" t="s">
        <v>7</v>
      </c>
    </row>
    <row r="19271" customFormat="false" ht="12.8" hidden="false" customHeight="false" outlineLevel="0" collapsed="false">
      <c r="B19271" s="0" t="s">
        <v>14</v>
      </c>
    </row>
    <row r="19273" customFormat="false" ht="12.8" hidden="false" customHeight="false" outlineLevel="0" collapsed="false">
      <c r="A19273" s="0" t="s">
        <v>7350</v>
      </c>
      <c r="B19273" s="0" t="str">
        <f aca="false">HYPERLINK("https://lindat.mff.cuni.cz/services/teitok/pdtc10/index.php?action=vallex&amp;frame=v-w2262f1", "našeptávat (v-w2262f1)")</f>
        <v>našeptávat (v-w2262f1)</v>
      </c>
    </row>
    <row r="19274" customFormat="false" ht="12.8" hidden="false" customHeight="false" outlineLevel="0" collapsed="false">
      <c r="B19274" s="0" t="s">
        <v>7</v>
      </c>
    </row>
    <row r="19275" customFormat="false" ht="12.8" hidden="false" customHeight="false" outlineLevel="0" collapsed="false">
      <c r="B19275" s="0" t="s">
        <v>48</v>
      </c>
    </row>
    <row r="19276" customFormat="false" ht="12.8" hidden="false" customHeight="false" outlineLevel="0" collapsed="false">
      <c r="B19276" s="0" t="s">
        <v>7351</v>
      </c>
    </row>
    <row r="19277" customFormat="false" ht="12.8" hidden="false" customHeight="false" outlineLevel="0" collapsed="false">
      <c r="B19277" s="0" t="s">
        <v>363</v>
      </c>
    </row>
    <row r="19279" customFormat="false" ht="12.8" hidden="false" customHeight="false" outlineLevel="0" collapsed="false">
      <c r="A19279" s="0" t="s">
        <v>7352</v>
      </c>
      <c r="B19279" s="0" t="str">
        <f aca="false">HYPERLINK("https://lindat.mff.cuni.cz/services/teitok/pdtc10/index.php?action=vallex&amp;frame=v-w10731f2", "našetřit (v-w10731f2)")</f>
        <v>našetřit (v-w10731f2)</v>
      </c>
    </row>
    <row r="19280" customFormat="false" ht="12.8" hidden="false" customHeight="false" outlineLevel="0" collapsed="false">
      <c r="B19280" s="0" t="s">
        <v>7</v>
      </c>
      <c r="C19280" s="0" t="s">
        <v>623</v>
      </c>
      <c r="D19280" s="0" t="s">
        <v>7353</v>
      </c>
      <c r="E19280" s="0" t="s">
        <v>7353</v>
      </c>
      <c r="F19280" s="0" t="s">
        <v>7353</v>
      </c>
    </row>
    <row r="19281" customFormat="false" ht="12.8" hidden="false" customHeight="false" outlineLevel="0" collapsed="false">
      <c r="B19281" s="0" t="s">
        <v>14</v>
      </c>
      <c r="C19281" s="0" t="s">
        <v>1809</v>
      </c>
      <c r="D19281" s="0" t="s">
        <v>2666</v>
      </c>
      <c r="E19281" s="0" t="s">
        <v>2666</v>
      </c>
      <c r="F19281" s="0" t="s">
        <v>2666</v>
      </c>
    </row>
    <row r="19283" customFormat="false" ht="12.8" hidden="false" customHeight="false" outlineLevel="0" collapsed="false">
      <c r="A19283" s="0" t="s">
        <v>7354</v>
      </c>
      <c r="B19283" s="0" t="str">
        <f aca="false">HYPERLINK("https://lindat.mff.cuni.cz/services/teitok/pdtc10/index.php?action=vallex&amp;frame=v-whsa_1124f1_ZU", "našlapat (v-whsa_1124f1_ZU)")</f>
        <v>našlapat (v-whsa_1124f1_ZU)</v>
      </c>
    </row>
    <row r="19284" customFormat="false" ht="12.8" hidden="false" customHeight="false" outlineLevel="0" collapsed="false">
      <c r="B19284" s="0" t="s">
        <v>7</v>
      </c>
    </row>
    <row r="19285" customFormat="false" ht="12.8" hidden="false" customHeight="false" outlineLevel="0" collapsed="false">
      <c r="B19285" s="0" t="s">
        <v>11</v>
      </c>
    </row>
    <row r="19286" customFormat="false" ht="12.8" hidden="false" customHeight="false" outlineLevel="0" collapsed="false">
      <c r="B19286" s="0" t="s">
        <v>297</v>
      </c>
    </row>
    <row r="19288" customFormat="false" ht="12.8" hidden="false" customHeight="false" outlineLevel="0" collapsed="false">
      <c r="A19288" s="0" t="s">
        <v>7354</v>
      </c>
      <c r="B19288" s="0" t="str">
        <f aca="false">HYPERLINK("https://lindat.mff.cuni.cz/services/teitok/pdtc10/index.php?action=vallex&amp;frame=v-whsa_1124hsa_1125", "našlapat (v-whsa_1124hsa_1125) - substituted with v-whsa_1124f1_ZU")</f>
        <v>našlapat (v-whsa_1124hsa_1125) - substituted with v-whsa_1124f1_ZU</v>
      </c>
    </row>
    <row r="19289" customFormat="false" ht="12.8" hidden="false" customHeight="false" outlineLevel="0" collapsed="false">
      <c r="B19289" s="0" t="s">
        <v>7</v>
      </c>
    </row>
    <row r="19290" customFormat="false" ht="12.8" hidden="false" customHeight="false" outlineLevel="0" collapsed="false">
      <c r="B19290" s="0" t="s">
        <v>11</v>
      </c>
    </row>
    <row r="19291" customFormat="false" ht="12.8" hidden="false" customHeight="false" outlineLevel="0" collapsed="false">
      <c r="B19291" s="0" t="s">
        <v>297</v>
      </c>
    </row>
    <row r="19293" customFormat="false" ht="12.8" hidden="false" customHeight="false" outlineLevel="0" collapsed="false">
      <c r="A19293" s="0" t="s">
        <v>7355</v>
      </c>
      <c r="B19293" s="0" t="str">
        <f aca="false">HYPERLINK("https://lindat.mff.cuni.cz/services/teitok/pdtc10/index.php?action=vallex&amp;frame=v-whsa_1124f2_ZU", "našlapat (v-whsa_1124f2_ZU)")</f>
        <v>našlapat (v-whsa_1124f2_ZU)</v>
      </c>
    </row>
    <row r="19294" customFormat="false" ht="12.8" hidden="false" customHeight="false" outlineLevel="0" collapsed="false">
      <c r="B19294" s="0" t="s">
        <v>7</v>
      </c>
    </row>
    <row r="19295" customFormat="false" ht="12.8" hidden="false" customHeight="false" outlineLevel="0" collapsed="false">
      <c r="B19295" s="0" t="s">
        <v>14</v>
      </c>
    </row>
    <row r="19297" customFormat="false" ht="12.8" hidden="false" customHeight="false" outlineLevel="0" collapsed="false">
      <c r="A19297" s="0" t="s">
        <v>7356</v>
      </c>
      <c r="B19297" s="0" t="str">
        <f aca="false">HYPERLINK("https://lindat.mff.cuni.cz/services/teitok/pdtc10/index.php?action=vallex&amp;frame=v-w11069f2", "našlapovat (v-w11069f2)")</f>
        <v>našlapovat (v-w11069f2)</v>
      </c>
    </row>
    <row r="19298" customFormat="false" ht="12.8" hidden="false" customHeight="false" outlineLevel="0" collapsed="false">
      <c r="B19298" s="0" t="s">
        <v>7</v>
      </c>
      <c r="C19298" s="0" t="s">
        <v>191</v>
      </c>
    </row>
    <row r="19300" customFormat="false" ht="12.8" hidden="false" customHeight="false" outlineLevel="0" collapsed="false">
      <c r="A19300" s="0" t="s">
        <v>7357</v>
      </c>
      <c r="B19300" s="0" t="str">
        <f aca="false">HYPERLINK("https://lindat.mff.cuni.cz/services/teitok/pdtc10/index.php?action=vallex&amp;frame=v-w2263f1", "našlápnout (v-w2263f1)")</f>
        <v>našlápnout (v-w2263f1)</v>
      </c>
    </row>
    <row r="19301" customFormat="false" ht="12.8" hidden="false" customHeight="false" outlineLevel="0" collapsed="false">
      <c r="B19301" s="0" t="s">
        <v>7</v>
      </c>
    </row>
    <row r="19302" customFormat="false" ht="12.8" hidden="false" customHeight="false" outlineLevel="0" collapsed="false">
      <c r="B19302" s="0" t="s">
        <v>14</v>
      </c>
    </row>
    <row r="19304" customFormat="false" ht="12.8" hidden="false" customHeight="false" outlineLevel="0" collapsed="false">
      <c r="A19304" s="0" t="s">
        <v>7358</v>
      </c>
      <c r="B19304" s="0" t="str">
        <f aca="false">HYPERLINK("https://lindat.mff.cuni.cz/services/teitok/pdtc10/index.php?action=vallex&amp;frame=v-w2263f2", "našlápnout (v-w2263f2)")</f>
        <v>našlápnout (v-w2263f2)</v>
      </c>
    </row>
    <row r="19305" customFormat="false" ht="12.8" hidden="false" customHeight="false" outlineLevel="0" collapsed="false">
      <c r="B19305" s="0" t="s">
        <v>7</v>
      </c>
    </row>
    <row r="19306" customFormat="false" ht="12.8" hidden="false" customHeight="false" outlineLevel="0" collapsed="false">
      <c r="B19306" s="0" t="s">
        <v>124</v>
      </c>
    </row>
    <row r="19308" customFormat="false" ht="12.8" hidden="false" customHeight="false" outlineLevel="0" collapsed="false">
      <c r="A19308" s="0" t="s">
        <v>7359</v>
      </c>
      <c r="B19308" s="0" t="str">
        <f aca="false">HYPERLINK("https://lindat.mff.cuni.cz/services/teitok/pdtc10/index.php?action=vallex&amp;frame=v-w2264hsa_1397", "naštvat (v-w2264hsa_1397)")</f>
        <v>naštvat (v-w2264hsa_1397)</v>
      </c>
    </row>
    <row r="19309" customFormat="false" ht="12.8" hidden="false" customHeight="false" outlineLevel="0" collapsed="false">
      <c r="B19309" s="0" t="s">
        <v>641</v>
      </c>
    </row>
    <row r="19310" customFormat="false" ht="12.8" hidden="false" customHeight="false" outlineLevel="0" collapsed="false">
      <c r="B19310" s="0" t="s">
        <v>14</v>
      </c>
    </row>
    <row r="19312" customFormat="false" ht="12.8" hidden="false" customHeight="false" outlineLevel="0" collapsed="false">
      <c r="A19312" s="0" t="s">
        <v>7359</v>
      </c>
      <c r="B19312" s="0" t="str">
        <f aca="false">HYPERLINK("https://lindat.mff.cuni.cz/services/teitok/pdtc10/index.php?action=vallex&amp;frame=v-w2264f1", "naštvat (v-w2264f1) - substituted with v-w2264hsa_1397")</f>
        <v>naštvat (v-w2264f1) - substituted with v-w2264hsa_1397</v>
      </c>
    </row>
    <row r="19313" customFormat="false" ht="12.8" hidden="false" customHeight="false" outlineLevel="0" collapsed="false">
      <c r="B19313" s="0" t="s">
        <v>641</v>
      </c>
      <c r="C19313" s="0" t="s">
        <v>191</v>
      </c>
      <c r="D19313" s="0" t="s">
        <v>7360</v>
      </c>
      <c r="E19313" s="0" t="s">
        <v>7360</v>
      </c>
      <c r="F19313" s="0" t="s">
        <v>7360</v>
      </c>
    </row>
    <row r="19314" customFormat="false" ht="12.8" hidden="false" customHeight="false" outlineLevel="0" collapsed="false">
      <c r="B19314" s="0" t="s">
        <v>14</v>
      </c>
      <c r="C19314" s="0" t="s">
        <v>47</v>
      </c>
      <c r="D19314" s="0" t="s">
        <v>7361</v>
      </c>
      <c r="E19314" s="0" t="s">
        <v>7361</v>
      </c>
      <c r="F19314" s="0" t="s">
        <v>7361</v>
      </c>
    </row>
    <row r="19316" customFormat="false" ht="12.8" hidden="false" customHeight="false" outlineLevel="0" collapsed="false">
      <c r="A19316" s="0" t="s">
        <v>7362</v>
      </c>
      <c r="B19316" s="0" t="str">
        <f aca="false">HYPERLINK("https://lindat.mff.cuni.cz/services/teitok/pdtc10/index.php?action=vallex&amp;frame=v-w11696_ZUf2_ZU", "našít (v-w11696_ZUf2_ZU)")</f>
        <v>našít (v-w11696_ZUf2_ZU)</v>
      </c>
    </row>
    <row r="19317" customFormat="false" ht="12.8" hidden="false" customHeight="false" outlineLevel="0" collapsed="false">
      <c r="B19317" s="0" t="s">
        <v>7</v>
      </c>
    </row>
    <row r="19318" customFormat="false" ht="12.8" hidden="false" customHeight="false" outlineLevel="0" collapsed="false">
      <c r="B19318" s="0" t="s">
        <v>14</v>
      </c>
    </row>
    <row r="19319" customFormat="false" ht="12.8" hidden="false" customHeight="false" outlineLevel="0" collapsed="false">
      <c r="B19319" s="0" t="s">
        <v>338</v>
      </c>
    </row>
    <row r="19321" customFormat="false" ht="12.8" hidden="false" customHeight="false" outlineLevel="0" collapsed="false">
      <c r="A19321" s="0" t="s">
        <v>7362</v>
      </c>
      <c r="B19321" s="0" t="str">
        <f aca="false">HYPERLINK("https://lindat.mff.cuni.cz/services/teitok/pdtc10/index.php?action=vallex&amp;frame=v-w11696_ZUf1_ZU", "našít (v-w11696_ZUf1_ZU) - substituted with v-w11696_ZUf2_ZU")</f>
        <v>našít (v-w11696_ZUf1_ZU) - substituted with v-w11696_ZUf2_ZU</v>
      </c>
    </row>
    <row r="19322" customFormat="false" ht="12.8" hidden="false" customHeight="false" outlineLevel="0" collapsed="false">
      <c r="B19322" s="0" t="s">
        <v>7</v>
      </c>
    </row>
    <row r="19323" customFormat="false" ht="12.8" hidden="false" customHeight="false" outlineLevel="0" collapsed="false">
      <c r="B19323" s="0" t="s">
        <v>14</v>
      </c>
    </row>
    <row r="19324" customFormat="false" ht="12.8" hidden="false" customHeight="false" outlineLevel="0" collapsed="false">
      <c r="B19324" s="0" t="s">
        <v>338</v>
      </c>
    </row>
    <row r="19326" customFormat="false" ht="12.8" hidden="false" customHeight="false" outlineLevel="0" collapsed="false">
      <c r="A19326" s="0" t="s">
        <v>7363</v>
      </c>
      <c r="B19326" s="0" t="str">
        <f aca="false">HYPERLINK("https://lindat.mff.cuni.cz/services/teitok/pdtc10/index.php?action=vallex&amp;frame=v-w2281f1", "naťukat (v-w2281f1)")</f>
        <v>naťukat (v-w2281f1)</v>
      </c>
    </row>
    <row r="19327" customFormat="false" ht="12.8" hidden="false" customHeight="false" outlineLevel="0" collapsed="false">
      <c r="B19327" s="0" t="s">
        <v>7</v>
      </c>
    </row>
    <row r="19328" customFormat="false" ht="12.8" hidden="false" customHeight="false" outlineLevel="0" collapsed="false">
      <c r="B19328" s="0" t="s">
        <v>6431</v>
      </c>
    </row>
    <row r="19329" customFormat="false" ht="12.8" hidden="false" customHeight="false" outlineLevel="0" collapsed="false">
      <c r="B19329" s="0" t="s">
        <v>363</v>
      </c>
    </row>
    <row r="19330" customFormat="false" ht="12.8" hidden="false" customHeight="false" outlineLevel="0" collapsed="false">
      <c r="B19330" s="0" t="s">
        <v>106</v>
      </c>
    </row>
    <row r="19332" customFormat="false" ht="12.8" hidden="false" customHeight="false" outlineLevel="0" collapsed="false">
      <c r="A19332" s="0" t="s">
        <v>7364</v>
      </c>
      <c r="B19332" s="0" t="str">
        <f aca="false">HYPERLINK("https://lindat.mff.cuni.cz/services/teitok/pdtc10/index.php?action=vallex&amp;frame=v-w12382_MMf1_MM", "nažehlit (v-w12382_MMf1_MM)")</f>
        <v>nažehlit (v-w12382_MMf1_MM)</v>
      </c>
    </row>
    <row r="19333" customFormat="false" ht="12.8" hidden="false" customHeight="false" outlineLevel="0" collapsed="false">
      <c r="B19333" s="0" t="s">
        <v>7</v>
      </c>
    </row>
    <row r="19334" customFormat="false" ht="12.8" hidden="false" customHeight="false" outlineLevel="0" collapsed="false">
      <c r="B19334" s="0" t="s">
        <v>14</v>
      </c>
    </row>
    <row r="19336" customFormat="false" ht="12.8" hidden="false" customHeight="false" outlineLevel="0" collapsed="false">
      <c r="A19336" s="0" t="s">
        <v>7365</v>
      </c>
      <c r="B19336" s="0" t="str">
        <f aca="false">HYPERLINK("https://lindat.mff.cuni.cz/services/teitok/pdtc10/index.php?action=vallex&amp;frame=v-w12185_ZUf1_ZU", "nažrat (v-w12185_ZUf1_ZU)")</f>
        <v>nažrat (v-w12185_ZUf1_ZU)</v>
      </c>
    </row>
    <row r="19337" customFormat="false" ht="12.8" hidden="false" customHeight="false" outlineLevel="0" collapsed="false">
      <c r="B19337" s="0" t="s">
        <v>7</v>
      </c>
    </row>
    <row r="19338" customFormat="false" ht="12.8" hidden="false" customHeight="false" outlineLevel="0" collapsed="false">
      <c r="B19338" s="0" t="s">
        <v>14</v>
      </c>
    </row>
    <row r="19340" customFormat="false" ht="12.8" hidden="false" customHeight="false" outlineLevel="0" collapsed="false">
      <c r="A19340" s="0" t="s">
        <v>7366</v>
      </c>
      <c r="B19340" s="0" t="str">
        <f aca="false">HYPERLINK("https://lindat.mff.cuni.cz/services/teitok/pdtc10/index.php?action=vallex&amp;frame=v-w2343f1", "nažrat se (v-w2343f1)")</f>
        <v>nažrat se (v-w2343f1)</v>
      </c>
    </row>
    <row r="19341" customFormat="false" ht="12.8" hidden="false" customHeight="false" outlineLevel="0" collapsed="false">
      <c r="B19341" s="0" t="s">
        <v>7</v>
      </c>
    </row>
    <row r="19343" customFormat="false" ht="12.8" hidden="false" customHeight="false" outlineLevel="0" collapsed="false">
      <c r="A19343" s="0" t="s">
        <v>7367</v>
      </c>
      <c r="B19343" s="0" t="str">
        <f aca="false">HYPERLINK("https://lindat.mff.cuni.cz/services/teitok/pdtc10/index.php?action=vallex&amp;frame=v-w2356f30_ZU", "nechat (v-w2356f30_ZU)")</f>
        <v>nechat (v-w2356f30_ZU)</v>
      </c>
    </row>
    <row r="19344" customFormat="false" ht="12.8" hidden="false" customHeight="false" outlineLevel="0" collapsed="false">
      <c r="B19344" s="0" t="s">
        <v>7</v>
      </c>
    </row>
    <row r="19345" customFormat="false" ht="12.8" hidden="false" customHeight="false" outlineLevel="0" collapsed="false">
      <c r="B19345" s="0" t="s">
        <v>14</v>
      </c>
    </row>
    <row r="19346" customFormat="false" ht="12.8" hidden="false" customHeight="false" outlineLevel="0" collapsed="false">
      <c r="B19346" s="0" t="s">
        <v>106</v>
      </c>
    </row>
    <row r="19347" customFormat="false" ht="12.8" hidden="false" customHeight="false" outlineLevel="0" collapsed="false">
      <c r="B19347" s="0" t="s">
        <v>550</v>
      </c>
    </row>
    <row r="19349" customFormat="false" ht="12.8" hidden="false" customHeight="false" outlineLevel="0" collapsed="false">
      <c r="A19349" s="0" t="s">
        <v>7367</v>
      </c>
      <c r="B19349" s="0" t="str">
        <f aca="false">HYPERLINK("https://lindat.mff.cuni.cz/services/teitok/pdtc10/index.php?action=vallex&amp;frame=v-w2356f6", "nechat (v-w2356f6) - substituted with v-w2356f30_ZU")</f>
        <v>nechat (v-w2356f6) - substituted with v-w2356f30_ZU</v>
      </c>
    </row>
    <row r="19350" customFormat="false" ht="12.8" hidden="false" customHeight="false" outlineLevel="0" collapsed="false">
      <c r="B19350" s="0" t="s">
        <v>7</v>
      </c>
      <c r="C19350" s="0" t="s">
        <v>1531</v>
      </c>
      <c r="D19350" s="0" t="s">
        <v>1484</v>
      </c>
      <c r="E19350" s="0" t="s">
        <v>1484</v>
      </c>
      <c r="F19350" s="0" t="s">
        <v>1484</v>
      </c>
    </row>
    <row r="19351" customFormat="false" ht="12.8" hidden="false" customHeight="false" outlineLevel="0" collapsed="false">
      <c r="B19351" s="0" t="s">
        <v>14</v>
      </c>
      <c r="C19351" s="0" t="s">
        <v>432</v>
      </c>
      <c r="D19351" s="0" t="s">
        <v>1485</v>
      </c>
      <c r="E19351" s="0" t="s">
        <v>1485</v>
      </c>
      <c r="F19351" s="0" t="s">
        <v>1485</v>
      </c>
    </row>
    <row r="19352" customFormat="false" ht="12.8" hidden="false" customHeight="false" outlineLevel="0" collapsed="false">
      <c r="B19352" s="0" t="s">
        <v>106</v>
      </c>
      <c r="C19352" s="0" t="s">
        <v>7368</v>
      </c>
      <c r="D19352" s="0" t="s">
        <v>1487</v>
      </c>
      <c r="E19352" s="0" t="s">
        <v>1487</v>
      </c>
      <c r="F19352" s="0" t="s">
        <v>1487</v>
      </c>
    </row>
    <row r="19353" customFormat="false" ht="12.8" hidden="false" customHeight="false" outlineLevel="0" collapsed="false">
      <c r="B19353" s="0" t="s">
        <v>550</v>
      </c>
    </row>
    <row r="19355" customFormat="false" ht="12.8" hidden="false" customHeight="false" outlineLevel="0" collapsed="false">
      <c r="A19355" s="0" t="s">
        <v>7369</v>
      </c>
      <c r="B19355" s="0" t="str">
        <f aca="false">HYPERLINK("https://lindat.mff.cuni.cz/services/teitok/pdtc10/index.php?action=vallex&amp;frame=v-w2356f8", "nechat (v-w2356f8)")</f>
        <v>nechat (v-w2356f8)</v>
      </c>
    </row>
    <row r="19356" customFormat="false" ht="12.8" hidden="false" customHeight="false" outlineLevel="0" collapsed="false">
      <c r="B19356" s="0" t="s">
        <v>7</v>
      </c>
      <c r="C19356" s="0" t="s">
        <v>126</v>
      </c>
    </row>
    <row r="19357" customFormat="false" ht="12.8" hidden="false" customHeight="false" outlineLevel="0" collapsed="false">
      <c r="B19357" s="0" t="s">
        <v>4100</v>
      </c>
      <c r="C19357" s="0" t="s">
        <v>152</v>
      </c>
    </row>
    <row r="19358" customFormat="false" ht="12.8" hidden="false" customHeight="false" outlineLevel="0" collapsed="false">
      <c r="B19358" s="0" t="s">
        <v>7370</v>
      </c>
      <c r="C19358" s="0" t="s">
        <v>709</v>
      </c>
    </row>
    <row r="19360" customFormat="false" ht="12.8" hidden="false" customHeight="false" outlineLevel="0" collapsed="false">
      <c r="A19360" s="0" t="s">
        <v>7371</v>
      </c>
      <c r="B19360" s="0" t="str">
        <f aca="false">HYPERLINK("https://lindat.mff.cuni.cz/services/teitok/pdtc10/index.php?action=vallex&amp;frame=v-w2356f7", "nechat (v-w2356f7)")</f>
        <v>nechat (v-w2356f7)</v>
      </c>
    </row>
    <row r="19361" customFormat="false" ht="12.8" hidden="false" customHeight="false" outlineLevel="0" collapsed="false">
      <c r="B19361" s="0" t="s">
        <v>7</v>
      </c>
      <c r="C19361" s="0" t="s">
        <v>2012</v>
      </c>
    </row>
    <row r="19362" customFormat="false" ht="12.8" hidden="false" customHeight="false" outlineLevel="0" collapsed="false">
      <c r="B19362" s="0" t="s">
        <v>14</v>
      </c>
      <c r="C19362" s="0" t="s">
        <v>7372</v>
      </c>
    </row>
    <row r="19363" customFormat="false" ht="12.8" hidden="false" customHeight="false" outlineLevel="0" collapsed="false">
      <c r="B19363" s="0" t="s">
        <v>106</v>
      </c>
      <c r="C19363" s="0" t="s">
        <v>7373</v>
      </c>
    </row>
    <row r="19365" customFormat="false" ht="12.8" hidden="false" customHeight="false" outlineLevel="0" collapsed="false">
      <c r="A19365" s="0" t="s">
        <v>7374</v>
      </c>
      <c r="B19365" s="0" t="str">
        <f aca="false">HYPERLINK("https://lindat.mff.cuni.cz/services/teitok/pdtc10/index.php?action=vallex&amp;frame=v-w2356f14", "nechat (v-w2356f14)")</f>
        <v>nechat (v-w2356f14)</v>
      </c>
    </row>
    <row r="19366" customFormat="false" ht="12.8" hidden="false" customHeight="false" outlineLevel="0" collapsed="false">
      <c r="B19366" s="0" t="s">
        <v>7</v>
      </c>
      <c r="C19366" s="0" t="s">
        <v>6495</v>
      </c>
    </row>
    <row r="19367" customFormat="false" ht="12.8" hidden="false" customHeight="false" outlineLevel="0" collapsed="false">
      <c r="B19367" s="0" t="s">
        <v>14</v>
      </c>
      <c r="C19367" s="0" t="s">
        <v>7375</v>
      </c>
    </row>
    <row r="19368" customFormat="false" ht="12.8" hidden="false" customHeight="false" outlineLevel="0" collapsed="false">
      <c r="B19368" s="0" t="s">
        <v>7376</v>
      </c>
      <c r="C19368" s="0" t="s">
        <v>7377</v>
      </c>
    </row>
    <row r="19370" customFormat="false" ht="12.8" hidden="false" customHeight="false" outlineLevel="0" collapsed="false">
      <c r="A19370" s="0" t="s">
        <v>7378</v>
      </c>
      <c r="B19370" s="0" t="str">
        <f aca="false">HYPERLINK("https://lindat.mff.cuni.cz/services/teitok/pdtc10/index.php?action=vallex&amp;frame=v-w2356f29_ZU", "nechat (v-w2356f29_ZU)")</f>
        <v>nechat (v-w2356f29_ZU)</v>
      </c>
    </row>
    <row r="19371" customFormat="false" ht="12.8" hidden="false" customHeight="false" outlineLevel="0" collapsed="false">
      <c r="B19371" s="0" t="s">
        <v>7</v>
      </c>
    </row>
    <row r="19372" customFormat="false" ht="12.8" hidden="false" customHeight="false" outlineLevel="0" collapsed="false">
      <c r="B19372" s="0" t="s">
        <v>7379</v>
      </c>
    </row>
    <row r="19373" customFormat="false" ht="12.8" hidden="false" customHeight="false" outlineLevel="0" collapsed="false">
      <c r="B19373" s="0" t="s">
        <v>7380</v>
      </c>
    </row>
    <row r="19375" customFormat="false" ht="12.8" hidden="false" customHeight="false" outlineLevel="0" collapsed="false">
      <c r="A19375" s="0" t="s">
        <v>7378</v>
      </c>
      <c r="B19375" s="0" t="str">
        <f aca="false">HYPERLINK("https://lindat.mff.cuni.cz/services/teitok/pdtc10/index.php?action=vallex&amp;frame=v-w2356f19_ZU", "nechat (v-w2356f19_ZU) - substituted with v-w2356f29_ZU")</f>
        <v>nechat (v-w2356f19_ZU) - substituted with v-w2356f29_ZU</v>
      </c>
    </row>
    <row r="19376" customFormat="false" ht="12.8" hidden="false" customHeight="false" outlineLevel="0" collapsed="false">
      <c r="B19376" s="0" t="s">
        <v>7</v>
      </c>
      <c r="C19376" s="0" t="s">
        <v>2159</v>
      </c>
    </row>
    <row r="19377" customFormat="false" ht="12.8" hidden="false" customHeight="false" outlineLevel="0" collapsed="false">
      <c r="B19377" s="0" t="s">
        <v>7379</v>
      </c>
      <c r="C19377" s="0" t="s">
        <v>7381</v>
      </c>
    </row>
    <row r="19378" customFormat="false" ht="12.8" hidden="false" customHeight="false" outlineLevel="0" collapsed="false">
      <c r="B19378" s="0" t="s">
        <v>7380</v>
      </c>
      <c r="C19378" s="0" t="s">
        <v>7382</v>
      </c>
    </row>
    <row r="19380" customFormat="false" ht="12.8" hidden="false" customHeight="false" outlineLevel="0" collapsed="false">
      <c r="A19380" s="0" t="s">
        <v>7378</v>
      </c>
      <c r="B19380" s="0" t="str">
        <f aca="false">HYPERLINK("https://lindat.mff.cuni.cz/services/teitok/pdtc10/index.php?action=vallex&amp;frame=v-w2356f2", "nechat (v-w2356f2) - substituted with v-w2356f29_ZU")</f>
        <v>nechat (v-w2356f2) - substituted with v-w2356f29_ZU</v>
      </c>
    </row>
    <row r="19381" customFormat="false" ht="12.8" hidden="false" customHeight="false" outlineLevel="0" collapsed="false">
      <c r="B19381" s="0" t="s">
        <v>7</v>
      </c>
      <c r="C19381" s="0" t="s">
        <v>7383</v>
      </c>
    </row>
    <row r="19382" customFormat="false" ht="12.8" hidden="false" customHeight="false" outlineLevel="0" collapsed="false">
      <c r="B19382" s="0" t="s">
        <v>7379</v>
      </c>
      <c r="C19382" s="0" t="s">
        <v>7384</v>
      </c>
    </row>
    <row r="19383" customFormat="false" ht="12.8" hidden="false" customHeight="false" outlineLevel="0" collapsed="false">
      <c r="B19383" s="0" t="s">
        <v>7380</v>
      </c>
      <c r="C19383" s="0" t="s">
        <v>7385</v>
      </c>
    </row>
    <row r="19385" customFormat="false" ht="12.8" hidden="false" customHeight="false" outlineLevel="0" collapsed="false">
      <c r="A19385" s="0" t="s">
        <v>7378</v>
      </c>
      <c r="B19385" s="0" t="str">
        <f aca="false">HYPERLINK("https://lindat.mff.cuni.cz/services/teitok/pdtc10/index.php?action=vallex&amp;frame=v-w2356f28_ZU", "nechat (v-w2356f28_ZU) - substituted with v-w2356f29_ZU")</f>
        <v>nechat (v-w2356f28_ZU) - substituted with v-w2356f29_ZU</v>
      </c>
    </row>
    <row r="19386" customFormat="false" ht="12.8" hidden="false" customHeight="false" outlineLevel="0" collapsed="false">
      <c r="B19386" s="0" t="s">
        <v>7</v>
      </c>
    </row>
    <row r="19387" customFormat="false" ht="12.8" hidden="false" customHeight="false" outlineLevel="0" collapsed="false">
      <c r="B19387" s="0" t="s">
        <v>7379</v>
      </c>
    </row>
    <row r="19388" customFormat="false" ht="12.8" hidden="false" customHeight="false" outlineLevel="0" collapsed="false">
      <c r="B19388" s="0" t="s">
        <v>7380</v>
      </c>
    </row>
    <row r="19390" customFormat="false" ht="12.8" hidden="false" customHeight="false" outlineLevel="0" collapsed="false">
      <c r="A19390" s="0" t="s">
        <v>7378</v>
      </c>
      <c r="B19390" s="0" t="str">
        <f aca="false">HYPERLINK("https://lindat.mff.cuni.cz/services/teitok/pdtc10/index.php?action=vallex&amp;frame=v-w2356hsa_327", "nechat (v-w2356hsa_327) - substituted with v-w2356f29_ZU")</f>
        <v>nechat (v-w2356hsa_327) - substituted with v-w2356f29_ZU</v>
      </c>
    </row>
    <row r="19391" customFormat="false" ht="12.8" hidden="false" customHeight="false" outlineLevel="0" collapsed="false">
      <c r="B19391" s="0" t="s">
        <v>7</v>
      </c>
      <c r="C19391" s="0" t="s">
        <v>4161</v>
      </c>
      <c r="D19391" s="0" t="s">
        <v>2629</v>
      </c>
      <c r="E19391" s="0" t="s">
        <v>2629</v>
      </c>
      <c r="F19391" s="0" t="s">
        <v>2629</v>
      </c>
    </row>
    <row r="19392" customFormat="false" ht="12.8" hidden="false" customHeight="false" outlineLevel="0" collapsed="false">
      <c r="B19392" s="0" t="s">
        <v>7379</v>
      </c>
      <c r="C19392" s="0" t="s">
        <v>7386</v>
      </c>
      <c r="D19392" s="0" t="s">
        <v>7387</v>
      </c>
      <c r="E19392" s="0" t="s">
        <v>7387</v>
      </c>
      <c r="F19392" s="0" t="s">
        <v>7387</v>
      </c>
    </row>
    <row r="19393" customFormat="false" ht="12.8" hidden="false" customHeight="false" outlineLevel="0" collapsed="false">
      <c r="B19393" s="0" t="s">
        <v>7380</v>
      </c>
      <c r="C19393" s="0" t="s">
        <v>7388</v>
      </c>
      <c r="D19393" s="0" t="s">
        <v>7389</v>
      </c>
      <c r="E19393" s="0" t="s">
        <v>7389</v>
      </c>
      <c r="F19393" s="0" t="s">
        <v>7389</v>
      </c>
    </row>
    <row r="19395" customFormat="false" ht="12.8" hidden="false" customHeight="false" outlineLevel="0" collapsed="false">
      <c r="A19395" s="0" t="s">
        <v>7390</v>
      </c>
      <c r="B19395" s="0" t="str">
        <f aca="false">HYPERLINK("https://lindat.mff.cuni.cz/services/teitok/pdtc10/index.php?action=vallex&amp;frame=v-w2356f3", "nechat (v-w2356f3)")</f>
        <v>nechat (v-w2356f3)</v>
      </c>
    </row>
    <row r="19396" customFormat="false" ht="12.8" hidden="false" customHeight="false" outlineLevel="0" collapsed="false">
      <c r="B19396" s="0" t="s">
        <v>7</v>
      </c>
      <c r="C19396" s="0" t="s">
        <v>4171</v>
      </c>
    </row>
    <row r="19397" customFormat="false" ht="12.8" hidden="false" customHeight="false" outlineLevel="0" collapsed="false">
      <c r="B19397" s="0" t="s">
        <v>14</v>
      </c>
      <c r="C19397" s="0" t="s">
        <v>7391</v>
      </c>
    </row>
    <row r="19398" customFormat="false" ht="12.8" hidden="false" customHeight="false" outlineLevel="0" collapsed="false">
      <c r="B19398" s="0" t="s">
        <v>11</v>
      </c>
      <c r="C19398" s="0" t="s">
        <v>7392</v>
      </c>
    </row>
    <row r="19400" customFormat="false" ht="12.8" hidden="false" customHeight="false" outlineLevel="0" collapsed="false">
      <c r="A19400" s="0" t="s">
        <v>7393</v>
      </c>
      <c r="B19400" s="0" t="str">
        <f aca="false">HYPERLINK("https://lindat.mff.cuni.cz/services/teitok/pdtc10/index.php?action=vallex&amp;frame=v-w2356f26_ZU", "nechat (v-w2356f26_ZU)")</f>
        <v>nechat (v-w2356f26_ZU)</v>
      </c>
    </row>
    <row r="19401" customFormat="false" ht="12.8" hidden="false" customHeight="false" outlineLevel="0" collapsed="false">
      <c r="B19401" s="0" t="s">
        <v>7</v>
      </c>
    </row>
    <row r="19402" customFormat="false" ht="12.8" hidden="false" customHeight="false" outlineLevel="0" collapsed="false">
      <c r="B19402" s="0" t="s">
        <v>14</v>
      </c>
    </row>
    <row r="19403" customFormat="false" ht="12.8" hidden="false" customHeight="false" outlineLevel="0" collapsed="false">
      <c r="B19403" s="0" t="s">
        <v>7394</v>
      </c>
    </row>
    <row r="19404" customFormat="false" ht="12.8" hidden="false" customHeight="false" outlineLevel="0" collapsed="false">
      <c r="B19404" s="0" t="s">
        <v>7395</v>
      </c>
    </row>
    <row r="19405" customFormat="false" ht="12.8" hidden="false" customHeight="false" outlineLevel="0" collapsed="false">
      <c r="B19405" s="0" t="s">
        <v>5619</v>
      </c>
    </row>
    <row r="19407" customFormat="false" ht="12.8" hidden="false" customHeight="false" outlineLevel="0" collapsed="false">
      <c r="A19407" s="0" t="s">
        <v>7393</v>
      </c>
      <c r="B19407" s="0" t="str">
        <f aca="false">HYPERLINK("https://lindat.mff.cuni.cz/services/teitok/pdtc10/index.php?action=vallex&amp;frame=v-w2356f16", "nechat (v-w2356f16) - substituted with v-w2356f26_ZU")</f>
        <v>nechat (v-w2356f16) - substituted with v-w2356f26_ZU</v>
      </c>
    </row>
    <row r="19408" customFormat="false" ht="12.8" hidden="false" customHeight="false" outlineLevel="0" collapsed="false">
      <c r="B19408" s="0" t="s">
        <v>7</v>
      </c>
    </row>
    <row r="19409" customFormat="false" ht="12.8" hidden="false" customHeight="false" outlineLevel="0" collapsed="false">
      <c r="B19409" s="0" t="s">
        <v>14</v>
      </c>
    </row>
    <row r="19410" customFormat="false" ht="12.8" hidden="false" customHeight="false" outlineLevel="0" collapsed="false">
      <c r="B19410" s="0" t="s">
        <v>7394</v>
      </c>
    </row>
    <row r="19411" customFormat="false" ht="12.8" hidden="false" customHeight="false" outlineLevel="0" collapsed="false">
      <c r="B19411" s="0" t="s">
        <v>7395</v>
      </c>
    </row>
    <row r="19412" customFormat="false" ht="12.8" hidden="false" customHeight="false" outlineLevel="0" collapsed="false">
      <c r="B19412" s="0" t="s">
        <v>5619</v>
      </c>
    </row>
    <row r="19414" customFormat="false" ht="12.8" hidden="false" customHeight="false" outlineLevel="0" collapsed="false">
      <c r="A19414" s="0" t="s">
        <v>7393</v>
      </c>
      <c r="B19414" s="0" t="str">
        <f aca="false">HYPERLINK("https://lindat.mff.cuni.cz/services/teitok/pdtc10/index.php?action=vallex&amp;frame=v-w2356f25_ZU", "nechat (v-w2356f25_ZU) - substituted with v-w2356f26_ZU")</f>
        <v>nechat (v-w2356f25_ZU) - substituted with v-w2356f26_ZU</v>
      </c>
    </row>
    <row r="19415" customFormat="false" ht="12.8" hidden="false" customHeight="false" outlineLevel="0" collapsed="false">
      <c r="B19415" s="0" t="s">
        <v>7</v>
      </c>
      <c r="C19415" s="0" t="s">
        <v>2199</v>
      </c>
    </row>
    <row r="19416" customFormat="false" ht="12.8" hidden="false" customHeight="false" outlineLevel="0" collapsed="false">
      <c r="B19416" s="0" t="s">
        <v>14</v>
      </c>
      <c r="C19416" s="0" t="s">
        <v>1168</v>
      </c>
    </row>
    <row r="19417" customFormat="false" ht="12.8" hidden="false" customHeight="false" outlineLevel="0" collapsed="false">
      <c r="B19417" s="0" t="s">
        <v>7394</v>
      </c>
    </row>
    <row r="19418" customFormat="false" ht="12.8" hidden="false" customHeight="false" outlineLevel="0" collapsed="false">
      <c r="B19418" s="0" t="s">
        <v>7395</v>
      </c>
    </row>
    <row r="19419" customFormat="false" ht="12.8" hidden="false" customHeight="false" outlineLevel="0" collapsed="false">
      <c r="B19419" s="0" t="s">
        <v>5619</v>
      </c>
    </row>
    <row r="19421" customFormat="false" ht="12.8" hidden="false" customHeight="false" outlineLevel="0" collapsed="false">
      <c r="A19421" s="0" t="s">
        <v>7396</v>
      </c>
      <c r="B19421" s="0" t="str">
        <f aca="false">HYPERLINK("https://lindat.mff.cuni.cz/services/teitok/pdtc10/index.php?action=vallex&amp;frame=v-w2356f5", "nechat (v-w2356f5)")</f>
        <v>nechat (v-w2356f5)</v>
      </c>
    </row>
    <row r="19422" customFormat="false" ht="12.8" hidden="false" customHeight="false" outlineLevel="0" collapsed="false">
      <c r="B19422" s="0" t="s">
        <v>7</v>
      </c>
      <c r="C19422" s="0" t="s">
        <v>460</v>
      </c>
      <c r="D19422" s="0" t="s">
        <v>7397</v>
      </c>
      <c r="E19422" s="0" t="s">
        <v>7397</v>
      </c>
      <c r="F19422" s="0" t="s">
        <v>7397</v>
      </c>
    </row>
    <row r="19423" customFormat="false" ht="12.8" hidden="false" customHeight="false" outlineLevel="0" collapsed="false">
      <c r="B19423" s="0" t="s">
        <v>1145</v>
      </c>
      <c r="D19423" s="0" t="s">
        <v>7398</v>
      </c>
      <c r="E19423" s="0" t="s">
        <v>7398</v>
      </c>
      <c r="F19423" s="0" t="s">
        <v>7398</v>
      </c>
    </row>
    <row r="19425" customFormat="false" ht="12.8" hidden="false" customHeight="false" outlineLevel="0" collapsed="false">
      <c r="A19425" s="0" t="s">
        <v>7399</v>
      </c>
      <c r="B19425" s="0" t="str">
        <f aca="false">HYPERLINK("https://lindat.mff.cuni.cz/services/teitok/pdtc10/index.php?action=vallex&amp;frame=v-w2356f27_ZU", "nechat (v-w2356f27_ZU)")</f>
        <v>nechat (v-w2356f27_ZU)</v>
      </c>
    </row>
    <row r="19426" customFormat="false" ht="12.8" hidden="false" customHeight="false" outlineLevel="0" collapsed="false">
      <c r="B19426" s="0" t="s">
        <v>7</v>
      </c>
    </row>
    <row r="19427" customFormat="false" ht="12.8" hidden="false" customHeight="false" outlineLevel="0" collapsed="false">
      <c r="B19427" s="0" t="s">
        <v>712</v>
      </c>
    </row>
    <row r="19429" customFormat="false" ht="12.8" hidden="false" customHeight="false" outlineLevel="0" collapsed="false">
      <c r="A19429" s="0" t="s">
        <v>7399</v>
      </c>
      <c r="B19429" s="0" t="str">
        <f aca="false">HYPERLINK("https://lindat.mff.cuni.cz/services/teitok/pdtc10/index.php?action=vallex&amp;frame=v-w2356f1", "nechat (v-w2356f1) - substituted with v-w2356f27_ZU")</f>
        <v>nechat (v-w2356f1) - substituted with v-w2356f27_ZU</v>
      </c>
    </row>
    <row r="19430" customFormat="false" ht="12.8" hidden="false" customHeight="false" outlineLevel="0" collapsed="false">
      <c r="B19430" s="0" t="s">
        <v>7</v>
      </c>
      <c r="C19430" s="0" t="s">
        <v>7400</v>
      </c>
      <c r="D19430" s="0" t="s">
        <v>208</v>
      </c>
      <c r="E19430" s="0" t="s">
        <v>208</v>
      </c>
      <c r="F19430" s="0" t="s">
        <v>208</v>
      </c>
    </row>
    <row r="19431" customFormat="false" ht="12.8" hidden="false" customHeight="false" outlineLevel="0" collapsed="false">
      <c r="B19431" s="0" t="s">
        <v>712</v>
      </c>
      <c r="C19431" s="0" t="s">
        <v>7401</v>
      </c>
      <c r="D19431" s="0" t="s">
        <v>2993</v>
      </c>
      <c r="E19431" s="0" t="s">
        <v>2993</v>
      </c>
      <c r="F19431" s="0" t="s">
        <v>2993</v>
      </c>
    </row>
    <row r="19433" customFormat="false" ht="12.8" hidden="false" customHeight="false" outlineLevel="0" collapsed="false">
      <c r="A19433" s="0" t="s">
        <v>7402</v>
      </c>
      <c r="B19433" s="0" t="str">
        <f aca="false">HYPERLINK("https://lindat.mff.cuni.cz/services/teitok/pdtc10/index.php?action=vallex&amp;frame=v-w2356f21_ZU", "nechat (v-w2356f21_ZU)")</f>
        <v>nechat (v-w2356f21_ZU)</v>
      </c>
    </row>
    <row r="19434" customFormat="false" ht="12.8" hidden="false" customHeight="false" outlineLevel="0" collapsed="false">
      <c r="B19434" s="0" t="s">
        <v>7</v>
      </c>
      <c r="C19434" s="0" t="s">
        <v>126</v>
      </c>
    </row>
    <row r="19435" customFormat="false" ht="12.8" hidden="false" customHeight="false" outlineLevel="0" collapsed="false">
      <c r="B19435" s="0" t="s">
        <v>7403</v>
      </c>
      <c r="C19435" s="0" t="s">
        <v>2859</v>
      </c>
    </row>
    <row r="19436" customFormat="false" ht="12.8" hidden="false" customHeight="false" outlineLevel="0" collapsed="false">
      <c r="B19436" s="0" t="s">
        <v>14</v>
      </c>
    </row>
    <row r="19437" customFormat="false" ht="12.8" hidden="false" customHeight="false" outlineLevel="0" collapsed="false">
      <c r="B19437" s="0" t="s">
        <v>2607</v>
      </c>
    </row>
    <row r="19439" customFormat="false" ht="12.8" hidden="false" customHeight="false" outlineLevel="0" collapsed="false">
      <c r="A19439" s="0" t="s">
        <v>7402</v>
      </c>
      <c r="B19439" s="0" t="str">
        <f aca="false">HYPERLINK("https://lindat.mff.cuni.cz/services/teitok/pdtc10/index.php?action=vallex&amp;frame=v-w2356f17_ZU", "nechat (v-w2356f17_ZU) - substituted with v-w2356f21_ZU")</f>
        <v>nechat (v-w2356f17_ZU) - substituted with v-w2356f21_ZU</v>
      </c>
    </row>
    <row r="19440" customFormat="false" ht="12.8" hidden="false" customHeight="false" outlineLevel="0" collapsed="false">
      <c r="B19440" s="0" t="s">
        <v>7</v>
      </c>
    </row>
    <row r="19441" customFormat="false" ht="12.8" hidden="false" customHeight="false" outlineLevel="0" collapsed="false">
      <c r="B19441" s="0" t="s">
        <v>7403</v>
      </c>
    </row>
    <row r="19442" customFormat="false" ht="12.8" hidden="false" customHeight="false" outlineLevel="0" collapsed="false">
      <c r="B19442" s="0" t="s">
        <v>14</v>
      </c>
    </row>
    <row r="19443" customFormat="false" ht="12.8" hidden="false" customHeight="false" outlineLevel="0" collapsed="false">
      <c r="B19443" s="0" t="s">
        <v>2607</v>
      </c>
    </row>
    <row r="19445" customFormat="false" ht="12.8" hidden="false" customHeight="false" outlineLevel="0" collapsed="false">
      <c r="A19445" s="0" t="s">
        <v>7402</v>
      </c>
      <c r="B19445" s="0" t="str">
        <f aca="false">HYPERLINK("https://lindat.mff.cuni.cz/services/teitok/pdtc10/index.php?action=vallex&amp;frame=v-w2356f18_ZU", "nechat (v-w2356f18_ZU) - substituted with v-w2356f21_ZU")</f>
        <v>nechat (v-w2356f18_ZU) - substituted with v-w2356f21_ZU</v>
      </c>
    </row>
    <row r="19446" customFormat="false" ht="12.8" hidden="false" customHeight="false" outlineLevel="0" collapsed="false">
      <c r="B19446" s="0" t="s">
        <v>7</v>
      </c>
    </row>
    <row r="19447" customFormat="false" ht="12.8" hidden="false" customHeight="false" outlineLevel="0" collapsed="false">
      <c r="B19447" s="0" t="s">
        <v>7403</v>
      </c>
    </row>
    <row r="19448" customFormat="false" ht="12.8" hidden="false" customHeight="false" outlineLevel="0" collapsed="false">
      <c r="B19448" s="0" t="s">
        <v>14</v>
      </c>
    </row>
    <row r="19449" customFormat="false" ht="12.8" hidden="false" customHeight="false" outlineLevel="0" collapsed="false">
      <c r="B19449" s="0" t="s">
        <v>2607</v>
      </c>
    </row>
    <row r="19451" customFormat="false" ht="12.8" hidden="false" customHeight="false" outlineLevel="0" collapsed="false">
      <c r="A19451" s="0" t="s">
        <v>7404</v>
      </c>
      <c r="B19451" s="0" t="str">
        <f aca="false">HYPERLINK("https://lindat.mff.cuni.cz/services/teitok/pdtc10/index.php?action=vallex&amp;frame=v-w2356f15", "nechat (v-w2356f15)")</f>
        <v>nechat (v-w2356f15)</v>
      </c>
    </row>
    <row r="19452" customFormat="false" ht="12.8" hidden="false" customHeight="false" outlineLevel="0" collapsed="false">
      <c r="B19452" s="0" t="s">
        <v>7</v>
      </c>
    </row>
    <row r="19453" customFormat="false" ht="12.8" hidden="false" customHeight="false" outlineLevel="0" collapsed="false">
      <c r="B19453" s="0" t="s">
        <v>7405</v>
      </c>
    </row>
    <row r="19454" customFormat="false" ht="12.8" hidden="false" customHeight="false" outlineLevel="0" collapsed="false">
      <c r="B19454" s="0" t="s">
        <v>227</v>
      </c>
    </row>
    <row r="19455" customFormat="false" ht="12.8" hidden="false" customHeight="false" outlineLevel="0" collapsed="false">
      <c r="B19455" s="0" t="s">
        <v>666</v>
      </c>
    </row>
    <row r="19457" customFormat="false" ht="12.8" hidden="false" customHeight="false" outlineLevel="0" collapsed="false">
      <c r="A19457" s="0" t="s">
        <v>7406</v>
      </c>
      <c r="B19457" s="0" t="str">
        <f aca="false">HYPERLINK("https://lindat.mff.cuni.cz/services/teitok/pdtc10/index.php?action=vallex&amp;frame=v-w2356f11", "nechat (v-w2356f11)")</f>
        <v>nechat (v-w2356f11)</v>
      </c>
    </row>
    <row r="19458" customFormat="false" ht="12.8" hidden="false" customHeight="false" outlineLevel="0" collapsed="false">
      <c r="B19458" s="0" t="s">
        <v>7</v>
      </c>
    </row>
    <row r="19459" customFormat="false" ht="12.8" hidden="false" customHeight="false" outlineLevel="0" collapsed="false">
      <c r="B19459" s="0" t="s">
        <v>7407</v>
      </c>
    </row>
    <row r="19460" customFormat="false" ht="12.8" hidden="false" customHeight="false" outlineLevel="0" collapsed="false">
      <c r="B19460" s="0" t="s">
        <v>14</v>
      </c>
    </row>
    <row r="19462" customFormat="false" ht="12.8" hidden="false" customHeight="false" outlineLevel="0" collapsed="false">
      <c r="A19462" s="0" t="s">
        <v>7408</v>
      </c>
      <c r="B19462" s="0" t="str">
        <f aca="false">HYPERLINK("https://lindat.mff.cuni.cz/services/teitok/pdtc10/index.php?action=vallex&amp;frame=v-w2356f12", "nechat (v-w2356f12)")</f>
        <v>nechat (v-w2356f12)</v>
      </c>
    </row>
    <row r="19463" customFormat="false" ht="12.8" hidden="false" customHeight="false" outlineLevel="0" collapsed="false">
      <c r="B19463" s="0" t="s">
        <v>7</v>
      </c>
    </row>
    <row r="19464" customFormat="false" ht="12.8" hidden="false" customHeight="false" outlineLevel="0" collapsed="false">
      <c r="B19464" s="0" t="s">
        <v>7409</v>
      </c>
    </row>
    <row r="19465" customFormat="false" ht="12.8" hidden="false" customHeight="false" outlineLevel="0" collapsed="false">
      <c r="B19465" s="0" t="s">
        <v>14</v>
      </c>
    </row>
    <row r="19467" customFormat="false" ht="12.8" hidden="false" customHeight="false" outlineLevel="0" collapsed="false">
      <c r="A19467" s="0" t="s">
        <v>7410</v>
      </c>
      <c r="B19467" s="0" t="str">
        <f aca="false">HYPERLINK("https://lindat.mff.cuni.cz/services/teitok/pdtc10/index.php?action=vallex&amp;frame=v-w2356f9", "nechat (v-w2356f9)")</f>
        <v>nechat (v-w2356f9)</v>
      </c>
    </row>
    <row r="19468" customFormat="false" ht="12.8" hidden="false" customHeight="false" outlineLevel="0" collapsed="false">
      <c r="B19468" s="0" t="s">
        <v>7</v>
      </c>
      <c r="C19468" s="0" t="s">
        <v>2736</v>
      </c>
    </row>
    <row r="19469" customFormat="false" ht="12.8" hidden="false" customHeight="false" outlineLevel="0" collapsed="false">
      <c r="B19469" s="0" t="s">
        <v>7411</v>
      </c>
    </row>
    <row r="19470" customFormat="false" ht="12.8" hidden="false" customHeight="false" outlineLevel="0" collapsed="false">
      <c r="B19470" s="0" t="s">
        <v>14</v>
      </c>
      <c r="C19470" s="0" t="s">
        <v>7412</v>
      </c>
    </row>
    <row r="19472" customFormat="false" ht="12.8" hidden="false" customHeight="false" outlineLevel="0" collapsed="false">
      <c r="A19472" s="0" t="s">
        <v>7413</v>
      </c>
      <c r="B19472" s="0" t="str">
        <f aca="false">HYPERLINK("https://lindat.mff.cuni.cz/services/teitok/pdtc10/index.php?action=vallex&amp;frame=v-w2356f4", "nechat (v-w2356f4)")</f>
        <v>nechat (v-w2356f4)</v>
      </c>
    </row>
    <row r="19473" customFormat="false" ht="12.8" hidden="false" customHeight="false" outlineLevel="0" collapsed="false">
      <c r="B19473" s="0" t="s">
        <v>7</v>
      </c>
      <c r="C19473" s="0" t="s">
        <v>411</v>
      </c>
      <c r="D19473" s="0" t="s">
        <v>164</v>
      </c>
      <c r="E19473" s="0" t="s">
        <v>164</v>
      </c>
      <c r="F19473" s="0" t="s">
        <v>164</v>
      </c>
    </row>
    <row r="19474" customFormat="false" ht="12.8" hidden="false" customHeight="false" outlineLevel="0" collapsed="false">
      <c r="B19474" s="0" t="s">
        <v>3098</v>
      </c>
    </row>
    <row r="19475" customFormat="false" ht="12.8" hidden="false" customHeight="false" outlineLevel="0" collapsed="false">
      <c r="B19475" s="0" t="s">
        <v>2017</v>
      </c>
      <c r="C19475" s="0" t="s">
        <v>2182</v>
      </c>
      <c r="D19475" s="0" t="s">
        <v>167</v>
      </c>
      <c r="E19475" s="0" t="s">
        <v>167</v>
      </c>
      <c r="F19475" s="0" t="s">
        <v>167</v>
      </c>
    </row>
    <row r="19477" customFormat="false" ht="12.8" hidden="false" customHeight="false" outlineLevel="0" collapsed="false">
      <c r="A19477" s="0" t="s">
        <v>7414</v>
      </c>
      <c r="B19477" s="0" t="str">
        <f aca="false">HYPERLINK("https://lindat.mff.cuni.cz/services/teitok/pdtc10/index.php?action=vallex&amp;frame=v-w2356f10", "nechat (v-w2356f10)")</f>
        <v>nechat (v-w2356f10)</v>
      </c>
    </row>
    <row r="19478" customFormat="false" ht="12.8" hidden="false" customHeight="false" outlineLevel="0" collapsed="false">
      <c r="B19478" s="0" t="s">
        <v>7</v>
      </c>
      <c r="C19478" s="0" t="s">
        <v>5428</v>
      </c>
    </row>
    <row r="19479" customFormat="false" ht="12.8" hidden="false" customHeight="false" outlineLevel="0" collapsed="false">
      <c r="B19479" s="0" t="s">
        <v>7415</v>
      </c>
      <c r="C19479" s="0" t="s">
        <v>7416</v>
      </c>
    </row>
    <row r="19480" customFormat="false" ht="12.8" hidden="false" customHeight="false" outlineLevel="0" collapsed="false">
      <c r="B19480" s="0" t="s">
        <v>54</v>
      </c>
    </row>
    <row r="19482" customFormat="false" ht="12.8" hidden="false" customHeight="false" outlineLevel="0" collapsed="false">
      <c r="A19482" s="0" t="s">
        <v>7417</v>
      </c>
      <c r="B19482" s="0" t="str">
        <f aca="false">HYPERLINK("https://lindat.mff.cuni.cz/services/teitok/pdtc10/index.php?action=vallex&amp;frame=v-w2356f20_ZU", "nechat (v-w2356f20_ZU)")</f>
        <v>nechat (v-w2356f20_ZU)</v>
      </c>
    </row>
    <row r="19483" customFormat="false" ht="12.8" hidden="false" customHeight="false" outlineLevel="0" collapsed="false">
      <c r="B19483" s="0" t="s">
        <v>7</v>
      </c>
    </row>
    <row r="19484" customFormat="false" ht="12.8" hidden="false" customHeight="false" outlineLevel="0" collapsed="false">
      <c r="B19484" s="0" t="s">
        <v>5165</v>
      </c>
    </row>
    <row r="19485" customFormat="false" ht="12.8" hidden="false" customHeight="false" outlineLevel="0" collapsed="false">
      <c r="B19485" s="0" t="s">
        <v>14</v>
      </c>
    </row>
    <row r="19487" customFormat="false" ht="12.8" hidden="false" customHeight="false" outlineLevel="0" collapsed="false">
      <c r="A19487" s="0" t="s">
        <v>7418</v>
      </c>
      <c r="B19487" s="0" t="str">
        <f aca="false">HYPERLINK("https://lindat.mff.cuni.cz/services/teitok/pdtc10/index.php?action=vallex&amp;frame=v-w2356f13", "nechat (v-w2356f13)")</f>
        <v>nechat (v-w2356f13)</v>
      </c>
    </row>
    <row r="19488" customFormat="false" ht="12.8" hidden="false" customHeight="false" outlineLevel="0" collapsed="false">
      <c r="B19488" s="0" t="s">
        <v>457</v>
      </c>
    </row>
    <row r="19489" customFormat="false" ht="12.8" hidden="false" customHeight="false" outlineLevel="0" collapsed="false">
      <c r="B19489" s="0" t="s">
        <v>7419</v>
      </c>
    </row>
    <row r="19491" customFormat="false" ht="12.8" hidden="false" customHeight="false" outlineLevel="0" collapsed="false">
      <c r="A19491" s="0" t="s">
        <v>7420</v>
      </c>
      <c r="B19491" s="0" t="str">
        <f aca="false">HYPERLINK("https://lindat.mff.cuni.cz/services/teitok/pdtc10/index.php?action=vallex&amp;frame=v-w2356f23_ZU", "nechat (v-w2356f23_ZU)")</f>
        <v>nechat (v-w2356f23_ZU)</v>
      </c>
    </row>
    <row r="19492" customFormat="false" ht="12.8" hidden="false" customHeight="false" outlineLevel="0" collapsed="false">
      <c r="B19492" s="0" t="s">
        <v>7</v>
      </c>
      <c r="C19492" s="0" t="s">
        <v>1637</v>
      </c>
    </row>
    <row r="19493" customFormat="false" ht="12.8" hidden="false" customHeight="false" outlineLevel="0" collapsed="false">
      <c r="B19493" s="0" t="s">
        <v>7421</v>
      </c>
      <c r="C19493" s="0" t="s">
        <v>7422</v>
      </c>
    </row>
    <row r="19494" customFormat="false" ht="12.8" hidden="false" customHeight="false" outlineLevel="0" collapsed="false">
      <c r="B19494" s="0" t="s">
        <v>142</v>
      </c>
      <c r="C19494" s="0" t="s">
        <v>5092</v>
      </c>
    </row>
    <row r="19496" customFormat="false" ht="12.8" hidden="false" customHeight="false" outlineLevel="0" collapsed="false">
      <c r="A19496" s="0" t="s">
        <v>7420</v>
      </c>
      <c r="B19496" s="0" t="str">
        <f aca="false">HYPERLINK("https://lindat.mff.cuni.cz/services/teitok/pdtc10/index.php?action=vallex&amp;frame=v-w2356f22_ZU", "nechat (v-w2356f22_ZU) - substituted with v-w2356f23_ZU")</f>
        <v>nechat (v-w2356f22_ZU) - substituted with v-w2356f23_ZU</v>
      </c>
    </row>
    <row r="19497" customFormat="false" ht="12.8" hidden="false" customHeight="false" outlineLevel="0" collapsed="false">
      <c r="B19497" s="0" t="s">
        <v>7</v>
      </c>
      <c r="C19497" s="0" t="s">
        <v>411</v>
      </c>
    </row>
    <row r="19498" customFormat="false" ht="12.8" hidden="false" customHeight="false" outlineLevel="0" collapsed="false">
      <c r="B19498" s="0" t="s">
        <v>7421</v>
      </c>
      <c r="C19498" s="0" t="s">
        <v>3125</v>
      </c>
    </row>
    <row r="19499" customFormat="false" ht="12.8" hidden="false" customHeight="false" outlineLevel="0" collapsed="false">
      <c r="B19499" s="0" t="s">
        <v>142</v>
      </c>
      <c r="C19499" s="0" t="s">
        <v>1625</v>
      </c>
    </row>
    <row r="19501" customFormat="false" ht="12.8" hidden="false" customHeight="false" outlineLevel="0" collapsed="false">
      <c r="A19501" s="0" t="s">
        <v>7420</v>
      </c>
      <c r="B19501" s="0" t="str">
        <f aca="false">HYPERLINK("https://lindat.mff.cuni.cz/services/teitok/pdtc10/index.php?action=vallex&amp;frame=v-w2356hsa_330", "nechat (v-w2356hsa_330) - substituted with v-w2356f23_ZU")</f>
        <v>nechat (v-w2356hsa_330) - substituted with v-w2356f23_ZU</v>
      </c>
    </row>
    <row r="19502" customFormat="false" ht="12.8" hidden="false" customHeight="false" outlineLevel="0" collapsed="false">
      <c r="B19502" s="0" t="s">
        <v>7</v>
      </c>
    </row>
    <row r="19503" customFormat="false" ht="12.8" hidden="false" customHeight="false" outlineLevel="0" collapsed="false">
      <c r="B19503" s="0" t="s">
        <v>7421</v>
      </c>
    </row>
    <row r="19504" customFormat="false" ht="12.8" hidden="false" customHeight="false" outlineLevel="0" collapsed="false">
      <c r="B19504" s="0" t="s">
        <v>142</v>
      </c>
    </row>
    <row r="19506" customFormat="false" ht="12.8" hidden="false" customHeight="false" outlineLevel="0" collapsed="false">
      <c r="A19506" s="0" t="s">
        <v>7423</v>
      </c>
      <c r="B19506" s="0" t="str">
        <f aca="false">HYPERLINK("https://lindat.mff.cuni.cz/services/teitok/pdtc10/index.php?action=vallex&amp;frame=v-w2356f24_ZU", "nechat (v-w2356f24_ZU)")</f>
        <v>nechat (v-w2356f24_ZU)</v>
      </c>
    </row>
    <row r="19507" customFormat="false" ht="12.8" hidden="false" customHeight="false" outlineLevel="0" collapsed="false">
      <c r="B19507" s="0" t="s">
        <v>7</v>
      </c>
      <c r="C19507" s="0" t="s">
        <v>126</v>
      </c>
    </row>
    <row r="19508" customFormat="false" ht="12.8" hidden="false" customHeight="false" outlineLevel="0" collapsed="false">
      <c r="B19508" s="0" t="s">
        <v>7424</v>
      </c>
      <c r="C19508" s="0" t="s">
        <v>517</v>
      </c>
    </row>
    <row r="19509" customFormat="false" ht="12.8" hidden="false" customHeight="false" outlineLevel="0" collapsed="false">
      <c r="B19509" s="0" t="s">
        <v>14</v>
      </c>
      <c r="C19509" s="0" t="s">
        <v>1146</v>
      </c>
    </row>
    <row r="19511" customFormat="false" ht="12.8" hidden="false" customHeight="false" outlineLevel="0" collapsed="false">
      <c r="A19511" s="0" t="s">
        <v>7423</v>
      </c>
      <c r="B19511" s="0" t="str">
        <f aca="false">HYPERLINK("https://lindat.mff.cuni.cz/services/teitok/pdtc10/index.php?action=vallex&amp;frame=v-w2356hsa_331", "nechat (v-w2356hsa_331) - substituted with v-w2356f24_ZU")</f>
        <v>nechat (v-w2356hsa_331) - substituted with v-w2356f24_ZU</v>
      </c>
    </row>
    <row r="19512" customFormat="false" ht="12.8" hidden="false" customHeight="false" outlineLevel="0" collapsed="false">
      <c r="B19512" s="0" t="s">
        <v>7</v>
      </c>
    </row>
    <row r="19513" customFormat="false" ht="12.8" hidden="false" customHeight="false" outlineLevel="0" collapsed="false">
      <c r="B19513" s="0" t="s">
        <v>7424</v>
      </c>
    </row>
    <row r="19514" customFormat="false" ht="12.8" hidden="false" customHeight="false" outlineLevel="0" collapsed="false">
      <c r="B19514" s="0" t="s">
        <v>14</v>
      </c>
    </row>
    <row r="19516" customFormat="false" ht="12.8" hidden="false" customHeight="false" outlineLevel="0" collapsed="false">
      <c r="A19516" s="0" t="s">
        <v>7425</v>
      </c>
      <c r="B19516" s="0" t="str">
        <f aca="false">HYPERLINK("https://lindat.mff.cuni.cz/services/teitok/pdtc10/index.php?action=vallex&amp;frame=v-w2356f31_MM", "nechat (v-w2356f31_MM)")</f>
        <v>nechat (v-w2356f31_MM)</v>
      </c>
    </row>
    <row r="19517" customFormat="false" ht="12.8" hidden="false" customHeight="false" outlineLevel="0" collapsed="false">
      <c r="B19517" s="0" t="s">
        <v>7</v>
      </c>
    </row>
    <row r="19518" customFormat="false" ht="12.8" hidden="false" customHeight="false" outlineLevel="0" collapsed="false">
      <c r="B19518" s="0" t="s">
        <v>7426</v>
      </c>
    </row>
    <row r="19519" customFormat="false" ht="12.8" hidden="false" customHeight="false" outlineLevel="0" collapsed="false">
      <c r="B19519" s="0" t="s">
        <v>14</v>
      </c>
    </row>
    <row r="19521" customFormat="false" ht="12.8" hidden="false" customHeight="false" outlineLevel="0" collapsed="false">
      <c r="A19521" s="0" t="s">
        <v>7427</v>
      </c>
      <c r="B19521" s="0" t="str">
        <f aca="false">HYPERLINK("https://lindat.mff.cuni.cz/services/teitok/pdtc10/index.php?action=vallex&amp;frame=v-w2356hsa_328", "nechat (v-w2356hsa_328)")</f>
        <v>nechat (v-w2356hsa_328)</v>
      </c>
    </row>
    <row r="19522" customFormat="false" ht="12.8" hidden="false" customHeight="false" outlineLevel="0" collapsed="false">
      <c r="B19522" s="0" t="s">
        <v>7</v>
      </c>
    </row>
    <row r="19523" customFormat="false" ht="12.8" hidden="false" customHeight="false" outlineLevel="0" collapsed="false">
      <c r="B19523" s="0" t="s">
        <v>14</v>
      </c>
    </row>
    <row r="19524" customFormat="false" ht="12.8" hidden="false" customHeight="false" outlineLevel="0" collapsed="false">
      <c r="B19524" s="0" t="s">
        <v>7428</v>
      </c>
    </row>
    <row r="19526" customFormat="false" ht="12.8" hidden="false" customHeight="false" outlineLevel="0" collapsed="false">
      <c r="A19526" s="0" t="s">
        <v>7429</v>
      </c>
      <c r="B19526" s="0" t="str">
        <f aca="false">HYPERLINK("https://lindat.mff.cuni.cz/services/teitok/pdtc10/index.php?action=vallex&amp;frame=v-w2356hsa_329", "nechat (v-w2356hsa_329)")</f>
        <v>nechat (v-w2356hsa_329)</v>
      </c>
    </row>
    <row r="19527" customFormat="false" ht="12.8" hidden="false" customHeight="false" outlineLevel="0" collapsed="false">
      <c r="B19527" s="0" t="s">
        <v>7</v>
      </c>
    </row>
    <row r="19528" customFormat="false" ht="12.8" hidden="false" customHeight="false" outlineLevel="0" collapsed="false">
      <c r="B19528" s="0" t="s">
        <v>7430</v>
      </c>
    </row>
    <row r="19529" customFormat="false" ht="12.8" hidden="false" customHeight="false" outlineLevel="0" collapsed="false">
      <c r="B19529" s="0" t="s">
        <v>14</v>
      </c>
    </row>
    <row r="19531" customFormat="false" ht="12.8" hidden="false" customHeight="false" outlineLevel="0" collapsed="false">
      <c r="A19531" s="0" t="s">
        <v>7431</v>
      </c>
      <c r="B19531" s="0" t="str">
        <f aca="false">HYPERLINK("https://lindat.mff.cuni.cz/services/teitok/pdtc10/index.php?action=vallex&amp;frame=v-w2357f1", "nechat si (v-w2357f1)")</f>
        <v>nechat si (v-w2357f1)</v>
      </c>
    </row>
    <row r="19532" customFormat="false" ht="12.8" hidden="false" customHeight="false" outlineLevel="0" collapsed="false">
      <c r="B19532" s="0" t="s">
        <v>7</v>
      </c>
    </row>
    <row r="19533" customFormat="false" ht="12.8" hidden="false" customHeight="false" outlineLevel="0" collapsed="false">
      <c r="B19533" s="0" t="s">
        <v>1087</v>
      </c>
    </row>
    <row r="19535" customFormat="false" ht="12.8" hidden="false" customHeight="false" outlineLevel="0" collapsed="false">
      <c r="A19535" s="0" t="s">
        <v>7432</v>
      </c>
      <c r="B19535" s="0" t="str">
        <f aca="false">HYPERLINK("https://lindat.mff.cuni.cz/services/teitok/pdtc10/index.php?action=vallex&amp;frame=v-w2357f2_ZU", "nechat si (v-w2357f2_ZU)")</f>
        <v>nechat si (v-w2357f2_ZU)</v>
      </c>
    </row>
    <row r="19536" customFormat="false" ht="12.8" hidden="false" customHeight="false" outlineLevel="0" collapsed="false">
      <c r="B19536" s="0" t="s">
        <v>7</v>
      </c>
    </row>
    <row r="19537" customFormat="false" ht="12.8" hidden="false" customHeight="false" outlineLevel="0" collapsed="false">
      <c r="B19537" s="0" t="s">
        <v>14</v>
      </c>
    </row>
    <row r="19539" customFormat="false" ht="12.8" hidden="false" customHeight="false" outlineLevel="0" collapsed="false">
      <c r="A19539" s="0" t="s">
        <v>7432</v>
      </c>
      <c r="B19539" s="0" t="str">
        <f aca="false">HYPERLINK("https://lindat.mff.cuni.cz/services/teitok/pdtc10/index.php?action=vallex&amp;frame=v-w2357hsa_820", "nechat si (v-w2357hsa_820) - substituted with v-w2357f2_ZU")</f>
        <v>nechat si (v-w2357hsa_820) - substituted with v-w2357f2_ZU</v>
      </c>
    </row>
    <row r="19540" customFormat="false" ht="12.8" hidden="false" customHeight="false" outlineLevel="0" collapsed="false">
      <c r="B19540" s="0" t="s">
        <v>7</v>
      </c>
      <c r="C19540" s="0" t="s">
        <v>1826</v>
      </c>
      <c r="D19540" s="0" t="s">
        <v>7433</v>
      </c>
      <c r="E19540" s="0" t="s">
        <v>7434</v>
      </c>
      <c r="F19540" s="0" t="s">
        <v>7434</v>
      </c>
    </row>
    <row r="19541" customFormat="false" ht="12.8" hidden="false" customHeight="false" outlineLevel="0" collapsed="false">
      <c r="B19541" s="0" t="s">
        <v>14</v>
      </c>
      <c r="C19541" s="0" t="s">
        <v>3565</v>
      </c>
      <c r="D19541" s="0" t="s">
        <v>7435</v>
      </c>
      <c r="E19541" s="0" t="s">
        <v>7436</v>
      </c>
      <c r="F19541" s="0" t="s">
        <v>7436</v>
      </c>
    </row>
    <row r="19543" customFormat="false" ht="12.8" hidden="false" customHeight="false" outlineLevel="0" collapsed="false">
      <c r="A19543" s="0" t="s">
        <v>7437</v>
      </c>
      <c r="B19543" s="0" t="str">
        <f aca="false">HYPERLINK("https://lindat.mff.cuni.cz/services/teitok/pdtc10/index.php?action=vallex&amp;frame=v-w2358f9", "nechávat (v-w2358f9)")</f>
        <v>nechávat (v-w2358f9)</v>
      </c>
    </row>
    <row r="19544" customFormat="false" ht="12.8" hidden="false" customHeight="false" outlineLevel="0" collapsed="false">
      <c r="B19544" s="0" t="s">
        <v>7</v>
      </c>
    </row>
    <row r="19545" customFormat="false" ht="12.8" hidden="false" customHeight="false" outlineLevel="0" collapsed="false">
      <c r="B19545" s="0" t="s">
        <v>14</v>
      </c>
    </row>
    <row r="19546" customFormat="false" ht="12.8" hidden="false" customHeight="false" outlineLevel="0" collapsed="false">
      <c r="B19546" s="0" t="s">
        <v>106</v>
      </c>
    </row>
    <row r="19547" customFormat="false" ht="12.8" hidden="false" customHeight="false" outlineLevel="0" collapsed="false">
      <c r="B19547" s="0" t="s">
        <v>550</v>
      </c>
    </row>
    <row r="19549" customFormat="false" ht="12.8" hidden="false" customHeight="false" outlineLevel="0" collapsed="false">
      <c r="A19549" s="0" t="s">
        <v>7438</v>
      </c>
      <c r="B19549" s="0" t="str">
        <f aca="false">HYPERLINK("https://lindat.mff.cuni.cz/services/teitok/pdtc10/index.php?action=vallex&amp;frame=v-w2358f6", "nechávat (v-w2358f6)")</f>
        <v>nechávat (v-w2358f6)</v>
      </c>
    </row>
    <row r="19550" customFormat="false" ht="12.8" hidden="false" customHeight="false" outlineLevel="0" collapsed="false">
      <c r="B19550" s="0" t="s">
        <v>7</v>
      </c>
    </row>
    <row r="19551" customFormat="false" ht="12.8" hidden="false" customHeight="false" outlineLevel="0" collapsed="false">
      <c r="B19551" s="0" t="s">
        <v>4100</v>
      </c>
    </row>
    <row r="19552" customFormat="false" ht="12.8" hidden="false" customHeight="false" outlineLevel="0" collapsed="false">
      <c r="B19552" s="0" t="s">
        <v>7370</v>
      </c>
    </row>
    <row r="19554" customFormat="false" ht="12.8" hidden="false" customHeight="false" outlineLevel="0" collapsed="false">
      <c r="A19554" s="0" t="s">
        <v>7439</v>
      </c>
      <c r="B19554" s="0" t="str">
        <f aca="false">HYPERLINK("https://lindat.mff.cuni.cz/services/teitok/pdtc10/index.php?action=vallex&amp;frame=v-w2358f2", "nechávat (v-w2358f2)")</f>
        <v>nechávat (v-w2358f2)</v>
      </c>
    </row>
    <row r="19555" customFormat="false" ht="12.8" hidden="false" customHeight="false" outlineLevel="0" collapsed="false">
      <c r="B19555" s="0" t="s">
        <v>7</v>
      </c>
      <c r="C19555" s="0" t="s">
        <v>2736</v>
      </c>
    </row>
    <row r="19556" customFormat="false" ht="12.8" hidden="false" customHeight="false" outlineLevel="0" collapsed="false">
      <c r="B19556" s="0" t="s">
        <v>14</v>
      </c>
      <c r="C19556" s="0" t="s">
        <v>7412</v>
      </c>
    </row>
    <row r="19557" customFormat="false" ht="12.8" hidden="false" customHeight="false" outlineLevel="0" collapsed="false">
      <c r="B19557" s="0" t="s">
        <v>48</v>
      </c>
    </row>
    <row r="19559" customFormat="false" ht="12.8" hidden="false" customHeight="false" outlineLevel="0" collapsed="false">
      <c r="A19559" s="0" t="s">
        <v>7440</v>
      </c>
      <c r="B19559" s="0" t="str">
        <f aca="false">HYPERLINK("https://lindat.mff.cuni.cz/services/teitok/pdtc10/index.php?action=vallex&amp;frame=v-w2358hsa_526", "nechávat (v-w2358hsa_526)")</f>
        <v>nechávat (v-w2358hsa_526)</v>
      </c>
    </row>
    <row r="19560" customFormat="false" ht="12.8" hidden="false" customHeight="false" outlineLevel="0" collapsed="false">
      <c r="B19560" s="0" t="s">
        <v>7</v>
      </c>
      <c r="C19560" s="0" t="s">
        <v>1637</v>
      </c>
      <c r="D19560" s="0" t="s">
        <v>2629</v>
      </c>
      <c r="E19560" s="0" t="s">
        <v>2629</v>
      </c>
      <c r="F19560" s="0" t="s">
        <v>2629</v>
      </c>
    </row>
    <row r="19561" customFormat="false" ht="12.8" hidden="false" customHeight="false" outlineLevel="0" collapsed="false">
      <c r="B19561" s="0" t="s">
        <v>14</v>
      </c>
      <c r="C19561" s="0" t="s">
        <v>5092</v>
      </c>
      <c r="D19561" s="0" t="s">
        <v>7387</v>
      </c>
      <c r="E19561" s="0" t="s">
        <v>7387</v>
      </c>
      <c r="F19561" s="0" t="s">
        <v>7387</v>
      </c>
    </row>
    <row r="19562" customFormat="false" ht="12.8" hidden="false" customHeight="false" outlineLevel="0" collapsed="false">
      <c r="B19562" s="0" t="s">
        <v>7441</v>
      </c>
      <c r="C19562" s="0" t="s">
        <v>7442</v>
      </c>
      <c r="D19562" s="0" t="s">
        <v>7389</v>
      </c>
      <c r="E19562" s="0" t="s">
        <v>7389</v>
      </c>
      <c r="F19562" s="0" t="s">
        <v>7389</v>
      </c>
    </row>
    <row r="19564" customFormat="false" ht="12.8" hidden="false" customHeight="false" outlineLevel="0" collapsed="false">
      <c r="A19564" s="0" t="s">
        <v>7440</v>
      </c>
      <c r="B19564" s="0" t="str">
        <f aca="false">HYPERLINK("https://lindat.mff.cuni.cz/services/teitok/pdtc10/index.php?action=vallex&amp;frame=v-w2358f3", "nechávat (v-w2358f3) - substituted with v-w2358hsa_526")</f>
        <v>nechávat (v-w2358f3) - substituted with v-w2358hsa_526</v>
      </c>
    </row>
    <row r="19565" customFormat="false" ht="12.8" hidden="false" customHeight="false" outlineLevel="0" collapsed="false">
      <c r="B19565" s="0" t="s">
        <v>7</v>
      </c>
      <c r="C19565" s="0" t="s">
        <v>7443</v>
      </c>
    </row>
    <row r="19566" customFormat="false" ht="12.8" hidden="false" customHeight="false" outlineLevel="0" collapsed="false">
      <c r="B19566" s="0" t="s">
        <v>14</v>
      </c>
      <c r="C19566" s="0" t="s">
        <v>7444</v>
      </c>
    </row>
    <row r="19567" customFormat="false" ht="12.8" hidden="false" customHeight="false" outlineLevel="0" collapsed="false">
      <c r="B19567" s="0" t="s">
        <v>7441</v>
      </c>
      <c r="C19567" s="0" t="s">
        <v>7445</v>
      </c>
    </row>
    <row r="19569" customFormat="false" ht="12.8" hidden="false" customHeight="false" outlineLevel="0" collapsed="false">
      <c r="A19569" s="0" t="s">
        <v>7446</v>
      </c>
      <c r="B19569" s="0" t="str">
        <f aca="false">HYPERLINK("https://lindat.mff.cuni.cz/services/teitok/pdtc10/index.php?action=vallex&amp;frame=v-w2358f17_ZU", "nechávat (v-w2358f17_ZU)")</f>
        <v>nechávat (v-w2358f17_ZU)</v>
      </c>
    </row>
    <row r="19570" customFormat="false" ht="12.8" hidden="false" customHeight="false" outlineLevel="0" collapsed="false">
      <c r="B19570" s="0" t="s">
        <v>7</v>
      </c>
      <c r="C19570" s="0" t="s">
        <v>1637</v>
      </c>
    </row>
    <row r="19571" customFormat="false" ht="12.8" hidden="false" customHeight="false" outlineLevel="0" collapsed="false">
      <c r="B19571" s="0" t="s">
        <v>14</v>
      </c>
      <c r="C19571" s="0" t="s">
        <v>5092</v>
      </c>
    </row>
    <row r="19572" customFormat="false" ht="12.8" hidden="false" customHeight="false" outlineLevel="0" collapsed="false">
      <c r="B19572" s="0" t="s">
        <v>7376</v>
      </c>
    </row>
    <row r="19574" customFormat="false" ht="12.8" hidden="false" customHeight="false" outlineLevel="0" collapsed="false">
      <c r="A19574" s="0" t="s">
        <v>7446</v>
      </c>
      <c r="B19574" s="0" t="str">
        <f aca="false">HYPERLINK("https://lindat.mff.cuni.cz/services/teitok/pdtc10/index.php?action=vallex&amp;frame=v-w2358f14_ZU", "nechávat (v-w2358f14_ZU) - substituted with v-w2358f17_ZU")</f>
        <v>nechávat (v-w2358f14_ZU) - substituted with v-w2358f17_ZU</v>
      </c>
    </row>
    <row r="19575" customFormat="false" ht="12.8" hidden="false" customHeight="false" outlineLevel="0" collapsed="false">
      <c r="B19575" s="0" t="s">
        <v>7</v>
      </c>
      <c r="C19575" s="0" t="s">
        <v>1637</v>
      </c>
    </row>
    <row r="19576" customFormat="false" ht="12.8" hidden="false" customHeight="false" outlineLevel="0" collapsed="false">
      <c r="B19576" s="0" t="s">
        <v>14</v>
      </c>
      <c r="C19576" s="0" t="s">
        <v>5092</v>
      </c>
    </row>
    <row r="19577" customFormat="false" ht="12.8" hidden="false" customHeight="false" outlineLevel="0" collapsed="false">
      <c r="B19577" s="0" t="s">
        <v>7376</v>
      </c>
      <c r="C19577" s="0" t="s">
        <v>7442</v>
      </c>
    </row>
    <row r="19579" customFormat="false" ht="12.8" hidden="false" customHeight="false" outlineLevel="0" collapsed="false">
      <c r="A19579" s="0" t="s">
        <v>7446</v>
      </c>
      <c r="B19579" s="0" t="str">
        <f aca="false">HYPERLINK("https://lindat.mff.cuni.cz/services/teitok/pdtc10/index.php?action=vallex&amp;frame=v-w2358f5", "nechávat (v-w2358f5) - substituted with v-w2358f17_ZU")</f>
        <v>nechávat (v-w2358f5) - substituted with v-w2358f17_ZU</v>
      </c>
    </row>
    <row r="19580" customFormat="false" ht="12.8" hidden="false" customHeight="false" outlineLevel="0" collapsed="false">
      <c r="B19580" s="0" t="s">
        <v>7</v>
      </c>
      <c r="C19580" s="0" t="s">
        <v>1637</v>
      </c>
    </row>
    <row r="19581" customFormat="false" ht="12.8" hidden="false" customHeight="false" outlineLevel="0" collapsed="false">
      <c r="B19581" s="0" t="s">
        <v>14</v>
      </c>
      <c r="C19581" s="0" t="s">
        <v>5092</v>
      </c>
    </row>
    <row r="19582" customFormat="false" ht="12.8" hidden="false" customHeight="false" outlineLevel="0" collapsed="false">
      <c r="B19582" s="0" t="s">
        <v>7376</v>
      </c>
      <c r="C19582" s="0" t="s">
        <v>7442</v>
      </c>
    </row>
    <row r="19584" customFormat="false" ht="12.8" hidden="false" customHeight="false" outlineLevel="0" collapsed="false">
      <c r="A19584" s="0" t="s">
        <v>7446</v>
      </c>
      <c r="B19584" s="0" t="str">
        <f aca="false">HYPERLINK("https://lindat.mff.cuni.cz/services/teitok/pdtc10/index.php?action=vallex&amp;frame=v-w2358hsa_525", "nechávat (v-w2358hsa_525) - substituted with v-w2358f17_ZU")</f>
        <v>nechávat (v-w2358hsa_525) - substituted with v-w2358f17_ZU</v>
      </c>
    </row>
    <row r="19585" customFormat="false" ht="12.8" hidden="false" customHeight="false" outlineLevel="0" collapsed="false">
      <c r="B19585" s="0" t="s">
        <v>7</v>
      </c>
    </row>
    <row r="19586" customFormat="false" ht="12.8" hidden="false" customHeight="false" outlineLevel="0" collapsed="false">
      <c r="B19586" s="0" t="s">
        <v>14</v>
      </c>
    </row>
    <row r="19587" customFormat="false" ht="12.8" hidden="false" customHeight="false" outlineLevel="0" collapsed="false">
      <c r="B19587" s="0" t="s">
        <v>7376</v>
      </c>
    </row>
    <row r="19589" customFormat="false" ht="12.8" hidden="false" customHeight="false" outlineLevel="0" collapsed="false">
      <c r="A19589" s="0" t="s">
        <v>7447</v>
      </c>
      <c r="B19589" s="0" t="str">
        <f aca="false">HYPERLINK("https://lindat.mff.cuni.cz/services/teitok/pdtc10/index.php?action=vallex&amp;frame=v-w2358f4", "nechávat (v-w2358f4)")</f>
        <v>nechávat (v-w2358f4)</v>
      </c>
    </row>
    <row r="19590" customFormat="false" ht="12.8" hidden="false" customHeight="false" outlineLevel="0" collapsed="false">
      <c r="B19590" s="0" t="s">
        <v>7</v>
      </c>
      <c r="C19590" s="0" t="s">
        <v>3803</v>
      </c>
    </row>
    <row r="19591" customFormat="false" ht="12.8" hidden="false" customHeight="false" outlineLevel="0" collapsed="false">
      <c r="B19591" s="0" t="s">
        <v>14</v>
      </c>
      <c r="C19591" s="0" t="s">
        <v>7448</v>
      </c>
    </row>
    <row r="19592" customFormat="false" ht="12.8" hidden="false" customHeight="false" outlineLevel="0" collapsed="false">
      <c r="B19592" s="0" t="s">
        <v>2804</v>
      </c>
      <c r="C19592" s="0" t="s">
        <v>7392</v>
      </c>
    </row>
    <row r="19594" customFormat="false" ht="12.8" hidden="false" customHeight="false" outlineLevel="0" collapsed="false">
      <c r="A19594" s="0" t="s">
        <v>7449</v>
      </c>
      <c r="B19594" s="0" t="str">
        <f aca="false">HYPERLINK("https://lindat.mff.cuni.cz/services/teitok/pdtc10/index.php?action=vallex&amp;frame=v-w2358f10", "nechávat (v-w2358f10)")</f>
        <v>nechávat (v-w2358f10)</v>
      </c>
    </row>
    <row r="19595" customFormat="false" ht="12.8" hidden="false" customHeight="false" outlineLevel="0" collapsed="false">
      <c r="B19595" s="0" t="s">
        <v>7</v>
      </c>
      <c r="C19595" s="0" t="s">
        <v>7450</v>
      </c>
    </row>
    <row r="19596" customFormat="false" ht="12.8" hidden="false" customHeight="false" outlineLevel="0" collapsed="false">
      <c r="B19596" s="0" t="s">
        <v>14</v>
      </c>
      <c r="C19596" s="0" t="s">
        <v>1168</v>
      </c>
    </row>
    <row r="19597" customFormat="false" ht="12.8" hidden="false" customHeight="false" outlineLevel="0" collapsed="false">
      <c r="B19597" s="0" t="s">
        <v>11</v>
      </c>
      <c r="C19597" s="0" t="s">
        <v>7451</v>
      </c>
    </row>
    <row r="19599" customFormat="false" ht="12.8" hidden="false" customHeight="false" outlineLevel="0" collapsed="false">
      <c r="A19599" s="0" t="s">
        <v>7452</v>
      </c>
      <c r="B19599" s="0" t="str">
        <f aca="false">HYPERLINK("https://lindat.mff.cuni.cz/services/teitok/pdtc10/index.php?action=vallex&amp;frame=v-w2358f13_ZU", "nechávat (v-w2358f13_ZU)")</f>
        <v>nechávat (v-w2358f13_ZU)</v>
      </c>
    </row>
    <row r="19600" customFormat="false" ht="12.8" hidden="false" customHeight="false" outlineLevel="0" collapsed="false">
      <c r="B19600" s="0" t="s">
        <v>7</v>
      </c>
    </row>
    <row r="19601" customFormat="false" ht="12.8" hidden="false" customHeight="false" outlineLevel="0" collapsed="false">
      <c r="B19601" s="0" t="s">
        <v>14</v>
      </c>
    </row>
    <row r="19602" customFormat="false" ht="12.8" hidden="false" customHeight="false" outlineLevel="0" collapsed="false">
      <c r="B19602" s="0" t="s">
        <v>7453</v>
      </c>
    </row>
    <row r="19604" customFormat="false" ht="12.8" hidden="false" customHeight="false" outlineLevel="0" collapsed="false">
      <c r="A19604" s="0" t="s">
        <v>7454</v>
      </c>
      <c r="B19604" s="0" t="str">
        <f aca="false">HYPERLINK("https://lindat.mff.cuni.cz/services/teitok/pdtc10/index.php?action=vallex&amp;frame=v-w2358f12_ZU", "nechávat (v-w2358f12_ZU)")</f>
        <v>nechávat (v-w2358f12_ZU)</v>
      </c>
    </row>
    <row r="19605" customFormat="false" ht="12.8" hidden="false" customHeight="false" outlineLevel="0" collapsed="false">
      <c r="B19605" s="0" t="s">
        <v>7</v>
      </c>
    </row>
    <row r="19606" customFormat="false" ht="12.8" hidden="false" customHeight="false" outlineLevel="0" collapsed="false">
      <c r="B19606" s="0" t="s">
        <v>712</v>
      </c>
    </row>
    <row r="19608" customFormat="false" ht="12.8" hidden="false" customHeight="false" outlineLevel="0" collapsed="false">
      <c r="A19608" s="0" t="s">
        <v>7454</v>
      </c>
      <c r="B19608" s="0" t="str">
        <f aca="false">HYPERLINK("https://lindat.mff.cuni.cz/services/teitok/pdtc10/index.php?action=vallex&amp;frame=v-w2358f1", "nechávat (v-w2358f1) - substituted with v-w2358f12_ZU")</f>
        <v>nechávat (v-w2358f1) - substituted with v-w2358f12_ZU</v>
      </c>
    </row>
    <row r="19609" customFormat="false" ht="12.8" hidden="false" customHeight="false" outlineLevel="0" collapsed="false">
      <c r="B19609" s="0" t="s">
        <v>7</v>
      </c>
    </row>
    <row r="19610" customFormat="false" ht="12.8" hidden="false" customHeight="false" outlineLevel="0" collapsed="false">
      <c r="B19610" s="0" t="s">
        <v>712</v>
      </c>
    </row>
    <row r="19612" customFormat="false" ht="12.8" hidden="false" customHeight="false" outlineLevel="0" collapsed="false">
      <c r="A19612" s="0" t="s">
        <v>7455</v>
      </c>
      <c r="B19612" s="0" t="str">
        <f aca="false">HYPERLINK("https://lindat.mff.cuni.cz/services/teitok/pdtc10/index.php?action=vallex&amp;frame=v-w2358f7", "nechávat (v-w2358f7)")</f>
        <v>nechávat (v-w2358f7)</v>
      </c>
    </row>
    <row r="19613" customFormat="false" ht="12.8" hidden="false" customHeight="false" outlineLevel="0" collapsed="false">
      <c r="B19613" s="0" t="s">
        <v>7</v>
      </c>
    </row>
    <row r="19614" customFormat="false" ht="12.8" hidden="false" customHeight="false" outlineLevel="0" collapsed="false">
      <c r="B19614" s="0" t="s">
        <v>7407</v>
      </c>
    </row>
    <row r="19615" customFormat="false" ht="12.8" hidden="false" customHeight="false" outlineLevel="0" collapsed="false">
      <c r="B19615" s="0" t="s">
        <v>14</v>
      </c>
    </row>
    <row r="19617" customFormat="false" ht="12.8" hidden="false" customHeight="false" outlineLevel="0" collapsed="false">
      <c r="A19617" s="0" t="s">
        <v>7456</v>
      </c>
      <c r="B19617" s="0" t="str">
        <f aca="false">HYPERLINK("https://lindat.mff.cuni.cz/services/teitok/pdtc10/index.php?action=vallex&amp;frame=v-w2358f8", "nechávat (v-w2358f8)")</f>
        <v>nechávat (v-w2358f8)</v>
      </c>
    </row>
    <row r="19618" customFormat="false" ht="12.8" hidden="false" customHeight="false" outlineLevel="0" collapsed="false">
      <c r="B19618" s="0" t="s">
        <v>7</v>
      </c>
    </row>
    <row r="19619" customFormat="false" ht="12.8" hidden="false" customHeight="false" outlineLevel="0" collapsed="false">
      <c r="B19619" s="0" t="s">
        <v>7409</v>
      </c>
    </row>
    <row r="19620" customFormat="false" ht="12.8" hidden="false" customHeight="false" outlineLevel="0" collapsed="false">
      <c r="B19620" s="0" t="s">
        <v>14</v>
      </c>
    </row>
    <row r="19622" customFormat="false" ht="12.8" hidden="false" customHeight="false" outlineLevel="0" collapsed="false">
      <c r="A19622" s="0" t="s">
        <v>7457</v>
      </c>
      <c r="B19622" s="0" t="str">
        <f aca="false">HYPERLINK("https://lindat.mff.cuni.cz/services/teitok/pdtc10/index.php?action=vallex&amp;frame=v-w2358f11", "nechávat (v-w2358f11)")</f>
        <v>nechávat (v-w2358f11)</v>
      </c>
    </row>
    <row r="19623" customFormat="false" ht="12.8" hidden="false" customHeight="false" outlineLevel="0" collapsed="false">
      <c r="B19623" s="0" t="s">
        <v>7</v>
      </c>
      <c r="D19623" s="0" t="s">
        <v>164</v>
      </c>
      <c r="E19623" s="0" t="s">
        <v>164</v>
      </c>
      <c r="F19623" s="0" t="s">
        <v>164</v>
      </c>
    </row>
    <row r="19624" customFormat="false" ht="12.8" hidden="false" customHeight="false" outlineLevel="0" collapsed="false">
      <c r="B19624" s="0" t="s">
        <v>7458</v>
      </c>
    </row>
    <row r="19625" customFormat="false" ht="12.8" hidden="false" customHeight="false" outlineLevel="0" collapsed="false">
      <c r="B19625" s="0" t="s">
        <v>2933</v>
      </c>
      <c r="D19625" s="0" t="s">
        <v>167</v>
      </c>
      <c r="E19625" s="0" t="s">
        <v>167</v>
      </c>
      <c r="F19625" s="0" t="s">
        <v>167</v>
      </c>
    </row>
    <row r="19627" customFormat="false" ht="12.8" hidden="false" customHeight="false" outlineLevel="0" collapsed="false">
      <c r="A19627" s="0" t="s">
        <v>7459</v>
      </c>
      <c r="B19627" s="0" t="str">
        <f aca="false">HYPERLINK("https://lindat.mff.cuni.cz/services/teitok/pdtc10/index.php?action=vallex&amp;frame=v-w2358f15_ZU", "nechávat (v-w2358f15_ZU)")</f>
        <v>nechávat (v-w2358f15_ZU)</v>
      </c>
    </row>
    <row r="19628" customFormat="false" ht="12.8" hidden="false" customHeight="false" outlineLevel="0" collapsed="false">
      <c r="B19628" s="0" t="s">
        <v>7</v>
      </c>
    </row>
    <row r="19629" customFormat="false" ht="12.8" hidden="false" customHeight="false" outlineLevel="0" collapsed="false">
      <c r="B19629" s="0" t="s">
        <v>7460</v>
      </c>
    </row>
    <row r="19630" customFormat="false" ht="12.8" hidden="false" customHeight="false" outlineLevel="0" collapsed="false">
      <c r="B19630" s="0" t="s">
        <v>14</v>
      </c>
    </row>
    <row r="19632" customFormat="false" ht="12.8" hidden="false" customHeight="false" outlineLevel="0" collapsed="false">
      <c r="A19632" s="0" t="s">
        <v>7459</v>
      </c>
      <c r="B19632" s="0" t="str">
        <f aca="false">HYPERLINK("https://lindat.mff.cuni.cz/services/teitok/pdtc10/index.php?action=vallex&amp;frame=v-w2358hsa_527", "nechávat (v-w2358hsa_527) - substituted with v-w2358f15_ZU")</f>
        <v>nechávat (v-w2358hsa_527) - substituted with v-w2358f15_ZU</v>
      </c>
    </row>
    <row r="19633" customFormat="false" ht="12.8" hidden="false" customHeight="false" outlineLevel="0" collapsed="false">
      <c r="B19633" s="0" t="s">
        <v>7</v>
      </c>
    </row>
    <row r="19634" customFormat="false" ht="12.8" hidden="false" customHeight="false" outlineLevel="0" collapsed="false">
      <c r="B19634" s="0" t="s">
        <v>7460</v>
      </c>
    </row>
    <row r="19635" customFormat="false" ht="12.8" hidden="false" customHeight="false" outlineLevel="0" collapsed="false">
      <c r="B19635" s="0" t="s">
        <v>14</v>
      </c>
    </row>
    <row r="19637" customFormat="false" ht="12.8" hidden="false" customHeight="false" outlineLevel="0" collapsed="false">
      <c r="A19637" s="0" t="s">
        <v>7461</v>
      </c>
      <c r="B19637" s="0" t="str">
        <f aca="false">HYPERLINK("https://lindat.mff.cuni.cz/services/teitok/pdtc10/index.php?action=vallex&amp;frame=v-w2358f16_ZU", "nechávat (v-w2358f16_ZU)")</f>
        <v>nechávat (v-w2358f16_ZU)</v>
      </c>
    </row>
    <row r="19638" customFormat="false" ht="12.8" hidden="false" customHeight="false" outlineLevel="0" collapsed="false">
      <c r="B19638" s="0" t="s">
        <v>7</v>
      </c>
    </row>
    <row r="19639" customFormat="false" ht="12.8" hidden="false" customHeight="false" outlineLevel="0" collapsed="false">
      <c r="B19639" s="0" t="s">
        <v>7421</v>
      </c>
    </row>
    <row r="19640" customFormat="false" ht="12.8" hidden="false" customHeight="false" outlineLevel="0" collapsed="false">
      <c r="B19640" s="0" t="s">
        <v>142</v>
      </c>
    </row>
    <row r="19642" customFormat="false" ht="12.8" hidden="false" customHeight="false" outlineLevel="0" collapsed="false">
      <c r="A19642" s="0" t="s">
        <v>7462</v>
      </c>
      <c r="B19642" s="0" t="str">
        <f aca="false">HYPERLINK("https://lindat.mff.cuni.cz/services/teitok/pdtc10/index.php?action=vallex&amp;frame=v-w2358hsa_1521", "nechávat (v-w2358hsa_1521)")</f>
        <v>nechávat (v-w2358hsa_1521)</v>
      </c>
    </row>
    <row r="19643" customFormat="false" ht="12.8" hidden="false" customHeight="false" outlineLevel="0" collapsed="false">
      <c r="B19643" s="0" t="s">
        <v>7</v>
      </c>
    </row>
    <row r="19644" customFormat="false" ht="12.8" hidden="false" customHeight="false" outlineLevel="0" collapsed="false">
      <c r="B19644" s="0" t="s">
        <v>1145</v>
      </c>
    </row>
    <row r="19646" customFormat="false" ht="12.8" hidden="false" customHeight="false" outlineLevel="0" collapsed="false">
      <c r="A19646" s="0" t="s">
        <v>7463</v>
      </c>
      <c r="B19646" s="0" t="str">
        <f aca="false">HYPERLINK("https://lindat.mff.cuni.cz/services/teitok/pdtc10/index.php?action=vallex&amp;frame=v-w2359f1", "nechávat si (v-w2359f1)")</f>
        <v>nechávat si (v-w2359f1)</v>
      </c>
    </row>
    <row r="19647" customFormat="false" ht="12.8" hidden="false" customHeight="false" outlineLevel="0" collapsed="false">
      <c r="B19647" s="0" t="s">
        <v>7</v>
      </c>
    </row>
    <row r="19648" customFormat="false" ht="12.8" hidden="false" customHeight="false" outlineLevel="0" collapsed="false">
      <c r="B19648" s="0" t="s">
        <v>14</v>
      </c>
    </row>
    <row r="19650" customFormat="false" ht="12.8" hidden="false" customHeight="false" outlineLevel="0" collapsed="false">
      <c r="A19650" s="0" t="s">
        <v>7464</v>
      </c>
      <c r="B19650" s="0" t="str">
        <f aca="false">HYPERLINK("https://lindat.mff.cuni.cz/services/teitok/pdtc10/index.php?action=vallex&amp;frame=v-w2359f3_ZU", "nechávat si (v-w2359f3_ZU)")</f>
        <v>nechávat si (v-w2359f3_ZU)</v>
      </c>
    </row>
    <row r="19651" customFormat="false" ht="12.8" hidden="false" customHeight="false" outlineLevel="0" collapsed="false">
      <c r="B19651" s="0" t="s">
        <v>7</v>
      </c>
    </row>
    <row r="19652" customFormat="false" ht="12.8" hidden="false" customHeight="false" outlineLevel="0" collapsed="false">
      <c r="B19652" s="0" t="s">
        <v>7465</v>
      </c>
    </row>
    <row r="19653" customFormat="false" ht="12.8" hidden="false" customHeight="false" outlineLevel="0" collapsed="false">
      <c r="B19653" s="0" t="s">
        <v>220</v>
      </c>
    </row>
    <row r="19655" customFormat="false" ht="12.8" hidden="false" customHeight="false" outlineLevel="0" collapsed="false">
      <c r="A19655" s="0" t="s">
        <v>7464</v>
      </c>
      <c r="B19655" s="0" t="str">
        <f aca="false">HYPERLINK("https://lindat.mff.cuni.cz/services/teitok/pdtc10/index.php?action=vallex&amp;frame=v-w2359f2_ZU", "nechávat si (v-w2359f2_ZU) - substituted with v-w2359f3_ZU")</f>
        <v>nechávat si (v-w2359f2_ZU) - substituted with v-w2359f3_ZU</v>
      </c>
    </row>
    <row r="19656" customFormat="false" ht="12.8" hidden="false" customHeight="false" outlineLevel="0" collapsed="false">
      <c r="B19656" s="0" t="s">
        <v>7</v>
      </c>
    </row>
    <row r="19657" customFormat="false" ht="12.8" hidden="false" customHeight="false" outlineLevel="0" collapsed="false">
      <c r="B19657" s="0" t="s">
        <v>7465</v>
      </c>
    </row>
    <row r="19658" customFormat="false" ht="12.8" hidden="false" customHeight="false" outlineLevel="0" collapsed="false">
      <c r="B19658" s="0" t="s">
        <v>220</v>
      </c>
    </row>
    <row r="19660" customFormat="false" ht="12.8" hidden="false" customHeight="false" outlineLevel="0" collapsed="false">
      <c r="A19660" s="0" t="s">
        <v>7464</v>
      </c>
      <c r="B19660" s="0" t="str">
        <f aca="false">HYPERLINK("https://lindat.mff.cuni.cz/services/teitok/pdtc10/index.php?action=vallex&amp;frame=v-w2359hsa_1403", "nechávat si (v-w2359hsa_1403) - substituted with v-w2359f3_ZU")</f>
        <v>nechávat si (v-w2359hsa_1403) - substituted with v-w2359f3_ZU</v>
      </c>
    </row>
    <row r="19661" customFormat="false" ht="12.8" hidden="false" customHeight="false" outlineLevel="0" collapsed="false">
      <c r="B19661" s="0" t="s">
        <v>7</v>
      </c>
    </row>
    <row r="19662" customFormat="false" ht="12.8" hidden="false" customHeight="false" outlineLevel="0" collapsed="false">
      <c r="B19662" s="0" t="s">
        <v>7465</v>
      </c>
    </row>
    <row r="19663" customFormat="false" ht="12.8" hidden="false" customHeight="false" outlineLevel="0" collapsed="false">
      <c r="B19663" s="0" t="s">
        <v>220</v>
      </c>
    </row>
    <row r="19665" customFormat="false" ht="12.8" hidden="false" customHeight="false" outlineLevel="0" collapsed="false">
      <c r="A19665" s="0" t="s">
        <v>7466</v>
      </c>
      <c r="B19665" s="0" t="str">
        <f aca="false">HYPERLINK("https://lindat.mff.cuni.cz/services/teitok/pdtc10/index.php?action=vallex&amp;frame=v-w2359f4_ZU", "nechávat si (v-w2359f4_ZU)")</f>
        <v>nechávat si (v-w2359f4_ZU)</v>
      </c>
    </row>
    <row r="19666" customFormat="false" ht="12.8" hidden="false" customHeight="false" outlineLevel="0" collapsed="false">
      <c r="B19666" s="0" t="s">
        <v>7</v>
      </c>
    </row>
    <row r="19667" customFormat="false" ht="12.8" hidden="false" customHeight="false" outlineLevel="0" collapsed="false">
      <c r="B19667" s="0" t="s">
        <v>14</v>
      </c>
    </row>
    <row r="19669" customFormat="false" ht="12.8" hidden="false" customHeight="false" outlineLevel="0" collapsed="false">
      <c r="A19669" s="0" t="s">
        <v>7467</v>
      </c>
      <c r="B19669" s="0" t="str">
        <f aca="false">HYPERLINK("https://lindat.mff.cuni.cz/services/teitok/pdtc10/index.php?action=vallex&amp;frame=v-w2353f1", "negovat (v-w2353f1)")</f>
        <v>negovat (v-w2353f1)</v>
      </c>
    </row>
    <row r="19670" customFormat="false" ht="12.8" hidden="false" customHeight="false" outlineLevel="0" collapsed="false">
      <c r="B19670" s="0" t="s">
        <v>7</v>
      </c>
      <c r="D19670" s="0" t="s">
        <v>149</v>
      </c>
      <c r="E19670" s="0" t="s">
        <v>149</v>
      </c>
      <c r="F19670" s="0" t="s">
        <v>149</v>
      </c>
    </row>
    <row r="19671" customFormat="false" ht="12.8" hidden="false" customHeight="false" outlineLevel="0" collapsed="false">
      <c r="B19671" s="0" t="s">
        <v>172</v>
      </c>
      <c r="D19671" s="0" t="s">
        <v>159</v>
      </c>
      <c r="E19671" s="0" t="s">
        <v>159</v>
      </c>
      <c r="F19671" s="0" t="s">
        <v>159</v>
      </c>
    </row>
    <row r="19673" customFormat="false" ht="12.8" hidden="false" customHeight="false" outlineLevel="0" collapsed="false">
      <c r="A19673" s="0" t="s">
        <v>7468</v>
      </c>
      <c r="B19673" s="0" t="str">
        <f aca="false">HYPERLINK("https://lindat.mff.cuni.cz/services/teitok/pdtc10/index.php?action=vallex&amp;frame=v-w2366f1", "nenávidět (v-w2366f1)")</f>
        <v>nenávidět (v-w2366f1)</v>
      </c>
    </row>
    <row r="19674" customFormat="false" ht="12.8" hidden="false" customHeight="false" outlineLevel="0" collapsed="false">
      <c r="B19674" s="0" t="s">
        <v>7</v>
      </c>
      <c r="C19674" s="0" t="s">
        <v>460</v>
      </c>
      <c r="D19674" s="0" t="s">
        <v>460</v>
      </c>
      <c r="E19674" s="0" t="s">
        <v>460</v>
      </c>
      <c r="F19674" s="0" t="s">
        <v>460</v>
      </c>
    </row>
    <row r="19675" customFormat="false" ht="12.8" hidden="false" customHeight="false" outlineLevel="0" collapsed="false">
      <c r="B19675" s="0" t="s">
        <v>54</v>
      </c>
      <c r="C19675" s="0" t="s">
        <v>78</v>
      </c>
      <c r="D19675" s="0" t="s">
        <v>78</v>
      </c>
      <c r="E19675" s="0" t="s">
        <v>78</v>
      </c>
      <c r="F19675" s="0" t="s">
        <v>78</v>
      </c>
    </row>
    <row r="19677" customFormat="false" ht="12.8" hidden="false" customHeight="false" outlineLevel="0" collapsed="false">
      <c r="A19677" s="0" t="s">
        <v>7469</v>
      </c>
      <c r="B19677" s="0" t="str">
        <f aca="false">HYPERLINK("https://lindat.mff.cuni.cz/services/teitok/pdtc10/index.php?action=vallex&amp;frame=v-w2379f1", "nervovat (v-w2379f1)")</f>
        <v>nervovat (v-w2379f1)</v>
      </c>
    </row>
    <row r="19678" customFormat="false" ht="12.8" hidden="false" customHeight="false" outlineLevel="0" collapsed="false">
      <c r="B19678" s="0" t="s">
        <v>7</v>
      </c>
    </row>
    <row r="19679" customFormat="false" ht="12.8" hidden="false" customHeight="false" outlineLevel="0" collapsed="false">
      <c r="B19679" s="0" t="s">
        <v>14</v>
      </c>
    </row>
    <row r="19681" customFormat="false" ht="12.8" hidden="false" customHeight="false" outlineLevel="0" collapsed="false">
      <c r="A19681" s="0" t="s">
        <v>7470</v>
      </c>
      <c r="B19681" s="0" t="str">
        <f aca="false">HYPERLINK("https://lindat.mff.cuni.cz/services/teitok/pdtc10/index.php?action=vallex&amp;frame=v-w2383f1", "nesnášet (v-w2383f1)")</f>
        <v>nesnášet (v-w2383f1)</v>
      </c>
    </row>
    <row r="19682" customFormat="false" ht="12.8" hidden="false" customHeight="false" outlineLevel="0" collapsed="false">
      <c r="B19682" s="0" t="s">
        <v>7</v>
      </c>
    </row>
    <row r="19683" customFormat="false" ht="12.8" hidden="false" customHeight="false" outlineLevel="0" collapsed="false">
      <c r="B19683" s="0" t="s">
        <v>54</v>
      </c>
    </row>
    <row r="19685" customFormat="false" ht="12.8" hidden="false" customHeight="false" outlineLevel="0" collapsed="false">
      <c r="A19685" s="0" t="s">
        <v>7471</v>
      </c>
      <c r="B19685" s="0" t="str">
        <f aca="false">HYPERLINK("https://lindat.mff.cuni.cz/services/teitok/pdtc10/index.php?action=vallex&amp;frame=v-w2396f1", "neutralizovat (v-w2396f1)")</f>
        <v>neutralizovat (v-w2396f1)</v>
      </c>
    </row>
    <row r="19686" customFormat="false" ht="12.8" hidden="false" customHeight="false" outlineLevel="0" collapsed="false">
      <c r="B19686" s="0" t="s">
        <v>7</v>
      </c>
      <c r="C19686" s="0" t="s">
        <v>4379</v>
      </c>
    </row>
    <row r="19687" customFormat="false" ht="12.8" hidden="false" customHeight="false" outlineLevel="0" collapsed="false">
      <c r="B19687" s="0" t="s">
        <v>14</v>
      </c>
      <c r="C19687" s="0" t="s">
        <v>1315</v>
      </c>
    </row>
    <row r="19689" customFormat="false" ht="12.8" hidden="false" customHeight="false" outlineLevel="0" collapsed="false">
      <c r="A19689" s="0" t="s">
        <v>7472</v>
      </c>
      <c r="B19689" s="0" t="str">
        <f aca="false">HYPERLINK("https://lindat.mff.cuni.cz/services/teitok/pdtc10/index.php?action=vallex&amp;frame=v-whsa_550hsa_551", "nimrat se (v-whsa_550hsa_551)")</f>
        <v>nimrat se (v-whsa_550hsa_551)</v>
      </c>
    </row>
    <row r="19690" customFormat="false" ht="12.8" hidden="false" customHeight="false" outlineLevel="0" collapsed="false">
      <c r="B19690" s="0" t="s">
        <v>7</v>
      </c>
      <c r="C19690" s="0" t="s">
        <v>191</v>
      </c>
    </row>
    <row r="19691" customFormat="false" ht="12.8" hidden="false" customHeight="false" outlineLevel="0" collapsed="false">
      <c r="B19691" s="0" t="s">
        <v>387</v>
      </c>
      <c r="C19691" s="0" t="s">
        <v>155</v>
      </c>
    </row>
    <row r="19693" customFormat="false" ht="12.8" hidden="false" customHeight="false" outlineLevel="0" collapsed="false">
      <c r="A19693" s="0" t="s">
        <v>7473</v>
      </c>
      <c r="B19693" s="0" t="str">
        <f aca="false">HYPERLINK("https://lindat.mff.cuni.cz/services/teitok/pdtc10/index.php?action=vallex&amp;frame=v-w2406f1", "ničit (v-w2406f1)")</f>
        <v>ničit (v-w2406f1)</v>
      </c>
    </row>
    <row r="19694" customFormat="false" ht="12.8" hidden="false" customHeight="false" outlineLevel="0" collapsed="false">
      <c r="B19694" s="0" t="s">
        <v>7</v>
      </c>
      <c r="C19694" s="0" t="s">
        <v>7474</v>
      </c>
      <c r="D19694" s="0" t="s">
        <v>1549</v>
      </c>
      <c r="E19694" s="0" t="s">
        <v>1550</v>
      </c>
      <c r="F19694" s="0" t="s">
        <v>1550</v>
      </c>
    </row>
    <row r="19695" customFormat="false" ht="12.8" hidden="false" customHeight="false" outlineLevel="0" collapsed="false">
      <c r="B19695" s="0" t="s">
        <v>232</v>
      </c>
      <c r="C19695" s="0" t="s">
        <v>7475</v>
      </c>
      <c r="D19695" s="0" t="s">
        <v>1164</v>
      </c>
      <c r="E19695" s="0" t="s">
        <v>1551</v>
      </c>
      <c r="F19695" s="0" t="s">
        <v>1551</v>
      </c>
    </row>
    <row r="19697" customFormat="false" ht="12.8" hidden="false" customHeight="false" outlineLevel="0" collapsed="false">
      <c r="A19697" s="0" t="s">
        <v>7476</v>
      </c>
      <c r="B19697" s="0" t="str">
        <f aca="false">HYPERLINK("https://lindat.mff.cuni.cz/services/teitok/pdtc10/index.php?action=vallex&amp;frame=v-w2408f1", "nocovat (v-w2408f1)")</f>
        <v>nocovat (v-w2408f1)</v>
      </c>
    </row>
    <row r="19698" customFormat="false" ht="12.8" hidden="false" customHeight="false" outlineLevel="0" collapsed="false">
      <c r="B19698" s="0" t="s">
        <v>7</v>
      </c>
    </row>
    <row r="19699" customFormat="false" ht="12.8" hidden="false" customHeight="false" outlineLevel="0" collapsed="false">
      <c r="B19699" s="0" t="s">
        <v>11</v>
      </c>
    </row>
    <row r="19701" customFormat="false" ht="12.8" hidden="false" customHeight="false" outlineLevel="0" collapsed="false">
      <c r="A19701" s="0" t="s">
        <v>7477</v>
      </c>
      <c r="B19701" s="0" t="str">
        <f aca="false">HYPERLINK("https://lindat.mff.cuni.cz/services/teitok/pdtc10/index.php?action=vallex&amp;frame=v-w2411f1", "nominovat (v-w2411f1)")</f>
        <v>nominovat (v-w2411f1)</v>
      </c>
    </row>
    <row r="19702" customFormat="false" ht="12.8" hidden="false" customHeight="false" outlineLevel="0" collapsed="false">
      <c r="B19702" s="0" t="s">
        <v>7</v>
      </c>
      <c r="C19702" s="0" t="s">
        <v>335</v>
      </c>
    </row>
    <row r="19703" customFormat="false" ht="12.8" hidden="false" customHeight="false" outlineLevel="0" collapsed="false">
      <c r="B19703" s="0" t="s">
        <v>14</v>
      </c>
      <c r="C19703" s="0" t="s">
        <v>78</v>
      </c>
    </row>
    <row r="19704" customFormat="false" ht="12.8" hidden="false" customHeight="false" outlineLevel="0" collapsed="false">
      <c r="B19704" s="0" t="s">
        <v>84</v>
      </c>
      <c r="C19704" s="0" t="s">
        <v>38</v>
      </c>
    </row>
    <row r="19706" customFormat="false" ht="12.8" hidden="false" customHeight="false" outlineLevel="0" collapsed="false">
      <c r="A19706" s="0" t="s">
        <v>7478</v>
      </c>
      <c r="B19706" s="0" t="str">
        <f aca="false">HYPERLINK("https://lindat.mff.cuni.cz/services/teitok/pdtc10/index.php?action=vallex&amp;frame=v-w2413f1", "normalizovat (v-w2413f1)")</f>
        <v>normalizovat (v-w2413f1)</v>
      </c>
    </row>
    <row r="19707" customFormat="false" ht="12.8" hidden="false" customHeight="false" outlineLevel="0" collapsed="false">
      <c r="B19707" s="0" t="s">
        <v>7</v>
      </c>
      <c r="D19707" s="0" t="s">
        <v>113</v>
      </c>
      <c r="E19707" s="0" t="s">
        <v>113</v>
      </c>
      <c r="F19707" s="0" t="s">
        <v>113</v>
      </c>
    </row>
    <row r="19708" customFormat="false" ht="12.8" hidden="false" customHeight="false" outlineLevel="0" collapsed="false">
      <c r="B19708" s="0" t="s">
        <v>14</v>
      </c>
      <c r="D19708" s="0" t="s">
        <v>2666</v>
      </c>
      <c r="E19708" s="0" t="s">
        <v>2666</v>
      </c>
      <c r="F19708" s="0" t="s">
        <v>2666</v>
      </c>
    </row>
    <row r="19710" customFormat="false" ht="12.8" hidden="false" customHeight="false" outlineLevel="0" collapsed="false">
      <c r="A19710" s="0" t="s">
        <v>7479</v>
      </c>
      <c r="B19710" s="0" t="str">
        <f aca="false">HYPERLINK("https://lindat.mff.cuni.cz/services/teitok/pdtc10/index.php?action=vallex&amp;frame=v-w2415f5_ZU", "nosit (v-w2415f5_ZU)")</f>
        <v>nosit (v-w2415f5_ZU)</v>
      </c>
    </row>
    <row r="19711" customFormat="false" ht="12.8" hidden="false" customHeight="false" outlineLevel="0" collapsed="false">
      <c r="B19711" s="0" t="s">
        <v>7</v>
      </c>
    </row>
    <row r="19712" customFormat="false" ht="12.8" hidden="false" customHeight="false" outlineLevel="0" collapsed="false">
      <c r="B19712" s="0" t="s">
        <v>14</v>
      </c>
    </row>
    <row r="19713" customFormat="false" ht="12.8" hidden="false" customHeight="false" outlineLevel="0" collapsed="false">
      <c r="B19713" s="0" t="s">
        <v>106</v>
      </c>
    </row>
    <row r="19715" customFormat="false" ht="12.8" hidden="false" customHeight="false" outlineLevel="0" collapsed="false">
      <c r="A19715" s="0" t="s">
        <v>7479</v>
      </c>
      <c r="B19715" s="0" t="str">
        <f aca="false">HYPERLINK("https://lindat.mff.cuni.cz/services/teitok/pdtc10/index.php?action=vallex&amp;frame=v-w2415f2", "nosit (v-w2415f2) - substituted with v-w2415f5_ZU")</f>
        <v>nosit (v-w2415f2) - substituted with v-w2415f5_ZU</v>
      </c>
    </row>
    <row r="19716" customFormat="false" ht="12.8" hidden="false" customHeight="false" outlineLevel="0" collapsed="false">
      <c r="B19716" s="0" t="s">
        <v>7</v>
      </c>
    </row>
    <row r="19717" customFormat="false" ht="12.8" hidden="false" customHeight="false" outlineLevel="0" collapsed="false">
      <c r="B19717" s="0" t="s">
        <v>14</v>
      </c>
    </row>
    <row r="19718" customFormat="false" ht="12.8" hidden="false" customHeight="false" outlineLevel="0" collapsed="false">
      <c r="B19718" s="0" t="s">
        <v>106</v>
      </c>
    </row>
    <row r="19720" customFormat="false" ht="12.8" hidden="false" customHeight="false" outlineLevel="0" collapsed="false">
      <c r="A19720" s="0" t="s">
        <v>7480</v>
      </c>
      <c r="B19720" s="0" t="str">
        <f aca="false">HYPERLINK("https://lindat.mff.cuni.cz/services/teitok/pdtc10/index.php?action=vallex&amp;frame=v-w2415f1", "nosit (v-w2415f1)")</f>
        <v>nosit (v-w2415f1)</v>
      </c>
    </row>
    <row r="19721" customFormat="false" ht="12.8" hidden="false" customHeight="false" outlineLevel="0" collapsed="false">
      <c r="B19721" s="0" t="s">
        <v>7</v>
      </c>
      <c r="C19721" s="0" t="s">
        <v>2530</v>
      </c>
      <c r="D19721" s="0" t="s">
        <v>23</v>
      </c>
      <c r="E19721" s="0" t="s">
        <v>23</v>
      </c>
      <c r="F19721" s="0" t="s">
        <v>23</v>
      </c>
    </row>
    <row r="19722" customFormat="false" ht="12.8" hidden="false" customHeight="false" outlineLevel="0" collapsed="false">
      <c r="B19722" s="0" t="s">
        <v>14</v>
      </c>
      <c r="C19722" s="0" t="s">
        <v>7481</v>
      </c>
      <c r="D19722" s="0" t="s">
        <v>1313</v>
      </c>
      <c r="E19722" s="0" t="s">
        <v>1313</v>
      </c>
      <c r="F19722" s="0" t="s">
        <v>1313</v>
      </c>
    </row>
    <row r="19724" customFormat="false" ht="12.8" hidden="false" customHeight="false" outlineLevel="0" collapsed="false">
      <c r="A19724" s="0" t="s">
        <v>7482</v>
      </c>
      <c r="B19724" s="0" t="str">
        <f aca="false">HYPERLINK("https://lindat.mff.cuni.cz/services/teitok/pdtc10/index.php?action=vallex&amp;frame=v-w2415f3", "nosit (v-w2415f3)")</f>
        <v>nosit (v-w2415f3)</v>
      </c>
    </row>
    <row r="19725" customFormat="false" ht="12.8" hidden="false" customHeight="false" outlineLevel="0" collapsed="false">
      <c r="B19725" s="0" t="s">
        <v>7</v>
      </c>
    </row>
    <row r="19726" customFormat="false" ht="12.8" hidden="false" customHeight="false" outlineLevel="0" collapsed="false">
      <c r="B19726" s="0" t="s">
        <v>14</v>
      </c>
    </row>
    <row r="19728" customFormat="false" ht="12.8" hidden="false" customHeight="false" outlineLevel="0" collapsed="false">
      <c r="A19728" s="0" t="s">
        <v>7483</v>
      </c>
      <c r="B19728" s="0" t="str">
        <f aca="false">HYPERLINK("https://lindat.mff.cuni.cz/services/teitok/pdtc10/index.php?action=vallex&amp;frame=v-w2415hsa_920", "nosit (v-w2415hsa_920)")</f>
        <v>nosit (v-w2415hsa_920)</v>
      </c>
    </row>
    <row r="19729" customFormat="false" ht="12.8" hidden="false" customHeight="false" outlineLevel="0" collapsed="false">
      <c r="B19729" s="0" t="s">
        <v>7</v>
      </c>
      <c r="C19729" s="0" t="s">
        <v>335</v>
      </c>
      <c r="D19729" s="0" t="s">
        <v>1977</v>
      </c>
      <c r="E19729" s="0" t="s">
        <v>1977</v>
      </c>
      <c r="F19729" s="0" t="s">
        <v>1977</v>
      </c>
    </row>
    <row r="19730" customFormat="false" ht="12.8" hidden="false" customHeight="false" outlineLevel="0" collapsed="false">
      <c r="B19730" s="0" t="s">
        <v>14</v>
      </c>
      <c r="C19730" s="0" t="s">
        <v>120</v>
      </c>
      <c r="D19730" s="0" t="s">
        <v>7484</v>
      </c>
      <c r="E19730" s="0" t="s">
        <v>7484</v>
      </c>
      <c r="F19730" s="0" t="s">
        <v>7484</v>
      </c>
    </row>
    <row r="19732" customFormat="false" ht="12.8" hidden="false" customHeight="false" outlineLevel="0" collapsed="false">
      <c r="A19732" s="0" t="s">
        <v>7485</v>
      </c>
      <c r="B19732" s="0" t="str">
        <f aca="false">HYPERLINK("https://lindat.mff.cuni.cz/services/teitok/pdtc10/index.php?action=vallex&amp;frame=v-w2415f4_ZU", "nosit (v-w2415f4_ZU)")</f>
        <v>nosit (v-w2415f4_ZU)</v>
      </c>
    </row>
    <row r="19733" customFormat="false" ht="12.8" hidden="false" customHeight="false" outlineLevel="0" collapsed="false">
      <c r="B19733" s="0" t="s">
        <v>7</v>
      </c>
    </row>
    <row r="19734" customFormat="false" ht="12.8" hidden="false" customHeight="false" outlineLevel="0" collapsed="false">
      <c r="B19734" s="0" t="s">
        <v>14</v>
      </c>
    </row>
    <row r="19736" customFormat="false" ht="12.8" hidden="false" customHeight="false" outlineLevel="0" collapsed="false">
      <c r="A19736" s="0" t="s">
        <v>7486</v>
      </c>
      <c r="B19736" s="0" t="str">
        <f aca="false">HYPERLINK("https://lindat.mff.cuni.cz/services/teitok/pdtc10/index.php?action=vallex&amp;frame=v-whsa_1690hsa_1691", "nosit se (v-whsa_1690hsa_1691)")</f>
        <v>nosit se (v-whsa_1690hsa_1691)</v>
      </c>
    </row>
    <row r="19737" customFormat="false" ht="12.8" hidden="false" customHeight="false" outlineLevel="0" collapsed="false">
      <c r="B19737" s="0" t="s">
        <v>7</v>
      </c>
    </row>
    <row r="19739" customFormat="false" ht="12.8" hidden="false" customHeight="false" outlineLevel="0" collapsed="false">
      <c r="A19739" s="0" t="s">
        <v>7487</v>
      </c>
      <c r="B19739" s="0" t="str">
        <f aca="false">HYPERLINK("https://lindat.mff.cuni.cz/services/teitok/pdtc10/index.php?action=vallex&amp;frame=v-w10803f2", "nosívat (v-w10803f2)")</f>
        <v>nosívat (v-w10803f2)</v>
      </c>
    </row>
    <row r="19740" customFormat="false" ht="12.8" hidden="false" customHeight="false" outlineLevel="0" collapsed="false">
      <c r="B19740" s="0" t="s">
        <v>7</v>
      </c>
      <c r="C19740" s="0" t="s">
        <v>465</v>
      </c>
      <c r="D19740" s="0" t="s">
        <v>23</v>
      </c>
      <c r="E19740" s="0" t="s">
        <v>23</v>
      </c>
      <c r="F19740" s="0" t="s">
        <v>23</v>
      </c>
    </row>
    <row r="19741" customFormat="false" ht="12.8" hidden="false" customHeight="false" outlineLevel="0" collapsed="false">
      <c r="B19741" s="0" t="s">
        <v>14</v>
      </c>
      <c r="C19741" s="0" t="s">
        <v>1205</v>
      </c>
      <c r="D19741" s="0" t="s">
        <v>1313</v>
      </c>
      <c r="E19741" s="0" t="s">
        <v>1313</v>
      </c>
      <c r="F19741" s="0" t="s">
        <v>1313</v>
      </c>
    </row>
    <row r="19743" customFormat="false" ht="12.8" hidden="false" customHeight="false" outlineLevel="0" collapsed="false">
      <c r="A19743" s="0" t="s">
        <v>7488</v>
      </c>
      <c r="B19743" s="0" t="str">
        <f aca="false">HYPERLINK("https://lindat.mff.cuni.cz/services/teitok/pdtc10/index.php?action=vallex&amp;frame=v-w10803f3_MM", "nosívat (v-w10803f3_MM)")</f>
        <v>nosívat (v-w10803f3_MM)</v>
      </c>
    </row>
    <row r="19744" customFormat="false" ht="12.8" hidden="false" customHeight="false" outlineLevel="0" collapsed="false">
      <c r="B19744" s="0" t="s">
        <v>7</v>
      </c>
    </row>
    <row r="19745" customFormat="false" ht="12.8" hidden="false" customHeight="false" outlineLevel="0" collapsed="false">
      <c r="B19745" s="0" t="s">
        <v>14</v>
      </c>
    </row>
    <row r="19746" customFormat="false" ht="12.8" hidden="false" customHeight="false" outlineLevel="0" collapsed="false">
      <c r="B19746" s="0" t="s">
        <v>106</v>
      </c>
    </row>
    <row r="19748" customFormat="false" ht="12.8" hidden="false" customHeight="false" outlineLevel="0" collapsed="false">
      <c r="A19748" s="0" t="s">
        <v>7489</v>
      </c>
      <c r="B19748" s="0" t="str">
        <f aca="false">HYPERLINK("https://lindat.mff.cuni.cz/services/teitok/pdtc10/index.php?action=vallex&amp;frame=v-w12049_ZUf1_ZU", "notovat (v-w12049_ZUf1_ZU)")</f>
        <v>notovat (v-w12049_ZUf1_ZU)</v>
      </c>
    </row>
    <row r="19749" customFormat="false" ht="12.8" hidden="false" customHeight="false" outlineLevel="0" collapsed="false">
      <c r="B19749" s="0" t="s">
        <v>7</v>
      </c>
    </row>
    <row r="19750" customFormat="false" ht="12.8" hidden="false" customHeight="false" outlineLevel="0" collapsed="false">
      <c r="B19750" s="0" t="s">
        <v>142</v>
      </c>
    </row>
    <row r="19752" customFormat="false" ht="12.8" hidden="false" customHeight="false" outlineLevel="0" collapsed="false">
      <c r="A19752" s="0" t="s">
        <v>7490</v>
      </c>
      <c r="B19752" s="0" t="str">
        <f aca="false">HYPERLINK("https://lindat.mff.cuni.cz/services/teitok/pdtc10/index.php?action=vallex&amp;frame=v-w11526_ZUf1_ZU", "notovat si (v-w11526_ZUf1_ZU)")</f>
        <v>notovat si (v-w11526_ZUf1_ZU)</v>
      </c>
    </row>
    <row r="19753" customFormat="false" ht="12.8" hidden="false" customHeight="false" outlineLevel="0" collapsed="false">
      <c r="B19753" s="0" t="s">
        <v>7</v>
      </c>
    </row>
    <row r="19754" customFormat="false" ht="12.8" hidden="false" customHeight="false" outlineLevel="0" collapsed="false">
      <c r="B19754" s="0" t="s">
        <v>207</v>
      </c>
    </row>
    <row r="19755" customFormat="false" ht="12.8" hidden="false" customHeight="false" outlineLevel="0" collapsed="false">
      <c r="B19755" s="0" t="s">
        <v>706</v>
      </c>
    </row>
    <row r="19757" customFormat="false" ht="12.8" hidden="false" customHeight="false" outlineLevel="0" collapsed="false">
      <c r="A19757" s="0" t="s">
        <v>7491</v>
      </c>
      <c r="B19757" s="0" t="str">
        <f aca="false">HYPERLINK("https://lindat.mff.cuni.cz/services/teitok/pdtc10/index.php?action=vallex&amp;frame=v-w2424f1", "novelizovat (v-w2424f1)")</f>
        <v>novelizovat (v-w2424f1)</v>
      </c>
    </row>
    <row r="19758" customFormat="false" ht="12.8" hidden="false" customHeight="false" outlineLevel="0" collapsed="false">
      <c r="B19758" s="0" t="s">
        <v>7</v>
      </c>
      <c r="D19758" s="0" t="s">
        <v>569</v>
      </c>
      <c r="E19758" s="0" t="s">
        <v>569</v>
      </c>
      <c r="F19758" s="0" t="s">
        <v>569</v>
      </c>
    </row>
    <row r="19759" customFormat="false" ht="12.8" hidden="false" customHeight="false" outlineLevel="0" collapsed="false">
      <c r="B19759" s="0" t="s">
        <v>54</v>
      </c>
      <c r="D19759" s="0" t="s">
        <v>1146</v>
      </c>
      <c r="E19759" s="0" t="s">
        <v>1146</v>
      </c>
      <c r="F19759" s="0" t="s">
        <v>1146</v>
      </c>
    </row>
    <row r="19761" customFormat="false" ht="12.8" hidden="false" customHeight="false" outlineLevel="0" collapsed="false">
      <c r="A19761" s="0" t="s">
        <v>7492</v>
      </c>
      <c r="B19761" s="0" t="str">
        <f aca="false">HYPERLINK("https://lindat.mff.cuni.cz/services/teitok/pdtc10/index.php?action=vallex&amp;frame=v-w10301f2", "nořit (v-w10301f2)")</f>
        <v>nořit (v-w10301f2)</v>
      </c>
    </row>
    <row r="19762" customFormat="false" ht="12.8" hidden="false" customHeight="false" outlineLevel="0" collapsed="false">
      <c r="B19762" s="0" t="s">
        <v>7</v>
      </c>
    </row>
    <row r="19763" customFormat="false" ht="12.8" hidden="false" customHeight="false" outlineLevel="0" collapsed="false">
      <c r="B19763" s="0" t="s">
        <v>14</v>
      </c>
    </row>
    <row r="19764" customFormat="false" ht="12.8" hidden="false" customHeight="false" outlineLevel="0" collapsed="false">
      <c r="B19764" s="0" t="s">
        <v>124</v>
      </c>
    </row>
    <row r="19766" customFormat="false" ht="12.8" hidden="false" customHeight="false" outlineLevel="0" collapsed="false">
      <c r="A19766" s="0" t="s">
        <v>7493</v>
      </c>
      <c r="B19766" s="0" t="str">
        <f aca="false">HYPERLINK("https://lindat.mff.cuni.cz/services/teitok/pdtc10/index.php?action=vallex&amp;frame=v-w12297_MMf1_MM", "nudit (v-w12297_MMf1_MM)")</f>
        <v>nudit (v-w12297_MMf1_MM)</v>
      </c>
    </row>
    <row r="19767" customFormat="false" ht="12.8" hidden="false" customHeight="false" outlineLevel="0" collapsed="false">
      <c r="B19767" s="0" t="s">
        <v>7494</v>
      </c>
    </row>
    <row r="19768" customFormat="false" ht="12.8" hidden="false" customHeight="false" outlineLevel="0" collapsed="false">
      <c r="B19768" s="0" t="s">
        <v>14</v>
      </c>
    </row>
    <row r="19770" customFormat="false" ht="12.8" hidden="false" customHeight="false" outlineLevel="0" collapsed="false">
      <c r="A19770" s="0" t="s">
        <v>7495</v>
      </c>
      <c r="B19770" s="0" t="str">
        <f aca="false">HYPERLINK("https://lindat.mff.cuni.cz/services/teitok/pdtc10/index.php?action=vallex&amp;frame=v-w2427f1", "nudit se (v-w2427f1)")</f>
        <v>nudit se (v-w2427f1)</v>
      </c>
    </row>
    <row r="19771" customFormat="false" ht="12.8" hidden="false" customHeight="false" outlineLevel="0" collapsed="false">
      <c r="B19771" s="0" t="s">
        <v>7</v>
      </c>
      <c r="C19771" s="0" t="s">
        <v>200</v>
      </c>
      <c r="E19771" s="0" t="s">
        <v>2199</v>
      </c>
      <c r="F19771" s="0" t="s">
        <v>2199</v>
      </c>
    </row>
    <row r="19773" customFormat="false" ht="12.8" hidden="false" customHeight="false" outlineLevel="0" collapsed="false">
      <c r="A19773" s="0" t="s">
        <v>7496</v>
      </c>
      <c r="B19773" s="0" t="str">
        <f aca="false">HYPERLINK("https://lindat.mff.cuni.cz/services/teitok/pdtc10/index.php?action=vallex&amp;frame=v-w2427f2_ZU", "nudit se (v-w2427f2_ZU)")</f>
        <v>nudit se (v-w2427f2_ZU)</v>
      </c>
    </row>
    <row r="19774" customFormat="false" ht="12.8" hidden="false" customHeight="false" outlineLevel="0" collapsed="false">
      <c r="B19774" s="0" t="s">
        <v>671</v>
      </c>
    </row>
    <row r="19775" customFormat="false" ht="12.8" hidden="false" customHeight="false" outlineLevel="0" collapsed="false">
      <c r="B19775" s="0" t="s">
        <v>14</v>
      </c>
    </row>
    <row r="19777" customFormat="false" ht="12.8" hidden="false" customHeight="false" outlineLevel="0" collapsed="false">
      <c r="A19777" s="0" t="s">
        <v>7497</v>
      </c>
      <c r="B19777" s="0" t="str">
        <f aca="false">HYPERLINK("https://lindat.mff.cuni.cz/services/teitok/pdtc10/index.php?action=vallex&amp;frame=v-w2428f2", "nutit (v-w2428f2)")</f>
        <v>nutit (v-w2428f2)</v>
      </c>
    </row>
    <row r="19778" customFormat="false" ht="12.8" hidden="false" customHeight="false" outlineLevel="0" collapsed="false">
      <c r="B19778" s="0" t="s">
        <v>7</v>
      </c>
    </row>
    <row r="19779" customFormat="false" ht="12.8" hidden="false" customHeight="false" outlineLevel="0" collapsed="false">
      <c r="B19779" s="0" t="s">
        <v>172</v>
      </c>
    </row>
    <row r="19780" customFormat="false" ht="12.8" hidden="false" customHeight="false" outlineLevel="0" collapsed="false">
      <c r="B19780" s="0" t="s">
        <v>48</v>
      </c>
    </row>
    <row r="19782" customFormat="false" ht="12.8" hidden="false" customHeight="false" outlineLevel="0" collapsed="false">
      <c r="A19782" s="0" t="s">
        <v>7498</v>
      </c>
      <c r="B19782" s="0" t="str">
        <f aca="false">HYPERLINK("https://lindat.mff.cuni.cz/services/teitok/pdtc10/index.php?action=vallex&amp;frame=v-w2428f1", "nutit (v-w2428f1)")</f>
        <v>nutit (v-w2428f1)</v>
      </c>
    </row>
    <row r="19783" customFormat="false" ht="12.8" hidden="false" customHeight="false" outlineLevel="0" collapsed="false">
      <c r="B19783" s="0" t="s">
        <v>7</v>
      </c>
      <c r="C19783" s="0" t="s">
        <v>7499</v>
      </c>
      <c r="D19783" s="0" t="s">
        <v>316</v>
      </c>
      <c r="E19783" s="0" t="s">
        <v>316</v>
      </c>
      <c r="F19783" s="0" t="s">
        <v>316</v>
      </c>
    </row>
    <row r="19784" customFormat="false" ht="12.8" hidden="false" customHeight="false" outlineLevel="0" collapsed="false">
      <c r="B19784" s="0" t="s">
        <v>7500</v>
      </c>
      <c r="C19784" s="0" t="s">
        <v>7501</v>
      </c>
      <c r="D19784" s="0" t="s">
        <v>1600</v>
      </c>
      <c r="E19784" s="0" t="s">
        <v>1600</v>
      </c>
      <c r="F19784" s="0" t="s">
        <v>1600</v>
      </c>
    </row>
    <row r="19785" customFormat="false" ht="12.8" hidden="false" customHeight="false" outlineLevel="0" collapsed="false">
      <c r="B19785" s="0" t="s">
        <v>81</v>
      </c>
      <c r="C19785" s="0" t="s">
        <v>7502</v>
      </c>
      <c r="D19785" s="0" t="s">
        <v>1601</v>
      </c>
      <c r="E19785" s="0" t="s">
        <v>1601</v>
      </c>
      <c r="F19785" s="0" t="s">
        <v>1601</v>
      </c>
    </row>
    <row r="19787" customFormat="false" ht="12.8" hidden="false" customHeight="false" outlineLevel="0" collapsed="false">
      <c r="A19787" s="0" t="s">
        <v>7503</v>
      </c>
      <c r="B19787" s="0" t="str">
        <f aca="false">HYPERLINK("https://lindat.mff.cuni.cz/services/teitok/pdtc10/index.php?action=vallex&amp;frame=v-w12066_ZUf1_ZU", "nádeničit (v-w12066_ZUf1_ZU)")</f>
        <v>nádeničit (v-w12066_ZUf1_ZU)</v>
      </c>
    </row>
    <row r="19788" customFormat="false" ht="12.8" hidden="false" customHeight="false" outlineLevel="0" collapsed="false">
      <c r="B19788" s="0" t="s">
        <v>7</v>
      </c>
    </row>
    <row r="19790" customFormat="false" ht="12.8" hidden="false" customHeight="false" outlineLevel="0" collapsed="false">
      <c r="A19790" s="0" t="s">
        <v>7504</v>
      </c>
      <c r="B19790" s="0" t="str">
        <f aca="false">HYPERLINK("https://lindat.mff.cuni.cz/services/teitok/pdtc10/index.php?action=vallex&amp;frame=v-w2086f1", "náležet (v-w2086f1)")</f>
        <v>náležet (v-w2086f1)</v>
      </c>
    </row>
    <row r="19791" customFormat="false" ht="12.8" hidden="false" customHeight="false" outlineLevel="0" collapsed="false">
      <c r="B19791" s="0" t="s">
        <v>7</v>
      </c>
      <c r="C19791" s="0" t="s">
        <v>7505</v>
      </c>
    </row>
    <row r="19792" customFormat="false" ht="12.8" hidden="false" customHeight="false" outlineLevel="0" collapsed="false">
      <c r="B19792" s="0" t="s">
        <v>268</v>
      </c>
      <c r="C19792" s="0" t="s">
        <v>7506</v>
      </c>
    </row>
    <row r="19794" customFormat="false" ht="12.8" hidden="false" customHeight="false" outlineLevel="0" collapsed="false">
      <c r="A19794" s="0" t="s">
        <v>7507</v>
      </c>
      <c r="B19794" s="0" t="str">
        <f aca="false">HYPERLINK("https://lindat.mff.cuni.cz/services/teitok/pdtc10/index.php?action=vallex&amp;frame=v-w2086f3", "náležet (v-w2086f3)")</f>
        <v>náležet (v-w2086f3)</v>
      </c>
    </row>
    <row r="19795" customFormat="false" ht="12.8" hidden="false" customHeight="false" outlineLevel="0" collapsed="false">
      <c r="B19795" s="0" t="s">
        <v>7</v>
      </c>
      <c r="C19795" s="0" t="s">
        <v>31</v>
      </c>
      <c r="D19795" s="0" t="s">
        <v>7508</v>
      </c>
      <c r="E19795" s="0" t="s">
        <v>7508</v>
      </c>
      <c r="F19795" s="0" t="s">
        <v>7508</v>
      </c>
    </row>
    <row r="19796" customFormat="false" ht="12.8" hidden="false" customHeight="false" outlineLevel="0" collapsed="false">
      <c r="B19796" s="0" t="s">
        <v>124</v>
      </c>
      <c r="D19796" s="0" t="s">
        <v>7509</v>
      </c>
      <c r="E19796" s="0" t="s">
        <v>7509</v>
      </c>
      <c r="F19796" s="0" t="s">
        <v>7509</v>
      </c>
    </row>
    <row r="19798" customFormat="false" ht="12.8" hidden="false" customHeight="false" outlineLevel="0" collapsed="false">
      <c r="A19798" s="0" t="s">
        <v>7510</v>
      </c>
      <c r="B19798" s="0" t="str">
        <f aca="false">HYPERLINK("https://lindat.mff.cuni.cz/services/teitok/pdtc10/index.php?action=vallex&amp;frame=v-w2086f2", "náležet (v-w2086f2)")</f>
        <v>náležet (v-w2086f2)</v>
      </c>
    </row>
    <row r="19799" customFormat="false" ht="12.8" hidden="false" customHeight="false" outlineLevel="0" collapsed="false">
      <c r="B19799" s="0" t="s">
        <v>603</v>
      </c>
      <c r="C19799" s="0" t="s">
        <v>7511</v>
      </c>
    </row>
    <row r="19800" customFormat="false" ht="12.8" hidden="false" customHeight="false" outlineLevel="0" collapsed="false">
      <c r="B19800" s="0" t="s">
        <v>7512</v>
      </c>
      <c r="C19800" s="0" t="s">
        <v>7513</v>
      </c>
    </row>
    <row r="19802" customFormat="false" ht="12.8" hidden="false" customHeight="false" outlineLevel="0" collapsed="false">
      <c r="A19802" s="0" t="s">
        <v>7514</v>
      </c>
      <c r="B19802" s="0" t="str">
        <f aca="false">HYPERLINK("https://lindat.mff.cuni.cz/services/teitok/pdtc10/index.php?action=vallex&amp;frame=v-w11453f1", "nárokovat si (v-w11453f1)")</f>
        <v>nárokovat si (v-w11453f1)</v>
      </c>
    </row>
    <row r="19803" customFormat="false" ht="12.8" hidden="false" customHeight="false" outlineLevel="0" collapsed="false">
      <c r="B19803" s="0" t="s">
        <v>7</v>
      </c>
    </row>
    <row r="19804" customFormat="false" ht="12.8" hidden="false" customHeight="false" outlineLevel="0" collapsed="false">
      <c r="B19804" s="0" t="s">
        <v>14</v>
      </c>
    </row>
    <row r="19806" customFormat="false" ht="12.8" hidden="false" customHeight="false" outlineLevel="0" collapsed="false">
      <c r="A19806" s="0" t="s">
        <v>7515</v>
      </c>
      <c r="B19806" s="0" t="str">
        <f aca="false">HYPERLINK("https://lindat.mff.cuni.cz/services/teitok/pdtc10/index.php?action=vallex&amp;frame=v-w2217f2", "následovat (v-w2217f2)")</f>
        <v>následovat (v-w2217f2)</v>
      </c>
    </row>
    <row r="19807" customFormat="false" ht="12.8" hidden="false" customHeight="false" outlineLevel="0" collapsed="false">
      <c r="B19807" s="0" t="s">
        <v>7</v>
      </c>
      <c r="C19807" s="0" t="s">
        <v>7516</v>
      </c>
      <c r="D19807" s="0" t="s">
        <v>1419</v>
      </c>
      <c r="E19807" s="0" t="s">
        <v>1419</v>
      </c>
      <c r="F19807" s="0" t="s">
        <v>1419</v>
      </c>
    </row>
    <row r="19808" customFormat="false" ht="12.8" hidden="false" customHeight="false" outlineLevel="0" collapsed="false">
      <c r="B19808" s="0" t="s">
        <v>7517</v>
      </c>
      <c r="C19808" s="0" t="s">
        <v>7518</v>
      </c>
      <c r="D19808" s="0" t="s">
        <v>1420</v>
      </c>
      <c r="E19808" s="0" t="s">
        <v>1420</v>
      </c>
      <c r="F19808" s="0" t="s">
        <v>1420</v>
      </c>
    </row>
    <row r="19810" customFormat="false" ht="12.8" hidden="false" customHeight="false" outlineLevel="0" collapsed="false">
      <c r="A19810" s="0" t="s">
        <v>7519</v>
      </c>
      <c r="B19810" s="0" t="str">
        <f aca="false">HYPERLINK("https://lindat.mff.cuni.cz/services/teitok/pdtc10/index.php?action=vallex&amp;frame=v-w2217f1", "následovat (v-w2217f1)")</f>
        <v>následovat (v-w2217f1)</v>
      </c>
    </row>
    <row r="19811" customFormat="false" ht="12.8" hidden="false" customHeight="false" outlineLevel="0" collapsed="false">
      <c r="B19811" s="0" t="s">
        <v>265</v>
      </c>
      <c r="C19811" s="0" t="s">
        <v>7520</v>
      </c>
      <c r="D19811" s="0" t="s">
        <v>1559</v>
      </c>
      <c r="E19811" s="0" t="s">
        <v>1559</v>
      </c>
      <c r="F19811" s="0" t="s">
        <v>1559</v>
      </c>
    </row>
    <row r="19813" customFormat="false" ht="12.8" hidden="false" customHeight="false" outlineLevel="0" collapsed="false">
      <c r="A19813" s="0" t="s">
        <v>7521</v>
      </c>
      <c r="B19813" s="0" t="str">
        <f aca="false">HYPERLINK("https://lindat.mff.cuni.cz/services/teitok/pdtc10/index.php?action=vallex&amp;frame=v-w2217f3", "následovat (v-w2217f3)")</f>
        <v>následovat (v-w2217f3)</v>
      </c>
    </row>
    <row r="19814" customFormat="false" ht="12.8" hidden="false" customHeight="false" outlineLevel="0" collapsed="false">
      <c r="B19814" s="0" t="s">
        <v>7</v>
      </c>
      <c r="C19814" s="0" t="s">
        <v>7522</v>
      </c>
      <c r="D19814" s="0" t="s">
        <v>1559</v>
      </c>
      <c r="E19814" s="0" t="s">
        <v>1559</v>
      </c>
      <c r="F19814" s="0" t="s">
        <v>1559</v>
      </c>
    </row>
    <row r="19816" customFormat="false" ht="12.8" hidden="false" customHeight="false" outlineLevel="0" collapsed="false">
      <c r="A19816" s="0" t="s">
        <v>7523</v>
      </c>
      <c r="B19816" s="0" t="str">
        <f aca="false">HYPERLINK("https://lindat.mff.cuni.cz/services/teitok/pdtc10/index.php?action=vallex&amp;frame=v-w2225f1", "násobit (v-w2225f1)")</f>
        <v>násobit (v-w2225f1)</v>
      </c>
    </row>
    <row r="19817" customFormat="false" ht="12.8" hidden="false" customHeight="false" outlineLevel="0" collapsed="false">
      <c r="B19817" s="0" t="s">
        <v>7</v>
      </c>
      <c r="C19817" s="0" t="s">
        <v>191</v>
      </c>
      <c r="D19817" s="0" t="s">
        <v>7524</v>
      </c>
      <c r="E19817" s="0" t="s">
        <v>7524</v>
      </c>
      <c r="F19817" s="0" t="s">
        <v>7524</v>
      </c>
    </row>
    <row r="19818" customFormat="false" ht="12.8" hidden="false" customHeight="false" outlineLevel="0" collapsed="false">
      <c r="B19818" s="0" t="s">
        <v>14</v>
      </c>
      <c r="C19818" s="0" t="s">
        <v>567</v>
      </c>
      <c r="D19818" s="0" t="s">
        <v>210</v>
      </c>
      <c r="E19818" s="0" t="s">
        <v>210</v>
      </c>
      <c r="F19818" s="0" t="s">
        <v>210</v>
      </c>
    </row>
    <row r="19820" customFormat="false" ht="12.8" hidden="false" customHeight="false" outlineLevel="0" collapsed="false">
      <c r="A19820" s="0" t="s">
        <v>7525</v>
      </c>
      <c r="B19820" s="0" t="str">
        <f aca="false">HYPERLINK("https://lindat.mff.cuni.cz/services/teitok/pdtc10/index.php?action=vallex&amp;frame=v-w2225f2_ZU", "násobit (v-w2225f2_ZU)")</f>
        <v>násobit (v-w2225f2_ZU)</v>
      </c>
    </row>
    <row r="19821" customFormat="false" ht="12.8" hidden="false" customHeight="false" outlineLevel="0" collapsed="false">
      <c r="B19821" s="0" t="s">
        <v>7</v>
      </c>
    </row>
    <row r="19822" customFormat="false" ht="12.8" hidden="false" customHeight="false" outlineLevel="0" collapsed="false">
      <c r="B19822" s="0" t="s">
        <v>14</v>
      </c>
    </row>
    <row r="19823" customFormat="false" ht="12.8" hidden="false" customHeight="false" outlineLevel="0" collapsed="false">
      <c r="B19823" s="0" t="s">
        <v>6292</v>
      </c>
    </row>
    <row r="19825" customFormat="false" ht="12.8" hidden="false" customHeight="false" outlineLevel="0" collapsed="false">
      <c r="A19825" s="0" t="s">
        <v>7526</v>
      </c>
      <c r="B19825" s="0" t="str">
        <f aca="false">HYPERLINK("https://lindat.mff.cuni.cz/services/teitok/pdtc10/index.php?action=vallex&amp;frame=v-whsa_604hsa_605", "násobit se (v-whsa_604hsa_605)")</f>
        <v>násobit se (v-whsa_604hsa_605)</v>
      </c>
    </row>
    <row r="19826" customFormat="false" ht="12.8" hidden="false" customHeight="false" outlineLevel="0" collapsed="false">
      <c r="B19826" s="0" t="s">
        <v>7</v>
      </c>
      <c r="C19826" s="0" t="s">
        <v>247</v>
      </c>
      <c r="D19826" s="0" t="s">
        <v>247</v>
      </c>
      <c r="E19826" s="0" t="s">
        <v>247</v>
      </c>
      <c r="F19826" s="0" t="s">
        <v>247</v>
      </c>
    </row>
    <row r="19827" customFormat="false" ht="12.8" hidden="false" customHeight="false" outlineLevel="0" collapsed="false">
      <c r="B19827" s="0" t="s">
        <v>35</v>
      </c>
    </row>
    <row r="19828" customFormat="false" ht="12.8" hidden="false" customHeight="false" outlineLevel="0" collapsed="false">
      <c r="B19828" s="0" t="s">
        <v>63</v>
      </c>
    </row>
    <row r="19830" customFormat="false" ht="12.8" hidden="false" customHeight="false" outlineLevel="0" collapsed="false">
      <c r="A19830" s="0" t="s">
        <v>7527</v>
      </c>
      <c r="B19830" s="0" t="str">
        <f aca="false">HYPERLINK("https://lindat.mff.cuni.cz/services/teitok/pdtc10/index.php?action=vallex&amp;frame=v-w2388f11", "nést (v-w2388f11)")</f>
        <v>nést (v-w2388f11)</v>
      </c>
    </row>
    <row r="19831" customFormat="false" ht="12.8" hidden="false" customHeight="false" outlineLevel="0" collapsed="false">
      <c r="B19831" s="0" t="s">
        <v>7</v>
      </c>
    </row>
    <row r="19832" customFormat="false" ht="12.8" hidden="false" customHeight="false" outlineLevel="0" collapsed="false">
      <c r="B19832" s="0" t="s">
        <v>14</v>
      </c>
    </row>
    <row r="19833" customFormat="false" ht="12.8" hidden="false" customHeight="false" outlineLevel="0" collapsed="false">
      <c r="B19833" s="0" t="s">
        <v>106</v>
      </c>
    </row>
    <row r="19835" customFormat="false" ht="12.8" hidden="false" customHeight="false" outlineLevel="0" collapsed="false">
      <c r="A19835" s="0" t="s">
        <v>7528</v>
      </c>
      <c r="B19835" s="0" t="str">
        <f aca="false">HYPERLINK("https://lindat.mff.cuni.cz/services/teitok/pdtc10/index.php?action=vallex&amp;frame=v-w2388f6", "nést (v-w2388f6)")</f>
        <v>nést (v-w2388f6)</v>
      </c>
    </row>
    <row r="19836" customFormat="false" ht="12.8" hidden="false" customHeight="false" outlineLevel="0" collapsed="false">
      <c r="B19836" s="0" t="s">
        <v>7</v>
      </c>
    </row>
    <row r="19837" customFormat="false" ht="12.8" hidden="false" customHeight="false" outlineLevel="0" collapsed="false">
      <c r="B19837" s="0" t="s">
        <v>14</v>
      </c>
    </row>
    <row r="19838" customFormat="false" ht="12.8" hidden="false" customHeight="false" outlineLevel="0" collapsed="false">
      <c r="B19838" s="0" t="s">
        <v>11</v>
      </c>
    </row>
    <row r="19840" customFormat="false" ht="12.8" hidden="false" customHeight="false" outlineLevel="0" collapsed="false">
      <c r="A19840" s="0" t="s">
        <v>7529</v>
      </c>
      <c r="B19840" s="0" t="str">
        <f aca="false">HYPERLINK("https://lindat.mff.cuni.cz/services/teitok/pdtc10/index.php?action=vallex&amp;frame=v-w2388f14_ZU", "nést (v-w2388f14_ZU)")</f>
        <v>nést (v-w2388f14_ZU)</v>
      </c>
    </row>
    <row r="19841" customFormat="false" ht="12.8" hidden="false" customHeight="false" outlineLevel="0" collapsed="false">
      <c r="B19841" s="0" t="s">
        <v>7</v>
      </c>
    </row>
    <row r="19842" customFormat="false" ht="12.8" hidden="false" customHeight="false" outlineLevel="0" collapsed="false">
      <c r="B19842" s="0" t="s">
        <v>14</v>
      </c>
    </row>
    <row r="19844" customFormat="false" ht="12.8" hidden="false" customHeight="false" outlineLevel="0" collapsed="false">
      <c r="A19844" s="0" t="s">
        <v>7529</v>
      </c>
      <c r="B19844" s="0" t="str">
        <f aca="false">HYPERLINK("https://lindat.mff.cuni.cz/services/teitok/pdtc10/index.php?action=vallex&amp;frame=v-w2388f2", "nést (v-w2388f2) - substituted with v-w2388f14_ZU")</f>
        <v>nést (v-w2388f2) - substituted with v-w2388f14_ZU</v>
      </c>
    </row>
    <row r="19845" customFormat="false" ht="12.8" hidden="false" customHeight="false" outlineLevel="0" collapsed="false">
      <c r="B19845" s="0" t="s">
        <v>7</v>
      </c>
      <c r="C19845" s="0" t="s">
        <v>7530</v>
      </c>
      <c r="D19845" s="0" t="s">
        <v>1977</v>
      </c>
      <c r="E19845" s="0" t="s">
        <v>1977</v>
      </c>
      <c r="F19845" s="0" t="s">
        <v>1977</v>
      </c>
    </row>
    <row r="19846" customFormat="false" ht="12.8" hidden="false" customHeight="false" outlineLevel="0" collapsed="false">
      <c r="B19846" s="0" t="s">
        <v>14</v>
      </c>
      <c r="C19846" s="0" t="s">
        <v>7531</v>
      </c>
      <c r="D19846" s="0" t="s">
        <v>7484</v>
      </c>
      <c r="E19846" s="0" t="s">
        <v>7484</v>
      </c>
      <c r="F19846" s="0" t="s">
        <v>7484</v>
      </c>
    </row>
    <row r="19848" customFormat="false" ht="12.8" hidden="false" customHeight="false" outlineLevel="0" collapsed="false">
      <c r="A19848" s="0" t="s">
        <v>7532</v>
      </c>
      <c r="B19848" s="0" t="str">
        <f aca="false">HYPERLINK("https://lindat.mff.cuni.cz/services/teitok/pdtc10/index.php?action=vallex&amp;frame=v-w2388f3", "nést (v-w2388f3)")</f>
        <v>nést (v-w2388f3)</v>
      </c>
    </row>
    <row r="19849" customFormat="false" ht="12.8" hidden="false" customHeight="false" outlineLevel="0" collapsed="false">
      <c r="B19849" s="0" t="s">
        <v>7</v>
      </c>
      <c r="F19849" s="0" t="s">
        <v>2557</v>
      </c>
    </row>
    <row r="19850" customFormat="false" ht="12.8" hidden="false" customHeight="false" outlineLevel="0" collapsed="false">
      <c r="B19850" s="0" t="s">
        <v>14</v>
      </c>
      <c r="F19850" s="0" t="s">
        <v>7533</v>
      </c>
    </row>
    <row r="19852" customFormat="false" ht="12.8" hidden="false" customHeight="false" outlineLevel="0" collapsed="false">
      <c r="A19852" s="0" t="s">
        <v>7534</v>
      </c>
      <c r="B19852" s="0" t="str">
        <f aca="false">HYPERLINK("https://lindat.mff.cuni.cz/services/teitok/pdtc10/index.php?action=vallex&amp;frame=v-w2388f4", "nést (v-w2388f4)")</f>
        <v>nést (v-w2388f4)</v>
      </c>
    </row>
    <row r="19853" customFormat="false" ht="12.8" hidden="false" customHeight="false" outlineLevel="0" collapsed="false">
      <c r="B19853" s="0" t="s">
        <v>7</v>
      </c>
      <c r="C19853" s="0" t="s">
        <v>7535</v>
      </c>
    </row>
    <row r="19854" customFormat="false" ht="12.8" hidden="false" customHeight="false" outlineLevel="0" collapsed="false">
      <c r="B19854" s="0" t="s">
        <v>14</v>
      </c>
      <c r="C19854" s="0" t="s">
        <v>7536</v>
      </c>
    </row>
    <row r="19856" customFormat="false" ht="12.8" hidden="false" customHeight="false" outlineLevel="0" collapsed="false">
      <c r="A19856" s="0" t="s">
        <v>7537</v>
      </c>
      <c r="B19856" s="0" t="str">
        <f aca="false">HYPERLINK("https://lindat.mff.cuni.cz/services/teitok/pdtc10/index.php?action=vallex&amp;frame=v-w2388f5", "nést (v-w2388f5)")</f>
        <v>nést (v-w2388f5)</v>
      </c>
    </row>
    <row r="19857" customFormat="false" ht="12.8" hidden="false" customHeight="false" outlineLevel="0" collapsed="false">
      <c r="B19857" s="0" t="s">
        <v>7</v>
      </c>
    </row>
    <row r="19858" customFormat="false" ht="12.8" hidden="false" customHeight="false" outlineLevel="0" collapsed="false">
      <c r="B19858" s="0" t="s">
        <v>14</v>
      </c>
    </row>
    <row r="19859" customFormat="false" ht="12.8" hidden="false" customHeight="false" outlineLevel="0" collapsed="false">
      <c r="B19859" s="0" t="s">
        <v>474</v>
      </c>
    </row>
    <row r="19860" customFormat="false" ht="12.8" hidden="false" customHeight="false" outlineLevel="0" collapsed="false">
      <c r="B19860" s="0" t="s">
        <v>479</v>
      </c>
    </row>
    <row r="19861" customFormat="false" ht="12.8" hidden="false" customHeight="false" outlineLevel="0" collapsed="false">
      <c r="B19861" s="0" t="s">
        <v>483</v>
      </c>
    </row>
    <row r="19863" customFormat="false" ht="12.8" hidden="false" customHeight="false" outlineLevel="0" collapsed="false">
      <c r="A19863" s="0" t="s">
        <v>7538</v>
      </c>
      <c r="B19863" s="0" t="str">
        <f aca="false">HYPERLINK("https://lindat.mff.cuni.cz/services/teitok/pdtc10/index.php?action=vallex&amp;frame=v-w2388f8", "nést (v-w2388f8)")</f>
        <v>nést (v-w2388f8)</v>
      </c>
    </row>
    <row r="19864" customFormat="false" ht="12.8" hidden="false" customHeight="false" outlineLevel="0" collapsed="false">
      <c r="B19864" s="0" t="s">
        <v>7</v>
      </c>
    </row>
    <row r="19865" customFormat="false" ht="12.8" hidden="false" customHeight="false" outlineLevel="0" collapsed="false">
      <c r="B19865" s="0" t="s">
        <v>14</v>
      </c>
    </row>
    <row r="19867" customFormat="false" ht="12.8" hidden="false" customHeight="false" outlineLevel="0" collapsed="false">
      <c r="A19867" s="0" t="s">
        <v>7539</v>
      </c>
      <c r="B19867" s="0" t="str">
        <f aca="false">HYPERLINK("https://lindat.mff.cuni.cz/services/teitok/pdtc10/index.php?action=vallex&amp;frame=v-w2388f7", "nést (v-w2388f7)")</f>
        <v>nést (v-w2388f7)</v>
      </c>
    </row>
    <row r="19868" customFormat="false" ht="12.8" hidden="false" customHeight="false" outlineLevel="0" collapsed="false">
      <c r="B19868" s="0" t="s">
        <v>7</v>
      </c>
    </row>
    <row r="19869" customFormat="false" ht="12.8" hidden="false" customHeight="false" outlineLevel="0" collapsed="false">
      <c r="B19869" s="0" t="s">
        <v>14</v>
      </c>
    </row>
    <row r="19871" customFormat="false" ht="12.8" hidden="false" customHeight="false" outlineLevel="0" collapsed="false">
      <c r="A19871" s="0" t="s">
        <v>7540</v>
      </c>
      <c r="B19871" s="0" t="str">
        <f aca="false">HYPERLINK("https://lindat.mff.cuni.cz/services/teitok/pdtc10/index.php?action=vallex&amp;frame=v-w2388f9", "nést (v-w2388f9)")</f>
        <v>nést (v-w2388f9)</v>
      </c>
    </row>
    <row r="19872" customFormat="false" ht="12.8" hidden="false" customHeight="false" outlineLevel="0" collapsed="false">
      <c r="B19872" s="0" t="s">
        <v>7</v>
      </c>
    </row>
    <row r="19873" customFormat="false" ht="12.8" hidden="false" customHeight="false" outlineLevel="0" collapsed="false">
      <c r="B19873" s="0" t="s">
        <v>7541</v>
      </c>
    </row>
    <row r="19875" customFormat="false" ht="12.8" hidden="false" customHeight="false" outlineLevel="0" collapsed="false">
      <c r="A19875" s="0" t="s">
        <v>7542</v>
      </c>
      <c r="B19875" s="0" t="str">
        <f aca="false">HYPERLINK("https://lindat.mff.cuni.cz/services/teitok/pdtc10/index.php?action=vallex&amp;frame=v-w2388hsa_732", "nést (v-w2388hsa_732)")</f>
        <v>nést (v-w2388hsa_732)</v>
      </c>
    </row>
    <row r="19876" customFormat="false" ht="12.8" hidden="false" customHeight="false" outlineLevel="0" collapsed="false">
      <c r="B19876" s="0" t="s">
        <v>7</v>
      </c>
      <c r="E19876" s="0" t="s">
        <v>108</v>
      </c>
      <c r="F19876" s="0" t="s">
        <v>108</v>
      </c>
    </row>
    <row r="19877" customFormat="false" ht="12.8" hidden="false" customHeight="false" outlineLevel="0" collapsed="false">
      <c r="B19877" s="0" t="s">
        <v>7543</v>
      </c>
    </row>
    <row r="19879" customFormat="false" ht="12.8" hidden="false" customHeight="false" outlineLevel="0" collapsed="false">
      <c r="A19879" s="0" t="s">
        <v>7542</v>
      </c>
      <c r="B19879" s="0" t="str">
        <f aca="false">HYPERLINK("https://lindat.mff.cuni.cz/services/teitok/pdtc10/index.php?action=vallex&amp;frame=v-w2388f1", "nést (v-w2388f1) - substituted with v-w2388hsa_732")</f>
        <v>nést (v-w2388f1) - substituted with v-w2388hsa_732</v>
      </c>
    </row>
    <row r="19880" customFormat="false" ht="12.8" hidden="false" customHeight="false" outlineLevel="0" collapsed="false">
      <c r="B19880" s="0" t="s">
        <v>7</v>
      </c>
      <c r="C19880" s="0" t="s">
        <v>7544</v>
      </c>
    </row>
    <row r="19881" customFormat="false" ht="12.8" hidden="false" customHeight="false" outlineLevel="0" collapsed="false">
      <c r="B19881" s="0" t="s">
        <v>7543</v>
      </c>
      <c r="C19881" s="0" t="s">
        <v>7545</v>
      </c>
    </row>
    <row r="19883" customFormat="false" ht="12.8" hidden="false" customHeight="false" outlineLevel="0" collapsed="false">
      <c r="A19883" s="0" t="s">
        <v>7546</v>
      </c>
      <c r="B19883" s="0" t="str">
        <f aca="false">HYPERLINK("https://lindat.mff.cuni.cz/services/teitok/pdtc10/index.php?action=vallex&amp;frame=v-w2388f12_ZU", "nést (v-w2388f12_ZU)")</f>
        <v>nést (v-w2388f12_ZU)</v>
      </c>
    </row>
    <row r="19884" customFormat="false" ht="12.8" hidden="false" customHeight="false" outlineLevel="0" collapsed="false">
      <c r="B19884" s="0" t="s">
        <v>7</v>
      </c>
      <c r="C19884" s="0" t="s">
        <v>7547</v>
      </c>
    </row>
    <row r="19885" customFormat="false" ht="12.8" hidden="false" customHeight="false" outlineLevel="0" collapsed="false">
      <c r="B19885" s="0" t="s">
        <v>7548</v>
      </c>
    </row>
    <row r="19886" customFormat="false" ht="12.8" hidden="false" customHeight="false" outlineLevel="0" collapsed="false">
      <c r="B19886" s="0" t="s">
        <v>14</v>
      </c>
      <c r="C19886" s="0" t="s">
        <v>7549</v>
      </c>
    </row>
    <row r="19888" customFormat="false" ht="12.8" hidden="false" customHeight="false" outlineLevel="0" collapsed="false">
      <c r="A19888" s="0" t="s">
        <v>7550</v>
      </c>
      <c r="B19888" s="0" t="str">
        <f aca="false">HYPERLINK("https://lindat.mff.cuni.cz/services/teitok/pdtc10/index.php?action=vallex&amp;frame=v-w2388f10", "nést (v-w2388f10)")</f>
        <v>nést (v-w2388f10)</v>
      </c>
    </row>
    <row r="19889" customFormat="false" ht="12.8" hidden="false" customHeight="false" outlineLevel="0" collapsed="false">
      <c r="B19889" s="0" t="s">
        <v>7</v>
      </c>
    </row>
    <row r="19890" customFormat="false" ht="12.8" hidden="false" customHeight="false" outlineLevel="0" collapsed="false">
      <c r="B19890" s="0" t="s">
        <v>7551</v>
      </c>
    </row>
    <row r="19892" customFormat="false" ht="12.8" hidden="false" customHeight="false" outlineLevel="0" collapsed="false">
      <c r="A19892" s="0" t="s">
        <v>7552</v>
      </c>
      <c r="B19892" s="0" t="str">
        <f aca="false">HYPERLINK("https://lindat.mff.cuni.cz/services/teitok/pdtc10/index.php?action=vallex&amp;frame=v-w2388f13_ZU", "nést (v-w2388f13_ZU)")</f>
        <v>nést (v-w2388f13_ZU)</v>
      </c>
    </row>
    <row r="19893" customFormat="false" ht="12.8" hidden="false" customHeight="false" outlineLevel="0" collapsed="false">
      <c r="B19893" s="0" t="s">
        <v>7</v>
      </c>
      <c r="C19893" s="0" t="s">
        <v>46</v>
      </c>
      <c r="D19893" s="0" t="s">
        <v>3728</v>
      </c>
      <c r="E19893" s="0" t="s">
        <v>3728</v>
      </c>
      <c r="F19893" s="0" t="s">
        <v>3728</v>
      </c>
    </row>
    <row r="19894" customFormat="false" ht="12.8" hidden="false" customHeight="false" outlineLevel="0" collapsed="false">
      <c r="B19894" s="0" t="s">
        <v>7553</v>
      </c>
      <c r="C19894" s="0" t="s">
        <v>3589</v>
      </c>
      <c r="D19894" s="0" t="s">
        <v>7554</v>
      </c>
      <c r="E19894" s="0" t="s">
        <v>7554</v>
      </c>
      <c r="F19894" s="0" t="s">
        <v>7554</v>
      </c>
    </row>
    <row r="19896" customFormat="false" ht="12.8" hidden="false" customHeight="false" outlineLevel="0" collapsed="false">
      <c r="A19896" s="0" t="s">
        <v>7552</v>
      </c>
      <c r="B19896" s="0" t="str">
        <f aca="false">HYPERLINK("https://lindat.mff.cuni.cz/services/teitok/pdtc10/index.php?action=vallex&amp;frame=v-w2388hsa_733", "nést (v-w2388hsa_733) - substituted with v-w2388f13_ZU")</f>
        <v>nést (v-w2388hsa_733) - substituted with v-w2388f13_ZU</v>
      </c>
    </row>
    <row r="19897" customFormat="false" ht="12.8" hidden="false" customHeight="false" outlineLevel="0" collapsed="false">
      <c r="B19897" s="0" t="s">
        <v>7</v>
      </c>
    </row>
    <row r="19898" customFormat="false" ht="12.8" hidden="false" customHeight="false" outlineLevel="0" collapsed="false">
      <c r="B19898" s="0" t="s">
        <v>7553</v>
      </c>
    </row>
    <row r="19900" customFormat="false" ht="12.8" hidden="false" customHeight="false" outlineLevel="0" collapsed="false">
      <c r="A19900" s="0" t="s">
        <v>7555</v>
      </c>
      <c r="B19900" s="0" t="str">
        <f aca="false">HYPERLINK("https://lindat.mff.cuni.cz/services/teitok/pdtc10/index.php?action=vallex&amp;frame=v-w2388hsa_1687", "nést (v-w2388hsa_1687)")</f>
        <v>nést (v-w2388hsa_1687)</v>
      </c>
    </row>
    <row r="19901" customFormat="false" ht="12.8" hidden="false" customHeight="false" outlineLevel="0" collapsed="false">
      <c r="B19901" s="0" t="s">
        <v>7</v>
      </c>
    </row>
    <row r="19902" customFormat="false" ht="12.8" hidden="false" customHeight="false" outlineLevel="0" collapsed="false">
      <c r="B19902" s="0" t="s">
        <v>14</v>
      </c>
    </row>
    <row r="19904" customFormat="false" ht="12.8" hidden="false" customHeight="false" outlineLevel="0" collapsed="false">
      <c r="A19904" s="0" t="s">
        <v>7556</v>
      </c>
      <c r="B19904" s="0" t="str">
        <f aca="false">HYPERLINK("https://lindat.mff.cuni.cz/services/teitok/pdtc10/index.php?action=vallex&amp;frame=v-w2390f4", "nést se (v-w2390f4)")</f>
        <v>nést se (v-w2390f4)</v>
      </c>
    </row>
    <row r="19905" customFormat="false" ht="12.8" hidden="false" customHeight="false" outlineLevel="0" collapsed="false">
      <c r="B19905" s="0" t="s">
        <v>7</v>
      </c>
    </row>
    <row r="19906" customFormat="false" ht="12.8" hidden="false" customHeight="false" outlineLevel="0" collapsed="false">
      <c r="B19906" s="0" t="s">
        <v>548</v>
      </c>
    </row>
    <row r="19908" customFormat="false" ht="12.8" hidden="false" customHeight="false" outlineLevel="0" collapsed="false">
      <c r="A19908" s="0" t="s">
        <v>7557</v>
      </c>
      <c r="B19908" s="0" t="str">
        <f aca="false">HYPERLINK("https://lindat.mff.cuni.cz/services/teitok/pdtc10/index.php?action=vallex&amp;frame=v-w2390f5_ZU", "nést se (v-w2390f5_ZU)")</f>
        <v>nést se (v-w2390f5_ZU)</v>
      </c>
    </row>
    <row r="19909" customFormat="false" ht="12.8" hidden="false" customHeight="false" outlineLevel="0" collapsed="false">
      <c r="B19909" s="0" t="s">
        <v>7</v>
      </c>
    </row>
    <row r="19910" customFormat="false" ht="12.8" hidden="false" customHeight="false" outlineLevel="0" collapsed="false">
      <c r="B19910" s="0" t="s">
        <v>4545</v>
      </c>
    </row>
    <row r="19912" customFormat="false" ht="12.8" hidden="false" customHeight="false" outlineLevel="0" collapsed="false">
      <c r="A19912" s="0" t="s">
        <v>7558</v>
      </c>
      <c r="B19912" s="0" t="str">
        <f aca="false">HYPERLINK("https://lindat.mff.cuni.cz/services/teitok/pdtc10/index.php?action=vallex&amp;frame=v-w2390f2", "nést se (v-w2390f2)")</f>
        <v>nést se (v-w2390f2)</v>
      </c>
    </row>
    <row r="19913" customFormat="false" ht="12.8" hidden="false" customHeight="false" outlineLevel="0" collapsed="false">
      <c r="B19913" s="0" t="s">
        <v>7</v>
      </c>
    </row>
    <row r="19915" customFormat="false" ht="12.8" hidden="false" customHeight="false" outlineLevel="0" collapsed="false">
      <c r="A19915" s="0" t="s">
        <v>7559</v>
      </c>
      <c r="B19915" s="0" t="str">
        <f aca="false">HYPERLINK("https://lindat.mff.cuni.cz/services/teitok/pdtc10/index.php?action=vallex&amp;frame=v-w2390f3", "nést se (v-w2390f3)")</f>
        <v>nést se (v-w2390f3)</v>
      </c>
    </row>
    <row r="19916" customFormat="false" ht="12.8" hidden="false" customHeight="false" outlineLevel="0" collapsed="false">
      <c r="B19916" s="0" t="s">
        <v>7</v>
      </c>
    </row>
    <row r="19918" customFormat="false" ht="12.8" hidden="false" customHeight="false" outlineLevel="0" collapsed="false">
      <c r="A19918" s="0" t="s">
        <v>7560</v>
      </c>
      <c r="B19918" s="0" t="str">
        <f aca="false">HYPERLINK("https://lindat.mff.cuni.cz/services/teitok/pdtc10/index.php?action=vallex&amp;frame=v-w2390f7_ZU", "nést se (v-w2390f7_ZU)")</f>
        <v>nést se (v-w2390f7_ZU)</v>
      </c>
    </row>
    <row r="19919" customFormat="false" ht="12.8" hidden="false" customHeight="false" outlineLevel="0" collapsed="false">
      <c r="B19919" s="0" t="s">
        <v>7</v>
      </c>
    </row>
    <row r="19920" customFormat="false" ht="12.8" hidden="false" customHeight="false" outlineLevel="0" collapsed="false">
      <c r="B19920" s="0" t="s">
        <v>7561</v>
      </c>
    </row>
    <row r="19921" customFormat="false" ht="12.8" hidden="false" customHeight="false" outlineLevel="0" collapsed="false">
      <c r="B19921" s="0" t="s">
        <v>1087</v>
      </c>
    </row>
    <row r="19923" customFormat="false" ht="12.8" hidden="false" customHeight="false" outlineLevel="0" collapsed="false">
      <c r="A19923" s="0" t="s">
        <v>7560</v>
      </c>
      <c r="B19923" s="0" t="str">
        <f aca="false">HYPERLINK("https://lindat.mff.cuni.cz/services/teitok/pdtc10/index.php?action=vallex&amp;frame=v-w2390f1", "nést se (v-w2390f1) - substituted with v-w2390f7_ZU")</f>
        <v>nést se (v-w2390f1) - substituted with v-w2390f7_ZU</v>
      </c>
    </row>
    <row r="19924" customFormat="false" ht="12.8" hidden="false" customHeight="false" outlineLevel="0" collapsed="false">
      <c r="B19924" s="0" t="s">
        <v>7</v>
      </c>
    </row>
    <row r="19925" customFormat="false" ht="12.8" hidden="false" customHeight="false" outlineLevel="0" collapsed="false">
      <c r="B19925" s="0" t="s">
        <v>7561</v>
      </c>
    </row>
    <row r="19926" customFormat="false" ht="12.8" hidden="false" customHeight="false" outlineLevel="0" collapsed="false">
      <c r="B19926" s="0" t="s">
        <v>1087</v>
      </c>
    </row>
    <row r="19928" customFormat="false" ht="12.8" hidden="false" customHeight="false" outlineLevel="0" collapsed="false">
      <c r="A19928" s="0" t="s">
        <v>7560</v>
      </c>
      <c r="B19928" s="0" t="str">
        <f aca="false">HYPERLINK("https://lindat.mff.cuni.cz/services/teitok/pdtc10/index.php?action=vallex&amp;frame=v-w2390f6_ZU", "nést se (v-w2390f6_ZU) - substituted with v-w2390f7_ZU")</f>
        <v>nést se (v-w2390f6_ZU) - substituted with v-w2390f7_ZU</v>
      </c>
    </row>
    <row r="19929" customFormat="false" ht="12.8" hidden="false" customHeight="false" outlineLevel="0" collapsed="false">
      <c r="B19929" s="0" t="s">
        <v>7</v>
      </c>
    </row>
    <row r="19930" customFormat="false" ht="12.8" hidden="false" customHeight="false" outlineLevel="0" collapsed="false">
      <c r="B19930" s="0" t="s">
        <v>7561</v>
      </c>
    </row>
    <row r="19931" customFormat="false" ht="12.8" hidden="false" customHeight="false" outlineLevel="0" collapsed="false">
      <c r="B19931" s="0" t="s">
        <v>1087</v>
      </c>
    </row>
    <row r="19933" customFormat="false" ht="12.8" hidden="false" customHeight="false" outlineLevel="0" collapsed="false">
      <c r="A19933" s="0" t="s">
        <v>7562</v>
      </c>
      <c r="B19933" s="0" t="str">
        <f aca="false">HYPERLINK("https://lindat.mff.cuni.cz/services/teitok/pdtc10/index.php?action=vallex&amp;frame=v-w2407f1", "nítit (v-w2407f1)")</f>
        <v>nítit (v-w2407f1)</v>
      </c>
    </row>
    <row r="19934" customFormat="false" ht="12.8" hidden="false" customHeight="false" outlineLevel="0" collapsed="false">
      <c r="B19934" s="0" t="s">
        <v>7</v>
      </c>
    </row>
    <row r="19935" customFormat="false" ht="12.8" hidden="false" customHeight="false" outlineLevel="0" collapsed="false">
      <c r="B19935" s="0" t="s">
        <v>14</v>
      </c>
    </row>
    <row r="19937" customFormat="false" ht="12.8" hidden="false" customHeight="false" outlineLevel="0" collapsed="false">
      <c r="A19937" s="0" t="s">
        <v>7563</v>
      </c>
      <c r="B19937" s="0" t="str">
        <f aca="false">HYPERLINK("https://lindat.mff.cuni.cz/services/teitok/pdtc10/index.php?action=vallex&amp;frame=v-w2432f1", "obalamutit (v-w2432f1)")</f>
        <v>obalamutit (v-w2432f1)</v>
      </c>
    </row>
    <row r="19938" customFormat="false" ht="12.8" hidden="false" customHeight="false" outlineLevel="0" collapsed="false">
      <c r="B19938" s="0" t="s">
        <v>7</v>
      </c>
      <c r="D19938" s="0" t="s">
        <v>191</v>
      </c>
      <c r="E19938" s="0" t="s">
        <v>46</v>
      </c>
      <c r="F19938" s="0" t="s">
        <v>46</v>
      </c>
    </row>
    <row r="19939" customFormat="false" ht="12.8" hidden="false" customHeight="false" outlineLevel="0" collapsed="false">
      <c r="B19939" s="0" t="s">
        <v>14</v>
      </c>
      <c r="D19939" s="0" t="s">
        <v>1588</v>
      </c>
      <c r="E19939" s="0" t="s">
        <v>1588</v>
      </c>
      <c r="F19939" s="0" t="s">
        <v>1588</v>
      </c>
    </row>
    <row r="19941" customFormat="false" ht="12.8" hidden="false" customHeight="false" outlineLevel="0" collapsed="false">
      <c r="A19941" s="0" t="s">
        <v>7564</v>
      </c>
      <c r="B19941" s="0" t="str">
        <f aca="false">HYPERLINK("https://lindat.mff.cuni.cz/services/teitok/pdtc10/index.php?action=vallex&amp;frame=v-w10692f2", "obalit (v-w10692f2)")</f>
        <v>obalit (v-w10692f2)</v>
      </c>
    </row>
    <row r="19942" customFormat="false" ht="12.8" hidden="false" customHeight="false" outlineLevel="0" collapsed="false">
      <c r="B19942" s="0" t="s">
        <v>7</v>
      </c>
      <c r="C19942" s="0" t="s">
        <v>191</v>
      </c>
      <c r="D19942" s="0" t="s">
        <v>7565</v>
      </c>
      <c r="E19942" s="0" t="s">
        <v>7565</v>
      </c>
      <c r="F19942" s="0" t="s">
        <v>7565</v>
      </c>
    </row>
    <row r="19943" customFormat="false" ht="12.8" hidden="false" customHeight="false" outlineLevel="0" collapsed="false">
      <c r="B19943" s="0" t="s">
        <v>14</v>
      </c>
      <c r="C19943" s="0" t="s">
        <v>155</v>
      </c>
      <c r="D19943" s="0" t="s">
        <v>487</v>
      </c>
      <c r="E19943" s="0" t="s">
        <v>487</v>
      </c>
      <c r="F19943" s="0" t="s">
        <v>487</v>
      </c>
    </row>
    <row r="19945" customFormat="false" ht="12.8" hidden="false" customHeight="false" outlineLevel="0" collapsed="false">
      <c r="A19945" s="0" t="s">
        <v>7566</v>
      </c>
      <c r="B19945" s="0" t="str">
        <f aca="false">HYPERLINK("https://lindat.mff.cuni.cz/services/teitok/pdtc10/index.php?action=vallex&amp;frame=v-w12121_ZUf2_ZU", "obalovat (v-w12121_ZUf2_ZU)")</f>
        <v>obalovat (v-w12121_ZUf2_ZU)</v>
      </c>
    </row>
    <row r="19946" customFormat="false" ht="12.8" hidden="false" customHeight="false" outlineLevel="0" collapsed="false">
      <c r="B19946" s="0" t="s">
        <v>7</v>
      </c>
    </row>
    <row r="19947" customFormat="false" ht="12.8" hidden="false" customHeight="false" outlineLevel="0" collapsed="false">
      <c r="B19947" s="0" t="s">
        <v>14</v>
      </c>
    </row>
    <row r="19949" customFormat="false" ht="12.8" hidden="false" customHeight="false" outlineLevel="0" collapsed="false">
      <c r="A19949" s="0" t="s">
        <v>7566</v>
      </c>
      <c r="B19949" s="0" t="str">
        <f aca="false">HYPERLINK("https://lindat.mff.cuni.cz/services/teitok/pdtc10/index.php?action=vallex&amp;frame=v-w12121_ZUf1_ZU", "obalovat (v-w12121_ZUf1_ZU) - substituted with v-w12121_ZUf2_ZU")</f>
        <v>obalovat (v-w12121_ZUf1_ZU) - substituted with v-w12121_ZUf2_ZU</v>
      </c>
    </row>
    <row r="19950" customFormat="false" ht="12.8" hidden="false" customHeight="false" outlineLevel="0" collapsed="false">
      <c r="B19950" s="0" t="s">
        <v>7</v>
      </c>
    </row>
    <row r="19951" customFormat="false" ht="12.8" hidden="false" customHeight="false" outlineLevel="0" collapsed="false">
      <c r="B19951" s="0" t="s">
        <v>14</v>
      </c>
    </row>
    <row r="19953" customFormat="false" ht="12.8" hidden="false" customHeight="false" outlineLevel="0" collapsed="false">
      <c r="A19953" s="0" t="s">
        <v>7567</v>
      </c>
      <c r="B19953" s="0" t="str">
        <f aca="false">HYPERLINK("https://lindat.mff.cuni.cz/services/teitok/pdtc10/index.php?action=vallex&amp;frame=v-w11376f1", "obalovat se (v-w11376f1)")</f>
        <v>obalovat se (v-w11376f1)</v>
      </c>
    </row>
    <row r="19954" customFormat="false" ht="12.8" hidden="false" customHeight="false" outlineLevel="0" collapsed="false">
      <c r="B19954" s="0" t="s">
        <v>7</v>
      </c>
    </row>
    <row r="19955" customFormat="false" ht="12.8" hidden="false" customHeight="false" outlineLevel="0" collapsed="false">
      <c r="B19955" s="0" t="s">
        <v>216</v>
      </c>
    </row>
    <row r="19957" customFormat="false" ht="12.8" hidden="false" customHeight="false" outlineLevel="0" collapsed="false">
      <c r="A19957" s="0" t="s">
        <v>7568</v>
      </c>
      <c r="B19957" s="0" t="str">
        <f aca="false">HYPERLINK("https://lindat.mff.cuni.cz/services/teitok/pdtc10/index.php?action=vallex&amp;frame=v-w10588f2", "obarvit (v-w10588f2)")</f>
        <v>obarvit (v-w10588f2)</v>
      </c>
    </row>
    <row r="19958" customFormat="false" ht="12.8" hidden="false" customHeight="false" outlineLevel="0" collapsed="false">
      <c r="B19958" s="0" t="s">
        <v>7</v>
      </c>
      <c r="D19958" s="0" t="s">
        <v>194</v>
      </c>
      <c r="E19958" s="0" t="s">
        <v>194</v>
      </c>
      <c r="F19958" s="0" t="s">
        <v>194</v>
      </c>
    </row>
    <row r="19959" customFormat="false" ht="12.8" hidden="false" customHeight="false" outlineLevel="0" collapsed="false">
      <c r="B19959" s="0" t="s">
        <v>14</v>
      </c>
      <c r="D19959" s="0" t="s">
        <v>195</v>
      </c>
      <c r="E19959" s="0" t="s">
        <v>195</v>
      </c>
      <c r="F19959" s="0" t="s">
        <v>195</v>
      </c>
    </row>
    <row r="19961" customFormat="false" ht="12.8" hidden="false" customHeight="false" outlineLevel="0" collapsed="false">
      <c r="A19961" s="0" t="s">
        <v>7569</v>
      </c>
      <c r="B19961" s="0" t="str">
        <f aca="false">HYPERLINK("https://lindat.mff.cuni.cz/services/teitok/pdtc10/index.php?action=vallex&amp;frame=v-w2483f1", "obchodovat (v-w2483f1)")</f>
        <v>obchodovat (v-w2483f1)</v>
      </c>
    </row>
    <row r="19962" customFormat="false" ht="12.8" hidden="false" customHeight="false" outlineLevel="0" collapsed="false">
      <c r="B19962" s="0" t="s">
        <v>7</v>
      </c>
      <c r="C19962" s="0" t="s">
        <v>7570</v>
      </c>
      <c r="D19962" s="0" t="s">
        <v>2797</v>
      </c>
      <c r="E19962" s="0" t="s">
        <v>2797</v>
      </c>
      <c r="F19962" s="0" t="s">
        <v>2797</v>
      </c>
    </row>
    <row r="19963" customFormat="false" ht="12.8" hidden="false" customHeight="false" outlineLevel="0" collapsed="false">
      <c r="B19963" s="0" t="s">
        <v>86</v>
      </c>
      <c r="C19963" s="0" t="s">
        <v>7571</v>
      </c>
      <c r="D19963" s="0" t="s">
        <v>210</v>
      </c>
      <c r="E19963" s="0" t="s">
        <v>210</v>
      </c>
      <c r="F19963" s="0" t="s">
        <v>210</v>
      </c>
    </row>
    <row r="19964" customFormat="false" ht="12.8" hidden="false" customHeight="false" outlineLevel="0" collapsed="false">
      <c r="B19964" s="0" t="s">
        <v>207</v>
      </c>
      <c r="C19964" s="0" t="s">
        <v>7572</v>
      </c>
      <c r="D19964" s="0" t="s">
        <v>7572</v>
      </c>
      <c r="E19964" s="0" t="s">
        <v>7572</v>
      </c>
      <c r="F19964" s="0" t="s">
        <v>7572</v>
      </c>
    </row>
    <row r="19966" customFormat="false" ht="12.8" hidden="false" customHeight="false" outlineLevel="0" collapsed="false">
      <c r="A19966" s="0" t="s">
        <v>7573</v>
      </c>
      <c r="B19966" s="0" t="str">
        <f aca="false">HYPERLINK("https://lindat.mff.cuni.cz/services/teitok/pdtc10/index.php?action=vallex&amp;frame=v-w2479f1", "obcházet (v-w2479f1)")</f>
        <v>obcházet (v-w2479f1)</v>
      </c>
    </row>
    <row r="19967" customFormat="false" ht="12.8" hidden="false" customHeight="false" outlineLevel="0" collapsed="false">
      <c r="B19967" s="0" t="s">
        <v>7</v>
      </c>
      <c r="C19967" s="0" t="s">
        <v>460</v>
      </c>
      <c r="D19967" s="0" t="s">
        <v>5572</v>
      </c>
      <c r="E19967" s="0" t="s">
        <v>5572</v>
      </c>
      <c r="F19967" s="0" t="s">
        <v>5572</v>
      </c>
    </row>
    <row r="19968" customFormat="false" ht="12.8" hidden="false" customHeight="false" outlineLevel="0" collapsed="false">
      <c r="B19968" s="0" t="s">
        <v>54</v>
      </c>
      <c r="C19968" s="0" t="s">
        <v>1209</v>
      </c>
      <c r="D19968" s="0" t="s">
        <v>518</v>
      </c>
      <c r="E19968" s="0" t="s">
        <v>518</v>
      </c>
      <c r="F19968" s="0" t="s">
        <v>518</v>
      </c>
    </row>
    <row r="19970" customFormat="false" ht="12.8" hidden="false" customHeight="false" outlineLevel="0" collapsed="false">
      <c r="A19970" s="0" t="s">
        <v>7574</v>
      </c>
      <c r="B19970" s="0" t="str">
        <f aca="false">HYPERLINK("https://lindat.mff.cuni.cz/services/teitok/pdtc10/index.php?action=vallex&amp;frame=v-w2479f2", "obcházet (v-w2479f2)")</f>
        <v>obcházet (v-w2479f2)</v>
      </c>
    </row>
    <row r="19971" customFormat="false" ht="12.8" hidden="false" customHeight="false" outlineLevel="0" collapsed="false">
      <c r="B19971" s="0" t="s">
        <v>7</v>
      </c>
    </row>
    <row r="19972" customFormat="false" ht="12.8" hidden="false" customHeight="false" outlineLevel="0" collapsed="false">
      <c r="B19972" s="0" t="s">
        <v>14</v>
      </c>
    </row>
    <row r="19974" customFormat="false" ht="12.8" hidden="false" customHeight="false" outlineLevel="0" collapsed="false">
      <c r="A19974" s="0" t="s">
        <v>7575</v>
      </c>
      <c r="B19974" s="0" t="str">
        <f aca="false">HYPERLINK("https://lindat.mff.cuni.cz/services/teitok/pdtc10/index.php?action=vallex&amp;frame=v-w2479f3", "obcházet (v-w2479f3)")</f>
        <v>obcházet (v-w2479f3)</v>
      </c>
    </row>
    <row r="19975" customFormat="false" ht="12.8" hidden="false" customHeight="false" outlineLevel="0" collapsed="false">
      <c r="B19975" s="0" t="s">
        <v>7</v>
      </c>
    </row>
    <row r="19977" customFormat="false" ht="12.8" hidden="false" customHeight="false" outlineLevel="0" collapsed="false">
      <c r="A19977" s="0" t="s">
        <v>7576</v>
      </c>
      <c r="B19977" s="0" t="str">
        <f aca="false">HYPERLINK("https://lindat.mff.cuni.cz/services/teitok/pdtc10/index.php?action=vallex&amp;frame=v-w2479f4_ZU", "obcházet (v-w2479f4_ZU)")</f>
        <v>obcházet (v-w2479f4_ZU)</v>
      </c>
    </row>
    <row r="19978" customFormat="false" ht="12.8" hidden="false" customHeight="false" outlineLevel="0" collapsed="false">
      <c r="B19978" s="0" t="s">
        <v>7</v>
      </c>
    </row>
    <row r="19979" customFormat="false" ht="12.8" hidden="false" customHeight="false" outlineLevel="0" collapsed="false">
      <c r="B19979" s="0" t="s">
        <v>14</v>
      </c>
    </row>
    <row r="19981" customFormat="false" ht="12.8" hidden="false" customHeight="false" outlineLevel="0" collapsed="false">
      <c r="A19981" s="0" t="s">
        <v>7577</v>
      </c>
      <c r="B19981" s="0" t="str">
        <f aca="false">HYPERLINK("https://lindat.mff.cuni.cz/services/teitok/pdtc10/index.php?action=vallex&amp;frame=v-w2440f1", "obdarovat (v-w2440f1)")</f>
        <v>obdarovat (v-w2440f1)</v>
      </c>
    </row>
    <row r="19982" customFormat="false" ht="12.8" hidden="false" customHeight="false" outlineLevel="0" collapsed="false">
      <c r="B19982" s="0" t="s">
        <v>7</v>
      </c>
      <c r="C19982" s="0" t="s">
        <v>157</v>
      </c>
      <c r="D19982" s="0" t="s">
        <v>7578</v>
      </c>
      <c r="E19982" s="0" t="s">
        <v>7578</v>
      </c>
      <c r="F19982" s="0" t="s">
        <v>7578</v>
      </c>
    </row>
    <row r="19983" customFormat="false" ht="12.8" hidden="false" customHeight="false" outlineLevel="0" collapsed="false">
      <c r="B19983" s="0" t="s">
        <v>14</v>
      </c>
      <c r="C19983" s="0" t="s">
        <v>7579</v>
      </c>
      <c r="D19983" s="0" t="s">
        <v>7580</v>
      </c>
      <c r="E19983" s="0" t="s">
        <v>7580</v>
      </c>
      <c r="F19983" s="0" t="s">
        <v>7580</v>
      </c>
    </row>
    <row r="19985" customFormat="false" ht="12.8" hidden="false" customHeight="false" outlineLevel="0" collapsed="false">
      <c r="A19985" s="0" t="s">
        <v>7581</v>
      </c>
      <c r="B19985" s="0" t="str">
        <f aca="false">HYPERLINK("https://lindat.mff.cuni.cz/services/teitok/pdtc10/index.php?action=vallex&amp;frame=v-w10957f2", "obdarovávat (v-w10957f2)")</f>
        <v>obdarovávat (v-w10957f2)</v>
      </c>
    </row>
    <row r="19986" customFormat="false" ht="12.8" hidden="false" customHeight="false" outlineLevel="0" collapsed="false">
      <c r="B19986" s="0" t="s">
        <v>7</v>
      </c>
      <c r="C19986" s="0" t="s">
        <v>157</v>
      </c>
      <c r="D19986" s="0" t="s">
        <v>7578</v>
      </c>
      <c r="E19986" s="0" t="s">
        <v>7578</v>
      </c>
      <c r="F19986" s="0" t="s">
        <v>7578</v>
      </c>
    </row>
    <row r="19987" customFormat="false" ht="12.8" hidden="false" customHeight="false" outlineLevel="0" collapsed="false">
      <c r="B19987" s="0" t="s">
        <v>14</v>
      </c>
      <c r="C19987" s="0" t="s">
        <v>7579</v>
      </c>
      <c r="D19987" s="0" t="s">
        <v>7580</v>
      </c>
      <c r="E19987" s="0" t="s">
        <v>7580</v>
      </c>
      <c r="F19987" s="0" t="s">
        <v>7580</v>
      </c>
    </row>
    <row r="19989" customFormat="false" ht="12.8" hidden="false" customHeight="false" outlineLevel="0" collapsed="false">
      <c r="A19989" s="0" t="s">
        <v>7582</v>
      </c>
      <c r="B19989" s="0" t="str">
        <f aca="false">HYPERLINK("https://lindat.mff.cuni.cz/services/teitok/pdtc10/index.php?action=vallex&amp;frame=v-w2443f1", "obdařit (v-w2443f1)")</f>
        <v>obdařit (v-w2443f1)</v>
      </c>
    </row>
    <row r="19990" customFormat="false" ht="12.8" hidden="false" customHeight="false" outlineLevel="0" collapsed="false">
      <c r="B19990" s="0" t="s">
        <v>7</v>
      </c>
    </row>
    <row r="19991" customFormat="false" ht="12.8" hidden="false" customHeight="false" outlineLevel="0" collapsed="false">
      <c r="B19991" s="0" t="s">
        <v>216</v>
      </c>
    </row>
    <row r="19992" customFormat="false" ht="12.8" hidden="false" customHeight="false" outlineLevel="0" collapsed="false">
      <c r="B19992" s="0" t="s">
        <v>81</v>
      </c>
    </row>
    <row r="19994" customFormat="false" ht="12.8" hidden="false" customHeight="false" outlineLevel="0" collapsed="false">
      <c r="A19994" s="0" t="s">
        <v>7583</v>
      </c>
      <c r="B19994" s="0" t="str">
        <f aca="false">HYPERLINK("https://lindat.mff.cuni.cz/services/teitok/pdtc10/index.php?action=vallex&amp;frame=v-w2444f1", "obdařovat (v-w2444f1)")</f>
        <v>obdařovat (v-w2444f1)</v>
      </c>
    </row>
    <row r="19995" customFormat="false" ht="12.8" hidden="false" customHeight="false" outlineLevel="0" collapsed="false">
      <c r="B19995" s="0" t="s">
        <v>7</v>
      </c>
    </row>
    <row r="19996" customFormat="false" ht="12.8" hidden="false" customHeight="false" outlineLevel="0" collapsed="false">
      <c r="B19996" s="0" t="s">
        <v>216</v>
      </c>
    </row>
    <row r="19997" customFormat="false" ht="12.8" hidden="false" customHeight="false" outlineLevel="0" collapsed="false">
      <c r="B19997" s="0" t="s">
        <v>81</v>
      </c>
    </row>
    <row r="19999" customFormat="false" ht="12.8" hidden="false" customHeight="false" outlineLevel="0" collapsed="false">
      <c r="A19999" s="0" t="s">
        <v>7584</v>
      </c>
      <c r="B19999" s="0" t="str">
        <f aca="false">HYPERLINK("https://lindat.mff.cuni.cz/services/teitok/pdtc10/index.php?action=vallex&amp;frame=v-w2447f2_ZU", "obdivovat (v-w2447f2_ZU)")</f>
        <v>obdivovat (v-w2447f2_ZU)</v>
      </c>
    </row>
    <row r="20000" customFormat="false" ht="12.8" hidden="false" customHeight="false" outlineLevel="0" collapsed="false">
      <c r="B20000" s="0" t="s">
        <v>7</v>
      </c>
    </row>
    <row r="20001" customFormat="false" ht="12.8" hidden="false" customHeight="false" outlineLevel="0" collapsed="false">
      <c r="B20001" s="0" t="s">
        <v>7585</v>
      </c>
    </row>
    <row r="20003" customFormat="false" ht="12.8" hidden="false" customHeight="false" outlineLevel="0" collapsed="false">
      <c r="A20003" s="0" t="s">
        <v>7584</v>
      </c>
      <c r="B20003" s="0" t="str">
        <f aca="false">HYPERLINK("https://lindat.mff.cuni.cz/services/teitok/pdtc10/index.php?action=vallex&amp;frame=v-w2447f1", "obdivovat (v-w2447f1) - substituted with v-w2447f2_ZU")</f>
        <v>obdivovat (v-w2447f1) - substituted with v-w2447f2_ZU</v>
      </c>
    </row>
    <row r="20004" customFormat="false" ht="12.8" hidden="false" customHeight="false" outlineLevel="0" collapsed="false">
      <c r="B20004" s="0" t="s">
        <v>7</v>
      </c>
      <c r="C20004" s="0" t="s">
        <v>46</v>
      </c>
      <c r="D20004" s="0" t="s">
        <v>46</v>
      </c>
      <c r="E20004" s="0" t="s">
        <v>46</v>
      </c>
      <c r="F20004" s="0" t="s">
        <v>46</v>
      </c>
    </row>
    <row r="20005" customFormat="false" ht="12.8" hidden="false" customHeight="false" outlineLevel="0" collapsed="false">
      <c r="B20005" s="0" t="s">
        <v>7585</v>
      </c>
      <c r="C20005" s="0" t="s">
        <v>47</v>
      </c>
      <c r="D20005" s="0" t="s">
        <v>47</v>
      </c>
      <c r="E20005" s="0" t="s">
        <v>47</v>
      </c>
      <c r="F20005" s="0" t="s">
        <v>47</v>
      </c>
    </row>
    <row r="20007" customFormat="false" ht="12.8" hidden="false" customHeight="false" outlineLevel="0" collapsed="false">
      <c r="A20007" s="0" t="s">
        <v>7584</v>
      </c>
      <c r="B20007" s="0" t="str">
        <f aca="false">HYPERLINK("https://lindat.mff.cuni.cz/services/teitok/pdtc10/index.php?action=vallex&amp;frame=v-w2447hsa_1650", "obdivovat (v-w2447hsa_1650) - substituted with v-w2447f2_ZU")</f>
        <v>obdivovat (v-w2447hsa_1650) - substituted with v-w2447f2_ZU</v>
      </c>
    </row>
    <row r="20008" customFormat="false" ht="12.8" hidden="false" customHeight="false" outlineLevel="0" collapsed="false">
      <c r="B20008" s="0" t="s">
        <v>7</v>
      </c>
    </row>
    <row r="20009" customFormat="false" ht="12.8" hidden="false" customHeight="false" outlineLevel="0" collapsed="false">
      <c r="B20009" s="0" t="s">
        <v>7585</v>
      </c>
    </row>
    <row r="20011" customFormat="false" ht="12.8" hidden="false" customHeight="false" outlineLevel="0" collapsed="false">
      <c r="A20011" s="0" t="s">
        <v>7586</v>
      </c>
      <c r="B20011" s="0" t="str">
        <f aca="false">HYPERLINK("https://lindat.mff.cuni.cz/services/teitok/pdtc10/index.php?action=vallex&amp;frame=v-w2451f1", "obdržet (v-w2451f1)")</f>
        <v>obdržet (v-w2451f1)</v>
      </c>
    </row>
    <row r="20012" customFormat="false" ht="12.8" hidden="false" customHeight="false" outlineLevel="0" collapsed="false">
      <c r="B20012" s="0" t="s">
        <v>7</v>
      </c>
      <c r="C20012" s="0" t="s">
        <v>7587</v>
      </c>
      <c r="D20012" s="0" t="s">
        <v>2299</v>
      </c>
      <c r="E20012" s="0" t="s">
        <v>2299</v>
      </c>
      <c r="F20012" s="0" t="s">
        <v>2299</v>
      </c>
    </row>
    <row r="20013" customFormat="false" ht="12.8" hidden="false" customHeight="false" outlineLevel="0" collapsed="false">
      <c r="B20013" s="0" t="s">
        <v>14</v>
      </c>
      <c r="C20013" s="0" t="s">
        <v>7588</v>
      </c>
      <c r="D20013" s="0" t="s">
        <v>2301</v>
      </c>
      <c r="E20013" s="0" t="s">
        <v>2301</v>
      </c>
      <c r="F20013" s="0" t="s">
        <v>2301</v>
      </c>
    </row>
    <row r="20014" customFormat="false" ht="12.8" hidden="false" customHeight="false" outlineLevel="0" collapsed="false">
      <c r="B20014" s="0" t="s">
        <v>1349</v>
      </c>
      <c r="C20014" s="0" t="s">
        <v>7589</v>
      </c>
      <c r="D20014" s="0" t="s">
        <v>2303</v>
      </c>
      <c r="E20014" s="0" t="s">
        <v>2303</v>
      </c>
      <c r="F20014" s="0" t="s">
        <v>2303</v>
      </c>
    </row>
    <row r="20016" customFormat="false" ht="12.8" hidden="false" customHeight="false" outlineLevel="0" collapsed="false">
      <c r="A20016" s="0" t="s">
        <v>7590</v>
      </c>
      <c r="B20016" s="0" t="str">
        <f aca="false">HYPERLINK("https://lindat.mff.cuni.cz/services/teitok/pdtc10/index.php?action=vallex&amp;frame=v-w11927_ZUf1_ZU", "obdělat (v-w11927_ZUf1_ZU)")</f>
        <v>obdělat (v-w11927_ZUf1_ZU)</v>
      </c>
    </row>
    <row r="20017" customFormat="false" ht="12.8" hidden="false" customHeight="false" outlineLevel="0" collapsed="false">
      <c r="B20017" s="0" t="s">
        <v>7</v>
      </c>
    </row>
    <row r="20018" customFormat="false" ht="12.8" hidden="false" customHeight="false" outlineLevel="0" collapsed="false">
      <c r="B20018" s="0" t="s">
        <v>14</v>
      </c>
    </row>
    <row r="20020" customFormat="false" ht="12.8" hidden="false" customHeight="false" outlineLevel="0" collapsed="false">
      <c r="A20020" s="0" t="s">
        <v>7591</v>
      </c>
      <c r="B20020" s="0" t="str">
        <f aca="false">HYPERLINK("https://lindat.mff.cuni.cz/services/teitok/pdtc10/index.php?action=vallex&amp;frame=v-w11169f2", "obdělávat (v-w11169f2)")</f>
        <v>obdělávat (v-w11169f2)</v>
      </c>
    </row>
    <row r="20021" customFormat="false" ht="12.8" hidden="false" customHeight="false" outlineLevel="0" collapsed="false">
      <c r="B20021" s="0" t="s">
        <v>7</v>
      </c>
      <c r="C20021" s="0" t="s">
        <v>46</v>
      </c>
      <c r="D20021" s="0" t="s">
        <v>1624</v>
      </c>
      <c r="E20021" s="0" t="s">
        <v>1624</v>
      </c>
      <c r="F20021" s="0" t="s">
        <v>1624</v>
      </c>
    </row>
    <row r="20022" customFormat="false" ht="12.8" hidden="false" customHeight="false" outlineLevel="0" collapsed="false">
      <c r="B20022" s="0" t="s">
        <v>14</v>
      </c>
      <c r="C20022" s="0" t="s">
        <v>47</v>
      </c>
      <c r="D20022" s="0" t="s">
        <v>1625</v>
      </c>
      <c r="E20022" s="0" t="s">
        <v>1625</v>
      </c>
      <c r="F20022" s="0" t="s">
        <v>1625</v>
      </c>
    </row>
    <row r="20024" customFormat="false" ht="12.8" hidden="false" customHeight="false" outlineLevel="0" collapsed="false">
      <c r="A20024" s="0" t="s">
        <v>7592</v>
      </c>
      <c r="B20024" s="0" t="str">
        <f aca="false">HYPERLINK("https://lindat.mff.cuni.cz/services/teitok/pdtc10/index.php?action=vallex&amp;frame=v-w10629f2", "obehnat (v-w10629f2)")</f>
        <v>obehnat (v-w10629f2)</v>
      </c>
    </row>
    <row r="20025" customFormat="false" ht="12.8" hidden="false" customHeight="false" outlineLevel="0" collapsed="false">
      <c r="B20025" s="0" t="s">
        <v>7</v>
      </c>
      <c r="D20025" s="0" t="s">
        <v>7593</v>
      </c>
      <c r="E20025" s="0" t="s">
        <v>7593</v>
      </c>
      <c r="F20025" s="0" t="s">
        <v>7594</v>
      </c>
    </row>
    <row r="20026" customFormat="false" ht="12.8" hidden="false" customHeight="false" outlineLevel="0" collapsed="false">
      <c r="B20026" s="0" t="s">
        <v>14</v>
      </c>
      <c r="C20026" s="0" t="s">
        <v>400</v>
      </c>
      <c r="D20026" s="0" t="s">
        <v>7595</v>
      </c>
      <c r="E20026" s="0" t="s">
        <v>7595</v>
      </c>
      <c r="F20026" s="0" t="s">
        <v>7596</v>
      </c>
    </row>
    <row r="20028" customFormat="false" ht="12.8" hidden="false" customHeight="false" outlineLevel="0" collapsed="false">
      <c r="A20028" s="0" t="s">
        <v>7597</v>
      </c>
      <c r="B20028" s="0" t="str">
        <f aca="false">HYPERLINK("https://lindat.mff.cuni.cz/services/teitok/pdtc10/index.php?action=vallex&amp;frame=v-whsa_73f1_ZU", "obejmout (v-whsa_73f1_ZU)")</f>
        <v>obejmout (v-whsa_73f1_ZU)</v>
      </c>
    </row>
    <row r="20029" customFormat="false" ht="12.8" hidden="false" customHeight="false" outlineLevel="0" collapsed="false">
      <c r="B20029" s="0" t="s">
        <v>7</v>
      </c>
    </row>
    <row r="20030" customFormat="false" ht="12.8" hidden="false" customHeight="false" outlineLevel="0" collapsed="false">
      <c r="B20030" s="0" t="s">
        <v>14</v>
      </c>
    </row>
    <row r="20032" customFormat="false" ht="12.8" hidden="false" customHeight="false" outlineLevel="0" collapsed="false">
      <c r="A20032" s="0" t="s">
        <v>7597</v>
      </c>
      <c r="B20032" s="0" t="str">
        <f aca="false">HYPERLINK("https://lindat.mff.cuni.cz/services/teitok/pdtc10/index.php?action=vallex&amp;frame=v-whsa_73hsa_74", "obejmout (v-whsa_73hsa_74) - substituted with v-whsa_73f1_ZU")</f>
        <v>obejmout (v-whsa_73hsa_74) - substituted with v-whsa_73f1_ZU</v>
      </c>
    </row>
    <row r="20033" customFormat="false" ht="12.8" hidden="false" customHeight="false" outlineLevel="0" collapsed="false">
      <c r="B20033" s="0" t="s">
        <v>7</v>
      </c>
      <c r="C20033" s="0" t="s">
        <v>46</v>
      </c>
      <c r="D20033" s="0" t="s">
        <v>46</v>
      </c>
      <c r="E20033" s="0" t="s">
        <v>46</v>
      </c>
      <c r="F20033" s="0" t="s">
        <v>46</v>
      </c>
    </row>
    <row r="20034" customFormat="false" ht="12.8" hidden="false" customHeight="false" outlineLevel="0" collapsed="false">
      <c r="B20034" s="0" t="s">
        <v>14</v>
      </c>
      <c r="C20034" s="0" t="s">
        <v>47</v>
      </c>
      <c r="D20034" s="0" t="s">
        <v>47</v>
      </c>
      <c r="E20034" s="0" t="s">
        <v>47</v>
      </c>
      <c r="F20034" s="0" t="s">
        <v>47</v>
      </c>
    </row>
    <row r="20036" customFormat="false" ht="12.8" hidden="false" customHeight="false" outlineLevel="0" collapsed="false">
      <c r="A20036" s="0" t="s">
        <v>7598</v>
      </c>
      <c r="B20036" s="0" t="str">
        <f aca="false">HYPERLINK("https://lindat.mff.cuni.cz/services/teitok/pdtc10/index.php?action=vallex&amp;frame=v-w2454f2", "obejít (v-w2454f2)")</f>
        <v>obejít (v-w2454f2)</v>
      </c>
    </row>
    <row r="20037" customFormat="false" ht="12.8" hidden="false" customHeight="false" outlineLevel="0" collapsed="false">
      <c r="B20037" s="0" t="s">
        <v>7</v>
      </c>
      <c r="C20037" s="0" t="s">
        <v>7599</v>
      </c>
      <c r="D20037" s="0" t="s">
        <v>5572</v>
      </c>
      <c r="E20037" s="0" t="s">
        <v>5572</v>
      </c>
      <c r="F20037" s="0" t="s">
        <v>5572</v>
      </c>
    </row>
    <row r="20038" customFormat="false" ht="12.8" hidden="false" customHeight="false" outlineLevel="0" collapsed="false">
      <c r="B20038" s="0" t="s">
        <v>54</v>
      </c>
      <c r="C20038" s="0" t="s">
        <v>7600</v>
      </c>
      <c r="D20038" s="0" t="s">
        <v>518</v>
      </c>
      <c r="E20038" s="0" t="s">
        <v>518</v>
      </c>
      <c r="F20038" s="0" t="s">
        <v>518</v>
      </c>
    </row>
    <row r="20040" customFormat="false" ht="12.8" hidden="false" customHeight="false" outlineLevel="0" collapsed="false">
      <c r="A20040" s="0" t="s">
        <v>7601</v>
      </c>
      <c r="B20040" s="0" t="str">
        <f aca="false">HYPERLINK("https://lindat.mff.cuni.cz/services/teitok/pdtc10/index.php?action=vallex&amp;frame=v-w2454f1", "obejít (v-w2454f1)")</f>
        <v>obejít (v-w2454f1)</v>
      </c>
    </row>
    <row r="20041" customFormat="false" ht="12.8" hidden="false" customHeight="false" outlineLevel="0" collapsed="false">
      <c r="B20041" s="0" t="s">
        <v>7</v>
      </c>
      <c r="C20041" s="0" t="s">
        <v>7602</v>
      </c>
      <c r="F20041" s="0" t="s">
        <v>1261</v>
      </c>
    </row>
    <row r="20042" customFormat="false" ht="12.8" hidden="false" customHeight="false" outlineLevel="0" collapsed="false">
      <c r="B20042" s="0" t="s">
        <v>14</v>
      </c>
      <c r="C20042" s="0" t="s">
        <v>74</v>
      </c>
      <c r="F20042" s="0" t="s">
        <v>74</v>
      </c>
    </row>
    <row r="20044" customFormat="false" ht="12.8" hidden="false" customHeight="false" outlineLevel="0" collapsed="false">
      <c r="A20044" s="0" t="s">
        <v>7603</v>
      </c>
      <c r="B20044" s="0" t="str">
        <f aca="false">HYPERLINK("https://lindat.mff.cuni.cz/services/teitok/pdtc10/index.php?action=vallex&amp;frame=v-w2454f4_ZU", "obejít (v-w2454f4_ZU)")</f>
        <v>obejít (v-w2454f4_ZU)</v>
      </c>
    </row>
    <row r="20045" customFormat="false" ht="12.8" hidden="false" customHeight="false" outlineLevel="0" collapsed="false">
      <c r="B20045" s="0" t="s">
        <v>7</v>
      </c>
    </row>
    <row r="20046" customFormat="false" ht="12.8" hidden="false" customHeight="false" outlineLevel="0" collapsed="false">
      <c r="B20046" s="0" t="s">
        <v>14</v>
      </c>
    </row>
    <row r="20048" customFormat="false" ht="12.8" hidden="false" customHeight="false" outlineLevel="0" collapsed="false">
      <c r="A20048" s="0" t="s">
        <v>7603</v>
      </c>
      <c r="B20048" s="0" t="str">
        <f aca="false">HYPERLINK("https://lindat.mff.cuni.cz/services/teitok/pdtc10/index.php?action=vallex&amp;frame=v-w2454f3_ZU", "obejít (v-w2454f3_ZU) - substituted with v-w2454f4_ZU")</f>
        <v>obejít (v-w2454f3_ZU) - substituted with v-w2454f4_ZU</v>
      </c>
    </row>
    <row r="20049" customFormat="false" ht="12.8" hidden="false" customHeight="false" outlineLevel="0" collapsed="false">
      <c r="B20049" s="0" t="s">
        <v>7</v>
      </c>
    </row>
    <row r="20050" customFormat="false" ht="12.8" hidden="false" customHeight="false" outlineLevel="0" collapsed="false">
      <c r="B20050" s="0" t="s">
        <v>14</v>
      </c>
    </row>
    <row r="20052" customFormat="false" ht="12.8" hidden="false" customHeight="false" outlineLevel="0" collapsed="false">
      <c r="A20052" s="0" t="s">
        <v>7603</v>
      </c>
      <c r="B20052" s="0" t="str">
        <f aca="false">HYPERLINK("https://lindat.mff.cuni.cz/services/teitok/pdtc10/index.php?action=vallex&amp;frame=v-w2454hsa_1153", "obejít (v-w2454hsa_1153) - substituted with v-w2454f4_ZU")</f>
        <v>obejít (v-w2454hsa_1153) - substituted with v-w2454f4_ZU</v>
      </c>
    </row>
    <row r="20053" customFormat="false" ht="12.8" hidden="false" customHeight="false" outlineLevel="0" collapsed="false">
      <c r="B20053" s="0" t="s">
        <v>7</v>
      </c>
    </row>
    <row r="20054" customFormat="false" ht="12.8" hidden="false" customHeight="false" outlineLevel="0" collapsed="false">
      <c r="B20054" s="0" t="s">
        <v>14</v>
      </c>
    </row>
    <row r="20056" customFormat="false" ht="12.8" hidden="false" customHeight="false" outlineLevel="0" collapsed="false">
      <c r="A20056" s="0" t="s">
        <v>7604</v>
      </c>
      <c r="B20056" s="0" t="str">
        <f aca="false">HYPERLINK("https://lindat.mff.cuni.cz/services/teitok/pdtc10/index.php?action=vallex&amp;frame=v-w2455f1", "obejít se (v-w2455f1)")</f>
        <v>obejít se (v-w2455f1)</v>
      </c>
    </row>
    <row r="20057" customFormat="false" ht="12.8" hidden="false" customHeight="false" outlineLevel="0" collapsed="false">
      <c r="B20057" s="0" t="s">
        <v>7</v>
      </c>
      <c r="C20057" s="0" t="s">
        <v>7605</v>
      </c>
    </row>
    <row r="20058" customFormat="false" ht="12.8" hidden="false" customHeight="false" outlineLevel="0" collapsed="false">
      <c r="B20058" s="0" t="s">
        <v>7606</v>
      </c>
      <c r="C20058" s="0" t="s">
        <v>1209</v>
      </c>
    </row>
    <row r="20060" customFormat="false" ht="12.8" hidden="false" customHeight="false" outlineLevel="0" collapsed="false">
      <c r="A20060" s="0" t="s">
        <v>7607</v>
      </c>
      <c r="B20060" s="0" t="str">
        <f aca="false">HYPERLINK("https://lindat.mff.cuni.cz/services/teitok/pdtc10/index.php?action=vallex&amp;frame=v-w10453f2", "obelstít (v-w10453f2)")</f>
        <v>obelstít (v-w10453f2)</v>
      </c>
    </row>
    <row r="20061" customFormat="false" ht="12.8" hidden="false" customHeight="false" outlineLevel="0" collapsed="false">
      <c r="B20061" s="0" t="s">
        <v>7</v>
      </c>
      <c r="D20061" s="0" t="s">
        <v>191</v>
      </c>
      <c r="E20061" s="0" t="s">
        <v>46</v>
      </c>
      <c r="F20061" s="0" t="s">
        <v>46</v>
      </c>
    </row>
    <row r="20062" customFormat="false" ht="12.8" hidden="false" customHeight="false" outlineLevel="0" collapsed="false">
      <c r="B20062" s="0" t="s">
        <v>14</v>
      </c>
      <c r="D20062" s="0" t="s">
        <v>1588</v>
      </c>
      <c r="E20062" s="0" t="s">
        <v>1588</v>
      </c>
      <c r="F20062" s="0" t="s">
        <v>1588</v>
      </c>
    </row>
    <row r="20064" customFormat="false" ht="12.8" hidden="false" customHeight="false" outlineLevel="0" collapsed="false">
      <c r="A20064" s="0" t="s">
        <v>7608</v>
      </c>
      <c r="B20064" s="0" t="str">
        <f aca="false">HYPERLINK("https://lindat.mff.cuni.cz/services/teitok/pdtc10/index.php?action=vallex&amp;frame=v-w2456f1", "obeplout (v-w2456f1)")</f>
        <v>obeplout (v-w2456f1)</v>
      </c>
    </row>
    <row r="20065" customFormat="false" ht="12.8" hidden="false" customHeight="false" outlineLevel="0" collapsed="false">
      <c r="B20065" s="0" t="s">
        <v>7</v>
      </c>
    </row>
    <row r="20066" customFormat="false" ht="12.8" hidden="false" customHeight="false" outlineLevel="0" collapsed="false">
      <c r="B20066" s="0" t="s">
        <v>14</v>
      </c>
    </row>
    <row r="20068" customFormat="false" ht="12.8" hidden="false" customHeight="false" outlineLevel="0" collapsed="false">
      <c r="A20068" s="0" t="s">
        <v>7609</v>
      </c>
      <c r="B20068" s="0" t="str">
        <f aca="false">HYPERLINK("https://lindat.mff.cuni.cz/services/teitok/pdtc10/index.php?action=vallex&amp;frame=v-w10144f2", "obeslat (v-w10144f2)")</f>
        <v>obeslat (v-w10144f2)</v>
      </c>
    </row>
    <row r="20069" customFormat="false" ht="12.8" hidden="false" customHeight="false" outlineLevel="0" collapsed="false">
      <c r="B20069" s="0" t="s">
        <v>7</v>
      </c>
      <c r="C20069" s="0" t="s">
        <v>2199</v>
      </c>
    </row>
    <row r="20070" customFormat="false" ht="12.8" hidden="false" customHeight="false" outlineLevel="0" collapsed="false">
      <c r="B20070" s="0" t="s">
        <v>14</v>
      </c>
      <c r="C20070" s="0" t="s">
        <v>7610</v>
      </c>
    </row>
    <row r="20072" customFormat="false" ht="12.8" hidden="false" customHeight="false" outlineLevel="0" collapsed="false">
      <c r="A20072" s="0" t="s">
        <v>7611</v>
      </c>
      <c r="B20072" s="0" t="str">
        <f aca="false">HYPERLINK("https://lindat.mff.cuni.cz/services/teitok/pdtc10/index.php?action=vallex&amp;frame=v-w2460f1", "obestírat (v-w2460f1)")</f>
        <v>obestírat (v-w2460f1)</v>
      </c>
    </row>
    <row r="20073" customFormat="false" ht="12.8" hidden="false" customHeight="false" outlineLevel="0" collapsed="false">
      <c r="B20073" s="0" t="s">
        <v>7</v>
      </c>
      <c r="D20073" s="0" t="s">
        <v>7593</v>
      </c>
      <c r="E20073" s="0" t="s">
        <v>7593</v>
      </c>
      <c r="F20073" s="0" t="s">
        <v>7593</v>
      </c>
    </row>
    <row r="20074" customFormat="false" ht="12.8" hidden="false" customHeight="false" outlineLevel="0" collapsed="false">
      <c r="B20074" s="0" t="s">
        <v>14</v>
      </c>
      <c r="D20074" s="0" t="s">
        <v>7595</v>
      </c>
      <c r="E20074" s="0" t="s">
        <v>7595</v>
      </c>
      <c r="F20074" s="0" t="s">
        <v>7595</v>
      </c>
    </row>
    <row r="20076" customFormat="false" ht="12.8" hidden="false" customHeight="false" outlineLevel="0" collapsed="false">
      <c r="A20076" s="0" t="s">
        <v>7612</v>
      </c>
      <c r="B20076" s="0" t="str">
        <f aca="false">HYPERLINK("https://lindat.mff.cuni.cz/services/teitok/pdtc10/index.php?action=vallex&amp;frame=v-whsa_561hsa_562", "obestřít (v-whsa_561hsa_562)")</f>
        <v>obestřít (v-whsa_561hsa_562)</v>
      </c>
    </row>
    <row r="20077" customFormat="false" ht="12.8" hidden="false" customHeight="false" outlineLevel="0" collapsed="false">
      <c r="B20077" s="0" t="s">
        <v>7</v>
      </c>
      <c r="C20077" s="0" t="s">
        <v>736</v>
      </c>
      <c r="D20077" s="0" t="s">
        <v>7593</v>
      </c>
      <c r="E20077" s="0" t="s">
        <v>7593</v>
      </c>
      <c r="F20077" s="0" t="s">
        <v>7593</v>
      </c>
    </row>
    <row r="20078" customFormat="false" ht="12.8" hidden="false" customHeight="false" outlineLevel="0" collapsed="false">
      <c r="B20078" s="0" t="s">
        <v>14</v>
      </c>
      <c r="C20078" s="0" t="s">
        <v>6331</v>
      </c>
      <c r="D20078" s="0" t="s">
        <v>7595</v>
      </c>
      <c r="E20078" s="0" t="s">
        <v>7595</v>
      </c>
      <c r="F20078" s="0" t="s">
        <v>7595</v>
      </c>
    </row>
    <row r="20080" customFormat="false" ht="12.8" hidden="false" customHeight="false" outlineLevel="0" collapsed="false">
      <c r="A20080" s="0" t="s">
        <v>7613</v>
      </c>
      <c r="B20080" s="0" t="str">
        <f aca="false">HYPERLINK("https://lindat.mff.cuni.cz/services/teitok/pdtc10/index.php?action=vallex&amp;frame=v-w2457f1", "obesílat (v-w2457f1)")</f>
        <v>obesílat (v-w2457f1)</v>
      </c>
    </row>
    <row r="20081" customFormat="false" ht="12.8" hidden="false" customHeight="false" outlineLevel="0" collapsed="false">
      <c r="B20081" s="0" t="s">
        <v>7</v>
      </c>
      <c r="C20081" s="0" t="s">
        <v>88</v>
      </c>
      <c r="D20081" s="0" t="s">
        <v>114</v>
      </c>
      <c r="E20081" s="0" t="s">
        <v>114</v>
      </c>
      <c r="F20081" s="0" t="s">
        <v>114</v>
      </c>
    </row>
    <row r="20082" customFormat="false" ht="12.8" hidden="false" customHeight="false" outlineLevel="0" collapsed="false">
      <c r="B20082" s="0" t="s">
        <v>14</v>
      </c>
      <c r="C20082" s="0" t="s">
        <v>3832</v>
      </c>
      <c r="D20082" s="0" t="s">
        <v>116</v>
      </c>
      <c r="E20082" s="0" t="s">
        <v>116</v>
      </c>
      <c r="F20082" s="0" t="s">
        <v>116</v>
      </c>
    </row>
    <row r="20084" customFormat="false" ht="12.8" hidden="false" customHeight="false" outlineLevel="0" collapsed="false">
      <c r="A20084" s="0" t="s">
        <v>7614</v>
      </c>
      <c r="B20084" s="0" t="str">
        <f aca="false">HYPERLINK("https://lindat.mff.cuni.cz/services/teitok/pdtc10/index.php?action=vallex&amp;frame=v-w2465f1", "obezdívat (v-w2465f1)")</f>
        <v>obezdívat (v-w2465f1)</v>
      </c>
    </row>
    <row r="20085" customFormat="false" ht="12.8" hidden="false" customHeight="false" outlineLevel="0" collapsed="false">
      <c r="B20085" s="0" t="s">
        <v>7</v>
      </c>
    </row>
    <row r="20086" customFormat="false" ht="12.8" hidden="false" customHeight="false" outlineLevel="0" collapsed="false">
      <c r="B20086" s="0" t="s">
        <v>14</v>
      </c>
    </row>
    <row r="20088" customFormat="false" ht="12.8" hidden="false" customHeight="false" outlineLevel="0" collapsed="false">
      <c r="A20088" s="0" t="s">
        <v>7615</v>
      </c>
      <c r="B20088" s="0" t="str">
        <f aca="false">HYPERLINK("https://lindat.mff.cuni.cz/services/teitok/pdtc10/index.php?action=vallex&amp;frame=v-w2466f1", "obeznámit (v-w2466f1)")</f>
        <v>obeznámit (v-w2466f1)</v>
      </c>
    </row>
    <row r="20089" customFormat="false" ht="12.8" hidden="false" customHeight="false" outlineLevel="0" collapsed="false">
      <c r="B20089" s="0" t="s">
        <v>7</v>
      </c>
    </row>
    <row r="20090" customFormat="false" ht="12.8" hidden="false" customHeight="false" outlineLevel="0" collapsed="false">
      <c r="B20090" s="0" t="s">
        <v>548</v>
      </c>
      <c r="C20090" s="0" t="s">
        <v>1544</v>
      </c>
      <c r="D20090" s="0" t="s">
        <v>1544</v>
      </c>
      <c r="E20090" s="0" t="s">
        <v>1544</v>
      </c>
      <c r="F20090" s="0" t="s">
        <v>1544</v>
      </c>
    </row>
    <row r="20091" customFormat="false" ht="12.8" hidden="false" customHeight="false" outlineLevel="0" collapsed="false">
      <c r="B20091" s="0" t="s">
        <v>81</v>
      </c>
      <c r="C20091" s="0" t="s">
        <v>3323</v>
      </c>
      <c r="D20091" s="0" t="s">
        <v>3323</v>
      </c>
      <c r="E20091" s="0" t="s">
        <v>3323</v>
      </c>
      <c r="F20091" s="0" t="s">
        <v>3323</v>
      </c>
    </row>
    <row r="20093" customFormat="false" ht="12.8" hidden="false" customHeight="false" outlineLevel="0" collapsed="false">
      <c r="A20093" s="0" t="s">
        <v>7616</v>
      </c>
      <c r="B20093" s="0" t="str">
        <f aca="false">HYPERLINK("https://lindat.mff.cuni.cz/services/teitok/pdtc10/index.php?action=vallex&amp;frame=v-whsa_159hsa_160", "obeznámit se (v-whsa_159hsa_160)")</f>
        <v>obeznámit se (v-whsa_159hsa_160)</v>
      </c>
    </row>
    <row r="20094" customFormat="false" ht="12.8" hidden="false" customHeight="false" outlineLevel="0" collapsed="false">
      <c r="B20094" s="0" t="s">
        <v>7</v>
      </c>
    </row>
    <row r="20095" customFormat="false" ht="12.8" hidden="false" customHeight="false" outlineLevel="0" collapsed="false">
      <c r="B20095" s="0" t="s">
        <v>548</v>
      </c>
    </row>
    <row r="20097" customFormat="false" ht="12.8" hidden="false" customHeight="false" outlineLevel="0" collapsed="false">
      <c r="A20097" s="0" t="s">
        <v>7617</v>
      </c>
      <c r="B20097" s="0" t="str">
        <f aca="false">HYPERLINK("https://lindat.mff.cuni.cz/services/teitok/pdtc10/index.php?action=vallex&amp;frame=v-w2472f1", "obhajovat (v-w2472f1)")</f>
        <v>obhajovat (v-w2472f1)</v>
      </c>
    </row>
    <row r="20098" customFormat="false" ht="12.8" hidden="false" customHeight="false" outlineLevel="0" collapsed="false">
      <c r="B20098" s="0" t="s">
        <v>7</v>
      </c>
      <c r="C20098" s="0" t="s">
        <v>4751</v>
      </c>
      <c r="D20098" s="0" t="s">
        <v>411</v>
      </c>
      <c r="E20098" s="0" t="s">
        <v>411</v>
      </c>
      <c r="F20098" s="0" t="s">
        <v>7618</v>
      </c>
    </row>
    <row r="20099" customFormat="false" ht="12.8" hidden="false" customHeight="false" outlineLevel="0" collapsed="false">
      <c r="B20099" s="0" t="s">
        <v>14</v>
      </c>
      <c r="C20099" s="0" t="s">
        <v>7619</v>
      </c>
      <c r="D20099" s="0" t="s">
        <v>414</v>
      </c>
      <c r="E20099" s="0" t="s">
        <v>414</v>
      </c>
      <c r="F20099" s="0" t="s">
        <v>7620</v>
      </c>
    </row>
    <row r="20101" customFormat="false" ht="12.8" hidden="false" customHeight="false" outlineLevel="0" collapsed="false">
      <c r="A20101" s="0" t="s">
        <v>7621</v>
      </c>
      <c r="B20101" s="0" t="str">
        <f aca="false">HYPERLINK("https://lindat.mff.cuni.cz/services/teitok/pdtc10/index.php?action=vallex&amp;frame=v-whsa_1149hsa_1150", "obhlédnout (v-whsa_1149hsa_1150)")</f>
        <v>obhlédnout (v-whsa_1149hsa_1150)</v>
      </c>
    </row>
    <row r="20102" customFormat="false" ht="12.8" hidden="false" customHeight="false" outlineLevel="0" collapsed="false">
      <c r="B20102" s="0" t="s">
        <v>7</v>
      </c>
      <c r="C20102" s="0" t="s">
        <v>569</v>
      </c>
      <c r="E20102" s="0" t="s">
        <v>428</v>
      </c>
      <c r="F20102" s="0" t="s">
        <v>428</v>
      </c>
    </row>
    <row r="20103" customFormat="false" ht="12.8" hidden="false" customHeight="false" outlineLevel="0" collapsed="false">
      <c r="B20103" s="0" t="s">
        <v>14</v>
      </c>
      <c r="C20103" s="0" t="s">
        <v>1170</v>
      </c>
      <c r="E20103" s="0" t="s">
        <v>7622</v>
      </c>
      <c r="F20103" s="0" t="s">
        <v>7622</v>
      </c>
    </row>
    <row r="20105" customFormat="false" ht="12.8" hidden="false" customHeight="false" outlineLevel="0" collapsed="false">
      <c r="A20105" s="0" t="s">
        <v>7623</v>
      </c>
      <c r="B20105" s="0" t="str">
        <f aca="false">HYPERLINK("https://lindat.mff.cuni.cz/services/teitok/pdtc10/index.php?action=vallex&amp;frame=v-w2474f1", "obhlédnout si (v-w2474f1)")</f>
        <v>obhlédnout si (v-w2474f1)</v>
      </c>
    </row>
    <row r="20106" customFormat="false" ht="12.8" hidden="false" customHeight="false" outlineLevel="0" collapsed="false">
      <c r="B20106" s="0" t="s">
        <v>7</v>
      </c>
    </row>
    <row r="20107" customFormat="false" ht="12.8" hidden="false" customHeight="false" outlineLevel="0" collapsed="false">
      <c r="B20107" s="0" t="s">
        <v>2738</v>
      </c>
    </row>
    <row r="20109" customFormat="false" ht="12.8" hidden="false" customHeight="false" outlineLevel="0" collapsed="false">
      <c r="A20109" s="0" t="s">
        <v>7624</v>
      </c>
      <c r="B20109" s="0" t="str">
        <f aca="false">HYPERLINK("https://lindat.mff.cuni.cz/services/teitok/pdtc10/index.php?action=vallex&amp;frame=v-w12119_ZUf1_ZU", "obhlížet (v-w12119_ZUf1_ZU)")</f>
        <v>obhlížet (v-w12119_ZUf1_ZU)</v>
      </c>
    </row>
    <row r="20110" customFormat="false" ht="12.8" hidden="false" customHeight="false" outlineLevel="0" collapsed="false">
      <c r="B20110" s="0" t="s">
        <v>7</v>
      </c>
    </row>
    <row r="20111" customFormat="false" ht="12.8" hidden="false" customHeight="false" outlineLevel="0" collapsed="false">
      <c r="B20111" s="0" t="s">
        <v>14</v>
      </c>
    </row>
    <row r="20113" customFormat="false" ht="12.8" hidden="false" customHeight="false" outlineLevel="0" collapsed="false">
      <c r="A20113" s="0" t="s">
        <v>7625</v>
      </c>
      <c r="B20113" s="0" t="str">
        <f aca="false">HYPERLINK("https://lindat.mff.cuni.cz/services/teitok/pdtc10/index.php?action=vallex&amp;frame=v-whsa_7hsa_8", "obhospodařit (v-whsa_7hsa_8)")</f>
        <v>obhospodařit (v-whsa_7hsa_8)</v>
      </c>
    </row>
    <row r="20114" customFormat="false" ht="12.8" hidden="false" customHeight="false" outlineLevel="0" collapsed="false">
      <c r="B20114" s="0" t="s">
        <v>7</v>
      </c>
      <c r="D20114" s="0" t="s">
        <v>1624</v>
      </c>
      <c r="E20114" s="0" t="s">
        <v>1624</v>
      </c>
      <c r="F20114" s="0" t="s">
        <v>1624</v>
      </c>
    </row>
    <row r="20115" customFormat="false" ht="12.8" hidden="false" customHeight="false" outlineLevel="0" collapsed="false">
      <c r="B20115" s="0" t="s">
        <v>14</v>
      </c>
      <c r="D20115" s="0" t="s">
        <v>1625</v>
      </c>
      <c r="E20115" s="0" t="s">
        <v>1625</v>
      </c>
      <c r="F20115" s="0" t="s">
        <v>1625</v>
      </c>
    </row>
    <row r="20117" customFormat="false" ht="12.8" hidden="false" customHeight="false" outlineLevel="0" collapsed="false">
      <c r="A20117" s="0" t="s">
        <v>7626</v>
      </c>
      <c r="B20117" s="0" t="str">
        <f aca="false">HYPERLINK("https://lindat.mff.cuni.cz/services/teitok/pdtc10/index.php?action=vallex&amp;frame=v-w2476f1", "obhospodařovat (v-w2476f1)")</f>
        <v>obhospodařovat (v-w2476f1)</v>
      </c>
    </row>
    <row r="20118" customFormat="false" ht="12.8" hidden="false" customHeight="false" outlineLevel="0" collapsed="false">
      <c r="B20118" s="0" t="s">
        <v>7</v>
      </c>
      <c r="C20118" s="0" t="s">
        <v>1509</v>
      </c>
      <c r="D20118" s="0" t="s">
        <v>1624</v>
      </c>
      <c r="E20118" s="0" t="s">
        <v>1624</v>
      </c>
      <c r="F20118" s="0" t="s">
        <v>1624</v>
      </c>
    </row>
    <row r="20119" customFormat="false" ht="12.8" hidden="false" customHeight="false" outlineLevel="0" collapsed="false">
      <c r="B20119" s="0" t="s">
        <v>14</v>
      </c>
      <c r="C20119" s="0" t="s">
        <v>7627</v>
      </c>
      <c r="D20119" s="0" t="s">
        <v>1625</v>
      </c>
      <c r="E20119" s="0" t="s">
        <v>1625</v>
      </c>
      <c r="F20119" s="0" t="s">
        <v>1625</v>
      </c>
    </row>
    <row r="20121" customFormat="false" ht="12.8" hidden="false" customHeight="false" outlineLevel="0" collapsed="false">
      <c r="A20121" s="0" t="s">
        <v>7628</v>
      </c>
      <c r="B20121" s="0" t="str">
        <f aca="false">HYPERLINK("https://lindat.mff.cuni.cz/services/teitok/pdtc10/index.php?action=vallex&amp;frame=v-w2468f1", "obhájit (v-w2468f1)")</f>
        <v>obhájit (v-w2468f1)</v>
      </c>
    </row>
    <row r="20122" customFormat="false" ht="12.8" hidden="false" customHeight="false" outlineLevel="0" collapsed="false">
      <c r="B20122" s="0" t="s">
        <v>7</v>
      </c>
      <c r="C20122" s="0" t="s">
        <v>410</v>
      </c>
      <c r="D20122" s="0" t="s">
        <v>411</v>
      </c>
      <c r="E20122" s="0" t="s">
        <v>411</v>
      </c>
      <c r="F20122" s="0" t="s">
        <v>411</v>
      </c>
    </row>
    <row r="20123" customFormat="false" ht="12.8" hidden="false" customHeight="false" outlineLevel="0" collapsed="false">
      <c r="B20123" s="0" t="s">
        <v>54</v>
      </c>
      <c r="C20123" s="0" t="s">
        <v>413</v>
      </c>
      <c r="D20123" s="0" t="s">
        <v>414</v>
      </c>
      <c r="E20123" s="0" t="s">
        <v>414</v>
      </c>
      <c r="F20123" s="0" t="s">
        <v>414</v>
      </c>
    </row>
    <row r="20125" customFormat="false" ht="12.8" hidden="false" customHeight="false" outlineLevel="0" collapsed="false">
      <c r="A20125" s="0" t="s">
        <v>7629</v>
      </c>
      <c r="B20125" s="0" t="str">
        <f aca="false">HYPERLINK("https://lindat.mff.cuni.cz/services/teitok/pdtc10/index.php?action=vallex&amp;frame=v-w2468hsa_702", "obhájit (v-w2468hsa_702)")</f>
        <v>obhájit (v-w2468hsa_702)</v>
      </c>
    </row>
    <row r="20126" customFormat="false" ht="12.8" hidden="false" customHeight="false" outlineLevel="0" collapsed="false">
      <c r="B20126" s="0" t="s">
        <v>7</v>
      </c>
    </row>
    <row r="20127" customFormat="false" ht="12.8" hidden="false" customHeight="false" outlineLevel="0" collapsed="false">
      <c r="B20127" s="0" t="s">
        <v>14</v>
      </c>
    </row>
    <row r="20129" customFormat="false" ht="12.8" hidden="false" customHeight="false" outlineLevel="0" collapsed="false">
      <c r="A20129" s="0" t="s">
        <v>7630</v>
      </c>
      <c r="B20129" s="0" t="str">
        <f aca="false">HYPERLINK("https://lindat.mff.cuni.cz/services/teitok/pdtc10/index.php?action=vallex&amp;frame=v-w2486f1", "objasnit (v-w2486f1)")</f>
        <v>objasnit (v-w2486f1)</v>
      </c>
    </row>
    <row r="20130" customFormat="false" ht="12.8" hidden="false" customHeight="false" outlineLevel="0" collapsed="false">
      <c r="B20130" s="0" t="s">
        <v>7</v>
      </c>
      <c r="C20130" s="0" t="s">
        <v>7631</v>
      </c>
      <c r="D20130" s="0" t="s">
        <v>7632</v>
      </c>
      <c r="E20130" s="0" t="s">
        <v>7632</v>
      </c>
      <c r="F20130" s="0" t="s">
        <v>7632</v>
      </c>
    </row>
    <row r="20131" customFormat="false" ht="12.8" hidden="false" customHeight="false" outlineLevel="0" collapsed="false">
      <c r="B20131" s="0" t="s">
        <v>2573</v>
      </c>
      <c r="C20131" s="0" t="s">
        <v>7633</v>
      </c>
      <c r="D20131" s="0" t="s">
        <v>7634</v>
      </c>
      <c r="E20131" s="0" t="s">
        <v>7634</v>
      </c>
      <c r="F20131" s="0" t="s">
        <v>7634</v>
      </c>
    </row>
    <row r="20132" customFormat="false" ht="12.8" hidden="false" customHeight="false" outlineLevel="0" collapsed="false">
      <c r="B20132" s="0" t="s">
        <v>48</v>
      </c>
      <c r="C20132" s="0" t="s">
        <v>709</v>
      </c>
      <c r="D20132" s="0" t="s">
        <v>3288</v>
      </c>
      <c r="E20132" s="0" t="s">
        <v>3288</v>
      </c>
      <c r="F20132" s="0" t="s">
        <v>3288</v>
      </c>
    </row>
    <row r="20134" customFormat="false" ht="12.8" hidden="false" customHeight="false" outlineLevel="0" collapsed="false">
      <c r="A20134" s="0" t="s">
        <v>7635</v>
      </c>
      <c r="B20134" s="0" t="str">
        <f aca="false">HYPERLINK("https://lindat.mff.cuni.cz/services/teitok/pdtc10/index.php?action=vallex&amp;frame=v-w2487f1", "objasňovat (v-w2487f1)")</f>
        <v>objasňovat (v-w2487f1)</v>
      </c>
    </row>
    <row r="20135" customFormat="false" ht="12.8" hidden="false" customHeight="false" outlineLevel="0" collapsed="false">
      <c r="B20135" s="0" t="s">
        <v>7</v>
      </c>
      <c r="C20135" s="0" t="s">
        <v>7632</v>
      </c>
      <c r="D20135" s="0" t="s">
        <v>7632</v>
      </c>
      <c r="E20135" s="0" t="s">
        <v>7632</v>
      </c>
      <c r="F20135" s="0" t="s">
        <v>7632</v>
      </c>
    </row>
    <row r="20136" customFormat="false" ht="12.8" hidden="false" customHeight="false" outlineLevel="0" collapsed="false">
      <c r="B20136" s="0" t="s">
        <v>7636</v>
      </c>
      <c r="C20136" s="0" t="s">
        <v>7637</v>
      </c>
      <c r="D20136" s="0" t="s">
        <v>7634</v>
      </c>
      <c r="E20136" s="0" t="s">
        <v>7634</v>
      </c>
      <c r="F20136" s="0" t="s">
        <v>7634</v>
      </c>
    </row>
    <row r="20137" customFormat="false" ht="12.8" hidden="false" customHeight="false" outlineLevel="0" collapsed="false">
      <c r="B20137" s="0" t="s">
        <v>48</v>
      </c>
      <c r="C20137" s="0" t="s">
        <v>3288</v>
      </c>
      <c r="D20137" s="0" t="s">
        <v>3288</v>
      </c>
      <c r="E20137" s="0" t="s">
        <v>3288</v>
      </c>
      <c r="F20137" s="0" t="s">
        <v>3288</v>
      </c>
    </row>
    <row r="20139" customFormat="false" ht="12.8" hidden="false" customHeight="false" outlineLevel="0" collapsed="false">
      <c r="A20139" s="0" t="s">
        <v>7638</v>
      </c>
      <c r="B20139" s="0" t="str">
        <f aca="false">HYPERLINK("https://lindat.mff.cuni.cz/services/teitok/pdtc10/index.php?action=vallex&amp;frame=v-w2489f2_ZU", "objednat (v-w2489f2_ZU)")</f>
        <v>objednat (v-w2489f2_ZU)</v>
      </c>
    </row>
    <row r="20140" customFormat="false" ht="12.8" hidden="false" customHeight="false" outlineLevel="0" collapsed="false">
      <c r="B20140" s="0" t="s">
        <v>7</v>
      </c>
    </row>
    <row r="20141" customFormat="false" ht="12.8" hidden="false" customHeight="false" outlineLevel="0" collapsed="false">
      <c r="B20141" s="0" t="s">
        <v>14</v>
      </c>
    </row>
    <row r="20142" customFormat="false" ht="12.8" hidden="false" customHeight="false" outlineLevel="0" collapsed="false">
      <c r="B20142" s="0" t="s">
        <v>441</v>
      </c>
    </row>
    <row r="20144" customFormat="false" ht="12.8" hidden="false" customHeight="false" outlineLevel="0" collapsed="false">
      <c r="A20144" s="0" t="s">
        <v>7638</v>
      </c>
      <c r="B20144" s="0" t="str">
        <f aca="false">HYPERLINK("https://lindat.mff.cuni.cz/services/teitok/pdtc10/index.php?action=vallex&amp;frame=v-w2489f1", "objednat (v-w2489f1) - substituted with v-w2489f2_ZU")</f>
        <v>objednat (v-w2489f1) - substituted with v-w2489f2_ZU</v>
      </c>
    </row>
    <row r="20145" customFormat="false" ht="12.8" hidden="false" customHeight="false" outlineLevel="0" collapsed="false">
      <c r="B20145" s="0" t="s">
        <v>7</v>
      </c>
      <c r="C20145" s="0" t="s">
        <v>1456</v>
      </c>
      <c r="D20145" s="0" t="s">
        <v>108</v>
      </c>
      <c r="E20145" s="0" t="s">
        <v>108</v>
      </c>
      <c r="F20145" s="0" t="s">
        <v>108</v>
      </c>
    </row>
    <row r="20146" customFormat="false" ht="12.8" hidden="false" customHeight="false" outlineLevel="0" collapsed="false">
      <c r="B20146" s="0" t="s">
        <v>14</v>
      </c>
      <c r="C20146" s="0" t="s">
        <v>7639</v>
      </c>
      <c r="D20146" s="0" t="s">
        <v>487</v>
      </c>
      <c r="E20146" s="0" t="s">
        <v>487</v>
      </c>
      <c r="F20146" s="0" t="s">
        <v>487</v>
      </c>
    </row>
    <row r="20147" customFormat="false" ht="12.8" hidden="false" customHeight="false" outlineLevel="0" collapsed="false">
      <c r="B20147" s="0" t="s">
        <v>441</v>
      </c>
    </row>
    <row r="20149" customFormat="false" ht="12.8" hidden="false" customHeight="false" outlineLevel="0" collapsed="false">
      <c r="A20149" s="0" t="s">
        <v>7638</v>
      </c>
      <c r="B20149" s="0" t="str">
        <f aca="false">HYPERLINK("https://lindat.mff.cuni.cz/services/teitok/pdtc10/index.php?action=vallex&amp;frame=v-w2489hsa_511", "objednat (v-w2489hsa_511) - substituted with v-w2489f2_ZU")</f>
        <v>objednat (v-w2489hsa_511) - substituted with v-w2489f2_ZU</v>
      </c>
    </row>
    <row r="20150" customFormat="false" ht="12.8" hidden="false" customHeight="false" outlineLevel="0" collapsed="false">
      <c r="B20150" s="0" t="s">
        <v>7</v>
      </c>
    </row>
    <row r="20151" customFormat="false" ht="12.8" hidden="false" customHeight="false" outlineLevel="0" collapsed="false">
      <c r="B20151" s="0" t="s">
        <v>14</v>
      </c>
    </row>
    <row r="20152" customFormat="false" ht="12.8" hidden="false" customHeight="false" outlineLevel="0" collapsed="false">
      <c r="B20152" s="0" t="s">
        <v>441</v>
      </c>
    </row>
    <row r="20154" customFormat="false" ht="12.8" hidden="false" customHeight="false" outlineLevel="0" collapsed="false">
      <c r="A20154" s="0" t="s">
        <v>7640</v>
      </c>
      <c r="B20154" s="0" t="str">
        <f aca="false">HYPERLINK("https://lindat.mff.cuni.cz/services/teitok/pdtc10/index.php?action=vallex&amp;frame=v-w2489f3_ZU", "objednat (v-w2489f3_ZU)")</f>
        <v>objednat (v-w2489f3_ZU)</v>
      </c>
    </row>
    <row r="20155" customFormat="false" ht="12.8" hidden="false" customHeight="false" outlineLevel="0" collapsed="false">
      <c r="B20155" s="0" t="s">
        <v>7</v>
      </c>
    </row>
    <row r="20156" customFormat="false" ht="12.8" hidden="false" customHeight="false" outlineLevel="0" collapsed="false">
      <c r="B20156" s="0" t="s">
        <v>14</v>
      </c>
    </row>
    <row r="20158" customFormat="false" ht="12.8" hidden="false" customHeight="false" outlineLevel="0" collapsed="false">
      <c r="A20158" s="0" t="s">
        <v>7641</v>
      </c>
      <c r="B20158" s="0" t="str">
        <f aca="false">HYPERLINK("https://lindat.mff.cuni.cz/services/teitok/pdtc10/index.php?action=vallex&amp;frame=v-w2491f2_ZU", "objednávat (v-w2491f2_ZU)")</f>
        <v>objednávat (v-w2491f2_ZU)</v>
      </c>
    </row>
    <row r="20159" customFormat="false" ht="12.8" hidden="false" customHeight="false" outlineLevel="0" collapsed="false">
      <c r="B20159" s="0" t="s">
        <v>7</v>
      </c>
    </row>
    <row r="20160" customFormat="false" ht="12.8" hidden="false" customHeight="false" outlineLevel="0" collapsed="false">
      <c r="B20160" s="0" t="s">
        <v>232</v>
      </c>
    </row>
    <row r="20162" customFormat="false" ht="12.8" hidden="false" customHeight="false" outlineLevel="0" collapsed="false">
      <c r="A20162" s="0" t="s">
        <v>7641</v>
      </c>
      <c r="B20162" s="0" t="str">
        <f aca="false">HYPERLINK("https://lindat.mff.cuni.cz/services/teitok/pdtc10/index.php?action=vallex&amp;frame=v-w2491f1", "objednávat (v-w2491f1) - substituted with v-w2491f2_ZU")</f>
        <v>objednávat (v-w2491f1) - substituted with v-w2491f2_ZU</v>
      </c>
    </row>
    <row r="20163" customFormat="false" ht="12.8" hidden="false" customHeight="false" outlineLevel="0" collapsed="false">
      <c r="B20163" s="0" t="s">
        <v>7</v>
      </c>
      <c r="C20163" s="0" t="s">
        <v>3918</v>
      </c>
      <c r="D20163" s="0" t="s">
        <v>108</v>
      </c>
      <c r="E20163" s="0" t="s">
        <v>108</v>
      </c>
      <c r="F20163" s="0" t="s">
        <v>108</v>
      </c>
    </row>
    <row r="20164" customFormat="false" ht="12.8" hidden="false" customHeight="false" outlineLevel="0" collapsed="false">
      <c r="B20164" s="0" t="s">
        <v>232</v>
      </c>
      <c r="C20164" s="0" t="s">
        <v>1405</v>
      </c>
      <c r="D20164" s="0" t="s">
        <v>487</v>
      </c>
      <c r="E20164" s="0" t="s">
        <v>487</v>
      </c>
      <c r="F20164" s="0" t="s">
        <v>487</v>
      </c>
    </row>
    <row r="20166" customFormat="false" ht="12.8" hidden="false" customHeight="false" outlineLevel="0" collapsed="false">
      <c r="A20166" s="0" t="s">
        <v>7641</v>
      </c>
      <c r="B20166" s="0" t="str">
        <f aca="false">HYPERLINK("https://lindat.mff.cuni.cz/services/teitok/pdtc10/index.php?action=vallex&amp;frame=v-w2491hsa_594", "objednávat (v-w2491hsa_594) - substituted with v-w2491f2_ZU")</f>
        <v>objednávat (v-w2491hsa_594) - substituted with v-w2491f2_ZU</v>
      </c>
    </row>
    <row r="20167" customFormat="false" ht="12.8" hidden="false" customHeight="false" outlineLevel="0" collapsed="false">
      <c r="B20167" s="0" t="s">
        <v>7</v>
      </c>
    </row>
    <row r="20168" customFormat="false" ht="12.8" hidden="false" customHeight="false" outlineLevel="0" collapsed="false">
      <c r="B20168" s="0" t="s">
        <v>232</v>
      </c>
    </row>
    <row r="20170" customFormat="false" ht="12.8" hidden="false" customHeight="false" outlineLevel="0" collapsed="false">
      <c r="A20170" s="0" t="s">
        <v>7642</v>
      </c>
      <c r="B20170" s="0" t="str">
        <f aca="false">HYPERLINK("https://lindat.mff.cuni.cz/services/teitok/pdtc10/index.php?action=vallex&amp;frame=v-w2495f1", "objet (v-w2495f1)")</f>
        <v>objet (v-w2495f1)</v>
      </c>
    </row>
    <row r="20171" customFormat="false" ht="12.8" hidden="false" customHeight="false" outlineLevel="0" collapsed="false">
      <c r="B20171" s="0" t="s">
        <v>7</v>
      </c>
    </row>
    <row r="20172" customFormat="false" ht="12.8" hidden="false" customHeight="false" outlineLevel="0" collapsed="false">
      <c r="B20172" s="0" t="s">
        <v>14</v>
      </c>
    </row>
    <row r="20174" customFormat="false" ht="12.8" hidden="false" customHeight="false" outlineLevel="0" collapsed="false">
      <c r="A20174" s="0" t="s">
        <v>7643</v>
      </c>
      <c r="B20174" s="0" t="str">
        <f aca="false">HYPERLINK("https://lindat.mff.cuni.cz/services/teitok/pdtc10/index.php?action=vallex&amp;frame=v-w2495f2", "objet (v-w2495f2)")</f>
        <v>objet (v-w2495f2)</v>
      </c>
    </row>
    <row r="20175" customFormat="false" ht="12.8" hidden="false" customHeight="false" outlineLevel="0" collapsed="false">
      <c r="B20175" s="0" t="s">
        <v>7</v>
      </c>
      <c r="F20175" s="0" t="s">
        <v>1261</v>
      </c>
    </row>
    <row r="20176" customFormat="false" ht="12.8" hidden="false" customHeight="false" outlineLevel="0" collapsed="false">
      <c r="B20176" s="0" t="s">
        <v>14</v>
      </c>
      <c r="F20176" s="0" t="s">
        <v>74</v>
      </c>
    </row>
    <row r="20178" customFormat="false" ht="12.8" hidden="false" customHeight="false" outlineLevel="0" collapsed="false">
      <c r="A20178" s="0" t="s">
        <v>7644</v>
      </c>
      <c r="B20178" s="0" t="str">
        <f aca="false">HYPERLINK("https://lindat.mff.cuni.cz/services/teitok/pdtc10/index.php?action=vallex&amp;frame=v-w2499f1", "objevit (v-w2499f1)")</f>
        <v>objevit (v-w2499f1)</v>
      </c>
    </row>
    <row r="20179" customFormat="false" ht="12.8" hidden="false" customHeight="false" outlineLevel="0" collapsed="false">
      <c r="B20179" s="0" t="s">
        <v>7</v>
      </c>
      <c r="C20179" s="0" t="s">
        <v>6635</v>
      </c>
      <c r="D20179" s="0" t="s">
        <v>6342</v>
      </c>
      <c r="E20179" s="0" t="s">
        <v>7645</v>
      </c>
      <c r="F20179" s="0" t="s">
        <v>7645</v>
      </c>
    </row>
    <row r="20180" customFormat="false" ht="12.8" hidden="false" customHeight="false" outlineLevel="0" collapsed="false">
      <c r="B20180" s="0" t="s">
        <v>172</v>
      </c>
      <c r="C20180" s="0" t="s">
        <v>7646</v>
      </c>
      <c r="D20180" s="0" t="s">
        <v>6344</v>
      </c>
      <c r="E20180" s="0" t="s">
        <v>7647</v>
      </c>
      <c r="F20180" s="0" t="s">
        <v>7647</v>
      </c>
    </row>
    <row r="20182" customFormat="false" ht="12.8" hidden="false" customHeight="false" outlineLevel="0" collapsed="false">
      <c r="A20182" s="0" t="s">
        <v>7648</v>
      </c>
      <c r="B20182" s="0" t="str">
        <f aca="false">HYPERLINK("https://lindat.mff.cuni.cz/services/teitok/pdtc10/index.php?action=vallex&amp;frame=v-w2500f1", "objevit se (v-w2500f1)")</f>
        <v>objevit se (v-w2500f1)</v>
      </c>
    </row>
    <row r="20183" customFormat="false" ht="12.8" hidden="false" customHeight="false" outlineLevel="0" collapsed="false">
      <c r="B20183" s="0" t="s">
        <v>7</v>
      </c>
      <c r="C20183" s="0" t="s">
        <v>7649</v>
      </c>
      <c r="D20183" s="0" t="s">
        <v>7650</v>
      </c>
      <c r="E20183" s="0" t="s">
        <v>7650</v>
      </c>
      <c r="F20183" s="0" t="s">
        <v>287</v>
      </c>
    </row>
    <row r="20184" customFormat="false" ht="12.8" hidden="false" customHeight="false" outlineLevel="0" collapsed="false">
      <c r="B20184" s="0" t="s">
        <v>11</v>
      </c>
      <c r="C20184" s="0" t="s">
        <v>7651</v>
      </c>
    </row>
    <row r="20186" customFormat="false" ht="12.8" hidden="false" customHeight="false" outlineLevel="0" collapsed="false">
      <c r="A20186" s="0" t="s">
        <v>7652</v>
      </c>
      <c r="B20186" s="0" t="str">
        <f aca="false">HYPERLINK("https://lindat.mff.cuni.cz/services/teitok/pdtc10/index.php?action=vallex&amp;frame=v-w2500f2", "objevit se (v-w2500f2)")</f>
        <v>objevit se (v-w2500f2)</v>
      </c>
    </row>
    <row r="20187" customFormat="false" ht="12.8" hidden="false" customHeight="false" outlineLevel="0" collapsed="false">
      <c r="B20187" s="0" t="s">
        <v>641</v>
      </c>
      <c r="C20187" s="0" t="s">
        <v>7653</v>
      </c>
      <c r="D20187" s="0" t="s">
        <v>7654</v>
      </c>
      <c r="E20187" s="0" t="s">
        <v>7655</v>
      </c>
      <c r="F20187" s="0" t="s">
        <v>7655</v>
      </c>
    </row>
    <row r="20189" customFormat="false" ht="12.8" hidden="false" customHeight="false" outlineLevel="0" collapsed="false">
      <c r="A20189" s="0" t="s">
        <v>7656</v>
      </c>
      <c r="B20189" s="0" t="str">
        <f aca="false">HYPERLINK("https://lindat.mff.cuni.cz/services/teitok/pdtc10/index.php?action=vallex&amp;frame=v-w2501f1", "objevovat (v-w2501f1)")</f>
        <v>objevovat (v-w2501f1)</v>
      </c>
    </row>
    <row r="20190" customFormat="false" ht="12.8" hidden="false" customHeight="false" outlineLevel="0" collapsed="false">
      <c r="B20190" s="0" t="s">
        <v>7</v>
      </c>
      <c r="C20190" s="0" t="s">
        <v>31</v>
      </c>
      <c r="D20190" s="0" t="s">
        <v>6342</v>
      </c>
      <c r="E20190" s="0" t="s">
        <v>6342</v>
      </c>
      <c r="F20190" s="0" t="s">
        <v>6342</v>
      </c>
    </row>
    <row r="20191" customFormat="false" ht="12.8" hidden="false" customHeight="false" outlineLevel="0" collapsed="false">
      <c r="B20191" s="0" t="s">
        <v>172</v>
      </c>
      <c r="C20191" s="0" t="s">
        <v>461</v>
      </c>
      <c r="D20191" s="0" t="s">
        <v>6344</v>
      </c>
      <c r="E20191" s="0" t="s">
        <v>6344</v>
      </c>
      <c r="F20191" s="0" t="s">
        <v>6344</v>
      </c>
    </row>
    <row r="20193" customFormat="false" ht="12.8" hidden="false" customHeight="false" outlineLevel="0" collapsed="false">
      <c r="A20193" s="0" t="s">
        <v>7657</v>
      </c>
      <c r="B20193" s="0" t="str">
        <f aca="false">HYPERLINK("https://lindat.mff.cuni.cz/services/teitok/pdtc10/index.php?action=vallex&amp;frame=v-w2502f2", "objevovat se (v-w2502f2)")</f>
        <v>objevovat se (v-w2502f2)</v>
      </c>
    </row>
    <row r="20194" customFormat="false" ht="12.8" hidden="false" customHeight="false" outlineLevel="0" collapsed="false">
      <c r="B20194" s="0" t="s">
        <v>7</v>
      </c>
      <c r="C20194" s="0" t="s">
        <v>7658</v>
      </c>
      <c r="D20194" s="0" t="s">
        <v>7650</v>
      </c>
      <c r="E20194" s="0" t="s">
        <v>7650</v>
      </c>
      <c r="F20194" s="0" t="s">
        <v>287</v>
      </c>
    </row>
    <row r="20195" customFormat="false" ht="12.8" hidden="false" customHeight="false" outlineLevel="0" collapsed="false">
      <c r="B20195" s="0" t="s">
        <v>11</v>
      </c>
      <c r="C20195" s="0" t="s">
        <v>7659</v>
      </c>
    </row>
    <row r="20197" customFormat="false" ht="12.8" hidden="false" customHeight="false" outlineLevel="0" collapsed="false">
      <c r="A20197" s="0" t="s">
        <v>7660</v>
      </c>
      <c r="B20197" s="0" t="str">
        <f aca="false">HYPERLINK("https://lindat.mff.cuni.cz/services/teitok/pdtc10/index.php?action=vallex&amp;frame=v-w2502f1", "objevovat se (v-w2502f1)")</f>
        <v>objevovat se (v-w2502f1)</v>
      </c>
    </row>
    <row r="20198" customFormat="false" ht="12.8" hidden="false" customHeight="false" outlineLevel="0" collapsed="false">
      <c r="B20198" s="0" t="s">
        <v>7</v>
      </c>
      <c r="C20198" s="0" t="s">
        <v>7661</v>
      </c>
      <c r="D20198" s="0" t="s">
        <v>288</v>
      </c>
      <c r="E20198" s="0" t="s">
        <v>1899</v>
      </c>
      <c r="F20198" s="0" t="s">
        <v>1899</v>
      </c>
    </row>
    <row r="20200" customFormat="false" ht="12.8" hidden="false" customHeight="false" outlineLevel="0" collapsed="false">
      <c r="A20200" s="0" t="s">
        <v>7662</v>
      </c>
      <c r="B20200" s="0" t="str">
        <f aca="false">HYPERLINK("https://lindat.mff.cuni.cz/services/teitok/pdtc10/index.php?action=vallex&amp;frame=v-whsa_1320hsa_1321", "objímat (v-whsa_1320hsa_1321)")</f>
        <v>objímat (v-whsa_1320hsa_1321)</v>
      </c>
    </row>
    <row r="20201" customFormat="false" ht="12.8" hidden="false" customHeight="false" outlineLevel="0" collapsed="false">
      <c r="B20201" s="0" t="s">
        <v>7</v>
      </c>
    </row>
    <row r="20202" customFormat="false" ht="12.8" hidden="false" customHeight="false" outlineLevel="0" collapsed="false">
      <c r="B20202" s="0" t="s">
        <v>14</v>
      </c>
    </row>
    <row r="20204" customFormat="false" ht="12.8" hidden="false" customHeight="false" outlineLevel="0" collapsed="false">
      <c r="A20204" s="0" t="s">
        <v>7663</v>
      </c>
      <c r="B20204" s="0" t="str">
        <f aca="false">HYPERLINK("https://lindat.mff.cuni.cz/services/teitok/pdtc10/index.php?action=vallex&amp;frame=v-w2503f1", "objíždět (v-w2503f1)")</f>
        <v>objíždět (v-w2503f1)</v>
      </c>
    </row>
    <row r="20205" customFormat="false" ht="12.8" hidden="false" customHeight="false" outlineLevel="0" collapsed="false">
      <c r="B20205" s="0" t="s">
        <v>7</v>
      </c>
    </row>
    <row r="20206" customFormat="false" ht="12.8" hidden="false" customHeight="false" outlineLevel="0" collapsed="false">
      <c r="B20206" s="0" t="s">
        <v>14</v>
      </c>
    </row>
    <row r="20208" customFormat="false" ht="12.8" hidden="false" customHeight="false" outlineLevel="0" collapsed="false">
      <c r="A20208" s="0" t="s">
        <v>7664</v>
      </c>
      <c r="B20208" s="0" t="str">
        <f aca="false">HYPERLINK("https://lindat.mff.cuni.cz/services/teitok/pdtc10/index.php?action=vallex&amp;frame=v-w11527_ZUf1_ZU", "obkličovat (v-w11527_ZUf1_ZU)")</f>
        <v>obkličovat (v-w11527_ZUf1_ZU)</v>
      </c>
    </row>
    <row r="20209" customFormat="false" ht="12.8" hidden="false" customHeight="false" outlineLevel="0" collapsed="false">
      <c r="B20209" s="0" t="s">
        <v>7</v>
      </c>
      <c r="C20209" s="0" t="s">
        <v>200</v>
      </c>
      <c r="D20209" s="0" t="s">
        <v>7665</v>
      </c>
      <c r="E20209" s="0" t="s">
        <v>7665</v>
      </c>
      <c r="F20209" s="0" t="s">
        <v>7665</v>
      </c>
    </row>
    <row r="20210" customFormat="false" ht="12.8" hidden="false" customHeight="false" outlineLevel="0" collapsed="false">
      <c r="B20210" s="0" t="s">
        <v>14</v>
      </c>
      <c r="C20210" s="0" t="s">
        <v>400</v>
      </c>
      <c r="D20210" s="0" t="s">
        <v>7666</v>
      </c>
      <c r="E20210" s="0" t="s">
        <v>7666</v>
      </c>
      <c r="F20210" s="0" t="s">
        <v>7666</v>
      </c>
    </row>
    <row r="20212" customFormat="false" ht="12.8" hidden="false" customHeight="false" outlineLevel="0" collapsed="false">
      <c r="A20212" s="0" t="s">
        <v>7667</v>
      </c>
      <c r="B20212" s="0" t="str">
        <f aca="false">HYPERLINK("https://lindat.mff.cuni.cz/services/teitok/pdtc10/index.php?action=vallex&amp;frame=v-w2508f1", "obklopit (v-w2508f1)")</f>
        <v>obklopit (v-w2508f1)</v>
      </c>
    </row>
    <row r="20213" customFormat="false" ht="12.8" hidden="false" customHeight="false" outlineLevel="0" collapsed="false">
      <c r="B20213" s="0" t="s">
        <v>7</v>
      </c>
      <c r="C20213" s="0" t="s">
        <v>7668</v>
      </c>
      <c r="D20213" s="0" t="s">
        <v>7593</v>
      </c>
      <c r="E20213" s="0" t="s">
        <v>7593</v>
      </c>
      <c r="F20213" s="0" t="s">
        <v>7594</v>
      </c>
    </row>
    <row r="20214" customFormat="false" ht="12.8" hidden="false" customHeight="false" outlineLevel="0" collapsed="false">
      <c r="B20214" s="0" t="s">
        <v>14</v>
      </c>
      <c r="C20214" s="0" t="s">
        <v>7669</v>
      </c>
      <c r="D20214" s="0" t="s">
        <v>7595</v>
      </c>
      <c r="E20214" s="0" t="s">
        <v>7595</v>
      </c>
      <c r="F20214" s="0" t="s">
        <v>7596</v>
      </c>
    </row>
    <row r="20216" customFormat="false" ht="12.8" hidden="false" customHeight="false" outlineLevel="0" collapsed="false">
      <c r="A20216" s="0" t="s">
        <v>7670</v>
      </c>
      <c r="B20216" s="0" t="str">
        <f aca="false">HYPERLINK("https://lindat.mff.cuni.cz/services/teitok/pdtc10/index.php?action=vallex&amp;frame=v-w2509f1", "obklopovat (v-w2509f1)")</f>
        <v>obklopovat (v-w2509f1)</v>
      </c>
    </row>
    <row r="20217" customFormat="false" ht="12.8" hidden="false" customHeight="false" outlineLevel="0" collapsed="false">
      <c r="B20217" s="0" t="s">
        <v>7</v>
      </c>
      <c r="C20217" s="0" t="s">
        <v>7671</v>
      </c>
      <c r="D20217" s="0" t="s">
        <v>7593</v>
      </c>
      <c r="E20217" s="0" t="s">
        <v>7593</v>
      </c>
      <c r="F20217" s="0" t="s">
        <v>7594</v>
      </c>
    </row>
    <row r="20218" customFormat="false" ht="12.8" hidden="false" customHeight="false" outlineLevel="0" collapsed="false">
      <c r="B20218" s="0" t="s">
        <v>14</v>
      </c>
      <c r="C20218" s="0" t="s">
        <v>3386</v>
      </c>
      <c r="D20218" s="0" t="s">
        <v>7595</v>
      </c>
      <c r="E20218" s="0" t="s">
        <v>7595</v>
      </c>
      <c r="F20218" s="0" t="s">
        <v>7596</v>
      </c>
    </row>
    <row r="20220" customFormat="false" ht="12.8" hidden="false" customHeight="false" outlineLevel="0" collapsed="false">
      <c r="A20220" s="0" t="s">
        <v>7672</v>
      </c>
      <c r="B20220" s="0" t="str">
        <f aca="false">HYPERLINK("https://lindat.mff.cuni.cz/services/teitok/pdtc10/index.php?action=vallex&amp;frame=v-w2506f1", "obklíčit (v-w2506f1)")</f>
        <v>obklíčit (v-w2506f1)</v>
      </c>
    </row>
    <row r="20221" customFormat="false" ht="12.8" hidden="false" customHeight="false" outlineLevel="0" collapsed="false">
      <c r="B20221" s="0" t="s">
        <v>7</v>
      </c>
    </row>
    <row r="20222" customFormat="false" ht="12.8" hidden="false" customHeight="false" outlineLevel="0" collapsed="false">
      <c r="B20222" s="0" t="s">
        <v>14</v>
      </c>
    </row>
    <row r="20224" customFormat="false" ht="12.8" hidden="false" customHeight="false" outlineLevel="0" collapsed="false">
      <c r="A20224" s="0" t="s">
        <v>7673</v>
      </c>
      <c r="B20224" s="0" t="str">
        <f aca="false">HYPERLINK("https://lindat.mff.cuni.cz/services/teitok/pdtc10/index.php?action=vallex&amp;frame=v-whsa_202hsa_203", "oblafnout (v-whsa_202hsa_203)")</f>
        <v>oblafnout (v-whsa_202hsa_203)</v>
      </c>
    </row>
    <row r="20225" customFormat="false" ht="12.8" hidden="false" customHeight="false" outlineLevel="0" collapsed="false">
      <c r="B20225" s="0" t="s">
        <v>7</v>
      </c>
      <c r="C20225" s="0" t="s">
        <v>191</v>
      </c>
      <c r="D20225" s="0" t="s">
        <v>191</v>
      </c>
      <c r="E20225" s="0" t="s">
        <v>46</v>
      </c>
      <c r="F20225" s="0" t="s">
        <v>46</v>
      </c>
    </row>
    <row r="20226" customFormat="false" ht="12.8" hidden="false" customHeight="false" outlineLevel="0" collapsed="false">
      <c r="B20226" s="0" t="s">
        <v>14</v>
      </c>
      <c r="C20226" s="0" t="s">
        <v>155</v>
      </c>
      <c r="D20226" s="0" t="s">
        <v>1588</v>
      </c>
      <c r="E20226" s="0" t="s">
        <v>1588</v>
      </c>
      <c r="F20226" s="0" t="s">
        <v>1588</v>
      </c>
    </row>
    <row r="20228" customFormat="false" ht="12.8" hidden="false" customHeight="false" outlineLevel="0" collapsed="false">
      <c r="A20228" s="0" t="s">
        <v>7674</v>
      </c>
      <c r="B20228" s="0" t="str">
        <f aca="false">HYPERLINK("https://lindat.mff.cuni.cz/services/teitok/pdtc10/index.php?action=vallex&amp;frame=v-w2511f1", "oblažovat (v-w2511f1)")</f>
        <v>oblažovat (v-w2511f1)</v>
      </c>
    </row>
    <row r="20229" customFormat="false" ht="12.8" hidden="false" customHeight="false" outlineLevel="0" collapsed="false">
      <c r="B20229" s="0" t="s">
        <v>7</v>
      </c>
    </row>
    <row r="20230" customFormat="false" ht="12.8" hidden="false" customHeight="false" outlineLevel="0" collapsed="false">
      <c r="B20230" s="0" t="s">
        <v>14</v>
      </c>
    </row>
    <row r="20232" customFormat="false" ht="12.8" hidden="false" customHeight="false" outlineLevel="0" collapsed="false">
      <c r="A20232" s="0" t="s">
        <v>7675</v>
      </c>
      <c r="B20232" s="0" t="str">
        <f aca="false">HYPERLINK("https://lindat.mff.cuni.cz/services/teitok/pdtc10/index.php?action=vallex&amp;frame=v-w12014_ZUf1_ZU", "oblbnout (v-w12014_ZUf1_ZU)")</f>
        <v>oblbnout (v-w12014_ZUf1_ZU)</v>
      </c>
    </row>
    <row r="20233" customFormat="false" ht="12.8" hidden="false" customHeight="false" outlineLevel="0" collapsed="false">
      <c r="B20233" s="0" t="s">
        <v>7</v>
      </c>
    </row>
    <row r="20234" customFormat="false" ht="12.8" hidden="false" customHeight="false" outlineLevel="0" collapsed="false">
      <c r="B20234" s="0" t="s">
        <v>14</v>
      </c>
    </row>
    <row r="20236" customFormat="false" ht="12.8" hidden="false" customHeight="false" outlineLevel="0" collapsed="false">
      <c r="A20236" s="0" t="s">
        <v>7676</v>
      </c>
      <c r="B20236" s="0" t="str">
        <f aca="false">HYPERLINK("https://lindat.mff.cuni.cz/services/teitok/pdtc10/index.php?action=vallex&amp;frame=v-w2519f1", "obletět (v-w2519f1)")</f>
        <v>obletět (v-w2519f1)</v>
      </c>
    </row>
    <row r="20237" customFormat="false" ht="12.8" hidden="false" customHeight="false" outlineLevel="0" collapsed="false">
      <c r="B20237" s="0" t="s">
        <v>7</v>
      </c>
    </row>
    <row r="20238" customFormat="false" ht="12.8" hidden="false" customHeight="false" outlineLevel="0" collapsed="false">
      <c r="B20238" s="0" t="s">
        <v>14</v>
      </c>
    </row>
    <row r="20240" customFormat="false" ht="12.8" hidden="false" customHeight="false" outlineLevel="0" collapsed="false">
      <c r="A20240" s="0" t="s">
        <v>7677</v>
      </c>
      <c r="B20240" s="0" t="str">
        <f aca="false">HYPERLINK("https://lindat.mff.cuni.cz/services/teitok/pdtc10/index.php?action=vallex&amp;frame=v-w10178f2", "obložit (v-w10178f2)")</f>
        <v>obložit (v-w10178f2)</v>
      </c>
    </row>
    <row r="20241" customFormat="false" ht="12.8" hidden="false" customHeight="false" outlineLevel="0" collapsed="false">
      <c r="B20241" s="0" t="s">
        <v>7</v>
      </c>
      <c r="D20241" s="0" t="s">
        <v>7565</v>
      </c>
      <c r="E20241" s="0" t="s">
        <v>7565</v>
      </c>
      <c r="F20241" s="0" t="s">
        <v>7565</v>
      </c>
    </row>
    <row r="20242" customFormat="false" ht="12.8" hidden="false" customHeight="false" outlineLevel="0" collapsed="false">
      <c r="B20242" s="0" t="s">
        <v>14</v>
      </c>
      <c r="C20242" s="0" t="s">
        <v>33</v>
      </c>
      <c r="D20242" s="0" t="s">
        <v>487</v>
      </c>
      <c r="E20242" s="0" t="s">
        <v>487</v>
      </c>
      <c r="F20242" s="0" t="s">
        <v>487</v>
      </c>
    </row>
    <row r="20244" customFormat="false" ht="12.8" hidden="false" customHeight="false" outlineLevel="0" collapsed="false">
      <c r="A20244" s="0" t="s">
        <v>7678</v>
      </c>
      <c r="B20244" s="0" t="str">
        <f aca="false">HYPERLINK("https://lindat.mff.cuni.cz/services/teitok/pdtc10/index.php?action=vallex&amp;frame=v-w2512f1", "obléci (v-w2512f1)")</f>
        <v>obléci (v-w2512f1)</v>
      </c>
    </row>
    <row r="20245" customFormat="false" ht="12.8" hidden="false" customHeight="false" outlineLevel="0" collapsed="false">
      <c r="B20245" s="0" t="s">
        <v>7</v>
      </c>
    </row>
    <row r="20246" customFormat="false" ht="12.8" hidden="false" customHeight="false" outlineLevel="0" collapsed="false">
      <c r="B20246" s="0" t="s">
        <v>14</v>
      </c>
    </row>
    <row r="20247" customFormat="false" ht="12.8" hidden="false" customHeight="false" outlineLevel="0" collapsed="false">
      <c r="B20247" s="0" t="s">
        <v>106</v>
      </c>
    </row>
    <row r="20249" customFormat="false" ht="12.8" hidden="false" customHeight="false" outlineLevel="0" collapsed="false">
      <c r="A20249" s="0" t="s">
        <v>7679</v>
      </c>
      <c r="B20249" s="0" t="str">
        <f aca="false">HYPERLINK("https://lindat.mff.cuni.cz/services/teitok/pdtc10/index.php?action=vallex&amp;frame=v-w2512f2_ZU", "obléci (v-w2512f2_ZU)")</f>
        <v>obléci (v-w2512f2_ZU)</v>
      </c>
    </row>
    <row r="20250" customFormat="false" ht="12.8" hidden="false" customHeight="false" outlineLevel="0" collapsed="false">
      <c r="B20250" s="0" t="s">
        <v>7</v>
      </c>
    </row>
    <row r="20251" customFormat="false" ht="12.8" hidden="false" customHeight="false" outlineLevel="0" collapsed="false">
      <c r="B20251" s="0" t="s">
        <v>14</v>
      </c>
    </row>
    <row r="20252" customFormat="false" ht="12.8" hidden="false" customHeight="false" outlineLevel="0" collapsed="false">
      <c r="B20252" s="0" t="s">
        <v>181</v>
      </c>
    </row>
    <row r="20254" customFormat="false" ht="12.8" hidden="false" customHeight="false" outlineLevel="0" collapsed="false">
      <c r="A20254" s="0" t="s">
        <v>7680</v>
      </c>
      <c r="B20254" s="0" t="str">
        <f aca="false">HYPERLINK("https://lindat.mff.cuni.cz/services/teitok/pdtc10/index.php?action=vallex&amp;frame=v-w2515f1", "obléhat (v-w2515f1)")</f>
        <v>obléhat (v-w2515f1)</v>
      </c>
    </row>
    <row r="20255" customFormat="false" ht="12.8" hidden="false" customHeight="false" outlineLevel="0" collapsed="false">
      <c r="B20255" s="0" t="s">
        <v>7</v>
      </c>
      <c r="C20255" s="0" t="s">
        <v>184</v>
      </c>
      <c r="D20255" s="0" t="s">
        <v>184</v>
      </c>
      <c r="E20255" s="0" t="s">
        <v>7681</v>
      </c>
      <c r="F20255" s="0" t="s">
        <v>7681</v>
      </c>
    </row>
    <row r="20256" customFormat="false" ht="12.8" hidden="false" customHeight="false" outlineLevel="0" collapsed="false">
      <c r="B20256" s="0" t="s">
        <v>14</v>
      </c>
      <c r="C20256" s="0" t="s">
        <v>567</v>
      </c>
      <c r="D20256" s="0" t="s">
        <v>567</v>
      </c>
      <c r="E20256" s="0" t="s">
        <v>7682</v>
      </c>
      <c r="F20256" s="0" t="s">
        <v>7682</v>
      </c>
    </row>
    <row r="20258" customFormat="false" ht="12.8" hidden="false" customHeight="false" outlineLevel="0" collapsed="false">
      <c r="A20258" s="0" t="s">
        <v>7683</v>
      </c>
      <c r="B20258" s="0" t="str">
        <f aca="false">HYPERLINK("https://lindat.mff.cuni.cz/services/teitok/pdtc10/index.php?action=vallex&amp;frame=v-w2516f2", "oblékat (v-w2516f2)")</f>
        <v>oblékat (v-w2516f2)</v>
      </c>
    </row>
    <row r="20259" customFormat="false" ht="12.8" hidden="false" customHeight="false" outlineLevel="0" collapsed="false">
      <c r="B20259" s="0" t="s">
        <v>7</v>
      </c>
      <c r="C20259" s="0" t="s">
        <v>3664</v>
      </c>
      <c r="D20259" s="0" t="s">
        <v>184</v>
      </c>
      <c r="E20259" s="0" t="s">
        <v>184</v>
      </c>
      <c r="F20259" s="0" t="s">
        <v>184</v>
      </c>
    </row>
    <row r="20260" customFormat="false" ht="12.8" hidden="false" customHeight="false" outlineLevel="0" collapsed="false">
      <c r="B20260" s="0" t="s">
        <v>14</v>
      </c>
      <c r="C20260" s="0" t="s">
        <v>1277</v>
      </c>
      <c r="D20260" s="0" t="s">
        <v>115</v>
      </c>
      <c r="E20260" s="0" t="s">
        <v>115</v>
      </c>
      <c r="F20260" s="0" t="s">
        <v>115</v>
      </c>
    </row>
    <row r="20261" customFormat="false" ht="12.8" hidden="false" customHeight="false" outlineLevel="0" collapsed="false">
      <c r="B20261" s="0" t="s">
        <v>106</v>
      </c>
    </row>
    <row r="20263" customFormat="false" ht="12.8" hidden="false" customHeight="false" outlineLevel="0" collapsed="false">
      <c r="A20263" s="0" t="s">
        <v>7684</v>
      </c>
      <c r="B20263" s="0" t="str">
        <f aca="false">HYPERLINK("https://lindat.mff.cuni.cz/services/teitok/pdtc10/index.php?action=vallex&amp;frame=v-w2516f3_ZU", "oblékat (v-w2516f3_ZU)")</f>
        <v>oblékat (v-w2516f3_ZU)</v>
      </c>
    </row>
    <row r="20264" customFormat="false" ht="12.8" hidden="false" customHeight="false" outlineLevel="0" collapsed="false">
      <c r="B20264" s="0" t="s">
        <v>7</v>
      </c>
    </row>
    <row r="20265" customFormat="false" ht="12.8" hidden="false" customHeight="false" outlineLevel="0" collapsed="false">
      <c r="B20265" s="0" t="s">
        <v>14</v>
      </c>
    </row>
    <row r="20266" customFormat="false" ht="12.8" hidden="false" customHeight="false" outlineLevel="0" collapsed="false">
      <c r="B20266" s="0" t="s">
        <v>181</v>
      </c>
    </row>
    <row r="20268" customFormat="false" ht="12.8" hidden="false" customHeight="false" outlineLevel="0" collapsed="false">
      <c r="A20268" s="0" t="s">
        <v>7684</v>
      </c>
      <c r="B20268" s="0" t="str">
        <f aca="false">HYPERLINK("https://lindat.mff.cuni.cz/services/teitok/pdtc10/index.php?action=vallex&amp;frame=v-w2516f1", "oblékat (v-w2516f1) - substituted with v-w2516f3_ZU")</f>
        <v>oblékat (v-w2516f1) - substituted with v-w2516f3_ZU</v>
      </c>
    </row>
    <row r="20269" customFormat="false" ht="12.8" hidden="false" customHeight="false" outlineLevel="0" collapsed="false">
      <c r="B20269" s="0" t="s">
        <v>7</v>
      </c>
    </row>
    <row r="20270" customFormat="false" ht="12.8" hidden="false" customHeight="false" outlineLevel="0" collapsed="false">
      <c r="B20270" s="0" t="s">
        <v>14</v>
      </c>
    </row>
    <row r="20271" customFormat="false" ht="12.8" hidden="false" customHeight="false" outlineLevel="0" collapsed="false">
      <c r="B20271" s="0" t="s">
        <v>181</v>
      </c>
    </row>
    <row r="20273" customFormat="false" ht="12.8" hidden="false" customHeight="false" outlineLevel="0" collapsed="false">
      <c r="A20273" s="0" t="s">
        <v>7685</v>
      </c>
      <c r="B20273" s="0" t="str">
        <f aca="false">HYPERLINK("https://lindat.mff.cuni.cz/services/teitok/pdtc10/index.php?action=vallex&amp;frame=v-w2517f1", "oblékat se (v-w2517f1)")</f>
        <v>oblékat se (v-w2517f1)</v>
      </c>
    </row>
    <row r="20274" customFormat="false" ht="12.8" hidden="false" customHeight="false" outlineLevel="0" collapsed="false">
      <c r="B20274" s="0" t="s">
        <v>7</v>
      </c>
      <c r="C20274" s="0" t="s">
        <v>184</v>
      </c>
      <c r="D20274" s="0" t="s">
        <v>184</v>
      </c>
      <c r="E20274" s="0" t="s">
        <v>184</v>
      </c>
      <c r="F20274" s="0" t="s">
        <v>184</v>
      </c>
    </row>
    <row r="20276" customFormat="false" ht="12.8" hidden="false" customHeight="false" outlineLevel="0" collapsed="false">
      <c r="A20276" s="0" t="s">
        <v>7686</v>
      </c>
      <c r="B20276" s="0" t="str">
        <f aca="false">HYPERLINK("https://lindat.mff.cuni.cz/services/teitok/pdtc10/index.php?action=vallex&amp;frame=v-w2517hsa_1273", "oblékat se (v-w2517hsa_1273)")</f>
        <v>oblékat se (v-w2517hsa_1273)</v>
      </c>
    </row>
    <row r="20277" customFormat="false" ht="12.8" hidden="false" customHeight="false" outlineLevel="0" collapsed="false">
      <c r="B20277" s="0" t="s">
        <v>7</v>
      </c>
    </row>
    <row r="20278" customFormat="false" ht="12.8" hidden="false" customHeight="false" outlineLevel="0" collapsed="false">
      <c r="B20278" s="0" t="s">
        <v>3745</v>
      </c>
    </row>
    <row r="20280" customFormat="false" ht="12.8" hidden="false" customHeight="false" outlineLevel="0" collapsed="false">
      <c r="A20280" s="0" t="s">
        <v>7687</v>
      </c>
      <c r="B20280" s="0" t="str">
        <f aca="false">HYPERLINK("https://lindat.mff.cuni.cz/services/teitok/pdtc10/index.php?action=vallex&amp;frame=v-w2518f1", "obléknout (v-w2518f1)")</f>
        <v>obléknout (v-w2518f1)</v>
      </c>
    </row>
    <row r="20281" customFormat="false" ht="12.8" hidden="false" customHeight="false" outlineLevel="0" collapsed="false">
      <c r="B20281" s="0" t="s">
        <v>7</v>
      </c>
    </row>
    <row r="20282" customFormat="false" ht="12.8" hidden="false" customHeight="false" outlineLevel="0" collapsed="false">
      <c r="B20282" s="0" t="s">
        <v>14</v>
      </c>
    </row>
    <row r="20283" customFormat="false" ht="12.8" hidden="false" customHeight="false" outlineLevel="0" collapsed="false">
      <c r="B20283" s="0" t="s">
        <v>106</v>
      </c>
    </row>
    <row r="20285" customFormat="false" ht="12.8" hidden="false" customHeight="false" outlineLevel="0" collapsed="false">
      <c r="A20285" s="0" t="s">
        <v>7688</v>
      </c>
      <c r="B20285" s="0" t="str">
        <f aca="false">HYPERLINK("https://lindat.mff.cuni.cz/services/teitok/pdtc10/index.php?action=vallex&amp;frame=v-w2518f2", "obléknout (v-w2518f2)")</f>
        <v>obléknout (v-w2518f2)</v>
      </c>
    </row>
    <row r="20286" customFormat="false" ht="12.8" hidden="false" customHeight="false" outlineLevel="0" collapsed="false">
      <c r="B20286" s="0" t="s">
        <v>7</v>
      </c>
      <c r="C20286" s="0" t="s">
        <v>184</v>
      </c>
    </row>
    <row r="20287" customFormat="false" ht="12.8" hidden="false" customHeight="false" outlineLevel="0" collapsed="false">
      <c r="B20287" s="0" t="s">
        <v>14</v>
      </c>
      <c r="C20287" s="0" t="s">
        <v>115</v>
      </c>
    </row>
    <row r="20289" customFormat="false" ht="12.8" hidden="false" customHeight="false" outlineLevel="0" collapsed="false">
      <c r="A20289" s="0" t="s">
        <v>7689</v>
      </c>
      <c r="B20289" s="0" t="str">
        <f aca="false">HYPERLINK("https://lindat.mff.cuni.cz/services/teitok/pdtc10/index.php?action=vallex&amp;frame=v-w12053_ZUf1_ZU", "oblézt (v-w12053_ZUf1_ZU)")</f>
        <v>oblézt (v-w12053_ZUf1_ZU)</v>
      </c>
    </row>
    <row r="20290" customFormat="false" ht="12.8" hidden="false" customHeight="false" outlineLevel="0" collapsed="false">
      <c r="B20290" s="0" t="s">
        <v>7</v>
      </c>
    </row>
    <row r="20291" customFormat="false" ht="12.8" hidden="false" customHeight="false" outlineLevel="0" collapsed="false">
      <c r="B20291" s="0" t="s">
        <v>14</v>
      </c>
    </row>
    <row r="20293" customFormat="false" ht="12.8" hidden="false" customHeight="false" outlineLevel="0" collapsed="false">
      <c r="A20293" s="0" t="s">
        <v>7690</v>
      </c>
      <c r="B20293" s="0" t="str">
        <f aca="false">HYPERLINK("https://lindat.mff.cuni.cz/services/teitok/pdtc10/index.php?action=vallex&amp;frame=v-w2521f1", "oblíbit si (v-w2521f1)")</f>
        <v>oblíbit si (v-w2521f1)</v>
      </c>
    </row>
    <row r="20294" customFormat="false" ht="12.8" hidden="false" customHeight="false" outlineLevel="0" collapsed="false">
      <c r="B20294" s="0" t="s">
        <v>7</v>
      </c>
      <c r="C20294" s="0" t="s">
        <v>1263</v>
      </c>
      <c r="D20294" s="0" t="s">
        <v>2199</v>
      </c>
      <c r="E20294" s="0" t="s">
        <v>2199</v>
      </c>
      <c r="F20294" s="0" t="s">
        <v>2199</v>
      </c>
    </row>
    <row r="20295" customFormat="false" ht="12.8" hidden="false" customHeight="false" outlineLevel="0" collapsed="false">
      <c r="B20295" s="0" t="s">
        <v>14</v>
      </c>
      <c r="C20295" s="0" t="s">
        <v>625</v>
      </c>
      <c r="D20295" s="0" t="s">
        <v>2201</v>
      </c>
      <c r="E20295" s="0" t="s">
        <v>2201</v>
      </c>
      <c r="F20295" s="0" t="s">
        <v>2201</v>
      </c>
    </row>
    <row r="20297" customFormat="false" ht="12.8" hidden="false" customHeight="false" outlineLevel="0" collapsed="false">
      <c r="A20297" s="0" t="s">
        <v>7691</v>
      </c>
      <c r="B20297" s="0" t="str">
        <f aca="false">HYPERLINK("https://lindat.mff.cuni.cz/services/teitok/pdtc10/index.php?action=vallex&amp;frame=v-w11875_ZUf1_ZU", "oblíkat (v-w11875_ZUf1_ZU)")</f>
        <v>oblíkat (v-w11875_ZUf1_ZU)</v>
      </c>
    </row>
    <row r="20298" customFormat="false" ht="12.8" hidden="false" customHeight="false" outlineLevel="0" collapsed="false">
      <c r="B20298" s="0" t="s">
        <v>7</v>
      </c>
    </row>
    <row r="20299" customFormat="false" ht="12.8" hidden="false" customHeight="false" outlineLevel="0" collapsed="false">
      <c r="B20299" s="0" t="s">
        <v>14</v>
      </c>
    </row>
    <row r="20300" customFormat="false" ht="12.8" hidden="false" customHeight="false" outlineLevel="0" collapsed="false">
      <c r="B20300" s="0" t="s">
        <v>181</v>
      </c>
    </row>
    <row r="20302" customFormat="false" ht="12.8" hidden="false" customHeight="false" outlineLevel="0" collapsed="false">
      <c r="A20302" s="0" t="s">
        <v>7692</v>
      </c>
      <c r="B20302" s="0" t="str">
        <f aca="false">HYPERLINK("https://lindat.mff.cuni.cz/services/teitok/pdtc10/index.php?action=vallex&amp;frame=v-whsa_1146hsa_1147", "oblíknout (v-whsa_1146hsa_1147)")</f>
        <v>oblíknout (v-whsa_1146hsa_1147)</v>
      </c>
    </row>
    <row r="20303" customFormat="false" ht="12.8" hidden="false" customHeight="false" outlineLevel="0" collapsed="false">
      <c r="B20303" s="0" t="s">
        <v>7</v>
      </c>
    </row>
    <row r="20304" customFormat="false" ht="12.8" hidden="false" customHeight="false" outlineLevel="0" collapsed="false">
      <c r="B20304" s="0" t="s">
        <v>14</v>
      </c>
    </row>
    <row r="20305" customFormat="false" ht="12.8" hidden="false" customHeight="false" outlineLevel="0" collapsed="false">
      <c r="B20305" s="0" t="s">
        <v>181</v>
      </c>
    </row>
    <row r="20307" customFormat="false" ht="12.8" hidden="false" customHeight="false" outlineLevel="0" collapsed="false">
      <c r="A20307" s="0" t="s">
        <v>7693</v>
      </c>
      <c r="B20307" s="0" t="str">
        <f aca="false">HYPERLINK("https://lindat.mff.cuni.cz/services/teitok/pdtc10/index.php?action=vallex&amp;frame=v-w2524f1", "obmyslet (v-w2524f1)")</f>
        <v>obmyslet (v-w2524f1)</v>
      </c>
    </row>
    <row r="20308" customFormat="false" ht="12.8" hidden="false" customHeight="false" outlineLevel="0" collapsed="false">
      <c r="B20308" s="0" t="s">
        <v>7</v>
      </c>
    </row>
    <row r="20309" customFormat="false" ht="12.8" hidden="false" customHeight="false" outlineLevel="0" collapsed="false">
      <c r="B20309" s="0" t="s">
        <v>14</v>
      </c>
    </row>
    <row r="20311" customFormat="false" ht="12.8" hidden="false" customHeight="false" outlineLevel="0" collapsed="false">
      <c r="A20311" s="0" t="s">
        <v>7694</v>
      </c>
      <c r="B20311" s="0" t="str">
        <f aca="false">HYPERLINK("https://lindat.mff.cuni.cz/services/teitok/pdtc10/index.php?action=vallex&amp;frame=v-w11100f2", "obměkčit (v-w11100f2)")</f>
        <v>obměkčit (v-w11100f2)</v>
      </c>
    </row>
    <row r="20312" customFormat="false" ht="12.8" hidden="false" customHeight="false" outlineLevel="0" collapsed="false">
      <c r="B20312" s="0" t="s">
        <v>7</v>
      </c>
    </row>
    <row r="20313" customFormat="false" ht="12.8" hidden="false" customHeight="false" outlineLevel="0" collapsed="false">
      <c r="B20313" s="0" t="s">
        <v>14</v>
      </c>
    </row>
    <row r="20315" customFormat="false" ht="12.8" hidden="false" customHeight="false" outlineLevel="0" collapsed="false">
      <c r="A20315" s="0" t="s">
        <v>7695</v>
      </c>
      <c r="B20315" s="0" t="str">
        <f aca="false">HYPERLINK("https://lindat.mff.cuni.cz/services/teitok/pdtc10/index.php?action=vallex&amp;frame=v-w10636f3_ZU", "obměňovat (v-w10636f3_ZU)")</f>
        <v>obměňovat (v-w10636f3_ZU)</v>
      </c>
    </row>
    <row r="20316" customFormat="false" ht="12.8" hidden="false" customHeight="false" outlineLevel="0" collapsed="false">
      <c r="B20316" s="0" t="s">
        <v>7</v>
      </c>
    </row>
    <row r="20317" customFormat="false" ht="12.8" hidden="false" customHeight="false" outlineLevel="0" collapsed="false">
      <c r="B20317" s="0" t="s">
        <v>14</v>
      </c>
    </row>
    <row r="20319" customFormat="false" ht="12.8" hidden="false" customHeight="false" outlineLevel="0" collapsed="false">
      <c r="A20319" s="0" t="s">
        <v>7695</v>
      </c>
      <c r="B20319" s="0" t="str">
        <f aca="false">HYPERLINK("https://lindat.mff.cuni.cz/services/teitok/pdtc10/index.php?action=vallex&amp;frame=v-w10636f2", "obměňovat (v-w10636f2) - substituted with v-w10636f3_ZU")</f>
        <v>obměňovat (v-w10636f2) - substituted with v-w10636f3_ZU</v>
      </c>
    </row>
    <row r="20320" customFormat="false" ht="12.8" hidden="false" customHeight="false" outlineLevel="0" collapsed="false">
      <c r="B20320" s="0" t="s">
        <v>7</v>
      </c>
      <c r="C20320" s="0" t="s">
        <v>5848</v>
      </c>
      <c r="D20320" s="0" t="s">
        <v>6200</v>
      </c>
      <c r="E20320" s="0" t="s">
        <v>6200</v>
      </c>
      <c r="F20320" s="0" t="s">
        <v>6200</v>
      </c>
    </row>
    <row r="20321" customFormat="false" ht="12.8" hidden="false" customHeight="false" outlineLevel="0" collapsed="false">
      <c r="B20321" s="0" t="s">
        <v>14</v>
      </c>
      <c r="C20321" s="0" t="s">
        <v>7682</v>
      </c>
      <c r="D20321" s="0" t="s">
        <v>7696</v>
      </c>
      <c r="E20321" s="0" t="s">
        <v>7696</v>
      </c>
      <c r="F20321" s="0" t="s">
        <v>7696</v>
      </c>
    </row>
    <row r="20323" customFormat="false" ht="12.8" hidden="false" customHeight="false" outlineLevel="0" collapsed="false">
      <c r="A20323" s="0" t="s">
        <v>7697</v>
      </c>
      <c r="B20323" s="0" t="str">
        <f aca="false">HYPERLINK("https://lindat.mff.cuni.cz/services/teitok/pdtc10/index.php?action=vallex&amp;frame=v-w2526f1", "obnažovat (v-w2526f1)")</f>
        <v>obnažovat (v-w2526f1)</v>
      </c>
    </row>
    <row r="20324" customFormat="false" ht="12.8" hidden="false" customHeight="false" outlineLevel="0" collapsed="false">
      <c r="B20324" s="0" t="s">
        <v>7</v>
      </c>
    </row>
    <row r="20325" customFormat="false" ht="12.8" hidden="false" customHeight="false" outlineLevel="0" collapsed="false">
      <c r="B20325" s="0" t="s">
        <v>14</v>
      </c>
    </row>
    <row r="20327" customFormat="false" ht="12.8" hidden="false" customHeight="false" outlineLevel="0" collapsed="false">
      <c r="A20327" s="0" t="s">
        <v>7698</v>
      </c>
      <c r="B20327" s="0" t="str">
        <f aca="false">HYPERLINK("https://lindat.mff.cuni.cz/services/teitok/pdtc10/index.php?action=vallex&amp;frame=v-w10173f2", "obnosit (v-w10173f2)")</f>
        <v>obnosit (v-w10173f2)</v>
      </c>
    </row>
    <row r="20328" customFormat="false" ht="12.8" hidden="false" customHeight="false" outlineLevel="0" collapsed="false">
      <c r="B20328" s="0" t="s">
        <v>7</v>
      </c>
    </row>
    <row r="20329" customFormat="false" ht="12.8" hidden="false" customHeight="false" outlineLevel="0" collapsed="false">
      <c r="B20329" s="0" t="s">
        <v>14</v>
      </c>
    </row>
    <row r="20331" customFormat="false" ht="12.8" hidden="false" customHeight="false" outlineLevel="0" collapsed="false">
      <c r="A20331" s="0" t="s">
        <v>7699</v>
      </c>
      <c r="B20331" s="0" t="str">
        <f aca="false">HYPERLINK("https://lindat.mff.cuni.cz/services/teitok/pdtc10/index.php?action=vallex&amp;frame=v-w2529f1", "obnovit (v-w2529f1)")</f>
        <v>obnovit (v-w2529f1)</v>
      </c>
    </row>
    <row r="20332" customFormat="false" ht="12.8" hidden="false" customHeight="false" outlineLevel="0" collapsed="false">
      <c r="B20332" s="0" t="s">
        <v>7</v>
      </c>
      <c r="C20332" s="0" t="s">
        <v>7700</v>
      </c>
      <c r="D20332" s="0" t="s">
        <v>7701</v>
      </c>
      <c r="E20332" s="0" t="s">
        <v>7701</v>
      </c>
      <c r="F20332" s="0" t="s">
        <v>7701</v>
      </c>
    </row>
    <row r="20333" customFormat="false" ht="12.8" hidden="false" customHeight="false" outlineLevel="0" collapsed="false">
      <c r="B20333" s="0" t="s">
        <v>14</v>
      </c>
      <c r="C20333" s="0" t="s">
        <v>7702</v>
      </c>
      <c r="D20333" s="0" t="s">
        <v>7703</v>
      </c>
      <c r="E20333" s="0" t="s">
        <v>7703</v>
      </c>
      <c r="F20333" s="0" t="s">
        <v>7703</v>
      </c>
    </row>
    <row r="20335" customFormat="false" ht="12.8" hidden="false" customHeight="false" outlineLevel="0" collapsed="false">
      <c r="A20335" s="0" t="s">
        <v>7704</v>
      </c>
      <c r="B20335" s="0" t="str">
        <f aca="false">HYPERLINK("https://lindat.mff.cuni.cz/services/teitok/pdtc10/index.php?action=vallex&amp;frame=v-whsa_233hsa_234", "obnovit se (v-whsa_233hsa_234)")</f>
        <v>obnovit se (v-whsa_233hsa_234)</v>
      </c>
    </row>
    <row r="20336" customFormat="false" ht="12.8" hidden="false" customHeight="false" outlineLevel="0" collapsed="false">
      <c r="B20336" s="0" t="s">
        <v>7</v>
      </c>
    </row>
    <row r="20338" customFormat="false" ht="12.8" hidden="false" customHeight="false" outlineLevel="0" collapsed="false">
      <c r="A20338" s="0" t="s">
        <v>7705</v>
      </c>
      <c r="B20338" s="0" t="str">
        <f aca="false">HYPERLINK("https://lindat.mff.cuni.cz/services/teitok/pdtc10/index.php?action=vallex&amp;frame=v-w2531f1", "obnovovat (v-w2531f1)")</f>
        <v>obnovovat (v-w2531f1)</v>
      </c>
    </row>
    <row r="20339" customFormat="false" ht="12.8" hidden="false" customHeight="false" outlineLevel="0" collapsed="false">
      <c r="B20339" s="0" t="s">
        <v>7</v>
      </c>
      <c r="C20339" s="0" t="s">
        <v>7706</v>
      </c>
      <c r="D20339" s="0" t="s">
        <v>7701</v>
      </c>
      <c r="E20339" s="0" t="s">
        <v>7701</v>
      </c>
      <c r="F20339" s="0" t="s">
        <v>7701</v>
      </c>
    </row>
    <row r="20340" customFormat="false" ht="12.8" hidden="false" customHeight="false" outlineLevel="0" collapsed="false">
      <c r="B20340" s="0" t="s">
        <v>14</v>
      </c>
      <c r="C20340" s="0" t="s">
        <v>1093</v>
      </c>
      <c r="D20340" s="0" t="s">
        <v>7703</v>
      </c>
      <c r="E20340" s="0" t="s">
        <v>7703</v>
      </c>
      <c r="F20340" s="0" t="s">
        <v>7703</v>
      </c>
    </row>
    <row r="20342" customFormat="false" ht="12.8" hidden="false" customHeight="false" outlineLevel="0" collapsed="false">
      <c r="A20342" s="0" t="s">
        <v>7707</v>
      </c>
      <c r="B20342" s="0" t="str">
        <f aca="false">HYPERLINK("https://lindat.mff.cuni.cz/services/teitok/pdtc10/index.php?action=vallex&amp;frame=v-w2531f2_ZU", "obnovovat (v-w2531f2_ZU)")</f>
        <v>obnovovat (v-w2531f2_ZU)</v>
      </c>
    </row>
    <row r="20343" customFormat="false" ht="12.8" hidden="false" customHeight="false" outlineLevel="0" collapsed="false">
      <c r="B20343" s="0" t="s">
        <v>7</v>
      </c>
    </row>
    <row r="20344" customFormat="false" ht="12.8" hidden="false" customHeight="false" outlineLevel="0" collapsed="false">
      <c r="B20344" s="0" t="s">
        <v>14</v>
      </c>
    </row>
    <row r="20346" customFormat="false" ht="12.8" hidden="false" customHeight="false" outlineLevel="0" collapsed="false">
      <c r="A20346" s="0" t="s">
        <v>7708</v>
      </c>
      <c r="B20346" s="0" t="str">
        <f aca="false">HYPERLINK("https://lindat.mff.cuni.cz/services/teitok/pdtc10/index.php?action=vallex&amp;frame=v-w2532f1", "obnovovat se (v-w2532f1)")</f>
        <v>obnovovat se (v-w2532f1)</v>
      </c>
    </row>
    <row r="20347" customFormat="false" ht="12.8" hidden="false" customHeight="false" outlineLevel="0" collapsed="false">
      <c r="B20347" s="0" t="s">
        <v>7</v>
      </c>
      <c r="D20347" s="0" t="s">
        <v>7709</v>
      </c>
      <c r="E20347" s="0" t="s">
        <v>7709</v>
      </c>
      <c r="F20347" s="0" t="s">
        <v>7709</v>
      </c>
    </row>
    <row r="20349" customFormat="false" ht="12.8" hidden="false" customHeight="false" outlineLevel="0" collapsed="false">
      <c r="A20349" s="0" t="s">
        <v>7710</v>
      </c>
      <c r="B20349" s="0" t="str">
        <f aca="false">HYPERLINK("https://lindat.mff.cuni.cz/services/teitok/pdtc10/index.php?action=vallex&amp;frame=v-w2525f1", "obnášet (v-w2525f1)")</f>
        <v>obnášet (v-w2525f1)</v>
      </c>
    </row>
    <row r="20350" customFormat="false" ht="12.8" hidden="false" customHeight="false" outlineLevel="0" collapsed="false">
      <c r="B20350" s="0" t="s">
        <v>7</v>
      </c>
      <c r="C20350" s="0" t="s">
        <v>7711</v>
      </c>
      <c r="D20350" s="0" t="s">
        <v>7712</v>
      </c>
      <c r="E20350" s="0" t="s">
        <v>7712</v>
      </c>
      <c r="F20350" s="0" t="s">
        <v>7712</v>
      </c>
    </row>
    <row r="20351" customFormat="false" ht="12.8" hidden="false" customHeight="false" outlineLevel="0" collapsed="false">
      <c r="B20351" s="0" t="s">
        <v>14</v>
      </c>
      <c r="C20351" s="0" t="s">
        <v>7713</v>
      </c>
      <c r="D20351" s="0" t="s">
        <v>2033</v>
      </c>
      <c r="E20351" s="0" t="s">
        <v>2033</v>
      </c>
      <c r="F20351" s="0" t="s">
        <v>2033</v>
      </c>
    </row>
    <row r="20353" customFormat="false" ht="12.8" hidden="false" customHeight="false" outlineLevel="0" collapsed="false">
      <c r="A20353" s="0" t="s">
        <v>7714</v>
      </c>
      <c r="B20353" s="0" t="str">
        <f aca="false">HYPERLINK("https://lindat.mff.cuni.cz/services/teitok/pdtc10/index.php?action=vallex&amp;frame=v-w2525f2", "obnášet (v-w2525f2)")</f>
        <v>obnášet (v-w2525f2)</v>
      </c>
    </row>
    <row r="20354" customFormat="false" ht="12.8" hidden="false" customHeight="false" outlineLevel="0" collapsed="false">
      <c r="B20354" s="0" t="s">
        <v>7</v>
      </c>
      <c r="C20354" s="0" t="s">
        <v>316</v>
      </c>
      <c r="D20354" s="0" t="s">
        <v>2245</v>
      </c>
      <c r="E20354" s="0" t="s">
        <v>2245</v>
      </c>
      <c r="F20354" s="0" t="s">
        <v>2245</v>
      </c>
    </row>
    <row r="20355" customFormat="false" ht="12.8" hidden="false" customHeight="false" outlineLevel="0" collapsed="false">
      <c r="B20355" s="0" t="s">
        <v>679</v>
      </c>
      <c r="C20355" s="0" t="s">
        <v>7715</v>
      </c>
      <c r="D20355" s="0" t="s">
        <v>7716</v>
      </c>
      <c r="E20355" s="0" t="s">
        <v>7716</v>
      </c>
      <c r="F20355" s="0" t="s">
        <v>7716</v>
      </c>
    </row>
    <row r="20357" customFormat="false" ht="12.8" hidden="false" customHeight="false" outlineLevel="0" collapsed="false">
      <c r="A20357" s="0" t="s">
        <v>7717</v>
      </c>
      <c r="B20357" s="0" t="str">
        <f aca="false">HYPERLINK("https://lindat.mff.cuni.cz/services/teitok/pdtc10/index.php?action=vallex&amp;frame=v-w2535f1", "obohacovat (v-w2535f1)")</f>
        <v>obohacovat (v-w2535f1)</v>
      </c>
    </row>
    <row r="20358" customFormat="false" ht="12.8" hidden="false" customHeight="false" outlineLevel="0" collapsed="false">
      <c r="B20358" s="0" t="s">
        <v>7</v>
      </c>
      <c r="C20358" s="0" t="s">
        <v>191</v>
      </c>
      <c r="D20358" s="0" t="s">
        <v>191</v>
      </c>
      <c r="E20358" s="0" t="s">
        <v>191</v>
      </c>
      <c r="F20358" s="0" t="s">
        <v>191</v>
      </c>
    </row>
    <row r="20359" customFormat="false" ht="12.8" hidden="false" customHeight="false" outlineLevel="0" collapsed="false">
      <c r="B20359" s="0" t="s">
        <v>14</v>
      </c>
      <c r="C20359" s="0" t="s">
        <v>567</v>
      </c>
      <c r="D20359" s="0" t="s">
        <v>7718</v>
      </c>
      <c r="E20359" s="0" t="s">
        <v>7718</v>
      </c>
      <c r="F20359" s="0" t="s">
        <v>7718</v>
      </c>
    </row>
    <row r="20360" customFormat="false" ht="12.8" hidden="false" customHeight="false" outlineLevel="0" collapsed="false">
      <c r="B20360" s="0" t="s">
        <v>2122</v>
      </c>
    </row>
    <row r="20362" customFormat="false" ht="12.8" hidden="false" customHeight="false" outlineLevel="0" collapsed="false">
      <c r="A20362" s="0" t="s">
        <v>7719</v>
      </c>
      <c r="B20362" s="0" t="str">
        <f aca="false">HYPERLINK("https://lindat.mff.cuni.cz/services/teitok/pdtc10/index.php?action=vallex&amp;frame=v-w2536f1", "obohatit (v-w2536f1)")</f>
        <v>obohatit (v-w2536f1)</v>
      </c>
    </row>
    <row r="20363" customFormat="false" ht="12.8" hidden="false" customHeight="false" outlineLevel="0" collapsed="false">
      <c r="B20363" s="0" t="s">
        <v>7</v>
      </c>
      <c r="C20363" s="0" t="s">
        <v>7720</v>
      </c>
      <c r="D20363" s="0" t="s">
        <v>191</v>
      </c>
      <c r="E20363" s="0" t="s">
        <v>191</v>
      </c>
      <c r="F20363" s="0" t="s">
        <v>191</v>
      </c>
    </row>
    <row r="20364" customFormat="false" ht="12.8" hidden="false" customHeight="false" outlineLevel="0" collapsed="false">
      <c r="B20364" s="0" t="s">
        <v>14</v>
      </c>
      <c r="D20364" s="0" t="s">
        <v>7718</v>
      </c>
      <c r="E20364" s="0" t="s">
        <v>7718</v>
      </c>
      <c r="F20364" s="0" t="s">
        <v>7718</v>
      </c>
    </row>
    <row r="20365" customFormat="false" ht="12.8" hidden="false" customHeight="false" outlineLevel="0" collapsed="false">
      <c r="B20365" s="0" t="s">
        <v>2122</v>
      </c>
      <c r="C20365" s="0" t="s">
        <v>7721</v>
      </c>
    </row>
    <row r="20367" customFormat="false" ht="12.8" hidden="false" customHeight="false" outlineLevel="0" collapsed="false">
      <c r="A20367" s="0" t="s">
        <v>7722</v>
      </c>
      <c r="B20367" s="0" t="str">
        <f aca="false">HYPERLINK("https://lindat.mff.cuni.cz/services/teitok/pdtc10/index.php?action=vallex&amp;frame=v-w2538f1", "obouvat (v-w2538f1)")</f>
        <v>obouvat (v-w2538f1)</v>
      </c>
    </row>
    <row r="20368" customFormat="false" ht="12.8" hidden="false" customHeight="false" outlineLevel="0" collapsed="false">
      <c r="B20368" s="0" t="s">
        <v>7</v>
      </c>
    </row>
    <row r="20369" customFormat="false" ht="12.8" hidden="false" customHeight="false" outlineLevel="0" collapsed="false">
      <c r="B20369" s="0" t="s">
        <v>14</v>
      </c>
    </row>
    <row r="20371" customFormat="false" ht="12.8" hidden="false" customHeight="false" outlineLevel="0" collapsed="false">
      <c r="A20371" s="0" t="s">
        <v>7723</v>
      </c>
      <c r="B20371" s="0" t="str">
        <f aca="false">HYPERLINK("https://lindat.mff.cuni.cz/services/teitok/pdtc10/index.php?action=vallex&amp;frame=v-w2537f1", "obořit se (v-w2537f1)")</f>
        <v>obořit se (v-w2537f1)</v>
      </c>
    </row>
    <row r="20372" customFormat="false" ht="12.8" hidden="false" customHeight="false" outlineLevel="0" collapsed="false">
      <c r="B20372" s="0" t="s">
        <v>7</v>
      </c>
      <c r="C20372" s="0" t="s">
        <v>191</v>
      </c>
      <c r="D20372" s="0" t="s">
        <v>7724</v>
      </c>
      <c r="E20372" s="0" t="s">
        <v>7724</v>
      </c>
      <c r="F20372" s="0" t="s">
        <v>7724</v>
      </c>
    </row>
    <row r="20373" customFormat="false" ht="12.8" hidden="false" customHeight="false" outlineLevel="0" collapsed="false">
      <c r="B20373" s="0" t="s">
        <v>41</v>
      </c>
      <c r="D20373" s="0" t="s">
        <v>466</v>
      </c>
      <c r="E20373" s="0" t="s">
        <v>466</v>
      </c>
      <c r="F20373" s="0" t="s">
        <v>466</v>
      </c>
    </row>
    <row r="20375" customFormat="false" ht="12.8" hidden="false" customHeight="false" outlineLevel="0" collapsed="false">
      <c r="A20375" s="0" t="s">
        <v>7725</v>
      </c>
      <c r="B20375" s="0" t="str">
        <f aca="false">HYPERLINK("https://lindat.mff.cuni.cz/services/teitok/pdtc10/index.php?action=vallex&amp;frame=v-w2541f5_ZU", "obracet (v-w2541f5_ZU)")</f>
        <v>obracet (v-w2541f5_ZU)</v>
      </c>
    </row>
    <row r="20376" customFormat="false" ht="12.8" hidden="false" customHeight="false" outlineLevel="0" collapsed="false">
      <c r="B20376" s="0" t="s">
        <v>7</v>
      </c>
      <c r="C20376" s="0" t="s">
        <v>184</v>
      </c>
      <c r="D20376" s="0" t="s">
        <v>1435</v>
      </c>
      <c r="E20376" s="0" t="s">
        <v>1435</v>
      </c>
      <c r="F20376" s="0" t="s">
        <v>1435</v>
      </c>
    </row>
    <row r="20377" customFormat="false" ht="12.8" hidden="false" customHeight="false" outlineLevel="0" collapsed="false">
      <c r="B20377" s="0" t="s">
        <v>14</v>
      </c>
      <c r="C20377" s="0" t="s">
        <v>33</v>
      </c>
      <c r="D20377" s="0" t="s">
        <v>1437</v>
      </c>
      <c r="E20377" s="0" t="s">
        <v>1437</v>
      </c>
      <c r="F20377" s="0" t="s">
        <v>1437</v>
      </c>
    </row>
    <row r="20378" customFormat="false" ht="12.8" hidden="false" customHeight="false" outlineLevel="0" collapsed="false">
      <c r="B20378" s="0" t="s">
        <v>122</v>
      </c>
      <c r="D20378" s="0" t="s">
        <v>7726</v>
      </c>
      <c r="E20378" s="0" t="s">
        <v>7726</v>
      </c>
      <c r="F20378" s="0" t="s">
        <v>7726</v>
      </c>
    </row>
    <row r="20380" customFormat="false" ht="12.8" hidden="false" customHeight="false" outlineLevel="0" collapsed="false">
      <c r="A20380" s="0" t="s">
        <v>7727</v>
      </c>
      <c r="B20380" s="0" t="str">
        <f aca="false">HYPERLINK("https://lindat.mff.cuni.cz/services/teitok/pdtc10/index.php?action=vallex&amp;frame=v-w2541f1", "obracet (v-w2541f1)")</f>
        <v>obracet (v-w2541f1)</v>
      </c>
    </row>
    <row r="20381" customFormat="false" ht="12.8" hidden="false" customHeight="false" outlineLevel="0" collapsed="false">
      <c r="B20381" s="0" t="s">
        <v>7</v>
      </c>
      <c r="C20381" s="0" t="s">
        <v>194</v>
      </c>
      <c r="D20381" s="0" t="s">
        <v>32</v>
      </c>
      <c r="E20381" s="0" t="s">
        <v>32</v>
      </c>
      <c r="F20381" s="0" t="s">
        <v>32</v>
      </c>
    </row>
    <row r="20382" customFormat="false" ht="12.8" hidden="false" customHeight="false" outlineLevel="0" collapsed="false">
      <c r="B20382" s="0" t="s">
        <v>14</v>
      </c>
      <c r="C20382" s="0" t="s">
        <v>7728</v>
      </c>
      <c r="D20382" s="0" t="s">
        <v>34</v>
      </c>
      <c r="E20382" s="0" t="s">
        <v>34</v>
      </c>
      <c r="F20382" s="0" t="s">
        <v>34</v>
      </c>
    </row>
    <row r="20383" customFormat="false" ht="12.8" hidden="false" customHeight="false" outlineLevel="0" collapsed="false">
      <c r="B20383" s="0" t="s">
        <v>7729</v>
      </c>
      <c r="C20383" s="0" t="s">
        <v>5188</v>
      </c>
      <c r="D20383" s="0" t="s">
        <v>39</v>
      </c>
      <c r="E20383" s="0" t="s">
        <v>39</v>
      </c>
      <c r="F20383" s="0" t="s">
        <v>39</v>
      </c>
    </row>
    <row r="20385" customFormat="false" ht="12.8" hidden="false" customHeight="false" outlineLevel="0" collapsed="false">
      <c r="A20385" s="0" t="s">
        <v>7730</v>
      </c>
      <c r="B20385" s="0" t="str">
        <f aca="false">HYPERLINK("https://lindat.mff.cuni.cz/services/teitok/pdtc10/index.php?action=vallex&amp;frame=v-w2541f4", "obracet (v-w2541f4)")</f>
        <v>obracet (v-w2541f4)</v>
      </c>
    </row>
    <row r="20386" customFormat="false" ht="12.8" hidden="false" customHeight="false" outlineLevel="0" collapsed="false">
      <c r="B20386" s="0" t="s">
        <v>7</v>
      </c>
    </row>
    <row r="20387" customFormat="false" ht="12.8" hidden="false" customHeight="false" outlineLevel="0" collapsed="false">
      <c r="B20387" s="0" t="s">
        <v>14</v>
      </c>
    </row>
    <row r="20389" customFormat="false" ht="12.8" hidden="false" customHeight="false" outlineLevel="0" collapsed="false">
      <c r="A20389" s="0" t="s">
        <v>7731</v>
      </c>
      <c r="B20389" s="0" t="str">
        <f aca="false">HYPERLINK("https://lindat.mff.cuni.cz/services/teitok/pdtc10/index.php?action=vallex&amp;frame=v-w2541f3", "obracet (v-w2541f3)")</f>
        <v>obracet (v-w2541f3)</v>
      </c>
    </row>
    <row r="20390" customFormat="false" ht="12.8" hidden="false" customHeight="false" outlineLevel="0" collapsed="false">
      <c r="B20390" s="0" t="s">
        <v>7</v>
      </c>
      <c r="D20390" s="0" t="s">
        <v>7732</v>
      </c>
      <c r="E20390" s="0" t="s">
        <v>7732</v>
      </c>
      <c r="F20390" s="0" t="s">
        <v>7732</v>
      </c>
    </row>
    <row r="20391" customFormat="false" ht="12.8" hidden="false" customHeight="false" outlineLevel="0" collapsed="false">
      <c r="B20391" s="0" t="s">
        <v>7733</v>
      </c>
      <c r="D20391" s="0" t="s">
        <v>7734</v>
      </c>
      <c r="E20391" s="0" t="s">
        <v>7734</v>
      </c>
      <c r="F20391" s="0" t="s">
        <v>7734</v>
      </c>
    </row>
    <row r="20392" customFormat="false" ht="12.8" hidden="false" customHeight="false" outlineLevel="0" collapsed="false">
      <c r="B20392" s="0" t="s">
        <v>124</v>
      </c>
    </row>
    <row r="20394" customFormat="false" ht="12.8" hidden="false" customHeight="false" outlineLevel="0" collapsed="false">
      <c r="A20394" s="0" t="s">
        <v>7735</v>
      </c>
      <c r="B20394" s="0" t="str">
        <f aca="false">HYPERLINK("https://lindat.mff.cuni.cz/services/teitok/pdtc10/index.php?action=vallex&amp;frame=v-w2541f2", "obracet (v-w2541f2)")</f>
        <v>obracet (v-w2541f2)</v>
      </c>
    </row>
    <row r="20395" customFormat="false" ht="12.8" hidden="false" customHeight="false" outlineLevel="0" collapsed="false">
      <c r="B20395" s="0" t="s">
        <v>7</v>
      </c>
    </row>
    <row r="20396" customFormat="false" ht="12.8" hidden="false" customHeight="false" outlineLevel="0" collapsed="false">
      <c r="B20396" s="0" t="s">
        <v>927</v>
      </c>
    </row>
    <row r="20397" customFormat="false" ht="12.8" hidden="false" customHeight="false" outlineLevel="0" collapsed="false">
      <c r="B20397" s="0" t="s">
        <v>14</v>
      </c>
    </row>
    <row r="20399" customFormat="false" ht="12.8" hidden="false" customHeight="false" outlineLevel="0" collapsed="false">
      <c r="A20399" s="0" t="s">
        <v>7736</v>
      </c>
      <c r="B20399" s="0" t="str">
        <f aca="false">HYPERLINK("https://lindat.mff.cuni.cz/services/teitok/pdtc10/index.php?action=vallex&amp;frame=v-w2542f5", "obracet se (v-w2542f5)")</f>
        <v>obracet se (v-w2542f5)</v>
      </c>
    </row>
    <row r="20400" customFormat="false" ht="12.8" hidden="false" customHeight="false" outlineLevel="0" collapsed="false">
      <c r="B20400" s="0" t="s">
        <v>7</v>
      </c>
    </row>
    <row r="20401" customFormat="false" ht="12.8" hidden="false" customHeight="false" outlineLevel="0" collapsed="false">
      <c r="B20401" s="0" t="s">
        <v>4406</v>
      </c>
    </row>
    <row r="20403" customFormat="false" ht="12.8" hidden="false" customHeight="false" outlineLevel="0" collapsed="false">
      <c r="A20403" s="0" t="s">
        <v>7737</v>
      </c>
      <c r="B20403" s="0" t="str">
        <f aca="false">HYPERLINK("https://lindat.mff.cuni.cz/services/teitok/pdtc10/index.php?action=vallex&amp;frame=v-w2542f1", "obracet se (v-w2542f1)")</f>
        <v>obracet se (v-w2542f1)</v>
      </c>
    </row>
    <row r="20404" customFormat="false" ht="12.8" hidden="false" customHeight="false" outlineLevel="0" collapsed="false">
      <c r="B20404" s="0" t="s">
        <v>7</v>
      </c>
      <c r="C20404" s="0" t="s">
        <v>7738</v>
      </c>
      <c r="D20404" s="0" t="s">
        <v>7739</v>
      </c>
      <c r="E20404" s="0" t="s">
        <v>7739</v>
      </c>
      <c r="F20404" s="0" t="s">
        <v>7739</v>
      </c>
    </row>
    <row r="20405" customFormat="false" ht="12.8" hidden="false" customHeight="false" outlineLevel="0" collapsed="false">
      <c r="B20405" s="0" t="s">
        <v>7740</v>
      </c>
      <c r="C20405" s="0" t="s">
        <v>7741</v>
      </c>
      <c r="D20405" s="0" t="s">
        <v>7742</v>
      </c>
      <c r="E20405" s="0" t="s">
        <v>7742</v>
      </c>
      <c r="F20405" s="0" t="s">
        <v>7742</v>
      </c>
    </row>
    <row r="20406" customFormat="false" ht="12.8" hidden="false" customHeight="false" outlineLevel="0" collapsed="false">
      <c r="B20406" s="0" t="s">
        <v>7743</v>
      </c>
      <c r="C20406" s="0" t="s">
        <v>274</v>
      </c>
      <c r="D20406" s="0" t="s">
        <v>7744</v>
      </c>
      <c r="E20406" s="0" t="s">
        <v>7744</v>
      </c>
      <c r="F20406" s="0" t="s">
        <v>7744</v>
      </c>
    </row>
    <row r="20408" customFormat="false" ht="12.8" hidden="false" customHeight="false" outlineLevel="0" collapsed="false">
      <c r="A20408" s="0" t="s">
        <v>7745</v>
      </c>
      <c r="B20408" s="0" t="str">
        <f aca="false">HYPERLINK("https://lindat.mff.cuni.cz/services/teitok/pdtc10/index.php?action=vallex&amp;frame=v-w2542f2", "obracet se (v-w2542f2)")</f>
        <v>obracet se (v-w2542f2)</v>
      </c>
    </row>
    <row r="20409" customFormat="false" ht="12.8" hidden="false" customHeight="false" outlineLevel="0" collapsed="false">
      <c r="B20409" s="0" t="s">
        <v>7</v>
      </c>
      <c r="C20409" s="0" t="s">
        <v>7746</v>
      </c>
    </row>
    <row r="20411" customFormat="false" ht="12.8" hidden="false" customHeight="false" outlineLevel="0" collapsed="false">
      <c r="A20411" s="0" t="s">
        <v>7747</v>
      </c>
      <c r="B20411" s="0" t="str">
        <f aca="false">HYPERLINK("https://lindat.mff.cuni.cz/services/teitok/pdtc10/index.php?action=vallex&amp;frame=v-w2542f4", "obracet se (v-w2542f4)")</f>
        <v>obracet se (v-w2542f4)</v>
      </c>
    </row>
    <row r="20412" customFormat="false" ht="12.8" hidden="false" customHeight="false" outlineLevel="0" collapsed="false">
      <c r="B20412" s="0" t="s">
        <v>7</v>
      </c>
    </row>
    <row r="20414" customFormat="false" ht="12.8" hidden="false" customHeight="false" outlineLevel="0" collapsed="false">
      <c r="A20414" s="0" t="s">
        <v>7748</v>
      </c>
      <c r="B20414" s="0" t="str">
        <f aca="false">HYPERLINK("https://lindat.mff.cuni.cz/services/teitok/pdtc10/index.php?action=vallex&amp;frame=v-w2542f3", "obracet se (v-w2542f3)")</f>
        <v>obracet se (v-w2542f3)</v>
      </c>
    </row>
    <row r="20415" customFormat="false" ht="12.8" hidden="false" customHeight="false" outlineLevel="0" collapsed="false">
      <c r="B20415" s="0" t="s">
        <v>7</v>
      </c>
      <c r="C20415" s="0" t="s">
        <v>5375</v>
      </c>
      <c r="D20415" s="0" t="s">
        <v>191</v>
      </c>
      <c r="E20415" s="0" t="s">
        <v>191</v>
      </c>
      <c r="F20415" s="0" t="s">
        <v>191</v>
      </c>
    </row>
    <row r="20416" customFormat="false" ht="12.8" hidden="false" customHeight="false" outlineLevel="0" collapsed="false">
      <c r="B20416" s="0" t="s">
        <v>7749</v>
      </c>
    </row>
    <row r="20418" customFormat="false" ht="12.8" hidden="false" customHeight="false" outlineLevel="0" collapsed="false">
      <c r="A20418" s="0" t="s">
        <v>7750</v>
      </c>
      <c r="B20418" s="0" t="str">
        <f aca="false">HYPERLINK("https://lindat.mff.cuni.cz/services/teitok/pdtc10/index.php?action=vallex&amp;frame=v-w2542f6_ZU", "obracet se (v-w2542f6_ZU)")</f>
        <v>obracet se (v-w2542f6_ZU)</v>
      </c>
    </row>
    <row r="20419" customFormat="false" ht="12.8" hidden="false" customHeight="false" outlineLevel="0" collapsed="false">
      <c r="B20419" s="0" t="s">
        <v>7</v>
      </c>
    </row>
    <row r="20420" customFormat="false" ht="12.8" hidden="false" customHeight="false" outlineLevel="0" collapsed="false">
      <c r="B20420" s="0" t="s">
        <v>7751</v>
      </c>
    </row>
    <row r="20421" customFormat="false" ht="12.8" hidden="false" customHeight="false" outlineLevel="0" collapsed="false">
      <c r="B20421" s="0" t="s">
        <v>237</v>
      </c>
    </row>
    <row r="20423" customFormat="false" ht="12.8" hidden="false" customHeight="false" outlineLevel="0" collapsed="false">
      <c r="A20423" s="0" t="s">
        <v>7750</v>
      </c>
      <c r="B20423" s="0" t="str">
        <f aca="false">HYPERLINK("https://lindat.mff.cuni.cz/services/teitok/pdtc10/index.php?action=vallex&amp;frame=v-w2542hsa_516", "obracet se (v-w2542hsa_516) - substituted with v-w2542f6_ZU")</f>
        <v>obracet se (v-w2542hsa_516) - substituted with v-w2542f6_ZU</v>
      </c>
    </row>
    <row r="20424" customFormat="false" ht="12.8" hidden="false" customHeight="false" outlineLevel="0" collapsed="false">
      <c r="B20424" s="0" t="s">
        <v>7</v>
      </c>
    </row>
    <row r="20425" customFormat="false" ht="12.8" hidden="false" customHeight="false" outlineLevel="0" collapsed="false">
      <c r="B20425" s="0" t="s">
        <v>7751</v>
      </c>
    </row>
    <row r="20426" customFormat="false" ht="12.8" hidden="false" customHeight="false" outlineLevel="0" collapsed="false">
      <c r="B20426" s="0" t="s">
        <v>237</v>
      </c>
    </row>
    <row r="20428" customFormat="false" ht="12.8" hidden="false" customHeight="false" outlineLevel="0" collapsed="false">
      <c r="A20428" s="0" t="s">
        <v>7752</v>
      </c>
      <c r="B20428" s="0" t="str">
        <f aca="false">HYPERLINK("https://lindat.mff.cuni.cz/services/teitok/pdtc10/index.php?action=vallex&amp;frame=v-w2545f1", "obrat (v-w2545f1)")</f>
        <v>obrat (v-w2545f1)</v>
      </c>
    </row>
    <row r="20429" customFormat="false" ht="12.8" hidden="false" customHeight="false" outlineLevel="0" collapsed="false">
      <c r="B20429" s="0" t="s">
        <v>7</v>
      </c>
    </row>
    <row r="20430" customFormat="false" ht="12.8" hidden="false" customHeight="false" outlineLevel="0" collapsed="false">
      <c r="B20430" s="0" t="s">
        <v>81</v>
      </c>
      <c r="E20430" s="0" t="s">
        <v>4656</v>
      </c>
      <c r="F20430" s="0" t="s">
        <v>4656</v>
      </c>
    </row>
    <row r="20431" customFormat="false" ht="12.8" hidden="false" customHeight="false" outlineLevel="0" collapsed="false">
      <c r="B20431" s="0" t="s">
        <v>2721</v>
      </c>
    </row>
    <row r="20433" customFormat="false" ht="12.8" hidden="false" customHeight="false" outlineLevel="0" collapsed="false">
      <c r="A20433" s="0" t="s">
        <v>7753</v>
      </c>
      <c r="B20433" s="0" t="str">
        <f aca="false">HYPERLINK("https://lindat.mff.cuni.cz/services/teitok/pdtc10/index.php?action=vallex&amp;frame=v-w2545f2_ZU", "obrat (v-w2545f2_ZU)")</f>
        <v>obrat (v-w2545f2_ZU)</v>
      </c>
    </row>
    <row r="20434" customFormat="false" ht="12.8" hidden="false" customHeight="false" outlineLevel="0" collapsed="false">
      <c r="B20434" s="0" t="s">
        <v>7</v>
      </c>
    </row>
    <row r="20435" customFormat="false" ht="12.8" hidden="false" customHeight="false" outlineLevel="0" collapsed="false">
      <c r="B20435" s="0" t="s">
        <v>14</v>
      </c>
    </row>
    <row r="20437" customFormat="false" ht="12.8" hidden="false" customHeight="false" outlineLevel="0" collapsed="false">
      <c r="A20437" s="0" t="s">
        <v>7754</v>
      </c>
      <c r="B20437" s="0" t="str">
        <f aca="false">HYPERLINK("https://lindat.mff.cuni.cz/services/teitok/pdtc10/index.php?action=vallex&amp;frame=v-w11848_ZUf1_ZU", "obrečet (v-w11848_ZUf1_ZU)")</f>
        <v>obrečet (v-w11848_ZUf1_ZU)</v>
      </c>
    </row>
    <row r="20438" customFormat="false" ht="12.8" hidden="false" customHeight="false" outlineLevel="0" collapsed="false">
      <c r="B20438" s="0" t="s">
        <v>7</v>
      </c>
    </row>
    <row r="20439" customFormat="false" ht="12.8" hidden="false" customHeight="false" outlineLevel="0" collapsed="false">
      <c r="B20439" s="0" t="s">
        <v>14</v>
      </c>
    </row>
    <row r="20441" customFormat="false" ht="12.8" hidden="false" customHeight="false" outlineLevel="0" collapsed="false">
      <c r="A20441" s="0" t="s">
        <v>7755</v>
      </c>
      <c r="B20441" s="0" t="str">
        <f aca="false">HYPERLINK("https://lindat.mff.cuni.cz/services/teitok/pdtc10/index.php?action=vallex&amp;frame=v-whsa_446hsa_447", "obrnit se (v-whsa_446hsa_447)")</f>
        <v>obrnit se (v-whsa_446hsa_447)</v>
      </c>
    </row>
    <row r="20442" customFormat="false" ht="12.8" hidden="false" customHeight="false" outlineLevel="0" collapsed="false">
      <c r="B20442" s="0" t="s">
        <v>7</v>
      </c>
    </row>
    <row r="20443" customFormat="false" ht="12.8" hidden="false" customHeight="false" outlineLevel="0" collapsed="false">
      <c r="B20443" s="0" t="s">
        <v>1560</v>
      </c>
    </row>
    <row r="20445" customFormat="false" ht="12.8" hidden="false" customHeight="false" outlineLevel="0" collapsed="false">
      <c r="A20445" s="0" t="s">
        <v>7756</v>
      </c>
      <c r="B20445" s="0" t="str">
        <f aca="false">HYPERLINK("https://lindat.mff.cuni.cz/services/teitok/pdtc10/index.php?action=vallex&amp;frame=v-w11423f1", "obrnit si (v-w11423f1)")</f>
        <v>obrnit si (v-w11423f1)</v>
      </c>
    </row>
    <row r="20446" customFormat="false" ht="12.8" hidden="false" customHeight="false" outlineLevel="0" collapsed="false">
      <c r="B20446" s="0" t="s">
        <v>7</v>
      </c>
    </row>
    <row r="20447" customFormat="false" ht="12.8" hidden="false" customHeight="false" outlineLevel="0" collapsed="false">
      <c r="B20447" s="0" t="s">
        <v>6079</v>
      </c>
    </row>
    <row r="20449" customFormat="false" ht="12.8" hidden="false" customHeight="false" outlineLevel="0" collapsed="false">
      <c r="A20449" s="0" t="s">
        <v>7757</v>
      </c>
      <c r="B20449" s="0" t="str">
        <f aca="false">HYPERLINK("https://lindat.mff.cuni.cz/services/teitok/pdtc10/index.php?action=vallex&amp;frame=v-w2552f1", "obrodit (v-w2552f1)")</f>
        <v>obrodit (v-w2552f1)</v>
      </c>
    </row>
    <row r="20450" customFormat="false" ht="12.8" hidden="false" customHeight="false" outlineLevel="0" collapsed="false">
      <c r="B20450" s="0" t="s">
        <v>7</v>
      </c>
    </row>
    <row r="20451" customFormat="false" ht="12.8" hidden="false" customHeight="false" outlineLevel="0" collapsed="false">
      <c r="B20451" s="0" t="s">
        <v>14</v>
      </c>
    </row>
    <row r="20453" customFormat="false" ht="12.8" hidden="false" customHeight="false" outlineLevel="0" collapsed="false">
      <c r="A20453" s="0" t="s">
        <v>7758</v>
      </c>
      <c r="B20453" s="0" t="str">
        <f aca="false">HYPERLINK("https://lindat.mff.cuni.cz/services/teitok/pdtc10/index.php?action=vallex&amp;frame=v-w2553f1", "obrodit se (v-w2553f1)")</f>
        <v>obrodit se (v-w2553f1)</v>
      </c>
    </row>
    <row r="20454" customFormat="false" ht="12.8" hidden="false" customHeight="false" outlineLevel="0" collapsed="false">
      <c r="B20454" s="0" t="s">
        <v>7</v>
      </c>
    </row>
    <row r="20455" customFormat="false" ht="12.8" hidden="false" customHeight="false" outlineLevel="0" collapsed="false">
      <c r="B20455" s="0" t="s">
        <v>581</v>
      </c>
    </row>
    <row r="20457" customFormat="false" ht="12.8" hidden="false" customHeight="false" outlineLevel="0" collapsed="false">
      <c r="A20457" s="0" t="s">
        <v>7759</v>
      </c>
      <c r="B20457" s="0" t="str">
        <f aca="false">HYPERLINK("https://lindat.mff.cuni.cz/services/teitok/pdtc10/index.php?action=vallex&amp;frame=v-w2555f1", "obrousit (v-w2555f1)")</f>
        <v>obrousit (v-w2555f1)</v>
      </c>
    </row>
    <row r="20458" customFormat="false" ht="12.8" hidden="false" customHeight="false" outlineLevel="0" collapsed="false">
      <c r="B20458" s="0" t="s">
        <v>7</v>
      </c>
      <c r="D20458" s="0" t="s">
        <v>184</v>
      </c>
      <c r="E20458" s="0" t="s">
        <v>184</v>
      </c>
      <c r="F20458" s="0" t="s">
        <v>184</v>
      </c>
    </row>
    <row r="20459" customFormat="false" ht="12.8" hidden="false" customHeight="false" outlineLevel="0" collapsed="false">
      <c r="B20459" s="0" t="s">
        <v>14</v>
      </c>
      <c r="D20459" s="0" t="s">
        <v>155</v>
      </c>
      <c r="E20459" s="0" t="s">
        <v>155</v>
      </c>
      <c r="F20459" s="0" t="s">
        <v>155</v>
      </c>
    </row>
    <row r="20461" customFormat="false" ht="12.8" hidden="false" customHeight="false" outlineLevel="0" collapsed="false">
      <c r="A20461" s="0" t="s">
        <v>7760</v>
      </c>
      <c r="B20461" s="0" t="str">
        <f aca="false">HYPERLINK("https://lindat.mff.cuni.cz/services/teitok/pdtc10/index.php?action=vallex&amp;frame=v-whsa_1599hsa_1600", "obrábět (v-whsa_1599hsa_1600)")</f>
        <v>obrábět (v-whsa_1599hsa_1600)</v>
      </c>
    </row>
    <row r="20462" customFormat="false" ht="12.8" hidden="false" customHeight="false" outlineLevel="0" collapsed="false">
      <c r="B20462" s="0" t="s">
        <v>7</v>
      </c>
    </row>
    <row r="20463" customFormat="false" ht="12.8" hidden="false" customHeight="false" outlineLevel="0" collapsed="false">
      <c r="B20463" s="0" t="s">
        <v>14</v>
      </c>
    </row>
    <row r="20465" customFormat="false" ht="12.8" hidden="false" customHeight="false" outlineLevel="0" collapsed="false">
      <c r="A20465" s="0" t="s">
        <v>7761</v>
      </c>
      <c r="B20465" s="0" t="str">
        <f aca="false">HYPERLINK("https://lindat.mff.cuni.cz/services/teitok/pdtc10/index.php?action=vallex&amp;frame=v-w2547f3", "obrátit (v-w2547f3)")</f>
        <v>obrátit (v-w2547f3)</v>
      </c>
    </row>
    <row r="20466" customFormat="false" ht="12.8" hidden="false" customHeight="false" outlineLevel="0" collapsed="false">
      <c r="B20466" s="0" t="s">
        <v>7</v>
      </c>
      <c r="D20466" s="0" t="s">
        <v>1435</v>
      </c>
      <c r="E20466" s="0" t="s">
        <v>1435</v>
      </c>
      <c r="F20466" s="0" t="s">
        <v>1435</v>
      </c>
    </row>
    <row r="20467" customFormat="false" ht="12.8" hidden="false" customHeight="false" outlineLevel="0" collapsed="false">
      <c r="B20467" s="0" t="s">
        <v>14</v>
      </c>
      <c r="D20467" s="0" t="s">
        <v>1437</v>
      </c>
      <c r="E20467" s="0" t="s">
        <v>1437</v>
      </c>
      <c r="F20467" s="0" t="s">
        <v>1437</v>
      </c>
    </row>
    <row r="20468" customFormat="false" ht="12.8" hidden="false" customHeight="false" outlineLevel="0" collapsed="false">
      <c r="B20468" s="0" t="s">
        <v>7762</v>
      </c>
      <c r="D20468" s="0" t="s">
        <v>7726</v>
      </c>
      <c r="E20468" s="0" t="s">
        <v>7726</v>
      </c>
      <c r="F20468" s="0" t="s">
        <v>7726</v>
      </c>
    </row>
    <row r="20470" customFormat="false" ht="12.8" hidden="false" customHeight="false" outlineLevel="0" collapsed="false">
      <c r="A20470" s="0" t="s">
        <v>7763</v>
      </c>
      <c r="B20470" s="0" t="str">
        <f aca="false">HYPERLINK("https://lindat.mff.cuni.cz/services/teitok/pdtc10/index.php?action=vallex&amp;frame=v-w2547f7", "obrátit (v-w2547f7)")</f>
        <v>obrátit (v-w2547f7)</v>
      </c>
    </row>
    <row r="20471" customFormat="false" ht="12.8" hidden="false" customHeight="false" outlineLevel="0" collapsed="false">
      <c r="B20471" s="0" t="s">
        <v>7</v>
      </c>
      <c r="C20471" s="0" t="s">
        <v>194</v>
      </c>
      <c r="D20471" s="0" t="s">
        <v>32</v>
      </c>
      <c r="E20471" s="0" t="s">
        <v>32</v>
      </c>
      <c r="F20471" s="0" t="s">
        <v>32</v>
      </c>
    </row>
    <row r="20472" customFormat="false" ht="12.8" hidden="false" customHeight="false" outlineLevel="0" collapsed="false">
      <c r="B20472" s="0" t="s">
        <v>14</v>
      </c>
      <c r="C20472" s="0" t="s">
        <v>7728</v>
      </c>
      <c r="D20472" s="0" t="s">
        <v>34</v>
      </c>
      <c r="E20472" s="0" t="s">
        <v>34</v>
      </c>
      <c r="F20472" s="0" t="s">
        <v>34</v>
      </c>
    </row>
    <row r="20473" customFormat="false" ht="12.8" hidden="false" customHeight="false" outlineLevel="0" collapsed="false">
      <c r="B20473" s="0" t="s">
        <v>7729</v>
      </c>
      <c r="C20473" s="0" t="s">
        <v>5188</v>
      </c>
      <c r="D20473" s="0" t="s">
        <v>39</v>
      </c>
      <c r="E20473" s="0" t="s">
        <v>39</v>
      </c>
      <c r="F20473" s="0" t="s">
        <v>39</v>
      </c>
    </row>
    <row r="20475" customFormat="false" ht="12.8" hidden="false" customHeight="false" outlineLevel="0" collapsed="false">
      <c r="A20475" s="0" t="s">
        <v>7764</v>
      </c>
      <c r="B20475" s="0" t="str">
        <f aca="false">HYPERLINK("https://lindat.mff.cuni.cz/services/teitok/pdtc10/index.php?action=vallex&amp;frame=v-w2547f5", "obrátit (v-w2547f5)")</f>
        <v>obrátit (v-w2547f5)</v>
      </c>
    </row>
    <row r="20476" customFormat="false" ht="12.8" hidden="false" customHeight="false" outlineLevel="0" collapsed="false">
      <c r="B20476" s="0" t="s">
        <v>7</v>
      </c>
      <c r="D20476" s="0" t="s">
        <v>32</v>
      </c>
      <c r="E20476" s="0" t="s">
        <v>32</v>
      </c>
      <c r="F20476" s="0" t="s">
        <v>32</v>
      </c>
    </row>
    <row r="20477" customFormat="false" ht="12.8" hidden="false" customHeight="false" outlineLevel="0" collapsed="false">
      <c r="B20477" s="0" t="s">
        <v>14</v>
      </c>
      <c r="D20477" s="0" t="s">
        <v>34</v>
      </c>
      <c r="E20477" s="0" t="s">
        <v>34</v>
      </c>
      <c r="F20477" s="0" t="s">
        <v>34</v>
      </c>
    </row>
    <row r="20478" customFormat="false" ht="12.8" hidden="false" customHeight="false" outlineLevel="0" collapsed="false">
      <c r="B20478" s="0" t="s">
        <v>84</v>
      </c>
      <c r="D20478" s="0" t="s">
        <v>39</v>
      </c>
      <c r="E20478" s="0" t="s">
        <v>39</v>
      </c>
      <c r="F20478" s="0" t="s">
        <v>39</v>
      </c>
    </row>
    <row r="20480" customFormat="false" ht="12.8" hidden="false" customHeight="false" outlineLevel="0" collapsed="false">
      <c r="A20480" s="0" t="s">
        <v>7765</v>
      </c>
      <c r="B20480" s="0" t="str">
        <f aca="false">HYPERLINK("https://lindat.mff.cuni.cz/services/teitok/pdtc10/index.php?action=vallex&amp;frame=v-w2547f2", "obrátit (v-w2547f2)")</f>
        <v>obrátit (v-w2547f2)</v>
      </c>
    </row>
    <row r="20481" customFormat="false" ht="12.8" hidden="false" customHeight="false" outlineLevel="0" collapsed="false">
      <c r="B20481" s="0" t="s">
        <v>7</v>
      </c>
      <c r="C20481" s="0" t="s">
        <v>3664</v>
      </c>
    </row>
    <row r="20482" customFormat="false" ht="12.8" hidden="false" customHeight="false" outlineLevel="0" collapsed="false">
      <c r="B20482" s="0" t="s">
        <v>14</v>
      </c>
      <c r="C20482" s="0" t="s">
        <v>1205</v>
      </c>
    </row>
    <row r="20484" customFormat="false" ht="12.8" hidden="false" customHeight="false" outlineLevel="0" collapsed="false">
      <c r="A20484" s="0" t="s">
        <v>7766</v>
      </c>
      <c r="B20484" s="0" t="str">
        <f aca="false">HYPERLINK("https://lindat.mff.cuni.cz/services/teitok/pdtc10/index.php?action=vallex&amp;frame=v-w2547f1", "obrátit (v-w2547f1)")</f>
        <v>obrátit (v-w2547f1)</v>
      </c>
    </row>
    <row r="20485" customFormat="false" ht="12.8" hidden="false" customHeight="false" outlineLevel="0" collapsed="false">
      <c r="B20485" s="0" t="s">
        <v>7</v>
      </c>
    </row>
    <row r="20487" customFormat="false" ht="12.8" hidden="false" customHeight="false" outlineLevel="0" collapsed="false">
      <c r="A20487" s="0" t="s">
        <v>7767</v>
      </c>
      <c r="B20487" s="0" t="str">
        <f aca="false">HYPERLINK("https://lindat.mff.cuni.cz/services/teitok/pdtc10/index.php?action=vallex&amp;frame=v-w2547f9_ZU", "obrátit (v-w2547f9_ZU)")</f>
        <v>obrátit (v-w2547f9_ZU)</v>
      </c>
    </row>
    <row r="20488" customFormat="false" ht="12.8" hidden="false" customHeight="false" outlineLevel="0" collapsed="false">
      <c r="B20488" s="0" t="s">
        <v>7</v>
      </c>
      <c r="C20488" s="0" t="s">
        <v>108</v>
      </c>
      <c r="D20488" s="0" t="s">
        <v>7768</v>
      </c>
      <c r="E20488" s="0" t="s">
        <v>7768</v>
      </c>
      <c r="F20488" s="0" t="s">
        <v>7768</v>
      </c>
    </row>
    <row r="20489" customFormat="false" ht="12.8" hidden="false" customHeight="false" outlineLevel="0" collapsed="false">
      <c r="B20489" s="0" t="s">
        <v>7769</v>
      </c>
      <c r="C20489" s="0" t="s">
        <v>7770</v>
      </c>
      <c r="D20489" s="0" t="s">
        <v>7734</v>
      </c>
      <c r="E20489" s="0" t="s">
        <v>7734</v>
      </c>
      <c r="F20489" s="0" t="s">
        <v>7734</v>
      </c>
    </row>
    <row r="20490" customFormat="false" ht="12.8" hidden="false" customHeight="false" outlineLevel="0" collapsed="false">
      <c r="B20490" s="0" t="s">
        <v>124</v>
      </c>
      <c r="C20490" s="0" t="s">
        <v>7771</v>
      </c>
      <c r="D20490" s="0" t="s">
        <v>7772</v>
      </c>
      <c r="E20490" s="0" t="s">
        <v>7772</v>
      </c>
      <c r="F20490" s="0" t="s">
        <v>7772</v>
      </c>
    </row>
    <row r="20492" customFormat="false" ht="12.8" hidden="false" customHeight="false" outlineLevel="0" collapsed="false">
      <c r="A20492" s="0" t="s">
        <v>7767</v>
      </c>
      <c r="B20492" s="0" t="str">
        <f aca="false">HYPERLINK("https://lindat.mff.cuni.cz/services/teitok/pdtc10/index.php?action=vallex&amp;frame=v-w2547f4", "obrátit (v-w2547f4) - substituted with v-w2547f9_ZU")</f>
        <v>obrátit (v-w2547f4) - substituted with v-w2547f9_ZU</v>
      </c>
    </row>
    <row r="20493" customFormat="false" ht="12.8" hidden="false" customHeight="false" outlineLevel="0" collapsed="false">
      <c r="B20493" s="0" t="s">
        <v>7</v>
      </c>
      <c r="C20493" s="0" t="s">
        <v>191</v>
      </c>
    </row>
    <row r="20494" customFormat="false" ht="12.8" hidden="false" customHeight="false" outlineLevel="0" collapsed="false">
      <c r="B20494" s="0" t="s">
        <v>7769</v>
      </c>
      <c r="C20494" s="0" t="s">
        <v>7237</v>
      </c>
    </row>
    <row r="20495" customFormat="false" ht="12.8" hidden="false" customHeight="false" outlineLevel="0" collapsed="false">
      <c r="B20495" s="0" t="s">
        <v>124</v>
      </c>
    </row>
    <row r="20497" customFormat="false" ht="12.8" hidden="false" customHeight="false" outlineLevel="0" collapsed="false">
      <c r="A20497" s="0" t="s">
        <v>7773</v>
      </c>
      <c r="B20497" s="0" t="str">
        <f aca="false">HYPERLINK("https://lindat.mff.cuni.cz/services/teitok/pdtc10/index.php?action=vallex&amp;frame=v-w2547f8", "obrátit (v-w2547f8)")</f>
        <v>obrátit (v-w2547f8)</v>
      </c>
    </row>
    <row r="20498" customFormat="false" ht="12.8" hidden="false" customHeight="false" outlineLevel="0" collapsed="false">
      <c r="B20498" s="0" t="s">
        <v>7</v>
      </c>
      <c r="C20498" s="0" t="s">
        <v>194</v>
      </c>
    </row>
    <row r="20499" customFormat="false" ht="12.8" hidden="false" customHeight="false" outlineLevel="0" collapsed="false">
      <c r="B20499" s="0" t="s">
        <v>927</v>
      </c>
      <c r="C20499" s="0" t="s">
        <v>7774</v>
      </c>
    </row>
    <row r="20500" customFormat="false" ht="12.8" hidden="false" customHeight="false" outlineLevel="0" collapsed="false">
      <c r="B20500" s="0" t="s">
        <v>14</v>
      </c>
      <c r="C20500" s="0" t="s">
        <v>7728</v>
      </c>
    </row>
    <row r="20502" customFormat="false" ht="12.8" hidden="false" customHeight="false" outlineLevel="0" collapsed="false">
      <c r="A20502" s="0" t="s">
        <v>7775</v>
      </c>
      <c r="B20502" s="0" t="str">
        <f aca="false">HYPERLINK("https://lindat.mff.cuni.cz/services/teitok/pdtc10/index.php?action=vallex&amp;frame=v-w2547f6", "obrátit (v-w2547f6)")</f>
        <v>obrátit (v-w2547f6)</v>
      </c>
    </row>
    <row r="20503" customFormat="false" ht="12.8" hidden="false" customHeight="false" outlineLevel="0" collapsed="false">
      <c r="B20503" s="0" t="s">
        <v>7</v>
      </c>
    </row>
    <row r="20504" customFormat="false" ht="12.8" hidden="false" customHeight="false" outlineLevel="0" collapsed="false">
      <c r="B20504" s="0" t="s">
        <v>7776</v>
      </c>
    </row>
    <row r="20506" customFormat="false" ht="12.8" hidden="false" customHeight="false" outlineLevel="0" collapsed="false">
      <c r="A20506" s="0" t="s">
        <v>7777</v>
      </c>
      <c r="B20506" s="0" t="str">
        <f aca="false">HYPERLINK("https://lindat.mff.cuni.cz/services/teitok/pdtc10/index.php?action=vallex&amp;frame=v-w2547hsa_910", "obrátit (v-w2547hsa_910)")</f>
        <v>obrátit (v-w2547hsa_910)</v>
      </c>
    </row>
    <row r="20507" customFormat="false" ht="12.8" hidden="false" customHeight="false" outlineLevel="0" collapsed="false">
      <c r="B20507" s="0" t="s">
        <v>7</v>
      </c>
      <c r="C20507" s="0" t="s">
        <v>569</v>
      </c>
      <c r="D20507" s="0" t="s">
        <v>1435</v>
      </c>
      <c r="E20507" s="0" t="s">
        <v>1435</v>
      </c>
      <c r="F20507" s="0" t="s">
        <v>1435</v>
      </c>
    </row>
    <row r="20508" customFormat="false" ht="12.8" hidden="false" customHeight="false" outlineLevel="0" collapsed="false">
      <c r="B20508" s="0" t="s">
        <v>14</v>
      </c>
      <c r="C20508" s="0" t="s">
        <v>487</v>
      </c>
      <c r="D20508" s="0" t="s">
        <v>1437</v>
      </c>
      <c r="E20508" s="0" t="s">
        <v>1437</v>
      </c>
      <c r="F20508" s="0" t="s">
        <v>1437</v>
      </c>
    </row>
    <row r="20509" customFormat="false" ht="12.8" hidden="false" customHeight="false" outlineLevel="0" collapsed="false">
      <c r="B20509" s="0" t="s">
        <v>124</v>
      </c>
      <c r="D20509" s="0" t="s">
        <v>7001</v>
      </c>
      <c r="E20509" s="0" t="s">
        <v>7001</v>
      </c>
      <c r="F20509" s="0" t="s">
        <v>7001</v>
      </c>
    </row>
    <row r="20511" customFormat="false" ht="12.8" hidden="false" customHeight="false" outlineLevel="0" collapsed="false">
      <c r="A20511" s="0" t="s">
        <v>7778</v>
      </c>
      <c r="B20511" s="0" t="str">
        <f aca="false">HYPERLINK("https://lindat.mff.cuni.cz/services/teitok/pdtc10/index.php?action=vallex&amp;frame=v-w2547f10_ZU", "obrátit (v-w2547f10_ZU)")</f>
        <v>obrátit (v-w2547f10_ZU)</v>
      </c>
    </row>
    <row r="20512" customFormat="false" ht="12.8" hidden="false" customHeight="false" outlineLevel="0" collapsed="false">
      <c r="B20512" s="0" t="s">
        <v>7</v>
      </c>
    </row>
    <row r="20513" customFormat="false" ht="12.8" hidden="false" customHeight="false" outlineLevel="0" collapsed="false">
      <c r="B20513" s="0" t="s">
        <v>7779</v>
      </c>
    </row>
    <row r="20515" customFormat="false" ht="12.8" hidden="false" customHeight="false" outlineLevel="0" collapsed="false">
      <c r="A20515" s="0" t="s">
        <v>7778</v>
      </c>
      <c r="B20515" s="0" t="str">
        <f aca="false">HYPERLINK("https://lindat.mff.cuni.cz/services/teitok/pdtc10/index.php?action=vallex&amp;frame=v-w2547hsa_911", "obrátit (v-w2547hsa_911) - substituted with v-w2547f10_ZU")</f>
        <v>obrátit (v-w2547hsa_911) - substituted with v-w2547f10_ZU</v>
      </c>
    </row>
    <row r="20516" customFormat="false" ht="12.8" hidden="false" customHeight="false" outlineLevel="0" collapsed="false">
      <c r="B20516" s="0" t="s">
        <v>7</v>
      </c>
    </row>
    <row r="20517" customFormat="false" ht="12.8" hidden="false" customHeight="false" outlineLevel="0" collapsed="false">
      <c r="B20517" s="0" t="s">
        <v>7779</v>
      </c>
    </row>
    <row r="20519" customFormat="false" ht="12.8" hidden="false" customHeight="false" outlineLevel="0" collapsed="false">
      <c r="A20519" s="0" t="s">
        <v>7780</v>
      </c>
      <c r="B20519" s="0" t="str">
        <f aca="false">HYPERLINK("https://lindat.mff.cuni.cz/services/teitok/pdtc10/index.php?action=vallex&amp;frame=v-w2547hsa_909", "obrátit (v-w2547hsa_909)")</f>
        <v>obrátit (v-w2547hsa_909)</v>
      </c>
    </row>
    <row r="20520" customFormat="false" ht="12.8" hidden="false" customHeight="false" outlineLevel="0" collapsed="false">
      <c r="B20520" s="0" t="s">
        <v>7</v>
      </c>
    </row>
    <row r="20521" customFormat="false" ht="12.8" hidden="false" customHeight="false" outlineLevel="0" collapsed="false">
      <c r="B20521" s="0" t="s">
        <v>14</v>
      </c>
    </row>
    <row r="20523" customFormat="false" ht="12.8" hidden="false" customHeight="false" outlineLevel="0" collapsed="false">
      <c r="A20523" s="0" t="s">
        <v>7781</v>
      </c>
      <c r="B20523" s="0" t="str">
        <f aca="false">HYPERLINK("https://lindat.mff.cuni.cz/services/teitok/pdtc10/index.php?action=vallex&amp;frame=v-w2548f5", "obrátit se (v-w2548f5)")</f>
        <v>obrátit se (v-w2548f5)</v>
      </c>
    </row>
    <row r="20524" customFormat="false" ht="12.8" hidden="false" customHeight="false" outlineLevel="0" collapsed="false">
      <c r="B20524" s="0" t="s">
        <v>7</v>
      </c>
      <c r="C20524" s="0" t="s">
        <v>7782</v>
      </c>
    </row>
    <row r="20525" customFormat="false" ht="12.8" hidden="false" customHeight="false" outlineLevel="0" collapsed="false">
      <c r="B20525" s="0" t="s">
        <v>237</v>
      </c>
    </row>
    <row r="20527" customFormat="false" ht="12.8" hidden="false" customHeight="false" outlineLevel="0" collapsed="false">
      <c r="A20527" s="0" t="s">
        <v>7783</v>
      </c>
      <c r="B20527" s="0" t="str">
        <f aca="false">HYPERLINK("https://lindat.mff.cuni.cz/services/teitok/pdtc10/index.php?action=vallex&amp;frame=v-w2548f3", "obrátit se (v-w2548f3)")</f>
        <v>obrátit se (v-w2548f3)</v>
      </c>
    </row>
    <row r="20528" customFormat="false" ht="12.8" hidden="false" customHeight="false" outlineLevel="0" collapsed="false">
      <c r="B20528" s="0" t="s">
        <v>7</v>
      </c>
      <c r="C20528" s="0" t="s">
        <v>7782</v>
      </c>
    </row>
    <row r="20529" customFormat="false" ht="12.8" hidden="false" customHeight="false" outlineLevel="0" collapsed="false">
      <c r="B20529" s="0" t="s">
        <v>4406</v>
      </c>
    </row>
    <row r="20531" customFormat="false" ht="12.8" hidden="false" customHeight="false" outlineLevel="0" collapsed="false">
      <c r="A20531" s="0" t="s">
        <v>7784</v>
      </c>
      <c r="B20531" s="0" t="str">
        <f aca="false">HYPERLINK("https://lindat.mff.cuni.cz/services/teitok/pdtc10/index.php?action=vallex&amp;frame=v-w2548f11_ZU", "obrátit se (v-w2548f11_ZU)")</f>
        <v>obrátit se (v-w2548f11_ZU)</v>
      </c>
    </row>
    <row r="20532" customFormat="false" ht="12.8" hidden="false" customHeight="false" outlineLevel="0" collapsed="false">
      <c r="B20532" s="0" t="s">
        <v>7</v>
      </c>
    </row>
    <row r="20533" customFormat="false" ht="12.8" hidden="false" customHeight="false" outlineLevel="0" collapsed="false">
      <c r="B20533" s="0" t="s">
        <v>7740</v>
      </c>
    </row>
    <row r="20534" customFormat="false" ht="12.8" hidden="false" customHeight="false" outlineLevel="0" collapsed="false">
      <c r="B20534" s="0" t="s">
        <v>7785</v>
      </c>
    </row>
    <row r="20536" customFormat="false" ht="12.8" hidden="false" customHeight="false" outlineLevel="0" collapsed="false">
      <c r="A20536" s="0" t="s">
        <v>7784</v>
      </c>
      <c r="B20536" s="0" t="str">
        <f aca="false">HYPERLINK("https://lindat.mff.cuni.cz/services/teitok/pdtc10/index.php?action=vallex&amp;frame=v-w2548f1", "obrátit se (v-w2548f1) - substituted with v-w2548f11_ZU")</f>
        <v>obrátit se (v-w2548f1) - substituted with v-w2548f11_ZU</v>
      </c>
    </row>
    <row r="20537" customFormat="false" ht="12.8" hidden="false" customHeight="false" outlineLevel="0" collapsed="false">
      <c r="B20537" s="0" t="s">
        <v>7</v>
      </c>
      <c r="C20537" s="0" t="s">
        <v>7786</v>
      </c>
    </row>
    <row r="20538" customFormat="false" ht="12.8" hidden="false" customHeight="false" outlineLevel="0" collapsed="false">
      <c r="B20538" s="0" t="s">
        <v>7740</v>
      </c>
      <c r="C20538" s="0" t="s">
        <v>7787</v>
      </c>
    </row>
    <row r="20539" customFormat="false" ht="12.8" hidden="false" customHeight="false" outlineLevel="0" collapsed="false">
      <c r="B20539" s="0" t="s">
        <v>7785</v>
      </c>
      <c r="C20539" s="0" t="s">
        <v>7788</v>
      </c>
    </row>
    <row r="20541" customFormat="false" ht="12.8" hidden="false" customHeight="false" outlineLevel="0" collapsed="false">
      <c r="A20541" s="0" t="s">
        <v>7784</v>
      </c>
      <c r="B20541" s="0" t="str">
        <f aca="false">HYPERLINK("https://lindat.mff.cuni.cz/services/teitok/pdtc10/index.php?action=vallex&amp;frame=v-w2548hsa_680", "obrátit se (v-w2548hsa_680) - substituted with v-w2548f11_ZU")</f>
        <v>obrátit se (v-w2548hsa_680) - substituted with v-w2548f11_ZU</v>
      </c>
    </row>
    <row r="20542" customFormat="false" ht="12.8" hidden="false" customHeight="false" outlineLevel="0" collapsed="false">
      <c r="B20542" s="0" t="s">
        <v>7</v>
      </c>
      <c r="C20542" s="0" t="s">
        <v>7215</v>
      </c>
      <c r="D20542" s="0" t="s">
        <v>114</v>
      </c>
      <c r="E20542" s="0" t="s">
        <v>114</v>
      </c>
      <c r="F20542" s="0" t="s">
        <v>114</v>
      </c>
    </row>
    <row r="20543" customFormat="false" ht="12.8" hidden="false" customHeight="false" outlineLevel="0" collapsed="false">
      <c r="B20543" s="0" t="s">
        <v>7740</v>
      </c>
      <c r="C20543" s="0" t="s">
        <v>7789</v>
      </c>
      <c r="D20543" s="0" t="s">
        <v>7790</v>
      </c>
      <c r="E20543" s="0" t="s">
        <v>7790</v>
      </c>
      <c r="F20543" s="0" t="s">
        <v>7790</v>
      </c>
    </row>
    <row r="20544" customFormat="false" ht="12.8" hidden="false" customHeight="false" outlineLevel="0" collapsed="false">
      <c r="B20544" s="0" t="s">
        <v>7785</v>
      </c>
      <c r="D20544" s="0" t="s">
        <v>7791</v>
      </c>
      <c r="E20544" s="0" t="s">
        <v>7791</v>
      </c>
      <c r="F20544" s="0" t="s">
        <v>7791</v>
      </c>
    </row>
    <row r="20546" customFormat="false" ht="12.8" hidden="false" customHeight="false" outlineLevel="0" collapsed="false">
      <c r="A20546" s="0" t="s">
        <v>7792</v>
      </c>
      <c r="B20546" s="0" t="str">
        <f aca="false">HYPERLINK("https://lindat.mff.cuni.cz/services/teitok/pdtc10/index.php?action=vallex&amp;frame=v-w2548f2", "obrátit se (v-w2548f2)")</f>
        <v>obrátit se (v-w2548f2)</v>
      </c>
    </row>
    <row r="20547" customFormat="false" ht="12.8" hidden="false" customHeight="false" outlineLevel="0" collapsed="false">
      <c r="B20547" s="0" t="s">
        <v>7</v>
      </c>
      <c r="C20547" s="0" t="s">
        <v>7793</v>
      </c>
    </row>
    <row r="20549" customFormat="false" ht="12.8" hidden="false" customHeight="false" outlineLevel="0" collapsed="false">
      <c r="A20549" s="0" t="s">
        <v>7794</v>
      </c>
      <c r="B20549" s="0" t="str">
        <f aca="false">HYPERLINK("https://lindat.mff.cuni.cz/services/teitok/pdtc10/index.php?action=vallex&amp;frame=v-w2548f4", "obrátit se (v-w2548f4)")</f>
        <v>obrátit se (v-w2548f4)</v>
      </c>
    </row>
    <row r="20550" customFormat="false" ht="12.8" hidden="false" customHeight="false" outlineLevel="0" collapsed="false">
      <c r="B20550" s="0" t="s">
        <v>7</v>
      </c>
      <c r="C20550" s="0" t="s">
        <v>7795</v>
      </c>
      <c r="D20550" s="0" t="s">
        <v>191</v>
      </c>
      <c r="E20550" s="0" t="s">
        <v>191</v>
      </c>
      <c r="F20550" s="0" t="s">
        <v>191</v>
      </c>
    </row>
    <row r="20552" customFormat="false" ht="12.8" hidden="false" customHeight="false" outlineLevel="0" collapsed="false">
      <c r="A20552" s="0" t="s">
        <v>7796</v>
      </c>
      <c r="B20552" s="0" t="str">
        <f aca="false">HYPERLINK("https://lindat.mff.cuni.cz/services/teitok/pdtc10/index.php?action=vallex&amp;frame=v-w2548f6", "obrátit se (v-w2548f6)")</f>
        <v>obrátit se (v-w2548f6)</v>
      </c>
    </row>
    <row r="20553" customFormat="false" ht="12.8" hidden="false" customHeight="false" outlineLevel="0" collapsed="false">
      <c r="B20553" s="0" t="s">
        <v>7</v>
      </c>
      <c r="C20553" s="0" t="s">
        <v>16</v>
      </c>
    </row>
    <row r="20554" customFormat="false" ht="12.8" hidden="false" customHeight="false" outlineLevel="0" collapsed="false">
      <c r="B20554" s="0" t="s">
        <v>7797</v>
      </c>
      <c r="C20554" s="0" t="s">
        <v>7798</v>
      </c>
    </row>
    <row r="20556" customFormat="false" ht="12.8" hidden="false" customHeight="false" outlineLevel="0" collapsed="false">
      <c r="A20556" s="0" t="s">
        <v>7799</v>
      </c>
      <c r="B20556" s="0" t="str">
        <f aca="false">HYPERLINK("https://lindat.mff.cuni.cz/services/teitok/pdtc10/index.php?action=vallex&amp;frame=v-w2548f7_ZU", "obrátit se (v-w2548f7_ZU)")</f>
        <v>obrátit se (v-w2548f7_ZU)</v>
      </c>
    </row>
    <row r="20557" customFormat="false" ht="12.8" hidden="false" customHeight="false" outlineLevel="0" collapsed="false">
      <c r="B20557" s="0" t="s">
        <v>7</v>
      </c>
      <c r="D20557" s="0" t="s">
        <v>191</v>
      </c>
      <c r="E20557" s="0" t="s">
        <v>191</v>
      </c>
      <c r="F20557" s="0" t="s">
        <v>191</v>
      </c>
    </row>
    <row r="20558" customFormat="false" ht="12.8" hidden="false" customHeight="false" outlineLevel="0" collapsed="false">
      <c r="B20558" s="0" t="s">
        <v>7800</v>
      </c>
    </row>
    <row r="20560" customFormat="false" ht="12.8" hidden="false" customHeight="false" outlineLevel="0" collapsed="false">
      <c r="A20560" s="0" t="s">
        <v>7801</v>
      </c>
      <c r="B20560" s="0" t="str">
        <f aca="false">HYPERLINK("https://lindat.mff.cuni.cz/services/teitok/pdtc10/index.php?action=vallex&amp;frame=v-w2548f8_ZU", "obrátit se (v-w2548f8_ZU)")</f>
        <v>obrátit se (v-w2548f8_ZU)</v>
      </c>
    </row>
    <row r="20561" customFormat="false" ht="12.8" hidden="false" customHeight="false" outlineLevel="0" collapsed="false">
      <c r="B20561" s="0" t="s">
        <v>7</v>
      </c>
      <c r="C20561" s="0" t="s">
        <v>7802</v>
      </c>
    </row>
    <row r="20562" customFormat="false" ht="12.8" hidden="false" customHeight="false" outlineLevel="0" collapsed="false">
      <c r="B20562" s="0" t="s">
        <v>7803</v>
      </c>
      <c r="C20562" s="0" t="s">
        <v>7774</v>
      </c>
    </row>
    <row r="20564" customFormat="false" ht="12.8" hidden="false" customHeight="false" outlineLevel="0" collapsed="false">
      <c r="A20564" s="0" t="s">
        <v>7804</v>
      </c>
      <c r="B20564" s="0" t="str">
        <f aca="false">HYPERLINK("https://lindat.mff.cuni.cz/services/teitok/pdtc10/index.php?action=vallex&amp;frame=v-w2548hsa_679", "obrátit se (v-w2548hsa_679)")</f>
        <v>obrátit se (v-w2548hsa_679)</v>
      </c>
    </row>
    <row r="20565" customFormat="false" ht="12.8" hidden="false" customHeight="false" outlineLevel="0" collapsed="false">
      <c r="B20565" s="0" t="s">
        <v>7</v>
      </c>
      <c r="C20565" s="0" t="s">
        <v>7805</v>
      </c>
    </row>
    <row r="20566" customFormat="false" ht="12.8" hidden="false" customHeight="false" outlineLevel="0" collapsed="false">
      <c r="B20566" s="0" t="s">
        <v>63</v>
      </c>
      <c r="C20566" s="0" t="s">
        <v>7806</v>
      </c>
    </row>
    <row r="20568" customFormat="false" ht="12.8" hidden="false" customHeight="false" outlineLevel="0" collapsed="false">
      <c r="A20568" s="0" t="s">
        <v>7807</v>
      </c>
      <c r="B20568" s="0" t="str">
        <f aca="false">HYPERLINK("https://lindat.mff.cuni.cz/services/teitok/pdtc10/index.php?action=vallex&amp;frame=v-w2548hsa_681", "obrátit se (v-w2548hsa_681)")</f>
        <v>obrátit se (v-w2548hsa_681)</v>
      </c>
    </row>
    <row r="20569" customFormat="false" ht="12.8" hidden="false" customHeight="false" outlineLevel="0" collapsed="false">
      <c r="B20569" s="0" t="s">
        <v>7</v>
      </c>
      <c r="C20569" s="0" t="s">
        <v>247</v>
      </c>
      <c r="D20569" s="0" t="s">
        <v>247</v>
      </c>
      <c r="E20569" s="0" t="s">
        <v>247</v>
      </c>
      <c r="F20569" s="0" t="s">
        <v>247</v>
      </c>
    </row>
    <row r="20570" customFormat="false" ht="12.8" hidden="false" customHeight="false" outlineLevel="0" collapsed="false">
      <c r="B20570" s="0" t="s">
        <v>2275</v>
      </c>
      <c r="C20570" s="0" t="s">
        <v>567</v>
      </c>
      <c r="D20570" s="0" t="s">
        <v>567</v>
      </c>
      <c r="E20570" s="0" t="s">
        <v>567</v>
      </c>
      <c r="F20570" s="0" t="s">
        <v>567</v>
      </c>
    </row>
    <row r="20572" customFormat="false" ht="12.8" hidden="false" customHeight="false" outlineLevel="0" collapsed="false">
      <c r="A20572" s="0" t="s">
        <v>7808</v>
      </c>
      <c r="B20572" s="0" t="str">
        <f aca="false">HYPERLINK("https://lindat.mff.cuni.cz/services/teitok/pdtc10/index.php?action=vallex&amp;frame=v-w2548f9_ZU", "obrátit se (v-w2548f9_ZU)")</f>
        <v>obrátit se (v-w2548f9_ZU)</v>
      </c>
    </row>
    <row r="20573" customFormat="false" ht="12.8" hidden="false" customHeight="false" outlineLevel="0" collapsed="false">
      <c r="B20573" s="0" t="s">
        <v>7</v>
      </c>
      <c r="C20573" s="0" t="s">
        <v>580</v>
      </c>
      <c r="D20573" s="0" t="s">
        <v>191</v>
      </c>
      <c r="E20573" s="0" t="s">
        <v>191</v>
      </c>
      <c r="F20573" s="0" t="s">
        <v>191</v>
      </c>
    </row>
    <row r="20574" customFormat="false" ht="12.8" hidden="false" customHeight="false" outlineLevel="0" collapsed="false">
      <c r="B20574" s="0" t="s">
        <v>7749</v>
      </c>
    </row>
    <row r="20576" customFormat="false" ht="12.8" hidden="false" customHeight="false" outlineLevel="0" collapsed="false">
      <c r="A20576" s="0" t="s">
        <v>7808</v>
      </c>
      <c r="B20576" s="0" t="str">
        <f aca="false">HYPERLINK("https://lindat.mff.cuni.cz/services/teitok/pdtc10/index.php?action=vallex&amp;frame=v-w2548hsa_682", "obrátit se (v-w2548hsa_682) - substituted with v-w2548f9_ZU")</f>
        <v>obrátit se (v-w2548hsa_682) - substituted with v-w2548f9_ZU</v>
      </c>
    </row>
    <row r="20577" customFormat="false" ht="12.8" hidden="false" customHeight="false" outlineLevel="0" collapsed="false">
      <c r="B20577" s="0" t="s">
        <v>7</v>
      </c>
    </row>
    <row r="20578" customFormat="false" ht="12.8" hidden="false" customHeight="false" outlineLevel="0" collapsed="false">
      <c r="B20578" s="0" t="s">
        <v>7749</v>
      </c>
    </row>
    <row r="20580" customFormat="false" ht="12.8" hidden="false" customHeight="false" outlineLevel="0" collapsed="false">
      <c r="A20580" s="0" t="s">
        <v>7809</v>
      </c>
      <c r="B20580" s="0" t="str">
        <f aca="false">HYPERLINK("https://lindat.mff.cuni.cz/services/teitok/pdtc10/index.php?action=vallex&amp;frame=v-w2548f10_ZU", "obrátit se (v-w2548f10_ZU)")</f>
        <v>obrátit se (v-w2548f10_ZU)</v>
      </c>
    </row>
    <row r="20581" customFormat="false" ht="12.8" hidden="false" customHeight="false" outlineLevel="0" collapsed="false">
      <c r="B20581" s="0" t="s">
        <v>7</v>
      </c>
      <c r="C20581" s="0" t="s">
        <v>191</v>
      </c>
      <c r="D20581" s="0" t="s">
        <v>4414</v>
      </c>
      <c r="E20581" s="0" t="s">
        <v>4414</v>
      </c>
      <c r="F20581" s="0" t="s">
        <v>4414</v>
      </c>
    </row>
    <row r="20582" customFormat="false" ht="12.8" hidden="false" customHeight="false" outlineLevel="0" collapsed="false">
      <c r="B20582" s="0" t="s">
        <v>7751</v>
      </c>
      <c r="C20582" s="0" t="s">
        <v>532</v>
      </c>
    </row>
    <row r="20583" customFormat="false" ht="12.8" hidden="false" customHeight="false" outlineLevel="0" collapsed="false">
      <c r="B20583" s="0" t="s">
        <v>237</v>
      </c>
      <c r="D20583" s="0" t="s">
        <v>2887</v>
      </c>
      <c r="E20583" s="0" t="s">
        <v>2887</v>
      </c>
      <c r="F20583" s="0" t="s">
        <v>2887</v>
      </c>
    </row>
    <row r="20585" customFormat="false" ht="12.8" hidden="false" customHeight="false" outlineLevel="0" collapsed="false">
      <c r="A20585" s="0" t="s">
        <v>7810</v>
      </c>
      <c r="B20585" s="0" t="str">
        <f aca="false">HYPERLINK("https://lindat.mff.cuni.cz/services/teitok/pdtc10/index.php?action=vallex&amp;frame=v-w2551f1", "obrážet se (v-w2551f1)")</f>
        <v>obrážet se (v-w2551f1)</v>
      </c>
    </row>
    <row r="20586" customFormat="false" ht="12.8" hidden="false" customHeight="false" outlineLevel="0" collapsed="false">
      <c r="B20586" s="0" t="s">
        <v>7</v>
      </c>
    </row>
    <row r="20587" customFormat="false" ht="12.8" hidden="false" customHeight="false" outlineLevel="0" collapsed="false">
      <c r="B20587" s="0" t="s">
        <v>11</v>
      </c>
    </row>
    <row r="20589" customFormat="false" ht="12.8" hidden="false" customHeight="false" outlineLevel="0" collapsed="false">
      <c r="A20589" s="0" t="s">
        <v>7811</v>
      </c>
      <c r="B20589" s="0" t="str">
        <f aca="false">HYPERLINK("https://lindat.mff.cuni.cz/services/teitok/pdtc10/index.php?action=vallex&amp;frame=v-w11757_ZUf1_ZU", "obrůst (v-w11757_ZUf1_ZU)")</f>
        <v>obrůst (v-w11757_ZUf1_ZU)</v>
      </c>
    </row>
    <row r="20590" customFormat="false" ht="12.8" hidden="false" customHeight="false" outlineLevel="0" collapsed="false">
      <c r="B20590" s="0" t="s">
        <v>7</v>
      </c>
    </row>
    <row r="20592" customFormat="false" ht="12.8" hidden="false" customHeight="false" outlineLevel="0" collapsed="false">
      <c r="A20592" s="0" t="s">
        <v>7812</v>
      </c>
      <c r="B20592" s="0" t="str">
        <f aca="false">HYPERLINK("https://lindat.mff.cuni.cz/services/teitok/pdtc10/index.php?action=vallex&amp;frame=v-w11757_ZUf2_ZU", "obrůst (v-w11757_ZUf2_ZU)")</f>
        <v>obrůst (v-w11757_ZUf2_ZU)</v>
      </c>
    </row>
    <row r="20593" customFormat="false" ht="12.8" hidden="false" customHeight="false" outlineLevel="0" collapsed="false">
      <c r="B20593" s="0" t="s">
        <v>7</v>
      </c>
    </row>
    <row r="20595" customFormat="false" ht="12.8" hidden="false" customHeight="false" outlineLevel="0" collapsed="false">
      <c r="A20595" s="0" t="s">
        <v>7813</v>
      </c>
      <c r="B20595" s="0" t="str">
        <f aca="false">HYPERLINK("https://lindat.mff.cuni.cz/services/teitok/pdtc10/index.php?action=vallex&amp;frame=v-w2556f2", "obrůstat (v-w2556f2)")</f>
        <v>obrůstat (v-w2556f2)</v>
      </c>
    </row>
    <row r="20596" customFormat="false" ht="12.8" hidden="false" customHeight="false" outlineLevel="0" collapsed="false">
      <c r="B20596" s="0" t="s">
        <v>7</v>
      </c>
    </row>
    <row r="20597" customFormat="false" ht="12.8" hidden="false" customHeight="false" outlineLevel="0" collapsed="false">
      <c r="B20597" s="0" t="s">
        <v>14</v>
      </c>
    </row>
    <row r="20599" customFormat="false" ht="12.8" hidden="false" customHeight="false" outlineLevel="0" collapsed="false">
      <c r="A20599" s="0" t="s">
        <v>7814</v>
      </c>
      <c r="B20599" s="0" t="str">
        <f aca="false">HYPERLINK("https://lindat.mff.cuni.cz/services/teitok/pdtc10/index.php?action=vallex&amp;frame=v-w2556f1", "obrůstat (v-w2556f1)")</f>
        <v>obrůstat (v-w2556f1)</v>
      </c>
    </row>
    <row r="20600" customFormat="false" ht="12.8" hidden="false" customHeight="false" outlineLevel="0" collapsed="false">
      <c r="B20600" s="0" t="s">
        <v>7</v>
      </c>
    </row>
    <row r="20601" customFormat="false" ht="12.8" hidden="false" customHeight="false" outlineLevel="0" collapsed="false">
      <c r="B20601" s="0" t="s">
        <v>216</v>
      </c>
    </row>
    <row r="20603" customFormat="false" ht="12.8" hidden="false" customHeight="false" outlineLevel="0" collapsed="false">
      <c r="A20603" s="0" t="s">
        <v>7815</v>
      </c>
      <c r="B20603" s="0" t="str">
        <f aca="false">HYPERLINK("https://lindat.mff.cuni.cz/services/teitok/pdtc10/index.php?action=vallex&amp;frame=v-w2558f4", "obsadit (v-w2558f4)")</f>
        <v>obsadit (v-w2558f4)</v>
      </c>
    </row>
    <row r="20604" customFormat="false" ht="12.8" hidden="false" customHeight="false" outlineLevel="0" collapsed="false">
      <c r="B20604" s="0" t="s">
        <v>7</v>
      </c>
      <c r="C20604" s="0" t="s">
        <v>7816</v>
      </c>
      <c r="D20604" s="0" t="s">
        <v>6737</v>
      </c>
      <c r="E20604" s="0" t="s">
        <v>6737</v>
      </c>
      <c r="F20604" s="0" t="s">
        <v>6737</v>
      </c>
    </row>
    <row r="20605" customFormat="false" ht="12.8" hidden="false" customHeight="false" outlineLevel="0" collapsed="false">
      <c r="B20605" s="0" t="s">
        <v>14</v>
      </c>
      <c r="C20605" s="0" t="s">
        <v>7817</v>
      </c>
      <c r="D20605" s="0" t="s">
        <v>6739</v>
      </c>
      <c r="E20605" s="0" t="s">
        <v>6739</v>
      </c>
      <c r="F20605" s="0" t="s">
        <v>6739</v>
      </c>
    </row>
    <row r="20606" customFormat="false" ht="12.8" hidden="false" customHeight="false" outlineLevel="0" collapsed="false">
      <c r="B20606" s="0" t="s">
        <v>6292</v>
      </c>
      <c r="D20606" s="0" t="s">
        <v>6741</v>
      </c>
      <c r="E20606" s="0" t="s">
        <v>6741</v>
      </c>
      <c r="F20606" s="0" t="s">
        <v>6741</v>
      </c>
    </row>
    <row r="20608" customFormat="false" ht="12.8" hidden="false" customHeight="false" outlineLevel="0" collapsed="false">
      <c r="A20608" s="0" t="s">
        <v>7818</v>
      </c>
      <c r="B20608" s="0" t="str">
        <f aca="false">HYPERLINK("https://lindat.mff.cuni.cz/services/teitok/pdtc10/index.php?action=vallex&amp;frame=v-w2558f1", "obsadit (v-w2558f1)")</f>
        <v>obsadit (v-w2558f1)</v>
      </c>
    </row>
    <row r="20609" customFormat="false" ht="12.8" hidden="false" customHeight="false" outlineLevel="0" collapsed="false">
      <c r="B20609" s="0" t="s">
        <v>7</v>
      </c>
      <c r="C20609" s="0" t="s">
        <v>7819</v>
      </c>
      <c r="D20609" s="0" t="s">
        <v>1680</v>
      </c>
      <c r="E20609" s="0" t="s">
        <v>1680</v>
      </c>
      <c r="F20609" s="0" t="s">
        <v>1680</v>
      </c>
    </row>
    <row r="20610" customFormat="false" ht="12.8" hidden="false" customHeight="false" outlineLevel="0" collapsed="false">
      <c r="B20610" s="0" t="s">
        <v>14</v>
      </c>
      <c r="C20610" s="0" t="s">
        <v>128</v>
      </c>
      <c r="D20610" s="0" t="s">
        <v>1681</v>
      </c>
      <c r="E20610" s="0" t="s">
        <v>1681</v>
      </c>
      <c r="F20610" s="0" t="s">
        <v>1681</v>
      </c>
    </row>
    <row r="20612" customFormat="false" ht="12.8" hidden="false" customHeight="false" outlineLevel="0" collapsed="false">
      <c r="A20612" s="0" t="s">
        <v>7820</v>
      </c>
      <c r="B20612" s="0" t="str">
        <f aca="false">HYPERLINK("https://lindat.mff.cuni.cz/services/teitok/pdtc10/index.php?action=vallex&amp;frame=v-w2558f2", "obsadit (v-w2558f2)")</f>
        <v>obsadit (v-w2558f2)</v>
      </c>
    </row>
    <row r="20613" customFormat="false" ht="12.8" hidden="false" customHeight="false" outlineLevel="0" collapsed="false">
      <c r="B20613" s="0" t="s">
        <v>7</v>
      </c>
      <c r="C20613" s="0" t="s">
        <v>7821</v>
      </c>
      <c r="D20613" s="0" t="s">
        <v>2281</v>
      </c>
      <c r="E20613" s="0" t="s">
        <v>2281</v>
      </c>
      <c r="F20613" s="0" t="s">
        <v>2281</v>
      </c>
    </row>
    <row r="20614" customFormat="false" ht="12.8" hidden="false" customHeight="false" outlineLevel="0" collapsed="false">
      <c r="B20614" s="0" t="s">
        <v>14</v>
      </c>
      <c r="C20614" s="0" t="s">
        <v>7822</v>
      </c>
      <c r="D20614" s="0" t="s">
        <v>6331</v>
      </c>
      <c r="E20614" s="0" t="s">
        <v>6331</v>
      </c>
      <c r="F20614" s="0" t="s">
        <v>6331</v>
      </c>
    </row>
    <row r="20616" customFormat="false" ht="12.8" hidden="false" customHeight="false" outlineLevel="0" collapsed="false">
      <c r="A20616" s="0" t="s">
        <v>7823</v>
      </c>
      <c r="B20616" s="0" t="str">
        <f aca="false">HYPERLINK("https://lindat.mff.cuni.cz/services/teitok/pdtc10/index.php?action=vallex&amp;frame=v-w2558f5", "obsadit (v-w2558f5)")</f>
        <v>obsadit (v-w2558f5)</v>
      </c>
    </row>
    <row r="20617" customFormat="false" ht="12.8" hidden="false" customHeight="false" outlineLevel="0" collapsed="false">
      <c r="B20617" s="0" t="s">
        <v>7</v>
      </c>
      <c r="C20617" s="0" t="s">
        <v>569</v>
      </c>
    </row>
    <row r="20618" customFormat="false" ht="12.8" hidden="false" customHeight="false" outlineLevel="0" collapsed="false">
      <c r="B20618" s="0" t="s">
        <v>14</v>
      </c>
      <c r="C20618" s="0" t="s">
        <v>33</v>
      </c>
    </row>
    <row r="20620" customFormat="false" ht="12.8" hidden="false" customHeight="false" outlineLevel="0" collapsed="false">
      <c r="A20620" s="0" t="s">
        <v>7824</v>
      </c>
      <c r="B20620" s="0" t="str">
        <f aca="false">HYPERLINK("https://lindat.mff.cuni.cz/services/teitok/pdtc10/index.php?action=vallex&amp;frame=v-w2558f3", "obsadit (v-w2558f3)")</f>
        <v>obsadit (v-w2558f3)</v>
      </c>
    </row>
    <row r="20621" customFormat="false" ht="12.8" hidden="false" customHeight="false" outlineLevel="0" collapsed="false">
      <c r="B20621" s="0" t="s">
        <v>7</v>
      </c>
    </row>
    <row r="20622" customFormat="false" ht="12.8" hidden="false" customHeight="false" outlineLevel="0" collapsed="false">
      <c r="B20622" s="0" t="s">
        <v>7825</v>
      </c>
    </row>
    <row r="20623" customFormat="false" ht="12.8" hidden="false" customHeight="false" outlineLevel="0" collapsed="false">
      <c r="B20623" s="0" t="s">
        <v>14</v>
      </c>
    </row>
    <row r="20625" customFormat="false" ht="12.8" hidden="false" customHeight="false" outlineLevel="0" collapsed="false">
      <c r="A20625" s="0" t="s">
        <v>7826</v>
      </c>
      <c r="B20625" s="0" t="str">
        <f aca="false">HYPERLINK("https://lindat.mff.cuni.cz/services/teitok/pdtc10/index.php?action=vallex&amp;frame=v-w2561f1", "obsahovat (v-w2561f1)")</f>
        <v>obsahovat (v-w2561f1)</v>
      </c>
    </row>
    <row r="20626" customFormat="false" ht="12.8" hidden="false" customHeight="false" outlineLevel="0" collapsed="false">
      <c r="B20626" s="0" t="s">
        <v>7</v>
      </c>
      <c r="C20626" s="0" t="s">
        <v>7827</v>
      </c>
      <c r="D20626" s="0" t="s">
        <v>7828</v>
      </c>
      <c r="E20626" s="0" t="s">
        <v>7828</v>
      </c>
      <c r="F20626" s="0" t="s">
        <v>7828</v>
      </c>
    </row>
    <row r="20627" customFormat="false" ht="12.8" hidden="false" customHeight="false" outlineLevel="0" collapsed="false">
      <c r="B20627" s="0" t="s">
        <v>14</v>
      </c>
      <c r="C20627" s="0" t="s">
        <v>7829</v>
      </c>
      <c r="D20627" s="0" t="s">
        <v>7830</v>
      </c>
      <c r="E20627" s="0" t="s">
        <v>7830</v>
      </c>
      <c r="F20627" s="0" t="s">
        <v>7830</v>
      </c>
    </row>
    <row r="20629" customFormat="false" ht="12.8" hidden="false" customHeight="false" outlineLevel="0" collapsed="false">
      <c r="A20629" s="0" t="s">
        <v>7831</v>
      </c>
      <c r="B20629" s="0" t="str">
        <f aca="false">HYPERLINK("https://lindat.mff.cuni.cz/services/teitok/pdtc10/index.php?action=vallex&amp;frame=v-w10668f2", "obsazovat (v-w10668f2)")</f>
        <v>obsazovat (v-w10668f2)</v>
      </c>
    </row>
    <row r="20630" customFormat="false" ht="12.8" hidden="false" customHeight="false" outlineLevel="0" collapsed="false">
      <c r="B20630" s="0" t="s">
        <v>7</v>
      </c>
      <c r="C20630" s="0" t="s">
        <v>113</v>
      </c>
      <c r="D20630" s="0" t="s">
        <v>1680</v>
      </c>
      <c r="E20630" s="0" t="s">
        <v>1680</v>
      </c>
      <c r="F20630" s="0" t="s">
        <v>1680</v>
      </c>
    </row>
    <row r="20631" customFormat="false" ht="12.8" hidden="false" customHeight="false" outlineLevel="0" collapsed="false">
      <c r="B20631" s="0" t="s">
        <v>14</v>
      </c>
      <c r="D20631" s="0" t="s">
        <v>1681</v>
      </c>
      <c r="E20631" s="0" t="s">
        <v>1681</v>
      </c>
      <c r="F20631" s="0" t="s">
        <v>1681</v>
      </c>
    </row>
    <row r="20633" customFormat="false" ht="12.8" hidden="false" customHeight="false" outlineLevel="0" collapsed="false">
      <c r="A20633" s="0" t="s">
        <v>7832</v>
      </c>
      <c r="B20633" s="0" t="str">
        <f aca="false">HYPERLINK("https://lindat.mff.cuni.cz/services/teitok/pdtc10/index.php?action=vallex&amp;frame=v-w10668f3", "obsazovat (v-w10668f3)")</f>
        <v>obsazovat (v-w10668f3)</v>
      </c>
    </row>
    <row r="20634" customFormat="false" ht="12.8" hidden="false" customHeight="false" outlineLevel="0" collapsed="false">
      <c r="B20634" s="0" t="s">
        <v>7</v>
      </c>
    </row>
    <row r="20635" customFormat="false" ht="12.8" hidden="false" customHeight="false" outlineLevel="0" collapsed="false">
      <c r="B20635" s="0" t="s">
        <v>14</v>
      </c>
    </row>
    <row r="20637" customFormat="false" ht="12.8" hidden="false" customHeight="false" outlineLevel="0" collapsed="false">
      <c r="A20637" s="0" t="s">
        <v>7833</v>
      </c>
      <c r="B20637" s="0" t="str">
        <f aca="false">HYPERLINK("https://lindat.mff.cuni.cz/services/teitok/pdtc10/index.php?action=vallex&amp;frame=v-whsa_1813hsa_1814", "obskákat (v-whsa_1813hsa_1814)")</f>
        <v>obskákat (v-whsa_1813hsa_1814)</v>
      </c>
    </row>
    <row r="20638" customFormat="false" ht="12.8" hidden="false" customHeight="false" outlineLevel="0" collapsed="false">
      <c r="B20638" s="0" t="s">
        <v>7</v>
      </c>
    </row>
    <row r="20639" customFormat="false" ht="12.8" hidden="false" customHeight="false" outlineLevel="0" collapsed="false">
      <c r="B20639" s="0" t="s">
        <v>14</v>
      </c>
    </row>
    <row r="20641" customFormat="false" ht="12.8" hidden="false" customHeight="false" outlineLevel="0" collapsed="false">
      <c r="A20641" s="0" t="s">
        <v>7834</v>
      </c>
      <c r="B20641" s="0" t="str">
        <f aca="false">HYPERLINK("https://lindat.mff.cuni.cz/services/teitok/pdtc10/index.php?action=vallex&amp;frame=v-w10950f2", "obsloužit (v-w10950f2)")</f>
        <v>obsloužit (v-w10950f2)</v>
      </c>
    </row>
    <row r="20642" customFormat="false" ht="12.8" hidden="false" customHeight="false" outlineLevel="0" collapsed="false">
      <c r="B20642" s="0" t="s">
        <v>7</v>
      </c>
      <c r="C20642" s="0" t="s">
        <v>1613</v>
      </c>
      <c r="D20642" s="0" t="s">
        <v>1287</v>
      </c>
      <c r="E20642" s="0" t="s">
        <v>465</v>
      </c>
      <c r="F20642" s="0" t="s">
        <v>465</v>
      </c>
    </row>
    <row r="20643" customFormat="false" ht="12.8" hidden="false" customHeight="false" outlineLevel="0" collapsed="false">
      <c r="B20643" s="0" t="s">
        <v>14</v>
      </c>
      <c r="C20643" s="0" t="s">
        <v>7835</v>
      </c>
      <c r="D20643" s="0" t="s">
        <v>7836</v>
      </c>
      <c r="E20643" s="0" t="s">
        <v>7837</v>
      </c>
      <c r="F20643" s="0" t="s">
        <v>7837</v>
      </c>
    </row>
    <row r="20645" customFormat="false" ht="12.8" hidden="false" customHeight="false" outlineLevel="0" collapsed="false">
      <c r="A20645" s="0" t="s">
        <v>7838</v>
      </c>
      <c r="B20645" s="0" t="str">
        <f aca="false">HYPERLINK("https://lindat.mff.cuni.cz/services/teitok/pdtc10/index.php?action=vallex&amp;frame=v-w2569f1", "obsluhovat (v-w2569f1)")</f>
        <v>obsluhovat (v-w2569f1)</v>
      </c>
    </row>
    <row r="20646" customFormat="false" ht="12.8" hidden="false" customHeight="false" outlineLevel="0" collapsed="false">
      <c r="B20646" s="0" t="s">
        <v>7</v>
      </c>
      <c r="C20646" s="0" t="s">
        <v>1287</v>
      </c>
      <c r="D20646" s="0" t="s">
        <v>1287</v>
      </c>
      <c r="E20646" s="0" t="s">
        <v>465</v>
      </c>
      <c r="F20646" s="0" t="s">
        <v>465</v>
      </c>
    </row>
    <row r="20647" customFormat="false" ht="12.8" hidden="false" customHeight="false" outlineLevel="0" collapsed="false">
      <c r="B20647" s="0" t="s">
        <v>14</v>
      </c>
      <c r="C20647" s="0" t="s">
        <v>7836</v>
      </c>
      <c r="D20647" s="0" t="s">
        <v>7836</v>
      </c>
      <c r="E20647" s="0" t="s">
        <v>7837</v>
      </c>
      <c r="F20647" s="0" t="s">
        <v>7837</v>
      </c>
    </row>
    <row r="20649" customFormat="false" ht="12.8" hidden="false" customHeight="false" outlineLevel="0" collapsed="false">
      <c r="A20649" s="0" t="s">
        <v>7839</v>
      </c>
      <c r="B20649" s="0" t="str">
        <f aca="false">HYPERLINK("https://lindat.mff.cuni.cz/services/teitok/pdtc10/index.php?action=vallex&amp;frame=v-w2569f3_ZU", "obsluhovat (v-w2569f3_ZU)")</f>
        <v>obsluhovat (v-w2569f3_ZU)</v>
      </c>
    </row>
    <row r="20650" customFormat="false" ht="12.8" hidden="false" customHeight="false" outlineLevel="0" collapsed="false">
      <c r="B20650" s="0" t="s">
        <v>7</v>
      </c>
    </row>
    <row r="20651" customFormat="false" ht="12.8" hidden="false" customHeight="false" outlineLevel="0" collapsed="false">
      <c r="B20651" s="0" t="s">
        <v>14</v>
      </c>
    </row>
    <row r="20653" customFormat="false" ht="12.8" hidden="false" customHeight="false" outlineLevel="0" collapsed="false">
      <c r="A20653" s="0" t="s">
        <v>7839</v>
      </c>
      <c r="B20653" s="0" t="str">
        <f aca="false">HYPERLINK("https://lindat.mff.cuni.cz/services/teitok/pdtc10/index.php?action=vallex&amp;frame=v-w2569f2_ZU", "obsluhovat (v-w2569f2_ZU) - substituted with v-w2569f3_ZU")</f>
        <v>obsluhovat (v-w2569f2_ZU) - substituted with v-w2569f3_ZU</v>
      </c>
    </row>
    <row r="20654" customFormat="false" ht="12.8" hidden="false" customHeight="false" outlineLevel="0" collapsed="false">
      <c r="B20654" s="0" t="s">
        <v>7</v>
      </c>
    </row>
    <row r="20655" customFormat="false" ht="12.8" hidden="false" customHeight="false" outlineLevel="0" collapsed="false">
      <c r="B20655" s="0" t="s">
        <v>14</v>
      </c>
    </row>
    <row r="20657" customFormat="false" ht="12.8" hidden="false" customHeight="false" outlineLevel="0" collapsed="false">
      <c r="A20657" s="0" t="s">
        <v>7840</v>
      </c>
      <c r="B20657" s="0" t="str">
        <f aca="false">HYPERLINK("https://lindat.mff.cuni.cz/services/teitok/pdtc10/index.php?action=vallex&amp;frame=v-w2570f1", "obstarat (v-w2570f1)")</f>
        <v>obstarat (v-w2570f1)</v>
      </c>
    </row>
    <row r="20658" customFormat="false" ht="12.8" hidden="false" customHeight="false" outlineLevel="0" collapsed="false">
      <c r="B20658" s="0" t="s">
        <v>7</v>
      </c>
      <c r="C20658" s="0" t="s">
        <v>7841</v>
      </c>
      <c r="D20658" s="0" t="s">
        <v>3610</v>
      </c>
      <c r="E20658" s="0" t="s">
        <v>3610</v>
      </c>
      <c r="F20658" s="0" t="s">
        <v>7842</v>
      </c>
    </row>
    <row r="20659" customFormat="false" ht="12.8" hidden="false" customHeight="false" outlineLevel="0" collapsed="false">
      <c r="B20659" s="0" t="s">
        <v>14</v>
      </c>
      <c r="C20659" s="0" t="s">
        <v>7843</v>
      </c>
      <c r="D20659" s="0" t="s">
        <v>7844</v>
      </c>
      <c r="E20659" s="0" t="s">
        <v>7844</v>
      </c>
      <c r="F20659" s="0" t="s">
        <v>7845</v>
      </c>
    </row>
    <row r="20661" customFormat="false" ht="12.8" hidden="false" customHeight="false" outlineLevel="0" collapsed="false">
      <c r="A20661" s="0" t="s">
        <v>7846</v>
      </c>
      <c r="B20661" s="0" t="str">
        <f aca="false">HYPERLINK("https://lindat.mff.cuni.cz/services/teitok/pdtc10/index.php?action=vallex&amp;frame=v-w2570hsa_332", "obstarat (v-w2570hsa_332)")</f>
        <v>obstarat (v-w2570hsa_332)</v>
      </c>
    </row>
    <row r="20662" customFormat="false" ht="12.8" hidden="false" customHeight="false" outlineLevel="0" collapsed="false">
      <c r="B20662" s="0" t="s">
        <v>7</v>
      </c>
    </row>
    <row r="20663" customFormat="false" ht="12.8" hidden="false" customHeight="false" outlineLevel="0" collapsed="false">
      <c r="B20663" s="0" t="s">
        <v>14</v>
      </c>
    </row>
    <row r="20665" customFormat="false" ht="12.8" hidden="false" customHeight="false" outlineLevel="0" collapsed="false">
      <c r="A20665" s="0" t="s">
        <v>7847</v>
      </c>
      <c r="B20665" s="0" t="str">
        <f aca="false">HYPERLINK("https://lindat.mff.cuni.cz/services/teitok/pdtc10/index.php?action=vallex&amp;frame=v-w2571f1", "obstarávat (v-w2571f1)")</f>
        <v>obstarávat (v-w2571f1)</v>
      </c>
    </row>
    <row r="20666" customFormat="false" ht="12.8" hidden="false" customHeight="false" outlineLevel="0" collapsed="false">
      <c r="B20666" s="0" t="s">
        <v>7</v>
      </c>
      <c r="C20666" s="0" t="s">
        <v>2199</v>
      </c>
      <c r="D20666" s="0" t="s">
        <v>3610</v>
      </c>
      <c r="E20666" s="0" t="s">
        <v>3610</v>
      </c>
      <c r="F20666" s="0" t="s">
        <v>3610</v>
      </c>
    </row>
    <row r="20667" customFormat="false" ht="12.8" hidden="false" customHeight="false" outlineLevel="0" collapsed="false">
      <c r="B20667" s="0" t="s">
        <v>14</v>
      </c>
      <c r="C20667" s="0" t="s">
        <v>7848</v>
      </c>
      <c r="D20667" s="0" t="s">
        <v>7844</v>
      </c>
      <c r="E20667" s="0" t="s">
        <v>7844</v>
      </c>
      <c r="F20667" s="0" t="s">
        <v>7844</v>
      </c>
    </row>
    <row r="20669" customFormat="false" ht="12.8" hidden="false" customHeight="false" outlineLevel="0" collapsed="false">
      <c r="A20669" s="0" t="s">
        <v>7849</v>
      </c>
      <c r="B20669" s="0" t="str">
        <f aca="false">HYPERLINK("https://lindat.mff.cuni.cz/services/teitok/pdtc10/index.php?action=vallex&amp;frame=v-w2571f2_ZU", "obstarávat (v-w2571f2_ZU)")</f>
        <v>obstarávat (v-w2571f2_ZU)</v>
      </c>
    </row>
    <row r="20670" customFormat="false" ht="12.8" hidden="false" customHeight="false" outlineLevel="0" collapsed="false">
      <c r="B20670" s="0" t="s">
        <v>7</v>
      </c>
    </row>
    <row r="20671" customFormat="false" ht="12.8" hidden="false" customHeight="false" outlineLevel="0" collapsed="false">
      <c r="B20671" s="0" t="s">
        <v>14</v>
      </c>
    </row>
    <row r="20673" customFormat="false" ht="12.8" hidden="false" customHeight="false" outlineLevel="0" collapsed="false">
      <c r="A20673" s="0" t="s">
        <v>7850</v>
      </c>
      <c r="B20673" s="0" t="str">
        <f aca="false">HYPERLINK("https://lindat.mff.cuni.cz/services/teitok/pdtc10/index.php?action=vallex&amp;frame=v-whsa_646hsa_647", "obstavit (v-whsa_646hsa_647)")</f>
        <v>obstavit (v-whsa_646hsa_647)</v>
      </c>
    </row>
    <row r="20674" customFormat="false" ht="12.8" hidden="false" customHeight="false" outlineLevel="0" collapsed="false">
      <c r="B20674" s="0" t="s">
        <v>7</v>
      </c>
      <c r="C20674" s="0" t="s">
        <v>191</v>
      </c>
      <c r="D20674" s="0" t="s">
        <v>3051</v>
      </c>
      <c r="E20674" s="0" t="s">
        <v>3051</v>
      </c>
      <c r="F20674" s="0" t="s">
        <v>3051</v>
      </c>
    </row>
    <row r="20675" customFormat="false" ht="12.8" hidden="false" customHeight="false" outlineLevel="0" collapsed="false">
      <c r="B20675" s="0" t="s">
        <v>14</v>
      </c>
      <c r="C20675" s="0" t="s">
        <v>47</v>
      </c>
      <c r="D20675" s="0" t="s">
        <v>2394</v>
      </c>
      <c r="E20675" s="0" t="s">
        <v>2394</v>
      </c>
      <c r="F20675" s="0" t="s">
        <v>2394</v>
      </c>
    </row>
    <row r="20677" customFormat="false" ht="12.8" hidden="false" customHeight="false" outlineLevel="0" collapsed="false">
      <c r="A20677" s="0" t="s">
        <v>7851</v>
      </c>
      <c r="B20677" s="0" t="str">
        <f aca="false">HYPERLINK("https://lindat.mff.cuni.cz/services/teitok/pdtc10/index.php?action=vallex&amp;frame=v-w12227_ZUf1_ZU", "obstoupit (v-w12227_ZUf1_ZU)")</f>
        <v>obstoupit (v-w12227_ZUf1_ZU)</v>
      </c>
    </row>
    <row r="20678" customFormat="false" ht="12.8" hidden="false" customHeight="false" outlineLevel="0" collapsed="false">
      <c r="B20678" s="0" t="s">
        <v>7</v>
      </c>
    </row>
    <row r="20679" customFormat="false" ht="12.8" hidden="false" customHeight="false" outlineLevel="0" collapsed="false">
      <c r="B20679" s="0" t="s">
        <v>14</v>
      </c>
    </row>
    <row r="20681" customFormat="false" ht="12.8" hidden="false" customHeight="false" outlineLevel="0" collapsed="false">
      <c r="A20681" s="0" t="s">
        <v>7852</v>
      </c>
      <c r="B20681" s="0" t="str">
        <f aca="false">HYPERLINK("https://lindat.mff.cuni.cz/services/teitok/pdtc10/index.php?action=vallex&amp;frame=v-w2572f1", "obstát (v-w2572f1)")</f>
        <v>obstát (v-w2572f1)</v>
      </c>
    </row>
    <row r="20682" customFormat="false" ht="12.8" hidden="false" customHeight="false" outlineLevel="0" collapsed="false">
      <c r="B20682" s="0" t="s">
        <v>7</v>
      </c>
      <c r="C20682" s="0" t="s">
        <v>7853</v>
      </c>
    </row>
    <row r="20684" customFormat="false" ht="12.8" hidden="false" customHeight="false" outlineLevel="0" collapsed="false">
      <c r="A20684" s="0" t="s">
        <v>7854</v>
      </c>
      <c r="B20684" s="0" t="str">
        <f aca="false">HYPERLINK("https://lindat.mff.cuni.cz/services/teitok/pdtc10/index.php?action=vallex&amp;frame=v-w12379_MMf1_MM", "obstřelovat (v-w12379_MMf1_MM)")</f>
        <v>obstřelovat (v-w12379_MMf1_MM)</v>
      </c>
    </row>
    <row r="20685" customFormat="false" ht="12.8" hidden="false" customHeight="false" outlineLevel="0" collapsed="false">
      <c r="B20685" s="0" t="s">
        <v>7</v>
      </c>
    </row>
    <row r="20686" customFormat="false" ht="12.8" hidden="false" customHeight="false" outlineLevel="0" collapsed="false">
      <c r="B20686" s="0" t="s">
        <v>14</v>
      </c>
    </row>
    <row r="20688" customFormat="false" ht="12.8" hidden="false" customHeight="false" outlineLevel="0" collapsed="false">
      <c r="A20688" s="0" t="s">
        <v>7855</v>
      </c>
      <c r="B20688" s="0" t="str">
        <f aca="false">HYPERLINK("https://lindat.mff.cuni.cz/services/teitok/pdtc10/index.php?action=vallex&amp;frame=v-w2560f1", "obsáhnout (v-w2560f1)")</f>
        <v>obsáhnout (v-w2560f1)</v>
      </c>
    </row>
    <row r="20689" customFormat="false" ht="12.8" hidden="false" customHeight="false" outlineLevel="0" collapsed="false">
      <c r="B20689" s="0" t="s">
        <v>7</v>
      </c>
      <c r="C20689" s="0" t="s">
        <v>2431</v>
      </c>
      <c r="D20689" s="0" t="s">
        <v>7828</v>
      </c>
      <c r="E20689" s="0" t="s">
        <v>7828</v>
      </c>
      <c r="F20689" s="0" t="s">
        <v>7828</v>
      </c>
    </row>
    <row r="20690" customFormat="false" ht="12.8" hidden="false" customHeight="false" outlineLevel="0" collapsed="false">
      <c r="B20690" s="0" t="s">
        <v>14</v>
      </c>
      <c r="C20690" s="0" t="s">
        <v>7856</v>
      </c>
      <c r="D20690" s="0" t="s">
        <v>7830</v>
      </c>
      <c r="E20690" s="0" t="s">
        <v>7830</v>
      </c>
      <c r="F20690" s="0" t="s">
        <v>7830</v>
      </c>
    </row>
    <row r="20692" customFormat="false" ht="12.8" hidden="false" customHeight="false" outlineLevel="0" collapsed="false">
      <c r="A20692" s="0" t="s">
        <v>7857</v>
      </c>
      <c r="B20692" s="0" t="str">
        <f aca="false">HYPERLINK("https://lindat.mff.cuni.cz/services/teitok/pdtc10/index.php?action=vallex&amp;frame=v-w11791_ZUf1_ZU", "obtelefonovávat (v-w11791_ZUf1_ZU)")</f>
        <v>obtelefonovávat (v-w11791_ZUf1_ZU)</v>
      </c>
    </row>
    <row r="20693" customFormat="false" ht="12.8" hidden="false" customHeight="false" outlineLevel="0" collapsed="false">
      <c r="B20693" s="0" t="s">
        <v>7</v>
      </c>
    </row>
    <row r="20694" customFormat="false" ht="12.8" hidden="false" customHeight="false" outlineLevel="0" collapsed="false">
      <c r="B20694" s="0" t="s">
        <v>14</v>
      </c>
    </row>
    <row r="20696" customFormat="false" ht="12.8" hidden="false" customHeight="false" outlineLevel="0" collapsed="false">
      <c r="A20696" s="0" t="s">
        <v>7858</v>
      </c>
      <c r="B20696" s="0" t="str">
        <f aca="false">HYPERLINK("https://lindat.mff.cuni.cz/services/teitok/pdtc10/index.php?action=vallex&amp;frame=v-w2580f1", "obtížit (v-w2580f1)")</f>
        <v>obtížit (v-w2580f1)</v>
      </c>
    </row>
    <row r="20697" customFormat="false" ht="12.8" hidden="false" customHeight="false" outlineLevel="0" collapsed="false">
      <c r="B20697" s="0" t="s">
        <v>7</v>
      </c>
    </row>
    <row r="20698" customFormat="false" ht="12.8" hidden="false" customHeight="false" outlineLevel="0" collapsed="false">
      <c r="B20698" s="0" t="s">
        <v>14</v>
      </c>
    </row>
    <row r="20700" customFormat="false" ht="12.8" hidden="false" customHeight="false" outlineLevel="0" collapsed="false">
      <c r="A20700" s="0" t="s">
        <v>7859</v>
      </c>
      <c r="B20700" s="0" t="str">
        <f aca="false">HYPERLINK("https://lindat.mff.cuni.cz/services/teitok/pdtc10/index.php?action=vallex&amp;frame=v-w10289f2", "obtěžkat (v-w10289f2)")</f>
        <v>obtěžkat (v-w10289f2)</v>
      </c>
    </row>
    <row r="20701" customFormat="false" ht="12.8" hidden="false" customHeight="false" outlineLevel="0" collapsed="false">
      <c r="B20701" s="0" t="s">
        <v>7</v>
      </c>
      <c r="C20701" s="0" t="s">
        <v>7860</v>
      </c>
      <c r="D20701" s="0" t="s">
        <v>7861</v>
      </c>
      <c r="E20701" s="0" t="s">
        <v>7861</v>
      </c>
      <c r="F20701" s="0" t="s">
        <v>7861</v>
      </c>
    </row>
    <row r="20702" customFormat="false" ht="12.8" hidden="false" customHeight="false" outlineLevel="0" collapsed="false">
      <c r="B20702" s="0" t="s">
        <v>14</v>
      </c>
      <c r="C20702" s="0" t="s">
        <v>47</v>
      </c>
      <c r="D20702" s="0" t="s">
        <v>7862</v>
      </c>
      <c r="E20702" s="0" t="s">
        <v>7862</v>
      </c>
      <c r="F20702" s="0" t="s">
        <v>7862</v>
      </c>
    </row>
    <row r="20704" customFormat="false" ht="12.8" hidden="false" customHeight="false" outlineLevel="0" collapsed="false">
      <c r="A20704" s="0" t="s">
        <v>7863</v>
      </c>
      <c r="B20704" s="0" t="str">
        <f aca="false">HYPERLINK("https://lindat.mff.cuni.cz/services/teitok/pdtc10/index.php?action=vallex&amp;frame=v-w2577f1", "obtěžovat (v-w2577f1)")</f>
        <v>obtěžovat (v-w2577f1)</v>
      </c>
    </row>
    <row r="20705" customFormat="false" ht="12.8" hidden="false" customHeight="false" outlineLevel="0" collapsed="false">
      <c r="B20705" s="0" t="s">
        <v>7</v>
      </c>
      <c r="C20705" s="0" t="s">
        <v>569</v>
      </c>
      <c r="D20705" s="0" t="s">
        <v>465</v>
      </c>
      <c r="E20705" s="0" t="s">
        <v>465</v>
      </c>
      <c r="F20705" s="0" t="s">
        <v>465</v>
      </c>
    </row>
    <row r="20706" customFormat="false" ht="12.8" hidden="false" customHeight="false" outlineLevel="0" collapsed="false">
      <c r="B20706" s="0" t="s">
        <v>14</v>
      </c>
      <c r="C20706" s="0" t="s">
        <v>1209</v>
      </c>
      <c r="D20706" s="0" t="s">
        <v>1571</v>
      </c>
      <c r="E20706" s="0" t="s">
        <v>1571</v>
      </c>
      <c r="F20706" s="0" t="s">
        <v>1571</v>
      </c>
    </row>
    <row r="20708" customFormat="false" ht="12.8" hidden="false" customHeight="false" outlineLevel="0" collapsed="false">
      <c r="A20708" s="0" t="s">
        <v>7864</v>
      </c>
      <c r="B20708" s="0" t="str">
        <f aca="false">HYPERLINK("https://lindat.mff.cuni.cz/services/teitok/pdtc10/index.php?action=vallex&amp;frame=v-w2578f1", "obtěžovat se (v-w2578f1)")</f>
        <v>obtěžovat se (v-w2578f1)</v>
      </c>
    </row>
    <row r="20709" customFormat="false" ht="12.8" hidden="false" customHeight="false" outlineLevel="0" collapsed="false">
      <c r="B20709" s="0" t="s">
        <v>7</v>
      </c>
      <c r="C20709" s="0" t="s">
        <v>88</v>
      </c>
      <c r="D20709" s="0" t="s">
        <v>7865</v>
      </c>
      <c r="E20709" s="0" t="s">
        <v>88</v>
      </c>
      <c r="F20709" s="0" t="s">
        <v>88</v>
      </c>
    </row>
    <row r="20710" customFormat="false" ht="12.8" hidden="false" customHeight="false" outlineLevel="0" collapsed="false">
      <c r="B20710" s="0" t="s">
        <v>7866</v>
      </c>
      <c r="C20710" s="0" t="s">
        <v>78</v>
      </c>
      <c r="D20710" s="0" t="s">
        <v>7867</v>
      </c>
      <c r="E20710" s="0" t="s">
        <v>78</v>
      </c>
      <c r="F20710" s="0" t="s">
        <v>78</v>
      </c>
    </row>
    <row r="20712" customFormat="false" ht="12.8" hidden="false" customHeight="false" outlineLevel="0" collapsed="false">
      <c r="A20712" s="0" t="s">
        <v>7868</v>
      </c>
      <c r="B20712" s="0" t="str">
        <f aca="false">HYPERLINK("https://lindat.mff.cuni.cz/services/teitok/pdtc10/index.php?action=vallex&amp;frame=v-w11862_ZUf1_ZU", "obvazovat (v-w11862_ZUf1_ZU)")</f>
        <v>obvazovat (v-w11862_ZUf1_ZU)</v>
      </c>
    </row>
    <row r="20713" customFormat="false" ht="12.8" hidden="false" customHeight="false" outlineLevel="0" collapsed="false">
      <c r="B20713" s="0" t="s">
        <v>7</v>
      </c>
    </row>
    <row r="20714" customFormat="false" ht="12.8" hidden="false" customHeight="false" outlineLevel="0" collapsed="false">
      <c r="B20714" s="0" t="s">
        <v>14</v>
      </c>
    </row>
    <row r="20716" customFormat="false" ht="12.8" hidden="false" customHeight="false" outlineLevel="0" collapsed="false">
      <c r="A20716" s="0" t="s">
        <v>7869</v>
      </c>
      <c r="B20716" s="0" t="str">
        <f aca="false">HYPERLINK("https://lindat.mff.cuni.cz/services/teitok/pdtc10/index.php?action=vallex&amp;frame=v-w2581f1", "obveselit (v-w2581f1)")</f>
        <v>obveselit (v-w2581f1)</v>
      </c>
    </row>
    <row r="20717" customFormat="false" ht="12.8" hidden="false" customHeight="false" outlineLevel="0" collapsed="false">
      <c r="B20717" s="0" t="s">
        <v>7</v>
      </c>
    </row>
    <row r="20718" customFormat="false" ht="12.8" hidden="false" customHeight="false" outlineLevel="0" collapsed="false">
      <c r="B20718" s="0" t="s">
        <v>14</v>
      </c>
    </row>
    <row r="20720" customFormat="false" ht="12.8" hidden="false" customHeight="false" outlineLevel="0" collapsed="false">
      <c r="A20720" s="0" t="s">
        <v>7870</v>
      </c>
      <c r="B20720" s="0" t="str">
        <f aca="false">HYPERLINK("https://lindat.mff.cuni.cz/services/teitok/pdtc10/index.php?action=vallex&amp;frame=v-w2584hsa_602", "obvinit (v-w2584hsa_602)")</f>
        <v>obvinit (v-w2584hsa_602)</v>
      </c>
    </row>
    <row r="20721" customFormat="false" ht="12.8" hidden="false" customHeight="false" outlineLevel="0" collapsed="false">
      <c r="B20721" s="0" t="s">
        <v>7</v>
      </c>
      <c r="C20721" s="0" t="s">
        <v>7871</v>
      </c>
      <c r="D20721" s="0" t="s">
        <v>3303</v>
      </c>
      <c r="E20721" s="0" t="s">
        <v>3303</v>
      </c>
      <c r="F20721" s="0" t="s">
        <v>3303</v>
      </c>
    </row>
    <row r="20722" customFormat="false" ht="12.8" hidden="false" customHeight="false" outlineLevel="0" collapsed="false">
      <c r="B20722" s="0" t="s">
        <v>81</v>
      </c>
      <c r="C20722" s="0" t="s">
        <v>7872</v>
      </c>
      <c r="D20722" s="0" t="s">
        <v>3308</v>
      </c>
      <c r="E20722" s="0" t="s">
        <v>3308</v>
      </c>
      <c r="F20722" s="0" t="s">
        <v>3308</v>
      </c>
    </row>
    <row r="20723" customFormat="false" ht="12.8" hidden="false" customHeight="false" outlineLevel="0" collapsed="false">
      <c r="B20723" s="0" t="s">
        <v>7873</v>
      </c>
      <c r="C20723" s="0" t="s">
        <v>7874</v>
      </c>
      <c r="D20723" s="0" t="s">
        <v>3306</v>
      </c>
      <c r="E20723" s="0" t="s">
        <v>3306</v>
      </c>
      <c r="F20723" s="0" t="s">
        <v>3306</v>
      </c>
    </row>
    <row r="20725" customFormat="false" ht="12.8" hidden="false" customHeight="false" outlineLevel="0" collapsed="false">
      <c r="A20725" s="0" t="s">
        <v>7870</v>
      </c>
      <c r="B20725" s="0" t="str">
        <f aca="false">HYPERLINK("https://lindat.mff.cuni.cz/services/teitok/pdtc10/index.php?action=vallex&amp;frame=v-w2584f1", "obvinit (v-w2584f1) - substituted with v-w2584hsa_602")</f>
        <v>obvinit (v-w2584f1) - substituted with v-w2584hsa_602</v>
      </c>
    </row>
    <row r="20726" customFormat="false" ht="12.8" hidden="false" customHeight="false" outlineLevel="0" collapsed="false">
      <c r="B20726" s="0" t="s">
        <v>7</v>
      </c>
      <c r="C20726" s="0" t="s">
        <v>7875</v>
      </c>
    </row>
    <row r="20727" customFormat="false" ht="12.8" hidden="false" customHeight="false" outlineLevel="0" collapsed="false">
      <c r="B20727" s="0" t="s">
        <v>81</v>
      </c>
      <c r="C20727" s="0" t="s">
        <v>7876</v>
      </c>
    </row>
    <row r="20728" customFormat="false" ht="12.8" hidden="false" customHeight="false" outlineLevel="0" collapsed="false">
      <c r="B20728" s="0" t="s">
        <v>7873</v>
      </c>
      <c r="C20728" s="0" t="s">
        <v>7877</v>
      </c>
    </row>
    <row r="20730" customFormat="false" ht="12.8" hidden="false" customHeight="false" outlineLevel="0" collapsed="false">
      <c r="A20730" s="0" t="s">
        <v>7878</v>
      </c>
      <c r="B20730" s="0" t="str">
        <f aca="false">HYPERLINK("https://lindat.mff.cuni.cz/services/teitok/pdtc10/index.php?action=vallex&amp;frame=v-whsa_1278hsa_1279", "obvinit se (v-whsa_1278hsa_1279)")</f>
        <v>obvinit se (v-whsa_1278hsa_1279)</v>
      </c>
    </row>
    <row r="20731" customFormat="false" ht="12.8" hidden="false" customHeight="false" outlineLevel="0" collapsed="false">
      <c r="B20731" s="0" t="s">
        <v>7</v>
      </c>
    </row>
    <row r="20732" customFormat="false" ht="12.8" hidden="false" customHeight="false" outlineLevel="0" collapsed="false">
      <c r="B20732" s="0" t="s">
        <v>207</v>
      </c>
    </row>
    <row r="20733" customFormat="false" ht="12.8" hidden="false" customHeight="false" outlineLevel="0" collapsed="false">
      <c r="B20733" s="0" t="s">
        <v>7340</v>
      </c>
    </row>
    <row r="20735" customFormat="false" ht="12.8" hidden="false" customHeight="false" outlineLevel="0" collapsed="false">
      <c r="A20735" s="0" t="s">
        <v>7879</v>
      </c>
      <c r="B20735" s="0" t="str">
        <f aca="false">HYPERLINK("https://lindat.mff.cuni.cz/services/teitok/pdtc10/index.php?action=vallex&amp;frame=v-w2586f1", "obviňovat (v-w2586f1)")</f>
        <v>obviňovat (v-w2586f1)</v>
      </c>
    </row>
    <row r="20736" customFormat="false" ht="12.8" hidden="false" customHeight="false" outlineLevel="0" collapsed="false">
      <c r="B20736" s="0" t="s">
        <v>7</v>
      </c>
      <c r="C20736" s="0" t="s">
        <v>7880</v>
      </c>
      <c r="D20736" s="0" t="s">
        <v>3303</v>
      </c>
      <c r="E20736" s="0" t="s">
        <v>3303</v>
      </c>
      <c r="F20736" s="0" t="s">
        <v>3303</v>
      </c>
    </row>
    <row r="20737" customFormat="false" ht="12.8" hidden="false" customHeight="false" outlineLevel="0" collapsed="false">
      <c r="B20737" s="0" t="s">
        <v>81</v>
      </c>
      <c r="C20737" s="0" t="s">
        <v>7881</v>
      </c>
      <c r="D20737" s="0" t="s">
        <v>3308</v>
      </c>
      <c r="E20737" s="0" t="s">
        <v>3308</v>
      </c>
      <c r="F20737" s="0" t="s">
        <v>3308</v>
      </c>
    </row>
    <row r="20738" customFormat="false" ht="12.8" hidden="false" customHeight="false" outlineLevel="0" collapsed="false">
      <c r="B20738" s="0" t="s">
        <v>7340</v>
      </c>
      <c r="C20738" s="0" t="s">
        <v>7882</v>
      </c>
      <c r="D20738" s="0" t="s">
        <v>3306</v>
      </c>
      <c r="E20738" s="0" t="s">
        <v>3306</v>
      </c>
      <c r="F20738" s="0" t="s">
        <v>3306</v>
      </c>
    </row>
    <row r="20740" customFormat="false" ht="12.8" hidden="false" customHeight="false" outlineLevel="0" collapsed="false">
      <c r="A20740" s="0" t="s">
        <v>7883</v>
      </c>
      <c r="B20740" s="0" t="str">
        <f aca="false">HYPERLINK("https://lindat.mff.cuni.cz/services/teitok/pdtc10/index.php?action=vallex&amp;frame=v-whsa_882hsa_883", "obvolat (v-whsa_882hsa_883)")</f>
        <v>obvolat (v-whsa_882hsa_883)</v>
      </c>
    </row>
    <row r="20741" customFormat="false" ht="12.8" hidden="false" customHeight="false" outlineLevel="0" collapsed="false">
      <c r="B20741" s="0" t="s">
        <v>7</v>
      </c>
      <c r="D20741" s="0" t="s">
        <v>114</v>
      </c>
      <c r="E20741" s="0" t="s">
        <v>114</v>
      </c>
      <c r="F20741" s="0" t="s">
        <v>114</v>
      </c>
    </row>
    <row r="20742" customFormat="false" ht="12.8" hidden="false" customHeight="false" outlineLevel="0" collapsed="false">
      <c r="B20742" s="0" t="s">
        <v>14</v>
      </c>
      <c r="C20742" s="0" t="s">
        <v>47</v>
      </c>
      <c r="D20742" s="0" t="s">
        <v>116</v>
      </c>
      <c r="E20742" s="0" t="s">
        <v>116</v>
      </c>
      <c r="F20742" s="0" t="s">
        <v>116</v>
      </c>
    </row>
    <row r="20744" customFormat="false" ht="12.8" hidden="false" customHeight="false" outlineLevel="0" collapsed="false">
      <c r="A20744" s="0" t="s">
        <v>7884</v>
      </c>
      <c r="B20744" s="0" t="str">
        <f aca="false">HYPERLINK("https://lindat.mff.cuni.cz/services/teitok/pdtc10/index.php?action=vallex&amp;frame=v-w11528_ZUf1_ZU", "obvolávat (v-w11528_ZUf1_ZU)")</f>
        <v>obvolávat (v-w11528_ZUf1_ZU)</v>
      </c>
    </row>
    <row r="20745" customFormat="false" ht="12.8" hidden="false" customHeight="false" outlineLevel="0" collapsed="false">
      <c r="B20745" s="0" t="s">
        <v>7</v>
      </c>
      <c r="D20745" s="0" t="s">
        <v>114</v>
      </c>
      <c r="E20745" s="0" t="s">
        <v>114</v>
      </c>
      <c r="F20745" s="0" t="s">
        <v>114</v>
      </c>
    </row>
    <row r="20746" customFormat="false" ht="12.8" hidden="false" customHeight="false" outlineLevel="0" collapsed="false">
      <c r="B20746" s="0" t="s">
        <v>14</v>
      </c>
      <c r="C20746" s="0" t="s">
        <v>155</v>
      </c>
      <c r="D20746" s="0" t="s">
        <v>116</v>
      </c>
      <c r="E20746" s="0" t="s">
        <v>116</v>
      </c>
      <c r="F20746" s="0" t="s">
        <v>116</v>
      </c>
    </row>
    <row r="20748" customFormat="false" ht="12.8" hidden="false" customHeight="false" outlineLevel="0" collapsed="false">
      <c r="A20748" s="0" t="s">
        <v>7885</v>
      </c>
      <c r="B20748" s="0" t="str">
        <f aca="false">HYPERLINK("https://lindat.mff.cuni.cz/services/teitok/pdtc10/index.php?action=vallex&amp;frame=v-w2589f1", "obydlet (v-w2589f1)")</f>
        <v>obydlet (v-w2589f1)</v>
      </c>
    </row>
    <row r="20749" customFormat="false" ht="12.8" hidden="false" customHeight="false" outlineLevel="0" collapsed="false">
      <c r="B20749" s="0" t="s">
        <v>7</v>
      </c>
    </row>
    <row r="20750" customFormat="false" ht="12.8" hidden="false" customHeight="false" outlineLevel="0" collapsed="false">
      <c r="B20750" s="0" t="s">
        <v>14</v>
      </c>
    </row>
    <row r="20752" customFormat="false" ht="12.8" hidden="false" customHeight="false" outlineLevel="0" collapsed="false">
      <c r="A20752" s="0" t="s">
        <v>7886</v>
      </c>
      <c r="B20752" s="0" t="str">
        <f aca="false">HYPERLINK("https://lindat.mff.cuni.cz/services/teitok/pdtc10/index.php?action=vallex&amp;frame=v-w2436f1", "obávat se (v-w2436f1)")</f>
        <v>obávat se (v-w2436f1)</v>
      </c>
    </row>
    <row r="20753" customFormat="false" ht="12.8" hidden="false" customHeight="false" outlineLevel="0" collapsed="false">
      <c r="B20753" s="0" t="s">
        <v>7</v>
      </c>
      <c r="C20753" s="0" t="s">
        <v>7887</v>
      </c>
      <c r="D20753" s="0" t="s">
        <v>618</v>
      </c>
      <c r="E20753" s="0" t="s">
        <v>618</v>
      </c>
      <c r="F20753" s="0" t="s">
        <v>618</v>
      </c>
    </row>
    <row r="20754" customFormat="false" ht="12.8" hidden="false" customHeight="false" outlineLevel="0" collapsed="false">
      <c r="B20754" s="0" t="s">
        <v>7888</v>
      </c>
      <c r="C20754" s="0" t="s">
        <v>7889</v>
      </c>
      <c r="D20754" s="0" t="s">
        <v>621</v>
      </c>
      <c r="E20754" s="0" t="s">
        <v>621</v>
      </c>
      <c r="F20754" s="0" t="s">
        <v>621</v>
      </c>
    </row>
    <row r="20756" customFormat="false" ht="12.8" hidden="false" customHeight="false" outlineLevel="0" collapsed="false">
      <c r="A20756" s="0" t="s">
        <v>7890</v>
      </c>
      <c r="B20756" s="0" t="str">
        <f aca="false">HYPERLINK("https://lindat.mff.cuni.cz/services/teitok/pdtc10/index.php?action=vallex&amp;frame=v-w2436f2_ZU", "obávat se (v-w2436f2_ZU)")</f>
        <v>obávat se (v-w2436f2_ZU)</v>
      </c>
    </row>
    <row r="20757" customFormat="false" ht="12.8" hidden="false" customHeight="false" outlineLevel="0" collapsed="false">
      <c r="B20757" s="0" t="s">
        <v>7</v>
      </c>
      <c r="C20757" s="0" t="s">
        <v>194</v>
      </c>
    </row>
    <row r="20758" customFormat="false" ht="12.8" hidden="false" customHeight="false" outlineLevel="0" collapsed="false">
      <c r="B20758" s="0" t="s">
        <v>615</v>
      </c>
      <c r="C20758" s="0" t="s">
        <v>1146</v>
      </c>
    </row>
    <row r="20760" customFormat="false" ht="12.8" hidden="false" customHeight="false" outlineLevel="0" collapsed="false">
      <c r="A20760" s="0" t="s">
        <v>7890</v>
      </c>
      <c r="B20760" s="0" t="str">
        <f aca="false">HYPERLINK("https://lindat.mff.cuni.cz/services/teitok/pdtc10/index.php?action=vallex&amp;frame=v-w2436hsa_263", "obávat se (v-w2436hsa_263) - substituted with v-w2436f2_ZU")</f>
        <v>obávat se (v-w2436hsa_263) - substituted with v-w2436f2_ZU</v>
      </c>
    </row>
    <row r="20761" customFormat="false" ht="12.8" hidden="false" customHeight="false" outlineLevel="0" collapsed="false">
      <c r="B20761" s="0" t="s">
        <v>7</v>
      </c>
    </row>
    <row r="20762" customFormat="false" ht="12.8" hidden="false" customHeight="false" outlineLevel="0" collapsed="false">
      <c r="B20762" s="0" t="s">
        <v>615</v>
      </c>
    </row>
    <row r="20764" customFormat="false" ht="12.8" hidden="false" customHeight="false" outlineLevel="0" collapsed="false">
      <c r="A20764" s="0" t="s">
        <v>7891</v>
      </c>
      <c r="B20764" s="0" t="str">
        <f aca="false">HYPERLINK("https://lindat.mff.cuni.cz/services/teitok/pdtc10/index.php?action=vallex&amp;frame=v-w2436f3_ZU", "obávat se (v-w2436f3_ZU)")</f>
        <v>obávat se (v-w2436f3_ZU)</v>
      </c>
    </row>
    <row r="20765" customFormat="false" ht="12.8" hidden="false" customHeight="false" outlineLevel="0" collapsed="false">
      <c r="B20765" s="0" t="s">
        <v>7</v>
      </c>
    </row>
    <row r="20766" customFormat="false" ht="12.8" hidden="false" customHeight="false" outlineLevel="0" collapsed="false">
      <c r="B20766" s="0" t="s">
        <v>1087</v>
      </c>
    </row>
    <row r="20767" customFormat="false" ht="12.8" hidden="false" customHeight="false" outlineLevel="0" collapsed="false">
      <c r="B20767" s="0" t="s">
        <v>441</v>
      </c>
    </row>
    <row r="20769" customFormat="false" ht="12.8" hidden="false" customHeight="false" outlineLevel="0" collapsed="false">
      <c r="A20769" s="0" t="s">
        <v>7892</v>
      </c>
      <c r="B20769" s="0" t="str">
        <f aca="false">HYPERLINK("https://lindat.mff.cuni.cz/services/teitok/pdtc10/index.php?action=vallex&amp;frame=v-w10836f3", "obíhat (v-w10836f3)")</f>
        <v>obíhat (v-w10836f3)</v>
      </c>
    </row>
    <row r="20770" customFormat="false" ht="12.8" hidden="false" customHeight="false" outlineLevel="0" collapsed="false">
      <c r="B20770" s="0" t="s">
        <v>7</v>
      </c>
    </row>
    <row r="20772" customFormat="false" ht="12.8" hidden="false" customHeight="false" outlineLevel="0" collapsed="false">
      <c r="A20772" s="0" t="s">
        <v>7893</v>
      </c>
      <c r="B20772" s="0" t="str">
        <f aca="false">HYPERLINK("https://lindat.mff.cuni.cz/services/teitok/pdtc10/index.php?action=vallex&amp;frame=v-w11217f3", "obírat (v-w11217f3)")</f>
        <v>obírat (v-w11217f3)</v>
      </c>
    </row>
    <row r="20773" customFormat="false" ht="12.8" hidden="false" customHeight="false" outlineLevel="0" collapsed="false">
      <c r="B20773" s="0" t="s">
        <v>7</v>
      </c>
    </row>
    <row r="20774" customFormat="false" ht="12.8" hidden="false" customHeight="false" outlineLevel="0" collapsed="false">
      <c r="B20774" s="0" t="s">
        <v>81</v>
      </c>
      <c r="D20774" s="0" t="s">
        <v>4656</v>
      </c>
      <c r="E20774" s="0" t="s">
        <v>4656</v>
      </c>
      <c r="F20774" s="0" t="s">
        <v>4656</v>
      </c>
    </row>
    <row r="20775" customFormat="false" ht="12.8" hidden="false" customHeight="false" outlineLevel="0" collapsed="false">
      <c r="B20775" s="0" t="s">
        <v>2721</v>
      </c>
    </row>
    <row r="20777" customFormat="false" ht="12.8" hidden="false" customHeight="false" outlineLevel="0" collapsed="false">
      <c r="A20777" s="0" t="s">
        <v>7894</v>
      </c>
      <c r="B20777" s="0" t="str">
        <f aca="false">HYPERLINK("https://lindat.mff.cuni.cz/services/teitok/pdtc10/index.php?action=vallex&amp;frame=v-w2592f1", "obývat (v-w2592f1)")</f>
        <v>obývat (v-w2592f1)</v>
      </c>
    </row>
    <row r="20778" customFormat="false" ht="12.8" hidden="false" customHeight="false" outlineLevel="0" collapsed="false">
      <c r="B20778" s="0" t="s">
        <v>7</v>
      </c>
      <c r="C20778" s="0" t="s">
        <v>108</v>
      </c>
      <c r="D20778" s="0" t="s">
        <v>335</v>
      </c>
      <c r="E20778" s="0" t="s">
        <v>335</v>
      </c>
      <c r="F20778" s="0" t="s">
        <v>335</v>
      </c>
    </row>
    <row r="20779" customFormat="false" ht="12.8" hidden="false" customHeight="false" outlineLevel="0" collapsed="false">
      <c r="B20779" s="0" t="s">
        <v>14</v>
      </c>
      <c r="C20779" s="0" t="s">
        <v>1170</v>
      </c>
      <c r="D20779" s="0" t="s">
        <v>155</v>
      </c>
      <c r="E20779" s="0" t="s">
        <v>155</v>
      </c>
      <c r="F20779" s="0" t="s">
        <v>155</v>
      </c>
    </row>
    <row r="20781" customFormat="false" ht="12.8" hidden="false" customHeight="false" outlineLevel="0" collapsed="false">
      <c r="A20781" s="0" t="s">
        <v>7895</v>
      </c>
      <c r="B20781" s="0" t="str">
        <f aca="false">HYPERLINK("https://lindat.mff.cuni.cz/services/teitok/pdtc10/index.php?action=vallex&amp;frame=v-w2439f1", "občerstvovat (v-w2439f1)")</f>
        <v>občerstvovat (v-w2439f1)</v>
      </c>
    </row>
    <row r="20782" customFormat="false" ht="12.8" hidden="false" customHeight="false" outlineLevel="0" collapsed="false">
      <c r="B20782" s="0" t="s">
        <v>7</v>
      </c>
    </row>
    <row r="20783" customFormat="false" ht="12.8" hidden="false" customHeight="false" outlineLevel="0" collapsed="false">
      <c r="B20783" s="0" t="s">
        <v>14</v>
      </c>
    </row>
    <row r="20784" customFormat="false" ht="12.8" hidden="false" customHeight="false" outlineLevel="0" collapsed="false">
      <c r="B20784" s="0" t="s">
        <v>106</v>
      </c>
    </row>
    <row r="20786" customFormat="false" ht="12.8" hidden="false" customHeight="false" outlineLevel="0" collapsed="false">
      <c r="A20786" s="0" t="s">
        <v>7896</v>
      </c>
      <c r="B20786" s="0" t="str">
        <f aca="false">HYPERLINK("https://lindat.mff.cuni.cz/services/teitok/pdtc10/index.php?action=vallex&amp;frame=v-w2439f2", "občerstvovat (v-w2439f2)")</f>
        <v>občerstvovat (v-w2439f2)</v>
      </c>
    </row>
    <row r="20787" customFormat="false" ht="12.8" hidden="false" customHeight="false" outlineLevel="0" collapsed="false">
      <c r="B20787" s="0" t="s">
        <v>7</v>
      </c>
    </row>
    <row r="20788" customFormat="false" ht="12.8" hidden="false" customHeight="false" outlineLevel="0" collapsed="false">
      <c r="B20788" s="0" t="s">
        <v>14</v>
      </c>
    </row>
    <row r="20790" customFormat="false" ht="12.8" hidden="false" customHeight="false" outlineLevel="0" collapsed="false">
      <c r="A20790" s="0" t="s">
        <v>7897</v>
      </c>
      <c r="B20790" s="0" t="str">
        <f aca="false">HYPERLINK("https://lindat.mff.cuni.cz/services/teitok/pdtc10/index.php?action=vallex&amp;frame=v-w10574f2", "obědvat (v-w10574f2)")</f>
        <v>obědvat (v-w10574f2)</v>
      </c>
    </row>
    <row r="20791" customFormat="false" ht="12.8" hidden="false" customHeight="false" outlineLevel="0" collapsed="false">
      <c r="B20791" s="0" t="s">
        <v>7</v>
      </c>
      <c r="C20791" s="0" t="s">
        <v>4379</v>
      </c>
      <c r="D20791" s="0" t="s">
        <v>4380</v>
      </c>
      <c r="E20791" s="0" t="s">
        <v>4380</v>
      </c>
      <c r="F20791" s="0" t="s">
        <v>4380</v>
      </c>
    </row>
    <row r="20792" customFormat="false" ht="12.8" hidden="false" customHeight="false" outlineLevel="0" collapsed="false">
      <c r="B20792" s="0" t="s">
        <v>297</v>
      </c>
      <c r="C20792" s="0" t="s">
        <v>1315</v>
      </c>
      <c r="D20792" s="0" t="s">
        <v>151</v>
      </c>
      <c r="E20792" s="0" t="s">
        <v>151</v>
      </c>
      <c r="F20792" s="0" t="s">
        <v>151</v>
      </c>
    </row>
    <row r="20794" customFormat="false" ht="12.8" hidden="false" customHeight="false" outlineLevel="0" collapsed="false">
      <c r="A20794" s="0" t="s">
        <v>7898</v>
      </c>
      <c r="B20794" s="0" t="str">
        <f aca="false">HYPERLINK("https://lindat.mff.cuni.cz/services/teitok/pdtc10/index.php?action=vallex&amp;frame=v-whsa_782f2_ZU", "oběhnout (v-whsa_782f2_ZU)")</f>
        <v>oběhnout (v-whsa_782f2_ZU)</v>
      </c>
    </row>
    <row r="20795" customFormat="false" ht="12.8" hidden="false" customHeight="false" outlineLevel="0" collapsed="false">
      <c r="B20795" s="0" t="s">
        <v>7</v>
      </c>
    </row>
    <row r="20796" customFormat="false" ht="12.8" hidden="false" customHeight="false" outlineLevel="0" collapsed="false">
      <c r="B20796" s="0" t="s">
        <v>14</v>
      </c>
    </row>
    <row r="20798" customFormat="false" ht="12.8" hidden="false" customHeight="false" outlineLevel="0" collapsed="false">
      <c r="A20798" s="0" t="s">
        <v>7899</v>
      </c>
      <c r="B20798" s="0" t="str">
        <f aca="false">HYPERLINK("https://lindat.mff.cuni.cz/services/teitok/pdtc10/index.php?action=vallex&amp;frame=v-whsa_782f3_ZU", "oběhnout (v-whsa_782f3_ZU)")</f>
        <v>oběhnout (v-whsa_782f3_ZU)</v>
      </c>
    </row>
    <row r="20799" customFormat="false" ht="12.8" hidden="false" customHeight="false" outlineLevel="0" collapsed="false">
      <c r="B20799" s="0" t="s">
        <v>7</v>
      </c>
    </row>
    <row r="20800" customFormat="false" ht="12.8" hidden="false" customHeight="false" outlineLevel="0" collapsed="false">
      <c r="B20800" s="0" t="s">
        <v>14</v>
      </c>
    </row>
    <row r="20802" customFormat="false" ht="12.8" hidden="false" customHeight="false" outlineLevel="0" collapsed="false">
      <c r="A20802" s="0" t="s">
        <v>7899</v>
      </c>
      <c r="B20802" s="0" t="str">
        <f aca="false">HYPERLINK("https://lindat.mff.cuni.cz/services/teitok/pdtc10/index.php?action=vallex&amp;frame=v-whsa_782f1_ZU", "oběhnout (v-whsa_782f1_ZU) - substituted with v-whsa_782f3_ZU")</f>
        <v>oběhnout (v-whsa_782f1_ZU) - substituted with v-whsa_782f3_ZU</v>
      </c>
    </row>
    <row r="20803" customFormat="false" ht="12.8" hidden="false" customHeight="false" outlineLevel="0" collapsed="false">
      <c r="B20803" s="0" t="s">
        <v>7</v>
      </c>
    </row>
    <row r="20804" customFormat="false" ht="12.8" hidden="false" customHeight="false" outlineLevel="0" collapsed="false">
      <c r="B20804" s="0" t="s">
        <v>14</v>
      </c>
    </row>
    <row r="20806" customFormat="false" ht="12.8" hidden="false" customHeight="false" outlineLevel="0" collapsed="false">
      <c r="A20806" s="0" t="s">
        <v>7899</v>
      </c>
      <c r="B20806" s="0" t="str">
        <f aca="false">HYPERLINK("https://lindat.mff.cuni.cz/services/teitok/pdtc10/index.php?action=vallex&amp;frame=v-whsa_782hsa_783", "oběhnout (v-whsa_782hsa_783) - substituted with v-whsa_782f3_ZU")</f>
        <v>oběhnout (v-whsa_782hsa_783) - substituted with v-whsa_782f3_ZU</v>
      </c>
    </row>
    <row r="20807" customFormat="false" ht="12.8" hidden="false" customHeight="false" outlineLevel="0" collapsed="false">
      <c r="B20807" s="0" t="s">
        <v>7</v>
      </c>
    </row>
    <row r="20808" customFormat="false" ht="12.8" hidden="false" customHeight="false" outlineLevel="0" collapsed="false">
      <c r="B20808" s="0" t="s">
        <v>14</v>
      </c>
    </row>
    <row r="20810" customFormat="false" ht="12.8" hidden="false" customHeight="false" outlineLevel="0" collapsed="false">
      <c r="A20810" s="0" t="s">
        <v>7900</v>
      </c>
      <c r="B20810" s="0" t="str">
        <f aca="false">HYPERLINK("https://lindat.mff.cuni.cz/services/teitok/pdtc10/index.php?action=vallex&amp;frame=v-w2458f1", "oběsit (v-w2458f1)")</f>
        <v>oběsit (v-w2458f1)</v>
      </c>
    </row>
    <row r="20811" customFormat="false" ht="12.8" hidden="false" customHeight="false" outlineLevel="0" collapsed="false">
      <c r="B20811" s="0" t="s">
        <v>7</v>
      </c>
    </row>
    <row r="20812" customFormat="false" ht="12.8" hidden="false" customHeight="false" outlineLevel="0" collapsed="false">
      <c r="B20812" s="0" t="s">
        <v>14</v>
      </c>
    </row>
    <row r="20814" customFormat="false" ht="12.8" hidden="false" customHeight="false" outlineLevel="0" collapsed="false">
      <c r="A20814" s="0" t="s">
        <v>7901</v>
      </c>
      <c r="B20814" s="0" t="str">
        <f aca="false">HYPERLINK("https://lindat.mff.cuni.cz/services/teitok/pdtc10/index.php?action=vallex&amp;frame=v-w2464f1", "obětovat (v-w2464f1)")</f>
        <v>obětovat (v-w2464f1)</v>
      </c>
    </row>
    <row r="20815" customFormat="false" ht="12.8" hidden="false" customHeight="false" outlineLevel="0" collapsed="false">
      <c r="B20815" s="0" t="s">
        <v>7</v>
      </c>
      <c r="C20815" s="0" t="s">
        <v>113</v>
      </c>
      <c r="D20815" s="0" t="s">
        <v>21</v>
      </c>
      <c r="E20815" s="0" t="s">
        <v>21</v>
      </c>
      <c r="F20815" s="0" t="s">
        <v>21</v>
      </c>
    </row>
    <row r="20816" customFormat="false" ht="12.8" hidden="false" customHeight="false" outlineLevel="0" collapsed="false">
      <c r="B20816" s="0" t="s">
        <v>14</v>
      </c>
      <c r="C20816" s="0" t="s">
        <v>624</v>
      </c>
      <c r="D20816" s="0" t="s">
        <v>1146</v>
      </c>
      <c r="E20816" s="0" t="s">
        <v>1146</v>
      </c>
      <c r="F20816" s="0" t="s">
        <v>1146</v>
      </c>
    </row>
    <row r="20817" customFormat="false" ht="12.8" hidden="false" customHeight="false" outlineLevel="0" collapsed="false">
      <c r="B20817" s="0" t="s">
        <v>106</v>
      </c>
      <c r="D20817" s="0" t="s">
        <v>1165</v>
      </c>
      <c r="E20817" s="0" t="s">
        <v>1165</v>
      </c>
      <c r="F20817" s="0" t="s">
        <v>1165</v>
      </c>
    </row>
    <row r="20819" customFormat="false" ht="12.8" hidden="false" customHeight="false" outlineLevel="0" collapsed="false">
      <c r="A20819" s="0" t="s">
        <v>7902</v>
      </c>
      <c r="B20819" s="0" t="str">
        <f aca="false">HYPERLINK("https://lindat.mff.cuni.cz/services/teitok/pdtc10/index.php?action=vallex&amp;frame=v-w2464hsa_547", "obětovat (v-w2464hsa_547)")</f>
        <v>obětovat (v-w2464hsa_547)</v>
      </c>
    </row>
    <row r="20820" customFormat="false" ht="12.8" hidden="false" customHeight="false" outlineLevel="0" collapsed="false">
      <c r="B20820" s="0" t="s">
        <v>7</v>
      </c>
    </row>
    <row r="20821" customFormat="false" ht="12.8" hidden="false" customHeight="false" outlineLevel="0" collapsed="false">
      <c r="B20821" s="0" t="s">
        <v>14</v>
      </c>
    </row>
    <row r="20823" customFormat="false" ht="12.8" hidden="false" customHeight="false" outlineLevel="0" collapsed="false">
      <c r="A20823" s="0" t="s">
        <v>7903</v>
      </c>
      <c r="B20823" s="0" t="str">
        <f aca="false">HYPERLINK("https://lindat.mff.cuni.cz/services/teitok/pdtc10/index.php?action=vallex&amp;frame=v-w2573f1", "obšancovat (v-w2573f1)")</f>
        <v>obšancovat (v-w2573f1)</v>
      </c>
    </row>
    <row r="20824" customFormat="false" ht="12.8" hidden="false" customHeight="false" outlineLevel="0" collapsed="false">
      <c r="B20824" s="0" t="s">
        <v>7</v>
      </c>
    </row>
    <row r="20825" customFormat="false" ht="12.8" hidden="false" customHeight="false" outlineLevel="0" collapsed="false">
      <c r="B20825" s="0" t="s">
        <v>14</v>
      </c>
    </row>
    <row r="20827" customFormat="false" ht="12.8" hidden="false" customHeight="false" outlineLevel="0" collapsed="false">
      <c r="A20827" s="0" t="s">
        <v>7904</v>
      </c>
      <c r="B20827" s="0" t="str">
        <f aca="false">HYPERLINK("https://lindat.mff.cuni.cz/services/teitok/pdtc10/index.php?action=vallex&amp;frame=v-w2574f1", "obšlápnout (v-w2574f1)")</f>
        <v>obšlápnout (v-w2574f1)</v>
      </c>
    </row>
    <row r="20828" customFormat="false" ht="12.8" hidden="false" customHeight="false" outlineLevel="0" collapsed="false">
      <c r="B20828" s="0" t="s">
        <v>7</v>
      </c>
    </row>
    <row r="20829" customFormat="false" ht="12.8" hidden="false" customHeight="false" outlineLevel="0" collapsed="false">
      <c r="B20829" s="0" t="s">
        <v>14</v>
      </c>
    </row>
    <row r="20831" customFormat="false" ht="12.8" hidden="false" customHeight="false" outlineLevel="0" collapsed="false">
      <c r="A20831" s="0" t="s">
        <v>7905</v>
      </c>
      <c r="B20831" s="0" t="str">
        <f aca="false">HYPERLINK("https://lindat.mff.cuni.cz/services/teitok/pdtc10/index.php?action=vallex&amp;frame=v-w12257_ZUf1_ZU", "obšít (v-w12257_ZUf1_ZU)")</f>
        <v>obšít (v-w12257_ZUf1_ZU)</v>
      </c>
    </row>
    <row r="20832" customFormat="false" ht="12.8" hidden="false" customHeight="false" outlineLevel="0" collapsed="false">
      <c r="B20832" s="0" t="s">
        <v>7</v>
      </c>
    </row>
    <row r="20833" customFormat="false" ht="12.8" hidden="false" customHeight="false" outlineLevel="0" collapsed="false">
      <c r="B20833" s="0" t="s">
        <v>14</v>
      </c>
    </row>
    <row r="20835" customFormat="false" ht="12.8" hidden="false" customHeight="false" outlineLevel="0" collapsed="false">
      <c r="A20835" s="0" t="s">
        <v>7906</v>
      </c>
      <c r="B20835" s="0" t="str">
        <f aca="false">HYPERLINK("https://lindat.mff.cuni.cz/services/teitok/pdtc10/index.php?action=vallex&amp;frame=v-w2575f1", "obšťastňovat (v-w2575f1)")</f>
        <v>obšťastňovat (v-w2575f1)</v>
      </c>
    </row>
    <row r="20836" customFormat="false" ht="12.8" hidden="false" customHeight="false" outlineLevel="0" collapsed="false">
      <c r="B20836" s="0" t="s">
        <v>7</v>
      </c>
    </row>
    <row r="20837" customFormat="false" ht="12.8" hidden="false" customHeight="false" outlineLevel="0" collapsed="false">
      <c r="B20837" s="0" t="s">
        <v>14</v>
      </c>
    </row>
    <row r="20839" customFormat="false" ht="12.8" hidden="false" customHeight="false" outlineLevel="0" collapsed="false">
      <c r="A20839" s="0" t="s">
        <v>7907</v>
      </c>
      <c r="B20839" s="0" t="str">
        <f aca="false">HYPERLINK("https://lindat.mff.cuni.cz/services/teitok/pdtc10/index.php?action=vallex&amp;frame=v-w2597f1", "obžalovat (v-w2597f1)")</f>
        <v>obžalovat (v-w2597f1)</v>
      </c>
    </row>
    <row r="20840" customFormat="false" ht="12.8" hidden="false" customHeight="false" outlineLevel="0" collapsed="false">
      <c r="B20840" s="0" t="s">
        <v>7</v>
      </c>
      <c r="C20840" s="0" t="s">
        <v>2736</v>
      </c>
      <c r="D20840" s="0" t="s">
        <v>3303</v>
      </c>
      <c r="E20840" s="0" t="s">
        <v>3303</v>
      </c>
      <c r="F20840" s="0" t="s">
        <v>3303</v>
      </c>
    </row>
    <row r="20841" customFormat="false" ht="12.8" hidden="false" customHeight="false" outlineLevel="0" collapsed="false">
      <c r="B20841" s="0" t="s">
        <v>14</v>
      </c>
      <c r="C20841" s="0" t="s">
        <v>4772</v>
      </c>
      <c r="D20841" s="0" t="s">
        <v>7908</v>
      </c>
      <c r="E20841" s="0" t="s">
        <v>7908</v>
      </c>
      <c r="F20841" s="0" t="s">
        <v>7908</v>
      </c>
    </row>
    <row r="20843" customFormat="false" ht="12.8" hidden="false" customHeight="false" outlineLevel="0" collapsed="false">
      <c r="A20843" s="0" t="s">
        <v>7909</v>
      </c>
      <c r="B20843" s="0" t="str">
        <f aca="false">HYPERLINK("https://lindat.mff.cuni.cz/services/teitok/pdtc10/index.php?action=vallex&amp;frame=v-w2598f1", "ocejchovat (v-w2598f1)")</f>
        <v>ocejchovat (v-w2598f1)</v>
      </c>
    </row>
    <row r="20844" customFormat="false" ht="12.8" hidden="false" customHeight="false" outlineLevel="0" collapsed="false">
      <c r="B20844" s="0" t="s">
        <v>7</v>
      </c>
    </row>
    <row r="20845" customFormat="false" ht="12.8" hidden="false" customHeight="false" outlineLevel="0" collapsed="false">
      <c r="B20845" s="0" t="s">
        <v>14</v>
      </c>
    </row>
    <row r="20847" customFormat="false" ht="12.8" hidden="false" customHeight="false" outlineLevel="0" collapsed="false">
      <c r="A20847" s="0" t="s">
        <v>7910</v>
      </c>
      <c r="B20847" s="0" t="str">
        <f aca="false">HYPERLINK("https://lindat.mff.cuni.cz/services/teitok/pdtc10/index.php?action=vallex&amp;frame=v-w2600f2", "ocenit (v-w2600f2)")</f>
        <v>ocenit (v-w2600f2)</v>
      </c>
    </row>
    <row r="20848" customFormat="false" ht="12.8" hidden="false" customHeight="false" outlineLevel="0" collapsed="false">
      <c r="B20848" s="0" t="s">
        <v>7</v>
      </c>
      <c r="C20848" s="0" t="s">
        <v>7911</v>
      </c>
      <c r="D20848" s="0" t="s">
        <v>1135</v>
      </c>
      <c r="E20848" s="0" t="s">
        <v>1135</v>
      </c>
      <c r="F20848" s="0" t="s">
        <v>1135</v>
      </c>
    </row>
    <row r="20849" customFormat="false" ht="12.8" hidden="false" customHeight="false" outlineLevel="0" collapsed="false">
      <c r="B20849" s="0" t="s">
        <v>14</v>
      </c>
      <c r="C20849" s="0" t="s">
        <v>7912</v>
      </c>
      <c r="D20849" s="0" t="s">
        <v>1137</v>
      </c>
      <c r="E20849" s="0" t="s">
        <v>1137</v>
      </c>
      <c r="F20849" s="0" t="s">
        <v>1137</v>
      </c>
    </row>
    <row r="20850" customFormat="false" ht="12.8" hidden="false" customHeight="false" outlineLevel="0" collapsed="false">
      <c r="B20850" s="0" t="s">
        <v>84</v>
      </c>
      <c r="C20850" s="0" t="s">
        <v>7913</v>
      </c>
      <c r="D20850" s="0" t="s">
        <v>1139</v>
      </c>
      <c r="E20850" s="0" t="s">
        <v>1139</v>
      </c>
      <c r="F20850" s="0" t="s">
        <v>1139</v>
      </c>
    </row>
    <row r="20852" customFormat="false" ht="12.8" hidden="false" customHeight="false" outlineLevel="0" collapsed="false">
      <c r="A20852" s="0" t="s">
        <v>7914</v>
      </c>
      <c r="B20852" s="0" t="str">
        <f aca="false">HYPERLINK("https://lindat.mff.cuni.cz/services/teitok/pdtc10/index.php?action=vallex&amp;frame=v-w2600hsa_226", "ocenit (v-w2600hsa_226)")</f>
        <v>ocenit (v-w2600hsa_226)</v>
      </c>
    </row>
    <row r="20853" customFormat="false" ht="12.8" hidden="false" customHeight="false" outlineLevel="0" collapsed="false">
      <c r="B20853" s="0" t="s">
        <v>7</v>
      </c>
      <c r="C20853" s="0" t="s">
        <v>569</v>
      </c>
      <c r="D20853" s="0" t="s">
        <v>1261</v>
      </c>
      <c r="E20853" s="0" t="s">
        <v>1261</v>
      </c>
      <c r="F20853" s="0" t="s">
        <v>1261</v>
      </c>
    </row>
    <row r="20854" customFormat="false" ht="12.8" hidden="false" customHeight="false" outlineLevel="0" collapsed="false">
      <c r="B20854" s="0" t="s">
        <v>1691</v>
      </c>
      <c r="C20854" s="0" t="s">
        <v>1209</v>
      </c>
      <c r="D20854" s="0" t="s">
        <v>1262</v>
      </c>
      <c r="E20854" s="0" t="s">
        <v>1262</v>
      </c>
      <c r="F20854" s="0" t="s">
        <v>1262</v>
      </c>
    </row>
    <row r="20856" customFormat="false" ht="12.8" hidden="false" customHeight="false" outlineLevel="0" collapsed="false">
      <c r="A20856" s="0" t="s">
        <v>7914</v>
      </c>
      <c r="B20856" s="0" t="str">
        <f aca="false">HYPERLINK("https://lindat.mff.cuni.cz/services/teitok/pdtc10/index.php?action=vallex&amp;frame=v-w2600f1", "ocenit (v-w2600f1) - substituted with v-w2600hsa_226")</f>
        <v>ocenit (v-w2600f1) - substituted with v-w2600hsa_226</v>
      </c>
    </row>
    <row r="20857" customFormat="false" ht="12.8" hidden="false" customHeight="false" outlineLevel="0" collapsed="false">
      <c r="B20857" s="0" t="s">
        <v>7</v>
      </c>
      <c r="C20857" s="0" t="s">
        <v>1509</v>
      </c>
    </row>
    <row r="20858" customFormat="false" ht="12.8" hidden="false" customHeight="false" outlineLevel="0" collapsed="false">
      <c r="B20858" s="0" t="s">
        <v>1691</v>
      </c>
      <c r="C20858" s="0" t="s">
        <v>7915</v>
      </c>
    </row>
    <row r="20860" customFormat="false" ht="12.8" hidden="false" customHeight="false" outlineLevel="0" collapsed="false">
      <c r="A20860" s="0" t="s">
        <v>7916</v>
      </c>
      <c r="B20860" s="0" t="str">
        <f aca="false">HYPERLINK("https://lindat.mff.cuni.cz/services/teitok/pdtc10/index.php?action=vallex&amp;frame=v-w2602f1", "oceňovat (v-w2602f1)")</f>
        <v>oceňovat (v-w2602f1)</v>
      </c>
    </row>
    <row r="20861" customFormat="false" ht="12.8" hidden="false" customHeight="false" outlineLevel="0" collapsed="false">
      <c r="B20861" s="0" t="s">
        <v>7</v>
      </c>
      <c r="C20861" s="0" t="s">
        <v>2530</v>
      </c>
      <c r="D20861" s="0" t="s">
        <v>1135</v>
      </c>
      <c r="E20861" s="0" t="s">
        <v>1135</v>
      </c>
      <c r="F20861" s="0" t="s">
        <v>1135</v>
      </c>
    </row>
    <row r="20862" customFormat="false" ht="12.8" hidden="false" customHeight="false" outlineLevel="0" collapsed="false">
      <c r="B20862" s="0" t="s">
        <v>14</v>
      </c>
      <c r="C20862" s="0" t="s">
        <v>4407</v>
      </c>
      <c r="D20862" s="0" t="s">
        <v>1137</v>
      </c>
      <c r="E20862" s="0" t="s">
        <v>1137</v>
      </c>
      <c r="F20862" s="0" t="s">
        <v>1137</v>
      </c>
    </row>
    <row r="20863" customFormat="false" ht="12.8" hidden="false" customHeight="false" outlineLevel="0" collapsed="false">
      <c r="B20863" s="0" t="s">
        <v>84</v>
      </c>
      <c r="C20863" s="0" t="s">
        <v>7917</v>
      </c>
      <c r="D20863" s="0" t="s">
        <v>1139</v>
      </c>
      <c r="E20863" s="0" t="s">
        <v>1139</v>
      </c>
      <c r="F20863" s="0" t="s">
        <v>1139</v>
      </c>
    </row>
    <row r="20865" customFormat="false" ht="12.8" hidden="false" customHeight="false" outlineLevel="0" collapsed="false">
      <c r="A20865" s="0" t="s">
        <v>7918</v>
      </c>
      <c r="B20865" s="0" t="str">
        <f aca="false">HYPERLINK("https://lindat.mff.cuni.cz/services/teitok/pdtc10/index.php?action=vallex&amp;frame=v-w2602f3_ZU", "oceňovat (v-w2602f3_ZU)")</f>
        <v>oceňovat (v-w2602f3_ZU)</v>
      </c>
    </row>
    <row r="20866" customFormat="false" ht="12.8" hidden="false" customHeight="false" outlineLevel="0" collapsed="false">
      <c r="B20866" s="0" t="s">
        <v>7</v>
      </c>
      <c r="C20866" s="0" t="s">
        <v>7919</v>
      </c>
    </row>
    <row r="20867" customFormat="false" ht="12.8" hidden="false" customHeight="false" outlineLevel="0" collapsed="false">
      <c r="B20867" s="0" t="s">
        <v>1693</v>
      </c>
      <c r="C20867" s="0" t="s">
        <v>25</v>
      </c>
    </row>
    <row r="20869" customFormat="false" ht="12.8" hidden="false" customHeight="false" outlineLevel="0" collapsed="false">
      <c r="A20869" s="0" t="s">
        <v>7918</v>
      </c>
      <c r="B20869" s="0" t="str">
        <f aca="false">HYPERLINK("https://lindat.mff.cuni.cz/services/teitok/pdtc10/index.php?action=vallex&amp;frame=v-w2602f2", "oceňovat (v-w2602f2) - substituted with v-w2602f3_ZU")</f>
        <v>oceňovat (v-w2602f2) - substituted with v-w2602f3_ZU</v>
      </c>
    </row>
    <row r="20870" customFormat="false" ht="12.8" hidden="false" customHeight="false" outlineLevel="0" collapsed="false">
      <c r="B20870" s="0" t="s">
        <v>7</v>
      </c>
    </row>
    <row r="20871" customFormat="false" ht="12.8" hidden="false" customHeight="false" outlineLevel="0" collapsed="false">
      <c r="B20871" s="0" t="s">
        <v>1693</v>
      </c>
    </row>
    <row r="20873" customFormat="false" ht="12.8" hidden="false" customHeight="false" outlineLevel="0" collapsed="false">
      <c r="A20873" s="0" t="s">
        <v>7920</v>
      </c>
      <c r="B20873" s="0" t="str">
        <f aca="false">HYPERLINK("https://lindat.mff.cuni.cz/services/teitok/pdtc10/index.php?action=vallex&amp;frame=v-w3027f1", "ochabnout (v-w3027f1)")</f>
        <v>ochabnout (v-w3027f1)</v>
      </c>
    </row>
    <row r="20874" customFormat="false" ht="12.8" hidden="false" customHeight="false" outlineLevel="0" collapsed="false">
      <c r="B20874" s="0" t="s">
        <v>7</v>
      </c>
      <c r="C20874" s="0" t="s">
        <v>7921</v>
      </c>
      <c r="D20874" s="0" t="s">
        <v>7922</v>
      </c>
      <c r="E20874" s="0" t="s">
        <v>7922</v>
      </c>
      <c r="F20874" s="0" t="s">
        <v>7922</v>
      </c>
    </row>
    <row r="20876" customFormat="false" ht="12.8" hidden="false" customHeight="false" outlineLevel="0" collapsed="false">
      <c r="A20876" s="0" t="s">
        <v>7923</v>
      </c>
      <c r="B20876" s="0" t="str">
        <f aca="false">HYPERLINK("https://lindat.mff.cuni.cz/services/teitok/pdtc10/index.php?action=vallex&amp;frame=v-w3027hsa_1285", "ochabnout (v-w3027hsa_1285)")</f>
        <v>ochabnout (v-w3027hsa_1285)</v>
      </c>
    </row>
    <row r="20877" customFormat="false" ht="12.8" hidden="false" customHeight="false" outlineLevel="0" collapsed="false">
      <c r="B20877" s="0" t="s">
        <v>7</v>
      </c>
    </row>
    <row r="20878" customFormat="false" ht="12.8" hidden="false" customHeight="false" outlineLevel="0" collapsed="false">
      <c r="B20878" s="0" t="s">
        <v>63</v>
      </c>
    </row>
    <row r="20879" customFormat="false" ht="12.8" hidden="false" customHeight="false" outlineLevel="0" collapsed="false">
      <c r="B20879" s="0" t="s">
        <v>35</v>
      </c>
    </row>
    <row r="20881" customFormat="false" ht="12.8" hidden="false" customHeight="false" outlineLevel="0" collapsed="false">
      <c r="A20881" s="0" t="s">
        <v>7924</v>
      </c>
      <c r="B20881" s="0" t="str">
        <f aca="false">HYPERLINK("https://lindat.mff.cuni.cz/services/teitok/pdtc10/index.php?action=vallex&amp;frame=v-w10786f2", "ochabovat (v-w10786f2)")</f>
        <v>ochabovat (v-w10786f2)</v>
      </c>
    </row>
    <row r="20882" customFormat="false" ht="12.8" hidden="false" customHeight="false" outlineLevel="0" collapsed="false">
      <c r="B20882" s="0" t="s">
        <v>7</v>
      </c>
      <c r="C20882" s="0" t="s">
        <v>7925</v>
      </c>
      <c r="D20882" s="0" t="s">
        <v>7922</v>
      </c>
      <c r="E20882" s="0" t="s">
        <v>7922</v>
      </c>
      <c r="F20882" s="0" t="s">
        <v>7922</v>
      </c>
    </row>
    <row r="20884" customFormat="false" ht="12.8" hidden="false" customHeight="false" outlineLevel="0" collapsed="false">
      <c r="A20884" s="0" t="s">
        <v>7926</v>
      </c>
      <c r="B20884" s="0" t="str">
        <f aca="false">HYPERLINK("https://lindat.mff.cuni.cz/services/teitok/pdtc10/index.php?action=vallex&amp;frame=v-w3028f1", "ochladit (v-w3028f1)")</f>
        <v>ochladit (v-w3028f1)</v>
      </c>
    </row>
    <row r="20885" customFormat="false" ht="12.8" hidden="false" customHeight="false" outlineLevel="0" collapsed="false">
      <c r="B20885" s="0" t="s">
        <v>7</v>
      </c>
      <c r="C20885" s="0" t="s">
        <v>184</v>
      </c>
    </row>
    <row r="20886" customFormat="false" ht="12.8" hidden="false" customHeight="false" outlineLevel="0" collapsed="false">
      <c r="B20886" s="0" t="s">
        <v>14</v>
      </c>
      <c r="C20886" s="0" t="s">
        <v>74</v>
      </c>
    </row>
    <row r="20887" customFormat="false" ht="12.8" hidden="false" customHeight="false" outlineLevel="0" collapsed="false">
      <c r="B20887" s="0" t="s">
        <v>35</v>
      </c>
    </row>
    <row r="20888" customFormat="false" ht="12.8" hidden="false" customHeight="false" outlineLevel="0" collapsed="false">
      <c r="B20888" s="0" t="s">
        <v>84</v>
      </c>
    </row>
    <row r="20890" customFormat="false" ht="12.8" hidden="false" customHeight="false" outlineLevel="0" collapsed="false">
      <c r="A20890" s="0" t="s">
        <v>7927</v>
      </c>
      <c r="B20890" s="0" t="str">
        <f aca="false">HYPERLINK("https://lindat.mff.cuni.cz/services/teitok/pdtc10/index.php?action=vallex&amp;frame=v-w3029f2", "ochladit se (v-w3029f2)")</f>
        <v>ochladit se (v-w3029f2)</v>
      </c>
    </row>
    <row r="20891" customFormat="false" ht="12.8" hidden="false" customHeight="false" outlineLevel="0" collapsed="false">
      <c r="B20891" s="0" t="s">
        <v>7</v>
      </c>
    </row>
    <row r="20892" customFormat="false" ht="12.8" hidden="false" customHeight="false" outlineLevel="0" collapsed="false">
      <c r="B20892" s="0" t="s">
        <v>63</v>
      </c>
    </row>
    <row r="20893" customFormat="false" ht="12.8" hidden="false" customHeight="false" outlineLevel="0" collapsed="false">
      <c r="B20893" s="0" t="s">
        <v>35</v>
      </c>
    </row>
    <row r="20895" customFormat="false" ht="12.8" hidden="false" customHeight="false" outlineLevel="0" collapsed="false">
      <c r="A20895" s="0" t="s">
        <v>7928</v>
      </c>
      <c r="B20895" s="0" t="str">
        <f aca="false">HYPERLINK("https://lindat.mff.cuni.cz/services/teitok/pdtc10/index.php?action=vallex&amp;frame=v-w3029f1", "ochladit se (v-w3029f1)")</f>
        <v>ochladit se (v-w3029f1)</v>
      </c>
    </row>
    <row r="20897" customFormat="false" ht="12.8" hidden="false" customHeight="false" outlineLevel="0" collapsed="false">
      <c r="A20897" s="0" t="s">
        <v>7929</v>
      </c>
      <c r="B20897" s="0" t="str">
        <f aca="false">HYPERLINK("https://lindat.mff.cuni.cz/services/teitok/pdtc10/index.php?action=vallex&amp;frame=v-w3030f1", "ochladnout (v-w3030f1)")</f>
        <v>ochladnout (v-w3030f1)</v>
      </c>
    </row>
    <row r="20898" customFormat="false" ht="12.8" hidden="false" customHeight="false" outlineLevel="0" collapsed="false">
      <c r="B20898" s="0" t="s">
        <v>7</v>
      </c>
      <c r="C20898" s="0" t="s">
        <v>272</v>
      </c>
      <c r="D20898" s="0" t="s">
        <v>7930</v>
      </c>
      <c r="E20898" s="0" t="s">
        <v>7930</v>
      </c>
      <c r="F20898" s="0" t="s">
        <v>7930</v>
      </c>
    </row>
    <row r="20900" customFormat="false" ht="12.8" hidden="false" customHeight="false" outlineLevel="0" collapsed="false">
      <c r="A20900" s="0" t="s">
        <v>7931</v>
      </c>
      <c r="B20900" s="0" t="str">
        <f aca="false">HYPERLINK("https://lindat.mff.cuni.cz/services/teitok/pdtc10/index.php?action=vallex&amp;frame=v-w10120f2", "ochlazovat (v-w10120f2)")</f>
        <v>ochlazovat (v-w10120f2)</v>
      </c>
    </row>
    <row r="20901" customFormat="false" ht="12.8" hidden="false" customHeight="false" outlineLevel="0" collapsed="false">
      <c r="B20901" s="0" t="s">
        <v>7</v>
      </c>
    </row>
    <row r="20902" customFormat="false" ht="12.8" hidden="false" customHeight="false" outlineLevel="0" collapsed="false">
      <c r="B20902" s="0" t="s">
        <v>14</v>
      </c>
    </row>
    <row r="20904" customFormat="false" ht="12.8" hidden="false" customHeight="false" outlineLevel="0" collapsed="false">
      <c r="A20904" s="0" t="s">
        <v>7932</v>
      </c>
      <c r="B20904" s="0" t="str">
        <f aca="false">HYPERLINK("https://lindat.mff.cuni.cz/services/teitok/pdtc10/index.php?action=vallex&amp;frame=v-w3038f1", "ochraňovat (v-w3038f1)")</f>
        <v>ochraňovat (v-w3038f1)</v>
      </c>
    </row>
    <row r="20905" customFormat="false" ht="12.8" hidden="false" customHeight="false" outlineLevel="0" collapsed="false">
      <c r="B20905" s="0" t="s">
        <v>7</v>
      </c>
      <c r="C20905" s="0" t="s">
        <v>7933</v>
      </c>
      <c r="D20905" s="0" t="s">
        <v>1232</v>
      </c>
      <c r="E20905" s="0" t="s">
        <v>1232</v>
      </c>
      <c r="F20905" s="0" t="s">
        <v>1232</v>
      </c>
    </row>
    <row r="20906" customFormat="false" ht="12.8" hidden="false" customHeight="false" outlineLevel="0" collapsed="false">
      <c r="B20906" s="0" t="s">
        <v>14</v>
      </c>
      <c r="C20906" s="0" t="s">
        <v>195</v>
      </c>
      <c r="D20906" s="0" t="s">
        <v>1233</v>
      </c>
      <c r="E20906" s="0" t="s">
        <v>1233</v>
      </c>
      <c r="F20906" s="0" t="s">
        <v>1233</v>
      </c>
    </row>
    <row r="20907" customFormat="false" ht="12.8" hidden="false" customHeight="false" outlineLevel="0" collapsed="false">
      <c r="B20907" s="0" t="s">
        <v>416</v>
      </c>
      <c r="D20907" s="0" t="s">
        <v>1235</v>
      </c>
      <c r="E20907" s="0" t="s">
        <v>1235</v>
      </c>
      <c r="F20907" s="0" t="s">
        <v>1235</v>
      </c>
    </row>
    <row r="20909" customFormat="false" ht="12.8" hidden="false" customHeight="false" outlineLevel="0" collapsed="false">
      <c r="A20909" s="0" t="s">
        <v>7934</v>
      </c>
      <c r="B20909" s="0" t="str">
        <f aca="false">HYPERLINK("https://lindat.mff.cuni.cz/services/teitok/pdtc10/index.php?action=vallex&amp;frame=v-whsa_1432hsa_1433", "ochrnout (v-whsa_1432hsa_1433)")</f>
        <v>ochrnout (v-whsa_1432hsa_1433)</v>
      </c>
    </row>
    <row r="20910" customFormat="false" ht="12.8" hidden="false" customHeight="false" outlineLevel="0" collapsed="false">
      <c r="B20910" s="0" t="s">
        <v>7</v>
      </c>
    </row>
    <row r="20912" customFormat="false" ht="12.8" hidden="false" customHeight="false" outlineLevel="0" collapsed="false">
      <c r="A20912" s="0" t="s">
        <v>7935</v>
      </c>
      <c r="B20912" s="0" t="str">
        <f aca="false">HYPERLINK("https://lindat.mff.cuni.cz/services/teitok/pdtc10/index.php?action=vallex&amp;frame=v-w3041f1", "ochromit (v-w3041f1)")</f>
        <v>ochromit (v-w3041f1)</v>
      </c>
    </row>
    <row r="20913" customFormat="false" ht="12.8" hidden="false" customHeight="false" outlineLevel="0" collapsed="false">
      <c r="B20913" s="0" t="s">
        <v>7</v>
      </c>
      <c r="C20913" s="0" t="s">
        <v>31</v>
      </c>
      <c r="D20913" s="0" t="s">
        <v>7936</v>
      </c>
      <c r="E20913" s="0" t="s">
        <v>7937</v>
      </c>
      <c r="F20913" s="0" t="s">
        <v>7937</v>
      </c>
    </row>
    <row r="20914" customFormat="false" ht="12.8" hidden="false" customHeight="false" outlineLevel="0" collapsed="false">
      <c r="B20914" s="0" t="s">
        <v>14</v>
      </c>
      <c r="C20914" s="0" t="s">
        <v>1170</v>
      </c>
      <c r="D20914" s="0" t="s">
        <v>7938</v>
      </c>
      <c r="E20914" s="0" t="s">
        <v>7939</v>
      </c>
      <c r="F20914" s="0" t="s">
        <v>7939</v>
      </c>
    </row>
    <row r="20916" customFormat="false" ht="12.8" hidden="false" customHeight="false" outlineLevel="0" collapsed="false">
      <c r="A20916" s="0" t="s">
        <v>7940</v>
      </c>
      <c r="B20916" s="0" t="str">
        <f aca="false">HYPERLINK("https://lindat.mff.cuni.cz/services/teitok/pdtc10/index.php?action=vallex&amp;frame=v-w3036hsa_657", "ochránit (v-w3036hsa_657)")</f>
        <v>ochránit (v-w3036hsa_657)</v>
      </c>
    </row>
    <row r="20917" customFormat="false" ht="12.8" hidden="false" customHeight="false" outlineLevel="0" collapsed="false">
      <c r="B20917" s="0" t="s">
        <v>7</v>
      </c>
      <c r="C20917" s="0" t="s">
        <v>7933</v>
      </c>
      <c r="D20917" s="0" t="s">
        <v>1232</v>
      </c>
      <c r="E20917" s="0" t="s">
        <v>1232</v>
      </c>
      <c r="F20917" s="0" t="s">
        <v>1232</v>
      </c>
    </row>
    <row r="20918" customFormat="false" ht="12.8" hidden="false" customHeight="false" outlineLevel="0" collapsed="false">
      <c r="B20918" s="0" t="s">
        <v>14</v>
      </c>
      <c r="C20918" s="0" t="s">
        <v>195</v>
      </c>
      <c r="D20918" s="0" t="s">
        <v>1233</v>
      </c>
      <c r="E20918" s="0" t="s">
        <v>1233</v>
      </c>
      <c r="F20918" s="0" t="s">
        <v>1233</v>
      </c>
    </row>
    <row r="20919" customFormat="false" ht="12.8" hidden="false" customHeight="false" outlineLevel="0" collapsed="false">
      <c r="B20919" s="0" t="s">
        <v>1228</v>
      </c>
      <c r="C20919" s="0" t="s">
        <v>7941</v>
      </c>
      <c r="D20919" s="0" t="s">
        <v>1235</v>
      </c>
      <c r="E20919" s="0" t="s">
        <v>1235</v>
      </c>
      <c r="F20919" s="0" t="s">
        <v>1235</v>
      </c>
    </row>
    <row r="20921" customFormat="false" ht="12.8" hidden="false" customHeight="false" outlineLevel="0" collapsed="false">
      <c r="A20921" s="0" t="s">
        <v>7940</v>
      </c>
      <c r="B20921" s="0" t="str">
        <f aca="false">HYPERLINK("https://lindat.mff.cuni.cz/services/teitok/pdtc10/index.php?action=vallex&amp;frame=v-w3036f1", "ochránit (v-w3036f1) - substituted with v-w3036hsa_657")</f>
        <v>ochránit (v-w3036f1) - substituted with v-w3036hsa_657</v>
      </c>
    </row>
    <row r="20922" customFormat="false" ht="12.8" hidden="false" customHeight="false" outlineLevel="0" collapsed="false">
      <c r="B20922" s="0" t="s">
        <v>7</v>
      </c>
      <c r="C20922" s="0" t="s">
        <v>7942</v>
      </c>
    </row>
    <row r="20923" customFormat="false" ht="12.8" hidden="false" customHeight="false" outlineLevel="0" collapsed="false">
      <c r="B20923" s="0" t="s">
        <v>14</v>
      </c>
      <c r="C20923" s="0" t="s">
        <v>7943</v>
      </c>
    </row>
    <row r="20924" customFormat="false" ht="12.8" hidden="false" customHeight="false" outlineLevel="0" collapsed="false">
      <c r="B20924" s="0" t="s">
        <v>1228</v>
      </c>
      <c r="C20924" s="0" t="s">
        <v>7944</v>
      </c>
    </row>
    <row r="20926" customFormat="false" ht="12.8" hidden="false" customHeight="false" outlineLevel="0" collapsed="false">
      <c r="A20926" s="0" t="s">
        <v>7945</v>
      </c>
      <c r="B20926" s="0" t="str">
        <f aca="false">HYPERLINK("https://lindat.mff.cuni.cz/services/teitok/pdtc10/index.php?action=vallex&amp;frame=v-w3042f1", "ochudit (v-w3042f1)")</f>
        <v>ochudit (v-w3042f1)</v>
      </c>
    </row>
    <row r="20927" customFormat="false" ht="12.8" hidden="false" customHeight="false" outlineLevel="0" collapsed="false">
      <c r="B20927" s="0" t="s">
        <v>7</v>
      </c>
      <c r="C20927" s="0" t="s">
        <v>46</v>
      </c>
      <c r="D20927" s="0" t="s">
        <v>46</v>
      </c>
      <c r="E20927" s="0" t="s">
        <v>46</v>
      </c>
      <c r="F20927" s="0" t="s">
        <v>46</v>
      </c>
    </row>
    <row r="20928" customFormat="false" ht="12.8" hidden="false" customHeight="false" outlineLevel="0" collapsed="false">
      <c r="B20928" s="0" t="s">
        <v>615</v>
      </c>
      <c r="C20928" s="0" t="s">
        <v>7946</v>
      </c>
      <c r="D20928" s="0" t="s">
        <v>7946</v>
      </c>
      <c r="E20928" s="0" t="s">
        <v>7946</v>
      </c>
      <c r="F20928" s="0" t="s">
        <v>7946</v>
      </c>
    </row>
    <row r="20929" customFormat="false" ht="12.8" hidden="false" customHeight="false" outlineLevel="0" collapsed="false">
      <c r="B20929" s="0" t="s">
        <v>81</v>
      </c>
      <c r="C20929" s="0" t="s">
        <v>7947</v>
      </c>
      <c r="D20929" s="0" t="s">
        <v>7947</v>
      </c>
      <c r="E20929" s="0" t="s">
        <v>7947</v>
      </c>
      <c r="F20929" s="0" t="s">
        <v>7947</v>
      </c>
    </row>
    <row r="20931" customFormat="false" ht="12.8" hidden="false" customHeight="false" outlineLevel="0" collapsed="false">
      <c r="A20931" s="0" t="s">
        <v>7948</v>
      </c>
      <c r="B20931" s="0" t="str">
        <f aca="false">HYPERLINK("https://lindat.mff.cuni.cz/services/teitok/pdtc10/index.php?action=vallex&amp;frame=v-whsa_860hsa_861", "ochutit (v-whsa_860hsa_861)")</f>
        <v>ochutit (v-whsa_860hsa_861)</v>
      </c>
    </row>
    <row r="20932" customFormat="false" ht="12.8" hidden="false" customHeight="false" outlineLevel="0" collapsed="false">
      <c r="B20932" s="0" t="s">
        <v>7</v>
      </c>
    </row>
    <row r="20933" customFormat="false" ht="12.8" hidden="false" customHeight="false" outlineLevel="0" collapsed="false">
      <c r="B20933" s="0" t="s">
        <v>14</v>
      </c>
    </row>
    <row r="20935" customFormat="false" ht="12.8" hidden="false" customHeight="false" outlineLevel="0" collapsed="false">
      <c r="A20935" s="0" t="s">
        <v>7949</v>
      </c>
      <c r="B20935" s="0" t="str">
        <f aca="false">HYPERLINK("https://lindat.mff.cuni.cz/services/teitok/pdtc10/index.php?action=vallex&amp;frame=v-w3043f2_ZU", "ochutnat (v-w3043f2_ZU)")</f>
        <v>ochutnat (v-w3043f2_ZU)</v>
      </c>
    </row>
    <row r="20936" customFormat="false" ht="12.8" hidden="false" customHeight="false" outlineLevel="0" collapsed="false">
      <c r="B20936" s="0" t="s">
        <v>7</v>
      </c>
    </row>
    <row r="20937" customFormat="false" ht="12.8" hidden="false" customHeight="false" outlineLevel="0" collapsed="false">
      <c r="B20937" s="0" t="s">
        <v>232</v>
      </c>
    </row>
    <row r="20939" customFormat="false" ht="12.8" hidden="false" customHeight="false" outlineLevel="0" collapsed="false">
      <c r="A20939" s="0" t="s">
        <v>7949</v>
      </c>
      <c r="B20939" s="0" t="str">
        <f aca="false">HYPERLINK("https://lindat.mff.cuni.cz/services/teitok/pdtc10/index.php?action=vallex&amp;frame=v-w3043f1", "ochutnat (v-w3043f1) - substituted with v-w3043f2_ZU")</f>
        <v>ochutnat (v-w3043f1) - substituted with v-w3043f2_ZU</v>
      </c>
    </row>
    <row r="20940" customFormat="false" ht="12.8" hidden="false" customHeight="false" outlineLevel="0" collapsed="false">
      <c r="B20940" s="0" t="s">
        <v>7</v>
      </c>
      <c r="C20940" s="0" t="s">
        <v>7950</v>
      </c>
      <c r="D20940" s="0" t="s">
        <v>1111</v>
      </c>
      <c r="E20940" s="0" t="s">
        <v>1111</v>
      </c>
      <c r="F20940" s="0" t="s">
        <v>1111</v>
      </c>
    </row>
    <row r="20941" customFormat="false" ht="12.8" hidden="false" customHeight="false" outlineLevel="0" collapsed="false">
      <c r="B20941" s="0" t="s">
        <v>232</v>
      </c>
      <c r="C20941" s="0" t="s">
        <v>7951</v>
      </c>
      <c r="D20941" s="0" t="s">
        <v>3860</v>
      </c>
      <c r="E20941" s="0" t="s">
        <v>3860</v>
      </c>
      <c r="F20941" s="0" t="s">
        <v>3860</v>
      </c>
    </row>
    <row r="20943" customFormat="false" ht="12.8" hidden="false" customHeight="false" outlineLevel="0" collapsed="false">
      <c r="A20943" s="0" t="s">
        <v>7952</v>
      </c>
      <c r="B20943" s="0" t="str">
        <f aca="false">HYPERLINK("https://lindat.mff.cuni.cz/services/teitok/pdtc10/index.php?action=vallex&amp;frame=v-whsa_1722hsa_1723", "ochutnávat (v-whsa_1722hsa_1723)")</f>
        <v>ochutnávat (v-whsa_1722hsa_1723)</v>
      </c>
    </row>
    <row r="20944" customFormat="false" ht="12.8" hidden="false" customHeight="false" outlineLevel="0" collapsed="false">
      <c r="B20944" s="0" t="s">
        <v>7</v>
      </c>
    </row>
    <row r="20945" customFormat="false" ht="12.8" hidden="false" customHeight="false" outlineLevel="0" collapsed="false">
      <c r="B20945" s="0" t="s">
        <v>14</v>
      </c>
    </row>
    <row r="20947" customFormat="false" ht="12.8" hidden="false" customHeight="false" outlineLevel="0" collapsed="false">
      <c r="A20947" s="0" t="s">
        <v>7953</v>
      </c>
      <c r="B20947" s="0" t="str">
        <f aca="false">HYPERLINK("https://lindat.mff.cuni.cz/services/teitok/pdtc10/index.php?action=vallex&amp;frame=v-w3046f1", "ochuzovat (v-w3046f1)")</f>
        <v>ochuzovat (v-w3046f1)</v>
      </c>
    </row>
    <row r="20948" customFormat="false" ht="12.8" hidden="false" customHeight="false" outlineLevel="0" collapsed="false">
      <c r="B20948" s="0" t="s">
        <v>7</v>
      </c>
      <c r="D20948" s="0" t="s">
        <v>46</v>
      </c>
      <c r="E20948" s="0" t="s">
        <v>46</v>
      </c>
      <c r="F20948" s="0" t="s">
        <v>46</v>
      </c>
    </row>
    <row r="20949" customFormat="false" ht="12.8" hidden="false" customHeight="false" outlineLevel="0" collapsed="false">
      <c r="B20949" s="0" t="s">
        <v>615</v>
      </c>
      <c r="D20949" s="0" t="s">
        <v>7946</v>
      </c>
      <c r="E20949" s="0" t="s">
        <v>7946</v>
      </c>
      <c r="F20949" s="0" t="s">
        <v>7946</v>
      </c>
    </row>
    <row r="20950" customFormat="false" ht="12.8" hidden="false" customHeight="false" outlineLevel="0" collapsed="false">
      <c r="B20950" s="0" t="s">
        <v>81</v>
      </c>
      <c r="D20950" s="0" t="s">
        <v>7947</v>
      </c>
      <c r="E20950" s="0" t="s">
        <v>7947</v>
      </c>
      <c r="F20950" s="0" t="s">
        <v>7947</v>
      </c>
    </row>
    <row r="20952" customFormat="false" ht="12.8" hidden="false" customHeight="false" outlineLevel="0" collapsed="false">
      <c r="A20952" s="0" t="s">
        <v>7954</v>
      </c>
      <c r="B20952" s="0" t="str">
        <f aca="false">HYPERLINK("https://lindat.mff.cuni.cz/services/teitok/pdtc10/index.php?action=vallex&amp;frame=v-w2603f2", "ocitat se (v-w2603f2)")</f>
        <v>ocitat se (v-w2603f2)</v>
      </c>
    </row>
    <row r="20953" customFormat="false" ht="12.8" hidden="false" customHeight="false" outlineLevel="0" collapsed="false">
      <c r="B20953" s="0" t="s">
        <v>7</v>
      </c>
      <c r="F20953" s="0" t="s">
        <v>200</v>
      </c>
    </row>
    <row r="20954" customFormat="false" ht="12.8" hidden="false" customHeight="false" outlineLevel="0" collapsed="false">
      <c r="B20954" s="0" t="s">
        <v>2804</v>
      </c>
    </row>
    <row r="20956" customFormat="false" ht="12.8" hidden="false" customHeight="false" outlineLevel="0" collapsed="false">
      <c r="A20956" s="0" t="s">
        <v>7955</v>
      </c>
      <c r="B20956" s="0" t="str">
        <f aca="false">HYPERLINK("https://lindat.mff.cuni.cz/services/teitok/pdtc10/index.php?action=vallex&amp;frame=v-w2603f1", "ocitat se (v-w2603f1)")</f>
        <v>ocitat se (v-w2603f1)</v>
      </c>
    </row>
    <row r="20957" customFormat="false" ht="12.8" hidden="false" customHeight="false" outlineLevel="0" collapsed="false">
      <c r="B20957" s="0" t="s">
        <v>7</v>
      </c>
    </row>
    <row r="20958" customFormat="false" ht="12.8" hidden="false" customHeight="false" outlineLevel="0" collapsed="false">
      <c r="B20958" s="0" t="s">
        <v>11</v>
      </c>
    </row>
    <row r="20960" customFormat="false" ht="12.8" hidden="false" customHeight="false" outlineLevel="0" collapsed="false">
      <c r="A20960" s="0" t="s">
        <v>7956</v>
      </c>
      <c r="B20960" s="0" t="str">
        <f aca="false">HYPERLINK("https://lindat.mff.cuni.cz/services/teitok/pdtc10/index.php?action=vallex&amp;frame=v-w2604f2", "ocitnout se (v-w2604f2)")</f>
        <v>ocitnout se (v-w2604f2)</v>
      </c>
    </row>
    <row r="20961" customFormat="false" ht="12.8" hidden="false" customHeight="false" outlineLevel="0" collapsed="false">
      <c r="B20961" s="0" t="s">
        <v>7</v>
      </c>
      <c r="C20961" s="0" t="s">
        <v>7957</v>
      </c>
      <c r="D20961" s="0" t="s">
        <v>6350</v>
      </c>
      <c r="E20961" s="0" t="s">
        <v>6350</v>
      </c>
      <c r="F20961" s="0" t="s">
        <v>6351</v>
      </c>
    </row>
    <row r="20962" customFormat="false" ht="12.8" hidden="false" customHeight="false" outlineLevel="0" collapsed="false">
      <c r="B20962" s="0" t="s">
        <v>2804</v>
      </c>
      <c r="C20962" s="0" t="s">
        <v>7958</v>
      </c>
      <c r="D20962" s="0" t="s">
        <v>6353</v>
      </c>
      <c r="E20962" s="0" t="s">
        <v>6353</v>
      </c>
      <c r="F20962" s="0" t="s">
        <v>6353</v>
      </c>
    </row>
    <row r="20964" customFormat="false" ht="12.8" hidden="false" customHeight="false" outlineLevel="0" collapsed="false">
      <c r="A20964" s="0" t="s">
        <v>7959</v>
      </c>
      <c r="B20964" s="0" t="str">
        <f aca="false">HYPERLINK("https://lindat.mff.cuni.cz/services/teitok/pdtc10/index.php?action=vallex&amp;frame=v-w2604f1", "ocitnout se (v-w2604f1)")</f>
        <v>ocitnout se (v-w2604f1)</v>
      </c>
    </row>
    <row r="20965" customFormat="false" ht="12.8" hidden="false" customHeight="false" outlineLevel="0" collapsed="false">
      <c r="B20965" s="0" t="s">
        <v>7</v>
      </c>
      <c r="C20965" s="0" t="s">
        <v>7960</v>
      </c>
      <c r="D20965" s="0" t="s">
        <v>7650</v>
      </c>
      <c r="E20965" s="0" t="s">
        <v>7650</v>
      </c>
      <c r="F20965" s="0" t="s">
        <v>7650</v>
      </c>
    </row>
    <row r="20966" customFormat="false" ht="12.8" hidden="false" customHeight="false" outlineLevel="0" collapsed="false">
      <c r="B20966" s="0" t="s">
        <v>11</v>
      </c>
    </row>
    <row r="20968" customFormat="false" ht="12.8" hidden="false" customHeight="false" outlineLevel="0" collapsed="false">
      <c r="A20968" s="0" t="s">
        <v>7961</v>
      </c>
      <c r="B20968" s="0" t="str">
        <f aca="false">HYPERLINK("https://lindat.mff.cuni.cz/services/teitok/pdtc10/index.php?action=vallex&amp;frame=v-w2604f3", "ocitnout se (v-w2604f3)")</f>
        <v>ocitnout se (v-w2604f3)</v>
      </c>
    </row>
    <row r="20969" customFormat="false" ht="12.8" hidden="false" customHeight="false" outlineLevel="0" collapsed="false">
      <c r="B20969" s="0" t="s">
        <v>7</v>
      </c>
    </row>
    <row r="20970" customFormat="false" ht="12.8" hidden="false" customHeight="false" outlineLevel="0" collapsed="false">
      <c r="B20970" s="0" t="s">
        <v>7962</v>
      </c>
    </row>
    <row r="20972" customFormat="false" ht="12.8" hidden="false" customHeight="false" outlineLevel="0" collapsed="false">
      <c r="A20972" s="0" t="s">
        <v>7963</v>
      </c>
      <c r="B20972" s="0" t="str">
        <f aca="false">HYPERLINK("https://lindat.mff.cuni.cz/services/teitok/pdtc10/index.php?action=vallex&amp;frame=v-w2604f4", "ocitnout se (v-w2604f4)")</f>
        <v>ocitnout se (v-w2604f4)</v>
      </c>
    </row>
    <row r="20973" customFormat="false" ht="12.8" hidden="false" customHeight="false" outlineLevel="0" collapsed="false">
      <c r="B20973" s="0" t="s">
        <v>7</v>
      </c>
    </row>
    <row r="20974" customFormat="false" ht="12.8" hidden="false" customHeight="false" outlineLevel="0" collapsed="false">
      <c r="B20974" s="0" t="s">
        <v>7964</v>
      </c>
    </row>
    <row r="20976" customFormat="false" ht="12.8" hidden="false" customHeight="false" outlineLevel="0" collapsed="false">
      <c r="A20976" s="0" t="s">
        <v>7965</v>
      </c>
      <c r="B20976" s="0" t="str">
        <f aca="false">HYPERLINK("https://lindat.mff.cuni.cz/services/teitok/pdtc10/index.php?action=vallex&amp;frame=v-w2605f1", "ocitovat (v-w2605f1)")</f>
        <v>ocitovat (v-w2605f1)</v>
      </c>
    </row>
    <row r="20977" customFormat="false" ht="12.8" hidden="false" customHeight="false" outlineLevel="0" collapsed="false">
      <c r="B20977" s="0" t="s">
        <v>7</v>
      </c>
      <c r="C20977" s="0" t="s">
        <v>21</v>
      </c>
      <c r="D20977" s="0" t="s">
        <v>1386</v>
      </c>
      <c r="E20977" s="0" t="s">
        <v>1386</v>
      </c>
      <c r="F20977" s="0" t="s">
        <v>1386</v>
      </c>
    </row>
    <row r="20978" customFormat="false" ht="12.8" hidden="false" customHeight="false" outlineLevel="0" collapsed="false">
      <c r="B20978" s="0" t="s">
        <v>367</v>
      </c>
      <c r="C20978" s="0" t="s">
        <v>7966</v>
      </c>
      <c r="D20978" s="0" t="s">
        <v>1388</v>
      </c>
      <c r="E20978" s="0" t="s">
        <v>1388</v>
      </c>
      <c r="F20978" s="0" t="s">
        <v>1388</v>
      </c>
    </row>
    <row r="20980" customFormat="false" ht="12.8" hidden="false" customHeight="false" outlineLevel="0" collapsed="false">
      <c r="A20980" s="0" t="s">
        <v>7967</v>
      </c>
      <c r="B20980" s="0" t="str">
        <f aca="false">HYPERLINK("https://lindat.mff.cuni.cz/services/teitok/pdtc10/index.php?action=vallex&amp;frame=v-w2606f1", "octnout se (v-w2606f1)")</f>
        <v>octnout se (v-w2606f1)</v>
      </c>
    </row>
    <row r="20981" customFormat="false" ht="12.8" hidden="false" customHeight="false" outlineLevel="0" collapsed="false">
      <c r="B20981" s="0" t="s">
        <v>7</v>
      </c>
      <c r="C20981" s="0" t="s">
        <v>396</v>
      </c>
      <c r="F20981" s="0" t="s">
        <v>200</v>
      </c>
    </row>
    <row r="20982" customFormat="false" ht="12.8" hidden="false" customHeight="false" outlineLevel="0" collapsed="false">
      <c r="B20982" s="0" t="s">
        <v>2804</v>
      </c>
    </row>
    <row r="20984" customFormat="false" ht="12.8" hidden="false" customHeight="false" outlineLevel="0" collapsed="false">
      <c r="A20984" s="0" t="s">
        <v>7968</v>
      </c>
      <c r="B20984" s="0" t="str">
        <f aca="false">HYPERLINK("https://lindat.mff.cuni.cz/services/teitok/pdtc10/index.php?action=vallex&amp;frame=v-w2606f2", "octnout se (v-w2606f2)")</f>
        <v>octnout se (v-w2606f2)</v>
      </c>
    </row>
    <row r="20985" customFormat="false" ht="12.8" hidden="false" customHeight="false" outlineLevel="0" collapsed="false">
      <c r="B20985" s="0" t="s">
        <v>7</v>
      </c>
    </row>
    <row r="20986" customFormat="false" ht="12.8" hidden="false" customHeight="false" outlineLevel="0" collapsed="false">
      <c r="B20986" s="0" t="s">
        <v>11</v>
      </c>
    </row>
    <row r="20988" customFormat="false" ht="12.8" hidden="false" customHeight="false" outlineLevel="0" collapsed="false">
      <c r="A20988" s="0" t="s">
        <v>7969</v>
      </c>
      <c r="B20988" s="0" t="str">
        <f aca="false">HYPERLINK("https://lindat.mff.cuni.cz/services/teitok/pdtc10/index.php?action=vallex&amp;frame=v-w2619f1", "odbavovat (v-w2619f1)")</f>
        <v>odbavovat (v-w2619f1)</v>
      </c>
    </row>
    <row r="20989" customFormat="false" ht="12.8" hidden="false" customHeight="false" outlineLevel="0" collapsed="false">
      <c r="B20989" s="0" t="s">
        <v>7</v>
      </c>
    </row>
    <row r="20990" customFormat="false" ht="12.8" hidden="false" customHeight="false" outlineLevel="0" collapsed="false">
      <c r="B20990" s="0" t="s">
        <v>14</v>
      </c>
    </row>
    <row r="20992" customFormat="false" ht="12.8" hidden="false" customHeight="false" outlineLevel="0" collapsed="false">
      <c r="A20992" s="0" t="s">
        <v>7970</v>
      </c>
      <c r="B20992" s="0" t="str">
        <f aca="false">HYPERLINK("https://lindat.mff.cuni.cz/services/teitok/pdtc10/index.php?action=vallex&amp;frame=v-w10728f2", "odblokovat (v-w10728f2)")</f>
        <v>odblokovat (v-w10728f2)</v>
      </c>
    </row>
    <row r="20993" customFormat="false" ht="12.8" hidden="false" customHeight="false" outlineLevel="0" collapsed="false">
      <c r="B20993" s="0" t="s">
        <v>7</v>
      </c>
    </row>
    <row r="20994" customFormat="false" ht="12.8" hidden="false" customHeight="false" outlineLevel="0" collapsed="false">
      <c r="B20994" s="0" t="s">
        <v>14</v>
      </c>
    </row>
    <row r="20996" customFormat="false" ht="12.8" hidden="false" customHeight="false" outlineLevel="0" collapsed="false">
      <c r="A20996" s="0" t="s">
        <v>7971</v>
      </c>
      <c r="B20996" s="0" t="str">
        <f aca="false">HYPERLINK("https://lindat.mff.cuni.cz/services/teitok/pdtc10/index.php?action=vallex&amp;frame=v-w2624f1", "odbourat (v-w2624f1)")</f>
        <v>odbourat (v-w2624f1)</v>
      </c>
    </row>
    <row r="20997" customFormat="false" ht="12.8" hidden="false" customHeight="false" outlineLevel="0" collapsed="false">
      <c r="B20997" s="0" t="s">
        <v>7</v>
      </c>
      <c r="C20997" s="0" t="s">
        <v>46</v>
      </c>
      <c r="D20997" s="0" t="s">
        <v>2560</v>
      </c>
      <c r="E20997" s="0" t="s">
        <v>2560</v>
      </c>
      <c r="F20997" s="0" t="s">
        <v>2560</v>
      </c>
    </row>
    <row r="20998" customFormat="false" ht="12.8" hidden="false" customHeight="false" outlineLevel="0" collapsed="false">
      <c r="B20998" s="0" t="s">
        <v>14</v>
      </c>
      <c r="C20998" s="0" t="s">
        <v>400</v>
      </c>
      <c r="D20998" s="0" t="s">
        <v>3883</v>
      </c>
      <c r="E20998" s="0" t="s">
        <v>3883</v>
      </c>
      <c r="F20998" s="0" t="s">
        <v>3883</v>
      </c>
    </row>
    <row r="21000" customFormat="false" ht="12.8" hidden="false" customHeight="false" outlineLevel="0" collapsed="false">
      <c r="A21000" s="0" t="s">
        <v>7972</v>
      </c>
      <c r="B21000" s="0" t="str">
        <f aca="false">HYPERLINK("https://lindat.mff.cuni.cz/services/teitok/pdtc10/index.php?action=vallex&amp;frame=v-w2626f1", "odbourávat (v-w2626f1)")</f>
        <v>odbourávat (v-w2626f1)</v>
      </c>
    </row>
    <row r="21001" customFormat="false" ht="12.8" hidden="false" customHeight="false" outlineLevel="0" collapsed="false">
      <c r="B21001" s="0" t="s">
        <v>7</v>
      </c>
    </row>
    <row r="21002" customFormat="false" ht="12.8" hidden="false" customHeight="false" outlineLevel="0" collapsed="false">
      <c r="B21002" s="0" t="s">
        <v>14</v>
      </c>
    </row>
    <row r="21004" customFormat="false" ht="12.8" hidden="false" customHeight="false" outlineLevel="0" collapsed="false">
      <c r="A21004" s="0" t="s">
        <v>7973</v>
      </c>
      <c r="B21004" s="0" t="str">
        <f aca="false">HYPERLINK("https://lindat.mff.cuni.cz/services/teitok/pdtc10/index.php?action=vallex&amp;frame=v-w10051f2", "odbočit (v-w10051f2)")</f>
        <v>odbočit (v-w10051f2)</v>
      </c>
    </row>
    <row r="21005" customFormat="false" ht="12.8" hidden="false" customHeight="false" outlineLevel="0" collapsed="false">
      <c r="B21005" s="0" t="s">
        <v>7</v>
      </c>
      <c r="C21005" s="0" t="s">
        <v>7782</v>
      </c>
      <c r="E21005" s="0" t="s">
        <v>7974</v>
      </c>
      <c r="F21005" s="0" t="s">
        <v>7974</v>
      </c>
    </row>
    <row r="21006" customFormat="false" ht="12.8" hidden="false" customHeight="false" outlineLevel="0" collapsed="false">
      <c r="B21006" s="0" t="s">
        <v>124</v>
      </c>
      <c r="E21006" s="0" t="s">
        <v>2238</v>
      </c>
      <c r="F21006" s="0" t="s">
        <v>2238</v>
      </c>
    </row>
    <row r="21008" customFormat="false" ht="12.8" hidden="false" customHeight="false" outlineLevel="0" collapsed="false">
      <c r="A21008" s="0" t="s">
        <v>7975</v>
      </c>
      <c r="B21008" s="0" t="str">
        <f aca="false">HYPERLINK("https://lindat.mff.cuni.cz/services/teitok/pdtc10/index.php?action=vallex&amp;frame=v-w10051f5_ZU", "odbočit (v-w10051f5_ZU)")</f>
        <v>odbočit (v-w10051f5_ZU)</v>
      </c>
    </row>
    <row r="21009" customFormat="false" ht="12.8" hidden="false" customHeight="false" outlineLevel="0" collapsed="false">
      <c r="B21009" s="0" t="s">
        <v>7</v>
      </c>
    </row>
    <row r="21010" customFormat="false" ht="12.8" hidden="false" customHeight="false" outlineLevel="0" collapsed="false">
      <c r="B21010" s="0" t="s">
        <v>28</v>
      </c>
    </row>
    <row r="21012" customFormat="false" ht="12.8" hidden="false" customHeight="false" outlineLevel="0" collapsed="false">
      <c r="A21012" s="0" t="s">
        <v>7975</v>
      </c>
      <c r="B21012" s="0" t="str">
        <f aca="false">HYPERLINK("https://lindat.mff.cuni.cz/services/teitok/pdtc10/index.php?action=vallex&amp;frame=v-w10051f3_ZU", "odbočit (v-w10051f3_ZU) - substituted with v-w10051f5_ZU")</f>
        <v>odbočit (v-w10051f3_ZU) - substituted with v-w10051f5_ZU</v>
      </c>
    </row>
    <row r="21013" customFormat="false" ht="12.8" hidden="false" customHeight="false" outlineLevel="0" collapsed="false">
      <c r="B21013" s="0" t="s">
        <v>7</v>
      </c>
    </row>
    <row r="21014" customFormat="false" ht="12.8" hidden="false" customHeight="false" outlineLevel="0" collapsed="false">
      <c r="B21014" s="0" t="s">
        <v>28</v>
      </c>
    </row>
    <row r="21016" customFormat="false" ht="12.8" hidden="false" customHeight="false" outlineLevel="0" collapsed="false">
      <c r="A21016" s="0" t="s">
        <v>7975</v>
      </c>
      <c r="B21016" s="0" t="str">
        <f aca="false">HYPERLINK("https://lindat.mff.cuni.cz/services/teitok/pdtc10/index.php?action=vallex&amp;frame=v-w10051f4_ZU", "odbočit (v-w10051f4_ZU) - substituted with v-w10051f5_ZU")</f>
        <v>odbočit (v-w10051f4_ZU) - substituted with v-w10051f5_ZU</v>
      </c>
    </row>
    <row r="21017" customFormat="false" ht="12.8" hidden="false" customHeight="false" outlineLevel="0" collapsed="false">
      <c r="B21017" s="0" t="s">
        <v>7</v>
      </c>
    </row>
    <row r="21018" customFormat="false" ht="12.8" hidden="false" customHeight="false" outlineLevel="0" collapsed="false">
      <c r="B21018" s="0" t="s">
        <v>28</v>
      </c>
    </row>
    <row r="21020" customFormat="false" ht="12.8" hidden="false" customHeight="false" outlineLevel="0" collapsed="false">
      <c r="A21020" s="0" t="s">
        <v>7975</v>
      </c>
      <c r="B21020" s="0" t="str">
        <f aca="false">HYPERLINK("https://lindat.mff.cuni.cz/services/teitok/pdtc10/index.php?action=vallex&amp;frame=v-w10051hsa_416", "odbočit (v-w10051hsa_416) - substituted with v-w10051f5_ZU")</f>
        <v>odbočit (v-w10051hsa_416) - substituted with v-w10051f5_ZU</v>
      </c>
    </row>
    <row r="21021" customFormat="false" ht="12.8" hidden="false" customHeight="false" outlineLevel="0" collapsed="false">
      <c r="B21021" s="0" t="s">
        <v>7</v>
      </c>
    </row>
    <row r="21022" customFormat="false" ht="12.8" hidden="false" customHeight="false" outlineLevel="0" collapsed="false">
      <c r="B21022" s="0" t="s">
        <v>28</v>
      </c>
    </row>
    <row r="21024" customFormat="false" ht="12.8" hidden="false" customHeight="false" outlineLevel="0" collapsed="false">
      <c r="A21024" s="0" t="s">
        <v>7976</v>
      </c>
      <c r="B21024" s="0" t="str">
        <f aca="false">HYPERLINK("https://lindat.mff.cuni.cz/services/teitok/pdtc10/index.php?action=vallex&amp;frame=v-w10260f2", "odbočovat (v-w10260f2)")</f>
        <v>odbočovat (v-w10260f2)</v>
      </c>
    </row>
    <row r="21025" customFormat="false" ht="12.8" hidden="false" customHeight="false" outlineLevel="0" collapsed="false">
      <c r="B21025" s="0" t="s">
        <v>7</v>
      </c>
      <c r="C21025" s="0" t="s">
        <v>191</v>
      </c>
      <c r="D21025" s="0" t="s">
        <v>7977</v>
      </c>
      <c r="E21025" s="0" t="s">
        <v>7978</v>
      </c>
      <c r="F21025" s="0" t="s">
        <v>7978</v>
      </c>
    </row>
    <row r="21026" customFormat="false" ht="12.8" hidden="false" customHeight="false" outlineLevel="0" collapsed="false">
      <c r="B21026" s="0" t="s">
        <v>124</v>
      </c>
    </row>
    <row r="21028" customFormat="false" ht="12.8" hidden="false" customHeight="false" outlineLevel="0" collapsed="false">
      <c r="A21028" s="0" t="s">
        <v>7979</v>
      </c>
      <c r="B21028" s="0" t="str">
        <f aca="false">HYPERLINK("https://lindat.mff.cuni.cz/services/teitok/pdtc10/index.php?action=vallex&amp;frame=v-w10260f3_MM", "odbočovat (v-w10260f3_MM)")</f>
        <v>odbočovat (v-w10260f3_MM)</v>
      </c>
    </row>
    <row r="21029" customFormat="false" ht="12.8" hidden="false" customHeight="false" outlineLevel="0" collapsed="false">
      <c r="B21029" s="0" t="s">
        <v>7</v>
      </c>
    </row>
    <row r="21030" customFormat="false" ht="12.8" hidden="false" customHeight="false" outlineLevel="0" collapsed="false">
      <c r="B21030" s="0" t="s">
        <v>28</v>
      </c>
    </row>
    <row r="21032" customFormat="false" ht="12.8" hidden="false" customHeight="false" outlineLevel="0" collapsed="false">
      <c r="A21032" s="0" t="s">
        <v>7980</v>
      </c>
      <c r="B21032" s="0" t="str">
        <f aca="false">HYPERLINK("https://lindat.mff.cuni.cz/services/teitok/pdtc10/index.php?action=vallex&amp;frame=v-w2627f1", "odbrzdit (v-w2627f1)")</f>
        <v>odbrzdit (v-w2627f1)</v>
      </c>
    </row>
    <row r="21033" customFormat="false" ht="12.8" hidden="false" customHeight="false" outlineLevel="0" collapsed="false">
      <c r="B21033" s="0" t="s">
        <v>7</v>
      </c>
    </row>
    <row r="21034" customFormat="false" ht="12.8" hidden="false" customHeight="false" outlineLevel="0" collapsed="false">
      <c r="B21034" s="0" t="s">
        <v>14</v>
      </c>
    </row>
    <row r="21036" customFormat="false" ht="12.8" hidden="false" customHeight="false" outlineLevel="0" collapsed="false">
      <c r="A21036" s="0" t="s">
        <v>7981</v>
      </c>
      <c r="B21036" s="0" t="str">
        <f aca="false">HYPERLINK("https://lindat.mff.cuni.cz/services/teitok/pdtc10/index.php?action=vallex&amp;frame=v-whsa_1258hsa_1259", "odburácet (v-whsa_1258hsa_1259)")</f>
        <v>odburácet (v-whsa_1258hsa_1259)</v>
      </c>
    </row>
    <row r="21037" customFormat="false" ht="12.8" hidden="false" customHeight="false" outlineLevel="0" collapsed="false">
      <c r="B21037" s="0" t="s">
        <v>7</v>
      </c>
      <c r="C21037" s="0" t="s">
        <v>184</v>
      </c>
    </row>
    <row r="21038" customFormat="false" ht="12.8" hidden="false" customHeight="false" outlineLevel="0" collapsed="false">
      <c r="B21038" s="0" t="s">
        <v>459</v>
      </c>
    </row>
    <row r="21040" customFormat="false" ht="12.8" hidden="false" customHeight="false" outlineLevel="0" collapsed="false">
      <c r="A21040" s="0" t="s">
        <v>7982</v>
      </c>
      <c r="B21040" s="0" t="str">
        <f aca="false">HYPERLINK("https://lindat.mff.cuni.cz/services/teitok/pdtc10/index.php?action=vallex&amp;frame=v-w2630f1", "odbýt (v-w2630f1)")</f>
        <v>odbýt (v-w2630f1)</v>
      </c>
    </row>
    <row r="21041" customFormat="false" ht="12.8" hidden="false" customHeight="false" outlineLevel="0" collapsed="false">
      <c r="B21041" s="0" t="s">
        <v>7</v>
      </c>
    </row>
    <row r="21042" customFormat="false" ht="12.8" hidden="false" customHeight="false" outlineLevel="0" collapsed="false">
      <c r="B21042" s="0" t="s">
        <v>14</v>
      </c>
    </row>
    <row r="21044" customFormat="false" ht="12.8" hidden="false" customHeight="false" outlineLevel="0" collapsed="false">
      <c r="A21044" s="0" t="s">
        <v>7983</v>
      </c>
      <c r="B21044" s="0" t="str">
        <f aca="false">HYPERLINK("https://lindat.mff.cuni.cz/services/teitok/pdtc10/index.php?action=vallex&amp;frame=v-w2630f3", "odbýt (v-w2630f3)")</f>
        <v>odbýt (v-w2630f3)</v>
      </c>
    </row>
    <row r="21045" customFormat="false" ht="12.8" hidden="false" customHeight="false" outlineLevel="0" collapsed="false">
      <c r="B21045" s="0" t="s">
        <v>7</v>
      </c>
    </row>
    <row r="21046" customFormat="false" ht="12.8" hidden="false" customHeight="false" outlineLevel="0" collapsed="false">
      <c r="B21046" s="0" t="s">
        <v>14</v>
      </c>
    </row>
    <row r="21048" customFormat="false" ht="12.8" hidden="false" customHeight="false" outlineLevel="0" collapsed="false">
      <c r="A21048" s="0" t="s">
        <v>7984</v>
      </c>
      <c r="B21048" s="0" t="str">
        <f aca="false">HYPERLINK("https://lindat.mff.cuni.cz/services/teitok/pdtc10/index.php?action=vallex&amp;frame=v-w2630f2", "odbýt (v-w2630f2)")</f>
        <v>odbýt (v-w2630f2)</v>
      </c>
    </row>
    <row r="21049" customFormat="false" ht="12.8" hidden="false" customHeight="false" outlineLevel="0" collapsed="false">
      <c r="B21049" s="0" t="s">
        <v>7</v>
      </c>
      <c r="C21049" s="0" t="s">
        <v>46</v>
      </c>
      <c r="E21049" s="0" t="s">
        <v>1567</v>
      </c>
      <c r="F21049" s="0" t="s">
        <v>1567</v>
      </c>
    </row>
    <row r="21050" customFormat="false" ht="12.8" hidden="false" customHeight="false" outlineLevel="0" collapsed="false">
      <c r="B21050" s="0" t="s">
        <v>14</v>
      </c>
      <c r="C21050" s="0" t="s">
        <v>47</v>
      </c>
      <c r="E21050" s="0" t="s">
        <v>1568</v>
      </c>
      <c r="F21050" s="0" t="s">
        <v>1568</v>
      </c>
    </row>
    <row r="21052" customFormat="false" ht="12.8" hidden="false" customHeight="false" outlineLevel="0" collapsed="false">
      <c r="A21052" s="0" t="s">
        <v>7985</v>
      </c>
      <c r="B21052" s="0" t="str">
        <f aca="false">HYPERLINK("https://lindat.mff.cuni.cz/services/teitok/pdtc10/index.php?action=vallex&amp;frame=v-w2630f4_ZU", "odbýt (v-w2630f4_ZU)")</f>
        <v>odbýt (v-w2630f4_ZU)</v>
      </c>
    </row>
    <row r="21053" customFormat="false" ht="12.8" hidden="false" customHeight="false" outlineLevel="0" collapsed="false">
      <c r="B21053" s="0" t="s">
        <v>7</v>
      </c>
    </row>
    <row r="21054" customFormat="false" ht="12.8" hidden="false" customHeight="false" outlineLevel="0" collapsed="false">
      <c r="B21054" s="0" t="s">
        <v>14</v>
      </c>
    </row>
    <row r="21056" customFormat="false" ht="12.8" hidden="false" customHeight="false" outlineLevel="0" collapsed="false">
      <c r="A21056" s="0" t="s">
        <v>7985</v>
      </c>
      <c r="B21056" s="0" t="str">
        <f aca="false">HYPERLINK("https://lindat.mff.cuni.cz/services/teitok/pdtc10/index.php?action=vallex&amp;frame=v-w2630hsa_1358", "odbýt (v-w2630hsa_1358) - substituted with v-w2630f4_ZU")</f>
        <v>odbýt (v-w2630hsa_1358) - substituted with v-w2630f4_ZU</v>
      </c>
    </row>
    <row r="21057" customFormat="false" ht="12.8" hidden="false" customHeight="false" outlineLevel="0" collapsed="false">
      <c r="B21057" s="0" t="s">
        <v>7</v>
      </c>
    </row>
    <row r="21058" customFormat="false" ht="12.8" hidden="false" customHeight="false" outlineLevel="0" collapsed="false">
      <c r="B21058" s="0" t="s">
        <v>14</v>
      </c>
    </row>
    <row r="21060" customFormat="false" ht="12.8" hidden="false" customHeight="false" outlineLevel="0" collapsed="false">
      <c r="A21060" s="0" t="s">
        <v>7986</v>
      </c>
      <c r="B21060" s="0" t="str">
        <f aca="false">HYPERLINK("https://lindat.mff.cuni.cz/services/teitok/pdtc10/index.php?action=vallex&amp;frame=v-w2630f5_ZU", "odbýt (v-w2630f5_ZU)")</f>
        <v>odbýt (v-w2630f5_ZU)</v>
      </c>
    </row>
    <row r="21061" customFormat="false" ht="12.8" hidden="false" customHeight="false" outlineLevel="0" collapsed="false">
      <c r="B21061" s="0" t="s">
        <v>7</v>
      </c>
    </row>
    <row r="21062" customFormat="false" ht="12.8" hidden="false" customHeight="false" outlineLevel="0" collapsed="false">
      <c r="B21062" s="0" t="s">
        <v>14</v>
      </c>
    </row>
    <row r="21064" customFormat="false" ht="12.8" hidden="false" customHeight="false" outlineLevel="0" collapsed="false">
      <c r="A21064" s="0" t="s">
        <v>7987</v>
      </c>
      <c r="B21064" s="0" t="str">
        <f aca="false">HYPERLINK("https://lindat.mff.cuni.cz/services/teitok/pdtc10/index.php?action=vallex&amp;frame=v-w2631f1", "odbýt se (v-w2631f1)")</f>
        <v>odbýt se (v-w2631f1)</v>
      </c>
    </row>
    <row r="21065" customFormat="false" ht="12.8" hidden="false" customHeight="false" outlineLevel="0" collapsed="false">
      <c r="B21065" s="0" t="s">
        <v>7</v>
      </c>
    </row>
    <row r="21067" customFormat="false" ht="12.8" hidden="false" customHeight="false" outlineLevel="0" collapsed="false">
      <c r="A21067" s="0" t="s">
        <v>7988</v>
      </c>
      <c r="B21067" s="0" t="str">
        <f aca="false">HYPERLINK("https://lindat.mff.cuni.cz/services/teitok/pdtc10/index.php?action=vallex&amp;frame=v-w2632f1", "odbýt si (v-w2632f1)")</f>
        <v>odbýt si (v-w2632f1)</v>
      </c>
    </row>
    <row r="21068" customFormat="false" ht="12.8" hidden="false" customHeight="false" outlineLevel="0" collapsed="false">
      <c r="B21068" s="0" t="s">
        <v>7</v>
      </c>
    </row>
    <row r="21069" customFormat="false" ht="12.8" hidden="false" customHeight="false" outlineLevel="0" collapsed="false">
      <c r="B21069" s="0" t="s">
        <v>14</v>
      </c>
    </row>
    <row r="21071" customFormat="false" ht="12.8" hidden="false" customHeight="false" outlineLevel="0" collapsed="false">
      <c r="A21071" s="0" t="s">
        <v>7989</v>
      </c>
      <c r="B21071" s="0" t="str">
        <f aca="false">HYPERLINK("https://lindat.mff.cuni.cz/services/teitok/pdtc10/index.php?action=vallex&amp;frame=v-whsa_614hsa_615", "odbývat (v-whsa_614hsa_615)")</f>
        <v>odbývat (v-whsa_614hsa_615)</v>
      </c>
    </row>
    <row r="21072" customFormat="false" ht="12.8" hidden="false" customHeight="false" outlineLevel="0" collapsed="false">
      <c r="B21072" s="0" t="s">
        <v>7</v>
      </c>
      <c r="C21072" s="0" t="s">
        <v>46</v>
      </c>
    </row>
    <row r="21073" customFormat="false" ht="12.8" hidden="false" customHeight="false" outlineLevel="0" collapsed="false">
      <c r="B21073" s="0" t="s">
        <v>14</v>
      </c>
      <c r="C21073" s="0" t="s">
        <v>384</v>
      </c>
    </row>
    <row r="21075" customFormat="false" ht="12.8" hidden="false" customHeight="false" outlineLevel="0" collapsed="false">
      <c r="A21075" s="0" t="s">
        <v>7990</v>
      </c>
      <c r="B21075" s="0" t="str">
        <f aca="false">HYPERLINK("https://lindat.mff.cuni.cz/services/teitok/pdtc10/index.php?action=vallex&amp;frame=v-whsb_614f1_ZU", "odbývat (v-whsb_614f1_ZU)")</f>
        <v>odbývat (v-whsb_614f1_ZU)</v>
      </c>
    </row>
    <row r="21076" customFormat="false" ht="12.8" hidden="false" customHeight="false" outlineLevel="0" collapsed="false">
      <c r="B21076" s="0" t="s">
        <v>7</v>
      </c>
    </row>
    <row r="21077" customFormat="false" ht="12.8" hidden="false" customHeight="false" outlineLevel="0" collapsed="false">
      <c r="B21077" s="0" t="s">
        <v>14</v>
      </c>
    </row>
    <row r="21079" customFormat="false" ht="12.8" hidden="false" customHeight="false" outlineLevel="0" collapsed="false">
      <c r="A21079" s="0" t="s">
        <v>7991</v>
      </c>
      <c r="B21079" s="0" t="str">
        <f aca="false">HYPERLINK("https://lindat.mff.cuni.cz/services/teitok/pdtc10/index.php?action=vallex&amp;frame=v-w2633f1", "odbývat se (v-w2633f1)")</f>
        <v>odbývat se (v-w2633f1)</v>
      </c>
    </row>
    <row r="21080" customFormat="false" ht="12.8" hidden="false" customHeight="false" outlineLevel="0" collapsed="false">
      <c r="B21080" s="0" t="s">
        <v>7</v>
      </c>
    </row>
    <row r="21082" customFormat="false" ht="12.8" hidden="false" customHeight="false" outlineLevel="0" collapsed="false">
      <c r="A21082" s="0" t="s">
        <v>7992</v>
      </c>
      <c r="B21082" s="0" t="str">
        <f aca="false">HYPERLINK("https://lindat.mff.cuni.cz/services/teitok/pdtc10/index.php?action=vallex&amp;frame=v-whsa_1219hsa_1220", "odběhnout (v-whsa_1219hsa_1220)")</f>
        <v>odběhnout (v-whsa_1219hsa_1220)</v>
      </c>
    </row>
    <row r="21083" customFormat="false" ht="12.8" hidden="false" customHeight="false" outlineLevel="0" collapsed="false">
      <c r="B21083" s="0" t="s">
        <v>7</v>
      </c>
    </row>
    <row r="21084" customFormat="false" ht="12.8" hidden="false" customHeight="false" outlineLevel="0" collapsed="false">
      <c r="B21084" s="0" t="s">
        <v>459</v>
      </c>
    </row>
    <row r="21086" customFormat="false" ht="12.8" hidden="false" customHeight="false" outlineLevel="0" collapsed="false">
      <c r="A21086" s="0" t="s">
        <v>7993</v>
      </c>
      <c r="B21086" s="0" t="str">
        <f aca="false">HYPERLINK("https://lindat.mff.cuni.cz/services/teitok/pdtc10/index.php?action=vallex&amp;frame=v-w2628f1", "odbřemenit (v-w2628f1)")</f>
        <v>odbřemenit (v-w2628f1)</v>
      </c>
    </row>
    <row r="21087" customFormat="false" ht="12.8" hidden="false" customHeight="false" outlineLevel="0" collapsed="false">
      <c r="B21087" s="0" t="s">
        <v>7</v>
      </c>
    </row>
    <row r="21088" customFormat="false" ht="12.8" hidden="false" customHeight="false" outlineLevel="0" collapsed="false">
      <c r="B21088" s="0" t="s">
        <v>14</v>
      </c>
    </row>
    <row r="21089" customFormat="false" ht="12.8" hidden="false" customHeight="false" outlineLevel="0" collapsed="false">
      <c r="B21089" s="0" t="s">
        <v>441</v>
      </c>
    </row>
    <row r="21091" customFormat="false" ht="12.8" hidden="false" customHeight="false" outlineLevel="0" collapsed="false">
      <c r="A21091" s="0" t="s">
        <v>7994</v>
      </c>
      <c r="B21091" s="0" t="str">
        <f aca="false">HYPERLINK("https://lindat.mff.cuni.cz/services/teitok/pdtc10/index.php?action=vallex&amp;frame=v-w2634f1", "odcentrovat (v-w2634f1)")</f>
        <v>odcentrovat (v-w2634f1)</v>
      </c>
    </row>
    <row r="21092" customFormat="false" ht="12.8" hidden="false" customHeight="false" outlineLevel="0" collapsed="false">
      <c r="B21092" s="0" t="s">
        <v>7</v>
      </c>
    </row>
    <row r="21093" customFormat="false" ht="12.8" hidden="false" customHeight="false" outlineLevel="0" collapsed="false">
      <c r="B21093" s="0" t="s">
        <v>14</v>
      </c>
    </row>
    <row r="21094" customFormat="false" ht="12.8" hidden="false" customHeight="false" outlineLevel="0" collapsed="false">
      <c r="B21094" s="0" t="s">
        <v>106</v>
      </c>
    </row>
    <row r="21096" customFormat="false" ht="12.8" hidden="false" customHeight="false" outlineLevel="0" collapsed="false">
      <c r="A21096" s="0" t="s">
        <v>7995</v>
      </c>
      <c r="B21096" s="0" t="str">
        <f aca="false">HYPERLINK("https://lindat.mff.cuni.cz/services/teitok/pdtc10/index.php?action=vallex&amp;frame=v-w2635f1", "odcestovat (v-w2635f1)")</f>
        <v>odcestovat (v-w2635f1)</v>
      </c>
    </row>
    <row r="21097" customFormat="false" ht="12.8" hidden="false" customHeight="false" outlineLevel="0" collapsed="false">
      <c r="B21097" s="0" t="s">
        <v>7</v>
      </c>
      <c r="C21097" s="0" t="s">
        <v>1874</v>
      </c>
    </row>
    <row r="21098" customFormat="false" ht="12.8" hidden="false" customHeight="false" outlineLevel="0" collapsed="false">
      <c r="B21098" s="0" t="s">
        <v>459</v>
      </c>
    </row>
    <row r="21100" customFormat="false" ht="12.8" hidden="false" customHeight="false" outlineLevel="0" collapsed="false">
      <c r="A21100" s="0" t="s">
        <v>7996</v>
      </c>
      <c r="B21100" s="0" t="str">
        <f aca="false">HYPERLINK("https://lindat.mff.cuni.cz/services/teitok/pdtc10/index.php?action=vallex&amp;frame=v-w2720f1", "odchodit (v-w2720f1)")</f>
        <v>odchodit (v-w2720f1)</v>
      </c>
    </row>
    <row r="21101" customFormat="false" ht="12.8" hidden="false" customHeight="false" outlineLevel="0" collapsed="false">
      <c r="B21101" s="0" t="s">
        <v>7</v>
      </c>
    </row>
    <row r="21102" customFormat="false" ht="12.8" hidden="false" customHeight="false" outlineLevel="0" collapsed="false">
      <c r="B21102" s="0" t="s">
        <v>14</v>
      </c>
    </row>
    <row r="21104" customFormat="false" ht="12.8" hidden="false" customHeight="false" outlineLevel="0" collapsed="false">
      <c r="A21104" s="0" t="s">
        <v>7997</v>
      </c>
      <c r="B21104" s="0" t="str">
        <f aca="false">HYPERLINK("https://lindat.mff.cuni.cz/services/teitok/pdtc10/index.php?action=vallex&amp;frame=v-w2721f1", "odchovat (v-w2721f1)")</f>
        <v>odchovat (v-w2721f1)</v>
      </c>
    </row>
    <row r="21105" customFormat="false" ht="12.8" hidden="false" customHeight="false" outlineLevel="0" collapsed="false">
      <c r="B21105" s="0" t="s">
        <v>7</v>
      </c>
    </row>
    <row r="21106" customFormat="false" ht="12.8" hidden="false" customHeight="false" outlineLevel="0" collapsed="false">
      <c r="B21106" s="0" t="s">
        <v>14</v>
      </c>
    </row>
    <row r="21107" customFormat="false" ht="12.8" hidden="false" customHeight="false" outlineLevel="0" collapsed="false">
      <c r="B21107" s="0" t="s">
        <v>35</v>
      </c>
    </row>
    <row r="21109" customFormat="false" ht="12.8" hidden="false" customHeight="false" outlineLevel="0" collapsed="false">
      <c r="A21109" s="0" t="s">
        <v>7998</v>
      </c>
      <c r="B21109" s="0" t="str">
        <f aca="false">HYPERLINK("https://lindat.mff.cuni.cz/services/teitok/pdtc10/index.php?action=vallex&amp;frame=v-whsa_1778hsa_1779", "odchovávat (v-whsa_1778hsa_1779)")</f>
        <v>odchovávat (v-whsa_1778hsa_1779)</v>
      </c>
    </row>
    <row r="21110" customFormat="false" ht="12.8" hidden="false" customHeight="false" outlineLevel="0" collapsed="false">
      <c r="B21110" s="0" t="s">
        <v>7</v>
      </c>
    </row>
    <row r="21111" customFormat="false" ht="12.8" hidden="false" customHeight="false" outlineLevel="0" collapsed="false">
      <c r="B21111" s="0" t="s">
        <v>14</v>
      </c>
    </row>
    <row r="21113" customFormat="false" ht="12.8" hidden="false" customHeight="false" outlineLevel="0" collapsed="false">
      <c r="A21113" s="0" t="s">
        <v>7999</v>
      </c>
      <c r="B21113" s="0" t="str">
        <f aca="false">HYPERLINK("https://lindat.mff.cuni.cz/services/teitok/pdtc10/index.php?action=vallex&amp;frame=v-w2724f1", "odchylovat se (v-w2724f1)")</f>
        <v>odchylovat se (v-w2724f1)</v>
      </c>
    </row>
    <row r="21114" customFormat="false" ht="12.8" hidden="false" customHeight="false" outlineLevel="0" collapsed="false">
      <c r="B21114" s="0" t="s">
        <v>7</v>
      </c>
      <c r="D21114" s="0" t="s">
        <v>31</v>
      </c>
      <c r="E21114" s="0" t="s">
        <v>31</v>
      </c>
      <c r="F21114" s="0" t="s">
        <v>31</v>
      </c>
    </row>
    <row r="21115" customFormat="false" ht="12.8" hidden="false" customHeight="false" outlineLevel="0" collapsed="false">
      <c r="B21115" s="0" t="s">
        <v>28</v>
      </c>
      <c r="D21115" s="0" t="s">
        <v>155</v>
      </c>
      <c r="E21115" s="0" t="s">
        <v>155</v>
      </c>
      <c r="F21115" s="0" t="s">
        <v>155</v>
      </c>
    </row>
    <row r="21117" customFormat="false" ht="12.8" hidden="false" customHeight="false" outlineLevel="0" collapsed="false">
      <c r="A21117" s="0" t="s">
        <v>8000</v>
      </c>
      <c r="B21117" s="0" t="str">
        <f aca="false">HYPERLINK("https://lindat.mff.cuni.cz/services/teitok/pdtc10/index.php?action=vallex&amp;frame=v-w10287f2", "odchytit (v-w10287f2)")</f>
        <v>odchytit (v-w10287f2)</v>
      </c>
    </row>
    <row r="21118" customFormat="false" ht="12.8" hidden="false" customHeight="false" outlineLevel="0" collapsed="false">
      <c r="B21118" s="0" t="s">
        <v>7</v>
      </c>
      <c r="C21118" s="0" t="s">
        <v>113</v>
      </c>
      <c r="D21118" s="0" t="s">
        <v>1332</v>
      </c>
      <c r="E21118" s="0" t="s">
        <v>1332</v>
      </c>
      <c r="F21118" s="0" t="s">
        <v>1332</v>
      </c>
    </row>
    <row r="21119" customFormat="false" ht="12.8" hidden="false" customHeight="false" outlineLevel="0" collapsed="false">
      <c r="B21119" s="0" t="s">
        <v>14</v>
      </c>
      <c r="C21119" s="0" t="s">
        <v>1170</v>
      </c>
      <c r="D21119" s="0" t="s">
        <v>414</v>
      </c>
      <c r="E21119" s="0" t="s">
        <v>414</v>
      </c>
      <c r="F21119" s="0" t="s">
        <v>414</v>
      </c>
    </row>
    <row r="21121" customFormat="false" ht="12.8" hidden="false" customHeight="false" outlineLevel="0" collapsed="false">
      <c r="A21121" s="0" t="s">
        <v>8001</v>
      </c>
      <c r="B21121" s="0" t="str">
        <f aca="false">HYPERLINK("https://lindat.mff.cuni.cz/services/teitok/pdtc10/index.php?action=vallex&amp;frame=v-w10287f3_ZU", "odchytit (v-w10287f3_ZU)")</f>
        <v>odchytit (v-w10287f3_ZU)</v>
      </c>
    </row>
    <row r="21122" customFormat="false" ht="12.8" hidden="false" customHeight="false" outlineLevel="0" collapsed="false">
      <c r="B21122" s="0" t="s">
        <v>7</v>
      </c>
    </row>
    <row r="21123" customFormat="false" ht="12.8" hidden="false" customHeight="false" outlineLevel="0" collapsed="false">
      <c r="B21123" s="0" t="s">
        <v>14</v>
      </c>
    </row>
    <row r="21125" customFormat="false" ht="12.8" hidden="false" customHeight="false" outlineLevel="0" collapsed="false">
      <c r="A21125" s="0" t="s">
        <v>8002</v>
      </c>
      <c r="B21125" s="0" t="str">
        <f aca="false">HYPERLINK("https://lindat.mff.cuni.cz/services/teitok/pdtc10/index.php?action=vallex&amp;frame=v-whsa_1732f1_ZU", "odchytnout (v-whsa_1732f1_ZU)")</f>
        <v>odchytnout (v-whsa_1732f1_ZU)</v>
      </c>
    </row>
    <row r="21126" customFormat="false" ht="12.8" hidden="false" customHeight="false" outlineLevel="0" collapsed="false">
      <c r="B21126" s="0" t="s">
        <v>7</v>
      </c>
    </row>
    <row r="21127" customFormat="false" ht="12.8" hidden="false" customHeight="false" outlineLevel="0" collapsed="false">
      <c r="B21127" s="0" t="s">
        <v>14</v>
      </c>
    </row>
    <row r="21129" customFormat="false" ht="12.8" hidden="false" customHeight="false" outlineLevel="0" collapsed="false">
      <c r="A21129" s="0" t="s">
        <v>8003</v>
      </c>
      <c r="B21129" s="0" t="str">
        <f aca="false">HYPERLINK("https://lindat.mff.cuni.cz/services/teitok/pdtc10/index.php?action=vallex&amp;frame=v-whsa_1732hsa_1733", "odchytnout (v-whsa_1732hsa_1733)")</f>
        <v>odchytnout (v-whsa_1732hsa_1733)</v>
      </c>
    </row>
    <row r="21130" customFormat="false" ht="12.8" hidden="false" customHeight="false" outlineLevel="0" collapsed="false">
      <c r="B21130" s="0" t="s">
        <v>7</v>
      </c>
    </row>
    <row r="21131" customFormat="false" ht="12.8" hidden="false" customHeight="false" outlineLevel="0" collapsed="false">
      <c r="B21131" s="0" t="s">
        <v>14</v>
      </c>
    </row>
    <row r="21133" customFormat="false" ht="12.8" hidden="false" customHeight="false" outlineLevel="0" collapsed="false">
      <c r="A21133" s="0" t="s">
        <v>8004</v>
      </c>
      <c r="B21133" s="0" t="str">
        <f aca="false">HYPERLINK("https://lindat.mff.cuni.cz/services/teitok/pdtc10/index.php?action=vallex&amp;frame=v-w2718f5_ZU", "odcházet (v-w2718f5_ZU)")</f>
        <v>odcházet (v-w2718f5_ZU)</v>
      </c>
    </row>
    <row r="21134" customFormat="false" ht="12.8" hidden="false" customHeight="false" outlineLevel="0" collapsed="false">
      <c r="B21134" s="0" t="s">
        <v>7</v>
      </c>
    </row>
    <row r="21135" customFormat="false" ht="12.8" hidden="false" customHeight="false" outlineLevel="0" collapsed="false">
      <c r="B21135" s="0" t="s">
        <v>459</v>
      </c>
    </row>
    <row r="21137" customFormat="false" ht="12.8" hidden="false" customHeight="false" outlineLevel="0" collapsed="false">
      <c r="A21137" s="0" t="s">
        <v>8004</v>
      </c>
      <c r="B21137" s="0" t="str">
        <f aca="false">HYPERLINK("https://lindat.mff.cuni.cz/services/teitok/pdtc10/index.php?action=vallex&amp;frame=v-w2718f1", "odcházet (v-w2718f1) - substituted with v-w2718f5_ZU")</f>
        <v>odcházet (v-w2718f1) - substituted with v-w2718f5_ZU</v>
      </c>
    </row>
    <row r="21138" customFormat="false" ht="12.8" hidden="false" customHeight="false" outlineLevel="0" collapsed="false">
      <c r="B21138" s="0" t="s">
        <v>7</v>
      </c>
      <c r="C21138" s="0" t="s">
        <v>8005</v>
      </c>
      <c r="D21138" s="0" t="s">
        <v>1582</v>
      </c>
      <c r="E21138" s="0" t="s">
        <v>1582</v>
      </c>
      <c r="F21138" s="0" t="s">
        <v>1582</v>
      </c>
    </row>
    <row r="21139" customFormat="false" ht="12.8" hidden="false" customHeight="false" outlineLevel="0" collapsed="false">
      <c r="B21139" s="0" t="s">
        <v>459</v>
      </c>
      <c r="C21139" s="0" t="s">
        <v>8006</v>
      </c>
      <c r="D21139" s="0" t="s">
        <v>1583</v>
      </c>
      <c r="E21139" s="0" t="s">
        <v>1583</v>
      </c>
      <c r="F21139" s="0" t="s">
        <v>1583</v>
      </c>
    </row>
    <row r="21141" customFormat="false" ht="12.8" hidden="false" customHeight="false" outlineLevel="0" collapsed="false">
      <c r="A21141" s="0" t="s">
        <v>8007</v>
      </c>
      <c r="B21141" s="0" t="str">
        <f aca="false">HYPERLINK("https://lindat.mff.cuni.cz/services/teitok/pdtc10/index.php?action=vallex&amp;frame=v-w2718f3_ZU", "odcházet (v-w2718f3_ZU)")</f>
        <v>odcházet (v-w2718f3_ZU)</v>
      </c>
    </row>
    <row r="21142" customFormat="false" ht="12.8" hidden="false" customHeight="false" outlineLevel="0" collapsed="false">
      <c r="B21142" s="0" t="s">
        <v>7</v>
      </c>
      <c r="C21142" s="0" t="s">
        <v>2736</v>
      </c>
    </row>
    <row r="21143" customFormat="false" ht="12.8" hidden="false" customHeight="false" outlineLevel="0" collapsed="false">
      <c r="B21143" s="0" t="s">
        <v>279</v>
      </c>
    </row>
    <row r="21145" customFormat="false" ht="12.8" hidden="false" customHeight="false" outlineLevel="0" collapsed="false">
      <c r="A21145" s="0" t="s">
        <v>8007</v>
      </c>
      <c r="B21145" s="0" t="str">
        <f aca="false">HYPERLINK("https://lindat.mff.cuni.cz/services/teitok/pdtc10/index.php?action=vallex&amp;frame=v-w2718f2_ZU", "odcházet (v-w2718f2_ZU) - substituted with v-w2718f3_ZU")</f>
        <v>odcházet (v-w2718f2_ZU) - substituted with v-w2718f3_ZU</v>
      </c>
    </row>
    <row r="21146" customFormat="false" ht="12.8" hidden="false" customHeight="false" outlineLevel="0" collapsed="false">
      <c r="B21146" s="0" t="s">
        <v>7</v>
      </c>
    </row>
    <row r="21147" customFormat="false" ht="12.8" hidden="false" customHeight="false" outlineLevel="0" collapsed="false">
      <c r="B21147" s="0" t="s">
        <v>279</v>
      </c>
    </row>
    <row r="21149" customFormat="false" ht="12.8" hidden="false" customHeight="false" outlineLevel="0" collapsed="false">
      <c r="A21149" s="0" t="s">
        <v>8008</v>
      </c>
      <c r="B21149" s="0" t="str">
        <f aca="false">HYPERLINK("https://lindat.mff.cuni.cz/services/teitok/pdtc10/index.php?action=vallex&amp;frame=v-w2718f4_ZU", "odcházet (v-w2718f4_ZU)")</f>
        <v>odcházet (v-w2718f4_ZU)</v>
      </c>
    </row>
    <row r="21150" customFormat="false" ht="12.8" hidden="false" customHeight="false" outlineLevel="0" collapsed="false">
      <c r="B21150" s="0" t="s">
        <v>7</v>
      </c>
    </row>
    <row r="21151" customFormat="false" ht="12.8" hidden="false" customHeight="false" outlineLevel="0" collapsed="false">
      <c r="B21151" s="0" t="s">
        <v>2316</v>
      </c>
    </row>
    <row r="21153" customFormat="false" ht="12.8" hidden="false" customHeight="false" outlineLevel="0" collapsed="false">
      <c r="A21153" s="0" t="s">
        <v>8009</v>
      </c>
      <c r="B21153" s="0" t="str">
        <f aca="false">HYPERLINK("https://lindat.mff.cuni.cz/services/teitok/pdtc10/index.php?action=vallex&amp;frame=v-w2718hsa_331", "odcházet (v-w2718hsa_331)")</f>
        <v>odcházet (v-w2718hsa_331)</v>
      </c>
    </row>
    <row r="21154" customFormat="false" ht="12.8" hidden="false" customHeight="false" outlineLevel="0" collapsed="false">
      <c r="B21154" s="0" t="s">
        <v>7</v>
      </c>
    </row>
    <row r="21156" customFormat="false" ht="12.8" hidden="false" customHeight="false" outlineLevel="0" collapsed="false">
      <c r="A21156" s="0" t="s">
        <v>8010</v>
      </c>
      <c r="B21156" s="0" t="str">
        <f aca="false">HYPERLINK("https://lindat.mff.cuni.cz/services/teitok/pdtc10/index.php?action=vallex&amp;frame=v-whsa_1326hsa_1327", "odcházívávat (v-whsa_1326hsa_1327)")</f>
        <v>odcházívávat (v-whsa_1326hsa_1327)</v>
      </c>
    </row>
    <row r="21157" customFormat="false" ht="12.8" hidden="false" customHeight="false" outlineLevel="0" collapsed="false">
      <c r="B21157" s="0" t="s">
        <v>7</v>
      </c>
    </row>
    <row r="21158" customFormat="false" ht="12.8" hidden="false" customHeight="false" outlineLevel="0" collapsed="false">
      <c r="B21158" s="0" t="s">
        <v>459</v>
      </c>
    </row>
    <row r="21160" customFormat="false" ht="12.8" hidden="false" customHeight="false" outlineLevel="0" collapsed="false">
      <c r="A21160" s="0" t="s">
        <v>8011</v>
      </c>
      <c r="B21160" s="0" t="str">
        <f aca="false">HYPERLINK("https://lindat.mff.cuni.cz/services/teitok/pdtc10/index.php?action=vallex&amp;frame=v-w11255f4_ZU", "odchýlit se (v-w11255f4_ZU)")</f>
        <v>odchýlit se (v-w11255f4_ZU)</v>
      </c>
    </row>
    <row r="21161" customFormat="false" ht="12.8" hidden="false" customHeight="false" outlineLevel="0" collapsed="false">
      <c r="B21161" s="0" t="s">
        <v>7</v>
      </c>
      <c r="C21161" s="0" t="s">
        <v>569</v>
      </c>
      <c r="D21161" s="0" t="s">
        <v>2736</v>
      </c>
      <c r="E21161" s="0" t="s">
        <v>2736</v>
      </c>
      <c r="F21161" s="0" t="s">
        <v>1874</v>
      </c>
    </row>
    <row r="21162" customFormat="false" ht="12.8" hidden="false" customHeight="false" outlineLevel="0" collapsed="false">
      <c r="B21162" s="0" t="s">
        <v>8012</v>
      </c>
      <c r="C21162" s="0" t="s">
        <v>155</v>
      </c>
      <c r="D21162" s="0" t="s">
        <v>74</v>
      </c>
      <c r="E21162" s="0" t="s">
        <v>74</v>
      </c>
      <c r="F21162" s="0" t="s">
        <v>624</v>
      </c>
    </row>
    <row r="21164" customFormat="false" ht="12.8" hidden="false" customHeight="false" outlineLevel="0" collapsed="false">
      <c r="A21164" s="0" t="s">
        <v>8011</v>
      </c>
      <c r="B21164" s="0" t="str">
        <f aca="false">HYPERLINK("https://lindat.mff.cuni.cz/services/teitok/pdtc10/index.php?action=vallex&amp;frame=v-w11255f3", "odchýlit se (v-w11255f3) - substituted with v-w11255f4_ZU")</f>
        <v>odchýlit se (v-w11255f3) - substituted with v-w11255f4_ZU</v>
      </c>
    </row>
    <row r="21165" customFormat="false" ht="12.8" hidden="false" customHeight="false" outlineLevel="0" collapsed="false">
      <c r="B21165" s="0" t="s">
        <v>7</v>
      </c>
      <c r="C21165" s="0" t="s">
        <v>569</v>
      </c>
    </row>
    <row r="21166" customFormat="false" ht="12.8" hidden="false" customHeight="false" outlineLevel="0" collapsed="false">
      <c r="B21166" s="0" t="s">
        <v>8012</v>
      </c>
      <c r="C21166" s="0" t="s">
        <v>1170</v>
      </c>
    </row>
    <row r="21168" customFormat="false" ht="12.8" hidden="false" customHeight="false" outlineLevel="0" collapsed="false">
      <c r="A21168" s="0" t="s">
        <v>8013</v>
      </c>
      <c r="B21168" s="0" t="str">
        <f aca="false">HYPERLINK("https://lindat.mff.cuni.cz/services/teitok/pdtc10/index.php?action=vallex&amp;frame=v-w11255f1", "odchýlit se (v-w11255f1)")</f>
        <v>odchýlit se (v-w11255f1)</v>
      </c>
    </row>
    <row r="21169" customFormat="false" ht="12.8" hidden="false" customHeight="false" outlineLevel="0" collapsed="false">
      <c r="B21169" s="0" t="s">
        <v>7</v>
      </c>
    </row>
    <row r="21170" customFormat="false" ht="12.8" hidden="false" customHeight="false" outlineLevel="0" collapsed="false">
      <c r="B21170" s="0" t="s">
        <v>459</v>
      </c>
    </row>
    <row r="21172" customFormat="false" ht="12.8" hidden="false" customHeight="false" outlineLevel="0" collapsed="false">
      <c r="A21172" s="0" t="s">
        <v>8014</v>
      </c>
      <c r="B21172" s="0" t="str">
        <f aca="false">HYPERLINK("https://lindat.mff.cuni.cz/services/teitok/pdtc10/index.php?action=vallex&amp;frame=v-w2637f1", "odcizit (v-w2637f1)")</f>
        <v>odcizit (v-w2637f1)</v>
      </c>
    </row>
    <row r="21173" customFormat="false" ht="12.8" hidden="false" customHeight="false" outlineLevel="0" collapsed="false">
      <c r="B21173" s="0" t="s">
        <v>7</v>
      </c>
      <c r="C21173" s="0" t="s">
        <v>460</v>
      </c>
      <c r="D21173" s="0" t="s">
        <v>429</v>
      </c>
      <c r="E21173" s="0" t="s">
        <v>430</v>
      </c>
      <c r="F21173" s="0" t="s">
        <v>431</v>
      </c>
    </row>
    <row r="21174" customFormat="false" ht="12.8" hidden="false" customHeight="false" outlineLevel="0" collapsed="false">
      <c r="B21174" s="0" t="s">
        <v>14</v>
      </c>
      <c r="C21174" s="0" t="s">
        <v>3249</v>
      </c>
      <c r="D21174" s="0" t="s">
        <v>433</v>
      </c>
      <c r="E21174" s="0" t="s">
        <v>434</v>
      </c>
      <c r="F21174" s="0" t="s">
        <v>435</v>
      </c>
    </row>
    <row r="21175" customFormat="false" ht="12.8" hidden="false" customHeight="false" outlineLevel="0" collapsed="false">
      <c r="B21175" s="0" t="s">
        <v>48</v>
      </c>
      <c r="C21175" s="0" t="s">
        <v>4154</v>
      </c>
      <c r="D21175" s="0" t="s">
        <v>437</v>
      </c>
      <c r="E21175" s="0" t="s">
        <v>438</v>
      </c>
      <c r="F21175" s="0" t="s">
        <v>439</v>
      </c>
    </row>
    <row r="21177" customFormat="false" ht="12.8" hidden="false" customHeight="false" outlineLevel="0" collapsed="false">
      <c r="A21177" s="0" t="s">
        <v>8015</v>
      </c>
      <c r="B21177" s="0" t="str">
        <f aca="false">HYPERLINK("https://lindat.mff.cuni.cz/services/teitok/pdtc10/index.php?action=vallex&amp;frame=v-w2637f2", "odcizit (v-w2637f2)")</f>
        <v>odcizit (v-w2637f2)</v>
      </c>
    </row>
    <row r="21178" customFormat="false" ht="12.8" hidden="false" customHeight="false" outlineLevel="0" collapsed="false">
      <c r="B21178" s="0" t="s">
        <v>7</v>
      </c>
    </row>
    <row r="21179" customFormat="false" ht="12.8" hidden="false" customHeight="false" outlineLevel="0" collapsed="false">
      <c r="B21179" s="0" t="s">
        <v>14</v>
      </c>
    </row>
    <row r="21180" customFormat="false" ht="12.8" hidden="false" customHeight="false" outlineLevel="0" collapsed="false">
      <c r="B21180" s="0" t="s">
        <v>441</v>
      </c>
    </row>
    <row r="21182" customFormat="false" ht="12.8" hidden="false" customHeight="false" outlineLevel="0" collapsed="false">
      <c r="A21182" s="0" t="s">
        <v>8016</v>
      </c>
      <c r="B21182" s="0" t="str">
        <f aca="false">HYPERLINK("https://lindat.mff.cuni.cz/services/teitok/pdtc10/index.php?action=vallex&amp;frame=v-w11660_ZUf1_ZU", "odcizit se (v-w11660_ZUf1_ZU)")</f>
        <v>odcizit se (v-w11660_ZUf1_ZU)</v>
      </c>
    </row>
    <row r="21183" customFormat="false" ht="12.8" hidden="false" customHeight="false" outlineLevel="0" collapsed="false">
      <c r="B21183" s="0" t="s">
        <v>7</v>
      </c>
      <c r="C21183" s="0" t="s">
        <v>1378</v>
      </c>
    </row>
    <row r="21184" customFormat="false" ht="12.8" hidden="false" customHeight="false" outlineLevel="0" collapsed="false">
      <c r="B21184" s="0" t="s">
        <v>142</v>
      </c>
      <c r="C21184" s="0" t="s">
        <v>8017</v>
      </c>
    </row>
    <row r="21186" customFormat="false" ht="12.8" hidden="false" customHeight="false" outlineLevel="0" collapsed="false">
      <c r="A21186" s="0" t="s">
        <v>8018</v>
      </c>
      <c r="B21186" s="0" t="str">
        <f aca="false">HYPERLINK("https://lindat.mff.cuni.cz/services/teitok/pdtc10/index.php?action=vallex&amp;frame=v-w2638f1", "odcizit si (v-w2638f1)")</f>
        <v>odcizit si (v-w2638f1)</v>
      </c>
    </row>
    <row r="21187" customFormat="false" ht="12.8" hidden="false" customHeight="false" outlineLevel="0" collapsed="false">
      <c r="B21187" s="0" t="s">
        <v>7</v>
      </c>
    </row>
    <row r="21188" customFormat="false" ht="12.8" hidden="false" customHeight="false" outlineLevel="0" collapsed="false">
      <c r="B21188" s="0" t="s">
        <v>14</v>
      </c>
    </row>
    <row r="21190" customFormat="false" ht="12.8" hidden="false" customHeight="false" outlineLevel="0" collapsed="false">
      <c r="A21190" s="0" t="s">
        <v>8019</v>
      </c>
      <c r="B21190" s="0" t="str">
        <f aca="false">HYPERLINK("https://lindat.mff.cuni.cz/services/teitok/pdtc10/index.php?action=vallex&amp;frame=v-w2640f1", "odcizovat (v-w2640f1)")</f>
        <v>odcizovat (v-w2640f1)</v>
      </c>
    </row>
    <row r="21191" customFormat="false" ht="12.8" hidden="false" customHeight="false" outlineLevel="0" collapsed="false">
      <c r="B21191" s="0" t="s">
        <v>7</v>
      </c>
    </row>
    <row r="21192" customFormat="false" ht="12.8" hidden="false" customHeight="false" outlineLevel="0" collapsed="false">
      <c r="B21192" s="0" t="s">
        <v>14</v>
      </c>
    </row>
    <row r="21193" customFormat="false" ht="12.8" hidden="false" customHeight="false" outlineLevel="0" collapsed="false">
      <c r="B21193" s="0" t="s">
        <v>441</v>
      </c>
    </row>
    <row r="21195" customFormat="false" ht="12.8" hidden="false" customHeight="false" outlineLevel="0" collapsed="false">
      <c r="A21195" s="0" t="s">
        <v>8020</v>
      </c>
      <c r="B21195" s="0" t="str">
        <f aca="false">HYPERLINK("https://lindat.mff.cuni.cz/services/teitok/pdtc10/index.php?action=vallex&amp;frame=v-whsa_620hsa_621", "odcvičit (v-whsa_620hsa_621)")</f>
        <v>odcvičit (v-whsa_620hsa_621)</v>
      </c>
    </row>
    <row r="21196" customFormat="false" ht="12.8" hidden="false" customHeight="false" outlineLevel="0" collapsed="false">
      <c r="B21196" s="0" t="s">
        <v>7</v>
      </c>
    </row>
    <row r="21197" customFormat="false" ht="12.8" hidden="false" customHeight="false" outlineLevel="0" collapsed="false">
      <c r="B21197" s="0" t="s">
        <v>14</v>
      </c>
    </row>
    <row r="21199" customFormat="false" ht="12.8" hidden="false" customHeight="false" outlineLevel="0" collapsed="false">
      <c r="A21199" s="0" t="s">
        <v>8021</v>
      </c>
      <c r="B21199" s="0" t="str">
        <f aca="false">HYPERLINK("https://lindat.mff.cuni.cz/services/teitok/pdtc10/index.php?action=vallex&amp;frame=v-w2651f2", "oddalovat (v-w2651f2)")</f>
        <v>oddalovat (v-w2651f2)</v>
      </c>
    </row>
    <row r="21200" customFormat="false" ht="12.8" hidden="false" customHeight="false" outlineLevel="0" collapsed="false">
      <c r="B21200" s="0" t="s">
        <v>7</v>
      </c>
    </row>
    <row r="21201" customFormat="false" ht="12.8" hidden="false" customHeight="false" outlineLevel="0" collapsed="false">
      <c r="B21201" s="0" t="s">
        <v>14</v>
      </c>
    </row>
    <row r="21202" customFormat="false" ht="12.8" hidden="false" customHeight="false" outlineLevel="0" collapsed="false">
      <c r="B21202" s="0" t="s">
        <v>441</v>
      </c>
    </row>
    <row r="21204" customFormat="false" ht="12.8" hidden="false" customHeight="false" outlineLevel="0" collapsed="false">
      <c r="A21204" s="0" t="s">
        <v>8022</v>
      </c>
      <c r="B21204" s="0" t="str">
        <f aca="false">HYPERLINK("https://lindat.mff.cuni.cz/services/teitok/pdtc10/index.php?action=vallex&amp;frame=v-w2651f1", "oddalovat (v-w2651f1)")</f>
        <v>oddalovat (v-w2651f1)</v>
      </c>
    </row>
    <row r="21205" customFormat="false" ht="12.8" hidden="false" customHeight="false" outlineLevel="0" collapsed="false">
      <c r="B21205" s="0" t="s">
        <v>7</v>
      </c>
      <c r="C21205" s="0" t="s">
        <v>8023</v>
      </c>
      <c r="D21205" s="0" t="s">
        <v>8024</v>
      </c>
      <c r="E21205" s="0" t="s">
        <v>8024</v>
      </c>
      <c r="F21205" s="0" t="s">
        <v>8024</v>
      </c>
    </row>
    <row r="21206" customFormat="false" ht="12.8" hidden="false" customHeight="false" outlineLevel="0" collapsed="false">
      <c r="B21206" s="0" t="s">
        <v>14</v>
      </c>
      <c r="C21206" s="0" t="s">
        <v>25</v>
      </c>
      <c r="D21206" s="0" t="s">
        <v>8025</v>
      </c>
      <c r="E21206" s="0" t="s">
        <v>8025</v>
      </c>
      <c r="F21206" s="0" t="s">
        <v>8025</v>
      </c>
    </row>
    <row r="21208" customFormat="false" ht="12.8" hidden="false" customHeight="false" outlineLevel="0" collapsed="false">
      <c r="A21208" s="0" t="s">
        <v>8026</v>
      </c>
      <c r="B21208" s="0" t="str">
        <f aca="false">HYPERLINK("https://lindat.mff.cuni.cz/services/teitok/pdtc10/index.php?action=vallex&amp;frame=v-w2654f1", "oddat (v-w2654f1)")</f>
        <v>oddat (v-w2654f1)</v>
      </c>
    </row>
    <row r="21209" customFormat="false" ht="12.8" hidden="false" customHeight="false" outlineLevel="0" collapsed="false">
      <c r="B21209" s="0" t="s">
        <v>7</v>
      </c>
    </row>
    <row r="21210" customFormat="false" ht="12.8" hidden="false" customHeight="false" outlineLevel="0" collapsed="false">
      <c r="B21210" s="0" t="s">
        <v>14</v>
      </c>
    </row>
    <row r="21212" customFormat="false" ht="12.8" hidden="false" customHeight="false" outlineLevel="0" collapsed="false">
      <c r="A21212" s="0" t="s">
        <v>8027</v>
      </c>
      <c r="B21212" s="0" t="str">
        <f aca="false">HYPERLINK("https://lindat.mff.cuni.cz/services/teitok/pdtc10/index.php?action=vallex&amp;frame=v-w2655f1", "oddat se (v-w2655f1)")</f>
        <v>oddat se (v-w2655f1)</v>
      </c>
    </row>
    <row r="21213" customFormat="false" ht="12.8" hidden="false" customHeight="false" outlineLevel="0" collapsed="false">
      <c r="B21213" s="0" t="s">
        <v>7</v>
      </c>
      <c r="D21213" s="0" t="s">
        <v>215</v>
      </c>
      <c r="E21213" s="0" t="s">
        <v>215</v>
      </c>
      <c r="F21213" s="0" t="s">
        <v>215</v>
      </c>
    </row>
    <row r="21214" customFormat="false" ht="12.8" hidden="false" customHeight="false" outlineLevel="0" collapsed="false">
      <c r="B21214" s="0" t="s">
        <v>142</v>
      </c>
      <c r="D21214" s="0" t="s">
        <v>217</v>
      </c>
      <c r="E21214" s="0" t="s">
        <v>217</v>
      </c>
      <c r="F21214" s="0" t="s">
        <v>217</v>
      </c>
    </row>
    <row r="21216" customFormat="false" ht="12.8" hidden="false" customHeight="false" outlineLevel="0" collapsed="false">
      <c r="A21216" s="0" t="s">
        <v>8028</v>
      </c>
      <c r="B21216" s="0" t="str">
        <f aca="false">HYPERLINK("https://lindat.mff.cuni.cz/services/teitok/pdtc10/index.php?action=vallex&amp;frame=v-w2657f2", "oddechnout si (v-w2657f2)")</f>
        <v>oddechnout si (v-w2657f2)</v>
      </c>
    </row>
    <row r="21217" customFormat="false" ht="12.8" hidden="false" customHeight="false" outlineLevel="0" collapsed="false">
      <c r="B21217" s="0" t="s">
        <v>7</v>
      </c>
    </row>
    <row r="21218" customFormat="false" ht="12.8" hidden="false" customHeight="false" outlineLevel="0" collapsed="false">
      <c r="B21218" s="0" t="s">
        <v>28</v>
      </c>
    </row>
    <row r="21220" customFormat="false" ht="12.8" hidden="false" customHeight="false" outlineLevel="0" collapsed="false">
      <c r="A21220" s="0" t="s">
        <v>8029</v>
      </c>
      <c r="B21220" s="0" t="str">
        <f aca="false">HYPERLINK("https://lindat.mff.cuni.cz/services/teitok/pdtc10/index.php?action=vallex&amp;frame=v-w2657f1", "oddechnout si (v-w2657f1)")</f>
        <v>oddechnout si (v-w2657f1)</v>
      </c>
    </row>
    <row r="21221" customFormat="false" ht="12.8" hidden="false" customHeight="false" outlineLevel="0" collapsed="false">
      <c r="B21221" s="0" t="s">
        <v>7</v>
      </c>
      <c r="C21221" s="0" t="s">
        <v>396</v>
      </c>
    </row>
    <row r="21223" customFormat="false" ht="12.8" hidden="false" customHeight="false" outlineLevel="0" collapsed="false">
      <c r="A21223" s="0" t="s">
        <v>8030</v>
      </c>
      <c r="B21223" s="0" t="str">
        <f aca="false">HYPERLINK("https://lindat.mff.cuni.cz/services/teitok/pdtc10/index.php?action=vallex&amp;frame=v-w2667f1", "oddychnout si (v-w2667f1)")</f>
        <v>oddychnout si (v-w2667f1)</v>
      </c>
    </row>
    <row r="21224" customFormat="false" ht="12.8" hidden="false" customHeight="false" outlineLevel="0" collapsed="false">
      <c r="B21224" s="0" t="s">
        <v>7</v>
      </c>
      <c r="C21224" s="0" t="s">
        <v>335</v>
      </c>
    </row>
    <row r="21226" customFormat="false" ht="12.8" hidden="false" customHeight="false" outlineLevel="0" collapsed="false">
      <c r="A21226" s="0" t="s">
        <v>8031</v>
      </c>
      <c r="B21226" s="0" t="str">
        <f aca="false">HYPERLINK("https://lindat.mff.cuni.cz/services/teitok/pdtc10/index.php?action=vallex&amp;frame=v-w2667hsa_1714", "oddychnout si (v-w2667hsa_1714)")</f>
        <v>oddychnout si (v-w2667hsa_1714)</v>
      </c>
    </row>
    <row r="21227" customFormat="false" ht="12.8" hidden="false" customHeight="false" outlineLevel="0" collapsed="false">
      <c r="B21227" s="0" t="s">
        <v>7</v>
      </c>
    </row>
    <row r="21229" customFormat="false" ht="12.8" hidden="false" customHeight="false" outlineLevel="0" collapsed="false">
      <c r="A21229" s="0" t="s">
        <v>8032</v>
      </c>
      <c r="B21229" s="0" t="str">
        <f aca="false">HYPERLINK("https://lindat.mff.cuni.cz/services/teitok/pdtc10/index.php?action=vallex&amp;frame=v-w2668f1", "oddychovat (v-w2668f1)")</f>
        <v>oddychovat (v-w2668f1)</v>
      </c>
    </row>
    <row r="21230" customFormat="false" ht="12.8" hidden="false" customHeight="false" outlineLevel="0" collapsed="false">
      <c r="B21230" s="0" t="s">
        <v>7</v>
      </c>
      <c r="E21230" s="0" t="s">
        <v>569</v>
      </c>
      <c r="F21230" s="0" t="s">
        <v>569</v>
      </c>
    </row>
    <row r="21232" customFormat="false" ht="12.8" hidden="false" customHeight="false" outlineLevel="0" collapsed="false">
      <c r="A21232" s="0" t="s">
        <v>8033</v>
      </c>
      <c r="B21232" s="0" t="str">
        <f aca="false">HYPERLINK("https://lindat.mff.cuni.cz/services/teitok/pdtc10/index.php?action=vallex&amp;frame=v-w2668f2", "oddychovat (v-w2668f2)")</f>
        <v>oddychovat (v-w2668f2)</v>
      </c>
    </row>
    <row r="21233" customFormat="false" ht="12.8" hidden="false" customHeight="false" outlineLevel="0" collapsed="false">
      <c r="B21233" s="0" t="s">
        <v>7</v>
      </c>
    </row>
    <row r="21235" customFormat="false" ht="12.8" hidden="false" customHeight="false" outlineLevel="0" collapsed="false">
      <c r="A21235" s="0" t="s">
        <v>8034</v>
      </c>
      <c r="B21235" s="0" t="str">
        <f aca="false">HYPERLINK("https://lindat.mff.cuni.cz/services/teitok/pdtc10/index.php?action=vallex&amp;frame=v-w2648f2", "oddálit (v-w2648f2)")</f>
        <v>oddálit (v-w2648f2)</v>
      </c>
    </row>
    <row r="21236" customFormat="false" ht="12.8" hidden="false" customHeight="false" outlineLevel="0" collapsed="false">
      <c r="B21236" s="0" t="s">
        <v>7</v>
      </c>
    </row>
    <row r="21237" customFormat="false" ht="12.8" hidden="false" customHeight="false" outlineLevel="0" collapsed="false">
      <c r="B21237" s="0" t="s">
        <v>14</v>
      </c>
    </row>
    <row r="21238" customFormat="false" ht="12.8" hidden="false" customHeight="false" outlineLevel="0" collapsed="false">
      <c r="B21238" s="0" t="s">
        <v>441</v>
      </c>
    </row>
    <row r="21240" customFormat="false" ht="12.8" hidden="false" customHeight="false" outlineLevel="0" collapsed="false">
      <c r="A21240" s="0" t="s">
        <v>8035</v>
      </c>
      <c r="B21240" s="0" t="str">
        <f aca="false">HYPERLINK("https://lindat.mff.cuni.cz/services/teitok/pdtc10/index.php?action=vallex&amp;frame=v-w2648f1", "oddálit (v-w2648f1)")</f>
        <v>oddálit (v-w2648f1)</v>
      </c>
    </row>
    <row r="21241" customFormat="false" ht="12.8" hidden="false" customHeight="false" outlineLevel="0" collapsed="false">
      <c r="B21241" s="0" t="s">
        <v>7</v>
      </c>
      <c r="C21241" s="0" t="s">
        <v>3803</v>
      </c>
      <c r="D21241" s="0" t="s">
        <v>8024</v>
      </c>
      <c r="E21241" s="0" t="s">
        <v>8024</v>
      </c>
      <c r="F21241" s="0" t="s">
        <v>8024</v>
      </c>
    </row>
    <row r="21242" customFormat="false" ht="12.8" hidden="false" customHeight="false" outlineLevel="0" collapsed="false">
      <c r="B21242" s="0" t="s">
        <v>14</v>
      </c>
      <c r="C21242" s="0" t="s">
        <v>8036</v>
      </c>
      <c r="D21242" s="0" t="s">
        <v>8025</v>
      </c>
      <c r="E21242" s="0" t="s">
        <v>8025</v>
      </c>
      <c r="F21242" s="0" t="s">
        <v>8025</v>
      </c>
    </row>
    <row r="21244" customFormat="false" ht="12.8" hidden="false" customHeight="false" outlineLevel="0" collapsed="false">
      <c r="A21244" s="0" t="s">
        <v>8037</v>
      </c>
      <c r="B21244" s="0" t="str">
        <f aca="false">HYPERLINK("https://lindat.mff.cuni.cz/services/teitok/pdtc10/index.php?action=vallex&amp;frame=v-w2649f1", "oddálit se (v-w2649f1)")</f>
        <v>oddálit se (v-w2649f1)</v>
      </c>
    </row>
    <row r="21245" customFormat="false" ht="12.8" hidden="false" customHeight="false" outlineLevel="0" collapsed="false">
      <c r="B21245" s="0" t="s">
        <v>7</v>
      </c>
    </row>
    <row r="21246" customFormat="false" ht="12.8" hidden="false" customHeight="false" outlineLevel="0" collapsed="false">
      <c r="B21246" s="0" t="s">
        <v>142</v>
      </c>
    </row>
    <row r="21248" customFormat="false" ht="12.8" hidden="false" customHeight="false" outlineLevel="0" collapsed="false">
      <c r="A21248" s="0" t="s">
        <v>8038</v>
      </c>
      <c r="B21248" s="0" t="str">
        <f aca="false">HYPERLINK("https://lindat.mff.cuni.cz/services/teitok/pdtc10/index.php?action=vallex&amp;frame=v-whsa_219f1_ZU", "oddávat (v-whsa_219f1_ZU)")</f>
        <v>oddávat (v-whsa_219f1_ZU)</v>
      </c>
    </row>
    <row r="21249" customFormat="false" ht="12.8" hidden="false" customHeight="false" outlineLevel="0" collapsed="false">
      <c r="B21249" s="0" t="s">
        <v>7</v>
      </c>
    </row>
    <row r="21250" customFormat="false" ht="12.8" hidden="false" customHeight="false" outlineLevel="0" collapsed="false">
      <c r="B21250" s="0" t="s">
        <v>14</v>
      </c>
    </row>
    <row r="21251" customFormat="false" ht="12.8" hidden="false" customHeight="false" outlineLevel="0" collapsed="false">
      <c r="B21251" s="0" t="s">
        <v>2767</v>
      </c>
    </row>
    <row r="21253" customFormat="false" ht="12.8" hidden="false" customHeight="false" outlineLevel="0" collapsed="false">
      <c r="A21253" s="0" t="s">
        <v>8038</v>
      </c>
      <c r="B21253" s="0" t="str">
        <f aca="false">HYPERLINK("https://lindat.mff.cuni.cz/services/teitok/pdtc10/index.php?action=vallex&amp;frame=v-whsa_219hsa_220", "oddávat (v-whsa_219hsa_220) - substituted with v-whsa_219f1_ZU")</f>
        <v>oddávat (v-whsa_219hsa_220) - substituted with v-whsa_219f1_ZU</v>
      </c>
    </row>
    <row r="21254" customFormat="false" ht="12.8" hidden="false" customHeight="false" outlineLevel="0" collapsed="false">
      <c r="B21254" s="0" t="s">
        <v>7</v>
      </c>
    </row>
    <row r="21255" customFormat="false" ht="12.8" hidden="false" customHeight="false" outlineLevel="0" collapsed="false">
      <c r="B21255" s="0" t="s">
        <v>14</v>
      </c>
    </row>
    <row r="21256" customFormat="false" ht="12.8" hidden="false" customHeight="false" outlineLevel="0" collapsed="false">
      <c r="B21256" s="0" t="s">
        <v>2767</v>
      </c>
    </row>
    <row r="21258" customFormat="false" ht="12.8" hidden="false" customHeight="false" outlineLevel="0" collapsed="false">
      <c r="A21258" s="0" t="s">
        <v>8039</v>
      </c>
      <c r="B21258" s="0" t="str">
        <f aca="false">HYPERLINK("https://lindat.mff.cuni.cz/services/teitok/pdtc10/index.php?action=vallex&amp;frame=v-w11290f1", "oddávat se (v-w11290f1)")</f>
        <v>oddávat se (v-w11290f1)</v>
      </c>
    </row>
    <row r="21259" customFormat="false" ht="12.8" hidden="false" customHeight="false" outlineLevel="0" collapsed="false">
      <c r="B21259" s="0" t="s">
        <v>7</v>
      </c>
      <c r="C21259" s="0" t="s">
        <v>113</v>
      </c>
      <c r="D21259" s="0" t="s">
        <v>215</v>
      </c>
      <c r="E21259" s="0" t="s">
        <v>215</v>
      </c>
      <c r="F21259" s="0" t="s">
        <v>215</v>
      </c>
    </row>
    <row r="21260" customFormat="false" ht="12.8" hidden="false" customHeight="false" outlineLevel="0" collapsed="false">
      <c r="B21260" s="0" t="s">
        <v>142</v>
      </c>
      <c r="C21260" s="0" t="s">
        <v>8040</v>
      </c>
      <c r="D21260" s="0" t="s">
        <v>217</v>
      </c>
      <c r="E21260" s="0" t="s">
        <v>217</v>
      </c>
      <c r="F21260" s="0" t="s">
        <v>217</v>
      </c>
    </row>
    <row r="21262" customFormat="false" ht="12.8" hidden="false" customHeight="false" outlineLevel="0" collapsed="false">
      <c r="A21262" s="0" t="s">
        <v>8041</v>
      </c>
      <c r="B21262" s="0" t="str">
        <f aca="false">HYPERLINK("https://lindat.mff.cuni.cz/services/teitok/pdtc10/index.php?action=vallex&amp;frame=v-w2658f1", "oddělat (v-w2658f1)")</f>
        <v>oddělat (v-w2658f1)</v>
      </c>
    </row>
    <row r="21263" customFormat="false" ht="12.8" hidden="false" customHeight="false" outlineLevel="0" collapsed="false">
      <c r="B21263" s="0" t="s">
        <v>7</v>
      </c>
      <c r="E21263" s="0" t="s">
        <v>5057</v>
      </c>
      <c r="F21263" s="0" t="s">
        <v>5057</v>
      </c>
    </row>
    <row r="21264" customFormat="false" ht="12.8" hidden="false" customHeight="false" outlineLevel="0" collapsed="false">
      <c r="B21264" s="0" t="s">
        <v>14</v>
      </c>
      <c r="E21264" s="0" t="s">
        <v>8042</v>
      </c>
      <c r="F21264" s="0" t="s">
        <v>8042</v>
      </c>
    </row>
    <row r="21266" customFormat="false" ht="12.8" hidden="false" customHeight="false" outlineLevel="0" collapsed="false">
      <c r="A21266" s="0" t="s">
        <v>8043</v>
      </c>
      <c r="B21266" s="0" t="str">
        <f aca="false">HYPERLINK("https://lindat.mff.cuni.cz/services/teitok/pdtc10/index.php?action=vallex&amp;frame=v-w2658f2", "oddělat (v-w2658f2)")</f>
        <v>oddělat (v-w2658f2)</v>
      </c>
    </row>
    <row r="21267" customFormat="false" ht="12.8" hidden="false" customHeight="false" outlineLevel="0" collapsed="false">
      <c r="B21267" s="0" t="s">
        <v>7</v>
      </c>
      <c r="E21267" s="0" t="s">
        <v>1142</v>
      </c>
      <c r="F21267" s="0" t="s">
        <v>1142</v>
      </c>
    </row>
    <row r="21268" customFormat="false" ht="12.8" hidden="false" customHeight="false" outlineLevel="0" collapsed="false">
      <c r="B21268" s="0" t="s">
        <v>14</v>
      </c>
      <c r="E21268" s="0" t="s">
        <v>25</v>
      </c>
      <c r="F21268" s="0" t="s">
        <v>25</v>
      </c>
    </row>
    <row r="21270" customFormat="false" ht="12.8" hidden="false" customHeight="false" outlineLevel="0" collapsed="false">
      <c r="A21270" s="0" t="s">
        <v>8044</v>
      </c>
      <c r="B21270" s="0" t="str">
        <f aca="false">HYPERLINK("https://lindat.mff.cuni.cz/services/teitok/pdtc10/index.php?action=vallex&amp;frame=v-w2658f3_ZU", "oddělat (v-w2658f3_ZU)")</f>
        <v>oddělat (v-w2658f3_ZU)</v>
      </c>
    </row>
    <row r="21271" customFormat="false" ht="12.8" hidden="false" customHeight="false" outlineLevel="0" collapsed="false">
      <c r="B21271" s="0" t="s">
        <v>7</v>
      </c>
    </row>
    <row r="21272" customFormat="false" ht="12.8" hidden="false" customHeight="false" outlineLevel="0" collapsed="false">
      <c r="B21272" s="0" t="s">
        <v>14</v>
      </c>
    </row>
    <row r="21273" customFormat="false" ht="12.8" hidden="false" customHeight="false" outlineLevel="0" collapsed="false">
      <c r="B21273" s="0" t="s">
        <v>5382</v>
      </c>
    </row>
    <row r="21275" customFormat="false" ht="12.8" hidden="false" customHeight="false" outlineLevel="0" collapsed="false">
      <c r="A21275" s="0" t="s">
        <v>8045</v>
      </c>
      <c r="B21275" s="0" t="str">
        <f aca="false">HYPERLINK("https://lindat.mff.cuni.cz/services/teitok/pdtc10/index.php?action=vallex&amp;frame=v-w2658f4_MM", "oddělat (v-w2658f4_MM)")</f>
        <v>oddělat (v-w2658f4_MM)</v>
      </c>
    </row>
    <row r="21276" customFormat="false" ht="12.8" hidden="false" customHeight="false" outlineLevel="0" collapsed="false">
      <c r="B21276" s="0" t="s">
        <v>7</v>
      </c>
    </row>
    <row r="21277" customFormat="false" ht="12.8" hidden="false" customHeight="false" outlineLevel="0" collapsed="false">
      <c r="B21277" s="0" t="s">
        <v>14</v>
      </c>
    </row>
    <row r="21279" customFormat="false" ht="12.8" hidden="false" customHeight="false" outlineLevel="0" collapsed="false">
      <c r="A21279" s="0" t="s">
        <v>8046</v>
      </c>
      <c r="B21279" s="0" t="str">
        <f aca="false">HYPERLINK("https://lindat.mff.cuni.cz/services/teitok/pdtc10/index.php?action=vallex&amp;frame=v-w2661f1", "oddělit (v-w2661f1)")</f>
        <v>oddělit (v-w2661f1)</v>
      </c>
    </row>
    <row r="21280" customFormat="false" ht="12.8" hidden="false" customHeight="false" outlineLevel="0" collapsed="false">
      <c r="B21280" s="0" t="s">
        <v>7</v>
      </c>
      <c r="C21280" s="0" t="s">
        <v>1111</v>
      </c>
      <c r="D21280" s="0" t="s">
        <v>1777</v>
      </c>
      <c r="E21280" s="0" t="s">
        <v>1777</v>
      </c>
      <c r="F21280" s="0" t="s">
        <v>1777</v>
      </c>
    </row>
    <row r="21281" customFormat="false" ht="12.8" hidden="false" customHeight="false" outlineLevel="0" collapsed="false">
      <c r="B21281" s="0" t="s">
        <v>14</v>
      </c>
      <c r="C21281" s="0" t="s">
        <v>8047</v>
      </c>
      <c r="D21281" s="0" t="s">
        <v>4252</v>
      </c>
      <c r="E21281" s="0" t="s">
        <v>4252</v>
      </c>
      <c r="F21281" s="0" t="s">
        <v>4252</v>
      </c>
    </row>
    <row r="21282" customFormat="false" ht="12.8" hidden="false" customHeight="false" outlineLevel="0" collapsed="false">
      <c r="B21282" s="0" t="s">
        <v>1592</v>
      </c>
      <c r="C21282" s="0" t="s">
        <v>8048</v>
      </c>
      <c r="D21282" s="0" t="s">
        <v>2480</v>
      </c>
      <c r="E21282" s="0" t="s">
        <v>2480</v>
      </c>
      <c r="F21282" s="0" t="s">
        <v>2480</v>
      </c>
    </row>
    <row r="21284" customFormat="false" ht="12.8" hidden="false" customHeight="false" outlineLevel="0" collapsed="false">
      <c r="A21284" s="0" t="s">
        <v>8049</v>
      </c>
      <c r="B21284" s="0" t="str">
        <f aca="false">HYPERLINK("https://lindat.mff.cuni.cz/services/teitok/pdtc10/index.php?action=vallex&amp;frame=v-w2662f1", "oddělit se (v-w2662f1)")</f>
        <v>oddělit se (v-w2662f1)</v>
      </c>
    </row>
    <row r="21285" customFormat="false" ht="12.8" hidden="false" customHeight="false" outlineLevel="0" collapsed="false">
      <c r="B21285" s="0" t="s">
        <v>7</v>
      </c>
      <c r="C21285" s="0" t="s">
        <v>46</v>
      </c>
      <c r="D21285" s="0" t="s">
        <v>247</v>
      </c>
      <c r="E21285" s="0" t="s">
        <v>247</v>
      </c>
      <c r="F21285" s="0" t="s">
        <v>247</v>
      </c>
    </row>
    <row r="21286" customFormat="false" ht="12.8" hidden="false" customHeight="false" outlineLevel="0" collapsed="false">
      <c r="B21286" s="0" t="s">
        <v>28</v>
      </c>
      <c r="C21286" s="0" t="s">
        <v>155</v>
      </c>
    </row>
    <row r="21288" customFormat="false" ht="12.8" hidden="false" customHeight="false" outlineLevel="0" collapsed="false">
      <c r="A21288" s="0" t="s">
        <v>8050</v>
      </c>
      <c r="B21288" s="0" t="str">
        <f aca="false">HYPERLINK("https://lindat.mff.cuni.cz/services/teitok/pdtc10/index.php?action=vallex&amp;frame=v-w2663f1", "oddělovat (v-w2663f1)")</f>
        <v>oddělovat (v-w2663f1)</v>
      </c>
    </row>
    <row r="21289" customFormat="false" ht="12.8" hidden="false" customHeight="false" outlineLevel="0" collapsed="false">
      <c r="B21289" s="0" t="s">
        <v>7</v>
      </c>
      <c r="C21289" s="0" t="s">
        <v>8051</v>
      </c>
      <c r="D21289" s="0" t="s">
        <v>1777</v>
      </c>
      <c r="E21289" s="0" t="s">
        <v>1777</v>
      </c>
      <c r="F21289" s="0" t="s">
        <v>1777</v>
      </c>
    </row>
    <row r="21290" customFormat="false" ht="12.8" hidden="false" customHeight="false" outlineLevel="0" collapsed="false">
      <c r="B21290" s="0" t="s">
        <v>14</v>
      </c>
      <c r="C21290" s="0" t="s">
        <v>624</v>
      </c>
      <c r="D21290" s="0" t="s">
        <v>4252</v>
      </c>
      <c r="E21290" s="0" t="s">
        <v>4252</v>
      </c>
      <c r="F21290" s="0" t="s">
        <v>4252</v>
      </c>
    </row>
    <row r="21291" customFormat="false" ht="12.8" hidden="false" customHeight="false" outlineLevel="0" collapsed="false">
      <c r="B21291" s="0" t="s">
        <v>1592</v>
      </c>
      <c r="C21291" s="0" t="s">
        <v>8052</v>
      </c>
      <c r="D21291" s="0" t="s">
        <v>2480</v>
      </c>
      <c r="E21291" s="0" t="s">
        <v>2480</v>
      </c>
      <c r="F21291" s="0" t="s">
        <v>2480</v>
      </c>
    </row>
    <row r="21293" customFormat="false" ht="12.8" hidden="false" customHeight="false" outlineLevel="0" collapsed="false">
      <c r="A21293" s="0" t="s">
        <v>8053</v>
      </c>
      <c r="B21293" s="0" t="str">
        <f aca="false">HYPERLINK("https://lindat.mff.cuni.cz/services/teitok/pdtc10/index.php?action=vallex&amp;frame=v-w2664f1", "oddělovat se (v-w2664f1)")</f>
        <v>oddělovat se (v-w2664f1)</v>
      </c>
    </row>
    <row r="21294" customFormat="false" ht="12.8" hidden="false" customHeight="false" outlineLevel="0" collapsed="false">
      <c r="B21294" s="0" t="s">
        <v>7</v>
      </c>
      <c r="D21294" s="0" t="s">
        <v>247</v>
      </c>
      <c r="E21294" s="0" t="s">
        <v>247</v>
      </c>
      <c r="F21294" s="0" t="s">
        <v>247</v>
      </c>
    </row>
    <row r="21295" customFormat="false" ht="12.8" hidden="false" customHeight="false" outlineLevel="0" collapsed="false">
      <c r="B21295" s="0" t="s">
        <v>28</v>
      </c>
      <c r="C21295" s="0" t="s">
        <v>1544</v>
      </c>
    </row>
    <row r="21297" customFormat="false" ht="12.8" hidden="false" customHeight="false" outlineLevel="0" collapsed="false">
      <c r="A21297" s="0" t="s">
        <v>8054</v>
      </c>
      <c r="B21297" s="0" t="str">
        <f aca="false">HYPERLINK("https://lindat.mff.cuni.cz/services/teitok/pdtc10/index.php?action=vallex&amp;frame=v-w2672f1", "odebrat (v-w2672f1)")</f>
        <v>odebrat (v-w2672f1)</v>
      </c>
    </row>
    <row r="21298" customFormat="false" ht="12.8" hidden="false" customHeight="false" outlineLevel="0" collapsed="false">
      <c r="B21298" s="0" t="s">
        <v>7</v>
      </c>
      <c r="C21298" s="0" t="s">
        <v>31</v>
      </c>
      <c r="D21298" s="0" t="s">
        <v>429</v>
      </c>
      <c r="E21298" s="0" t="s">
        <v>430</v>
      </c>
      <c r="F21298" s="0" t="s">
        <v>431</v>
      </c>
    </row>
    <row r="21299" customFormat="false" ht="12.8" hidden="false" customHeight="false" outlineLevel="0" collapsed="false">
      <c r="B21299" s="0" t="s">
        <v>14</v>
      </c>
      <c r="C21299" s="0" t="s">
        <v>2788</v>
      </c>
      <c r="D21299" s="0" t="s">
        <v>433</v>
      </c>
      <c r="E21299" s="0" t="s">
        <v>434</v>
      </c>
      <c r="F21299" s="0" t="s">
        <v>435</v>
      </c>
    </row>
    <row r="21300" customFormat="false" ht="12.8" hidden="false" customHeight="false" outlineLevel="0" collapsed="false">
      <c r="B21300" s="0" t="s">
        <v>48</v>
      </c>
      <c r="C21300" s="0" t="s">
        <v>7276</v>
      </c>
      <c r="D21300" s="0" t="s">
        <v>437</v>
      </c>
      <c r="E21300" s="0" t="s">
        <v>438</v>
      </c>
      <c r="F21300" s="0" t="s">
        <v>439</v>
      </c>
    </row>
    <row r="21302" customFormat="false" ht="12.8" hidden="false" customHeight="false" outlineLevel="0" collapsed="false">
      <c r="A21302" s="0" t="s">
        <v>8055</v>
      </c>
      <c r="B21302" s="0" t="str">
        <f aca="false">HYPERLINK("https://lindat.mff.cuni.cz/services/teitok/pdtc10/index.php?action=vallex&amp;frame=v-w2672f3", "odebrat (v-w2672f3)")</f>
        <v>odebrat (v-w2672f3)</v>
      </c>
    </row>
    <row r="21303" customFormat="false" ht="12.8" hidden="false" customHeight="false" outlineLevel="0" collapsed="false">
      <c r="B21303" s="0" t="s">
        <v>7</v>
      </c>
    </row>
    <row r="21304" customFormat="false" ht="12.8" hidden="false" customHeight="false" outlineLevel="0" collapsed="false">
      <c r="B21304" s="0" t="s">
        <v>14</v>
      </c>
    </row>
    <row r="21305" customFormat="false" ht="12.8" hidden="false" customHeight="false" outlineLevel="0" collapsed="false">
      <c r="B21305" s="0" t="s">
        <v>11</v>
      </c>
    </row>
    <row r="21307" customFormat="false" ht="12.8" hidden="false" customHeight="false" outlineLevel="0" collapsed="false">
      <c r="A21307" s="0" t="s">
        <v>8056</v>
      </c>
      <c r="B21307" s="0" t="str">
        <f aca="false">HYPERLINK("https://lindat.mff.cuni.cz/services/teitok/pdtc10/index.php?action=vallex&amp;frame=v-w2672f2", "odebrat (v-w2672f2)")</f>
        <v>odebrat (v-w2672f2)</v>
      </c>
    </row>
    <row r="21308" customFormat="false" ht="12.8" hidden="false" customHeight="false" outlineLevel="0" collapsed="false">
      <c r="B21308" s="0" t="s">
        <v>7</v>
      </c>
      <c r="C21308" s="0" t="s">
        <v>8057</v>
      </c>
      <c r="D21308" s="0" t="s">
        <v>149</v>
      </c>
      <c r="E21308" s="0" t="s">
        <v>8058</v>
      </c>
      <c r="F21308" s="0" t="s">
        <v>1509</v>
      </c>
    </row>
    <row r="21309" customFormat="false" ht="12.8" hidden="false" customHeight="false" outlineLevel="0" collapsed="false">
      <c r="B21309" s="0" t="s">
        <v>14</v>
      </c>
      <c r="C21309" s="0" t="s">
        <v>8059</v>
      </c>
      <c r="D21309" s="0" t="s">
        <v>3249</v>
      </c>
      <c r="E21309" s="0" t="s">
        <v>1625</v>
      </c>
      <c r="F21309" s="0" t="s">
        <v>3965</v>
      </c>
    </row>
    <row r="21310" customFormat="false" ht="12.8" hidden="false" customHeight="false" outlineLevel="0" collapsed="false">
      <c r="B21310" s="0" t="s">
        <v>459</v>
      </c>
      <c r="C21310" s="0" t="s">
        <v>8060</v>
      </c>
      <c r="D21310" s="0" t="s">
        <v>8061</v>
      </c>
      <c r="E21310" s="0" t="s">
        <v>8062</v>
      </c>
      <c r="F21310" s="0" t="s">
        <v>8063</v>
      </c>
    </row>
    <row r="21312" customFormat="false" ht="12.8" hidden="false" customHeight="false" outlineLevel="0" collapsed="false">
      <c r="A21312" s="0" t="s">
        <v>8064</v>
      </c>
      <c r="B21312" s="0" t="str">
        <f aca="false">HYPERLINK("https://lindat.mff.cuni.cz/services/teitok/pdtc10/index.php?action=vallex&amp;frame=v-w2672f4", "odebrat (v-w2672f4)")</f>
        <v>odebrat (v-w2672f4)</v>
      </c>
    </row>
    <row r="21313" customFormat="false" ht="12.8" hidden="false" customHeight="false" outlineLevel="0" collapsed="false">
      <c r="B21313" s="0" t="s">
        <v>7</v>
      </c>
    </row>
    <row r="21314" customFormat="false" ht="12.8" hidden="false" customHeight="false" outlineLevel="0" collapsed="false">
      <c r="B21314" s="0" t="s">
        <v>14</v>
      </c>
    </row>
    <row r="21316" customFormat="false" ht="12.8" hidden="false" customHeight="false" outlineLevel="0" collapsed="false">
      <c r="A21316" s="0" t="s">
        <v>8065</v>
      </c>
      <c r="B21316" s="0" t="str">
        <f aca="false">HYPERLINK("https://lindat.mff.cuni.cz/services/teitok/pdtc10/index.php?action=vallex&amp;frame=v-w2673f1", "odebrat se (v-w2673f1)")</f>
        <v>odebrat se (v-w2673f1)</v>
      </c>
    </row>
    <row r="21317" customFormat="false" ht="12.8" hidden="false" customHeight="false" outlineLevel="0" collapsed="false">
      <c r="B21317" s="0" t="s">
        <v>7</v>
      </c>
    </row>
    <row r="21318" customFormat="false" ht="12.8" hidden="false" customHeight="false" outlineLevel="0" collapsed="false">
      <c r="B21318" s="0" t="s">
        <v>124</v>
      </c>
    </row>
    <row r="21320" customFormat="false" ht="12.8" hidden="false" customHeight="false" outlineLevel="0" collapsed="false">
      <c r="A21320" s="0" t="s">
        <v>8066</v>
      </c>
      <c r="B21320" s="0" t="str">
        <f aca="false">HYPERLINK("https://lindat.mff.cuni.cz/services/teitok/pdtc10/index.php?action=vallex&amp;frame=v-w2669f3", "odebírat (v-w2669f3)")</f>
        <v>odebírat (v-w2669f3)</v>
      </c>
    </row>
    <row r="21321" customFormat="false" ht="12.8" hidden="false" customHeight="false" outlineLevel="0" collapsed="false">
      <c r="B21321" s="0" t="s">
        <v>7</v>
      </c>
      <c r="F21321" s="0" t="s">
        <v>157</v>
      </c>
    </row>
    <row r="21322" customFormat="false" ht="12.8" hidden="false" customHeight="false" outlineLevel="0" collapsed="false">
      <c r="B21322" s="0" t="s">
        <v>14</v>
      </c>
      <c r="F21322" s="0" t="s">
        <v>462</v>
      </c>
    </row>
    <row r="21323" customFormat="false" ht="12.8" hidden="false" customHeight="false" outlineLevel="0" collapsed="false">
      <c r="B21323" s="0" t="s">
        <v>48</v>
      </c>
      <c r="F21323" s="0" t="s">
        <v>1927</v>
      </c>
    </row>
    <row r="21325" customFormat="false" ht="12.8" hidden="false" customHeight="false" outlineLevel="0" collapsed="false">
      <c r="A21325" s="0" t="s">
        <v>8067</v>
      </c>
      <c r="B21325" s="0" t="str">
        <f aca="false">HYPERLINK("https://lindat.mff.cuni.cz/services/teitok/pdtc10/index.php?action=vallex&amp;frame=v-w2669f2", "odebírat (v-w2669f2)")</f>
        <v>odebírat (v-w2669f2)</v>
      </c>
    </row>
    <row r="21326" customFormat="false" ht="12.8" hidden="false" customHeight="false" outlineLevel="0" collapsed="false">
      <c r="B21326" s="0" t="s">
        <v>7</v>
      </c>
      <c r="F21326" s="0" t="s">
        <v>157</v>
      </c>
    </row>
    <row r="21327" customFormat="false" ht="12.8" hidden="false" customHeight="false" outlineLevel="0" collapsed="false">
      <c r="B21327" s="0" t="s">
        <v>14</v>
      </c>
      <c r="F21327" s="0" t="s">
        <v>462</v>
      </c>
    </row>
    <row r="21328" customFormat="false" ht="12.8" hidden="false" customHeight="false" outlineLevel="0" collapsed="false">
      <c r="B21328" s="0" t="s">
        <v>459</v>
      </c>
      <c r="F21328" s="0" t="s">
        <v>463</v>
      </c>
    </row>
    <row r="21330" customFormat="false" ht="12.8" hidden="false" customHeight="false" outlineLevel="0" collapsed="false">
      <c r="A21330" s="0" t="s">
        <v>8068</v>
      </c>
      <c r="B21330" s="0" t="str">
        <f aca="false">HYPERLINK("https://lindat.mff.cuni.cz/services/teitok/pdtc10/index.php?action=vallex&amp;frame=v-w2669f1", "odebírat (v-w2669f1)")</f>
        <v>odebírat (v-w2669f1)</v>
      </c>
    </row>
    <row r="21331" customFormat="false" ht="12.8" hidden="false" customHeight="false" outlineLevel="0" collapsed="false">
      <c r="B21331" s="0" t="s">
        <v>7</v>
      </c>
      <c r="C21331" s="0" t="s">
        <v>335</v>
      </c>
      <c r="D21331" s="0" t="s">
        <v>46</v>
      </c>
      <c r="E21331" s="0" t="s">
        <v>46</v>
      </c>
      <c r="F21331" s="0" t="s">
        <v>46</v>
      </c>
    </row>
    <row r="21332" customFormat="false" ht="12.8" hidden="false" customHeight="false" outlineLevel="0" collapsed="false">
      <c r="B21332" s="0" t="s">
        <v>14</v>
      </c>
      <c r="C21332" s="0" t="s">
        <v>47</v>
      </c>
      <c r="D21332" s="0" t="s">
        <v>47</v>
      </c>
      <c r="E21332" s="0" t="s">
        <v>47</v>
      </c>
      <c r="F21332" s="0" t="s">
        <v>47</v>
      </c>
    </row>
    <row r="21334" customFormat="false" ht="12.8" hidden="false" customHeight="false" outlineLevel="0" collapsed="false">
      <c r="A21334" s="0" t="s">
        <v>8069</v>
      </c>
      <c r="B21334" s="0" t="str">
        <f aca="false">HYPERLINK("https://lindat.mff.cuni.cz/services/teitok/pdtc10/index.php?action=vallex&amp;frame=v-w10332f2", "odehnat (v-w10332f2)")</f>
        <v>odehnat (v-w10332f2)</v>
      </c>
    </row>
    <row r="21335" customFormat="false" ht="12.8" hidden="false" customHeight="false" outlineLevel="0" collapsed="false">
      <c r="B21335" s="0" t="s">
        <v>7</v>
      </c>
      <c r="C21335" s="0" t="s">
        <v>118</v>
      </c>
      <c r="D21335" s="0" t="s">
        <v>191</v>
      </c>
      <c r="E21335" s="0" t="s">
        <v>191</v>
      </c>
      <c r="F21335" s="0" t="s">
        <v>191</v>
      </c>
    </row>
    <row r="21336" customFormat="false" ht="12.8" hidden="false" customHeight="false" outlineLevel="0" collapsed="false">
      <c r="B21336" s="0" t="s">
        <v>14</v>
      </c>
      <c r="C21336" s="0" t="s">
        <v>487</v>
      </c>
      <c r="D21336" s="0" t="s">
        <v>155</v>
      </c>
      <c r="E21336" s="0" t="s">
        <v>155</v>
      </c>
      <c r="F21336" s="0" t="s">
        <v>155</v>
      </c>
    </row>
    <row r="21338" customFormat="false" ht="12.8" hidden="false" customHeight="false" outlineLevel="0" collapsed="false">
      <c r="A21338" s="0" t="s">
        <v>8070</v>
      </c>
      <c r="B21338" s="0" t="str">
        <f aca="false">HYPERLINK("https://lindat.mff.cuni.cz/services/teitok/pdtc10/index.php?action=vallex&amp;frame=v-w2679f1", "odehrát (v-w2679f1)")</f>
        <v>odehrát (v-w2679f1)</v>
      </c>
    </row>
    <row r="21339" customFormat="false" ht="12.8" hidden="false" customHeight="false" outlineLevel="0" collapsed="false">
      <c r="B21339" s="0" t="s">
        <v>7</v>
      </c>
      <c r="E21339" s="0" t="s">
        <v>4041</v>
      </c>
      <c r="F21339" s="0" t="s">
        <v>4041</v>
      </c>
    </row>
    <row r="21340" customFormat="false" ht="12.8" hidden="false" customHeight="false" outlineLevel="0" collapsed="false">
      <c r="B21340" s="0" t="s">
        <v>14</v>
      </c>
      <c r="E21340" s="0" t="s">
        <v>466</v>
      </c>
      <c r="F21340" s="0" t="s">
        <v>466</v>
      </c>
    </row>
    <row r="21342" customFormat="false" ht="12.8" hidden="false" customHeight="false" outlineLevel="0" collapsed="false">
      <c r="A21342" s="0" t="s">
        <v>8071</v>
      </c>
      <c r="B21342" s="0" t="str">
        <f aca="false">HYPERLINK("https://lindat.mff.cuni.cz/services/teitok/pdtc10/index.php?action=vallex&amp;frame=v-w2680f1", "odehrát se (v-w2680f1)")</f>
        <v>odehrát se (v-w2680f1)</v>
      </c>
    </row>
    <row r="21343" customFormat="false" ht="12.8" hidden="false" customHeight="false" outlineLevel="0" collapsed="false">
      <c r="B21343" s="0" t="s">
        <v>7</v>
      </c>
      <c r="C21343" s="0" t="s">
        <v>8072</v>
      </c>
      <c r="D21343" s="0" t="s">
        <v>288</v>
      </c>
      <c r="E21343" s="0" t="s">
        <v>288</v>
      </c>
      <c r="F21343" s="0" t="s">
        <v>288</v>
      </c>
    </row>
    <row r="21345" customFormat="false" ht="12.8" hidden="false" customHeight="false" outlineLevel="0" collapsed="false">
      <c r="A21345" s="0" t="s">
        <v>8073</v>
      </c>
      <c r="B21345" s="0" t="str">
        <f aca="false">HYPERLINK("https://lindat.mff.cuni.cz/services/teitok/pdtc10/index.php?action=vallex&amp;frame=v-w2681f1", "odehrávat se (v-w2681f1)")</f>
        <v>odehrávat se (v-w2681f1)</v>
      </c>
    </row>
    <row r="21346" customFormat="false" ht="12.8" hidden="false" customHeight="false" outlineLevel="0" collapsed="false">
      <c r="B21346" s="0" t="s">
        <v>7</v>
      </c>
      <c r="C21346" s="0" t="s">
        <v>8074</v>
      </c>
      <c r="D21346" s="0" t="s">
        <v>288</v>
      </c>
      <c r="E21346" s="0" t="s">
        <v>288</v>
      </c>
      <c r="F21346" s="0" t="s">
        <v>288</v>
      </c>
    </row>
    <row r="21348" customFormat="false" ht="12.8" hidden="false" customHeight="false" outlineLevel="0" collapsed="false">
      <c r="A21348" s="0" t="s">
        <v>8075</v>
      </c>
      <c r="B21348" s="0" t="str">
        <f aca="false">HYPERLINK("https://lindat.mff.cuni.cz/services/teitok/pdtc10/index.php?action=vallex&amp;frame=v-w2683f1", "odejmout (v-w2683f1)")</f>
        <v>odejmout (v-w2683f1)</v>
      </c>
    </row>
    <row r="21349" customFormat="false" ht="12.8" hidden="false" customHeight="false" outlineLevel="0" collapsed="false">
      <c r="B21349" s="0" t="s">
        <v>7</v>
      </c>
      <c r="C21349" s="0" t="s">
        <v>623</v>
      </c>
      <c r="D21349" s="0" t="s">
        <v>429</v>
      </c>
      <c r="E21349" s="0" t="s">
        <v>430</v>
      </c>
      <c r="F21349" s="0" t="s">
        <v>431</v>
      </c>
    </row>
    <row r="21350" customFormat="false" ht="12.8" hidden="false" customHeight="false" outlineLevel="0" collapsed="false">
      <c r="B21350" s="0" t="s">
        <v>14</v>
      </c>
      <c r="C21350" s="0" t="s">
        <v>8076</v>
      </c>
      <c r="D21350" s="0" t="s">
        <v>433</v>
      </c>
      <c r="E21350" s="0" t="s">
        <v>434</v>
      </c>
      <c r="F21350" s="0" t="s">
        <v>435</v>
      </c>
    </row>
    <row r="21351" customFormat="false" ht="12.8" hidden="false" customHeight="false" outlineLevel="0" collapsed="false">
      <c r="B21351" s="0" t="s">
        <v>48</v>
      </c>
      <c r="C21351" s="0" t="s">
        <v>3323</v>
      </c>
      <c r="D21351" s="0" t="s">
        <v>437</v>
      </c>
      <c r="E21351" s="0" t="s">
        <v>438</v>
      </c>
      <c r="F21351" s="0" t="s">
        <v>439</v>
      </c>
    </row>
    <row r="21353" customFormat="false" ht="12.8" hidden="false" customHeight="false" outlineLevel="0" collapsed="false">
      <c r="A21353" s="0" t="s">
        <v>8077</v>
      </c>
      <c r="B21353" s="0" t="str">
        <f aca="false">HYPERLINK("https://lindat.mff.cuni.cz/services/teitok/pdtc10/index.php?action=vallex&amp;frame=v-w2682f1", "odejít (v-w2682f1)")</f>
        <v>odejít (v-w2682f1)</v>
      </c>
    </row>
    <row r="21354" customFormat="false" ht="12.8" hidden="false" customHeight="false" outlineLevel="0" collapsed="false">
      <c r="B21354" s="0" t="s">
        <v>7</v>
      </c>
      <c r="C21354" s="0" t="s">
        <v>8078</v>
      </c>
      <c r="D21354" s="0" t="s">
        <v>1582</v>
      </c>
      <c r="E21354" s="0" t="s">
        <v>1582</v>
      </c>
      <c r="F21354" s="0" t="s">
        <v>1582</v>
      </c>
    </row>
    <row r="21355" customFormat="false" ht="12.8" hidden="false" customHeight="false" outlineLevel="0" collapsed="false">
      <c r="B21355" s="0" t="s">
        <v>459</v>
      </c>
      <c r="C21355" s="0" t="s">
        <v>8079</v>
      </c>
      <c r="D21355" s="0" t="s">
        <v>1583</v>
      </c>
      <c r="E21355" s="0" t="s">
        <v>1583</v>
      </c>
      <c r="F21355" s="0" t="s">
        <v>1583</v>
      </c>
    </row>
    <row r="21357" customFormat="false" ht="12.8" hidden="false" customHeight="false" outlineLevel="0" collapsed="false">
      <c r="A21357" s="0" t="s">
        <v>8080</v>
      </c>
      <c r="B21357" s="0" t="str">
        <f aca="false">HYPERLINK("https://lindat.mff.cuni.cz/services/teitok/pdtc10/index.php?action=vallex&amp;frame=v-w2682f4_ZU", "odejít (v-w2682f4_ZU)")</f>
        <v>odejít (v-w2682f4_ZU)</v>
      </c>
    </row>
    <row r="21358" customFormat="false" ht="12.8" hidden="false" customHeight="false" outlineLevel="0" collapsed="false">
      <c r="B21358" s="0" t="s">
        <v>7</v>
      </c>
      <c r="C21358" s="0" t="s">
        <v>2530</v>
      </c>
    </row>
    <row r="21359" customFormat="false" ht="12.8" hidden="false" customHeight="false" outlineLevel="0" collapsed="false">
      <c r="B21359" s="0" t="s">
        <v>279</v>
      </c>
    </row>
    <row r="21361" customFormat="false" ht="12.8" hidden="false" customHeight="false" outlineLevel="0" collapsed="false">
      <c r="A21361" s="0" t="s">
        <v>8081</v>
      </c>
      <c r="B21361" s="0" t="str">
        <f aca="false">HYPERLINK("https://lindat.mff.cuni.cz/services/teitok/pdtc10/index.php?action=vallex&amp;frame=v-w2682f3", "odejít (v-w2682f3)")</f>
        <v>odejít (v-w2682f3)</v>
      </c>
    </row>
    <row r="21362" customFormat="false" ht="12.8" hidden="false" customHeight="false" outlineLevel="0" collapsed="false">
      <c r="B21362" s="0" t="s">
        <v>7</v>
      </c>
      <c r="C21362" s="0" t="s">
        <v>4445</v>
      </c>
    </row>
    <row r="21364" customFormat="false" ht="12.8" hidden="false" customHeight="false" outlineLevel="0" collapsed="false">
      <c r="A21364" s="0" t="s">
        <v>8082</v>
      </c>
      <c r="B21364" s="0" t="str">
        <f aca="false">HYPERLINK("https://lindat.mff.cuni.cz/services/teitok/pdtc10/index.php?action=vallex&amp;frame=v-w2682f2", "odejít (v-w2682f2)")</f>
        <v>odejít (v-w2682f2)</v>
      </c>
    </row>
    <row r="21365" customFormat="false" ht="12.8" hidden="false" customHeight="false" outlineLevel="0" collapsed="false">
      <c r="B21365" s="0" t="s">
        <v>7</v>
      </c>
    </row>
    <row r="21366" customFormat="false" ht="12.8" hidden="false" customHeight="false" outlineLevel="0" collapsed="false">
      <c r="B21366" s="0" t="s">
        <v>8083</v>
      </c>
    </row>
    <row r="21368" customFormat="false" ht="12.8" hidden="false" customHeight="false" outlineLevel="0" collapsed="false">
      <c r="A21368" s="0" t="s">
        <v>8084</v>
      </c>
      <c r="B21368" s="0" t="str">
        <f aca="false">HYPERLINK("https://lindat.mff.cuni.cz/services/teitok/pdtc10/index.php?action=vallex&amp;frame=v-w2682hsa_844", "odejít (v-w2682hsa_844)")</f>
        <v>odejít (v-w2682hsa_844)</v>
      </c>
    </row>
    <row r="21369" customFormat="false" ht="12.8" hidden="false" customHeight="false" outlineLevel="0" collapsed="false">
      <c r="B21369" s="0" t="s">
        <v>7</v>
      </c>
      <c r="C21369" s="0" t="s">
        <v>200</v>
      </c>
    </row>
    <row r="21371" customFormat="false" ht="12.8" hidden="false" customHeight="false" outlineLevel="0" collapsed="false">
      <c r="A21371" s="0" t="s">
        <v>8085</v>
      </c>
      <c r="B21371" s="0" t="str">
        <f aca="false">HYPERLINK("https://lindat.mff.cuni.cz/services/teitok/pdtc10/index.php?action=vallex&amp;frame=v-w2682hsa_845", "odejít (v-w2682hsa_845)")</f>
        <v>odejít (v-w2682hsa_845)</v>
      </c>
    </row>
    <row r="21372" customFormat="false" ht="12.8" hidden="false" customHeight="false" outlineLevel="0" collapsed="false">
      <c r="B21372" s="0" t="s">
        <v>7</v>
      </c>
      <c r="C21372" s="0" t="s">
        <v>2530</v>
      </c>
      <c r="D21372" s="0" t="s">
        <v>4783</v>
      </c>
      <c r="E21372" s="0" t="s">
        <v>4783</v>
      </c>
      <c r="F21372" s="0" t="s">
        <v>4783</v>
      </c>
    </row>
    <row r="21373" customFormat="false" ht="12.8" hidden="false" customHeight="false" outlineLevel="0" collapsed="false">
      <c r="B21373" s="0" t="s">
        <v>2316</v>
      </c>
    </row>
    <row r="21375" customFormat="false" ht="12.8" hidden="false" customHeight="false" outlineLevel="0" collapsed="false">
      <c r="A21375" s="0" t="s">
        <v>8086</v>
      </c>
      <c r="B21375" s="0" t="str">
        <f aca="false">HYPERLINK("https://lindat.mff.cuni.cz/services/teitok/pdtc10/index.php?action=vallex&amp;frame=v-w2682hsa_709", "odejít (v-w2682hsa_709)")</f>
        <v>odejít (v-w2682hsa_709)</v>
      </c>
    </row>
    <row r="21376" customFormat="false" ht="12.8" hidden="false" customHeight="false" outlineLevel="0" collapsed="false">
      <c r="B21376" s="0" t="s">
        <v>7</v>
      </c>
    </row>
    <row r="21378" customFormat="false" ht="12.8" hidden="false" customHeight="false" outlineLevel="0" collapsed="false">
      <c r="A21378" s="0" t="s">
        <v>8087</v>
      </c>
      <c r="B21378" s="0" t="str">
        <f aca="false">HYPERLINK("https://lindat.mff.cuni.cz/services/teitok/pdtc10/index.php?action=vallex&amp;frame=v-w2684f1", "odemknout (v-w2684f1)")</f>
        <v>odemknout (v-w2684f1)</v>
      </c>
    </row>
    <row r="21379" customFormat="false" ht="12.8" hidden="false" customHeight="false" outlineLevel="0" collapsed="false">
      <c r="B21379" s="0" t="s">
        <v>7</v>
      </c>
      <c r="D21379" s="0" t="s">
        <v>8088</v>
      </c>
      <c r="E21379" s="0" t="s">
        <v>8088</v>
      </c>
      <c r="F21379" s="0" t="s">
        <v>8088</v>
      </c>
    </row>
    <row r="21380" customFormat="false" ht="12.8" hidden="false" customHeight="false" outlineLevel="0" collapsed="false">
      <c r="B21380" s="0" t="s">
        <v>14</v>
      </c>
      <c r="C21380" s="0" t="s">
        <v>155</v>
      </c>
      <c r="D21380" s="0" t="s">
        <v>7533</v>
      </c>
      <c r="E21380" s="0" t="s">
        <v>8089</v>
      </c>
      <c r="F21380" s="0" t="s">
        <v>8089</v>
      </c>
    </row>
    <row r="21382" customFormat="false" ht="12.8" hidden="false" customHeight="false" outlineLevel="0" collapsed="false">
      <c r="A21382" s="0" t="s">
        <v>8090</v>
      </c>
      <c r="B21382" s="0" t="str">
        <f aca="false">HYPERLINK("https://lindat.mff.cuni.cz/services/teitok/pdtc10/index.php?action=vallex&amp;frame=v-w2685f2", "odepisovat (v-w2685f2)")</f>
        <v>odepisovat (v-w2685f2)</v>
      </c>
    </row>
    <row r="21383" customFormat="false" ht="12.8" hidden="false" customHeight="false" outlineLevel="0" collapsed="false">
      <c r="B21383" s="0" t="s">
        <v>7</v>
      </c>
      <c r="C21383" s="0" t="s">
        <v>335</v>
      </c>
      <c r="D21383" s="0" t="s">
        <v>569</v>
      </c>
      <c r="E21383" s="0" t="s">
        <v>569</v>
      </c>
      <c r="F21383" s="0" t="s">
        <v>569</v>
      </c>
    </row>
    <row r="21384" customFormat="false" ht="12.8" hidden="false" customHeight="false" outlineLevel="0" collapsed="false">
      <c r="B21384" s="0" t="s">
        <v>14</v>
      </c>
      <c r="C21384" s="0" t="s">
        <v>89</v>
      </c>
      <c r="D21384" s="0" t="s">
        <v>1289</v>
      </c>
      <c r="E21384" s="0" t="s">
        <v>1289</v>
      </c>
      <c r="F21384" s="0" t="s">
        <v>1289</v>
      </c>
    </row>
    <row r="21385" customFormat="false" ht="12.8" hidden="false" customHeight="false" outlineLevel="0" collapsed="false">
      <c r="B21385" s="0" t="s">
        <v>459</v>
      </c>
      <c r="C21385" s="0" t="s">
        <v>8091</v>
      </c>
      <c r="D21385" s="0" t="s">
        <v>8091</v>
      </c>
      <c r="E21385" s="0" t="s">
        <v>8091</v>
      </c>
      <c r="F21385" s="0" t="s">
        <v>8091</v>
      </c>
    </row>
    <row r="21387" customFormat="false" ht="12.8" hidden="false" customHeight="false" outlineLevel="0" collapsed="false">
      <c r="A21387" s="0" t="s">
        <v>8092</v>
      </c>
      <c r="B21387" s="0" t="str">
        <f aca="false">HYPERLINK("https://lindat.mff.cuni.cz/services/teitok/pdtc10/index.php?action=vallex&amp;frame=v-w2685f3", "odepisovat (v-w2685f3)")</f>
        <v>odepisovat (v-w2685f3)</v>
      </c>
    </row>
    <row r="21388" customFormat="false" ht="12.8" hidden="false" customHeight="false" outlineLevel="0" collapsed="false">
      <c r="B21388" s="0" t="s">
        <v>7</v>
      </c>
      <c r="C21388" s="0" t="s">
        <v>184</v>
      </c>
    </row>
    <row r="21389" customFormat="false" ht="12.8" hidden="false" customHeight="false" outlineLevel="0" collapsed="false">
      <c r="B21389" s="0" t="s">
        <v>14</v>
      </c>
      <c r="C21389" s="0" t="s">
        <v>624</v>
      </c>
    </row>
    <row r="21391" customFormat="false" ht="12.8" hidden="false" customHeight="false" outlineLevel="0" collapsed="false">
      <c r="A21391" s="0" t="s">
        <v>8093</v>
      </c>
      <c r="B21391" s="0" t="str">
        <f aca="false">HYPERLINK("https://lindat.mff.cuni.cz/services/teitok/pdtc10/index.php?action=vallex&amp;frame=v-w2685f1", "odepisovat (v-w2685f1)")</f>
        <v>odepisovat (v-w2685f1)</v>
      </c>
    </row>
    <row r="21392" customFormat="false" ht="12.8" hidden="false" customHeight="false" outlineLevel="0" collapsed="false">
      <c r="B21392" s="0" t="s">
        <v>7</v>
      </c>
    </row>
    <row r="21393" customFormat="false" ht="12.8" hidden="false" customHeight="false" outlineLevel="0" collapsed="false">
      <c r="B21393" s="0" t="s">
        <v>48</v>
      </c>
    </row>
    <row r="21394" customFormat="false" ht="12.8" hidden="false" customHeight="false" outlineLevel="0" collapsed="false">
      <c r="B21394" s="0" t="s">
        <v>8094</v>
      </c>
    </row>
    <row r="21395" customFormat="false" ht="12.8" hidden="false" customHeight="false" outlineLevel="0" collapsed="false">
      <c r="B21395" s="0" t="s">
        <v>63</v>
      </c>
    </row>
    <row r="21397" customFormat="false" ht="12.8" hidden="false" customHeight="false" outlineLevel="0" collapsed="false">
      <c r="A21397" s="0" t="s">
        <v>8095</v>
      </c>
      <c r="B21397" s="0" t="str">
        <f aca="false">HYPERLINK("https://lindat.mff.cuni.cz/services/teitok/pdtc10/index.php?action=vallex&amp;frame=v-w2688f3_ZU", "odepsat (v-w2688f3_ZU)")</f>
        <v>odepsat (v-w2688f3_ZU)</v>
      </c>
    </row>
    <row r="21398" customFormat="false" ht="12.8" hidden="false" customHeight="false" outlineLevel="0" collapsed="false">
      <c r="B21398" s="0" t="s">
        <v>7</v>
      </c>
      <c r="C21398" s="0" t="s">
        <v>569</v>
      </c>
      <c r="D21398" s="0" t="s">
        <v>569</v>
      </c>
      <c r="E21398" s="0" t="s">
        <v>569</v>
      </c>
      <c r="F21398" s="0" t="s">
        <v>569</v>
      </c>
    </row>
    <row r="21399" customFormat="false" ht="12.8" hidden="false" customHeight="false" outlineLevel="0" collapsed="false">
      <c r="B21399" s="0" t="s">
        <v>14</v>
      </c>
      <c r="C21399" s="0" t="s">
        <v>1289</v>
      </c>
      <c r="D21399" s="0" t="s">
        <v>1289</v>
      </c>
      <c r="E21399" s="0" t="s">
        <v>1289</v>
      </c>
      <c r="F21399" s="0" t="s">
        <v>1289</v>
      </c>
    </row>
    <row r="21400" customFormat="false" ht="12.8" hidden="false" customHeight="false" outlineLevel="0" collapsed="false">
      <c r="B21400" s="0" t="s">
        <v>459</v>
      </c>
      <c r="C21400" s="0" t="s">
        <v>8091</v>
      </c>
      <c r="D21400" s="0" t="s">
        <v>8091</v>
      </c>
      <c r="E21400" s="0" t="s">
        <v>8091</v>
      </c>
      <c r="F21400" s="0" t="s">
        <v>8091</v>
      </c>
    </row>
    <row r="21402" customFormat="false" ht="12.8" hidden="false" customHeight="false" outlineLevel="0" collapsed="false">
      <c r="A21402" s="0" t="s">
        <v>8096</v>
      </c>
      <c r="B21402" s="0" t="str">
        <f aca="false">HYPERLINK("https://lindat.mff.cuni.cz/services/teitok/pdtc10/index.php?action=vallex&amp;frame=v-w2688f1", "odepsat (v-w2688f1)")</f>
        <v>odepsat (v-w2688f1)</v>
      </c>
    </row>
    <row r="21403" customFormat="false" ht="12.8" hidden="false" customHeight="false" outlineLevel="0" collapsed="false">
      <c r="B21403" s="0" t="s">
        <v>7</v>
      </c>
      <c r="C21403" s="0" t="s">
        <v>1567</v>
      </c>
    </row>
    <row r="21404" customFormat="false" ht="12.8" hidden="false" customHeight="false" outlineLevel="0" collapsed="false">
      <c r="B21404" s="0" t="s">
        <v>14</v>
      </c>
      <c r="C21404" s="0" t="s">
        <v>8097</v>
      </c>
    </row>
    <row r="21406" customFormat="false" ht="12.8" hidden="false" customHeight="false" outlineLevel="0" collapsed="false">
      <c r="A21406" s="0" t="s">
        <v>8098</v>
      </c>
      <c r="B21406" s="0" t="str">
        <f aca="false">HYPERLINK("https://lindat.mff.cuni.cz/services/teitok/pdtc10/index.php?action=vallex&amp;frame=v-w2688f2", "odepsat (v-w2688f2)")</f>
        <v>odepsat (v-w2688f2)</v>
      </c>
    </row>
    <row r="21407" customFormat="false" ht="12.8" hidden="false" customHeight="false" outlineLevel="0" collapsed="false">
      <c r="B21407" s="0" t="s">
        <v>7</v>
      </c>
      <c r="C21407" s="0" t="s">
        <v>2012</v>
      </c>
    </row>
    <row r="21408" customFormat="false" ht="12.8" hidden="false" customHeight="false" outlineLevel="0" collapsed="false">
      <c r="B21408" s="0" t="s">
        <v>48</v>
      </c>
      <c r="C21408" s="0" t="s">
        <v>7276</v>
      </c>
    </row>
    <row r="21409" customFormat="false" ht="12.8" hidden="false" customHeight="false" outlineLevel="0" collapsed="false">
      <c r="B21409" s="0" t="s">
        <v>8094</v>
      </c>
      <c r="C21409" s="0" t="s">
        <v>8099</v>
      </c>
    </row>
    <row r="21410" customFormat="false" ht="12.8" hidden="false" customHeight="false" outlineLevel="0" collapsed="false">
      <c r="B21410" s="0" t="s">
        <v>63</v>
      </c>
      <c r="C21410" s="0" t="s">
        <v>74</v>
      </c>
    </row>
    <row r="21412" customFormat="false" ht="12.8" hidden="false" customHeight="false" outlineLevel="0" collapsed="false">
      <c r="A21412" s="0" t="s">
        <v>8100</v>
      </c>
      <c r="B21412" s="0" t="str">
        <f aca="false">HYPERLINK("https://lindat.mff.cuni.cz/services/teitok/pdtc10/index.php?action=vallex&amp;frame=v-w10163f2", "odepírat (v-w10163f2)")</f>
        <v>odepírat (v-w10163f2)</v>
      </c>
    </row>
    <row r="21413" customFormat="false" ht="12.8" hidden="false" customHeight="false" outlineLevel="0" collapsed="false">
      <c r="B21413" s="0" t="s">
        <v>7</v>
      </c>
    </row>
    <row r="21414" customFormat="false" ht="12.8" hidden="false" customHeight="false" outlineLevel="0" collapsed="false">
      <c r="B21414" s="0" t="s">
        <v>8101</v>
      </c>
    </row>
    <row r="21415" customFormat="false" ht="12.8" hidden="false" customHeight="false" outlineLevel="0" collapsed="false">
      <c r="B21415" s="0" t="s">
        <v>48</v>
      </c>
    </row>
    <row r="21417" customFormat="false" ht="12.8" hidden="false" customHeight="false" outlineLevel="0" collapsed="false">
      <c r="A21417" s="0" t="s">
        <v>8102</v>
      </c>
      <c r="B21417" s="0" t="str">
        <f aca="false">HYPERLINK("https://lindat.mff.cuni.cz/services/teitok/pdtc10/index.php?action=vallex&amp;frame=v-w2686f1", "odepřít (v-w2686f1)")</f>
        <v>odepřít (v-w2686f1)</v>
      </c>
    </row>
    <row r="21418" customFormat="false" ht="12.8" hidden="false" customHeight="false" outlineLevel="0" collapsed="false">
      <c r="B21418" s="0" t="s">
        <v>7</v>
      </c>
      <c r="C21418" s="0" t="s">
        <v>8103</v>
      </c>
      <c r="D21418" s="0" t="s">
        <v>305</v>
      </c>
      <c r="E21418" s="0" t="s">
        <v>305</v>
      </c>
      <c r="F21418" s="0" t="s">
        <v>305</v>
      </c>
    </row>
    <row r="21419" customFormat="false" ht="12.8" hidden="false" customHeight="false" outlineLevel="0" collapsed="false">
      <c r="B21419" s="0" t="s">
        <v>8101</v>
      </c>
      <c r="C21419" s="0" t="s">
        <v>5103</v>
      </c>
      <c r="D21419" s="0" t="s">
        <v>307</v>
      </c>
      <c r="E21419" s="0" t="s">
        <v>307</v>
      </c>
      <c r="F21419" s="0" t="s">
        <v>307</v>
      </c>
    </row>
    <row r="21420" customFormat="false" ht="12.8" hidden="false" customHeight="false" outlineLevel="0" collapsed="false">
      <c r="B21420" s="0" t="s">
        <v>48</v>
      </c>
      <c r="C21420" s="0" t="s">
        <v>8104</v>
      </c>
      <c r="D21420" s="0" t="s">
        <v>709</v>
      </c>
      <c r="E21420" s="0" t="s">
        <v>709</v>
      </c>
      <c r="F21420" s="0" t="s">
        <v>709</v>
      </c>
    </row>
    <row r="21422" customFormat="false" ht="12.8" hidden="false" customHeight="false" outlineLevel="0" collapsed="false">
      <c r="A21422" s="0" t="s">
        <v>8105</v>
      </c>
      <c r="B21422" s="0" t="str">
        <f aca="false">HYPERLINK("https://lindat.mff.cuni.cz/services/teitok/pdtc10/index.php?action=vallex&amp;frame=v-w2691f2", "odeslat (v-w2691f2)")</f>
        <v>odeslat (v-w2691f2)</v>
      </c>
    </row>
    <row r="21423" customFormat="false" ht="12.8" hidden="false" customHeight="false" outlineLevel="0" collapsed="false">
      <c r="B21423" s="0" t="s">
        <v>7</v>
      </c>
      <c r="C21423" s="0" t="s">
        <v>1456</v>
      </c>
      <c r="D21423" s="0" t="s">
        <v>1630</v>
      </c>
      <c r="E21423" s="0" t="s">
        <v>1630</v>
      </c>
      <c r="F21423" s="0" t="s">
        <v>1630</v>
      </c>
    </row>
    <row r="21424" customFormat="false" ht="12.8" hidden="false" customHeight="false" outlineLevel="0" collapsed="false">
      <c r="B21424" s="0" t="s">
        <v>14</v>
      </c>
      <c r="C21424" s="0" t="s">
        <v>2182</v>
      </c>
      <c r="D21424" s="0" t="s">
        <v>1632</v>
      </c>
      <c r="E21424" s="0" t="s">
        <v>1632</v>
      </c>
      <c r="F21424" s="0" t="s">
        <v>1632</v>
      </c>
    </row>
    <row r="21425" customFormat="false" ht="12.8" hidden="false" customHeight="false" outlineLevel="0" collapsed="false">
      <c r="B21425" s="0" t="s">
        <v>48</v>
      </c>
      <c r="C21425" s="0" t="s">
        <v>8106</v>
      </c>
      <c r="D21425" s="0" t="s">
        <v>1635</v>
      </c>
      <c r="E21425" s="0" t="s">
        <v>1635</v>
      </c>
      <c r="F21425" s="0" t="s">
        <v>1635</v>
      </c>
    </row>
    <row r="21427" customFormat="false" ht="12.8" hidden="false" customHeight="false" outlineLevel="0" collapsed="false">
      <c r="A21427" s="0" t="s">
        <v>8107</v>
      </c>
      <c r="B21427" s="0" t="str">
        <f aca="false">HYPERLINK("https://lindat.mff.cuni.cz/services/teitok/pdtc10/index.php?action=vallex&amp;frame=v-w2691f1", "odeslat (v-w2691f1)")</f>
        <v>odeslat (v-w2691f1)</v>
      </c>
    </row>
    <row r="21428" customFormat="false" ht="12.8" hidden="false" customHeight="false" outlineLevel="0" collapsed="false">
      <c r="B21428" s="0" t="s">
        <v>7</v>
      </c>
      <c r="C21428" s="0" t="s">
        <v>1263</v>
      </c>
      <c r="D21428" s="0" t="s">
        <v>1630</v>
      </c>
      <c r="E21428" s="0" t="s">
        <v>1630</v>
      </c>
      <c r="F21428" s="0" t="s">
        <v>1630</v>
      </c>
    </row>
    <row r="21429" customFormat="false" ht="12.8" hidden="false" customHeight="false" outlineLevel="0" collapsed="false">
      <c r="B21429" s="0" t="s">
        <v>14</v>
      </c>
      <c r="C21429" s="0" t="s">
        <v>624</v>
      </c>
      <c r="D21429" s="0" t="s">
        <v>1632</v>
      </c>
      <c r="E21429" s="0" t="s">
        <v>1632</v>
      </c>
      <c r="F21429" s="0" t="s">
        <v>1632</v>
      </c>
    </row>
    <row r="21430" customFormat="false" ht="12.8" hidden="false" customHeight="false" outlineLevel="0" collapsed="false">
      <c r="B21430" s="0" t="s">
        <v>124</v>
      </c>
      <c r="C21430" s="0" t="s">
        <v>8108</v>
      </c>
      <c r="D21430" s="0" t="s">
        <v>2165</v>
      </c>
      <c r="E21430" s="0" t="s">
        <v>2165</v>
      </c>
      <c r="F21430" s="0" t="s">
        <v>2165</v>
      </c>
    </row>
    <row r="21432" customFormat="false" ht="12.8" hidden="false" customHeight="false" outlineLevel="0" collapsed="false">
      <c r="A21432" s="0" t="s">
        <v>8109</v>
      </c>
      <c r="B21432" s="0" t="str">
        <f aca="false">HYPERLINK("https://lindat.mff.cuni.cz/services/teitok/pdtc10/index.php?action=vallex&amp;frame=v-whsa_766hsa_767", "odesílat (v-whsa_766hsa_767)")</f>
        <v>odesílat (v-whsa_766hsa_767)</v>
      </c>
    </row>
    <row r="21433" customFormat="false" ht="12.8" hidden="false" customHeight="false" outlineLevel="0" collapsed="false">
      <c r="B21433" s="0" t="s">
        <v>7</v>
      </c>
    </row>
    <row r="21434" customFormat="false" ht="12.8" hidden="false" customHeight="false" outlineLevel="0" collapsed="false">
      <c r="B21434" s="0" t="s">
        <v>14</v>
      </c>
    </row>
    <row r="21435" customFormat="false" ht="12.8" hidden="false" customHeight="false" outlineLevel="0" collapsed="false">
      <c r="B21435" s="0" t="s">
        <v>48</v>
      </c>
    </row>
    <row r="21437" customFormat="false" ht="12.8" hidden="false" customHeight="false" outlineLevel="0" collapsed="false">
      <c r="A21437" s="0" t="s">
        <v>8110</v>
      </c>
      <c r="B21437" s="0" t="str">
        <f aca="false">HYPERLINK("https://lindat.mff.cuni.cz/services/teitok/pdtc10/index.php?action=vallex&amp;frame=v-w2694f1", "odevzdat (v-w2694f1)")</f>
        <v>odevzdat (v-w2694f1)</v>
      </c>
    </row>
    <row r="21438" customFormat="false" ht="12.8" hidden="false" customHeight="false" outlineLevel="0" collapsed="false">
      <c r="B21438" s="0" t="s">
        <v>7</v>
      </c>
      <c r="C21438" s="0" t="s">
        <v>8111</v>
      </c>
      <c r="E21438" s="0" t="s">
        <v>4349</v>
      </c>
      <c r="F21438" s="0" t="s">
        <v>4349</v>
      </c>
    </row>
    <row r="21439" customFormat="false" ht="12.8" hidden="false" customHeight="false" outlineLevel="0" collapsed="false">
      <c r="B21439" s="0" t="s">
        <v>14</v>
      </c>
      <c r="C21439" s="0" t="s">
        <v>4163</v>
      </c>
      <c r="E21439" s="0" t="s">
        <v>8112</v>
      </c>
      <c r="F21439" s="0" t="s">
        <v>8112</v>
      </c>
    </row>
    <row r="21440" customFormat="false" ht="12.8" hidden="false" customHeight="false" outlineLevel="0" collapsed="false">
      <c r="B21440" s="0" t="s">
        <v>48</v>
      </c>
      <c r="C21440" s="0" t="s">
        <v>1165</v>
      </c>
      <c r="E21440" s="0" t="s">
        <v>8113</v>
      </c>
      <c r="F21440" s="0" t="s">
        <v>8113</v>
      </c>
    </row>
    <row r="21442" customFormat="false" ht="12.8" hidden="false" customHeight="false" outlineLevel="0" collapsed="false">
      <c r="A21442" s="0" t="s">
        <v>8114</v>
      </c>
      <c r="B21442" s="0" t="str">
        <f aca="false">HYPERLINK("https://lindat.mff.cuni.cz/services/teitok/pdtc10/index.php?action=vallex&amp;frame=v-w2694f2", "odevzdat (v-w2694f2)")</f>
        <v>odevzdat (v-w2694f2)</v>
      </c>
    </row>
    <row r="21443" customFormat="false" ht="12.8" hidden="false" customHeight="false" outlineLevel="0" collapsed="false">
      <c r="B21443" s="0" t="s">
        <v>7</v>
      </c>
    </row>
    <row r="21444" customFormat="false" ht="12.8" hidden="false" customHeight="false" outlineLevel="0" collapsed="false">
      <c r="B21444" s="0" t="s">
        <v>14</v>
      </c>
    </row>
    <row r="21445" customFormat="false" ht="12.8" hidden="false" customHeight="false" outlineLevel="0" collapsed="false">
      <c r="B21445" s="0" t="s">
        <v>11</v>
      </c>
    </row>
    <row r="21447" customFormat="false" ht="12.8" hidden="false" customHeight="false" outlineLevel="0" collapsed="false">
      <c r="A21447" s="0" t="s">
        <v>8115</v>
      </c>
      <c r="B21447" s="0" t="str">
        <f aca="false">HYPERLINK("https://lindat.mff.cuni.cz/services/teitok/pdtc10/index.php?action=vallex&amp;frame=v-w2694f3", "odevzdat (v-w2694f3)")</f>
        <v>odevzdat (v-w2694f3)</v>
      </c>
    </row>
    <row r="21448" customFormat="false" ht="12.8" hidden="false" customHeight="false" outlineLevel="0" collapsed="false">
      <c r="B21448" s="0" t="s">
        <v>7</v>
      </c>
      <c r="E21448" s="0" t="s">
        <v>4161</v>
      </c>
      <c r="F21448" s="0" t="s">
        <v>4161</v>
      </c>
    </row>
    <row r="21449" customFormat="false" ht="12.8" hidden="false" customHeight="false" outlineLevel="0" collapsed="false">
      <c r="B21449" s="0" t="s">
        <v>14</v>
      </c>
      <c r="E21449" s="0" t="s">
        <v>8116</v>
      </c>
      <c r="F21449" s="0" t="s">
        <v>8116</v>
      </c>
    </row>
    <row r="21450" customFormat="false" ht="12.8" hidden="false" customHeight="false" outlineLevel="0" collapsed="false">
      <c r="B21450" s="0" t="s">
        <v>124</v>
      </c>
      <c r="E21450" s="0" t="s">
        <v>8117</v>
      </c>
      <c r="F21450" s="0" t="s">
        <v>8117</v>
      </c>
    </row>
    <row r="21452" customFormat="false" ht="12.8" hidden="false" customHeight="false" outlineLevel="0" collapsed="false">
      <c r="A21452" s="0" t="s">
        <v>8118</v>
      </c>
      <c r="B21452" s="0" t="str">
        <f aca="false">HYPERLINK("https://lindat.mff.cuni.cz/services/teitok/pdtc10/index.php?action=vallex&amp;frame=v-w2696f1", "odevzdávat (v-w2696f1)")</f>
        <v>odevzdávat (v-w2696f1)</v>
      </c>
    </row>
    <row r="21453" customFormat="false" ht="12.8" hidden="false" customHeight="false" outlineLevel="0" collapsed="false">
      <c r="B21453" s="0" t="s">
        <v>7</v>
      </c>
      <c r="D21453" s="0" t="s">
        <v>7173</v>
      </c>
      <c r="E21453" s="0" t="s">
        <v>4349</v>
      </c>
      <c r="F21453" s="0" t="s">
        <v>4349</v>
      </c>
    </row>
    <row r="21454" customFormat="false" ht="12.8" hidden="false" customHeight="false" outlineLevel="0" collapsed="false">
      <c r="B21454" s="0" t="s">
        <v>14</v>
      </c>
      <c r="D21454" s="0" t="s">
        <v>8119</v>
      </c>
      <c r="E21454" s="0" t="s">
        <v>8112</v>
      </c>
      <c r="F21454" s="0" t="s">
        <v>8112</v>
      </c>
    </row>
    <row r="21455" customFormat="false" ht="12.8" hidden="false" customHeight="false" outlineLevel="0" collapsed="false">
      <c r="B21455" s="0" t="s">
        <v>48</v>
      </c>
      <c r="D21455" s="0" t="s">
        <v>8120</v>
      </c>
      <c r="E21455" s="0" t="s">
        <v>8113</v>
      </c>
      <c r="F21455" s="0" t="s">
        <v>8113</v>
      </c>
    </row>
    <row r="21457" customFormat="false" ht="12.8" hidden="false" customHeight="false" outlineLevel="0" collapsed="false">
      <c r="A21457" s="0" t="s">
        <v>8121</v>
      </c>
      <c r="B21457" s="0" t="str">
        <f aca="false">HYPERLINK("https://lindat.mff.cuni.cz/services/teitok/pdtc10/index.php?action=vallex&amp;frame=v-w2696f3", "odevzdávat (v-w2696f3)")</f>
        <v>odevzdávat (v-w2696f3)</v>
      </c>
    </row>
    <row r="21458" customFormat="false" ht="12.8" hidden="false" customHeight="false" outlineLevel="0" collapsed="false">
      <c r="B21458" s="0" t="s">
        <v>7</v>
      </c>
    </row>
    <row r="21459" customFormat="false" ht="12.8" hidden="false" customHeight="false" outlineLevel="0" collapsed="false">
      <c r="B21459" s="0" t="s">
        <v>14</v>
      </c>
    </row>
    <row r="21460" customFormat="false" ht="12.8" hidden="false" customHeight="false" outlineLevel="0" collapsed="false">
      <c r="B21460" s="0" t="s">
        <v>11</v>
      </c>
    </row>
    <row r="21462" customFormat="false" ht="12.8" hidden="false" customHeight="false" outlineLevel="0" collapsed="false">
      <c r="A21462" s="0" t="s">
        <v>8122</v>
      </c>
      <c r="B21462" s="0" t="str">
        <f aca="false">HYPERLINK("https://lindat.mff.cuni.cz/services/teitok/pdtc10/index.php?action=vallex&amp;frame=v-w2696f2", "odevzdávat (v-w2696f2)")</f>
        <v>odevzdávat (v-w2696f2)</v>
      </c>
    </row>
    <row r="21463" customFormat="false" ht="12.8" hidden="false" customHeight="false" outlineLevel="0" collapsed="false">
      <c r="B21463" s="0" t="s">
        <v>7</v>
      </c>
      <c r="D21463" s="0" t="s">
        <v>4960</v>
      </c>
      <c r="E21463" s="0" t="s">
        <v>4161</v>
      </c>
      <c r="F21463" s="0" t="s">
        <v>4161</v>
      </c>
    </row>
    <row r="21464" customFormat="false" ht="12.8" hidden="false" customHeight="false" outlineLevel="0" collapsed="false">
      <c r="B21464" s="0" t="s">
        <v>14</v>
      </c>
      <c r="D21464" s="0" t="s">
        <v>8123</v>
      </c>
      <c r="E21464" s="0" t="s">
        <v>8116</v>
      </c>
      <c r="F21464" s="0" t="s">
        <v>8116</v>
      </c>
    </row>
    <row r="21465" customFormat="false" ht="12.8" hidden="false" customHeight="false" outlineLevel="0" collapsed="false">
      <c r="B21465" s="0" t="s">
        <v>124</v>
      </c>
      <c r="D21465" s="0" t="s">
        <v>8124</v>
      </c>
      <c r="E21465" s="0" t="s">
        <v>8117</v>
      </c>
      <c r="F21465" s="0" t="s">
        <v>8117</v>
      </c>
    </row>
    <row r="21467" customFormat="false" ht="12.8" hidden="false" customHeight="false" outlineLevel="0" collapsed="false">
      <c r="A21467" s="0" t="s">
        <v>8125</v>
      </c>
      <c r="B21467" s="0" t="str">
        <f aca="false">HYPERLINK("https://lindat.mff.cuni.cz/services/teitok/pdtc10/index.php?action=vallex&amp;frame=v-w2698f1", "odeznít (v-w2698f1)")</f>
        <v>odeznít (v-w2698f1)</v>
      </c>
    </row>
    <row r="21468" customFormat="false" ht="12.8" hidden="false" customHeight="false" outlineLevel="0" collapsed="false">
      <c r="B21468" s="0" t="s">
        <v>7</v>
      </c>
      <c r="C21468" s="0" t="s">
        <v>8126</v>
      </c>
      <c r="D21468" s="0" t="s">
        <v>3676</v>
      </c>
      <c r="E21468" s="0" t="s">
        <v>3676</v>
      </c>
      <c r="F21468" s="0" t="s">
        <v>3676</v>
      </c>
    </row>
    <row r="21470" customFormat="false" ht="12.8" hidden="false" customHeight="false" outlineLevel="0" collapsed="false">
      <c r="A21470" s="0" t="s">
        <v>8127</v>
      </c>
      <c r="B21470" s="0" t="str">
        <f aca="false">HYPERLINK("https://lindat.mff.cuni.cz/services/teitok/pdtc10/index.php?action=vallex&amp;frame=v-whsa_1572hsa_1573", "odeznívat (v-whsa_1572hsa_1573)")</f>
        <v>odeznívat (v-whsa_1572hsa_1573)</v>
      </c>
    </row>
    <row r="21471" customFormat="false" ht="12.8" hidden="false" customHeight="false" outlineLevel="0" collapsed="false">
      <c r="B21471" s="0" t="s">
        <v>7</v>
      </c>
    </row>
    <row r="21473" customFormat="false" ht="12.8" hidden="false" customHeight="false" outlineLevel="0" collapsed="false">
      <c r="A21473" s="0" t="s">
        <v>8128</v>
      </c>
      <c r="B21473" s="0" t="str">
        <f aca="false">HYPERLINK("https://lindat.mff.cuni.cz/services/teitok/pdtc10/index.php?action=vallex&amp;frame=v-w2675f1", "odečíst (v-w2675f1)")</f>
        <v>odečíst (v-w2675f1)</v>
      </c>
    </row>
    <row r="21474" customFormat="false" ht="12.8" hidden="false" customHeight="false" outlineLevel="0" collapsed="false">
      <c r="B21474" s="0" t="s">
        <v>7</v>
      </c>
      <c r="C21474" s="0" t="s">
        <v>8129</v>
      </c>
      <c r="D21474" s="0" t="s">
        <v>4976</v>
      </c>
      <c r="E21474" s="0" t="s">
        <v>4976</v>
      </c>
      <c r="F21474" s="0" t="s">
        <v>4976</v>
      </c>
    </row>
    <row r="21475" customFormat="false" ht="12.8" hidden="false" customHeight="false" outlineLevel="0" collapsed="false">
      <c r="B21475" s="0" t="s">
        <v>14</v>
      </c>
      <c r="C21475" s="0" t="s">
        <v>6860</v>
      </c>
      <c r="D21475" s="0" t="s">
        <v>487</v>
      </c>
      <c r="E21475" s="0" t="s">
        <v>487</v>
      </c>
      <c r="F21475" s="0" t="s">
        <v>487</v>
      </c>
    </row>
    <row r="21476" customFormat="false" ht="12.8" hidden="false" customHeight="false" outlineLevel="0" collapsed="false">
      <c r="B21476" s="0" t="s">
        <v>459</v>
      </c>
    </row>
    <row r="21478" customFormat="false" ht="12.8" hidden="false" customHeight="false" outlineLevel="0" collapsed="false">
      <c r="A21478" s="0" t="s">
        <v>8130</v>
      </c>
      <c r="B21478" s="0" t="str">
        <f aca="false">HYPERLINK("https://lindat.mff.cuni.cz/services/teitok/pdtc10/index.php?action=vallex&amp;frame=v-w2677f1", "odečítat (v-w2677f1)")</f>
        <v>odečítat (v-w2677f1)</v>
      </c>
    </row>
    <row r="21479" customFormat="false" ht="12.8" hidden="false" customHeight="false" outlineLevel="0" collapsed="false">
      <c r="B21479" s="0" t="s">
        <v>7</v>
      </c>
      <c r="C21479" s="0" t="s">
        <v>8131</v>
      </c>
      <c r="D21479" s="0" t="s">
        <v>4976</v>
      </c>
      <c r="E21479" s="0" t="s">
        <v>4976</v>
      </c>
      <c r="F21479" s="0" t="s">
        <v>4976</v>
      </c>
    </row>
    <row r="21480" customFormat="false" ht="12.8" hidden="false" customHeight="false" outlineLevel="0" collapsed="false">
      <c r="B21480" s="0" t="s">
        <v>14</v>
      </c>
      <c r="C21480" s="0" t="s">
        <v>2641</v>
      </c>
      <c r="D21480" s="0" t="s">
        <v>487</v>
      </c>
      <c r="E21480" s="0" t="s">
        <v>487</v>
      </c>
      <c r="F21480" s="0" t="s">
        <v>487</v>
      </c>
    </row>
    <row r="21481" customFormat="false" ht="12.8" hidden="false" customHeight="false" outlineLevel="0" collapsed="false">
      <c r="B21481" s="0" t="s">
        <v>459</v>
      </c>
    </row>
    <row r="21483" customFormat="false" ht="12.8" hidden="false" customHeight="false" outlineLevel="0" collapsed="false">
      <c r="A21483" s="0" t="s">
        <v>8132</v>
      </c>
      <c r="B21483" s="0" t="str">
        <f aca="false">HYPERLINK("https://lindat.mff.cuni.cz/services/teitok/pdtc10/index.php?action=vallex&amp;frame=v-w2677f2", "odečítat (v-w2677f2)")</f>
        <v>odečítat (v-w2677f2)</v>
      </c>
    </row>
    <row r="21484" customFormat="false" ht="12.8" hidden="false" customHeight="false" outlineLevel="0" collapsed="false">
      <c r="B21484" s="0" t="s">
        <v>7</v>
      </c>
      <c r="C21484" s="0" t="s">
        <v>2668</v>
      </c>
    </row>
    <row r="21485" customFormat="false" ht="12.8" hidden="false" customHeight="false" outlineLevel="0" collapsed="false">
      <c r="B21485" s="0" t="s">
        <v>459</v>
      </c>
      <c r="C21485" s="0" t="s">
        <v>8133</v>
      </c>
    </row>
    <row r="21487" customFormat="false" ht="12.8" hidden="false" customHeight="false" outlineLevel="0" collapsed="false">
      <c r="A21487" s="0" t="s">
        <v>8134</v>
      </c>
      <c r="B21487" s="0" t="str">
        <f aca="false">HYPERLINK("https://lindat.mff.cuni.cz/services/teitok/pdtc10/index.php?action=vallex&amp;frame=v-w11741_ZUf1_ZU", "odfouknout (v-w11741_ZUf1_ZU)")</f>
        <v>odfouknout (v-w11741_ZUf1_ZU)</v>
      </c>
    </row>
    <row r="21488" customFormat="false" ht="12.8" hidden="false" customHeight="false" outlineLevel="0" collapsed="false">
      <c r="B21488" s="0" t="s">
        <v>7</v>
      </c>
    </row>
    <row r="21489" customFormat="false" ht="12.8" hidden="false" customHeight="false" outlineLevel="0" collapsed="false">
      <c r="B21489" s="0" t="s">
        <v>14</v>
      </c>
    </row>
    <row r="21490" customFormat="false" ht="12.8" hidden="false" customHeight="false" outlineLevel="0" collapsed="false">
      <c r="B21490" s="0" t="s">
        <v>5382</v>
      </c>
    </row>
    <row r="21492" customFormat="false" ht="12.8" hidden="false" customHeight="false" outlineLevel="0" collapsed="false">
      <c r="A21492" s="0" t="s">
        <v>8135</v>
      </c>
      <c r="B21492" s="0" t="str">
        <f aca="false">HYPERLINK("https://lindat.mff.cuni.cz/services/teitok/pdtc10/index.php?action=vallex&amp;frame=v-w11379f1", "odfrknout si (v-w11379f1)")</f>
        <v>odfrknout si (v-w11379f1)</v>
      </c>
    </row>
    <row r="21493" customFormat="false" ht="12.8" hidden="false" customHeight="false" outlineLevel="0" collapsed="false">
      <c r="B21493" s="0" t="s">
        <v>7</v>
      </c>
      <c r="C21493" s="0" t="s">
        <v>46</v>
      </c>
      <c r="D21493" s="0" t="s">
        <v>184</v>
      </c>
      <c r="E21493" s="0" t="s">
        <v>184</v>
      </c>
      <c r="F21493" s="0" t="s">
        <v>184</v>
      </c>
    </row>
    <row r="21494" customFormat="false" ht="12.8" hidden="false" customHeight="false" outlineLevel="0" collapsed="false">
      <c r="B21494" s="0" t="s">
        <v>1123</v>
      </c>
      <c r="C21494" s="0" t="s">
        <v>567</v>
      </c>
      <c r="D21494" s="0" t="s">
        <v>115</v>
      </c>
      <c r="E21494" s="0" t="s">
        <v>115</v>
      </c>
      <c r="F21494" s="0" t="s">
        <v>115</v>
      </c>
    </row>
    <row r="21496" customFormat="false" ht="12.8" hidden="false" customHeight="false" outlineLevel="0" collapsed="false">
      <c r="A21496" s="0" t="s">
        <v>8136</v>
      </c>
      <c r="B21496" s="0" t="str">
        <f aca="false">HYPERLINK("https://lindat.mff.cuni.cz/services/teitok/pdtc10/index.php?action=vallex&amp;frame=v-w2701f2", "odhadnout (v-w2701f2)")</f>
        <v>odhadnout (v-w2701f2)</v>
      </c>
    </row>
    <row r="21497" customFormat="false" ht="12.8" hidden="false" customHeight="false" outlineLevel="0" collapsed="false">
      <c r="B21497" s="0" t="s">
        <v>7</v>
      </c>
      <c r="C21497" s="0" t="s">
        <v>8137</v>
      </c>
      <c r="D21497" s="0" t="s">
        <v>8138</v>
      </c>
      <c r="E21497" s="0" t="s">
        <v>8138</v>
      </c>
      <c r="F21497" s="0" t="s">
        <v>8138</v>
      </c>
    </row>
    <row r="21498" customFormat="false" ht="12.8" hidden="false" customHeight="false" outlineLevel="0" collapsed="false">
      <c r="B21498" s="0" t="s">
        <v>54</v>
      </c>
      <c r="C21498" s="0" t="s">
        <v>8139</v>
      </c>
      <c r="D21498" s="0" t="s">
        <v>8140</v>
      </c>
      <c r="E21498" s="0" t="s">
        <v>8140</v>
      </c>
      <c r="F21498" s="0" t="s">
        <v>8140</v>
      </c>
    </row>
    <row r="21499" customFormat="false" ht="12.8" hidden="false" customHeight="false" outlineLevel="0" collapsed="false">
      <c r="B21499" s="0" t="s">
        <v>37</v>
      </c>
      <c r="C21499" s="0" t="s">
        <v>8141</v>
      </c>
      <c r="D21499" s="0" t="s">
        <v>1139</v>
      </c>
      <c r="E21499" s="0" t="s">
        <v>1139</v>
      </c>
      <c r="F21499" s="0" t="s">
        <v>1139</v>
      </c>
    </row>
    <row r="21501" customFormat="false" ht="12.8" hidden="false" customHeight="false" outlineLevel="0" collapsed="false">
      <c r="A21501" s="0" t="s">
        <v>8142</v>
      </c>
      <c r="B21501" s="0" t="str">
        <f aca="false">HYPERLINK("https://lindat.mff.cuni.cz/services/teitok/pdtc10/index.php?action=vallex&amp;frame=v-w2701f1", "odhadnout (v-w2701f1)")</f>
        <v>odhadnout (v-w2701f1)</v>
      </c>
    </row>
    <row r="21502" customFormat="false" ht="12.8" hidden="false" customHeight="false" outlineLevel="0" collapsed="false">
      <c r="B21502" s="0" t="s">
        <v>7</v>
      </c>
      <c r="C21502" s="0" t="s">
        <v>8143</v>
      </c>
      <c r="D21502" s="0" t="s">
        <v>2266</v>
      </c>
      <c r="E21502" s="0" t="s">
        <v>2266</v>
      </c>
      <c r="F21502" s="0" t="s">
        <v>2266</v>
      </c>
    </row>
    <row r="21503" customFormat="false" ht="12.8" hidden="false" customHeight="false" outlineLevel="0" collapsed="false">
      <c r="B21503" s="0" t="s">
        <v>8144</v>
      </c>
      <c r="C21503" s="0" t="s">
        <v>8145</v>
      </c>
      <c r="D21503" s="0" t="s">
        <v>4118</v>
      </c>
      <c r="E21503" s="0" t="s">
        <v>4118</v>
      </c>
      <c r="F21503" s="0" t="s">
        <v>4118</v>
      </c>
    </row>
    <row r="21505" customFormat="false" ht="12.8" hidden="false" customHeight="false" outlineLevel="0" collapsed="false">
      <c r="A21505" s="0" t="s">
        <v>8146</v>
      </c>
      <c r="B21505" s="0" t="str">
        <f aca="false">HYPERLINK("https://lindat.mff.cuni.cz/services/teitok/pdtc10/index.php?action=vallex&amp;frame=v-w2702f2", "odhadovat (v-w2702f2)")</f>
        <v>odhadovat (v-w2702f2)</v>
      </c>
    </row>
    <row r="21506" customFormat="false" ht="12.8" hidden="false" customHeight="false" outlineLevel="0" collapsed="false">
      <c r="B21506" s="0" t="s">
        <v>7</v>
      </c>
      <c r="C21506" s="0" t="s">
        <v>8147</v>
      </c>
      <c r="D21506" s="0" t="s">
        <v>8138</v>
      </c>
      <c r="E21506" s="0" t="s">
        <v>8138</v>
      </c>
      <c r="F21506" s="0" t="s">
        <v>8138</v>
      </c>
    </row>
    <row r="21507" customFormat="false" ht="12.8" hidden="false" customHeight="false" outlineLevel="0" collapsed="false">
      <c r="B21507" s="0" t="s">
        <v>14</v>
      </c>
      <c r="C21507" s="0" t="s">
        <v>8148</v>
      </c>
      <c r="D21507" s="0" t="s">
        <v>8140</v>
      </c>
      <c r="E21507" s="0" t="s">
        <v>8140</v>
      </c>
      <c r="F21507" s="0" t="s">
        <v>8140</v>
      </c>
    </row>
    <row r="21508" customFormat="false" ht="12.8" hidden="false" customHeight="false" outlineLevel="0" collapsed="false">
      <c r="B21508" s="0" t="s">
        <v>84</v>
      </c>
      <c r="C21508" s="0" t="s">
        <v>8149</v>
      </c>
      <c r="D21508" s="0" t="s">
        <v>1139</v>
      </c>
      <c r="E21508" s="0" t="s">
        <v>1139</v>
      </c>
      <c r="F21508" s="0" t="s">
        <v>1139</v>
      </c>
    </row>
    <row r="21510" customFormat="false" ht="12.8" hidden="false" customHeight="false" outlineLevel="0" collapsed="false">
      <c r="A21510" s="0" t="s">
        <v>8150</v>
      </c>
      <c r="B21510" s="0" t="str">
        <f aca="false">HYPERLINK("https://lindat.mff.cuni.cz/services/teitok/pdtc10/index.php?action=vallex&amp;frame=v-w2702f1", "odhadovat (v-w2702f1)")</f>
        <v>odhadovat (v-w2702f1)</v>
      </c>
    </row>
    <row r="21511" customFormat="false" ht="12.8" hidden="false" customHeight="false" outlineLevel="0" collapsed="false">
      <c r="B21511" s="0" t="s">
        <v>7</v>
      </c>
      <c r="C21511" s="0" t="s">
        <v>8151</v>
      </c>
      <c r="D21511" s="0" t="s">
        <v>2266</v>
      </c>
      <c r="E21511" s="0" t="s">
        <v>2266</v>
      </c>
      <c r="F21511" s="0" t="s">
        <v>2266</v>
      </c>
    </row>
    <row r="21512" customFormat="false" ht="12.8" hidden="false" customHeight="false" outlineLevel="0" collapsed="false">
      <c r="B21512" s="0" t="s">
        <v>1520</v>
      </c>
      <c r="C21512" s="0" t="s">
        <v>8152</v>
      </c>
      <c r="D21512" s="0" t="s">
        <v>4118</v>
      </c>
      <c r="E21512" s="0" t="s">
        <v>4118</v>
      </c>
      <c r="F21512" s="0" t="s">
        <v>4118</v>
      </c>
    </row>
    <row r="21514" customFormat="false" ht="12.8" hidden="false" customHeight="false" outlineLevel="0" collapsed="false">
      <c r="A21514" s="0" t="s">
        <v>8153</v>
      </c>
      <c r="B21514" s="0" t="str">
        <f aca="false">HYPERLINK("https://lindat.mff.cuni.cz/services/teitok/pdtc10/index.php?action=vallex&amp;frame=v-w2704f1", "odhalit (v-w2704f1)")</f>
        <v>odhalit (v-w2704f1)</v>
      </c>
    </row>
    <row r="21515" customFormat="false" ht="12.8" hidden="false" customHeight="false" outlineLevel="0" collapsed="false">
      <c r="B21515" s="0" t="s">
        <v>7</v>
      </c>
      <c r="C21515" s="0" t="s">
        <v>8154</v>
      </c>
      <c r="D21515" s="0" t="s">
        <v>8155</v>
      </c>
      <c r="E21515" s="0" t="s">
        <v>8156</v>
      </c>
      <c r="F21515" s="0" t="s">
        <v>8156</v>
      </c>
    </row>
    <row r="21516" customFormat="false" ht="12.8" hidden="false" customHeight="false" outlineLevel="0" collapsed="false">
      <c r="B21516" s="0" t="s">
        <v>172</v>
      </c>
      <c r="C21516" s="0" t="s">
        <v>8157</v>
      </c>
      <c r="D21516" s="0" t="s">
        <v>8158</v>
      </c>
      <c r="E21516" s="0" t="s">
        <v>8159</v>
      </c>
      <c r="F21516" s="0" t="s">
        <v>8159</v>
      </c>
    </row>
    <row r="21518" customFormat="false" ht="12.8" hidden="false" customHeight="false" outlineLevel="0" collapsed="false">
      <c r="A21518" s="0" t="s">
        <v>8160</v>
      </c>
      <c r="B21518" s="0" t="str">
        <f aca="false">HYPERLINK("https://lindat.mff.cuni.cz/services/teitok/pdtc10/index.php?action=vallex&amp;frame=v-w2704f2", "odhalit (v-w2704f2)")</f>
        <v>odhalit (v-w2704f2)</v>
      </c>
    </row>
    <row r="21519" customFormat="false" ht="12.8" hidden="false" customHeight="false" outlineLevel="0" collapsed="false">
      <c r="B21519" s="0" t="s">
        <v>7</v>
      </c>
      <c r="C21519" s="0" t="s">
        <v>126</v>
      </c>
    </row>
    <row r="21520" customFormat="false" ht="12.8" hidden="false" customHeight="false" outlineLevel="0" collapsed="false">
      <c r="B21520" s="0" t="s">
        <v>14</v>
      </c>
      <c r="C21520" s="0" t="s">
        <v>110</v>
      </c>
    </row>
    <row r="21522" customFormat="false" ht="12.8" hidden="false" customHeight="false" outlineLevel="0" collapsed="false">
      <c r="A21522" s="0" t="s">
        <v>8161</v>
      </c>
      <c r="B21522" s="0" t="str">
        <f aca="false">HYPERLINK("https://lindat.mff.cuni.cz/services/teitok/pdtc10/index.php?action=vallex&amp;frame=v-w2706f1", "odhalovat (v-w2706f1)")</f>
        <v>odhalovat (v-w2706f1)</v>
      </c>
    </row>
    <row r="21523" customFormat="false" ht="12.8" hidden="false" customHeight="false" outlineLevel="0" collapsed="false">
      <c r="B21523" s="0" t="s">
        <v>7</v>
      </c>
      <c r="C21523" s="0" t="s">
        <v>3610</v>
      </c>
      <c r="D21523" s="0" t="s">
        <v>3243</v>
      </c>
      <c r="E21523" s="0" t="s">
        <v>3243</v>
      </c>
      <c r="F21523" s="0" t="s">
        <v>3243</v>
      </c>
    </row>
    <row r="21524" customFormat="false" ht="12.8" hidden="false" customHeight="false" outlineLevel="0" collapsed="false">
      <c r="B21524" s="0" t="s">
        <v>8144</v>
      </c>
      <c r="C21524" s="0" t="s">
        <v>4884</v>
      </c>
      <c r="D21524" s="0" t="s">
        <v>4158</v>
      </c>
      <c r="E21524" s="0" t="s">
        <v>4158</v>
      </c>
      <c r="F21524" s="0" t="s">
        <v>4158</v>
      </c>
    </row>
    <row r="21526" customFormat="false" ht="12.8" hidden="false" customHeight="false" outlineLevel="0" collapsed="false">
      <c r="A21526" s="0" t="s">
        <v>8162</v>
      </c>
      <c r="B21526" s="0" t="str">
        <f aca="false">HYPERLINK("https://lindat.mff.cuni.cz/services/teitok/pdtc10/index.php?action=vallex&amp;frame=v-w2706f2", "odhalovat (v-w2706f2)")</f>
        <v>odhalovat (v-w2706f2)</v>
      </c>
    </row>
    <row r="21527" customFormat="false" ht="12.8" hidden="false" customHeight="false" outlineLevel="0" collapsed="false">
      <c r="B21527" s="0" t="s">
        <v>7</v>
      </c>
    </row>
    <row r="21528" customFormat="false" ht="12.8" hidden="false" customHeight="false" outlineLevel="0" collapsed="false">
      <c r="B21528" s="0" t="s">
        <v>14</v>
      </c>
    </row>
    <row r="21530" customFormat="false" ht="12.8" hidden="false" customHeight="false" outlineLevel="0" collapsed="false">
      <c r="A21530" s="0" t="s">
        <v>8163</v>
      </c>
      <c r="B21530" s="0" t="str">
        <f aca="false">HYPERLINK("https://lindat.mff.cuni.cz/services/teitok/pdtc10/index.php?action=vallex&amp;frame=v-w10497f2", "odhazovat (v-w10497f2)")</f>
        <v>odhazovat (v-w10497f2)</v>
      </c>
    </row>
    <row r="21531" customFormat="false" ht="12.8" hidden="false" customHeight="false" outlineLevel="0" collapsed="false">
      <c r="B21531" s="0" t="s">
        <v>7</v>
      </c>
      <c r="D21531" s="0" t="s">
        <v>194</v>
      </c>
      <c r="E21531" s="0" t="s">
        <v>194</v>
      </c>
      <c r="F21531" s="0" t="s">
        <v>194</v>
      </c>
    </row>
    <row r="21532" customFormat="false" ht="12.8" hidden="false" customHeight="false" outlineLevel="0" collapsed="false">
      <c r="B21532" s="0" t="s">
        <v>14</v>
      </c>
      <c r="D21532" s="0" t="s">
        <v>110</v>
      </c>
      <c r="E21532" s="0" t="s">
        <v>110</v>
      </c>
      <c r="F21532" s="0" t="s">
        <v>110</v>
      </c>
    </row>
    <row r="21534" customFormat="false" ht="12.8" hidden="false" customHeight="false" outlineLevel="0" collapsed="false">
      <c r="A21534" s="0" t="s">
        <v>8164</v>
      </c>
      <c r="B21534" s="0" t="str">
        <f aca="false">HYPERLINK("https://lindat.mff.cuni.cz/services/teitok/pdtc10/index.php?action=vallex&amp;frame=v-w2709f1", "odhlasovat (v-w2709f1)")</f>
        <v>odhlasovat (v-w2709f1)</v>
      </c>
    </row>
    <row r="21535" customFormat="false" ht="12.8" hidden="false" customHeight="false" outlineLevel="0" collapsed="false">
      <c r="B21535" s="0" t="s">
        <v>7</v>
      </c>
      <c r="C21535" s="0" t="s">
        <v>3778</v>
      </c>
      <c r="D21535" s="0" t="s">
        <v>3778</v>
      </c>
      <c r="E21535" s="0" t="s">
        <v>3778</v>
      </c>
      <c r="F21535" s="0" t="s">
        <v>3778</v>
      </c>
    </row>
    <row r="21536" customFormat="false" ht="12.8" hidden="false" customHeight="false" outlineLevel="0" collapsed="false">
      <c r="B21536" s="0" t="s">
        <v>165</v>
      </c>
      <c r="C21536" s="0" t="s">
        <v>1168</v>
      </c>
      <c r="D21536" s="0" t="s">
        <v>1168</v>
      </c>
      <c r="E21536" s="0" t="s">
        <v>1168</v>
      </c>
      <c r="F21536" s="0" t="s">
        <v>1168</v>
      </c>
    </row>
    <row r="21538" customFormat="false" ht="12.8" hidden="false" customHeight="false" outlineLevel="0" collapsed="false">
      <c r="A21538" s="0" t="s">
        <v>8165</v>
      </c>
      <c r="B21538" s="0" t="str">
        <f aca="false">HYPERLINK("https://lindat.mff.cuni.cz/services/teitok/pdtc10/index.php?action=vallex&amp;frame=v-w2708f1", "odhlásit (v-w2708f1)")</f>
        <v>odhlásit (v-w2708f1)</v>
      </c>
    </row>
    <row r="21539" customFormat="false" ht="12.8" hidden="false" customHeight="false" outlineLevel="0" collapsed="false">
      <c r="B21539" s="0" t="s">
        <v>7</v>
      </c>
    </row>
    <row r="21540" customFormat="false" ht="12.8" hidden="false" customHeight="false" outlineLevel="0" collapsed="false">
      <c r="B21540" s="0" t="s">
        <v>14</v>
      </c>
    </row>
    <row r="21542" customFormat="false" ht="12.8" hidden="false" customHeight="false" outlineLevel="0" collapsed="false">
      <c r="A21542" s="0" t="s">
        <v>8166</v>
      </c>
      <c r="B21542" s="0" t="str">
        <f aca="false">HYPERLINK("https://lindat.mff.cuni.cz/services/teitok/pdtc10/index.php?action=vallex&amp;frame=v-w2712f1", "odhlédnout (v-w2712f1)")</f>
        <v>odhlédnout (v-w2712f1)</v>
      </c>
    </row>
    <row r="21543" customFormat="false" ht="12.8" hidden="false" customHeight="false" outlineLevel="0" collapsed="false">
      <c r="B21543" s="0" t="s">
        <v>7</v>
      </c>
      <c r="C21543" s="0" t="s">
        <v>1263</v>
      </c>
      <c r="D21543" s="0" t="s">
        <v>309</v>
      </c>
      <c r="E21543" s="0" t="s">
        <v>309</v>
      </c>
      <c r="F21543" s="0" t="s">
        <v>309</v>
      </c>
    </row>
    <row r="21544" customFormat="false" ht="12.8" hidden="false" customHeight="false" outlineLevel="0" collapsed="false">
      <c r="B21544" s="0" t="s">
        <v>28</v>
      </c>
      <c r="C21544" s="0" t="s">
        <v>1571</v>
      </c>
      <c r="D21544" s="0" t="s">
        <v>342</v>
      </c>
      <c r="E21544" s="0" t="s">
        <v>342</v>
      </c>
      <c r="F21544" s="0" t="s">
        <v>342</v>
      </c>
    </row>
    <row r="21546" customFormat="false" ht="12.8" hidden="false" customHeight="false" outlineLevel="0" collapsed="false">
      <c r="A21546" s="0" t="s">
        <v>8167</v>
      </c>
      <c r="B21546" s="0" t="str">
        <f aca="false">HYPERLINK("https://lindat.mff.cuni.cz/services/teitok/pdtc10/index.php?action=vallex&amp;frame=v-w10317f2", "odhlížet (v-w10317f2)")</f>
        <v>odhlížet (v-w10317f2)</v>
      </c>
    </row>
    <row r="21547" customFormat="false" ht="12.8" hidden="false" customHeight="false" outlineLevel="0" collapsed="false">
      <c r="B21547" s="0" t="s">
        <v>7</v>
      </c>
    </row>
    <row r="21548" customFormat="false" ht="12.8" hidden="false" customHeight="false" outlineLevel="0" collapsed="false">
      <c r="B21548" s="0" t="s">
        <v>28</v>
      </c>
    </row>
    <row r="21550" customFormat="false" ht="12.8" hidden="false" customHeight="false" outlineLevel="0" collapsed="false">
      <c r="A21550" s="0" t="s">
        <v>8168</v>
      </c>
      <c r="B21550" s="0" t="str">
        <f aca="false">HYPERLINK("https://lindat.mff.cuni.cz/services/teitok/pdtc10/index.php?action=vallex&amp;frame=v-w2713f1", "odhodit (v-w2713f1)")</f>
        <v>odhodit (v-w2713f1)</v>
      </c>
    </row>
    <row r="21551" customFormat="false" ht="12.8" hidden="false" customHeight="false" outlineLevel="0" collapsed="false">
      <c r="B21551" s="0" t="s">
        <v>7</v>
      </c>
      <c r="C21551" s="0" t="s">
        <v>1874</v>
      </c>
      <c r="D21551" s="0" t="s">
        <v>1567</v>
      </c>
      <c r="E21551" s="0" t="s">
        <v>1567</v>
      </c>
      <c r="F21551" s="0" t="s">
        <v>1567</v>
      </c>
    </row>
    <row r="21552" customFormat="false" ht="12.8" hidden="false" customHeight="false" outlineLevel="0" collapsed="false">
      <c r="B21552" s="0" t="s">
        <v>14</v>
      </c>
      <c r="C21552" s="0" t="s">
        <v>5444</v>
      </c>
      <c r="D21552" s="0" t="s">
        <v>1568</v>
      </c>
      <c r="E21552" s="0" t="s">
        <v>1568</v>
      </c>
      <c r="F21552" s="0" t="s">
        <v>1568</v>
      </c>
    </row>
    <row r="21554" customFormat="false" ht="12.8" hidden="false" customHeight="false" outlineLevel="0" collapsed="false">
      <c r="A21554" s="0" t="s">
        <v>8169</v>
      </c>
      <c r="B21554" s="0" t="str">
        <f aca="false">HYPERLINK("https://lindat.mff.cuni.cz/services/teitok/pdtc10/index.php?action=vallex&amp;frame=v-w2713f2", "odhodit (v-w2713f2)")</f>
        <v>odhodit (v-w2713f2)</v>
      </c>
    </row>
    <row r="21555" customFormat="false" ht="12.8" hidden="false" customHeight="false" outlineLevel="0" collapsed="false">
      <c r="B21555" s="0" t="s">
        <v>7</v>
      </c>
      <c r="D21555" s="0" t="s">
        <v>2560</v>
      </c>
      <c r="E21555" s="0" t="s">
        <v>2560</v>
      </c>
      <c r="F21555" s="0" t="s">
        <v>2560</v>
      </c>
    </row>
    <row r="21556" customFormat="false" ht="12.8" hidden="false" customHeight="false" outlineLevel="0" collapsed="false">
      <c r="B21556" s="0" t="s">
        <v>14</v>
      </c>
      <c r="C21556" s="0" t="s">
        <v>567</v>
      </c>
      <c r="D21556" s="0" t="s">
        <v>3883</v>
      </c>
      <c r="E21556" s="0" t="s">
        <v>3883</v>
      </c>
      <c r="F21556" s="0" t="s">
        <v>3883</v>
      </c>
    </row>
    <row r="21558" customFormat="false" ht="12.8" hidden="false" customHeight="false" outlineLevel="0" collapsed="false">
      <c r="A21558" s="0" t="s">
        <v>8170</v>
      </c>
      <c r="B21558" s="0" t="str">
        <f aca="false">HYPERLINK("https://lindat.mff.cuni.cz/services/teitok/pdtc10/index.php?action=vallex&amp;frame=v-w2716f1", "odhodlat se (v-w2716f1)")</f>
        <v>odhodlat se (v-w2716f1)</v>
      </c>
    </row>
    <row r="21559" customFormat="false" ht="12.8" hidden="false" customHeight="false" outlineLevel="0" collapsed="false">
      <c r="B21559" s="0" t="s">
        <v>7</v>
      </c>
      <c r="C21559" s="0" t="s">
        <v>3855</v>
      </c>
    </row>
    <row r="21560" customFormat="false" ht="12.8" hidden="false" customHeight="false" outlineLevel="0" collapsed="false">
      <c r="B21560" s="0" t="s">
        <v>8171</v>
      </c>
    </row>
    <row r="21562" customFormat="false" ht="12.8" hidden="false" customHeight="false" outlineLevel="0" collapsed="false">
      <c r="A21562" s="0" t="s">
        <v>8172</v>
      </c>
      <c r="B21562" s="0" t="str">
        <f aca="false">HYPERLINK("https://lindat.mff.cuni.cz/services/teitok/pdtc10/index.php?action=vallex&amp;frame=v-w2717f1", "odhodlávat se (v-w2717f1)")</f>
        <v>odhodlávat se (v-w2717f1)</v>
      </c>
    </row>
    <row r="21563" customFormat="false" ht="12.8" hidden="false" customHeight="false" outlineLevel="0" collapsed="false">
      <c r="B21563" s="0" t="s">
        <v>7</v>
      </c>
    </row>
    <row r="21564" customFormat="false" ht="12.8" hidden="false" customHeight="false" outlineLevel="0" collapsed="false">
      <c r="B21564" s="0" t="s">
        <v>8171</v>
      </c>
    </row>
    <row r="21566" customFormat="false" ht="12.8" hidden="false" customHeight="false" outlineLevel="0" collapsed="false">
      <c r="A21566" s="0" t="s">
        <v>8173</v>
      </c>
      <c r="B21566" s="0" t="str">
        <f aca="false">HYPERLINK("https://lindat.mff.cuni.cz/services/teitok/pdtc10/index.php?action=vallex&amp;frame=v-w11930_ZUf2_ZU", "odhrabat (v-w11930_ZUf2_ZU)")</f>
        <v>odhrabat (v-w11930_ZUf2_ZU)</v>
      </c>
    </row>
    <row r="21567" customFormat="false" ht="12.8" hidden="false" customHeight="false" outlineLevel="0" collapsed="false">
      <c r="B21567" s="0" t="s">
        <v>7</v>
      </c>
    </row>
    <row r="21568" customFormat="false" ht="12.8" hidden="false" customHeight="false" outlineLevel="0" collapsed="false">
      <c r="B21568" s="0" t="s">
        <v>14</v>
      </c>
    </row>
    <row r="21569" customFormat="false" ht="12.8" hidden="false" customHeight="false" outlineLevel="0" collapsed="false">
      <c r="B21569" s="0" t="s">
        <v>5382</v>
      </c>
    </row>
    <row r="21571" customFormat="false" ht="12.8" hidden="false" customHeight="false" outlineLevel="0" collapsed="false">
      <c r="A21571" s="0" t="s">
        <v>8173</v>
      </c>
      <c r="B21571" s="0" t="str">
        <f aca="false">HYPERLINK("https://lindat.mff.cuni.cz/services/teitok/pdtc10/index.php?action=vallex&amp;frame=v-w11930_ZUf1_ZU", "odhrabat (v-w11930_ZUf1_ZU) - substituted with v-w11930_ZUf2_ZU")</f>
        <v>odhrabat (v-w11930_ZUf1_ZU) - substituted with v-w11930_ZUf2_ZU</v>
      </c>
    </row>
    <row r="21572" customFormat="false" ht="12.8" hidden="false" customHeight="false" outlineLevel="0" collapsed="false">
      <c r="B21572" s="0" t="s">
        <v>7</v>
      </c>
    </row>
    <row r="21573" customFormat="false" ht="12.8" hidden="false" customHeight="false" outlineLevel="0" collapsed="false">
      <c r="B21573" s="0" t="s">
        <v>14</v>
      </c>
    </row>
    <row r="21574" customFormat="false" ht="12.8" hidden="false" customHeight="false" outlineLevel="0" collapsed="false">
      <c r="B21574" s="0" t="s">
        <v>5382</v>
      </c>
    </row>
    <row r="21576" customFormat="false" ht="12.8" hidden="false" customHeight="false" outlineLevel="0" collapsed="false">
      <c r="A21576" s="0" t="s">
        <v>8174</v>
      </c>
      <c r="B21576" s="0" t="str">
        <f aca="false">HYPERLINK("https://lindat.mff.cuni.cz/services/teitok/pdtc10/index.php?action=vallex&amp;frame=v-whsa_165hsa_166", "odhrnovat (v-whsa_165hsa_166)")</f>
        <v>odhrnovat (v-whsa_165hsa_166)</v>
      </c>
    </row>
    <row r="21577" customFormat="false" ht="12.8" hidden="false" customHeight="false" outlineLevel="0" collapsed="false">
      <c r="B21577" s="0" t="s">
        <v>7</v>
      </c>
      <c r="C21577" s="0" t="s">
        <v>191</v>
      </c>
    </row>
    <row r="21578" customFormat="false" ht="12.8" hidden="false" customHeight="false" outlineLevel="0" collapsed="false">
      <c r="B21578" s="0" t="s">
        <v>14</v>
      </c>
      <c r="C21578" s="0" t="s">
        <v>155</v>
      </c>
    </row>
    <row r="21580" customFormat="false" ht="12.8" hidden="false" customHeight="false" outlineLevel="0" collapsed="false">
      <c r="A21580" s="0" t="s">
        <v>8175</v>
      </c>
      <c r="B21580" s="0" t="str">
        <f aca="false">HYPERLINK("https://lindat.mff.cuni.cz/services/teitok/pdtc10/index.php?action=vallex&amp;frame=v-w2707f1", "odhánět (v-w2707f1)")</f>
        <v>odhánět (v-w2707f1)</v>
      </c>
    </row>
    <row r="21581" customFormat="false" ht="12.8" hidden="false" customHeight="false" outlineLevel="0" collapsed="false">
      <c r="B21581" s="0" t="s">
        <v>7</v>
      </c>
      <c r="D21581" s="0" t="s">
        <v>191</v>
      </c>
      <c r="E21581" s="0" t="s">
        <v>191</v>
      </c>
      <c r="F21581" s="0" t="s">
        <v>191</v>
      </c>
    </row>
    <row r="21582" customFormat="false" ht="12.8" hidden="false" customHeight="false" outlineLevel="0" collapsed="false">
      <c r="B21582" s="0" t="s">
        <v>14</v>
      </c>
      <c r="D21582" s="0" t="s">
        <v>155</v>
      </c>
      <c r="E21582" s="0" t="s">
        <v>155</v>
      </c>
      <c r="F21582" s="0" t="s">
        <v>155</v>
      </c>
    </row>
    <row r="21584" customFormat="false" ht="12.8" hidden="false" customHeight="false" outlineLevel="0" collapsed="false">
      <c r="A21584" s="0" t="s">
        <v>8176</v>
      </c>
      <c r="B21584" s="0" t="str">
        <f aca="false">HYPERLINK("https://lindat.mff.cuni.cz/services/teitok/pdtc10/index.php?action=vallex&amp;frame=v-w11040f2", "odházet (v-w11040f2)")</f>
        <v>odházet (v-w11040f2)</v>
      </c>
    </row>
    <row r="21585" customFormat="false" ht="12.8" hidden="false" customHeight="false" outlineLevel="0" collapsed="false">
      <c r="B21585" s="0" t="s">
        <v>7</v>
      </c>
      <c r="C21585" s="0" t="s">
        <v>191</v>
      </c>
      <c r="D21585" s="0" t="s">
        <v>191</v>
      </c>
      <c r="E21585" s="0" t="s">
        <v>191</v>
      </c>
      <c r="F21585" s="0" t="s">
        <v>191</v>
      </c>
    </row>
    <row r="21586" customFormat="false" ht="12.8" hidden="false" customHeight="false" outlineLevel="0" collapsed="false">
      <c r="B21586" s="0" t="s">
        <v>14</v>
      </c>
      <c r="D21586" s="0" t="s">
        <v>47</v>
      </c>
      <c r="E21586" s="0" t="s">
        <v>47</v>
      </c>
      <c r="F21586" s="0" t="s">
        <v>47</v>
      </c>
    </row>
    <row r="21587" customFormat="false" ht="12.8" hidden="false" customHeight="false" outlineLevel="0" collapsed="false">
      <c r="B21587" s="0" t="s">
        <v>459</v>
      </c>
    </row>
    <row r="21589" customFormat="false" ht="12.8" hidden="false" customHeight="false" outlineLevel="0" collapsed="false">
      <c r="A21589" s="0" t="s">
        <v>8177</v>
      </c>
      <c r="B21589" s="0" t="str">
        <f aca="false">HYPERLINK("https://lindat.mff.cuni.cz/services/teitok/pdtc10/index.php?action=vallex&amp;frame=v-w2728f1", "odjet (v-w2728f1)")</f>
        <v>odjet (v-w2728f1)</v>
      </c>
    </row>
    <row r="21590" customFormat="false" ht="12.8" hidden="false" customHeight="false" outlineLevel="0" collapsed="false">
      <c r="B21590" s="0" t="s">
        <v>7</v>
      </c>
      <c r="C21590" s="0" t="s">
        <v>8178</v>
      </c>
      <c r="D21590" s="0" t="s">
        <v>1582</v>
      </c>
      <c r="E21590" s="0" t="s">
        <v>1582</v>
      </c>
      <c r="F21590" s="0" t="s">
        <v>1582</v>
      </c>
    </row>
    <row r="21591" customFormat="false" ht="12.8" hidden="false" customHeight="false" outlineLevel="0" collapsed="false">
      <c r="B21591" s="0" t="s">
        <v>459</v>
      </c>
      <c r="D21591" s="0" t="s">
        <v>1583</v>
      </c>
      <c r="E21591" s="0" t="s">
        <v>1583</v>
      </c>
      <c r="F21591" s="0" t="s">
        <v>1583</v>
      </c>
    </row>
    <row r="21593" customFormat="false" ht="12.8" hidden="false" customHeight="false" outlineLevel="0" collapsed="false">
      <c r="A21593" s="0" t="s">
        <v>8179</v>
      </c>
      <c r="B21593" s="0" t="str">
        <f aca="false">HYPERLINK("https://lindat.mff.cuni.cz/services/teitok/pdtc10/index.php?action=vallex&amp;frame=v-w2728hsa_2034", "odjet (v-w2728hsa_2034)")</f>
        <v>odjet (v-w2728hsa_2034)</v>
      </c>
    </row>
    <row r="21594" customFormat="false" ht="12.8" hidden="false" customHeight="false" outlineLevel="0" collapsed="false">
      <c r="B21594" s="0" t="s">
        <v>7</v>
      </c>
    </row>
    <row r="21595" customFormat="false" ht="12.8" hidden="false" customHeight="false" outlineLevel="0" collapsed="false">
      <c r="B21595" s="0" t="s">
        <v>14</v>
      </c>
    </row>
    <row r="21597" customFormat="false" ht="12.8" hidden="false" customHeight="false" outlineLevel="0" collapsed="false">
      <c r="A21597" s="0" t="s">
        <v>8180</v>
      </c>
      <c r="B21597" s="0" t="str">
        <f aca="false">HYPERLINK("https://lindat.mff.cuni.cz/services/teitok/pdtc10/index.php?action=vallex&amp;frame=v-w2730f1", "odjistit (v-w2730f1)")</f>
        <v>odjistit (v-w2730f1)</v>
      </c>
    </row>
    <row r="21598" customFormat="false" ht="12.8" hidden="false" customHeight="false" outlineLevel="0" collapsed="false">
      <c r="B21598" s="0" t="s">
        <v>7</v>
      </c>
    </row>
    <row r="21599" customFormat="false" ht="12.8" hidden="false" customHeight="false" outlineLevel="0" collapsed="false">
      <c r="B21599" s="0" t="s">
        <v>14</v>
      </c>
    </row>
    <row r="21601" customFormat="false" ht="12.8" hidden="false" customHeight="false" outlineLevel="0" collapsed="false">
      <c r="A21601" s="0" t="s">
        <v>8181</v>
      </c>
      <c r="B21601" s="0" t="str">
        <f aca="false">HYPERLINK("https://lindat.mff.cuni.cz/services/teitok/pdtc10/index.php?action=vallex&amp;frame=v-w2731f1", "odjíždět (v-w2731f1)")</f>
        <v>odjíždět (v-w2731f1)</v>
      </c>
    </row>
    <row r="21602" customFormat="false" ht="12.8" hidden="false" customHeight="false" outlineLevel="0" collapsed="false">
      <c r="B21602" s="0" t="s">
        <v>7</v>
      </c>
      <c r="C21602" s="0" t="s">
        <v>5572</v>
      </c>
    </row>
    <row r="21603" customFormat="false" ht="12.8" hidden="false" customHeight="false" outlineLevel="0" collapsed="false">
      <c r="B21603" s="0" t="s">
        <v>459</v>
      </c>
      <c r="C21603" s="0" t="s">
        <v>8182</v>
      </c>
    </row>
    <row r="21605" customFormat="false" ht="12.8" hidden="false" customHeight="false" outlineLevel="0" collapsed="false">
      <c r="A21605" s="0" t="s">
        <v>8183</v>
      </c>
      <c r="B21605" s="0" t="str">
        <f aca="false">HYPERLINK("https://lindat.mff.cuni.cz/services/teitok/pdtc10/index.php?action=vallex&amp;frame=v-w2732f1", "odkapávat (v-w2732f1)")</f>
        <v>odkapávat (v-w2732f1)</v>
      </c>
    </row>
    <row r="21606" customFormat="false" ht="12.8" hidden="false" customHeight="false" outlineLevel="0" collapsed="false">
      <c r="B21606" s="0" t="s">
        <v>7</v>
      </c>
    </row>
    <row r="21608" customFormat="false" ht="12.8" hidden="false" customHeight="false" outlineLevel="0" collapsed="false">
      <c r="A21608" s="0" t="s">
        <v>8184</v>
      </c>
      <c r="B21608" s="0" t="str">
        <f aca="false">HYPERLINK("https://lindat.mff.cuni.cz/services/teitok/pdtc10/index.php?action=vallex&amp;frame=v-w2736f3", "odkazovat (v-w2736f3)")</f>
        <v>odkazovat (v-w2736f3)</v>
      </c>
    </row>
    <row r="21609" customFormat="false" ht="12.8" hidden="false" customHeight="false" outlineLevel="0" collapsed="false">
      <c r="B21609" s="0" t="s">
        <v>7</v>
      </c>
      <c r="C21609" s="0" t="s">
        <v>1287</v>
      </c>
    </row>
    <row r="21610" customFormat="false" ht="12.8" hidden="false" customHeight="false" outlineLevel="0" collapsed="false">
      <c r="B21610" s="0" t="s">
        <v>41</v>
      </c>
      <c r="C21610" s="0" t="s">
        <v>6805</v>
      </c>
    </row>
    <row r="21611" customFormat="false" ht="12.8" hidden="false" customHeight="false" outlineLevel="0" collapsed="false">
      <c r="B21611" s="0" t="s">
        <v>81</v>
      </c>
      <c r="C21611" s="0" t="s">
        <v>5293</v>
      </c>
    </row>
    <row r="21613" customFormat="false" ht="12.8" hidden="false" customHeight="false" outlineLevel="0" collapsed="false">
      <c r="A21613" s="0" t="s">
        <v>8185</v>
      </c>
      <c r="B21613" s="0" t="str">
        <f aca="false">HYPERLINK("https://lindat.mff.cuni.cz/services/teitok/pdtc10/index.php?action=vallex&amp;frame=v-w2736f1", "odkazovat (v-w2736f1)")</f>
        <v>odkazovat (v-w2736f1)</v>
      </c>
    </row>
    <row r="21614" customFormat="false" ht="12.8" hidden="false" customHeight="false" outlineLevel="0" collapsed="false">
      <c r="B21614" s="0" t="s">
        <v>7</v>
      </c>
    </row>
    <row r="21615" customFormat="false" ht="12.8" hidden="false" customHeight="false" outlineLevel="0" collapsed="false">
      <c r="B21615" s="0" t="s">
        <v>14</v>
      </c>
    </row>
    <row r="21616" customFormat="false" ht="12.8" hidden="false" customHeight="false" outlineLevel="0" collapsed="false">
      <c r="B21616" s="0" t="s">
        <v>124</v>
      </c>
    </row>
    <row r="21618" customFormat="false" ht="12.8" hidden="false" customHeight="false" outlineLevel="0" collapsed="false">
      <c r="A21618" s="0" t="s">
        <v>8186</v>
      </c>
      <c r="B21618" s="0" t="str">
        <f aca="false">HYPERLINK("https://lindat.mff.cuni.cz/services/teitok/pdtc10/index.php?action=vallex&amp;frame=v-w2736f2", "odkazovat (v-w2736f2)")</f>
        <v>odkazovat (v-w2736f2)</v>
      </c>
    </row>
    <row r="21619" customFormat="false" ht="12.8" hidden="false" customHeight="false" outlineLevel="0" collapsed="false">
      <c r="B21619" s="0" t="s">
        <v>7</v>
      </c>
    </row>
    <row r="21620" customFormat="false" ht="12.8" hidden="false" customHeight="false" outlineLevel="0" collapsed="false">
      <c r="B21620" s="0" t="s">
        <v>124</v>
      </c>
    </row>
    <row r="21622" customFormat="false" ht="12.8" hidden="false" customHeight="false" outlineLevel="0" collapsed="false">
      <c r="A21622" s="0" t="s">
        <v>8187</v>
      </c>
      <c r="B21622" s="0" t="str">
        <f aca="false">HYPERLINK("https://lindat.mff.cuni.cz/services/teitok/pdtc10/index.php?action=vallex&amp;frame=v-w2736hsa_700", "odkazovat (v-w2736hsa_700)")</f>
        <v>odkazovat (v-w2736hsa_700)</v>
      </c>
    </row>
    <row r="21623" customFormat="false" ht="12.8" hidden="false" customHeight="false" outlineLevel="0" collapsed="false">
      <c r="B21623" s="0" t="s">
        <v>7</v>
      </c>
    </row>
    <row r="21624" customFormat="false" ht="12.8" hidden="false" customHeight="false" outlineLevel="0" collapsed="false">
      <c r="B21624" s="0" t="s">
        <v>8188</v>
      </c>
    </row>
    <row r="21626" customFormat="false" ht="12.8" hidden="false" customHeight="false" outlineLevel="0" collapsed="false">
      <c r="A21626" s="0" t="s">
        <v>8189</v>
      </c>
      <c r="B21626" s="0" t="str">
        <f aca="false">HYPERLINK("https://lindat.mff.cuni.cz/services/teitok/pdtc10/index.php?action=vallex&amp;frame=v-w11463f1", "odkašlat si (v-w11463f1)")</f>
        <v>odkašlat si (v-w11463f1)</v>
      </c>
    </row>
    <row r="21627" customFormat="false" ht="12.8" hidden="false" customHeight="false" outlineLevel="0" collapsed="false">
      <c r="B21627" s="0" t="s">
        <v>7</v>
      </c>
    </row>
    <row r="21629" customFormat="false" ht="12.8" hidden="false" customHeight="false" outlineLevel="0" collapsed="false">
      <c r="A21629" s="0" t="s">
        <v>8190</v>
      </c>
      <c r="B21629" s="0" t="str">
        <f aca="false">HYPERLINK("https://lindat.mff.cuni.cz/services/teitok/pdtc10/index.php?action=vallex&amp;frame=v-w2741f1", "odklidit (v-w2741f1)")</f>
        <v>odklidit (v-w2741f1)</v>
      </c>
    </row>
    <row r="21630" customFormat="false" ht="12.8" hidden="false" customHeight="false" outlineLevel="0" collapsed="false">
      <c r="B21630" s="0" t="s">
        <v>7</v>
      </c>
    </row>
    <row r="21631" customFormat="false" ht="12.8" hidden="false" customHeight="false" outlineLevel="0" collapsed="false">
      <c r="B21631" s="0" t="s">
        <v>14</v>
      </c>
    </row>
    <row r="21632" customFormat="false" ht="12.8" hidden="false" customHeight="false" outlineLevel="0" collapsed="false">
      <c r="B21632" s="0" t="s">
        <v>459</v>
      </c>
    </row>
    <row r="21634" customFormat="false" ht="12.8" hidden="false" customHeight="false" outlineLevel="0" collapsed="false">
      <c r="A21634" s="0" t="s">
        <v>8191</v>
      </c>
      <c r="B21634" s="0" t="str">
        <f aca="false">HYPERLINK("https://lindat.mff.cuni.cz/services/teitok/pdtc10/index.php?action=vallex&amp;frame=v-w2741f2", "odklidit (v-w2741f2)")</f>
        <v>odklidit (v-w2741f2)</v>
      </c>
    </row>
    <row r="21635" customFormat="false" ht="12.8" hidden="false" customHeight="false" outlineLevel="0" collapsed="false">
      <c r="B21635" s="0" t="s">
        <v>7</v>
      </c>
    </row>
    <row r="21636" customFormat="false" ht="12.8" hidden="false" customHeight="false" outlineLevel="0" collapsed="false">
      <c r="B21636" s="0" t="s">
        <v>14</v>
      </c>
    </row>
    <row r="21637" customFormat="false" ht="12.8" hidden="false" customHeight="false" outlineLevel="0" collapsed="false">
      <c r="B21637" s="0" t="s">
        <v>459</v>
      </c>
    </row>
    <row r="21639" customFormat="false" ht="12.8" hidden="false" customHeight="false" outlineLevel="0" collapsed="false">
      <c r="A21639" s="0" t="s">
        <v>8192</v>
      </c>
      <c r="B21639" s="0" t="str">
        <f aca="false">HYPERLINK("https://lindat.mff.cuni.cz/services/teitok/pdtc10/index.php?action=vallex&amp;frame=v-w12298_MMf1_MM", "odklizovat (v-w12298_MMf1_MM)")</f>
        <v>odklizovat (v-w12298_MMf1_MM)</v>
      </c>
    </row>
    <row r="21640" customFormat="false" ht="12.8" hidden="false" customHeight="false" outlineLevel="0" collapsed="false">
      <c r="B21640" s="0" t="s">
        <v>7</v>
      </c>
    </row>
    <row r="21641" customFormat="false" ht="12.8" hidden="false" customHeight="false" outlineLevel="0" collapsed="false">
      <c r="B21641" s="0" t="s">
        <v>14</v>
      </c>
    </row>
    <row r="21642" customFormat="false" ht="12.8" hidden="false" customHeight="false" outlineLevel="0" collapsed="false">
      <c r="B21642" s="0" t="s">
        <v>459</v>
      </c>
    </row>
    <row r="21644" customFormat="false" ht="12.8" hidden="false" customHeight="false" outlineLevel="0" collapsed="false">
      <c r="A21644" s="0" t="s">
        <v>8193</v>
      </c>
      <c r="B21644" s="0" t="str">
        <f aca="false">HYPERLINK("https://lindat.mff.cuni.cz/services/teitok/pdtc10/index.php?action=vallex&amp;frame=v-w11377f1", "odklonit (v-w11377f1)")</f>
        <v>odklonit (v-w11377f1)</v>
      </c>
    </row>
    <row r="21645" customFormat="false" ht="12.8" hidden="false" customHeight="false" outlineLevel="0" collapsed="false">
      <c r="B21645" s="0" t="s">
        <v>7</v>
      </c>
    </row>
    <row r="21646" customFormat="false" ht="12.8" hidden="false" customHeight="false" outlineLevel="0" collapsed="false">
      <c r="B21646" s="0" t="s">
        <v>14</v>
      </c>
    </row>
    <row r="21647" customFormat="false" ht="12.8" hidden="false" customHeight="false" outlineLevel="0" collapsed="false">
      <c r="B21647" s="0" t="s">
        <v>1592</v>
      </c>
    </row>
    <row r="21649" customFormat="false" ht="12.8" hidden="false" customHeight="false" outlineLevel="0" collapsed="false">
      <c r="A21649" s="0" t="s">
        <v>8194</v>
      </c>
      <c r="B21649" s="0" t="str">
        <f aca="false">HYPERLINK("https://lindat.mff.cuni.cz/services/teitok/pdtc10/index.php?action=vallex&amp;frame=v-w11377f3", "odklonit (v-w11377f3)")</f>
        <v>odklonit (v-w11377f3)</v>
      </c>
    </row>
    <row r="21650" customFormat="false" ht="12.8" hidden="false" customHeight="false" outlineLevel="0" collapsed="false">
      <c r="B21650" s="0" t="s">
        <v>7</v>
      </c>
      <c r="C21650" s="0" t="s">
        <v>46</v>
      </c>
      <c r="D21650" s="0" t="s">
        <v>4161</v>
      </c>
      <c r="E21650" s="0" t="s">
        <v>4161</v>
      </c>
      <c r="F21650" s="0" t="s">
        <v>4161</v>
      </c>
    </row>
    <row r="21651" customFormat="false" ht="12.8" hidden="false" customHeight="false" outlineLevel="0" collapsed="false">
      <c r="B21651" s="0" t="s">
        <v>14</v>
      </c>
      <c r="C21651" s="0" t="s">
        <v>487</v>
      </c>
      <c r="D21651" s="0" t="s">
        <v>8195</v>
      </c>
      <c r="E21651" s="0" t="s">
        <v>8195</v>
      </c>
      <c r="F21651" s="0" t="s">
        <v>8195</v>
      </c>
    </row>
    <row r="21652" customFormat="false" ht="12.8" hidden="false" customHeight="false" outlineLevel="0" collapsed="false">
      <c r="B21652" s="0" t="s">
        <v>459</v>
      </c>
    </row>
    <row r="21654" customFormat="false" ht="12.8" hidden="false" customHeight="false" outlineLevel="0" collapsed="false">
      <c r="A21654" s="0" t="s">
        <v>8196</v>
      </c>
      <c r="B21654" s="0" t="str">
        <f aca="false">HYPERLINK("https://lindat.mff.cuni.cz/services/teitok/pdtc10/index.php?action=vallex&amp;frame=v-w11377f4", "odklonit (v-w11377f4)")</f>
        <v>odklonit (v-w11377f4)</v>
      </c>
    </row>
    <row r="21655" customFormat="false" ht="12.8" hidden="false" customHeight="false" outlineLevel="0" collapsed="false">
      <c r="B21655" s="0" t="s">
        <v>7</v>
      </c>
      <c r="C21655" s="0" t="s">
        <v>191</v>
      </c>
      <c r="D21655" s="0" t="s">
        <v>191</v>
      </c>
      <c r="E21655" s="0" t="s">
        <v>191</v>
      </c>
      <c r="F21655" s="0" t="s">
        <v>191</v>
      </c>
    </row>
    <row r="21656" customFormat="false" ht="12.8" hidden="false" customHeight="false" outlineLevel="0" collapsed="false">
      <c r="B21656" s="0" t="s">
        <v>14</v>
      </c>
      <c r="C21656" s="0" t="s">
        <v>47</v>
      </c>
      <c r="D21656" s="0" t="s">
        <v>47</v>
      </c>
      <c r="E21656" s="0" t="s">
        <v>47</v>
      </c>
      <c r="F21656" s="0" t="s">
        <v>47</v>
      </c>
    </row>
    <row r="21658" customFormat="false" ht="12.8" hidden="false" customHeight="false" outlineLevel="0" collapsed="false">
      <c r="A21658" s="0" t="s">
        <v>8197</v>
      </c>
      <c r="B21658" s="0" t="str">
        <f aca="false">HYPERLINK("https://lindat.mff.cuni.cz/services/teitok/pdtc10/index.php?action=vallex&amp;frame=v-w2744f1", "odklonit se (v-w2744f1)")</f>
        <v>odklonit se (v-w2744f1)</v>
      </c>
    </row>
    <row r="21659" customFormat="false" ht="12.8" hidden="false" customHeight="false" outlineLevel="0" collapsed="false">
      <c r="B21659" s="0" t="s">
        <v>7</v>
      </c>
      <c r="C21659" s="0" t="s">
        <v>8198</v>
      </c>
    </row>
    <row r="21660" customFormat="false" ht="12.8" hidden="false" customHeight="false" outlineLevel="0" collapsed="false">
      <c r="B21660" s="0" t="s">
        <v>28</v>
      </c>
    </row>
    <row r="21662" customFormat="false" ht="12.8" hidden="false" customHeight="false" outlineLevel="0" collapsed="false">
      <c r="A21662" s="0" t="s">
        <v>8199</v>
      </c>
      <c r="B21662" s="0" t="str">
        <f aca="false">HYPERLINK("https://lindat.mff.cuni.cz/services/teitok/pdtc10/index.php?action=vallex&amp;frame=v-w2744f2_ZU", "odklonit se (v-w2744f2_ZU)")</f>
        <v>odklonit se (v-w2744f2_ZU)</v>
      </c>
    </row>
    <row r="21663" customFormat="false" ht="12.8" hidden="false" customHeight="false" outlineLevel="0" collapsed="false">
      <c r="B21663" s="0" t="s">
        <v>7</v>
      </c>
      <c r="C21663" s="0" t="s">
        <v>7671</v>
      </c>
    </row>
    <row r="21664" customFormat="false" ht="12.8" hidden="false" customHeight="false" outlineLevel="0" collapsed="false">
      <c r="B21664" s="0" t="s">
        <v>5382</v>
      </c>
    </row>
    <row r="21666" customFormat="false" ht="12.8" hidden="false" customHeight="false" outlineLevel="0" collapsed="false">
      <c r="A21666" s="0" t="s">
        <v>8200</v>
      </c>
      <c r="B21666" s="0" t="str">
        <f aca="false">HYPERLINK("https://lindat.mff.cuni.cz/services/teitok/pdtc10/index.php?action=vallex&amp;frame=v-w12165_ZUf1_ZU", "odklusat (v-w12165_ZUf1_ZU)")</f>
        <v>odklusat (v-w12165_ZUf1_ZU)</v>
      </c>
    </row>
    <row r="21667" customFormat="false" ht="12.8" hidden="false" customHeight="false" outlineLevel="0" collapsed="false">
      <c r="B21667" s="0" t="s">
        <v>7</v>
      </c>
    </row>
    <row r="21668" customFormat="false" ht="12.8" hidden="false" customHeight="false" outlineLevel="0" collapsed="false">
      <c r="B21668" s="0" t="s">
        <v>5382</v>
      </c>
    </row>
    <row r="21670" customFormat="false" ht="12.8" hidden="false" customHeight="false" outlineLevel="0" collapsed="false">
      <c r="A21670" s="0" t="s">
        <v>8201</v>
      </c>
      <c r="B21670" s="0" t="str">
        <f aca="false">HYPERLINK("https://lindat.mff.cuni.cz/services/teitok/pdtc10/index.php?action=vallex&amp;frame=v-w2739f1", "odkládat (v-w2739f1)")</f>
        <v>odkládat (v-w2739f1)</v>
      </c>
    </row>
    <row r="21671" customFormat="false" ht="12.8" hidden="false" customHeight="false" outlineLevel="0" collapsed="false">
      <c r="B21671" s="0" t="s">
        <v>7</v>
      </c>
      <c r="C21671" s="0" t="s">
        <v>3028</v>
      </c>
      <c r="D21671" s="0" t="s">
        <v>8024</v>
      </c>
      <c r="E21671" s="0" t="s">
        <v>8024</v>
      </c>
      <c r="F21671" s="0" t="s">
        <v>8024</v>
      </c>
    </row>
    <row r="21672" customFormat="false" ht="12.8" hidden="false" customHeight="false" outlineLevel="0" collapsed="false">
      <c r="B21672" s="0" t="s">
        <v>14</v>
      </c>
      <c r="C21672" s="0" t="s">
        <v>8202</v>
      </c>
      <c r="D21672" s="0" t="s">
        <v>8025</v>
      </c>
      <c r="E21672" s="0" t="s">
        <v>8025</v>
      </c>
      <c r="F21672" s="0" t="s">
        <v>8025</v>
      </c>
    </row>
    <row r="21674" customFormat="false" ht="12.8" hidden="false" customHeight="false" outlineLevel="0" collapsed="false">
      <c r="A21674" s="0" t="s">
        <v>8203</v>
      </c>
      <c r="B21674" s="0" t="str">
        <f aca="false">HYPERLINK("https://lindat.mff.cuni.cz/services/teitok/pdtc10/index.php?action=vallex&amp;frame=v-w2739f2", "odkládat (v-w2739f2)")</f>
        <v>odkládat (v-w2739f2)</v>
      </c>
    </row>
    <row r="21675" customFormat="false" ht="12.8" hidden="false" customHeight="false" outlineLevel="0" collapsed="false">
      <c r="B21675" s="0" t="s">
        <v>7</v>
      </c>
    </row>
    <row r="21676" customFormat="false" ht="12.8" hidden="false" customHeight="false" outlineLevel="0" collapsed="false">
      <c r="B21676" s="0" t="s">
        <v>14</v>
      </c>
    </row>
    <row r="21678" customFormat="false" ht="12.8" hidden="false" customHeight="false" outlineLevel="0" collapsed="false">
      <c r="A21678" s="0" t="s">
        <v>8204</v>
      </c>
      <c r="B21678" s="0" t="str">
        <f aca="false">HYPERLINK("https://lindat.mff.cuni.cz/services/teitok/pdtc10/index.php?action=vallex&amp;frame=v-w2739f6_ZU", "odkládat (v-w2739f6_ZU)")</f>
        <v>odkládat (v-w2739f6_ZU)</v>
      </c>
    </row>
    <row r="21679" customFormat="false" ht="12.8" hidden="false" customHeight="false" outlineLevel="0" collapsed="false">
      <c r="B21679" s="0" t="s">
        <v>7</v>
      </c>
    </row>
    <row r="21680" customFormat="false" ht="12.8" hidden="false" customHeight="false" outlineLevel="0" collapsed="false">
      <c r="B21680" s="0" t="s">
        <v>14</v>
      </c>
    </row>
    <row r="21682" customFormat="false" ht="12.8" hidden="false" customHeight="false" outlineLevel="0" collapsed="false">
      <c r="A21682" s="0" t="s">
        <v>8205</v>
      </c>
      <c r="B21682" s="0" t="str">
        <f aca="false">HYPERLINK("https://lindat.mff.cuni.cz/services/teitok/pdtc10/index.php?action=vallex&amp;frame=v-w2739hsa_457", "odkládat (v-w2739hsa_457)")</f>
        <v>odkládat (v-w2739hsa_457)</v>
      </c>
    </row>
    <row r="21683" customFormat="false" ht="12.8" hidden="false" customHeight="false" outlineLevel="0" collapsed="false">
      <c r="B21683" s="0" t="s">
        <v>7</v>
      </c>
      <c r="C21683" s="0" t="s">
        <v>623</v>
      </c>
      <c r="D21683" s="0" t="s">
        <v>623</v>
      </c>
      <c r="E21683" s="0" t="s">
        <v>623</v>
      </c>
      <c r="F21683" s="0" t="s">
        <v>623</v>
      </c>
    </row>
    <row r="21684" customFormat="false" ht="12.8" hidden="false" customHeight="false" outlineLevel="0" collapsed="false">
      <c r="B21684" s="0" t="s">
        <v>14</v>
      </c>
      <c r="C21684" s="0" t="s">
        <v>1209</v>
      </c>
      <c r="D21684" s="0" t="s">
        <v>461</v>
      </c>
      <c r="E21684" s="0" t="s">
        <v>461</v>
      </c>
      <c r="F21684" s="0" t="s">
        <v>461</v>
      </c>
    </row>
    <row r="21686" customFormat="false" ht="12.8" hidden="false" customHeight="false" outlineLevel="0" collapsed="false">
      <c r="A21686" s="0" t="s">
        <v>8206</v>
      </c>
      <c r="B21686" s="0" t="str">
        <f aca="false">HYPERLINK("https://lindat.mff.cuni.cz/services/teitok/pdtc10/index.php?action=vallex&amp;frame=v-w2739f5_ZU", "odkládat (v-w2739f5_ZU)")</f>
        <v>odkládat (v-w2739f5_ZU)</v>
      </c>
    </row>
    <row r="21687" customFormat="false" ht="12.8" hidden="false" customHeight="false" outlineLevel="0" collapsed="false">
      <c r="B21687" s="0" t="s">
        <v>7</v>
      </c>
    </row>
    <row r="21688" customFormat="false" ht="12.8" hidden="false" customHeight="false" outlineLevel="0" collapsed="false">
      <c r="B21688" s="0" t="s">
        <v>14</v>
      </c>
    </row>
    <row r="21689" customFormat="false" ht="12.8" hidden="false" customHeight="false" outlineLevel="0" collapsed="false">
      <c r="B21689" s="0" t="s">
        <v>338</v>
      </c>
    </row>
    <row r="21691" customFormat="false" ht="12.8" hidden="false" customHeight="false" outlineLevel="0" collapsed="false">
      <c r="A21691" s="0" t="s">
        <v>8206</v>
      </c>
      <c r="B21691" s="0" t="str">
        <f aca="false">HYPERLINK("https://lindat.mff.cuni.cz/services/teitok/pdtc10/index.php?action=vallex&amp;frame=v-w2739f3_ZU", "odkládat (v-w2739f3_ZU) - substituted with v-w2739f5_ZU")</f>
        <v>odkládat (v-w2739f3_ZU) - substituted with v-w2739f5_ZU</v>
      </c>
    </row>
    <row r="21692" customFormat="false" ht="12.8" hidden="false" customHeight="false" outlineLevel="0" collapsed="false">
      <c r="B21692" s="0" t="s">
        <v>7</v>
      </c>
    </row>
    <row r="21693" customFormat="false" ht="12.8" hidden="false" customHeight="false" outlineLevel="0" collapsed="false">
      <c r="B21693" s="0" t="s">
        <v>14</v>
      </c>
    </row>
    <row r="21694" customFormat="false" ht="12.8" hidden="false" customHeight="false" outlineLevel="0" collapsed="false">
      <c r="B21694" s="0" t="s">
        <v>338</v>
      </c>
    </row>
    <row r="21696" customFormat="false" ht="12.8" hidden="false" customHeight="false" outlineLevel="0" collapsed="false">
      <c r="A21696" s="0" t="s">
        <v>8206</v>
      </c>
      <c r="B21696" s="0" t="str">
        <f aca="false">HYPERLINK("https://lindat.mff.cuni.cz/services/teitok/pdtc10/index.php?action=vallex&amp;frame=v-w2739f4_ZU", "odkládat (v-w2739f4_ZU) - substituted with v-w2739f5_ZU")</f>
        <v>odkládat (v-w2739f4_ZU) - substituted with v-w2739f5_ZU</v>
      </c>
    </row>
    <row r="21697" customFormat="false" ht="12.8" hidden="false" customHeight="false" outlineLevel="0" collapsed="false">
      <c r="B21697" s="0" t="s">
        <v>7</v>
      </c>
    </row>
    <row r="21698" customFormat="false" ht="12.8" hidden="false" customHeight="false" outlineLevel="0" collapsed="false">
      <c r="B21698" s="0" t="s">
        <v>14</v>
      </c>
    </row>
    <row r="21699" customFormat="false" ht="12.8" hidden="false" customHeight="false" outlineLevel="0" collapsed="false">
      <c r="B21699" s="0" t="s">
        <v>338</v>
      </c>
    </row>
    <row r="21701" customFormat="false" ht="12.8" hidden="false" customHeight="false" outlineLevel="0" collapsed="false">
      <c r="A21701" s="0" t="s">
        <v>8207</v>
      </c>
      <c r="B21701" s="0" t="str">
        <f aca="false">HYPERLINK("https://lindat.mff.cuni.cz/services/teitok/pdtc10/index.php?action=vallex&amp;frame=v-w10921f2", "odklánět (v-w10921f2)")</f>
        <v>odklánět (v-w10921f2)</v>
      </c>
    </row>
    <row r="21702" customFormat="false" ht="12.8" hidden="false" customHeight="false" outlineLevel="0" collapsed="false">
      <c r="B21702" s="0" t="s">
        <v>7</v>
      </c>
      <c r="C21702" s="0" t="s">
        <v>46</v>
      </c>
      <c r="D21702" s="0" t="s">
        <v>4161</v>
      </c>
      <c r="E21702" s="0" t="s">
        <v>4161</v>
      </c>
      <c r="F21702" s="0" t="s">
        <v>4161</v>
      </c>
    </row>
    <row r="21703" customFormat="false" ht="12.8" hidden="false" customHeight="false" outlineLevel="0" collapsed="false">
      <c r="B21703" s="0" t="s">
        <v>14</v>
      </c>
      <c r="C21703" s="0" t="s">
        <v>487</v>
      </c>
      <c r="D21703" s="0" t="s">
        <v>8195</v>
      </c>
      <c r="E21703" s="0" t="s">
        <v>8195</v>
      </c>
      <c r="F21703" s="0" t="s">
        <v>8195</v>
      </c>
    </row>
    <row r="21704" customFormat="false" ht="12.8" hidden="false" customHeight="false" outlineLevel="0" collapsed="false">
      <c r="B21704" s="0" t="s">
        <v>459</v>
      </c>
    </row>
    <row r="21706" customFormat="false" ht="12.8" hidden="false" customHeight="false" outlineLevel="0" collapsed="false">
      <c r="A21706" s="0" t="s">
        <v>8208</v>
      </c>
      <c r="B21706" s="0" t="str">
        <f aca="false">HYPERLINK("https://lindat.mff.cuni.cz/services/teitok/pdtc10/index.php?action=vallex&amp;frame=v-w11532_ZUf1_ZU", "odklánět se (v-w11532_ZUf1_ZU)")</f>
        <v>odklánět se (v-w11532_ZUf1_ZU)</v>
      </c>
    </row>
    <row r="21707" customFormat="false" ht="12.8" hidden="false" customHeight="false" outlineLevel="0" collapsed="false">
      <c r="B21707" s="0" t="s">
        <v>7</v>
      </c>
      <c r="D21707" s="0" t="s">
        <v>8209</v>
      </c>
      <c r="E21707" s="0" t="s">
        <v>8209</v>
      </c>
      <c r="F21707" s="0" t="s">
        <v>8209</v>
      </c>
    </row>
    <row r="21708" customFormat="false" ht="12.8" hidden="false" customHeight="false" outlineLevel="0" collapsed="false">
      <c r="B21708" s="0" t="s">
        <v>28</v>
      </c>
      <c r="D21708" s="0" t="s">
        <v>473</v>
      </c>
      <c r="E21708" s="0" t="s">
        <v>473</v>
      </c>
      <c r="F21708" s="0" t="s">
        <v>473</v>
      </c>
    </row>
    <row r="21710" customFormat="false" ht="12.8" hidden="false" customHeight="false" outlineLevel="0" collapsed="false">
      <c r="A21710" s="0" t="s">
        <v>8210</v>
      </c>
      <c r="B21710" s="0" t="str">
        <f aca="false">HYPERLINK("https://lindat.mff.cuni.cz/services/teitok/pdtc10/index.php?action=vallex&amp;frame=v-whsa_1263hsa_1264", "odklízet (v-whsa_1263hsa_1264)")</f>
        <v>odklízet (v-whsa_1263hsa_1264)</v>
      </c>
    </row>
    <row r="21711" customFormat="false" ht="12.8" hidden="false" customHeight="false" outlineLevel="0" collapsed="false">
      <c r="B21711" s="0" t="s">
        <v>7</v>
      </c>
    </row>
    <row r="21712" customFormat="false" ht="12.8" hidden="false" customHeight="false" outlineLevel="0" collapsed="false">
      <c r="B21712" s="0" t="s">
        <v>14</v>
      </c>
    </row>
    <row r="21713" customFormat="false" ht="12.8" hidden="false" customHeight="false" outlineLevel="0" collapsed="false">
      <c r="B21713" s="0" t="s">
        <v>459</v>
      </c>
    </row>
    <row r="21715" customFormat="false" ht="12.8" hidden="false" customHeight="false" outlineLevel="0" collapsed="false">
      <c r="A21715" s="0" t="s">
        <v>8211</v>
      </c>
      <c r="B21715" s="0" t="str">
        <f aca="false">HYPERLINK("https://lindat.mff.cuni.cz/services/teitok/pdtc10/index.php?action=vallex&amp;frame=v-w10439f3", "odkopnout (v-w10439f3)")</f>
        <v>odkopnout (v-w10439f3)</v>
      </c>
    </row>
    <row r="21716" customFormat="false" ht="12.8" hidden="false" customHeight="false" outlineLevel="0" collapsed="false">
      <c r="B21716" s="0" t="s">
        <v>7</v>
      </c>
    </row>
    <row r="21717" customFormat="false" ht="12.8" hidden="false" customHeight="false" outlineLevel="0" collapsed="false">
      <c r="B21717" s="0" t="s">
        <v>14</v>
      </c>
    </row>
    <row r="21719" customFormat="false" ht="12.8" hidden="false" customHeight="false" outlineLevel="0" collapsed="false">
      <c r="A21719" s="0" t="s">
        <v>8212</v>
      </c>
      <c r="B21719" s="0" t="str">
        <f aca="false">HYPERLINK("https://lindat.mff.cuni.cz/services/teitok/pdtc10/index.php?action=vallex&amp;frame=v-w2746f1", "odkopávat (v-w2746f1)")</f>
        <v>odkopávat (v-w2746f1)</v>
      </c>
    </row>
    <row r="21720" customFormat="false" ht="12.8" hidden="false" customHeight="false" outlineLevel="0" collapsed="false">
      <c r="B21720" s="0" t="s">
        <v>7</v>
      </c>
    </row>
    <row r="21721" customFormat="false" ht="12.8" hidden="false" customHeight="false" outlineLevel="0" collapsed="false">
      <c r="B21721" s="0" t="s">
        <v>14</v>
      </c>
    </row>
    <row r="21723" customFormat="false" ht="12.8" hidden="false" customHeight="false" outlineLevel="0" collapsed="false">
      <c r="A21723" s="0" t="s">
        <v>8213</v>
      </c>
      <c r="B21723" s="0" t="str">
        <f aca="false">HYPERLINK("https://lindat.mff.cuni.cz/services/teitok/pdtc10/index.php?action=vallex&amp;frame=v-w2749f1", "odkoupit (v-w2749f1)")</f>
        <v>odkoupit (v-w2749f1)</v>
      </c>
    </row>
    <row r="21724" customFormat="false" ht="12.8" hidden="false" customHeight="false" outlineLevel="0" collapsed="false">
      <c r="B21724" s="0" t="s">
        <v>7</v>
      </c>
      <c r="C21724" s="0" t="s">
        <v>8214</v>
      </c>
      <c r="D21724" s="0" t="s">
        <v>4927</v>
      </c>
      <c r="E21724" s="0" t="s">
        <v>4927</v>
      </c>
      <c r="F21724" s="0" t="s">
        <v>4927</v>
      </c>
    </row>
    <row r="21725" customFormat="false" ht="12.8" hidden="false" customHeight="false" outlineLevel="0" collapsed="false">
      <c r="B21725" s="0" t="s">
        <v>14</v>
      </c>
      <c r="C21725" s="0" t="s">
        <v>8215</v>
      </c>
      <c r="D21725" s="0" t="s">
        <v>4929</v>
      </c>
      <c r="E21725" s="0" t="s">
        <v>4929</v>
      </c>
      <c r="F21725" s="0" t="s">
        <v>4929</v>
      </c>
    </row>
    <row r="21726" customFormat="false" ht="12.8" hidden="false" customHeight="false" outlineLevel="0" collapsed="false">
      <c r="B21726" s="0" t="s">
        <v>441</v>
      </c>
      <c r="C21726" s="0" t="s">
        <v>5024</v>
      </c>
      <c r="D21726" s="0" t="s">
        <v>4932</v>
      </c>
      <c r="E21726" s="0" t="s">
        <v>4932</v>
      </c>
      <c r="F21726" s="0" t="s">
        <v>4932</v>
      </c>
    </row>
    <row r="21728" customFormat="false" ht="12.8" hidden="false" customHeight="false" outlineLevel="0" collapsed="false">
      <c r="A21728" s="0" t="s">
        <v>8216</v>
      </c>
      <c r="B21728" s="0" t="str">
        <f aca="false">HYPERLINK("https://lindat.mff.cuni.cz/services/teitok/pdtc10/index.php?action=vallex&amp;frame=v-w11215f2", "odkroutit (v-w11215f2)")</f>
        <v>odkroutit (v-w11215f2)</v>
      </c>
    </row>
    <row r="21729" customFormat="false" ht="12.8" hidden="false" customHeight="false" outlineLevel="0" collapsed="false">
      <c r="B21729" s="0" t="s">
        <v>7</v>
      </c>
    </row>
    <row r="21730" customFormat="false" ht="12.8" hidden="false" customHeight="false" outlineLevel="0" collapsed="false">
      <c r="B21730" s="0" t="s">
        <v>14</v>
      </c>
    </row>
    <row r="21732" customFormat="false" ht="12.8" hidden="false" customHeight="false" outlineLevel="0" collapsed="false">
      <c r="A21732" s="0" t="s">
        <v>8217</v>
      </c>
      <c r="B21732" s="0" t="str">
        <f aca="false">HYPERLINK("https://lindat.mff.cuni.cz/services/teitok/pdtc10/index.php?action=vallex&amp;frame=v-w11499f2", "odkroutit si (v-w11499f2)")</f>
        <v>odkroutit si (v-w11499f2)</v>
      </c>
    </row>
    <row r="21733" customFormat="false" ht="12.8" hidden="false" customHeight="false" outlineLevel="0" collapsed="false">
      <c r="B21733" s="0" t="s">
        <v>7</v>
      </c>
    </row>
    <row r="21734" customFormat="false" ht="12.8" hidden="false" customHeight="false" outlineLevel="0" collapsed="false">
      <c r="B21734" s="0" t="s">
        <v>14</v>
      </c>
    </row>
    <row r="21736" customFormat="false" ht="12.8" hidden="false" customHeight="false" outlineLevel="0" collapsed="false">
      <c r="A21736" s="0" t="s">
        <v>8218</v>
      </c>
      <c r="B21736" s="0" t="str">
        <f aca="false">HYPERLINK("https://lindat.mff.cuni.cz/services/teitok/pdtc10/index.php?action=vallex&amp;frame=v-w10062f2", "odkráglovat (v-w10062f2)")</f>
        <v>odkráglovat (v-w10062f2)</v>
      </c>
    </row>
    <row r="21737" customFormat="false" ht="12.8" hidden="false" customHeight="false" outlineLevel="0" collapsed="false">
      <c r="B21737" s="0" t="s">
        <v>7</v>
      </c>
      <c r="D21737" s="0" t="s">
        <v>5057</v>
      </c>
      <c r="E21737" s="0" t="s">
        <v>5057</v>
      </c>
      <c r="F21737" s="0" t="s">
        <v>5057</v>
      </c>
    </row>
    <row r="21738" customFormat="false" ht="12.8" hidden="false" customHeight="false" outlineLevel="0" collapsed="false">
      <c r="B21738" s="0" t="s">
        <v>14</v>
      </c>
      <c r="D21738" s="0" t="s">
        <v>8042</v>
      </c>
      <c r="E21738" s="0" t="s">
        <v>8042</v>
      </c>
      <c r="F21738" s="0" t="s">
        <v>8042</v>
      </c>
    </row>
    <row r="21740" customFormat="false" ht="12.8" hidden="false" customHeight="false" outlineLevel="0" collapsed="false">
      <c r="A21740" s="0" t="s">
        <v>8219</v>
      </c>
      <c r="B21740" s="0" t="str">
        <f aca="false">HYPERLINK("https://lindat.mff.cuni.cz/services/teitok/pdtc10/index.php?action=vallex&amp;frame=v-w2750f1", "odkrýt (v-w2750f1)")</f>
        <v>odkrýt (v-w2750f1)</v>
      </c>
    </row>
    <row r="21741" customFormat="false" ht="12.8" hidden="false" customHeight="false" outlineLevel="0" collapsed="false">
      <c r="B21741" s="0" t="s">
        <v>7</v>
      </c>
      <c r="C21741" s="0" t="s">
        <v>8220</v>
      </c>
      <c r="D21741" s="0" t="s">
        <v>8155</v>
      </c>
      <c r="E21741" s="0" t="s">
        <v>8155</v>
      </c>
      <c r="F21741" s="0" t="s">
        <v>8155</v>
      </c>
    </row>
    <row r="21742" customFormat="false" ht="12.8" hidden="false" customHeight="false" outlineLevel="0" collapsed="false">
      <c r="B21742" s="0" t="s">
        <v>172</v>
      </c>
      <c r="C21742" s="0" t="s">
        <v>8221</v>
      </c>
      <c r="D21742" s="0" t="s">
        <v>8158</v>
      </c>
      <c r="E21742" s="0" t="s">
        <v>8158</v>
      </c>
      <c r="F21742" s="0" t="s">
        <v>8158</v>
      </c>
    </row>
    <row r="21744" customFormat="false" ht="12.8" hidden="false" customHeight="false" outlineLevel="0" collapsed="false">
      <c r="A21744" s="0" t="s">
        <v>8222</v>
      </c>
      <c r="B21744" s="0" t="str">
        <f aca="false">HYPERLINK("https://lindat.mff.cuni.cz/services/teitok/pdtc10/index.php?action=vallex&amp;frame=v-w2751f1", "odkrývat (v-w2751f1)")</f>
        <v>odkrývat (v-w2751f1)</v>
      </c>
    </row>
    <row r="21745" customFormat="false" ht="12.8" hidden="false" customHeight="false" outlineLevel="0" collapsed="false">
      <c r="B21745" s="0" t="s">
        <v>7</v>
      </c>
      <c r="C21745" s="0" t="s">
        <v>126</v>
      </c>
    </row>
    <row r="21746" customFormat="false" ht="12.8" hidden="false" customHeight="false" outlineLevel="0" collapsed="false">
      <c r="B21746" s="0" t="s">
        <v>172</v>
      </c>
      <c r="C21746" s="0" t="s">
        <v>110</v>
      </c>
    </row>
    <row r="21748" customFormat="false" ht="12.8" hidden="false" customHeight="false" outlineLevel="0" collapsed="false">
      <c r="A21748" s="0" t="s">
        <v>8223</v>
      </c>
      <c r="B21748" s="0" t="str">
        <f aca="false">HYPERLINK("https://lindat.mff.cuni.cz/services/teitok/pdtc10/index.php?action=vallex&amp;frame=v-w11533_ZUf1_ZU", "odkupovat (v-w11533_ZUf1_ZU)")</f>
        <v>odkupovat (v-w11533_ZUf1_ZU)</v>
      </c>
    </row>
    <row r="21749" customFormat="false" ht="12.8" hidden="false" customHeight="false" outlineLevel="0" collapsed="false">
      <c r="B21749" s="0" t="s">
        <v>7</v>
      </c>
      <c r="C21749" s="0" t="s">
        <v>2557</v>
      </c>
      <c r="D21749" s="0" t="s">
        <v>4927</v>
      </c>
      <c r="E21749" s="0" t="s">
        <v>4927</v>
      </c>
      <c r="F21749" s="0" t="s">
        <v>4927</v>
      </c>
    </row>
    <row r="21750" customFormat="false" ht="12.8" hidden="false" customHeight="false" outlineLevel="0" collapsed="false">
      <c r="B21750" s="0" t="s">
        <v>14</v>
      </c>
      <c r="C21750" s="0" t="s">
        <v>8202</v>
      </c>
      <c r="D21750" s="0" t="s">
        <v>4929</v>
      </c>
      <c r="E21750" s="0" t="s">
        <v>4929</v>
      </c>
      <c r="F21750" s="0" t="s">
        <v>4929</v>
      </c>
    </row>
    <row r="21751" customFormat="false" ht="12.8" hidden="false" customHeight="false" outlineLevel="0" collapsed="false">
      <c r="B21751" s="0" t="s">
        <v>441</v>
      </c>
      <c r="C21751" s="0" t="s">
        <v>8224</v>
      </c>
      <c r="D21751" s="0" t="s">
        <v>4932</v>
      </c>
      <c r="E21751" s="0" t="s">
        <v>4932</v>
      </c>
      <c r="F21751" s="0" t="s">
        <v>4932</v>
      </c>
    </row>
    <row r="21753" customFormat="false" ht="12.8" hidden="false" customHeight="false" outlineLevel="0" collapsed="false">
      <c r="A21753" s="0" t="s">
        <v>8225</v>
      </c>
      <c r="B21753" s="0" t="str">
        <f aca="false">HYPERLINK("https://lindat.mff.cuni.cz/services/teitok/pdtc10/index.php?action=vallex&amp;frame=v-w11754_ZUf1_ZU", "odkvétat (v-w11754_ZUf1_ZU)")</f>
        <v>odkvétat (v-w11754_ZUf1_ZU)</v>
      </c>
    </row>
    <row r="21754" customFormat="false" ht="12.8" hidden="false" customHeight="false" outlineLevel="0" collapsed="false">
      <c r="B21754" s="0" t="s">
        <v>7</v>
      </c>
    </row>
    <row r="21756" customFormat="false" ht="12.8" hidden="false" customHeight="false" outlineLevel="0" collapsed="false">
      <c r="A21756" s="0" t="s">
        <v>8226</v>
      </c>
      <c r="B21756" s="0" t="str">
        <f aca="false">HYPERLINK("https://lindat.mff.cuni.cz/services/teitok/pdtc10/index.php?action=vallex&amp;frame=v-w2735f2", "odkázat (v-w2735f2)")</f>
        <v>odkázat (v-w2735f2)</v>
      </c>
    </row>
    <row r="21757" customFormat="false" ht="12.8" hidden="false" customHeight="false" outlineLevel="0" collapsed="false">
      <c r="B21757" s="0" t="s">
        <v>7</v>
      </c>
      <c r="C21757" s="0" t="s">
        <v>191</v>
      </c>
      <c r="D21757" s="0" t="s">
        <v>108</v>
      </c>
      <c r="E21757" s="0" t="s">
        <v>126</v>
      </c>
      <c r="F21757" s="0" t="s">
        <v>126</v>
      </c>
    </row>
    <row r="21758" customFormat="false" ht="12.8" hidden="false" customHeight="false" outlineLevel="0" collapsed="false">
      <c r="B21758" s="0" t="s">
        <v>14</v>
      </c>
      <c r="C21758" s="0" t="s">
        <v>155</v>
      </c>
      <c r="D21758" s="0" t="s">
        <v>625</v>
      </c>
      <c r="E21758" s="0" t="s">
        <v>1146</v>
      </c>
      <c r="F21758" s="0" t="s">
        <v>1146</v>
      </c>
    </row>
    <row r="21759" customFormat="false" ht="12.8" hidden="false" customHeight="false" outlineLevel="0" collapsed="false">
      <c r="B21759" s="0" t="s">
        <v>48</v>
      </c>
      <c r="C21759" s="0" t="s">
        <v>1165</v>
      </c>
      <c r="D21759" s="0" t="s">
        <v>8227</v>
      </c>
      <c r="E21759" s="0" t="s">
        <v>8228</v>
      </c>
      <c r="F21759" s="0" t="s">
        <v>8228</v>
      </c>
    </row>
    <row r="21761" customFormat="false" ht="12.8" hidden="false" customHeight="false" outlineLevel="0" collapsed="false">
      <c r="A21761" s="0" t="s">
        <v>8229</v>
      </c>
      <c r="B21761" s="0" t="str">
        <f aca="false">HYPERLINK("https://lindat.mff.cuni.cz/services/teitok/pdtc10/index.php?action=vallex&amp;frame=v-w2735f1", "odkázat (v-w2735f1)")</f>
        <v>odkázat (v-w2735f1)</v>
      </c>
    </row>
    <row r="21762" customFormat="false" ht="12.8" hidden="false" customHeight="false" outlineLevel="0" collapsed="false">
      <c r="B21762" s="0" t="s">
        <v>7</v>
      </c>
      <c r="C21762" s="0" t="s">
        <v>335</v>
      </c>
    </row>
    <row r="21763" customFormat="false" ht="12.8" hidden="false" customHeight="false" outlineLevel="0" collapsed="false">
      <c r="B21763" s="0" t="s">
        <v>147</v>
      </c>
      <c r="C21763" s="0" t="s">
        <v>8230</v>
      </c>
    </row>
    <row r="21764" customFormat="false" ht="12.8" hidden="false" customHeight="false" outlineLevel="0" collapsed="false">
      <c r="B21764" s="0" t="s">
        <v>81</v>
      </c>
      <c r="C21764" s="0" t="s">
        <v>8231</v>
      </c>
    </row>
    <row r="21766" customFormat="false" ht="12.8" hidden="false" customHeight="false" outlineLevel="0" collapsed="false">
      <c r="A21766" s="0" t="s">
        <v>8232</v>
      </c>
      <c r="B21766" s="0" t="str">
        <f aca="false">HYPERLINK("https://lindat.mff.cuni.cz/services/teitok/pdtc10/index.php?action=vallex&amp;frame=v-w2735f3", "odkázat (v-w2735f3)")</f>
        <v>odkázat (v-w2735f3)</v>
      </c>
    </row>
    <row r="21767" customFormat="false" ht="12.8" hidden="false" customHeight="false" outlineLevel="0" collapsed="false">
      <c r="B21767" s="0" t="s">
        <v>7</v>
      </c>
    </row>
    <row r="21768" customFormat="false" ht="12.8" hidden="false" customHeight="false" outlineLevel="0" collapsed="false">
      <c r="B21768" s="0" t="s">
        <v>14</v>
      </c>
    </row>
    <row r="21769" customFormat="false" ht="12.8" hidden="false" customHeight="false" outlineLevel="0" collapsed="false">
      <c r="B21769" s="0" t="s">
        <v>124</v>
      </c>
    </row>
    <row r="21771" customFormat="false" ht="12.8" hidden="false" customHeight="false" outlineLevel="0" collapsed="false">
      <c r="A21771" s="0" t="s">
        <v>8233</v>
      </c>
      <c r="B21771" s="0" t="str">
        <f aca="false">HYPERLINK("https://lindat.mff.cuni.cz/services/teitok/pdtc10/index.php?action=vallex&amp;frame=v-w11790_ZUf1_ZU", "odkývat (v-w11790_ZUf1_ZU)")</f>
        <v>odkývat (v-w11790_ZUf1_ZU)</v>
      </c>
    </row>
    <row r="21772" customFormat="false" ht="12.8" hidden="false" customHeight="false" outlineLevel="0" collapsed="false">
      <c r="B21772" s="0" t="s">
        <v>7</v>
      </c>
    </row>
    <row r="21773" customFormat="false" ht="12.8" hidden="false" customHeight="false" outlineLevel="0" collapsed="false">
      <c r="B21773" s="0" t="s">
        <v>14</v>
      </c>
    </row>
    <row r="21774" customFormat="false" ht="12.8" hidden="false" customHeight="false" outlineLevel="0" collapsed="false">
      <c r="B21774" s="0" t="s">
        <v>106</v>
      </c>
    </row>
    <row r="21776" customFormat="false" ht="12.8" hidden="false" customHeight="false" outlineLevel="0" collapsed="false">
      <c r="A21776" s="0" t="s">
        <v>8234</v>
      </c>
      <c r="B21776" s="0" t="str">
        <f aca="false">HYPERLINK("https://lindat.mff.cuni.cz/services/teitok/pdtc10/index.php?action=vallex&amp;frame=v-w2755f1", "odlehčit (v-w2755f1)")</f>
        <v>odlehčit (v-w2755f1)</v>
      </c>
    </row>
    <row r="21777" customFormat="false" ht="12.8" hidden="false" customHeight="false" outlineLevel="0" collapsed="false">
      <c r="B21777" s="0" t="s">
        <v>7</v>
      </c>
    </row>
    <row r="21778" customFormat="false" ht="12.8" hidden="false" customHeight="false" outlineLevel="0" collapsed="false">
      <c r="B21778" s="0" t="s">
        <v>142</v>
      </c>
    </row>
    <row r="21780" customFormat="false" ht="12.8" hidden="false" customHeight="false" outlineLevel="0" collapsed="false">
      <c r="A21780" s="0" t="s">
        <v>8235</v>
      </c>
      <c r="B21780" s="0" t="str">
        <f aca="false">HYPERLINK("https://lindat.mff.cuni.cz/services/teitok/pdtc10/index.php?action=vallex&amp;frame=v-w2755hsa_1408", "odlehčit (v-w2755hsa_1408)")</f>
        <v>odlehčit (v-w2755hsa_1408)</v>
      </c>
    </row>
    <row r="21781" customFormat="false" ht="12.8" hidden="false" customHeight="false" outlineLevel="0" collapsed="false">
      <c r="B21781" s="0" t="s">
        <v>7</v>
      </c>
    </row>
    <row r="21782" customFormat="false" ht="12.8" hidden="false" customHeight="false" outlineLevel="0" collapsed="false">
      <c r="B21782" s="0" t="s">
        <v>14</v>
      </c>
    </row>
    <row r="21784" customFormat="false" ht="12.8" hidden="false" customHeight="false" outlineLevel="0" collapsed="false">
      <c r="A21784" s="0" t="s">
        <v>8236</v>
      </c>
      <c r="B21784" s="0" t="str">
        <f aca="false">HYPERLINK("https://lindat.mff.cuni.cz/services/teitok/pdtc10/index.php?action=vallex&amp;frame=v-w2756f1", "odlepit se (v-w2756f1)")</f>
        <v>odlepit se (v-w2756f1)</v>
      </c>
    </row>
    <row r="21785" customFormat="false" ht="12.8" hidden="false" customHeight="false" outlineLevel="0" collapsed="false">
      <c r="B21785" s="0" t="s">
        <v>7</v>
      </c>
    </row>
    <row r="21786" customFormat="false" ht="12.8" hidden="false" customHeight="false" outlineLevel="0" collapsed="false">
      <c r="B21786" s="0" t="s">
        <v>459</v>
      </c>
    </row>
    <row r="21788" customFormat="false" ht="12.8" hidden="false" customHeight="false" outlineLevel="0" collapsed="false">
      <c r="A21788" s="0" t="s">
        <v>8237</v>
      </c>
      <c r="B21788" s="0" t="str">
        <f aca="false">HYPERLINK("https://lindat.mff.cuni.cz/services/teitok/pdtc10/index.php?action=vallex&amp;frame=v-whsa_958hsa_959", "odlepkovávat (v-whsa_958hsa_959)")</f>
        <v>odlepkovávat (v-whsa_958hsa_959)</v>
      </c>
    </row>
    <row r="21789" customFormat="false" ht="12.8" hidden="false" customHeight="false" outlineLevel="0" collapsed="false">
      <c r="B21789" s="0" t="s">
        <v>7</v>
      </c>
    </row>
    <row r="21790" customFormat="false" ht="12.8" hidden="false" customHeight="false" outlineLevel="0" collapsed="false">
      <c r="B21790" s="0" t="s">
        <v>14</v>
      </c>
    </row>
    <row r="21792" customFormat="false" ht="12.8" hidden="false" customHeight="false" outlineLevel="0" collapsed="false">
      <c r="A21792" s="0" t="s">
        <v>8238</v>
      </c>
      <c r="B21792" s="0" t="str">
        <f aca="false">HYPERLINK("https://lindat.mff.cuni.cz/services/teitok/pdtc10/index.php?action=vallex&amp;frame=v-w2759f1", "odletět (v-w2759f1)")</f>
        <v>odletět (v-w2759f1)</v>
      </c>
    </row>
    <row r="21793" customFormat="false" ht="12.8" hidden="false" customHeight="false" outlineLevel="0" collapsed="false">
      <c r="B21793" s="0" t="s">
        <v>7</v>
      </c>
      <c r="C21793" s="0" t="s">
        <v>8239</v>
      </c>
      <c r="D21793" s="0" t="s">
        <v>5135</v>
      </c>
      <c r="E21793" s="0" t="s">
        <v>5135</v>
      </c>
      <c r="F21793" s="0" t="s">
        <v>5135</v>
      </c>
    </row>
    <row r="21794" customFormat="false" ht="12.8" hidden="false" customHeight="false" outlineLevel="0" collapsed="false">
      <c r="B21794" s="0" t="s">
        <v>459</v>
      </c>
    </row>
    <row r="21796" customFormat="false" ht="12.8" hidden="false" customHeight="false" outlineLevel="0" collapsed="false">
      <c r="A21796" s="0" t="s">
        <v>8240</v>
      </c>
      <c r="B21796" s="0" t="str">
        <f aca="false">HYPERLINK("https://lindat.mff.cuni.cz/services/teitok/pdtc10/index.php?action=vallex&amp;frame=v-w12393_MMf1_MM", "odležet se (v-w12393_MMf1_MM)")</f>
        <v>odležet se (v-w12393_MMf1_MM)</v>
      </c>
    </row>
    <row r="21797" customFormat="false" ht="12.8" hidden="false" customHeight="false" outlineLevel="0" collapsed="false">
      <c r="B21797" s="0" t="s">
        <v>7</v>
      </c>
    </row>
    <row r="21799" customFormat="false" ht="12.8" hidden="false" customHeight="false" outlineLevel="0" collapsed="false">
      <c r="A21799" s="0" t="s">
        <v>8241</v>
      </c>
      <c r="B21799" s="0" t="str">
        <f aca="false">HYPERLINK("https://lindat.mff.cuni.cz/services/teitok/pdtc10/index.php?action=vallex&amp;frame=v-w2761f1", "odlišit (v-w2761f1)")</f>
        <v>odlišit (v-w2761f1)</v>
      </c>
    </row>
    <row r="21800" customFormat="false" ht="12.8" hidden="false" customHeight="false" outlineLevel="0" collapsed="false">
      <c r="B21800" s="0" t="s">
        <v>7</v>
      </c>
      <c r="C21800" s="0" t="s">
        <v>46</v>
      </c>
      <c r="D21800" s="0" t="s">
        <v>46</v>
      </c>
      <c r="E21800" s="0" t="s">
        <v>46</v>
      </c>
      <c r="F21800" s="0" t="s">
        <v>46</v>
      </c>
    </row>
    <row r="21801" customFormat="false" ht="12.8" hidden="false" customHeight="false" outlineLevel="0" collapsed="false">
      <c r="B21801" s="0" t="s">
        <v>14</v>
      </c>
      <c r="C21801" s="0" t="s">
        <v>1209</v>
      </c>
      <c r="D21801" s="0" t="s">
        <v>1315</v>
      </c>
      <c r="E21801" s="0" t="s">
        <v>1315</v>
      </c>
      <c r="F21801" s="0" t="s">
        <v>1315</v>
      </c>
    </row>
    <row r="21802" customFormat="false" ht="12.8" hidden="false" customHeight="false" outlineLevel="0" collapsed="false">
      <c r="B21802" s="0" t="s">
        <v>1592</v>
      </c>
      <c r="C21802" s="0" t="s">
        <v>2480</v>
      </c>
      <c r="D21802" s="0" t="s">
        <v>8242</v>
      </c>
      <c r="E21802" s="0" t="s">
        <v>8242</v>
      </c>
      <c r="F21802" s="0" t="s">
        <v>8242</v>
      </c>
    </row>
    <row r="21804" customFormat="false" ht="12.8" hidden="false" customHeight="false" outlineLevel="0" collapsed="false">
      <c r="A21804" s="0" t="s">
        <v>8243</v>
      </c>
      <c r="B21804" s="0" t="str">
        <f aca="false">HYPERLINK("https://lindat.mff.cuni.cz/services/teitok/pdtc10/index.php?action=vallex&amp;frame=v-w11534_ZUf1_ZU", "odlišit se (v-w11534_ZUf1_ZU)")</f>
        <v>odlišit se (v-w11534_ZUf1_ZU)</v>
      </c>
    </row>
    <row r="21805" customFormat="false" ht="12.8" hidden="false" customHeight="false" outlineLevel="0" collapsed="false">
      <c r="B21805" s="0" t="s">
        <v>7</v>
      </c>
      <c r="C21805" s="0" t="s">
        <v>191</v>
      </c>
      <c r="D21805" s="0" t="s">
        <v>1380</v>
      </c>
      <c r="E21805" s="0" t="s">
        <v>1380</v>
      </c>
      <c r="F21805" s="0" t="s">
        <v>1380</v>
      </c>
    </row>
    <row r="21806" customFormat="false" ht="12.8" hidden="false" customHeight="false" outlineLevel="0" collapsed="false">
      <c r="B21806" s="0" t="s">
        <v>28</v>
      </c>
      <c r="C21806" s="0" t="s">
        <v>8244</v>
      </c>
      <c r="D21806" s="0" t="s">
        <v>8245</v>
      </c>
      <c r="E21806" s="0" t="s">
        <v>8245</v>
      </c>
      <c r="F21806" s="0" t="s">
        <v>8245</v>
      </c>
    </row>
    <row r="21808" customFormat="false" ht="12.8" hidden="false" customHeight="false" outlineLevel="0" collapsed="false">
      <c r="A21808" s="0" t="s">
        <v>8246</v>
      </c>
      <c r="B21808" s="0" t="str">
        <f aca="false">HYPERLINK("https://lindat.mff.cuni.cz/services/teitok/pdtc10/index.php?action=vallex&amp;frame=v-w2764f1", "odlišovat (v-w2764f1)")</f>
        <v>odlišovat (v-w2764f1)</v>
      </c>
    </row>
    <row r="21809" customFormat="false" ht="12.8" hidden="false" customHeight="false" outlineLevel="0" collapsed="false">
      <c r="B21809" s="0" t="s">
        <v>7</v>
      </c>
      <c r="D21809" s="0" t="s">
        <v>46</v>
      </c>
      <c r="E21809" s="0" t="s">
        <v>46</v>
      </c>
      <c r="F21809" s="0" t="s">
        <v>46</v>
      </c>
    </row>
    <row r="21810" customFormat="false" ht="12.8" hidden="false" customHeight="false" outlineLevel="0" collapsed="false">
      <c r="B21810" s="0" t="s">
        <v>14</v>
      </c>
      <c r="D21810" s="0" t="s">
        <v>1315</v>
      </c>
      <c r="E21810" s="0" t="s">
        <v>1315</v>
      </c>
      <c r="F21810" s="0" t="s">
        <v>1315</v>
      </c>
    </row>
    <row r="21811" customFormat="false" ht="12.8" hidden="false" customHeight="false" outlineLevel="0" collapsed="false">
      <c r="B21811" s="0" t="s">
        <v>1592</v>
      </c>
      <c r="D21811" s="0" t="s">
        <v>8242</v>
      </c>
      <c r="E21811" s="0" t="s">
        <v>8242</v>
      </c>
      <c r="F21811" s="0" t="s">
        <v>8242</v>
      </c>
    </row>
    <row r="21813" customFormat="false" ht="12.8" hidden="false" customHeight="false" outlineLevel="0" collapsed="false">
      <c r="A21813" s="0" t="s">
        <v>8247</v>
      </c>
      <c r="B21813" s="0" t="str">
        <f aca="false">HYPERLINK("https://lindat.mff.cuni.cz/services/teitok/pdtc10/index.php?action=vallex&amp;frame=v-w2765f1", "odlišovat se (v-w2765f1)")</f>
        <v>odlišovat se (v-w2765f1)</v>
      </c>
    </row>
    <row r="21814" customFormat="false" ht="12.8" hidden="false" customHeight="false" outlineLevel="0" collapsed="false">
      <c r="B21814" s="0" t="s">
        <v>7</v>
      </c>
      <c r="C21814" s="0" t="s">
        <v>191</v>
      </c>
      <c r="D21814" s="0" t="s">
        <v>1380</v>
      </c>
      <c r="E21814" s="0" t="s">
        <v>1380</v>
      </c>
      <c r="F21814" s="0" t="s">
        <v>1380</v>
      </c>
    </row>
    <row r="21815" customFormat="false" ht="12.8" hidden="false" customHeight="false" outlineLevel="0" collapsed="false">
      <c r="B21815" s="0" t="s">
        <v>28</v>
      </c>
      <c r="D21815" s="0" t="s">
        <v>8245</v>
      </c>
      <c r="E21815" s="0" t="s">
        <v>8245</v>
      </c>
      <c r="F21815" s="0" t="s">
        <v>8245</v>
      </c>
    </row>
    <row r="21817" customFormat="false" ht="12.8" hidden="false" customHeight="false" outlineLevel="0" collapsed="false">
      <c r="A21817" s="0" t="s">
        <v>8248</v>
      </c>
      <c r="B21817" s="0" t="str">
        <f aca="false">HYPERLINK("https://lindat.mff.cuni.cz/services/teitok/pdtc10/index.php?action=vallex&amp;frame=v-w2769f2", "odloučit (v-w2769f2)")</f>
        <v>odloučit (v-w2769f2)</v>
      </c>
    </row>
    <row r="21818" customFormat="false" ht="12.8" hidden="false" customHeight="false" outlineLevel="0" collapsed="false">
      <c r="B21818" s="0" t="s">
        <v>7</v>
      </c>
    </row>
    <row r="21819" customFormat="false" ht="12.8" hidden="false" customHeight="false" outlineLevel="0" collapsed="false">
      <c r="B21819" s="0" t="s">
        <v>14</v>
      </c>
    </row>
    <row r="21820" customFormat="false" ht="12.8" hidden="false" customHeight="false" outlineLevel="0" collapsed="false">
      <c r="B21820" s="0" t="s">
        <v>1592</v>
      </c>
    </row>
    <row r="21822" customFormat="false" ht="12.8" hidden="false" customHeight="false" outlineLevel="0" collapsed="false">
      <c r="A21822" s="0" t="s">
        <v>8248</v>
      </c>
      <c r="B21822" s="0" t="str">
        <f aca="false">HYPERLINK("https://lindat.mff.cuni.cz/services/teitok/pdtc10/index.php?action=vallex&amp;frame=v-w2769f1", "odloučit (v-w2769f1) - substituted with v-w2769f2")</f>
        <v>odloučit (v-w2769f1) - substituted with v-w2769f2</v>
      </c>
    </row>
    <row r="21823" customFormat="false" ht="12.8" hidden="false" customHeight="false" outlineLevel="0" collapsed="false">
      <c r="B21823" s="0" t="s">
        <v>7</v>
      </c>
    </row>
    <row r="21824" customFormat="false" ht="12.8" hidden="false" customHeight="false" outlineLevel="0" collapsed="false">
      <c r="B21824" s="0" t="s">
        <v>14</v>
      </c>
    </row>
    <row r="21825" customFormat="false" ht="12.8" hidden="false" customHeight="false" outlineLevel="0" collapsed="false">
      <c r="B21825" s="0" t="s">
        <v>1592</v>
      </c>
    </row>
    <row r="21827" customFormat="false" ht="12.8" hidden="false" customHeight="false" outlineLevel="0" collapsed="false">
      <c r="A21827" s="0" t="s">
        <v>8249</v>
      </c>
      <c r="B21827" s="0" t="str">
        <f aca="false">HYPERLINK("https://lindat.mff.cuni.cz/services/teitok/pdtc10/index.php?action=vallex&amp;frame=v-w2771f1", "odložit (v-w2771f1)")</f>
        <v>odložit (v-w2771f1)</v>
      </c>
    </row>
    <row r="21828" customFormat="false" ht="12.8" hidden="false" customHeight="false" outlineLevel="0" collapsed="false">
      <c r="B21828" s="0" t="s">
        <v>7</v>
      </c>
      <c r="C21828" s="0" t="s">
        <v>8250</v>
      </c>
      <c r="D21828" s="0" t="s">
        <v>8024</v>
      </c>
      <c r="E21828" s="0" t="s">
        <v>8024</v>
      </c>
      <c r="F21828" s="0" t="s">
        <v>8024</v>
      </c>
    </row>
    <row r="21829" customFormat="false" ht="12.8" hidden="false" customHeight="false" outlineLevel="0" collapsed="false">
      <c r="B21829" s="0" t="s">
        <v>14</v>
      </c>
      <c r="C21829" s="0" t="s">
        <v>8251</v>
      </c>
      <c r="D21829" s="0" t="s">
        <v>8025</v>
      </c>
      <c r="E21829" s="0" t="s">
        <v>8025</v>
      </c>
      <c r="F21829" s="0" t="s">
        <v>8025</v>
      </c>
    </row>
    <row r="21831" customFormat="false" ht="12.8" hidden="false" customHeight="false" outlineLevel="0" collapsed="false">
      <c r="A21831" s="0" t="s">
        <v>8252</v>
      </c>
      <c r="B21831" s="0" t="str">
        <f aca="false">HYPERLINK("https://lindat.mff.cuni.cz/services/teitok/pdtc10/index.php?action=vallex&amp;frame=v-w2771f2", "odložit (v-w2771f2)")</f>
        <v>odložit (v-w2771f2)</v>
      </c>
    </row>
    <row r="21832" customFormat="false" ht="12.8" hidden="false" customHeight="false" outlineLevel="0" collapsed="false">
      <c r="B21832" s="0" t="s">
        <v>7</v>
      </c>
    </row>
    <row r="21833" customFormat="false" ht="12.8" hidden="false" customHeight="false" outlineLevel="0" collapsed="false">
      <c r="B21833" s="0" t="s">
        <v>14</v>
      </c>
    </row>
    <row r="21835" customFormat="false" ht="12.8" hidden="false" customHeight="false" outlineLevel="0" collapsed="false">
      <c r="A21835" s="0" t="s">
        <v>8253</v>
      </c>
      <c r="B21835" s="0" t="str">
        <f aca="false">HYPERLINK("https://lindat.mff.cuni.cz/services/teitok/pdtc10/index.php?action=vallex&amp;frame=v-w2771f6_ZU", "odložit (v-w2771f6_ZU)")</f>
        <v>odložit (v-w2771f6_ZU)</v>
      </c>
    </row>
    <row r="21836" customFormat="false" ht="12.8" hidden="false" customHeight="false" outlineLevel="0" collapsed="false">
      <c r="B21836" s="0" t="s">
        <v>7</v>
      </c>
    </row>
    <row r="21837" customFormat="false" ht="12.8" hidden="false" customHeight="false" outlineLevel="0" collapsed="false">
      <c r="B21837" s="0" t="s">
        <v>14</v>
      </c>
    </row>
    <row r="21839" customFormat="false" ht="12.8" hidden="false" customHeight="false" outlineLevel="0" collapsed="false">
      <c r="A21839" s="0" t="s">
        <v>8253</v>
      </c>
      <c r="B21839" s="0" t="str">
        <f aca="false">HYPERLINK("https://lindat.mff.cuni.cz/services/teitok/pdtc10/index.php?action=vallex&amp;frame=v-w2771f3_ZU", "odložit (v-w2771f3_ZU) - substituted with v-w2771f6_ZU")</f>
        <v>odložit (v-w2771f3_ZU) - substituted with v-w2771f6_ZU</v>
      </c>
    </row>
    <row r="21840" customFormat="false" ht="12.8" hidden="false" customHeight="false" outlineLevel="0" collapsed="false">
      <c r="B21840" s="0" t="s">
        <v>7</v>
      </c>
    </row>
    <row r="21841" customFormat="false" ht="12.8" hidden="false" customHeight="false" outlineLevel="0" collapsed="false">
      <c r="B21841" s="0" t="s">
        <v>14</v>
      </c>
    </row>
    <row r="21843" customFormat="false" ht="12.8" hidden="false" customHeight="false" outlineLevel="0" collapsed="false">
      <c r="A21843" s="0" t="s">
        <v>8253</v>
      </c>
      <c r="B21843" s="0" t="str">
        <f aca="false">HYPERLINK("https://lindat.mff.cuni.cz/services/teitok/pdtc10/index.php?action=vallex&amp;frame=v-w2771f4_ZU", "odložit (v-w2771f4_ZU) - substituted with v-w2771f6_ZU")</f>
        <v>odložit (v-w2771f4_ZU) - substituted with v-w2771f6_ZU</v>
      </c>
    </row>
    <row r="21844" customFormat="false" ht="12.8" hidden="false" customHeight="false" outlineLevel="0" collapsed="false">
      <c r="B21844" s="0" t="s">
        <v>7</v>
      </c>
    </row>
    <row r="21845" customFormat="false" ht="12.8" hidden="false" customHeight="false" outlineLevel="0" collapsed="false">
      <c r="B21845" s="0" t="s">
        <v>14</v>
      </c>
    </row>
    <row r="21847" customFormat="false" ht="12.8" hidden="false" customHeight="false" outlineLevel="0" collapsed="false">
      <c r="A21847" s="0" t="s">
        <v>8253</v>
      </c>
      <c r="B21847" s="0" t="str">
        <f aca="false">HYPERLINK("https://lindat.mff.cuni.cz/services/teitok/pdtc10/index.php?action=vallex&amp;frame=v-w2771f5_ZU", "odložit (v-w2771f5_ZU) - substituted with v-w2771f6_ZU")</f>
        <v>odložit (v-w2771f5_ZU) - substituted with v-w2771f6_ZU</v>
      </c>
    </row>
    <row r="21848" customFormat="false" ht="12.8" hidden="false" customHeight="false" outlineLevel="0" collapsed="false">
      <c r="B21848" s="0" t="s">
        <v>7</v>
      </c>
    </row>
    <row r="21849" customFormat="false" ht="12.8" hidden="false" customHeight="false" outlineLevel="0" collapsed="false">
      <c r="B21849" s="0" t="s">
        <v>14</v>
      </c>
    </row>
    <row r="21851" customFormat="false" ht="12.8" hidden="false" customHeight="false" outlineLevel="0" collapsed="false">
      <c r="A21851" s="0" t="s">
        <v>8254</v>
      </c>
      <c r="B21851" s="0" t="str">
        <f aca="false">HYPERLINK("https://lindat.mff.cuni.cz/services/teitok/pdtc10/index.php?action=vallex&amp;frame=v-w2774f1", "odlupovat (v-w2774f1)")</f>
        <v>odlupovat (v-w2774f1)</v>
      </c>
    </row>
    <row r="21852" customFormat="false" ht="12.8" hidden="false" customHeight="false" outlineLevel="0" collapsed="false">
      <c r="B21852" s="0" t="s">
        <v>7</v>
      </c>
      <c r="D21852" s="0" t="s">
        <v>1777</v>
      </c>
      <c r="E21852" s="0" t="s">
        <v>1777</v>
      </c>
      <c r="F21852" s="0" t="s">
        <v>1777</v>
      </c>
    </row>
    <row r="21853" customFormat="false" ht="12.8" hidden="false" customHeight="false" outlineLevel="0" collapsed="false">
      <c r="B21853" s="0" t="s">
        <v>14</v>
      </c>
      <c r="D21853" s="0" t="s">
        <v>4252</v>
      </c>
      <c r="E21853" s="0" t="s">
        <v>4252</v>
      </c>
      <c r="F21853" s="0" t="s">
        <v>4252</v>
      </c>
    </row>
    <row r="21854" customFormat="false" ht="12.8" hidden="false" customHeight="false" outlineLevel="0" collapsed="false">
      <c r="B21854" s="0" t="s">
        <v>441</v>
      </c>
      <c r="D21854" s="0" t="s">
        <v>2480</v>
      </c>
      <c r="E21854" s="0" t="s">
        <v>2480</v>
      </c>
      <c r="F21854" s="0" t="s">
        <v>2480</v>
      </c>
    </row>
    <row r="21856" customFormat="false" ht="12.8" hidden="false" customHeight="false" outlineLevel="0" collapsed="false">
      <c r="A21856" s="0" t="s">
        <v>8255</v>
      </c>
      <c r="B21856" s="0" t="str">
        <f aca="false">HYPERLINK("https://lindat.mff.cuni.cz/services/teitok/pdtc10/index.php?action=vallex&amp;frame=v-w2753f1", "odlákat (v-w2753f1)")</f>
        <v>odlákat (v-w2753f1)</v>
      </c>
    </row>
    <row r="21857" customFormat="false" ht="12.8" hidden="false" customHeight="false" outlineLevel="0" collapsed="false">
      <c r="B21857" s="0" t="s">
        <v>7</v>
      </c>
      <c r="C21857" s="0" t="s">
        <v>623</v>
      </c>
    </row>
    <row r="21858" customFormat="false" ht="12.8" hidden="false" customHeight="false" outlineLevel="0" collapsed="false">
      <c r="B21858" s="0" t="s">
        <v>14</v>
      </c>
      <c r="C21858" s="0" t="s">
        <v>89</v>
      </c>
    </row>
    <row r="21859" customFormat="false" ht="12.8" hidden="false" customHeight="false" outlineLevel="0" collapsed="false">
      <c r="B21859" s="0" t="s">
        <v>459</v>
      </c>
    </row>
    <row r="21861" customFormat="false" ht="12.8" hidden="false" customHeight="false" outlineLevel="0" collapsed="false">
      <c r="A21861" s="0" t="s">
        <v>8256</v>
      </c>
      <c r="B21861" s="0" t="str">
        <f aca="false">HYPERLINK("https://lindat.mff.cuni.cz/services/teitok/pdtc10/index.php?action=vallex&amp;frame=v-w10141f2", "odlákávat (v-w10141f2)")</f>
        <v>odlákávat (v-w10141f2)</v>
      </c>
    </row>
    <row r="21862" customFormat="false" ht="12.8" hidden="false" customHeight="false" outlineLevel="0" collapsed="false">
      <c r="B21862" s="0" t="s">
        <v>7</v>
      </c>
      <c r="C21862" s="0" t="s">
        <v>623</v>
      </c>
    </row>
    <row r="21863" customFormat="false" ht="12.8" hidden="false" customHeight="false" outlineLevel="0" collapsed="false">
      <c r="B21863" s="0" t="s">
        <v>14</v>
      </c>
      <c r="C21863" s="0" t="s">
        <v>89</v>
      </c>
    </row>
    <row r="21864" customFormat="false" ht="12.8" hidden="false" customHeight="false" outlineLevel="0" collapsed="false">
      <c r="B21864" s="0" t="s">
        <v>459</v>
      </c>
    </row>
    <row r="21866" customFormat="false" ht="12.8" hidden="false" customHeight="false" outlineLevel="0" collapsed="false">
      <c r="A21866" s="0" t="s">
        <v>8257</v>
      </c>
      <c r="B21866" s="0" t="str">
        <f aca="false">HYPERLINK("https://lindat.mff.cuni.cz/services/teitok/pdtc10/index.php?action=vallex&amp;frame=v-w2758f1", "odlétat (v-w2758f1)")</f>
        <v>odlétat (v-w2758f1)</v>
      </c>
    </row>
    <row r="21867" customFormat="false" ht="12.8" hidden="false" customHeight="false" outlineLevel="0" collapsed="false">
      <c r="B21867" s="0" t="s">
        <v>7</v>
      </c>
    </row>
    <row r="21868" customFormat="false" ht="12.8" hidden="false" customHeight="false" outlineLevel="0" collapsed="false">
      <c r="B21868" s="0" t="s">
        <v>459</v>
      </c>
    </row>
    <row r="21870" customFormat="false" ht="12.8" hidden="false" customHeight="false" outlineLevel="0" collapsed="false">
      <c r="A21870" s="0" t="s">
        <v>8258</v>
      </c>
      <c r="B21870" s="0" t="str">
        <f aca="false">HYPERLINK("https://lindat.mff.cuni.cz/services/teitok/pdtc10/index.php?action=vallex&amp;frame=v-w10151f2", "odlít (v-w10151f2)")</f>
        <v>odlít (v-w10151f2)</v>
      </c>
    </row>
    <row r="21871" customFormat="false" ht="12.8" hidden="false" customHeight="false" outlineLevel="0" collapsed="false">
      <c r="B21871" s="0" t="s">
        <v>7</v>
      </c>
    </row>
    <row r="21872" customFormat="false" ht="12.8" hidden="false" customHeight="false" outlineLevel="0" collapsed="false">
      <c r="B21872" s="0" t="s">
        <v>14</v>
      </c>
    </row>
    <row r="21874" customFormat="false" ht="12.8" hidden="false" customHeight="false" outlineLevel="0" collapsed="false">
      <c r="A21874" s="0" t="s">
        <v>8259</v>
      </c>
      <c r="B21874" s="0" t="str">
        <f aca="false">HYPERLINK("https://lindat.mff.cuni.cz/services/teitok/pdtc10/index.php?action=vallex&amp;frame=v-w10151hsa_2025", "odlít (v-w10151hsa_2025)")</f>
        <v>odlít (v-w10151hsa_2025)</v>
      </c>
    </row>
    <row r="21875" customFormat="false" ht="12.8" hidden="false" customHeight="false" outlineLevel="0" collapsed="false">
      <c r="B21875" s="0" t="s">
        <v>7</v>
      </c>
    </row>
    <row r="21876" customFormat="false" ht="12.8" hidden="false" customHeight="false" outlineLevel="0" collapsed="false">
      <c r="B21876" s="0" t="s">
        <v>14</v>
      </c>
    </row>
    <row r="21878" customFormat="false" ht="12.8" hidden="false" customHeight="false" outlineLevel="0" collapsed="false">
      <c r="A21878" s="0" t="s">
        <v>8260</v>
      </c>
      <c r="B21878" s="0" t="str">
        <f aca="false">HYPERLINK("https://lindat.mff.cuni.cz/services/teitok/pdtc10/index.php?action=vallex&amp;frame=v-whsa_1798hsa_1799", "odmalovat (v-whsa_1798hsa_1799)")</f>
        <v>odmalovat (v-whsa_1798hsa_1799)</v>
      </c>
    </row>
    <row r="21879" customFormat="false" ht="12.8" hidden="false" customHeight="false" outlineLevel="0" collapsed="false">
      <c r="B21879" s="0" t="s">
        <v>7</v>
      </c>
    </row>
    <row r="21880" customFormat="false" ht="12.8" hidden="false" customHeight="false" outlineLevel="0" collapsed="false">
      <c r="B21880" s="0" t="s">
        <v>14</v>
      </c>
    </row>
    <row r="21882" customFormat="false" ht="12.8" hidden="false" customHeight="false" outlineLevel="0" collapsed="false">
      <c r="A21882" s="0" t="s">
        <v>8261</v>
      </c>
      <c r="B21882" s="0" t="str">
        <f aca="false">HYPERLINK("https://lindat.mff.cuni.cz/services/teitok/pdtc10/index.php?action=vallex&amp;frame=v-w10103f2", "odmaturovat (v-w10103f2)")</f>
        <v>odmaturovat (v-w10103f2)</v>
      </c>
    </row>
    <row r="21883" customFormat="false" ht="12.8" hidden="false" customHeight="false" outlineLevel="0" collapsed="false">
      <c r="B21883" s="0" t="s">
        <v>7</v>
      </c>
      <c r="D21883" s="0" t="s">
        <v>16</v>
      </c>
      <c r="E21883" s="0" t="s">
        <v>16</v>
      </c>
      <c r="F21883" s="0" t="s">
        <v>16</v>
      </c>
    </row>
    <row r="21884" customFormat="false" ht="12.8" hidden="false" customHeight="false" outlineLevel="0" collapsed="false">
      <c r="B21884" s="0" t="s">
        <v>581</v>
      </c>
      <c r="D21884" s="0" t="s">
        <v>18</v>
      </c>
      <c r="E21884" s="0" t="s">
        <v>18</v>
      </c>
      <c r="F21884" s="0" t="s">
        <v>18</v>
      </c>
    </row>
    <row r="21886" customFormat="false" ht="12.8" hidden="false" customHeight="false" outlineLevel="0" collapsed="false">
      <c r="A21886" s="0" t="s">
        <v>8262</v>
      </c>
      <c r="B21886" s="0" t="str">
        <f aca="false">HYPERLINK("https://lindat.mff.cuni.cz/services/teitok/pdtc10/index.php?action=vallex&amp;frame=v-w11897_ZUf1_ZU", "odmlouvat (v-w11897_ZUf1_ZU)")</f>
        <v>odmlouvat (v-w11897_ZUf1_ZU)</v>
      </c>
    </row>
    <row r="21887" customFormat="false" ht="12.8" hidden="false" customHeight="false" outlineLevel="0" collapsed="false">
      <c r="B21887" s="0" t="s">
        <v>7</v>
      </c>
    </row>
    <row r="21888" customFormat="false" ht="12.8" hidden="false" customHeight="false" outlineLevel="0" collapsed="false">
      <c r="B21888" s="0" t="s">
        <v>142</v>
      </c>
    </row>
    <row r="21890" customFormat="false" ht="12.8" hidden="false" customHeight="false" outlineLevel="0" collapsed="false">
      <c r="A21890" s="0" t="s">
        <v>8263</v>
      </c>
      <c r="B21890" s="0" t="str">
        <f aca="false">HYPERLINK("https://lindat.mff.cuni.cz/services/teitok/pdtc10/index.php?action=vallex&amp;frame=v-w2788f2_ZU", "odmlčet se (v-w2788f2_ZU)")</f>
        <v>odmlčet se (v-w2788f2_ZU)</v>
      </c>
    </row>
    <row r="21891" customFormat="false" ht="12.8" hidden="false" customHeight="false" outlineLevel="0" collapsed="false">
      <c r="B21891" s="0" t="s">
        <v>7</v>
      </c>
    </row>
    <row r="21893" customFormat="false" ht="12.8" hidden="false" customHeight="false" outlineLevel="0" collapsed="false">
      <c r="A21893" s="0" t="s">
        <v>8263</v>
      </c>
      <c r="B21893" s="0" t="str">
        <f aca="false">HYPERLINK("https://lindat.mff.cuni.cz/services/teitok/pdtc10/index.php?action=vallex&amp;frame=v-w2788f1", "odmlčet se (v-w2788f1) - substituted with v-w2788f2_ZU")</f>
        <v>odmlčet se (v-w2788f1) - substituted with v-w2788f2_ZU</v>
      </c>
    </row>
    <row r="21894" customFormat="false" ht="12.8" hidden="false" customHeight="false" outlineLevel="0" collapsed="false">
      <c r="B21894" s="0" t="s">
        <v>7</v>
      </c>
      <c r="C21894" s="0" t="s">
        <v>113</v>
      </c>
    </row>
    <row r="21896" customFormat="false" ht="12.8" hidden="false" customHeight="false" outlineLevel="0" collapsed="false">
      <c r="A21896" s="0" t="s">
        <v>8264</v>
      </c>
      <c r="B21896" s="0" t="str">
        <f aca="false">HYPERLINK("https://lindat.mff.cuni.cz/services/teitok/pdtc10/index.php?action=vallex&amp;frame=v-w2789f1", "odmontovat (v-w2789f1)")</f>
        <v>odmontovat (v-w2789f1)</v>
      </c>
    </row>
    <row r="21897" customFormat="false" ht="12.8" hidden="false" customHeight="false" outlineLevel="0" collapsed="false">
      <c r="B21897" s="0" t="s">
        <v>7</v>
      </c>
    </row>
    <row r="21898" customFormat="false" ht="12.8" hidden="false" customHeight="false" outlineLevel="0" collapsed="false">
      <c r="B21898" s="0" t="s">
        <v>14</v>
      </c>
    </row>
    <row r="21899" customFormat="false" ht="12.8" hidden="false" customHeight="false" outlineLevel="0" collapsed="false">
      <c r="B21899" s="0" t="s">
        <v>459</v>
      </c>
    </row>
    <row r="21901" customFormat="false" ht="12.8" hidden="false" customHeight="false" outlineLevel="0" collapsed="false">
      <c r="A21901" s="0" t="s">
        <v>8265</v>
      </c>
      <c r="B21901" s="0" t="str">
        <f aca="false">HYPERLINK("https://lindat.mff.cuni.cz/services/teitok/pdtc10/index.php?action=vallex&amp;frame=v-w2790f1", "odmrštit (v-w2790f1)")</f>
        <v>odmrštit (v-w2790f1)</v>
      </c>
    </row>
    <row r="21902" customFormat="false" ht="12.8" hidden="false" customHeight="false" outlineLevel="0" collapsed="false">
      <c r="B21902" s="0" t="s">
        <v>7</v>
      </c>
    </row>
    <row r="21903" customFormat="false" ht="12.8" hidden="false" customHeight="false" outlineLevel="0" collapsed="false">
      <c r="B21903" s="0" t="s">
        <v>14</v>
      </c>
    </row>
    <row r="21905" customFormat="false" ht="12.8" hidden="false" customHeight="false" outlineLevel="0" collapsed="false">
      <c r="A21905" s="0" t="s">
        <v>8266</v>
      </c>
      <c r="B21905" s="0" t="str">
        <f aca="false">HYPERLINK("https://lindat.mff.cuni.cz/services/teitok/pdtc10/index.php?action=vallex&amp;frame=v-w2791f1", "odmyslit si (v-w2791f1)")</f>
        <v>odmyslit si (v-w2791f1)</v>
      </c>
    </row>
    <row r="21906" customFormat="false" ht="12.8" hidden="false" customHeight="false" outlineLevel="0" collapsed="false">
      <c r="B21906" s="0" t="s">
        <v>7</v>
      </c>
    </row>
    <row r="21907" customFormat="false" ht="12.8" hidden="false" customHeight="false" outlineLevel="0" collapsed="false">
      <c r="B21907" s="0" t="s">
        <v>14</v>
      </c>
    </row>
    <row r="21909" customFormat="false" ht="12.8" hidden="false" customHeight="false" outlineLevel="0" collapsed="false">
      <c r="A21909" s="0" t="s">
        <v>8267</v>
      </c>
      <c r="B21909" s="0" t="str">
        <f aca="false">HYPERLINK("https://lindat.mff.cuni.cz/services/teitok/pdtc10/index.php?action=vallex&amp;frame=v-w2775f1", "odmávat (v-w2775f1)")</f>
        <v>odmávat (v-w2775f1)</v>
      </c>
    </row>
    <row r="21910" customFormat="false" ht="12.8" hidden="false" customHeight="false" outlineLevel="0" collapsed="false">
      <c r="B21910" s="0" t="s">
        <v>7</v>
      </c>
    </row>
    <row r="21911" customFormat="false" ht="12.8" hidden="false" customHeight="false" outlineLevel="0" collapsed="false">
      <c r="B21911" s="0" t="s">
        <v>14</v>
      </c>
    </row>
    <row r="21913" customFormat="false" ht="12.8" hidden="false" customHeight="false" outlineLevel="0" collapsed="false">
      <c r="A21913" s="0" t="s">
        <v>8268</v>
      </c>
      <c r="B21913" s="0" t="str">
        <f aca="false">HYPERLINK("https://lindat.mff.cuni.cz/services/teitok/pdtc10/index.php?action=vallex&amp;frame=v-w12228_ZUf1_ZU", "odmávnout (v-w12228_ZUf1_ZU)")</f>
        <v>odmávnout (v-w12228_ZUf1_ZU)</v>
      </c>
    </row>
    <row r="21914" customFormat="false" ht="12.8" hidden="false" customHeight="false" outlineLevel="0" collapsed="false">
      <c r="B21914" s="0" t="s">
        <v>7</v>
      </c>
    </row>
    <row r="21915" customFormat="false" ht="12.8" hidden="false" customHeight="false" outlineLevel="0" collapsed="false">
      <c r="B21915" s="0" t="s">
        <v>14</v>
      </c>
    </row>
    <row r="21917" customFormat="false" ht="12.8" hidden="false" customHeight="false" outlineLevel="0" collapsed="false">
      <c r="A21917" s="0" t="s">
        <v>8269</v>
      </c>
      <c r="B21917" s="0" t="str">
        <f aca="false">HYPERLINK("https://lindat.mff.cuni.cz/services/teitok/pdtc10/index.php?action=vallex&amp;frame=v-whsa_588hsa_589", "odmáčet (v-whsa_588hsa_589)")</f>
        <v>odmáčet (v-whsa_588hsa_589)</v>
      </c>
    </row>
    <row r="21918" customFormat="false" ht="12.8" hidden="false" customHeight="false" outlineLevel="0" collapsed="false">
      <c r="B21918" s="0" t="s">
        <v>7</v>
      </c>
      <c r="C21918" s="0" t="s">
        <v>191</v>
      </c>
    </row>
    <row r="21919" customFormat="false" ht="12.8" hidden="false" customHeight="false" outlineLevel="0" collapsed="false">
      <c r="B21919" s="0" t="s">
        <v>14</v>
      </c>
      <c r="C21919" s="0" t="s">
        <v>155</v>
      </c>
    </row>
    <row r="21921" customFormat="false" ht="12.8" hidden="false" customHeight="false" outlineLevel="0" collapsed="false">
      <c r="A21921" s="0" t="s">
        <v>8270</v>
      </c>
      <c r="B21921" s="0" t="str">
        <f aca="false">HYPERLINK("https://lindat.mff.cuni.cz/services/teitok/pdtc10/index.php?action=vallex&amp;frame=v-w2784f3", "odmítat (v-w2784f3)")</f>
        <v>odmítat (v-w2784f3)</v>
      </c>
    </row>
    <row r="21922" customFormat="false" ht="12.8" hidden="false" customHeight="false" outlineLevel="0" collapsed="false">
      <c r="B21922" s="0" t="s">
        <v>7</v>
      </c>
    </row>
    <row r="21923" customFormat="false" ht="12.8" hidden="false" customHeight="false" outlineLevel="0" collapsed="false">
      <c r="B21923" s="0" t="s">
        <v>8101</v>
      </c>
    </row>
    <row r="21924" customFormat="false" ht="12.8" hidden="false" customHeight="false" outlineLevel="0" collapsed="false">
      <c r="B21924" s="0" t="s">
        <v>48</v>
      </c>
    </row>
    <row r="21926" customFormat="false" ht="12.8" hidden="false" customHeight="false" outlineLevel="0" collapsed="false">
      <c r="A21926" s="0" t="s">
        <v>8271</v>
      </c>
      <c r="B21926" s="0" t="str">
        <f aca="false">HYPERLINK("https://lindat.mff.cuni.cz/services/teitok/pdtc10/index.php?action=vallex&amp;frame=v-w2784f2", "odmítat (v-w2784f2)")</f>
        <v>odmítat (v-w2784f2)</v>
      </c>
    </row>
    <row r="21927" customFormat="false" ht="12.8" hidden="false" customHeight="false" outlineLevel="0" collapsed="false">
      <c r="B21927" s="0" t="s">
        <v>7</v>
      </c>
      <c r="C21927" s="0" t="s">
        <v>8272</v>
      </c>
      <c r="D21927" s="0" t="s">
        <v>305</v>
      </c>
      <c r="E21927" s="0" t="s">
        <v>305</v>
      </c>
      <c r="F21927" s="0" t="s">
        <v>305</v>
      </c>
    </row>
    <row r="21928" customFormat="false" ht="12.8" hidden="false" customHeight="false" outlineLevel="0" collapsed="false">
      <c r="B21928" s="0" t="s">
        <v>8273</v>
      </c>
      <c r="C21928" s="0" t="s">
        <v>8274</v>
      </c>
      <c r="D21928" s="0" t="s">
        <v>307</v>
      </c>
      <c r="E21928" s="0" t="s">
        <v>307</v>
      </c>
      <c r="F21928" s="0" t="s">
        <v>307</v>
      </c>
    </row>
    <row r="21930" customFormat="false" ht="12.8" hidden="false" customHeight="false" outlineLevel="0" collapsed="false">
      <c r="A21930" s="0" t="s">
        <v>8275</v>
      </c>
      <c r="B21930" s="0" t="str">
        <f aca="false">HYPERLINK("https://lindat.mff.cuni.cz/services/teitok/pdtc10/index.php?action=vallex&amp;frame=v-w2784f1", "odmítat (v-w2784f1)")</f>
        <v>odmítat (v-w2784f1)</v>
      </c>
    </row>
    <row r="21931" customFormat="false" ht="12.8" hidden="false" customHeight="false" outlineLevel="0" collapsed="false">
      <c r="B21931" s="0" t="s">
        <v>7</v>
      </c>
      <c r="C21931" s="0" t="s">
        <v>8276</v>
      </c>
      <c r="D21931" s="0" t="s">
        <v>305</v>
      </c>
      <c r="E21931" s="0" t="s">
        <v>305</v>
      </c>
      <c r="F21931" s="0" t="s">
        <v>305</v>
      </c>
    </row>
    <row r="21932" customFormat="false" ht="12.8" hidden="false" customHeight="false" outlineLevel="0" collapsed="false">
      <c r="B21932" s="0" t="s">
        <v>306</v>
      </c>
      <c r="C21932" s="0" t="s">
        <v>7938</v>
      </c>
      <c r="D21932" s="0" t="s">
        <v>307</v>
      </c>
      <c r="E21932" s="0" t="s">
        <v>307</v>
      </c>
      <c r="F21932" s="0" t="s">
        <v>307</v>
      </c>
    </row>
    <row r="21934" customFormat="false" ht="12.8" hidden="false" customHeight="false" outlineLevel="0" collapsed="false">
      <c r="A21934" s="0" t="s">
        <v>8277</v>
      </c>
      <c r="B21934" s="0" t="str">
        <f aca="false">HYPERLINK("https://lindat.mff.cuni.cz/services/teitok/pdtc10/index.php?action=vallex&amp;frame=v-w2784hsa_1030", "odmítat (v-w2784hsa_1030)")</f>
        <v>odmítat (v-w2784hsa_1030)</v>
      </c>
    </row>
    <row r="21935" customFormat="false" ht="12.8" hidden="false" customHeight="false" outlineLevel="0" collapsed="false">
      <c r="B21935" s="0" t="s">
        <v>7</v>
      </c>
      <c r="C21935" s="0" t="s">
        <v>1801</v>
      </c>
      <c r="D21935" s="0" t="s">
        <v>305</v>
      </c>
      <c r="E21935" s="0" t="s">
        <v>305</v>
      </c>
      <c r="F21935" s="0" t="s">
        <v>305</v>
      </c>
    </row>
    <row r="21936" customFormat="false" ht="12.8" hidden="false" customHeight="false" outlineLevel="0" collapsed="false">
      <c r="B21936" s="0" t="s">
        <v>14</v>
      </c>
      <c r="C21936" s="0" t="s">
        <v>1093</v>
      </c>
      <c r="D21936" s="0" t="s">
        <v>307</v>
      </c>
      <c r="E21936" s="0" t="s">
        <v>307</v>
      </c>
      <c r="F21936" s="0" t="s">
        <v>307</v>
      </c>
    </row>
    <row r="21938" customFormat="false" ht="12.8" hidden="false" customHeight="false" outlineLevel="0" collapsed="false">
      <c r="A21938" s="0" t="s">
        <v>8278</v>
      </c>
      <c r="B21938" s="0" t="str">
        <f aca="false">HYPERLINK("https://lindat.mff.cuni.cz/services/teitok/pdtc10/index.php?action=vallex&amp;frame=v-w2785f3", "odmítnout (v-w2785f3)")</f>
        <v>odmítnout (v-w2785f3)</v>
      </c>
    </row>
    <row r="21939" customFormat="false" ht="12.8" hidden="false" customHeight="false" outlineLevel="0" collapsed="false">
      <c r="B21939" s="0" t="s">
        <v>7</v>
      </c>
      <c r="C21939" s="0" t="s">
        <v>3235</v>
      </c>
    </row>
    <row r="21940" customFormat="false" ht="12.8" hidden="false" customHeight="false" outlineLevel="0" collapsed="false">
      <c r="B21940" s="0" t="s">
        <v>8101</v>
      </c>
      <c r="C21940" s="0" t="s">
        <v>716</v>
      </c>
    </row>
    <row r="21941" customFormat="false" ht="12.8" hidden="false" customHeight="false" outlineLevel="0" collapsed="false">
      <c r="B21941" s="0" t="s">
        <v>48</v>
      </c>
    </row>
    <row r="21943" customFormat="false" ht="12.8" hidden="false" customHeight="false" outlineLevel="0" collapsed="false">
      <c r="A21943" s="0" t="s">
        <v>8279</v>
      </c>
      <c r="B21943" s="0" t="str">
        <f aca="false">HYPERLINK("https://lindat.mff.cuni.cz/services/teitok/pdtc10/index.php?action=vallex&amp;frame=v-w2785f2", "odmítnout (v-w2785f2)")</f>
        <v>odmítnout (v-w2785f2)</v>
      </c>
    </row>
    <row r="21944" customFormat="false" ht="12.8" hidden="false" customHeight="false" outlineLevel="0" collapsed="false">
      <c r="B21944" s="0" t="s">
        <v>8280</v>
      </c>
      <c r="C21944" s="0" t="s">
        <v>8281</v>
      </c>
      <c r="D21944" s="0" t="s">
        <v>305</v>
      </c>
      <c r="E21944" s="0" t="s">
        <v>305</v>
      </c>
      <c r="F21944" s="0" t="s">
        <v>305</v>
      </c>
    </row>
    <row r="21945" customFormat="false" ht="12.8" hidden="false" customHeight="false" outlineLevel="0" collapsed="false">
      <c r="B21945" s="0" t="s">
        <v>5859</v>
      </c>
      <c r="C21945" s="0" t="s">
        <v>8282</v>
      </c>
      <c r="D21945" s="0" t="s">
        <v>307</v>
      </c>
      <c r="E21945" s="0" t="s">
        <v>307</v>
      </c>
      <c r="F21945" s="0" t="s">
        <v>307</v>
      </c>
    </row>
    <row r="21947" customFormat="false" ht="12.8" hidden="false" customHeight="false" outlineLevel="0" collapsed="false">
      <c r="A21947" s="0" t="s">
        <v>8283</v>
      </c>
      <c r="B21947" s="0" t="str">
        <f aca="false">HYPERLINK("https://lindat.mff.cuni.cz/services/teitok/pdtc10/index.php?action=vallex&amp;frame=v-w2785f1", "odmítnout (v-w2785f1)")</f>
        <v>odmítnout (v-w2785f1)</v>
      </c>
    </row>
    <row r="21948" customFormat="false" ht="12.8" hidden="false" customHeight="false" outlineLevel="0" collapsed="false">
      <c r="B21948" s="0" t="s">
        <v>7</v>
      </c>
      <c r="C21948" s="0" t="s">
        <v>8284</v>
      </c>
      <c r="D21948" s="0" t="s">
        <v>305</v>
      </c>
      <c r="E21948" s="0" t="s">
        <v>305</v>
      </c>
      <c r="F21948" s="0" t="s">
        <v>305</v>
      </c>
    </row>
    <row r="21949" customFormat="false" ht="12.8" hidden="false" customHeight="false" outlineLevel="0" collapsed="false">
      <c r="B21949" s="0" t="s">
        <v>306</v>
      </c>
      <c r="C21949" s="0" t="s">
        <v>8285</v>
      </c>
      <c r="D21949" s="0" t="s">
        <v>307</v>
      </c>
      <c r="E21949" s="0" t="s">
        <v>307</v>
      </c>
      <c r="F21949" s="0" t="s">
        <v>307</v>
      </c>
    </row>
    <row r="21951" customFormat="false" ht="12.8" hidden="false" customHeight="false" outlineLevel="0" collapsed="false">
      <c r="A21951" s="0" t="s">
        <v>8286</v>
      </c>
      <c r="B21951" s="0" t="str">
        <f aca="false">HYPERLINK("https://lindat.mff.cuni.cz/services/teitok/pdtc10/index.php?action=vallex&amp;frame=v-w2785hsa_1036", "odmítnout (v-w2785hsa_1036)")</f>
        <v>odmítnout (v-w2785hsa_1036)</v>
      </c>
    </row>
    <row r="21952" customFormat="false" ht="12.8" hidden="false" customHeight="false" outlineLevel="0" collapsed="false">
      <c r="B21952" s="0" t="s">
        <v>7</v>
      </c>
      <c r="C21952" s="0" t="s">
        <v>1801</v>
      </c>
      <c r="D21952" s="0" t="s">
        <v>305</v>
      </c>
      <c r="E21952" s="0" t="s">
        <v>305</v>
      </c>
      <c r="F21952" s="0" t="s">
        <v>305</v>
      </c>
    </row>
    <row r="21953" customFormat="false" ht="12.8" hidden="false" customHeight="false" outlineLevel="0" collapsed="false">
      <c r="B21953" s="0" t="s">
        <v>14</v>
      </c>
      <c r="C21953" s="0" t="s">
        <v>1093</v>
      </c>
      <c r="D21953" s="0" t="s">
        <v>307</v>
      </c>
      <c r="E21953" s="0" t="s">
        <v>307</v>
      </c>
      <c r="F21953" s="0" t="s">
        <v>307</v>
      </c>
    </row>
    <row r="21955" customFormat="false" ht="12.8" hidden="false" customHeight="false" outlineLevel="0" collapsed="false">
      <c r="A21955" s="0" t="s">
        <v>8287</v>
      </c>
      <c r="B21955" s="0" t="str">
        <f aca="false">HYPERLINK("https://lindat.mff.cuni.cz/services/teitok/pdtc10/index.php?action=vallex&amp;frame=v-w2777f1", "odměnit (v-w2777f1)")</f>
        <v>odměnit (v-w2777f1)</v>
      </c>
    </row>
    <row r="21956" customFormat="false" ht="12.8" hidden="false" customHeight="false" outlineLevel="0" collapsed="false">
      <c r="B21956" s="0" t="s">
        <v>7</v>
      </c>
      <c r="C21956" s="0" t="s">
        <v>108</v>
      </c>
    </row>
    <row r="21957" customFormat="false" ht="12.8" hidden="false" customHeight="false" outlineLevel="0" collapsed="false">
      <c r="B21957" s="0" t="s">
        <v>14</v>
      </c>
      <c r="C21957" s="0" t="s">
        <v>8288</v>
      </c>
    </row>
    <row r="21959" customFormat="false" ht="12.8" hidden="false" customHeight="false" outlineLevel="0" collapsed="false">
      <c r="A21959" s="0" t="s">
        <v>8289</v>
      </c>
      <c r="B21959" s="0" t="str">
        <f aca="false">HYPERLINK("https://lindat.mff.cuni.cz/services/teitok/pdtc10/index.php?action=vallex&amp;frame=v-w2778f1", "odměnit se (v-w2778f1)")</f>
        <v>odměnit se (v-w2778f1)</v>
      </c>
    </row>
    <row r="21960" customFormat="false" ht="12.8" hidden="false" customHeight="false" outlineLevel="0" collapsed="false">
      <c r="B21960" s="0" t="s">
        <v>7</v>
      </c>
    </row>
    <row r="21961" customFormat="false" ht="12.8" hidden="false" customHeight="false" outlineLevel="0" collapsed="false">
      <c r="B21961" s="0" t="s">
        <v>142</v>
      </c>
    </row>
    <row r="21963" customFormat="false" ht="12.8" hidden="false" customHeight="false" outlineLevel="0" collapsed="false">
      <c r="A21963" s="0" t="s">
        <v>8290</v>
      </c>
      <c r="B21963" s="0" t="str">
        <f aca="false">HYPERLINK("https://lindat.mff.cuni.cz/services/teitok/pdtc10/index.php?action=vallex&amp;frame=v-w2780f1", "odměňovat (v-w2780f1)")</f>
        <v>odměňovat (v-w2780f1)</v>
      </c>
    </row>
    <row r="21964" customFormat="false" ht="12.8" hidden="false" customHeight="false" outlineLevel="0" collapsed="false">
      <c r="B21964" s="0" t="s">
        <v>7</v>
      </c>
      <c r="C21964" s="0" t="s">
        <v>569</v>
      </c>
    </row>
    <row r="21965" customFormat="false" ht="12.8" hidden="false" customHeight="false" outlineLevel="0" collapsed="false">
      <c r="B21965" s="0" t="s">
        <v>14</v>
      </c>
      <c r="C21965" s="0" t="s">
        <v>8291</v>
      </c>
    </row>
    <row r="21967" customFormat="false" ht="12.8" hidden="false" customHeight="false" outlineLevel="0" collapsed="false">
      <c r="A21967" s="0" t="s">
        <v>8292</v>
      </c>
      <c r="B21967" s="0" t="str">
        <f aca="false">HYPERLINK("https://lindat.mff.cuni.cz/services/teitok/pdtc10/index.php?action=vallex&amp;frame=v-whsa_952hsa_953", "odměňovat se (v-whsa_952hsa_953)")</f>
        <v>odměňovat se (v-whsa_952hsa_953)</v>
      </c>
    </row>
    <row r="21968" customFormat="false" ht="12.8" hidden="false" customHeight="false" outlineLevel="0" collapsed="false">
      <c r="B21968" s="0" t="s">
        <v>7</v>
      </c>
    </row>
    <row r="21969" customFormat="false" ht="12.8" hidden="false" customHeight="false" outlineLevel="0" collapsed="false">
      <c r="B21969" s="0" t="s">
        <v>48</v>
      </c>
    </row>
    <row r="21970" customFormat="false" ht="12.8" hidden="false" customHeight="false" outlineLevel="0" collapsed="false">
      <c r="B21970" s="0" t="s">
        <v>1654</v>
      </c>
    </row>
    <row r="21972" customFormat="false" ht="12.8" hidden="false" customHeight="false" outlineLevel="0" collapsed="false">
      <c r="A21972" s="0" t="s">
        <v>8293</v>
      </c>
      <c r="B21972" s="0" t="str">
        <f aca="false">HYPERLINK("https://lindat.mff.cuni.cz/services/teitok/pdtc10/index.php?action=vallex&amp;frame=v-w2781f1", "odměřovat (v-w2781f1)")</f>
        <v>odměřovat (v-w2781f1)</v>
      </c>
    </row>
    <row r="21973" customFormat="false" ht="12.8" hidden="false" customHeight="false" outlineLevel="0" collapsed="false">
      <c r="B21973" s="0" t="s">
        <v>7</v>
      </c>
    </row>
    <row r="21974" customFormat="false" ht="12.8" hidden="false" customHeight="false" outlineLevel="0" collapsed="false">
      <c r="B21974" s="0" t="s">
        <v>14</v>
      </c>
    </row>
    <row r="21976" customFormat="false" ht="12.8" hidden="false" customHeight="false" outlineLevel="0" collapsed="false">
      <c r="A21976" s="0" t="s">
        <v>8294</v>
      </c>
      <c r="B21976" s="0" t="str">
        <f aca="false">HYPERLINK("https://lindat.mff.cuni.cz/services/teitok/pdtc10/index.php?action=vallex&amp;frame=v-w2793f1", "odnaučit (v-w2793f1)")</f>
        <v>odnaučit (v-w2793f1)</v>
      </c>
    </row>
    <row r="21977" customFormat="false" ht="12.8" hidden="false" customHeight="false" outlineLevel="0" collapsed="false">
      <c r="B21977" s="0" t="s">
        <v>7</v>
      </c>
    </row>
    <row r="21978" customFormat="false" ht="12.8" hidden="false" customHeight="false" outlineLevel="0" collapsed="false">
      <c r="B21978" s="0" t="s">
        <v>8295</v>
      </c>
    </row>
    <row r="21979" customFormat="false" ht="12.8" hidden="false" customHeight="false" outlineLevel="0" collapsed="false">
      <c r="B21979" s="0" t="s">
        <v>81</v>
      </c>
    </row>
    <row r="21981" customFormat="false" ht="12.8" hidden="false" customHeight="false" outlineLevel="0" collapsed="false">
      <c r="A21981" s="0" t="s">
        <v>8296</v>
      </c>
      <c r="B21981" s="0" t="str">
        <f aca="false">HYPERLINK("https://lindat.mff.cuni.cz/services/teitok/pdtc10/index.php?action=vallex&amp;frame=v-w2794f1", "odnaučit se (v-w2794f1)")</f>
        <v>odnaučit se (v-w2794f1)</v>
      </c>
    </row>
    <row r="21982" customFormat="false" ht="12.8" hidden="false" customHeight="false" outlineLevel="0" collapsed="false">
      <c r="B21982" s="0" t="s">
        <v>7</v>
      </c>
    </row>
    <row r="21983" customFormat="false" ht="12.8" hidden="false" customHeight="false" outlineLevel="0" collapsed="false">
      <c r="B21983" s="0" t="s">
        <v>8297</v>
      </c>
    </row>
    <row r="21985" customFormat="false" ht="12.8" hidden="false" customHeight="false" outlineLevel="0" collapsed="false">
      <c r="A21985" s="0" t="s">
        <v>8298</v>
      </c>
      <c r="B21985" s="0" t="str">
        <f aca="false">HYPERLINK("https://lindat.mff.cuni.cz/services/teitok/pdtc10/index.php?action=vallex&amp;frame=v-w10585f2", "odnárodnit (v-w10585f2)")</f>
        <v>odnárodnit (v-w10585f2)</v>
      </c>
    </row>
    <row r="21986" customFormat="false" ht="12.8" hidden="false" customHeight="false" outlineLevel="0" collapsed="false">
      <c r="B21986" s="0" t="s">
        <v>7</v>
      </c>
    </row>
    <row r="21987" customFormat="false" ht="12.8" hidden="false" customHeight="false" outlineLevel="0" collapsed="false">
      <c r="B21987" s="0" t="s">
        <v>14</v>
      </c>
    </row>
    <row r="21989" customFormat="false" ht="12.8" hidden="false" customHeight="false" outlineLevel="0" collapsed="false">
      <c r="A21989" s="0" t="s">
        <v>8299</v>
      </c>
      <c r="B21989" s="0" t="str">
        <f aca="false">HYPERLINK("https://lindat.mff.cuni.cz/services/teitok/pdtc10/index.php?action=vallex&amp;frame=v-w2792f3", "odnášet (v-w2792f3)")</f>
        <v>odnášet (v-w2792f3)</v>
      </c>
    </row>
    <row r="21990" customFormat="false" ht="12.8" hidden="false" customHeight="false" outlineLevel="0" collapsed="false">
      <c r="B21990" s="0" t="s">
        <v>7</v>
      </c>
      <c r="D21990" s="0" t="s">
        <v>1758</v>
      </c>
      <c r="E21990" s="0" t="s">
        <v>1758</v>
      </c>
      <c r="F21990" s="0" t="s">
        <v>1758</v>
      </c>
    </row>
    <row r="21991" customFormat="false" ht="12.8" hidden="false" customHeight="false" outlineLevel="0" collapsed="false">
      <c r="B21991" s="0" t="s">
        <v>14</v>
      </c>
      <c r="D21991" s="0" t="s">
        <v>1760</v>
      </c>
      <c r="E21991" s="0" t="s">
        <v>1760</v>
      </c>
      <c r="F21991" s="0" t="s">
        <v>1760</v>
      </c>
    </row>
    <row r="21992" customFormat="false" ht="12.8" hidden="false" customHeight="false" outlineLevel="0" collapsed="false">
      <c r="B21992" s="0" t="s">
        <v>3012</v>
      </c>
      <c r="D21992" s="0" t="s">
        <v>1851</v>
      </c>
      <c r="E21992" s="0" t="s">
        <v>1851</v>
      </c>
      <c r="F21992" s="0" t="s">
        <v>1851</v>
      </c>
    </row>
    <row r="21994" customFormat="false" ht="12.8" hidden="false" customHeight="false" outlineLevel="0" collapsed="false">
      <c r="A21994" s="0" t="s">
        <v>8300</v>
      </c>
      <c r="B21994" s="0" t="str">
        <f aca="false">HYPERLINK("https://lindat.mff.cuni.cz/services/teitok/pdtc10/index.php?action=vallex&amp;frame=v-w2792f1", "odnášet (v-w2792f1)")</f>
        <v>odnášet (v-w2792f1)</v>
      </c>
    </row>
    <row r="21995" customFormat="false" ht="12.8" hidden="false" customHeight="false" outlineLevel="0" collapsed="false">
      <c r="B21995" s="0" t="s">
        <v>7</v>
      </c>
      <c r="D21995" s="0" t="s">
        <v>4161</v>
      </c>
      <c r="E21995" s="0" t="s">
        <v>4161</v>
      </c>
      <c r="F21995" s="0" t="s">
        <v>4161</v>
      </c>
    </row>
    <row r="21996" customFormat="false" ht="12.8" hidden="false" customHeight="false" outlineLevel="0" collapsed="false">
      <c r="B21996" s="0" t="s">
        <v>14</v>
      </c>
      <c r="D21996" s="0" t="s">
        <v>8195</v>
      </c>
      <c r="E21996" s="0" t="s">
        <v>8195</v>
      </c>
      <c r="F21996" s="0" t="s">
        <v>8195</v>
      </c>
    </row>
    <row r="21997" customFormat="false" ht="12.8" hidden="false" customHeight="false" outlineLevel="0" collapsed="false">
      <c r="B21997" s="0" t="s">
        <v>459</v>
      </c>
    </row>
    <row r="21999" customFormat="false" ht="12.8" hidden="false" customHeight="false" outlineLevel="0" collapsed="false">
      <c r="A21999" s="0" t="s">
        <v>8301</v>
      </c>
      <c r="B21999" s="0" t="str">
        <f aca="false">HYPERLINK("https://lindat.mff.cuni.cz/services/teitok/pdtc10/index.php?action=vallex&amp;frame=v-w2792f2", "odnášet (v-w2792f2)")</f>
        <v>odnášet (v-w2792f2)</v>
      </c>
    </row>
    <row r="22000" customFormat="false" ht="12.8" hidden="false" customHeight="false" outlineLevel="0" collapsed="false">
      <c r="B22000" s="0" t="s">
        <v>7</v>
      </c>
    </row>
    <row r="22001" customFormat="false" ht="12.8" hidden="false" customHeight="false" outlineLevel="0" collapsed="false">
      <c r="B22001" s="0" t="s">
        <v>14</v>
      </c>
    </row>
    <row r="22002" customFormat="false" ht="12.8" hidden="false" customHeight="false" outlineLevel="0" collapsed="false">
      <c r="B22002" s="0" t="s">
        <v>124</v>
      </c>
    </row>
    <row r="22004" customFormat="false" ht="12.8" hidden="false" customHeight="false" outlineLevel="0" collapsed="false">
      <c r="A22004" s="0" t="s">
        <v>8302</v>
      </c>
      <c r="B22004" s="0" t="str">
        <f aca="false">HYPERLINK("https://lindat.mff.cuni.cz/services/teitok/pdtc10/index.php?action=vallex&amp;frame=v-w2792f4_ZU", "odnášet (v-w2792f4_ZU)")</f>
        <v>odnášet (v-w2792f4_ZU)</v>
      </c>
    </row>
    <row r="22005" customFormat="false" ht="12.8" hidden="false" customHeight="false" outlineLevel="0" collapsed="false">
      <c r="B22005" s="0" t="s">
        <v>7</v>
      </c>
    </row>
    <row r="22006" customFormat="false" ht="12.8" hidden="false" customHeight="false" outlineLevel="0" collapsed="false">
      <c r="B22006" s="0" t="s">
        <v>14</v>
      </c>
    </row>
    <row r="22008" customFormat="false" ht="12.8" hidden="false" customHeight="false" outlineLevel="0" collapsed="false">
      <c r="A22008" s="0" t="s">
        <v>8303</v>
      </c>
      <c r="B22008" s="0" t="str">
        <f aca="false">HYPERLINK("https://lindat.mff.cuni.cz/services/teitok/pdtc10/index.php?action=vallex&amp;frame=v-w2796f4", "odnést (v-w2796f4)")</f>
        <v>odnést (v-w2796f4)</v>
      </c>
    </row>
    <row r="22009" customFormat="false" ht="12.8" hidden="false" customHeight="false" outlineLevel="0" collapsed="false">
      <c r="B22009" s="0" t="s">
        <v>7</v>
      </c>
      <c r="D22009" s="0" t="s">
        <v>1758</v>
      </c>
      <c r="E22009" s="0" t="s">
        <v>1758</v>
      </c>
      <c r="F22009" s="0" t="s">
        <v>1758</v>
      </c>
    </row>
    <row r="22010" customFormat="false" ht="12.8" hidden="false" customHeight="false" outlineLevel="0" collapsed="false">
      <c r="B22010" s="0" t="s">
        <v>14</v>
      </c>
      <c r="D22010" s="0" t="s">
        <v>1760</v>
      </c>
      <c r="E22010" s="0" t="s">
        <v>1760</v>
      </c>
      <c r="F22010" s="0" t="s">
        <v>1760</v>
      </c>
    </row>
    <row r="22011" customFormat="false" ht="12.8" hidden="false" customHeight="false" outlineLevel="0" collapsed="false">
      <c r="B22011" s="0" t="s">
        <v>3012</v>
      </c>
      <c r="D22011" s="0" t="s">
        <v>1851</v>
      </c>
      <c r="E22011" s="0" t="s">
        <v>1851</v>
      </c>
      <c r="F22011" s="0" t="s">
        <v>1851</v>
      </c>
    </row>
    <row r="22013" customFormat="false" ht="12.8" hidden="false" customHeight="false" outlineLevel="0" collapsed="false">
      <c r="A22013" s="0" t="s">
        <v>8304</v>
      </c>
      <c r="B22013" s="0" t="str">
        <f aca="false">HYPERLINK("https://lindat.mff.cuni.cz/services/teitok/pdtc10/index.php?action=vallex&amp;frame=v-w2796f1", "odnést (v-w2796f1)")</f>
        <v>odnést (v-w2796f1)</v>
      </c>
    </row>
    <row r="22014" customFormat="false" ht="12.8" hidden="false" customHeight="false" outlineLevel="0" collapsed="false">
      <c r="B22014" s="0" t="s">
        <v>7</v>
      </c>
      <c r="C22014" s="0" t="s">
        <v>149</v>
      </c>
      <c r="D22014" s="0" t="s">
        <v>4161</v>
      </c>
      <c r="E22014" s="0" t="s">
        <v>4161</v>
      </c>
      <c r="F22014" s="0" t="s">
        <v>4161</v>
      </c>
    </row>
    <row r="22015" customFormat="false" ht="12.8" hidden="false" customHeight="false" outlineLevel="0" collapsed="false">
      <c r="B22015" s="0" t="s">
        <v>14</v>
      </c>
      <c r="C22015" s="0" t="s">
        <v>2788</v>
      </c>
      <c r="D22015" s="0" t="s">
        <v>8195</v>
      </c>
      <c r="E22015" s="0" t="s">
        <v>8195</v>
      </c>
      <c r="F22015" s="0" t="s">
        <v>8195</v>
      </c>
    </row>
    <row r="22016" customFormat="false" ht="12.8" hidden="false" customHeight="false" outlineLevel="0" collapsed="false">
      <c r="B22016" s="0" t="s">
        <v>459</v>
      </c>
    </row>
    <row r="22018" customFormat="false" ht="12.8" hidden="false" customHeight="false" outlineLevel="0" collapsed="false">
      <c r="A22018" s="0" t="s">
        <v>8305</v>
      </c>
      <c r="B22018" s="0" t="str">
        <f aca="false">HYPERLINK("https://lindat.mff.cuni.cz/services/teitok/pdtc10/index.php?action=vallex&amp;frame=v-w2796f5", "odnést (v-w2796f5)")</f>
        <v>odnést (v-w2796f5)</v>
      </c>
    </row>
    <row r="22019" customFormat="false" ht="12.8" hidden="false" customHeight="false" outlineLevel="0" collapsed="false">
      <c r="B22019" s="0" t="s">
        <v>7</v>
      </c>
      <c r="D22019" s="0" t="s">
        <v>1758</v>
      </c>
      <c r="E22019" s="0" t="s">
        <v>1758</v>
      </c>
      <c r="F22019" s="0" t="s">
        <v>1758</v>
      </c>
    </row>
    <row r="22020" customFormat="false" ht="12.8" hidden="false" customHeight="false" outlineLevel="0" collapsed="false">
      <c r="B22020" s="0" t="s">
        <v>14</v>
      </c>
      <c r="D22020" s="0" t="s">
        <v>1760</v>
      </c>
      <c r="E22020" s="0" t="s">
        <v>1760</v>
      </c>
      <c r="F22020" s="0" t="s">
        <v>1760</v>
      </c>
    </row>
    <row r="22021" customFormat="false" ht="12.8" hidden="false" customHeight="false" outlineLevel="0" collapsed="false">
      <c r="B22021" s="0" t="s">
        <v>124</v>
      </c>
      <c r="D22021" s="0" t="s">
        <v>1761</v>
      </c>
      <c r="E22021" s="0" t="s">
        <v>1761</v>
      </c>
      <c r="F22021" s="0" t="s">
        <v>1761</v>
      </c>
    </row>
    <row r="22023" customFormat="false" ht="12.8" hidden="false" customHeight="false" outlineLevel="0" collapsed="false">
      <c r="A22023" s="0" t="s">
        <v>8306</v>
      </c>
      <c r="B22023" s="0" t="str">
        <f aca="false">HYPERLINK("https://lindat.mff.cuni.cz/services/teitok/pdtc10/index.php?action=vallex&amp;frame=v-w2796f2", "odnést (v-w2796f2)")</f>
        <v>odnést (v-w2796f2)</v>
      </c>
    </row>
    <row r="22024" customFormat="false" ht="12.8" hidden="false" customHeight="false" outlineLevel="0" collapsed="false">
      <c r="B22024" s="0" t="s">
        <v>7</v>
      </c>
      <c r="D22024" s="0" t="s">
        <v>8307</v>
      </c>
      <c r="E22024" s="0" t="s">
        <v>8307</v>
      </c>
      <c r="F22024" s="0" t="s">
        <v>8307</v>
      </c>
    </row>
    <row r="22025" customFormat="false" ht="12.8" hidden="false" customHeight="false" outlineLevel="0" collapsed="false">
      <c r="B22025" s="0" t="s">
        <v>14</v>
      </c>
      <c r="D22025" s="0" t="s">
        <v>8308</v>
      </c>
      <c r="E22025" s="0" t="s">
        <v>8308</v>
      </c>
      <c r="F22025" s="0" t="s">
        <v>8308</v>
      </c>
    </row>
    <row r="22027" customFormat="false" ht="12.8" hidden="false" customHeight="false" outlineLevel="0" collapsed="false">
      <c r="A22027" s="0" t="s">
        <v>8309</v>
      </c>
      <c r="B22027" s="0" t="str">
        <f aca="false">HYPERLINK("https://lindat.mff.cuni.cz/services/teitok/pdtc10/index.php?action=vallex&amp;frame=v-w2796f3", "odnést (v-w2796f3)")</f>
        <v>odnést (v-w2796f3)</v>
      </c>
    </row>
    <row r="22028" customFormat="false" ht="12.8" hidden="false" customHeight="false" outlineLevel="0" collapsed="false">
      <c r="B22028" s="0" t="s">
        <v>7</v>
      </c>
    </row>
    <row r="22029" customFormat="false" ht="12.8" hidden="false" customHeight="false" outlineLevel="0" collapsed="false">
      <c r="B22029" s="0" t="s">
        <v>14</v>
      </c>
    </row>
    <row r="22031" customFormat="false" ht="12.8" hidden="false" customHeight="false" outlineLevel="0" collapsed="false">
      <c r="A22031" s="0" t="s">
        <v>8310</v>
      </c>
      <c r="B22031" s="0" t="str">
        <f aca="false">HYPERLINK("https://lindat.mff.cuni.cz/services/teitok/pdtc10/index.php?action=vallex&amp;frame=v-w2797f1", "odnést si (v-w2797f1)")</f>
        <v>odnést si (v-w2797f1)</v>
      </c>
    </row>
    <row r="22032" customFormat="false" ht="12.8" hidden="false" customHeight="false" outlineLevel="0" collapsed="false">
      <c r="B22032" s="0" t="s">
        <v>7</v>
      </c>
    </row>
    <row r="22033" customFormat="false" ht="12.8" hidden="false" customHeight="false" outlineLevel="0" collapsed="false">
      <c r="B22033" s="0" t="s">
        <v>14</v>
      </c>
    </row>
    <row r="22035" customFormat="false" ht="12.8" hidden="false" customHeight="false" outlineLevel="0" collapsed="false">
      <c r="A22035" s="0" t="s">
        <v>8311</v>
      </c>
      <c r="B22035" s="0" t="str">
        <f aca="false">HYPERLINK("https://lindat.mff.cuni.cz/services/teitok/pdtc10/index.php?action=vallex&amp;frame=v-w2799f2_ZU", "odolat (v-w2799f2_ZU)")</f>
        <v>odolat (v-w2799f2_ZU)</v>
      </c>
    </row>
    <row r="22036" customFormat="false" ht="12.8" hidden="false" customHeight="false" outlineLevel="0" collapsed="false">
      <c r="B22036" s="0" t="s">
        <v>7</v>
      </c>
    </row>
    <row r="22037" customFormat="false" ht="12.8" hidden="false" customHeight="false" outlineLevel="0" collapsed="false">
      <c r="B22037" s="0" t="s">
        <v>8312</v>
      </c>
    </row>
    <row r="22039" customFormat="false" ht="12.8" hidden="false" customHeight="false" outlineLevel="0" collapsed="false">
      <c r="A22039" s="0" t="s">
        <v>8311</v>
      </c>
      <c r="B22039" s="0" t="str">
        <f aca="false">HYPERLINK("https://lindat.mff.cuni.cz/services/teitok/pdtc10/index.php?action=vallex&amp;frame=v-w2799f1", "odolat (v-w2799f1) - substituted with v-w2799f2_ZU")</f>
        <v>odolat (v-w2799f1) - substituted with v-w2799f2_ZU</v>
      </c>
    </row>
    <row r="22040" customFormat="false" ht="12.8" hidden="false" customHeight="false" outlineLevel="0" collapsed="false">
      <c r="B22040" s="0" t="s">
        <v>7</v>
      </c>
      <c r="C22040" s="0" t="s">
        <v>8313</v>
      </c>
      <c r="D22040" s="0" t="s">
        <v>8314</v>
      </c>
      <c r="E22040" s="0" t="s">
        <v>8314</v>
      </c>
      <c r="F22040" s="0" t="s">
        <v>8314</v>
      </c>
    </row>
    <row r="22041" customFormat="false" ht="12.8" hidden="false" customHeight="false" outlineLevel="0" collapsed="false">
      <c r="B22041" s="0" t="s">
        <v>8312</v>
      </c>
      <c r="C22041" s="0" t="s">
        <v>8315</v>
      </c>
      <c r="D22041" s="0" t="s">
        <v>8316</v>
      </c>
      <c r="E22041" s="0" t="s">
        <v>8316</v>
      </c>
      <c r="F22041" s="0" t="s">
        <v>8316</v>
      </c>
    </row>
    <row r="22043" customFormat="false" ht="12.8" hidden="false" customHeight="false" outlineLevel="0" collapsed="false">
      <c r="A22043" s="0" t="s">
        <v>8317</v>
      </c>
      <c r="B22043" s="0" t="str">
        <f aca="false">HYPERLINK("https://lindat.mff.cuni.cz/services/teitok/pdtc10/index.php?action=vallex&amp;frame=v-w2800f1", "odolávat (v-w2800f1)")</f>
        <v>odolávat (v-w2800f1)</v>
      </c>
    </row>
    <row r="22044" customFormat="false" ht="12.8" hidden="false" customHeight="false" outlineLevel="0" collapsed="false">
      <c r="B22044" s="0" t="s">
        <v>7</v>
      </c>
      <c r="C22044" s="0" t="s">
        <v>194</v>
      </c>
      <c r="D22044" s="0" t="s">
        <v>8314</v>
      </c>
      <c r="E22044" s="0" t="s">
        <v>8314</v>
      </c>
      <c r="F22044" s="0" t="s">
        <v>8314</v>
      </c>
    </row>
    <row r="22045" customFormat="false" ht="12.8" hidden="false" customHeight="false" outlineLevel="0" collapsed="false">
      <c r="B22045" s="0" t="s">
        <v>142</v>
      </c>
      <c r="C22045" s="0" t="s">
        <v>2788</v>
      </c>
      <c r="D22045" s="0" t="s">
        <v>8316</v>
      </c>
      <c r="E22045" s="0" t="s">
        <v>8316</v>
      </c>
      <c r="F22045" s="0" t="s">
        <v>8316</v>
      </c>
    </row>
    <row r="22047" customFormat="false" ht="12.8" hidden="false" customHeight="false" outlineLevel="0" collapsed="false">
      <c r="A22047" s="0" t="s">
        <v>8318</v>
      </c>
      <c r="B22047" s="0" t="str">
        <f aca="false">HYPERLINK("https://lindat.mff.cuni.cz/services/teitok/pdtc10/index.php?action=vallex&amp;frame=v-w12261_ZUf1_ZU", "odoperovat (v-w12261_ZUf1_ZU)")</f>
        <v>odoperovat (v-w12261_ZUf1_ZU)</v>
      </c>
    </row>
    <row r="22048" customFormat="false" ht="12.8" hidden="false" customHeight="false" outlineLevel="0" collapsed="false">
      <c r="B22048" s="0" t="s">
        <v>7</v>
      </c>
    </row>
    <row r="22049" customFormat="false" ht="12.8" hidden="false" customHeight="false" outlineLevel="0" collapsed="false">
      <c r="B22049" s="0" t="s">
        <v>14</v>
      </c>
    </row>
    <row r="22051" customFormat="false" ht="12.8" hidden="false" customHeight="false" outlineLevel="0" collapsed="false">
      <c r="A22051" s="0" t="s">
        <v>8319</v>
      </c>
      <c r="B22051" s="0" t="str">
        <f aca="false">HYPERLINK("https://lindat.mff.cuni.cz/services/teitok/pdtc10/index.php?action=vallex&amp;frame=v-whsa_85hsa_86", "odorat (v-whsa_85hsa_86)")</f>
        <v>odorat (v-whsa_85hsa_86)</v>
      </c>
    </row>
    <row r="22052" customFormat="false" ht="12.8" hidden="false" customHeight="false" outlineLevel="0" collapsed="false">
      <c r="B22052" s="0" t="s">
        <v>7</v>
      </c>
    </row>
    <row r="22053" customFormat="false" ht="12.8" hidden="false" customHeight="false" outlineLevel="0" collapsed="false">
      <c r="B22053" s="0" t="s">
        <v>14</v>
      </c>
    </row>
    <row r="22055" customFormat="false" ht="12.8" hidden="false" customHeight="false" outlineLevel="0" collapsed="false">
      <c r="A22055" s="0" t="s">
        <v>8320</v>
      </c>
      <c r="B22055" s="0" t="str">
        <f aca="false">HYPERLINK("https://lindat.mff.cuni.cz/services/teitok/pdtc10/index.php?action=vallex&amp;frame=v-w2804f1", "odpadat (v-w2804f1)")</f>
        <v>odpadat (v-w2804f1)</v>
      </c>
    </row>
    <row r="22056" customFormat="false" ht="12.8" hidden="false" customHeight="false" outlineLevel="0" collapsed="false">
      <c r="B22056" s="0" t="s">
        <v>7</v>
      </c>
    </row>
    <row r="22058" customFormat="false" ht="12.8" hidden="false" customHeight="false" outlineLevel="0" collapsed="false">
      <c r="A22058" s="0" t="s">
        <v>8321</v>
      </c>
      <c r="B22058" s="0" t="str">
        <f aca="false">HYPERLINK("https://lindat.mff.cuni.cz/services/teitok/pdtc10/index.php?action=vallex&amp;frame=v-w2805f1", "odpadnout (v-w2805f1)")</f>
        <v>odpadnout (v-w2805f1)</v>
      </c>
    </row>
    <row r="22059" customFormat="false" ht="12.8" hidden="false" customHeight="false" outlineLevel="0" collapsed="false">
      <c r="B22059" s="0" t="s">
        <v>7</v>
      </c>
      <c r="C22059" s="0" t="s">
        <v>8322</v>
      </c>
    </row>
    <row r="22061" customFormat="false" ht="12.8" hidden="false" customHeight="false" outlineLevel="0" collapsed="false">
      <c r="A22061" s="0" t="s">
        <v>8323</v>
      </c>
      <c r="B22061" s="0" t="str">
        <f aca="false">HYPERLINK("https://lindat.mff.cuni.cz/services/teitok/pdtc10/index.php?action=vallex&amp;frame=v-w2805f2", "odpadnout (v-w2805f2)")</f>
        <v>odpadnout (v-w2805f2)</v>
      </c>
    </row>
    <row r="22062" customFormat="false" ht="12.8" hidden="false" customHeight="false" outlineLevel="0" collapsed="false">
      <c r="B22062" s="0" t="s">
        <v>7</v>
      </c>
      <c r="C22062" s="0" t="s">
        <v>8324</v>
      </c>
    </row>
    <row r="22064" customFormat="false" ht="12.8" hidden="false" customHeight="false" outlineLevel="0" collapsed="false">
      <c r="A22064" s="0" t="s">
        <v>8325</v>
      </c>
      <c r="B22064" s="0" t="str">
        <f aca="false">HYPERLINK("https://lindat.mff.cuni.cz/services/teitok/pdtc10/index.php?action=vallex&amp;frame=v-w12236_ZUf1_ZU", "odpadávat (v-w12236_ZUf1_ZU)")</f>
        <v>odpadávat (v-w12236_ZUf1_ZU)</v>
      </c>
    </row>
    <row r="22065" customFormat="false" ht="12.8" hidden="false" customHeight="false" outlineLevel="0" collapsed="false">
      <c r="B22065" s="0" t="s">
        <v>7</v>
      </c>
    </row>
    <row r="22067" customFormat="false" ht="12.8" hidden="false" customHeight="false" outlineLevel="0" collapsed="false">
      <c r="A22067" s="0" t="s">
        <v>8326</v>
      </c>
      <c r="B22067" s="0" t="str">
        <f aca="false">HYPERLINK("https://lindat.mff.cuni.cz/services/teitok/pdtc10/index.php?action=vallex&amp;frame=v-w11059f2", "odpalovat (v-w11059f2)")</f>
        <v>odpalovat (v-w11059f2)</v>
      </c>
    </row>
    <row r="22068" customFormat="false" ht="12.8" hidden="false" customHeight="false" outlineLevel="0" collapsed="false">
      <c r="B22068" s="0" t="s">
        <v>7</v>
      </c>
      <c r="C22068" s="0" t="s">
        <v>6885</v>
      </c>
    </row>
    <row r="22069" customFormat="false" ht="12.8" hidden="false" customHeight="false" outlineLevel="0" collapsed="false">
      <c r="B22069" s="0" t="s">
        <v>14</v>
      </c>
      <c r="C22069" s="0" t="s">
        <v>2517</v>
      </c>
    </row>
    <row r="22071" customFormat="false" ht="12.8" hidden="false" customHeight="false" outlineLevel="0" collapsed="false">
      <c r="A22071" s="0" t="s">
        <v>8327</v>
      </c>
      <c r="B22071" s="0" t="str">
        <f aca="false">HYPERLINK("https://lindat.mff.cuni.cz/services/teitok/pdtc10/index.php?action=vallex&amp;frame=v-w2813f1", "odplavit (v-w2813f1)")</f>
        <v>odplavit (v-w2813f1)</v>
      </c>
    </row>
    <row r="22072" customFormat="false" ht="12.8" hidden="false" customHeight="false" outlineLevel="0" collapsed="false">
      <c r="B22072" s="0" t="s">
        <v>7</v>
      </c>
    </row>
    <row r="22073" customFormat="false" ht="12.8" hidden="false" customHeight="false" outlineLevel="0" collapsed="false">
      <c r="B22073" s="0" t="s">
        <v>14</v>
      </c>
    </row>
    <row r="22075" customFormat="false" ht="12.8" hidden="false" customHeight="false" outlineLevel="0" collapsed="false">
      <c r="A22075" s="0" t="s">
        <v>8328</v>
      </c>
      <c r="B22075" s="0" t="str">
        <f aca="false">HYPERLINK("https://lindat.mff.cuni.cz/services/teitok/pdtc10/index.php?action=vallex&amp;frame=v-whsa_589hsa_590", "odplevelit (v-whsa_589hsa_590)")</f>
        <v>odplevelit (v-whsa_589hsa_590)</v>
      </c>
    </row>
    <row r="22076" customFormat="false" ht="12.8" hidden="false" customHeight="false" outlineLevel="0" collapsed="false">
      <c r="B22076" s="0" t="s">
        <v>7</v>
      </c>
    </row>
    <row r="22077" customFormat="false" ht="12.8" hidden="false" customHeight="false" outlineLevel="0" collapsed="false">
      <c r="B22077" s="0" t="s">
        <v>14</v>
      </c>
    </row>
    <row r="22079" customFormat="false" ht="12.8" hidden="false" customHeight="false" outlineLevel="0" collapsed="false">
      <c r="A22079" s="0" t="s">
        <v>8329</v>
      </c>
      <c r="B22079" s="0" t="str">
        <f aca="false">HYPERLINK("https://lindat.mff.cuni.cz/services/teitok/pdtc10/index.php?action=vallex&amp;frame=v-w2815f1", "odplout (v-w2815f1)")</f>
        <v>odplout (v-w2815f1)</v>
      </c>
    </row>
    <row r="22080" customFormat="false" ht="12.8" hidden="false" customHeight="false" outlineLevel="0" collapsed="false">
      <c r="B22080" s="0" t="s">
        <v>7</v>
      </c>
    </row>
    <row r="22081" customFormat="false" ht="12.8" hidden="false" customHeight="false" outlineLevel="0" collapsed="false">
      <c r="B22081" s="0" t="s">
        <v>459</v>
      </c>
    </row>
    <row r="22083" customFormat="false" ht="12.8" hidden="false" customHeight="false" outlineLevel="0" collapsed="false">
      <c r="A22083" s="0" t="s">
        <v>8330</v>
      </c>
      <c r="B22083" s="0" t="str">
        <f aca="false">HYPERLINK("https://lindat.mff.cuni.cz/services/teitok/pdtc10/index.php?action=vallex&amp;frame=v-w2816f1", "odplouvat (v-w2816f1)")</f>
        <v>odplouvat (v-w2816f1)</v>
      </c>
    </row>
    <row r="22084" customFormat="false" ht="12.8" hidden="false" customHeight="false" outlineLevel="0" collapsed="false">
      <c r="B22084" s="0" t="s">
        <v>7</v>
      </c>
    </row>
    <row r="22085" customFormat="false" ht="12.8" hidden="false" customHeight="false" outlineLevel="0" collapsed="false">
      <c r="B22085" s="0" t="s">
        <v>459</v>
      </c>
    </row>
    <row r="22087" customFormat="false" ht="12.8" hidden="false" customHeight="false" outlineLevel="0" collapsed="false">
      <c r="A22087" s="0" t="s">
        <v>8331</v>
      </c>
      <c r="B22087" s="0" t="str">
        <f aca="false">HYPERLINK("https://lindat.mff.cuni.cz/services/teitok/pdtc10/index.php?action=vallex&amp;frame=v-w11222f2", "odplynout (v-w11222f2)")</f>
        <v>odplynout (v-w11222f2)</v>
      </c>
    </row>
    <row r="22088" customFormat="false" ht="12.8" hidden="false" customHeight="false" outlineLevel="0" collapsed="false">
      <c r="B22088" s="0" t="s">
        <v>7</v>
      </c>
    </row>
    <row r="22090" customFormat="false" ht="12.8" hidden="false" customHeight="false" outlineLevel="0" collapsed="false">
      <c r="A22090" s="0" t="s">
        <v>8332</v>
      </c>
      <c r="B22090" s="0" t="str">
        <f aca="false">HYPERLINK("https://lindat.mff.cuni.cz/services/teitok/pdtc10/index.php?action=vallex&amp;frame=v-w2814f1", "odplížit se (v-w2814f1)")</f>
        <v>odplížit se (v-w2814f1)</v>
      </c>
    </row>
    <row r="22091" customFormat="false" ht="12.8" hidden="false" customHeight="false" outlineLevel="0" collapsed="false">
      <c r="B22091" s="0" t="s">
        <v>7</v>
      </c>
    </row>
    <row r="22092" customFormat="false" ht="12.8" hidden="false" customHeight="false" outlineLevel="0" collapsed="false">
      <c r="B22092" s="0" t="s">
        <v>459</v>
      </c>
    </row>
    <row r="22094" customFormat="false" ht="12.8" hidden="false" customHeight="false" outlineLevel="0" collapsed="false">
      <c r="A22094" s="0" t="s">
        <v>8333</v>
      </c>
      <c r="B22094" s="0" t="str">
        <f aca="false">HYPERLINK("https://lindat.mff.cuni.cz/services/teitok/pdtc10/index.php?action=vallex&amp;frame=v-w2821f2", "odpochodovat (v-w2821f2)")</f>
        <v>odpochodovat (v-w2821f2)</v>
      </c>
    </row>
    <row r="22095" customFormat="false" ht="12.8" hidden="false" customHeight="false" outlineLevel="0" collapsed="false">
      <c r="B22095" s="0" t="s">
        <v>7</v>
      </c>
    </row>
    <row r="22096" customFormat="false" ht="12.8" hidden="false" customHeight="false" outlineLevel="0" collapsed="false">
      <c r="B22096" s="0" t="s">
        <v>459</v>
      </c>
    </row>
    <row r="22098" customFormat="false" ht="12.8" hidden="false" customHeight="false" outlineLevel="0" collapsed="false">
      <c r="A22098" s="0" t="s">
        <v>8334</v>
      </c>
      <c r="B22098" s="0" t="str">
        <f aca="false">HYPERLINK("https://lindat.mff.cuni.cz/services/teitok/pdtc10/index.php?action=vallex&amp;frame=v-w2821f1", "odpochodovat (v-w2821f1)")</f>
        <v>odpochodovat (v-w2821f1)</v>
      </c>
    </row>
    <row r="22099" customFormat="false" ht="12.8" hidden="false" customHeight="false" outlineLevel="0" collapsed="false">
      <c r="B22099" s="0" t="s">
        <v>7</v>
      </c>
    </row>
    <row r="22101" customFormat="false" ht="12.8" hidden="false" customHeight="false" outlineLevel="0" collapsed="false">
      <c r="A22101" s="0" t="s">
        <v>8335</v>
      </c>
      <c r="B22101" s="0" t="str">
        <f aca="false">HYPERLINK("https://lindat.mff.cuni.cz/services/teitok/pdtc10/index.php?action=vallex&amp;frame=v-w10428f2", "odpojit (v-w10428f2)")</f>
        <v>odpojit (v-w10428f2)</v>
      </c>
    </row>
    <row r="22102" customFormat="false" ht="12.8" hidden="false" customHeight="false" outlineLevel="0" collapsed="false">
      <c r="B22102" s="0" t="s">
        <v>7</v>
      </c>
      <c r="C22102" s="0" t="s">
        <v>191</v>
      </c>
      <c r="D22102" s="0" t="s">
        <v>191</v>
      </c>
      <c r="E22102" s="0" t="s">
        <v>191</v>
      </c>
      <c r="F22102" s="0" t="s">
        <v>191</v>
      </c>
    </row>
    <row r="22103" customFormat="false" ht="12.8" hidden="false" customHeight="false" outlineLevel="0" collapsed="false">
      <c r="B22103" s="0" t="s">
        <v>14</v>
      </c>
      <c r="C22103" s="0" t="s">
        <v>384</v>
      </c>
      <c r="D22103" s="0" t="s">
        <v>384</v>
      </c>
      <c r="E22103" s="0" t="s">
        <v>384</v>
      </c>
      <c r="F22103" s="0" t="s">
        <v>384</v>
      </c>
    </row>
    <row r="22105" customFormat="false" ht="12.8" hidden="false" customHeight="false" outlineLevel="0" collapsed="false">
      <c r="A22105" s="0" t="s">
        <v>8336</v>
      </c>
      <c r="B22105" s="0" t="str">
        <f aca="false">HYPERLINK("https://lindat.mff.cuni.cz/services/teitok/pdtc10/index.php?action=vallex&amp;frame=v-w10428hsa_220", "odpojit (v-w10428hsa_220)")</f>
        <v>odpojit (v-w10428hsa_220)</v>
      </c>
    </row>
    <row r="22106" customFormat="false" ht="12.8" hidden="false" customHeight="false" outlineLevel="0" collapsed="false">
      <c r="B22106" s="0" t="s">
        <v>7</v>
      </c>
    </row>
    <row r="22107" customFormat="false" ht="12.8" hidden="false" customHeight="false" outlineLevel="0" collapsed="false">
      <c r="B22107" s="0" t="s">
        <v>14</v>
      </c>
    </row>
    <row r="22108" customFormat="false" ht="12.8" hidden="false" customHeight="false" outlineLevel="0" collapsed="false">
      <c r="B22108" s="0" t="s">
        <v>459</v>
      </c>
    </row>
    <row r="22110" customFormat="false" ht="12.8" hidden="false" customHeight="false" outlineLevel="0" collapsed="false">
      <c r="A22110" s="0" t="s">
        <v>8337</v>
      </c>
      <c r="B22110" s="0" t="str">
        <f aca="false">HYPERLINK("https://lindat.mff.cuni.cz/services/teitok/pdtc10/index.php?action=vallex&amp;frame=v-w2823f1", "odpolitizovat (v-w2823f1)")</f>
        <v>odpolitizovat (v-w2823f1)</v>
      </c>
    </row>
    <row r="22111" customFormat="false" ht="12.8" hidden="false" customHeight="false" outlineLevel="0" collapsed="false">
      <c r="B22111" s="0" t="s">
        <v>7</v>
      </c>
    </row>
    <row r="22112" customFormat="false" ht="12.8" hidden="false" customHeight="false" outlineLevel="0" collapsed="false">
      <c r="B22112" s="0" t="s">
        <v>14</v>
      </c>
    </row>
    <row r="22114" customFormat="false" ht="12.8" hidden="false" customHeight="false" outlineLevel="0" collapsed="false">
      <c r="A22114" s="0" t="s">
        <v>8338</v>
      </c>
      <c r="B22114" s="0" t="str">
        <f aca="false">HYPERLINK("https://lindat.mff.cuni.cz/services/teitok/pdtc10/index.php?action=vallex&amp;frame=v-w2824f1", "odpomoci (v-w2824f1)")</f>
        <v>odpomoci (v-w2824f1)</v>
      </c>
    </row>
    <row r="22115" customFormat="false" ht="12.8" hidden="false" customHeight="false" outlineLevel="0" collapsed="false">
      <c r="B22115" s="0" t="s">
        <v>979</v>
      </c>
    </row>
    <row r="22116" customFormat="false" ht="12.8" hidden="false" customHeight="false" outlineLevel="0" collapsed="false">
      <c r="B22116" s="0" t="s">
        <v>48</v>
      </c>
    </row>
    <row r="22117" customFormat="false" ht="12.8" hidden="false" customHeight="false" outlineLevel="0" collapsed="false">
      <c r="B22117" s="0" t="s">
        <v>8339</v>
      </c>
    </row>
    <row r="22119" customFormat="false" ht="12.8" hidden="false" customHeight="false" outlineLevel="0" collapsed="false">
      <c r="A22119" s="0" t="s">
        <v>8340</v>
      </c>
      <c r="B22119" s="0" t="str">
        <f aca="false">HYPERLINK("https://lindat.mff.cuni.cz/services/teitok/pdtc10/index.php?action=vallex&amp;frame=v-w2826f1", "odporovat (v-w2826f1)")</f>
        <v>odporovat (v-w2826f1)</v>
      </c>
    </row>
    <row r="22120" customFormat="false" ht="12.8" hidden="false" customHeight="false" outlineLevel="0" collapsed="false">
      <c r="B22120" s="0" t="s">
        <v>7</v>
      </c>
      <c r="C22120" s="0" t="s">
        <v>8341</v>
      </c>
      <c r="D22120" s="0" t="s">
        <v>184</v>
      </c>
      <c r="E22120" s="0" t="s">
        <v>184</v>
      </c>
      <c r="F22120" s="0" t="s">
        <v>184</v>
      </c>
    </row>
    <row r="22121" customFormat="false" ht="12.8" hidden="false" customHeight="false" outlineLevel="0" collapsed="false">
      <c r="B22121" s="0" t="s">
        <v>142</v>
      </c>
      <c r="C22121" s="0" t="s">
        <v>33</v>
      </c>
      <c r="D22121" s="0" t="s">
        <v>33</v>
      </c>
      <c r="E22121" s="0" t="s">
        <v>33</v>
      </c>
      <c r="F22121" s="0" t="s">
        <v>33</v>
      </c>
    </row>
    <row r="22123" customFormat="false" ht="12.8" hidden="false" customHeight="false" outlineLevel="0" collapsed="false">
      <c r="A22123" s="0" t="s">
        <v>8342</v>
      </c>
      <c r="B22123" s="0" t="str">
        <f aca="false">HYPERLINK("https://lindat.mff.cuni.cz/services/teitok/pdtc10/index.php?action=vallex&amp;frame=v-w2826f2_ZU", "odporovat (v-w2826f2_ZU)")</f>
        <v>odporovat (v-w2826f2_ZU)</v>
      </c>
    </row>
    <row r="22124" customFormat="false" ht="12.8" hidden="false" customHeight="false" outlineLevel="0" collapsed="false">
      <c r="B22124" s="0" t="s">
        <v>7</v>
      </c>
      <c r="C22124" s="0" t="s">
        <v>460</v>
      </c>
    </row>
    <row r="22125" customFormat="false" ht="12.8" hidden="false" customHeight="false" outlineLevel="0" collapsed="false">
      <c r="B22125" s="0" t="s">
        <v>8343</v>
      </c>
      <c r="C22125" s="0" t="s">
        <v>4827</v>
      </c>
    </row>
    <row r="22127" customFormat="false" ht="12.8" hidden="false" customHeight="false" outlineLevel="0" collapsed="false">
      <c r="A22127" s="0" t="s">
        <v>8344</v>
      </c>
      <c r="B22127" s="0" t="str">
        <f aca="false">HYPERLINK("https://lindat.mff.cuni.cz/services/teitok/pdtc10/index.php?action=vallex&amp;frame=v-w10898f2", "odposlechnout (v-w10898f2)")</f>
        <v>odposlechnout (v-w10898f2)</v>
      </c>
    </row>
    <row r="22128" customFormat="false" ht="12.8" hidden="false" customHeight="false" outlineLevel="0" collapsed="false">
      <c r="B22128" s="0" t="s">
        <v>7</v>
      </c>
    </row>
    <row r="22129" customFormat="false" ht="12.8" hidden="false" customHeight="false" outlineLevel="0" collapsed="false">
      <c r="B22129" s="0" t="s">
        <v>14</v>
      </c>
    </row>
    <row r="22131" customFormat="false" ht="12.8" hidden="false" customHeight="false" outlineLevel="0" collapsed="false">
      <c r="A22131" s="0" t="s">
        <v>8345</v>
      </c>
      <c r="B22131" s="0" t="str">
        <f aca="false">HYPERLINK("https://lindat.mff.cuni.cz/services/teitok/pdtc10/index.php?action=vallex&amp;frame=v-w12177_ZUf1_ZU", "odposlouchat (v-w12177_ZUf1_ZU)")</f>
        <v>odposlouchat (v-w12177_ZUf1_ZU)</v>
      </c>
    </row>
    <row r="22132" customFormat="false" ht="12.8" hidden="false" customHeight="false" outlineLevel="0" collapsed="false">
      <c r="B22132" s="0" t="s">
        <v>7</v>
      </c>
    </row>
    <row r="22133" customFormat="false" ht="12.8" hidden="false" customHeight="false" outlineLevel="0" collapsed="false">
      <c r="B22133" s="0" t="s">
        <v>14</v>
      </c>
    </row>
    <row r="22134" customFormat="false" ht="12.8" hidden="false" customHeight="false" outlineLevel="0" collapsed="false">
      <c r="B22134" s="0" t="s">
        <v>441</v>
      </c>
    </row>
    <row r="22136" customFormat="false" ht="12.8" hidden="false" customHeight="false" outlineLevel="0" collapsed="false">
      <c r="A22136" s="0" t="s">
        <v>8346</v>
      </c>
      <c r="B22136" s="0" t="str">
        <f aca="false">HYPERLINK("https://lindat.mff.cuni.cz/services/teitok/pdtc10/index.php?action=vallex&amp;frame=v-w10534f2", "odposlouchávat (v-w10534f2)")</f>
        <v>odposlouchávat (v-w10534f2)</v>
      </c>
    </row>
    <row r="22137" customFormat="false" ht="12.8" hidden="false" customHeight="false" outlineLevel="0" collapsed="false">
      <c r="B22137" s="0" t="s">
        <v>7</v>
      </c>
      <c r="C22137" s="0" t="s">
        <v>8058</v>
      </c>
    </row>
    <row r="22138" customFormat="false" ht="12.8" hidden="false" customHeight="false" outlineLevel="0" collapsed="false">
      <c r="B22138" s="0" t="s">
        <v>14</v>
      </c>
      <c r="C22138" s="0" t="s">
        <v>8347</v>
      </c>
    </row>
    <row r="22140" customFormat="false" ht="12.8" hidden="false" customHeight="false" outlineLevel="0" collapsed="false">
      <c r="A22140" s="0" t="s">
        <v>8348</v>
      </c>
      <c r="B22140" s="0" t="str">
        <f aca="false">HYPERLINK("https://lindat.mff.cuni.cz/services/teitok/pdtc10/index.php?action=vallex&amp;frame=v-w2830f1", "odpoutat (v-w2830f1)")</f>
        <v>odpoutat (v-w2830f1)</v>
      </c>
    </row>
    <row r="22141" customFormat="false" ht="12.8" hidden="false" customHeight="false" outlineLevel="0" collapsed="false">
      <c r="B22141" s="0" t="s">
        <v>7</v>
      </c>
    </row>
    <row r="22142" customFormat="false" ht="12.8" hidden="false" customHeight="false" outlineLevel="0" collapsed="false">
      <c r="B22142" s="0" t="s">
        <v>14</v>
      </c>
    </row>
    <row r="22143" customFormat="false" ht="12.8" hidden="false" customHeight="false" outlineLevel="0" collapsed="false">
      <c r="B22143" s="0" t="s">
        <v>441</v>
      </c>
    </row>
    <row r="22145" customFormat="false" ht="12.8" hidden="false" customHeight="false" outlineLevel="0" collapsed="false">
      <c r="A22145" s="0" t="s">
        <v>8349</v>
      </c>
      <c r="B22145" s="0" t="str">
        <f aca="false">HYPERLINK("https://lindat.mff.cuni.cz/services/teitok/pdtc10/index.php?action=vallex&amp;frame=v-w2830f2", "odpoutat (v-w2830f2)")</f>
        <v>odpoutat (v-w2830f2)</v>
      </c>
    </row>
    <row r="22146" customFormat="false" ht="12.8" hidden="false" customHeight="false" outlineLevel="0" collapsed="false">
      <c r="B22146" s="0" t="s">
        <v>7</v>
      </c>
    </row>
    <row r="22147" customFormat="false" ht="12.8" hidden="false" customHeight="false" outlineLevel="0" collapsed="false">
      <c r="B22147" s="0" t="s">
        <v>14</v>
      </c>
    </row>
    <row r="22148" customFormat="false" ht="12.8" hidden="false" customHeight="false" outlineLevel="0" collapsed="false">
      <c r="B22148" s="0" t="s">
        <v>459</v>
      </c>
    </row>
    <row r="22150" customFormat="false" ht="12.8" hidden="false" customHeight="false" outlineLevel="0" collapsed="false">
      <c r="A22150" s="0" t="s">
        <v>8350</v>
      </c>
      <c r="B22150" s="0" t="str">
        <f aca="false">HYPERLINK("https://lindat.mff.cuni.cz/services/teitok/pdtc10/index.php?action=vallex&amp;frame=v-w11291f1", "odpoutat se (v-w11291f1)")</f>
        <v>odpoutat se (v-w11291f1)</v>
      </c>
    </row>
    <row r="22151" customFormat="false" ht="12.8" hidden="false" customHeight="false" outlineLevel="0" collapsed="false">
      <c r="B22151" s="0" t="s">
        <v>7</v>
      </c>
      <c r="D22151" s="0" t="s">
        <v>247</v>
      </c>
      <c r="E22151" s="0" t="s">
        <v>247</v>
      </c>
      <c r="F22151" s="0" t="s">
        <v>247</v>
      </c>
    </row>
    <row r="22152" customFormat="false" ht="12.8" hidden="false" customHeight="false" outlineLevel="0" collapsed="false">
      <c r="B22152" s="0" t="s">
        <v>28</v>
      </c>
      <c r="C22152" s="0" t="s">
        <v>1544</v>
      </c>
    </row>
    <row r="22154" customFormat="false" ht="12.8" hidden="false" customHeight="false" outlineLevel="0" collapsed="false">
      <c r="A22154" s="0" t="s">
        <v>8351</v>
      </c>
      <c r="B22154" s="0" t="str">
        <f aca="false">HYPERLINK("https://lindat.mff.cuni.cz/services/teitok/pdtc10/index.php?action=vallex&amp;frame=v-w2832f1", "odpoutávat (v-w2832f1)")</f>
        <v>odpoutávat (v-w2832f1)</v>
      </c>
    </row>
    <row r="22155" customFormat="false" ht="12.8" hidden="false" customHeight="false" outlineLevel="0" collapsed="false">
      <c r="B22155" s="0" t="s">
        <v>7</v>
      </c>
      <c r="C22155" s="0" t="s">
        <v>200</v>
      </c>
    </row>
    <row r="22156" customFormat="false" ht="12.8" hidden="false" customHeight="false" outlineLevel="0" collapsed="false">
      <c r="B22156" s="0" t="s">
        <v>14</v>
      </c>
    </row>
    <row r="22157" customFormat="false" ht="12.8" hidden="false" customHeight="false" outlineLevel="0" collapsed="false">
      <c r="B22157" s="0" t="s">
        <v>441</v>
      </c>
      <c r="C22157" s="0" t="s">
        <v>5551</v>
      </c>
    </row>
    <row r="22159" customFormat="false" ht="12.8" hidden="false" customHeight="false" outlineLevel="0" collapsed="false">
      <c r="A22159" s="0" t="s">
        <v>8352</v>
      </c>
      <c r="B22159" s="0" t="str">
        <f aca="false">HYPERLINK("https://lindat.mff.cuni.cz/services/teitok/pdtc10/index.php?action=vallex&amp;frame=v-w2832f2", "odpoutávat (v-w2832f2)")</f>
        <v>odpoutávat (v-w2832f2)</v>
      </c>
    </row>
    <row r="22160" customFormat="false" ht="12.8" hidden="false" customHeight="false" outlineLevel="0" collapsed="false">
      <c r="B22160" s="0" t="s">
        <v>7</v>
      </c>
    </row>
    <row r="22161" customFormat="false" ht="12.8" hidden="false" customHeight="false" outlineLevel="0" collapsed="false">
      <c r="B22161" s="0" t="s">
        <v>14</v>
      </c>
    </row>
    <row r="22162" customFormat="false" ht="12.8" hidden="false" customHeight="false" outlineLevel="0" collapsed="false">
      <c r="B22162" s="0" t="s">
        <v>459</v>
      </c>
    </row>
    <row r="22164" customFormat="false" ht="12.8" hidden="false" customHeight="false" outlineLevel="0" collapsed="false">
      <c r="A22164" s="0" t="s">
        <v>8353</v>
      </c>
      <c r="B22164" s="0" t="str">
        <f aca="false">HYPERLINK("https://lindat.mff.cuni.cz/services/teitok/pdtc10/index.php?action=vallex&amp;frame=v-w2829f1", "odpouštět (v-w2829f1)")</f>
        <v>odpouštět (v-w2829f1)</v>
      </c>
    </row>
    <row r="22165" customFormat="false" ht="12.8" hidden="false" customHeight="false" outlineLevel="0" collapsed="false">
      <c r="B22165" s="0" t="s">
        <v>7</v>
      </c>
      <c r="D22165" s="0" t="s">
        <v>46</v>
      </c>
      <c r="E22165" s="0" t="s">
        <v>46</v>
      </c>
      <c r="F22165" s="0" t="s">
        <v>46</v>
      </c>
    </row>
    <row r="22166" customFormat="false" ht="12.8" hidden="false" customHeight="false" outlineLevel="0" collapsed="false">
      <c r="B22166" s="0" t="s">
        <v>172</v>
      </c>
      <c r="D22166" s="0" t="s">
        <v>274</v>
      </c>
      <c r="E22166" s="0" t="s">
        <v>274</v>
      </c>
      <c r="F22166" s="0" t="s">
        <v>274</v>
      </c>
    </row>
    <row r="22167" customFormat="false" ht="12.8" hidden="false" customHeight="false" outlineLevel="0" collapsed="false">
      <c r="B22167" s="0" t="s">
        <v>48</v>
      </c>
      <c r="D22167" s="0" t="s">
        <v>397</v>
      </c>
      <c r="E22167" s="0" t="s">
        <v>397</v>
      </c>
      <c r="F22167" s="0" t="s">
        <v>397</v>
      </c>
    </row>
    <row r="22169" customFormat="false" ht="12.8" hidden="false" customHeight="false" outlineLevel="0" collapsed="false">
      <c r="A22169" s="0" t="s">
        <v>8354</v>
      </c>
      <c r="B22169" s="0" t="str">
        <f aca="false">HYPERLINK("https://lindat.mff.cuni.cz/services/teitok/pdtc10/index.php?action=vallex&amp;frame=v-w2829f2", "odpouštět (v-w2829f2)")</f>
        <v>odpouštět (v-w2829f2)</v>
      </c>
    </row>
    <row r="22170" customFormat="false" ht="12.8" hidden="false" customHeight="false" outlineLevel="0" collapsed="false">
      <c r="B22170" s="0" t="s">
        <v>7</v>
      </c>
    </row>
    <row r="22171" customFormat="false" ht="12.8" hidden="false" customHeight="false" outlineLevel="0" collapsed="false">
      <c r="B22171" s="0" t="s">
        <v>14</v>
      </c>
    </row>
    <row r="22173" customFormat="false" ht="12.8" hidden="false" customHeight="false" outlineLevel="0" collapsed="false">
      <c r="A22173" s="0" t="s">
        <v>8355</v>
      </c>
      <c r="B22173" s="0" t="str">
        <f aca="false">HYPERLINK("https://lindat.mff.cuni.cz/services/teitok/pdtc10/index.php?action=vallex&amp;frame=v-w12055_ZUf1_ZU", "odpouštět si (v-w12055_ZUf1_ZU)")</f>
        <v>odpouštět si (v-w12055_ZUf1_ZU)</v>
      </c>
    </row>
    <row r="22174" customFormat="false" ht="12.8" hidden="false" customHeight="false" outlineLevel="0" collapsed="false">
      <c r="B22174" s="0" t="s">
        <v>7</v>
      </c>
    </row>
    <row r="22175" customFormat="false" ht="12.8" hidden="false" customHeight="false" outlineLevel="0" collapsed="false">
      <c r="B22175" s="0" t="s">
        <v>14</v>
      </c>
    </row>
    <row r="22177" customFormat="false" ht="12.8" hidden="false" customHeight="false" outlineLevel="0" collapsed="false">
      <c r="A22177" s="0" t="s">
        <v>8356</v>
      </c>
      <c r="B22177" s="0" t="str">
        <f aca="false">HYPERLINK("https://lindat.mff.cuni.cz/services/teitok/pdtc10/index.php?action=vallex&amp;frame=v-w2839f3", "odpovídat (v-w2839f3)")</f>
        <v>odpovídat (v-w2839f3)</v>
      </c>
    </row>
    <row r="22178" customFormat="false" ht="12.8" hidden="false" customHeight="false" outlineLevel="0" collapsed="false">
      <c r="B22178" s="0" t="s">
        <v>7</v>
      </c>
      <c r="E22178" s="0" t="s">
        <v>108</v>
      </c>
      <c r="F22178" s="0" t="s">
        <v>108</v>
      </c>
    </row>
    <row r="22179" customFormat="false" ht="12.8" hidden="false" customHeight="false" outlineLevel="0" collapsed="false">
      <c r="B22179" s="0" t="s">
        <v>491</v>
      </c>
      <c r="E22179" s="0" t="s">
        <v>120</v>
      </c>
      <c r="F22179" s="0" t="s">
        <v>120</v>
      </c>
    </row>
    <row r="22180" customFormat="false" ht="12.8" hidden="false" customHeight="false" outlineLevel="0" collapsed="false">
      <c r="B22180" s="0" t="s">
        <v>106</v>
      </c>
    </row>
    <row r="22182" customFormat="false" ht="12.8" hidden="false" customHeight="false" outlineLevel="0" collapsed="false">
      <c r="A22182" s="0" t="s">
        <v>8357</v>
      </c>
      <c r="B22182" s="0" t="str">
        <f aca="false">HYPERLINK("https://lindat.mff.cuni.cz/services/teitok/pdtc10/index.php?action=vallex&amp;frame=v-w2839f1", "odpovídat (v-w2839f1)")</f>
        <v>odpovídat (v-w2839f1)</v>
      </c>
    </row>
    <row r="22183" customFormat="false" ht="12.8" hidden="false" customHeight="false" outlineLevel="0" collapsed="false">
      <c r="B22183" s="0" t="s">
        <v>641</v>
      </c>
      <c r="C22183" s="0" t="s">
        <v>8358</v>
      </c>
      <c r="D22183" s="0" t="s">
        <v>4476</v>
      </c>
      <c r="E22183" s="0" t="s">
        <v>4476</v>
      </c>
      <c r="F22183" s="0" t="s">
        <v>4476</v>
      </c>
    </row>
    <row r="22184" customFormat="false" ht="12.8" hidden="false" customHeight="false" outlineLevel="0" collapsed="false">
      <c r="B22184" s="0" t="s">
        <v>142</v>
      </c>
      <c r="C22184" s="0" t="s">
        <v>8359</v>
      </c>
      <c r="D22184" s="0" t="s">
        <v>8360</v>
      </c>
      <c r="E22184" s="0" t="s">
        <v>8360</v>
      </c>
      <c r="F22184" s="0" t="s">
        <v>8360</v>
      </c>
    </row>
    <row r="22186" customFormat="false" ht="12.8" hidden="false" customHeight="false" outlineLevel="0" collapsed="false">
      <c r="A22186" s="0" t="s">
        <v>8361</v>
      </c>
      <c r="B22186" s="0" t="str">
        <f aca="false">HYPERLINK("https://lindat.mff.cuni.cz/services/teitok/pdtc10/index.php?action=vallex&amp;frame=v-w2839f4", "odpovídat (v-w2839f4)")</f>
        <v>odpovídat (v-w2839f4)</v>
      </c>
    </row>
    <row r="22187" customFormat="false" ht="12.8" hidden="false" customHeight="false" outlineLevel="0" collapsed="false">
      <c r="B22187" s="0" t="s">
        <v>7</v>
      </c>
      <c r="C22187" s="0" t="s">
        <v>2656</v>
      </c>
      <c r="D22187" s="0" t="s">
        <v>4178</v>
      </c>
      <c r="E22187" s="0" t="s">
        <v>4178</v>
      </c>
      <c r="F22187" s="0" t="s">
        <v>4178</v>
      </c>
    </row>
    <row r="22188" customFormat="false" ht="12.8" hidden="false" customHeight="false" outlineLevel="0" collapsed="false">
      <c r="B22188" s="0" t="s">
        <v>41</v>
      </c>
      <c r="C22188" s="0" t="s">
        <v>8362</v>
      </c>
      <c r="D22188" s="0" t="s">
        <v>8363</v>
      </c>
      <c r="E22188" s="0" t="s">
        <v>8363</v>
      </c>
      <c r="F22188" s="0" t="s">
        <v>8363</v>
      </c>
    </row>
    <row r="22190" customFormat="false" ht="12.8" hidden="false" customHeight="false" outlineLevel="0" collapsed="false">
      <c r="A22190" s="0" t="s">
        <v>8364</v>
      </c>
      <c r="B22190" s="0" t="str">
        <f aca="false">HYPERLINK("https://lindat.mff.cuni.cz/services/teitok/pdtc10/index.php?action=vallex&amp;frame=v-w2839f5", "odpovídat (v-w2839f5)")</f>
        <v>odpovídat (v-w2839f5)</v>
      </c>
    </row>
    <row r="22191" customFormat="false" ht="12.8" hidden="false" customHeight="false" outlineLevel="0" collapsed="false">
      <c r="B22191" s="0" t="s">
        <v>7</v>
      </c>
    </row>
    <row r="22192" customFormat="false" ht="12.8" hidden="false" customHeight="false" outlineLevel="0" collapsed="false">
      <c r="B22192" s="0" t="s">
        <v>48</v>
      </c>
    </row>
    <row r="22193" customFormat="false" ht="12.8" hidden="false" customHeight="false" outlineLevel="0" collapsed="false">
      <c r="B22193" s="0" t="s">
        <v>63</v>
      </c>
    </row>
    <row r="22194" customFormat="false" ht="12.8" hidden="false" customHeight="false" outlineLevel="0" collapsed="false">
      <c r="B22194" s="0" t="s">
        <v>552</v>
      </c>
    </row>
    <row r="22195" customFormat="false" ht="12.8" hidden="false" customHeight="false" outlineLevel="0" collapsed="false">
      <c r="B22195" s="0" t="s">
        <v>474</v>
      </c>
    </row>
    <row r="22196" customFormat="false" ht="12.8" hidden="false" customHeight="false" outlineLevel="0" collapsed="false">
      <c r="B22196" s="0" t="s">
        <v>477</v>
      </c>
    </row>
    <row r="22197" customFormat="false" ht="12.8" hidden="false" customHeight="false" outlineLevel="0" collapsed="false">
      <c r="B22197" s="0" t="s">
        <v>479</v>
      </c>
    </row>
    <row r="22198" customFormat="false" ht="12.8" hidden="false" customHeight="false" outlineLevel="0" collapsed="false">
      <c r="B22198" s="0" t="s">
        <v>481</v>
      </c>
    </row>
    <row r="22199" customFormat="false" ht="12.8" hidden="false" customHeight="false" outlineLevel="0" collapsed="false">
      <c r="B22199" s="0" t="s">
        <v>483</v>
      </c>
    </row>
    <row r="22201" customFormat="false" ht="12.8" hidden="false" customHeight="false" outlineLevel="0" collapsed="false">
      <c r="A22201" s="0" t="s">
        <v>8365</v>
      </c>
      <c r="B22201" s="0" t="str">
        <f aca="false">HYPERLINK("https://lindat.mff.cuni.cz/services/teitok/pdtc10/index.php?action=vallex&amp;frame=v-w2839f2", "odpovídat (v-w2839f2)")</f>
        <v>odpovídat (v-w2839f2)</v>
      </c>
    </row>
    <row r="22202" customFormat="false" ht="12.8" hidden="false" customHeight="false" outlineLevel="0" collapsed="false">
      <c r="B22202" s="0" t="s">
        <v>7</v>
      </c>
      <c r="C22202" s="0" t="s">
        <v>8366</v>
      </c>
      <c r="D22202" s="0" t="s">
        <v>8367</v>
      </c>
      <c r="E22202" s="0" t="s">
        <v>8367</v>
      </c>
      <c r="F22202" s="0" t="s">
        <v>8367</v>
      </c>
    </row>
    <row r="22203" customFormat="false" ht="12.8" hidden="false" customHeight="false" outlineLevel="0" collapsed="false">
      <c r="B22203" s="0" t="s">
        <v>48</v>
      </c>
      <c r="C22203" s="0" t="s">
        <v>3824</v>
      </c>
      <c r="D22203" s="0" t="s">
        <v>8368</v>
      </c>
      <c r="E22203" s="0" t="s">
        <v>8368</v>
      </c>
      <c r="F22203" s="0" t="s">
        <v>8368</v>
      </c>
    </row>
    <row r="22204" customFormat="false" ht="12.8" hidden="false" customHeight="false" outlineLevel="0" collapsed="false">
      <c r="B22204" s="0" t="s">
        <v>8369</v>
      </c>
      <c r="C22204" s="0" t="s">
        <v>8370</v>
      </c>
      <c r="D22204" s="0" t="s">
        <v>8371</v>
      </c>
      <c r="E22204" s="0" t="s">
        <v>8371</v>
      </c>
      <c r="F22204" s="0" t="s">
        <v>8371</v>
      </c>
    </row>
    <row r="22205" customFormat="false" ht="12.8" hidden="false" customHeight="false" outlineLevel="0" collapsed="false">
      <c r="B22205" s="0" t="s">
        <v>63</v>
      </c>
      <c r="C22205" s="0" t="s">
        <v>8372</v>
      </c>
      <c r="D22205" s="0" t="s">
        <v>8373</v>
      </c>
      <c r="E22205" s="0" t="s">
        <v>8373</v>
      </c>
      <c r="F22205" s="0" t="s">
        <v>8373</v>
      </c>
    </row>
    <row r="22207" customFormat="false" ht="12.8" hidden="false" customHeight="false" outlineLevel="0" collapsed="false">
      <c r="A22207" s="0" t="s">
        <v>8374</v>
      </c>
      <c r="B22207" s="0" t="str">
        <f aca="false">HYPERLINK("https://lindat.mff.cuni.cz/services/teitok/pdtc10/index.php?action=vallex&amp;frame=v-w2839f6_MM", "odpovídat (v-w2839f6_MM)")</f>
        <v>odpovídat (v-w2839f6_MM)</v>
      </c>
    </row>
    <row r="22208" customFormat="false" ht="12.8" hidden="false" customHeight="false" outlineLevel="0" collapsed="false">
      <c r="B22208" s="0" t="s">
        <v>7</v>
      </c>
    </row>
    <row r="22209" customFormat="false" ht="12.8" hidden="false" customHeight="false" outlineLevel="0" collapsed="false">
      <c r="B22209" s="0" t="s">
        <v>232</v>
      </c>
    </row>
    <row r="22210" customFormat="false" ht="12.8" hidden="false" customHeight="false" outlineLevel="0" collapsed="false">
      <c r="B22210" s="0" t="s">
        <v>48</v>
      </c>
    </row>
    <row r="22212" customFormat="false" ht="12.8" hidden="false" customHeight="false" outlineLevel="0" collapsed="false">
      <c r="A22212" s="0" t="s">
        <v>8375</v>
      </c>
      <c r="B22212" s="0" t="str">
        <f aca="false">HYPERLINK("https://lindat.mff.cuni.cz/services/teitok/pdtc10/index.php?action=vallex&amp;frame=v-w2840f1", "odpovídat se (v-w2840f1)")</f>
        <v>odpovídat se (v-w2840f1)</v>
      </c>
    </row>
    <row r="22213" customFormat="false" ht="12.8" hidden="false" customHeight="false" outlineLevel="0" collapsed="false">
      <c r="B22213" s="0" t="s">
        <v>7</v>
      </c>
      <c r="E22213" s="0" t="s">
        <v>108</v>
      </c>
      <c r="F22213" s="0" t="s">
        <v>108</v>
      </c>
    </row>
    <row r="22214" customFormat="false" ht="12.8" hidden="false" customHeight="false" outlineLevel="0" collapsed="false">
      <c r="B22214" s="0" t="s">
        <v>227</v>
      </c>
      <c r="E22214" s="0" t="s">
        <v>120</v>
      </c>
      <c r="F22214" s="0" t="s">
        <v>120</v>
      </c>
    </row>
    <row r="22215" customFormat="false" ht="12.8" hidden="false" customHeight="false" outlineLevel="0" collapsed="false">
      <c r="B22215" s="0" t="s">
        <v>48</v>
      </c>
    </row>
    <row r="22217" customFormat="false" ht="12.8" hidden="false" customHeight="false" outlineLevel="0" collapsed="false">
      <c r="A22217" s="0" t="s">
        <v>8376</v>
      </c>
      <c r="B22217" s="0" t="str">
        <f aca="false">HYPERLINK("https://lindat.mff.cuni.cz/services/teitok/pdtc10/index.php?action=vallex&amp;frame=v-w2834f2", "odpovědět (v-w2834f2)")</f>
        <v>odpovědět (v-w2834f2)</v>
      </c>
    </row>
    <row r="22218" customFormat="false" ht="12.8" hidden="false" customHeight="false" outlineLevel="0" collapsed="false">
      <c r="B22218" s="0" t="s">
        <v>7</v>
      </c>
      <c r="C22218" s="0" t="s">
        <v>2656</v>
      </c>
      <c r="D22218" s="0" t="s">
        <v>4178</v>
      </c>
      <c r="E22218" s="0" t="s">
        <v>4178</v>
      </c>
      <c r="F22218" s="0" t="s">
        <v>4178</v>
      </c>
    </row>
    <row r="22219" customFormat="false" ht="12.8" hidden="false" customHeight="false" outlineLevel="0" collapsed="false">
      <c r="B22219" s="0" t="s">
        <v>41</v>
      </c>
      <c r="C22219" s="0" t="s">
        <v>8362</v>
      </c>
      <c r="D22219" s="0" t="s">
        <v>8363</v>
      </c>
      <c r="E22219" s="0" t="s">
        <v>8363</v>
      </c>
      <c r="F22219" s="0" t="s">
        <v>8363</v>
      </c>
    </row>
    <row r="22221" customFormat="false" ht="12.8" hidden="false" customHeight="false" outlineLevel="0" collapsed="false">
      <c r="A22221" s="0" t="s">
        <v>8377</v>
      </c>
      <c r="B22221" s="0" t="str">
        <f aca="false">HYPERLINK("https://lindat.mff.cuni.cz/services/teitok/pdtc10/index.php?action=vallex&amp;frame=v-w2834f3", "odpovědět (v-w2834f3)")</f>
        <v>odpovědět (v-w2834f3)</v>
      </c>
    </row>
    <row r="22222" customFormat="false" ht="12.8" hidden="false" customHeight="false" outlineLevel="0" collapsed="false">
      <c r="B22222" s="0" t="s">
        <v>7</v>
      </c>
      <c r="C22222" s="0" t="s">
        <v>2656</v>
      </c>
    </row>
    <row r="22223" customFormat="false" ht="12.8" hidden="false" customHeight="false" outlineLevel="0" collapsed="false">
      <c r="B22223" s="0" t="s">
        <v>48</v>
      </c>
      <c r="C22223" s="0" t="s">
        <v>3323</v>
      </c>
    </row>
    <row r="22224" customFormat="false" ht="12.8" hidden="false" customHeight="false" outlineLevel="0" collapsed="false">
      <c r="B22224" s="0" t="s">
        <v>63</v>
      </c>
      <c r="C22224" s="0" t="s">
        <v>8362</v>
      </c>
    </row>
    <row r="22225" customFormat="false" ht="12.8" hidden="false" customHeight="false" outlineLevel="0" collapsed="false">
      <c r="B22225" s="0" t="s">
        <v>474</v>
      </c>
    </row>
    <row r="22226" customFormat="false" ht="12.8" hidden="false" customHeight="false" outlineLevel="0" collapsed="false">
      <c r="B22226" s="0" t="s">
        <v>477</v>
      </c>
    </row>
    <row r="22227" customFormat="false" ht="12.8" hidden="false" customHeight="false" outlineLevel="0" collapsed="false">
      <c r="B22227" s="0" t="s">
        <v>479</v>
      </c>
    </row>
    <row r="22228" customFormat="false" ht="12.8" hidden="false" customHeight="false" outlineLevel="0" collapsed="false">
      <c r="B22228" s="0" t="s">
        <v>481</v>
      </c>
    </row>
    <row r="22229" customFormat="false" ht="12.8" hidden="false" customHeight="false" outlineLevel="0" collapsed="false">
      <c r="B22229" s="0" t="s">
        <v>483</v>
      </c>
    </row>
    <row r="22231" customFormat="false" ht="12.8" hidden="false" customHeight="false" outlineLevel="0" collapsed="false">
      <c r="A22231" s="0" t="s">
        <v>8378</v>
      </c>
      <c r="B22231" s="0" t="str">
        <f aca="false">HYPERLINK("https://lindat.mff.cuni.cz/services/teitok/pdtc10/index.php?action=vallex&amp;frame=v-w2834f1", "odpovědět (v-w2834f1)")</f>
        <v>odpovědět (v-w2834f1)</v>
      </c>
    </row>
    <row r="22232" customFormat="false" ht="12.8" hidden="false" customHeight="false" outlineLevel="0" collapsed="false">
      <c r="B22232" s="0" t="s">
        <v>7</v>
      </c>
      <c r="C22232" s="0" t="s">
        <v>8379</v>
      </c>
      <c r="D22232" s="0" t="s">
        <v>8367</v>
      </c>
      <c r="E22232" s="0" t="s">
        <v>8367</v>
      </c>
      <c r="F22232" s="0" t="s">
        <v>8367</v>
      </c>
    </row>
    <row r="22233" customFormat="false" ht="12.8" hidden="false" customHeight="false" outlineLevel="0" collapsed="false">
      <c r="B22233" s="0" t="s">
        <v>48</v>
      </c>
      <c r="C22233" s="0" t="s">
        <v>8380</v>
      </c>
      <c r="D22233" s="0" t="s">
        <v>8368</v>
      </c>
      <c r="E22233" s="0" t="s">
        <v>8368</v>
      </c>
      <c r="F22233" s="0" t="s">
        <v>8368</v>
      </c>
    </row>
    <row r="22234" customFormat="false" ht="12.8" hidden="false" customHeight="false" outlineLevel="0" collapsed="false">
      <c r="B22234" s="0" t="s">
        <v>8381</v>
      </c>
      <c r="C22234" s="0" t="s">
        <v>8382</v>
      </c>
      <c r="D22234" s="0" t="s">
        <v>8371</v>
      </c>
      <c r="E22234" s="0" t="s">
        <v>8371</v>
      </c>
      <c r="F22234" s="0" t="s">
        <v>8371</v>
      </c>
    </row>
    <row r="22235" customFormat="false" ht="12.8" hidden="false" customHeight="false" outlineLevel="0" collapsed="false">
      <c r="B22235" s="0" t="s">
        <v>63</v>
      </c>
      <c r="C22235" s="0" t="s">
        <v>8383</v>
      </c>
      <c r="D22235" s="0" t="s">
        <v>8373</v>
      </c>
      <c r="E22235" s="0" t="s">
        <v>8373</v>
      </c>
      <c r="F22235" s="0" t="s">
        <v>8373</v>
      </c>
    </row>
    <row r="22237" customFormat="false" ht="12.8" hidden="false" customHeight="false" outlineLevel="0" collapsed="false">
      <c r="A22237" s="0" t="s">
        <v>8384</v>
      </c>
      <c r="B22237" s="0" t="str">
        <f aca="false">HYPERLINK("https://lindat.mff.cuni.cz/services/teitok/pdtc10/index.php?action=vallex&amp;frame=v-w2834f6_MM", "odpovědět (v-w2834f6_MM)")</f>
        <v>odpovědět (v-w2834f6_MM)</v>
      </c>
    </row>
    <row r="22238" customFormat="false" ht="12.8" hidden="false" customHeight="false" outlineLevel="0" collapsed="false">
      <c r="B22238" s="0" t="s">
        <v>7</v>
      </c>
    </row>
    <row r="22239" customFormat="false" ht="12.8" hidden="false" customHeight="false" outlineLevel="0" collapsed="false">
      <c r="B22239" s="0" t="s">
        <v>232</v>
      </c>
    </row>
    <row r="22240" customFormat="false" ht="12.8" hidden="false" customHeight="false" outlineLevel="0" collapsed="false">
      <c r="B22240" s="0" t="s">
        <v>48</v>
      </c>
    </row>
    <row r="22242" customFormat="false" ht="12.8" hidden="false" customHeight="false" outlineLevel="0" collapsed="false">
      <c r="A22242" s="0" t="s">
        <v>8384</v>
      </c>
      <c r="B22242" s="0" t="str">
        <f aca="false">HYPERLINK("https://lindat.mff.cuni.cz/services/teitok/pdtc10/index.php?action=vallex&amp;frame=v-w2834f4_ZU", "odpovědět (v-w2834f4_ZU) - substituted with v-w2834f6_MM")</f>
        <v>odpovědět (v-w2834f4_ZU) - substituted with v-w2834f6_MM</v>
      </c>
    </row>
    <row r="22243" customFormat="false" ht="12.8" hidden="false" customHeight="false" outlineLevel="0" collapsed="false">
      <c r="B22243" s="0" t="s">
        <v>7</v>
      </c>
    </row>
    <row r="22244" customFormat="false" ht="12.8" hidden="false" customHeight="false" outlineLevel="0" collapsed="false">
      <c r="B22244" s="0" t="s">
        <v>232</v>
      </c>
    </row>
    <row r="22245" customFormat="false" ht="12.8" hidden="false" customHeight="false" outlineLevel="0" collapsed="false">
      <c r="B22245" s="0" t="s">
        <v>48</v>
      </c>
    </row>
    <row r="22247" customFormat="false" ht="12.8" hidden="false" customHeight="false" outlineLevel="0" collapsed="false">
      <c r="A22247" s="0" t="s">
        <v>8384</v>
      </c>
      <c r="B22247" s="0" t="str">
        <f aca="false">HYPERLINK("https://lindat.mff.cuni.cz/services/teitok/pdtc10/index.php?action=vallex&amp;frame=v-w2834f5_ZU", "odpovědět (v-w2834f5_ZU) - substituted with v-w2834f6_MM")</f>
        <v>odpovědět (v-w2834f5_ZU) - substituted with v-w2834f6_MM</v>
      </c>
    </row>
    <row r="22248" customFormat="false" ht="12.8" hidden="false" customHeight="false" outlineLevel="0" collapsed="false">
      <c r="B22248" s="0" t="s">
        <v>7</v>
      </c>
    </row>
    <row r="22249" customFormat="false" ht="12.8" hidden="false" customHeight="false" outlineLevel="0" collapsed="false">
      <c r="B22249" s="0" t="s">
        <v>232</v>
      </c>
    </row>
    <row r="22250" customFormat="false" ht="12.8" hidden="false" customHeight="false" outlineLevel="0" collapsed="false">
      <c r="B22250" s="0" t="s">
        <v>48</v>
      </c>
    </row>
    <row r="22252" customFormat="false" ht="12.8" hidden="false" customHeight="false" outlineLevel="0" collapsed="false">
      <c r="A22252" s="0" t="s">
        <v>8385</v>
      </c>
      <c r="B22252" s="0" t="str">
        <f aca="false">HYPERLINK("https://lindat.mff.cuni.cz/services/teitok/pdtc10/index.php?action=vallex&amp;frame=v-w2818f1", "odpočinout si (v-w2818f1)")</f>
        <v>odpočinout si (v-w2818f1)</v>
      </c>
    </row>
    <row r="22253" customFormat="false" ht="12.8" hidden="false" customHeight="false" outlineLevel="0" collapsed="false">
      <c r="B22253" s="0" t="s">
        <v>7</v>
      </c>
    </row>
    <row r="22254" customFormat="false" ht="12.8" hidden="false" customHeight="false" outlineLevel="0" collapsed="false">
      <c r="B22254" s="0" t="s">
        <v>333</v>
      </c>
    </row>
    <row r="22256" customFormat="false" ht="12.8" hidden="false" customHeight="false" outlineLevel="0" collapsed="false">
      <c r="A22256" s="0" t="s">
        <v>8386</v>
      </c>
      <c r="B22256" s="0" t="str">
        <f aca="false">HYPERLINK("https://lindat.mff.cuni.cz/services/teitok/pdtc10/index.php?action=vallex&amp;frame=v-w11781_ZUf1_ZU", "odpočnout si (v-w11781_ZUf1_ZU)")</f>
        <v>odpočnout si (v-w11781_ZUf1_ZU)</v>
      </c>
    </row>
    <row r="22257" customFormat="false" ht="12.8" hidden="false" customHeight="false" outlineLevel="0" collapsed="false">
      <c r="B22257" s="0" t="s">
        <v>7</v>
      </c>
    </row>
    <row r="22258" customFormat="false" ht="12.8" hidden="false" customHeight="false" outlineLevel="0" collapsed="false">
      <c r="B22258" s="0" t="s">
        <v>333</v>
      </c>
    </row>
    <row r="22260" customFormat="false" ht="12.8" hidden="false" customHeight="false" outlineLevel="0" collapsed="false">
      <c r="A22260" s="0" t="s">
        <v>8387</v>
      </c>
      <c r="B22260" s="0" t="str">
        <f aca="false">HYPERLINK("https://lindat.mff.cuni.cz/services/teitok/pdtc10/index.php?action=vallex&amp;frame=v-w2819f2", "odpočíst (v-w2819f2)")</f>
        <v>odpočíst (v-w2819f2)</v>
      </c>
    </row>
    <row r="22261" customFormat="false" ht="12.8" hidden="false" customHeight="false" outlineLevel="0" collapsed="false">
      <c r="B22261" s="0" t="s">
        <v>7</v>
      </c>
    </row>
    <row r="22262" customFormat="false" ht="12.8" hidden="false" customHeight="false" outlineLevel="0" collapsed="false">
      <c r="B22262" s="0" t="s">
        <v>14</v>
      </c>
    </row>
    <row r="22263" customFormat="false" ht="12.8" hidden="false" customHeight="false" outlineLevel="0" collapsed="false">
      <c r="B22263" s="0" t="s">
        <v>459</v>
      </c>
    </row>
    <row r="22265" customFormat="false" ht="12.8" hidden="false" customHeight="false" outlineLevel="0" collapsed="false">
      <c r="A22265" s="0" t="s">
        <v>8388</v>
      </c>
      <c r="B22265" s="0" t="str">
        <f aca="false">HYPERLINK("https://lindat.mff.cuni.cz/services/teitok/pdtc10/index.php?action=vallex&amp;frame=v-w2819f1", "odpočíst (v-w2819f1)")</f>
        <v>odpočíst (v-w2819f1)</v>
      </c>
    </row>
    <row r="22266" customFormat="false" ht="12.8" hidden="false" customHeight="false" outlineLevel="0" collapsed="false">
      <c r="B22266" s="0" t="s">
        <v>7</v>
      </c>
    </row>
    <row r="22267" customFormat="false" ht="12.8" hidden="false" customHeight="false" outlineLevel="0" collapsed="false">
      <c r="B22267" s="0" t="s">
        <v>14</v>
      </c>
    </row>
    <row r="22269" customFormat="false" ht="12.8" hidden="false" customHeight="false" outlineLevel="0" collapsed="false">
      <c r="A22269" s="0" t="s">
        <v>8389</v>
      </c>
      <c r="B22269" s="0" t="str">
        <f aca="false">HYPERLINK("https://lindat.mff.cuni.cz/services/teitok/pdtc10/index.php?action=vallex&amp;frame=v-w10200f2", "odpočítávat (v-w10200f2)")</f>
        <v>odpočítávat (v-w10200f2)</v>
      </c>
    </row>
    <row r="22270" customFormat="false" ht="12.8" hidden="false" customHeight="false" outlineLevel="0" collapsed="false">
      <c r="B22270" s="0" t="s">
        <v>7</v>
      </c>
      <c r="C22270" s="0" t="s">
        <v>1380</v>
      </c>
      <c r="D22270" s="0" t="s">
        <v>4976</v>
      </c>
      <c r="E22270" s="0" t="s">
        <v>4976</v>
      </c>
      <c r="F22270" s="0" t="s">
        <v>4976</v>
      </c>
    </row>
    <row r="22271" customFormat="false" ht="12.8" hidden="false" customHeight="false" outlineLevel="0" collapsed="false">
      <c r="B22271" s="0" t="s">
        <v>14</v>
      </c>
      <c r="C22271" s="0" t="s">
        <v>1170</v>
      </c>
      <c r="D22271" s="0" t="s">
        <v>487</v>
      </c>
      <c r="E22271" s="0" t="s">
        <v>487</v>
      </c>
      <c r="F22271" s="0" t="s">
        <v>487</v>
      </c>
    </row>
    <row r="22272" customFormat="false" ht="12.8" hidden="false" customHeight="false" outlineLevel="0" collapsed="false">
      <c r="B22272" s="0" t="s">
        <v>459</v>
      </c>
    </row>
    <row r="22274" customFormat="false" ht="12.8" hidden="false" customHeight="false" outlineLevel="0" collapsed="false">
      <c r="A22274" s="0" t="s">
        <v>8390</v>
      </c>
      <c r="B22274" s="0" t="str">
        <f aca="false">HYPERLINK("https://lindat.mff.cuni.cz/services/teitok/pdtc10/index.php?action=vallex&amp;frame=v-w10200f3", "odpočítávat (v-w10200f3)")</f>
        <v>odpočítávat (v-w10200f3)</v>
      </c>
    </row>
    <row r="22275" customFormat="false" ht="12.8" hidden="false" customHeight="false" outlineLevel="0" collapsed="false">
      <c r="B22275" s="0" t="s">
        <v>7</v>
      </c>
    </row>
    <row r="22276" customFormat="false" ht="12.8" hidden="false" customHeight="false" outlineLevel="0" collapsed="false">
      <c r="B22276" s="0" t="s">
        <v>14</v>
      </c>
    </row>
    <row r="22278" customFormat="false" ht="12.8" hidden="false" customHeight="false" outlineLevel="0" collapsed="false">
      <c r="A22278" s="0" t="s">
        <v>8391</v>
      </c>
      <c r="B22278" s="0" t="str">
        <f aca="false">HYPERLINK("https://lindat.mff.cuni.cz/services/teitok/pdtc10/index.php?action=vallex&amp;frame=v-w2820f1", "odpočívat (v-w2820f1)")</f>
        <v>odpočívat (v-w2820f1)</v>
      </c>
    </row>
    <row r="22279" customFormat="false" ht="12.8" hidden="false" customHeight="false" outlineLevel="0" collapsed="false">
      <c r="B22279" s="0" t="s">
        <v>7</v>
      </c>
      <c r="C22279" s="0" t="s">
        <v>396</v>
      </c>
    </row>
    <row r="22281" customFormat="false" ht="12.8" hidden="false" customHeight="false" outlineLevel="0" collapsed="false">
      <c r="A22281" s="0" t="s">
        <v>8392</v>
      </c>
      <c r="B22281" s="0" t="str">
        <f aca="false">HYPERLINK("https://lindat.mff.cuni.cz/services/teitok/pdtc10/index.php?action=vallex&amp;frame=v-w2841f1", "odpracovat (v-w2841f1)")</f>
        <v>odpracovat (v-w2841f1)</v>
      </c>
    </row>
    <row r="22282" customFormat="false" ht="12.8" hidden="false" customHeight="false" outlineLevel="0" collapsed="false">
      <c r="B22282" s="0" t="s">
        <v>7</v>
      </c>
      <c r="C22282" s="0" t="s">
        <v>2266</v>
      </c>
    </row>
    <row r="22283" customFormat="false" ht="12.8" hidden="false" customHeight="false" outlineLevel="0" collapsed="false">
      <c r="B22283" s="0" t="s">
        <v>14</v>
      </c>
      <c r="C22283" s="0" t="s">
        <v>487</v>
      </c>
    </row>
    <row r="22285" customFormat="false" ht="12.8" hidden="false" customHeight="false" outlineLevel="0" collapsed="false">
      <c r="A22285" s="0" t="s">
        <v>8393</v>
      </c>
      <c r="B22285" s="0" t="str">
        <f aca="false">HYPERLINK("https://lindat.mff.cuni.cz/services/teitok/pdtc10/index.php?action=vallex&amp;frame=v-w12271_ZUf1_ZU", "odpracovávat (v-w12271_ZUf1_ZU)")</f>
        <v>odpracovávat (v-w12271_ZUf1_ZU)</v>
      </c>
    </row>
    <row r="22286" customFormat="false" ht="12.8" hidden="false" customHeight="false" outlineLevel="0" collapsed="false">
      <c r="B22286" s="0" t="s">
        <v>7</v>
      </c>
    </row>
    <row r="22287" customFormat="false" ht="12.8" hidden="false" customHeight="false" outlineLevel="0" collapsed="false">
      <c r="B22287" s="0" t="s">
        <v>14</v>
      </c>
    </row>
    <row r="22289" customFormat="false" ht="12.8" hidden="false" customHeight="false" outlineLevel="0" collapsed="false">
      <c r="A22289" s="0" t="s">
        <v>8394</v>
      </c>
      <c r="B22289" s="0" t="str">
        <f aca="false">HYPERLINK("https://lindat.mff.cuni.cz/services/teitok/pdtc10/index.php?action=vallex&amp;frame=v-w11535_ZUf2_ZU", "odpravit (v-w11535_ZUf2_ZU)")</f>
        <v>odpravit (v-w11535_ZUf2_ZU)</v>
      </c>
    </row>
    <row r="22290" customFormat="false" ht="12.8" hidden="false" customHeight="false" outlineLevel="0" collapsed="false">
      <c r="B22290" s="0" t="s">
        <v>7</v>
      </c>
      <c r="C22290" s="0" t="s">
        <v>8129</v>
      </c>
      <c r="D22290" s="0" t="s">
        <v>5057</v>
      </c>
      <c r="E22290" s="0" t="s">
        <v>5057</v>
      </c>
      <c r="F22290" s="0" t="s">
        <v>5057</v>
      </c>
    </row>
    <row r="22291" customFormat="false" ht="12.8" hidden="false" customHeight="false" outlineLevel="0" collapsed="false">
      <c r="B22291" s="0" t="s">
        <v>14</v>
      </c>
      <c r="C22291" s="0" t="s">
        <v>75</v>
      </c>
      <c r="D22291" s="0" t="s">
        <v>8042</v>
      </c>
      <c r="E22291" s="0" t="s">
        <v>8042</v>
      </c>
      <c r="F22291" s="0" t="s">
        <v>8042</v>
      </c>
    </row>
    <row r="22293" customFormat="false" ht="12.8" hidden="false" customHeight="false" outlineLevel="0" collapsed="false">
      <c r="A22293" s="0" t="s">
        <v>8394</v>
      </c>
      <c r="B22293" s="0" t="str">
        <f aca="false">HYPERLINK("https://lindat.mff.cuni.cz/services/teitok/pdtc10/index.php?action=vallex&amp;frame=v-w11535_ZUf1_ZU", "odpravit (v-w11535_ZUf1_ZU) - substituted with v-w11535_ZUf2_ZU")</f>
        <v>odpravit (v-w11535_ZUf1_ZU) - substituted with v-w11535_ZUf2_ZU</v>
      </c>
    </row>
    <row r="22294" customFormat="false" ht="12.8" hidden="false" customHeight="false" outlineLevel="0" collapsed="false">
      <c r="B22294" s="0" t="s">
        <v>7</v>
      </c>
    </row>
    <row r="22295" customFormat="false" ht="12.8" hidden="false" customHeight="false" outlineLevel="0" collapsed="false">
      <c r="B22295" s="0" t="s">
        <v>14</v>
      </c>
    </row>
    <row r="22297" customFormat="false" ht="12.8" hidden="false" customHeight="false" outlineLevel="0" collapsed="false">
      <c r="A22297" s="0" t="s">
        <v>8395</v>
      </c>
      <c r="B22297" s="0" t="str">
        <f aca="false">HYPERLINK("https://lindat.mff.cuni.cz/services/teitok/pdtc10/index.php?action=vallex&amp;frame=v-w2842f1", "odprodat (v-w2842f1)")</f>
        <v>odprodat (v-w2842f1)</v>
      </c>
    </row>
    <row r="22298" customFormat="false" ht="12.8" hidden="false" customHeight="false" outlineLevel="0" collapsed="false">
      <c r="B22298" s="0" t="s">
        <v>7</v>
      </c>
      <c r="C22298" s="0" t="s">
        <v>8396</v>
      </c>
      <c r="D22298" s="0" t="s">
        <v>8397</v>
      </c>
      <c r="E22298" s="0" t="s">
        <v>8397</v>
      </c>
      <c r="F22298" s="0" t="s">
        <v>8397</v>
      </c>
    </row>
    <row r="22299" customFormat="false" ht="12.8" hidden="false" customHeight="false" outlineLevel="0" collapsed="false">
      <c r="B22299" s="0" t="s">
        <v>14</v>
      </c>
      <c r="C22299" s="0" t="s">
        <v>8398</v>
      </c>
      <c r="D22299" s="0" t="s">
        <v>8399</v>
      </c>
      <c r="E22299" s="0" t="s">
        <v>8399</v>
      </c>
      <c r="F22299" s="0" t="s">
        <v>8399</v>
      </c>
    </row>
    <row r="22300" customFormat="false" ht="12.8" hidden="false" customHeight="false" outlineLevel="0" collapsed="false">
      <c r="B22300" s="0" t="s">
        <v>48</v>
      </c>
      <c r="C22300" s="0" t="s">
        <v>8400</v>
      </c>
      <c r="D22300" s="0" t="s">
        <v>8400</v>
      </c>
      <c r="E22300" s="0" t="s">
        <v>8400</v>
      </c>
      <c r="F22300" s="0" t="s">
        <v>8400</v>
      </c>
    </row>
    <row r="22302" customFormat="false" ht="12.8" hidden="false" customHeight="false" outlineLevel="0" collapsed="false">
      <c r="A22302" s="0" t="s">
        <v>8401</v>
      </c>
      <c r="B22302" s="0" t="str">
        <f aca="false">HYPERLINK("https://lindat.mff.cuni.cz/services/teitok/pdtc10/index.php?action=vallex&amp;frame=v-w2843f1", "odprodávat (v-w2843f1)")</f>
        <v>odprodávat (v-w2843f1)</v>
      </c>
    </row>
    <row r="22303" customFormat="false" ht="12.8" hidden="false" customHeight="false" outlineLevel="0" collapsed="false">
      <c r="B22303" s="0" t="s">
        <v>7</v>
      </c>
      <c r="D22303" s="0" t="s">
        <v>8397</v>
      </c>
      <c r="E22303" s="0" t="s">
        <v>8397</v>
      </c>
      <c r="F22303" s="0" t="s">
        <v>8397</v>
      </c>
    </row>
    <row r="22304" customFormat="false" ht="12.8" hidden="false" customHeight="false" outlineLevel="0" collapsed="false">
      <c r="B22304" s="0" t="s">
        <v>14</v>
      </c>
      <c r="D22304" s="0" t="s">
        <v>8399</v>
      </c>
      <c r="E22304" s="0" t="s">
        <v>8399</v>
      </c>
      <c r="F22304" s="0" t="s">
        <v>8399</v>
      </c>
    </row>
    <row r="22305" customFormat="false" ht="12.8" hidden="false" customHeight="false" outlineLevel="0" collapsed="false">
      <c r="B22305" s="0" t="s">
        <v>48</v>
      </c>
      <c r="D22305" s="0" t="s">
        <v>8400</v>
      </c>
      <c r="E22305" s="0" t="s">
        <v>8400</v>
      </c>
      <c r="F22305" s="0" t="s">
        <v>8400</v>
      </c>
    </row>
    <row r="22307" customFormat="false" ht="12.8" hidden="false" customHeight="false" outlineLevel="0" collapsed="false">
      <c r="A22307" s="0" t="s">
        <v>8402</v>
      </c>
      <c r="B22307" s="0" t="str">
        <f aca="false">HYPERLINK("https://lindat.mff.cuni.cz/services/teitok/pdtc10/index.php?action=vallex&amp;frame=v-whsa_637hsa_638", "odpromovat (v-whsa_637hsa_638)")</f>
        <v>odpromovat (v-whsa_637hsa_638)</v>
      </c>
    </row>
    <row r="22308" customFormat="false" ht="12.8" hidden="false" customHeight="false" outlineLevel="0" collapsed="false">
      <c r="B22308" s="0" t="s">
        <v>7</v>
      </c>
    </row>
    <row r="22310" customFormat="false" ht="12.8" hidden="false" customHeight="false" outlineLevel="0" collapsed="false">
      <c r="A22310" s="0" t="s">
        <v>8403</v>
      </c>
      <c r="B22310" s="0" t="str">
        <f aca="false">HYPERLINK("https://lindat.mff.cuni.cz/services/teitok/pdtc10/index.php?action=vallex&amp;frame=v-w12357_MMf1_MM", "odprásknout se (v-w12357_MMf1_MM)")</f>
        <v>odprásknout se (v-w12357_MMf1_MM)</v>
      </c>
    </row>
    <row r="22311" customFormat="false" ht="12.8" hidden="false" customHeight="false" outlineLevel="0" collapsed="false">
      <c r="B22311" s="0" t="s">
        <v>7</v>
      </c>
    </row>
    <row r="22313" customFormat="false" ht="12.8" hidden="false" customHeight="false" outlineLevel="0" collapsed="false">
      <c r="A22313" s="0" t="s">
        <v>8404</v>
      </c>
      <c r="B22313" s="0" t="str">
        <f aca="false">HYPERLINK("https://lindat.mff.cuni.cz/services/teitok/pdtc10/index.php?action=vallex&amp;frame=v-w10303f3", "odpudit (v-w10303f3)")</f>
        <v>odpudit (v-w10303f3)</v>
      </c>
    </row>
    <row r="22314" customFormat="false" ht="12.8" hidden="false" customHeight="false" outlineLevel="0" collapsed="false">
      <c r="B22314" s="0" t="s">
        <v>7</v>
      </c>
    </row>
    <row r="22315" customFormat="false" ht="12.8" hidden="false" customHeight="false" outlineLevel="0" collapsed="false">
      <c r="B22315" s="0" t="s">
        <v>14</v>
      </c>
    </row>
    <row r="22317" customFormat="false" ht="12.8" hidden="false" customHeight="false" outlineLevel="0" collapsed="false">
      <c r="A22317" s="0" t="s">
        <v>8405</v>
      </c>
      <c r="B22317" s="0" t="str">
        <f aca="false">HYPERLINK("https://lindat.mff.cuni.cz/services/teitok/pdtc10/index.php?action=vallex&amp;frame=v-w2846f1", "odpustit (v-w2846f1)")</f>
        <v>odpustit (v-w2846f1)</v>
      </c>
    </row>
    <row r="22318" customFormat="false" ht="12.8" hidden="false" customHeight="false" outlineLevel="0" collapsed="false">
      <c r="B22318" s="0" t="s">
        <v>7</v>
      </c>
      <c r="C22318" s="0" t="s">
        <v>46</v>
      </c>
      <c r="D22318" s="0" t="s">
        <v>46</v>
      </c>
      <c r="E22318" s="0" t="s">
        <v>46</v>
      </c>
      <c r="F22318" s="0" t="s">
        <v>46</v>
      </c>
    </row>
    <row r="22319" customFormat="false" ht="12.8" hidden="false" customHeight="false" outlineLevel="0" collapsed="false">
      <c r="B22319" s="0" t="s">
        <v>172</v>
      </c>
      <c r="C22319" s="0" t="s">
        <v>274</v>
      </c>
      <c r="D22319" s="0" t="s">
        <v>274</v>
      </c>
      <c r="E22319" s="0" t="s">
        <v>274</v>
      </c>
      <c r="F22319" s="0" t="s">
        <v>274</v>
      </c>
    </row>
    <row r="22320" customFormat="false" ht="12.8" hidden="false" customHeight="false" outlineLevel="0" collapsed="false">
      <c r="B22320" s="0" t="s">
        <v>48</v>
      </c>
      <c r="C22320" s="0" t="s">
        <v>397</v>
      </c>
      <c r="D22320" s="0" t="s">
        <v>397</v>
      </c>
      <c r="E22320" s="0" t="s">
        <v>397</v>
      </c>
      <c r="F22320" s="0" t="s">
        <v>397</v>
      </c>
    </row>
    <row r="22322" customFormat="false" ht="12.8" hidden="false" customHeight="false" outlineLevel="0" collapsed="false">
      <c r="A22322" s="0" t="s">
        <v>8406</v>
      </c>
      <c r="B22322" s="0" t="str">
        <f aca="false">HYPERLINK("https://lindat.mff.cuni.cz/services/teitok/pdtc10/index.php?action=vallex&amp;frame=v-w2846f2", "odpustit (v-w2846f2)")</f>
        <v>odpustit (v-w2846f2)</v>
      </c>
    </row>
    <row r="22323" customFormat="false" ht="12.8" hidden="false" customHeight="false" outlineLevel="0" collapsed="false">
      <c r="B22323" s="0" t="s">
        <v>7</v>
      </c>
    </row>
    <row r="22324" customFormat="false" ht="12.8" hidden="false" customHeight="false" outlineLevel="0" collapsed="false">
      <c r="B22324" s="0" t="s">
        <v>14</v>
      </c>
    </row>
    <row r="22326" customFormat="false" ht="12.8" hidden="false" customHeight="false" outlineLevel="0" collapsed="false">
      <c r="A22326" s="0" t="s">
        <v>8407</v>
      </c>
      <c r="B22326" s="0" t="str">
        <f aca="false">HYPERLINK("https://lindat.mff.cuni.cz/services/teitok/pdtc10/index.php?action=vallex&amp;frame=v-whsa_1804hsa_1805", "odpustit si (v-whsa_1804hsa_1805)")</f>
        <v>odpustit si (v-whsa_1804hsa_1805)</v>
      </c>
    </row>
    <row r="22327" customFormat="false" ht="12.8" hidden="false" customHeight="false" outlineLevel="0" collapsed="false">
      <c r="B22327" s="0" t="s">
        <v>7</v>
      </c>
    </row>
    <row r="22328" customFormat="false" ht="12.8" hidden="false" customHeight="false" outlineLevel="0" collapsed="false">
      <c r="B22328" s="0" t="s">
        <v>14</v>
      </c>
    </row>
    <row r="22330" customFormat="false" ht="12.8" hidden="false" customHeight="false" outlineLevel="0" collapsed="false">
      <c r="A22330" s="0" t="s">
        <v>8408</v>
      </c>
      <c r="B22330" s="0" t="str">
        <f aca="false">HYPERLINK("https://lindat.mff.cuni.cz/services/teitok/pdtc10/index.php?action=vallex&amp;frame=v-w2848f1", "odpuzovat (v-w2848f1)")</f>
        <v>odpuzovat (v-w2848f1)</v>
      </c>
    </row>
    <row r="22331" customFormat="false" ht="12.8" hidden="false" customHeight="false" outlineLevel="0" collapsed="false">
      <c r="B22331" s="0" t="s">
        <v>7</v>
      </c>
    </row>
    <row r="22332" customFormat="false" ht="12.8" hidden="false" customHeight="false" outlineLevel="0" collapsed="false">
      <c r="B22332" s="0" t="s">
        <v>14</v>
      </c>
    </row>
    <row r="22334" customFormat="false" ht="12.8" hidden="false" customHeight="false" outlineLevel="0" collapsed="false">
      <c r="A22334" s="0" t="s">
        <v>8409</v>
      </c>
      <c r="B22334" s="0" t="str">
        <f aca="false">HYPERLINK("https://lindat.mff.cuni.cz/services/teitok/pdtc10/index.php?action=vallex&amp;frame=v-w2849f1", "odpykat si (v-w2849f1)")</f>
        <v>odpykat si (v-w2849f1)</v>
      </c>
    </row>
    <row r="22335" customFormat="false" ht="12.8" hidden="false" customHeight="false" outlineLevel="0" collapsed="false">
      <c r="B22335" s="0" t="s">
        <v>7</v>
      </c>
    </row>
    <row r="22336" customFormat="false" ht="12.8" hidden="false" customHeight="false" outlineLevel="0" collapsed="false">
      <c r="B22336" s="0" t="s">
        <v>14</v>
      </c>
    </row>
    <row r="22338" customFormat="false" ht="12.8" hidden="false" customHeight="false" outlineLevel="0" collapsed="false">
      <c r="A22338" s="0" t="s">
        <v>8410</v>
      </c>
      <c r="B22338" s="0" t="str">
        <f aca="false">HYPERLINK("https://lindat.mff.cuni.cz/services/teitok/pdtc10/index.php?action=vallex&amp;frame=v-w2850f1", "odpykávat si (v-w2850f1)")</f>
        <v>odpykávat si (v-w2850f1)</v>
      </c>
    </row>
    <row r="22339" customFormat="false" ht="12.8" hidden="false" customHeight="false" outlineLevel="0" collapsed="false">
      <c r="B22339" s="0" t="s">
        <v>7</v>
      </c>
      <c r="C22339" s="0" t="s">
        <v>335</v>
      </c>
    </row>
    <row r="22340" customFormat="false" ht="12.8" hidden="false" customHeight="false" outlineLevel="0" collapsed="false">
      <c r="B22340" s="0" t="s">
        <v>14</v>
      </c>
      <c r="C22340" s="0" t="s">
        <v>1170</v>
      </c>
    </row>
    <row r="22342" customFormat="false" ht="12.8" hidden="false" customHeight="false" outlineLevel="0" collapsed="false">
      <c r="A22342" s="0" t="s">
        <v>8411</v>
      </c>
      <c r="B22342" s="0" t="str">
        <f aca="false">HYPERLINK("https://lindat.mff.cuni.cz/services/teitok/pdtc10/index.php?action=vallex&amp;frame=v-w2807f1", "odpálit (v-w2807f1)")</f>
        <v>odpálit (v-w2807f1)</v>
      </c>
    </row>
    <row r="22343" customFormat="false" ht="12.8" hidden="false" customHeight="false" outlineLevel="0" collapsed="false">
      <c r="B22343" s="0" t="s">
        <v>7</v>
      </c>
      <c r="C22343" s="0" t="s">
        <v>8412</v>
      </c>
    </row>
    <row r="22344" customFormat="false" ht="12.8" hidden="false" customHeight="false" outlineLevel="0" collapsed="false">
      <c r="B22344" s="0" t="s">
        <v>14</v>
      </c>
      <c r="C22344" s="0" t="s">
        <v>8413</v>
      </c>
    </row>
    <row r="22346" customFormat="false" ht="12.8" hidden="false" customHeight="false" outlineLevel="0" collapsed="false">
      <c r="A22346" s="0" t="s">
        <v>8414</v>
      </c>
      <c r="B22346" s="0" t="str">
        <f aca="false">HYPERLINK("https://lindat.mff.cuni.cz/services/teitok/pdtc10/index.php?action=vallex&amp;frame=v-w2807f2", "odpálit (v-w2807f2)")</f>
        <v>odpálit (v-w2807f2)</v>
      </c>
    </row>
    <row r="22347" customFormat="false" ht="12.8" hidden="false" customHeight="false" outlineLevel="0" collapsed="false">
      <c r="B22347" s="0" t="s">
        <v>7</v>
      </c>
    </row>
    <row r="22348" customFormat="false" ht="12.8" hidden="false" customHeight="false" outlineLevel="0" collapsed="false">
      <c r="B22348" s="0" t="s">
        <v>14</v>
      </c>
    </row>
    <row r="22350" customFormat="false" ht="12.8" hidden="false" customHeight="false" outlineLevel="0" collapsed="false">
      <c r="A22350" s="0" t="s">
        <v>8415</v>
      </c>
      <c r="B22350" s="0" t="str">
        <f aca="false">HYPERLINK("https://lindat.mff.cuni.cz/services/teitok/pdtc10/index.php?action=vallex&amp;frame=v-w2807hsa_783", "odpálit (v-w2807hsa_783)")</f>
        <v>odpálit (v-w2807hsa_783)</v>
      </c>
    </row>
    <row r="22351" customFormat="false" ht="12.8" hidden="false" customHeight="false" outlineLevel="0" collapsed="false">
      <c r="B22351" s="0" t="s">
        <v>7</v>
      </c>
      <c r="C22351" s="0" t="s">
        <v>6885</v>
      </c>
    </row>
    <row r="22352" customFormat="false" ht="12.8" hidden="false" customHeight="false" outlineLevel="0" collapsed="false">
      <c r="B22352" s="0" t="s">
        <v>14</v>
      </c>
      <c r="C22352" s="0" t="s">
        <v>2517</v>
      </c>
    </row>
    <row r="22354" customFormat="false" ht="12.8" hidden="false" customHeight="false" outlineLevel="0" collapsed="false">
      <c r="A22354" s="0" t="s">
        <v>8416</v>
      </c>
      <c r="B22354" s="0" t="str">
        <f aca="false">HYPERLINK("https://lindat.mff.cuni.cz/services/teitok/pdtc10/index.php?action=vallex&amp;frame=v-whsa_272hsa_273", "odpálkovat (v-whsa_272hsa_273)")</f>
        <v>odpálkovat (v-whsa_272hsa_273)</v>
      </c>
    </row>
    <row r="22355" customFormat="false" ht="12.8" hidden="false" customHeight="false" outlineLevel="0" collapsed="false">
      <c r="B22355" s="0" t="s">
        <v>7</v>
      </c>
      <c r="C22355" s="0" t="s">
        <v>191</v>
      </c>
      <c r="D22355" s="0" t="s">
        <v>4161</v>
      </c>
      <c r="E22355" s="0" t="s">
        <v>4161</v>
      </c>
      <c r="F22355" s="0" t="s">
        <v>4161</v>
      </c>
    </row>
    <row r="22356" customFormat="false" ht="12.8" hidden="false" customHeight="false" outlineLevel="0" collapsed="false">
      <c r="B22356" s="0" t="s">
        <v>14</v>
      </c>
      <c r="D22356" s="0" t="s">
        <v>8195</v>
      </c>
      <c r="E22356" s="0" t="s">
        <v>8195</v>
      </c>
      <c r="F22356" s="0" t="s">
        <v>8195</v>
      </c>
    </row>
    <row r="22357" customFormat="false" ht="12.8" hidden="false" customHeight="false" outlineLevel="0" collapsed="false">
      <c r="B22357" s="0" t="s">
        <v>35</v>
      </c>
    </row>
    <row r="22358" customFormat="false" ht="12.8" hidden="false" customHeight="false" outlineLevel="0" collapsed="false">
      <c r="B22358" s="0" t="s">
        <v>84</v>
      </c>
      <c r="D22358" s="0" t="s">
        <v>8417</v>
      </c>
      <c r="E22358" s="0" t="s">
        <v>8417</v>
      </c>
      <c r="F22358" s="0" t="s">
        <v>8417</v>
      </c>
    </row>
    <row r="22360" customFormat="false" ht="12.8" hidden="false" customHeight="false" outlineLevel="0" collapsed="false">
      <c r="A22360" s="0" t="s">
        <v>8418</v>
      </c>
      <c r="B22360" s="0" t="str">
        <f aca="false">HYPERLINK("https://lindat.mff.cuni.cz/services/teitok/pdtc10/index.php?action=vallex&amp;frame=v-w11939_ZUf1_ZU", "odpárat (v-w11939_ZUf1_ZU)")</f>
        <v>odpárat (v-w11939_ZUf1_ZU)</v>
      </c>
    </row>
    <row r="22361" customFormat="false" ht="12.8" hidden="false" customHeight="false" outlineLevel="0" collapsed="false">
      <c r="B22361" s="0" t="s">
        <v>7</v>
      </c>
    </row>
    <row r="22362" customFormat="false" ht="12.8" hidden="false" customHeight="false" outlineLevel="0" collapsed="false">
      <c r="B22362" s="0" t="s">
        <v>14</v>
      </c>
    </row>
    <row r="22363" customFormat="false" ht="12.8" hidden="false" customHeight="false" outlineLevel="0" collapsed="false">
      <c r="B22363" s="0" t="s">
        <v>5382</v>
      </c>
    </row>
    <row r="22365" customFormat="false" ht="12.8" hidden="false" customHeight="false" outlineLevel="0" collapsed="false">
      <c r="A22365" s="0" t="s">
        <v>8419</v>
      </c>
      <c r="B22365" s="0" t="str">
        <f aca="false">HYPERLINK("https://lindat.mff.cuni.cz/services/teitok/pdtc10/index.php?action=vallex&amp;frame=v-w12213_ZUf1_ZU", "odpíchnout (v-w12213_ZUf1_ZU)")</f>
        <v>odpíchnout (v-w12213_ZUf1_ZU)</v>
      </c>
    </row>
    <row r="22366" customFormat="false" ht="12.8" hidden="false" customHeight="false" outlineLevel="0" collapsed="false">
      <c r="B22366" s="0" t="s">
        <v>7</v>
      </c>
    </row>
    <row r="22367" customFormat="false" ht="12.8" hidden="false" customHeight="false" outlineLevel="0" collapsed="false">
      <c r="B22367" s="0" t="s">
        <v>297</v>
      </c>
    </row>
    <row r="22369" customFormat="false" ht="12.8" hidden="false" customHeight="false" outlineLevel="0" collapsed="false">
      <c r="A22369" s="0" t="s">
        <v>8420</v>
      </c>
      <c r="B22369" s="0" t="str">
        <f aca="false">HYPERLINK("https://lindat.mff.cuni.cz/services/teitok/pdtc10/index.php?action=vallex&amp;frame=v-w2809f1", "odpírat (v-w2809f1)")</f>
        <v>odpírat (v-w2809f1)</v>
      </c>
    </row>
    <row r="22370" customFormat="false" ht="12.8" hidden="false" customHeight="false" outlineLevel="0" collapsed="false">
      <c r="B22370" s="0" t="s">
        <v>7</v>
      </c>
      <c r="D22370" s="0" t="s">
        <v>305</v>
      </c>
      <c r="E22370" s="0" t="s">
        <v>305</v>
      </c>
      <c r="F22370" s="0" t="s">
        <v>305</v>
      </c>
    </row>
    <row r="22371" customFormat="false" ht="12.8" hidden="false" customHeight="false" outlineLevel="0" collapsed="false">
      <c r="B22371" s="0" t="s">
        <v>1394</v>
      </c>
      <c r="C22371" s="0" t="s">
        <v>120</v>
      </c>
      <c r="D22371" s="0" t="s">
        <v>307</v>
      </c>
      <c r="E22371" s="0" t="s">
        <v>307</v>
      </c>
      <c r="F22371" s="0" t="s">
        <v>307</v>
      </c>
    </row>
    <row r="22372" customFormat="false" ht="12.8" hidden="false" customHeight="false" outlineLevel="0" collapsed="false">
      <c r="B22372" s="0" t="s">
        <v>48</v>
      </c>
      <c r="C22372" s="0" t="s">
        <v>8421</v>
      </c>
      <c r="D22372" s="0" t="s">
        <v>709</v>
      </c>
      <c r="E22372" s="0" t="s">
        <v>709</v>
      </c>
      <c r="F22372" s="0" t="s">
        <v>709</v>
      </c>
    </row>
    <row r="22374" customFormat="false" ht="12.8" hidden="false" customHeight="false" outlineLevel="0" collapsed="false">
      <c r="A22374" s="0" t="s">
        <v>8422</v>
      </c>
      <c r="B22374" s="0" t="str">
        <f aca="false">HYPERLINK("https://lindat.mff.cuni.cz/services/teitok/pdtc10/index.php?action=vallex&amp;frame=v-w2811f1", "odpískat (v-w2811f1)")</f>
        <v>odpískat (v-w2811f1)</v>
      </c>
    </row>
    <row r="22375" customFormat="false" ht="12.8" hidden="false" customHeight="false" outlineLevel="0" collapsed="false">
      <c r="B22375" s="0" t="s">
        <v>7</v>
      </c>
    </row>
    <row r="22376" customFormat="false" ht="12.8" hidden="false" customHeight="false" outlineLevel="0" collapsed="false">
      <c r="B22376" s="0" t="s">
        <v>14</v>
      </c>
    </row>
    <row r="22378" customFormat="false" ht="12.8" hidden="false" customHeight="false" outlineLevel="0" collapsed="false">
      <c r="A22378" s="0" t="s">
        <v>8423</v>
      </c>
      <c r="B22378" s="0" t="str">
        <f aca="false">HYPERLINK("https://lindat.mff.cuni.cz/services/teitok/pdtc10/index.php?action=vallex&amp;frame=v-w11801_ZUf1_ZU", "odpřisáhnout (v-w11801_ZUf1_ZU)")</f>
        <v>odpřisáhnout (v-w11801_ZUf1_ZU)</v>
      </c>
    </row>
    <row r="22379" customFormat="false" ht="12.8" hidden="false" customHeight="false" outlineLevel="0" collapsed="false">
      <c r="B22379" s="0" t="s">
        <v>7</v>
      </c>
    </row>
    <row r="22380" customFormat="false" ht="12.8" hidden="false" customHeight="false" outlineLevel="0" collapsed="false">
      <c r="B22380" s="0" t="s">
        <v>14</v>
      </c>
    </row>
    <row r="22381" customFormat="false" ht="12.8" hidden="false" customHeight="false" outlineLevel="0" collapsed="false">
      <c r="B22381" s="0" t="s">
        <v>106</v>
      </c>
    </row>
    <row r="22383" customFormat="false" ht="12.8" hidden="false" customHeight="false" outlineLevel="0" collapsed="false">
      <c r="A22383" s="0" t="s">
        <v>8424</v>
      </c>
      <c r="B22383" s="0" t="str">
        <f aca="false">HYPERLINK("https://lindat.mff.cuni.cz/services/teitok/pdtc10/index.php?action=vallex&amp;frame=v-w2851f1", "odradit (v-w2851f1)")</f>
        <v>odradit (v-w2851f1)</v>
      </c>
    </row>
    <row r="22384" customFormat="false" ht="12.8" hidden="false" customHeight="false" outlineLevel="0" collapsed="false">
      <c r="B22384" s="0" t="s">
        <v>7</v>
      </c>
      <c r="C22384" s="0" t="s">
        <v>8425</v>
      </c>
      <c r="D22384" s="0" t="s">
        <v>8426</v>
      </c>
      <c r="E22384" s="0" t="s">
        <v>8426</v>
      </c>
      <c r="F22384" s="0" t="s">
        <v>8426</v>
      </c>
    </row>
    <row r="22385" customFormat="false" ht="12.8" hidden="false" customHeight="false" outlineLevel="0" collapsed="false">
      <c r="B22385" s="0" t="s">
        <v>81</v>
      </c>
      <c r="C22385" s="0" t="s">
        <v>8427</v>
      </c>
      <c r="D22385" s="0" t="s">
        <v>8428</v>
      </c>
      <c r="E22385" s="0" t="s">
        <v>8428</v>
      </c>
      <c r="F22385" s="0" t="s">
        <v>8428</v>
      </c>
    </row>
    <row r="22386" customFormat="false" ht="12.8" hidden="false" customHeight="false" outlineLevel="0" collapsed="false">
      <c r="B22386" s="0" t="s">
        <v>8429</v>
      </c>
      <c r="C22386" s="0" t="s">
        <v>8430</v>
      </c>
      <c r="D22386" s="0" t="s">
        <v>8431</v>
      </c>
      <c r="E22386" s="0" t="s">
        <v>8431</v>
      </c>
      <c r="F22386" s="0" t="s">
        <v>8431</v>
      </c>
    </row>
    <row r="22388" customFormat="false" ht="12.8" hidden="false" customHeight="false" outlineLevel="0" collapsed="false">
      <c r="A22388" s="0" t="s">
        <v>8432</v>
      </c>
      <c r="B22388" s="0" t="str">
        <f aca="false">HYPERLINK("https://lindat.mff.cuni.cz/services/teitok/pdtc10/index.php?action=vallex&amp;frame=v-w2853f1", "odrazit (v-w2853f1)")</f>
        <v>odrazit (v-w2853f1)</v>
      </c>
    </row>
    <row r="22389" customFormat="false" ht="12.8" hidden="false" customHeight="false" outlineLevel="0" collapsed="false">
      <c r="B22389" s="0" t="s">
        <v>7</v>
      </c>
      <c r="C22389" s="0" t="s">
        <v>8433</v>
      </c>
      <c r="D22389" s="0" t="s">
        <v>335</v>
      </c>
      <c r="E22389" s="0" t="s">
        <v>335</v>
      </c>
      <c r="F22389" s="0" t="s">
        <v>335</v>
      </c>
    </row>
    <row r="22390" customFormat="false" ht="12.8" hidden="false" customHeight="false" outlineLevel="0" collapsed="false">
      <c r="B22390" s="0" t="s">
        <v>14</v>
      </c>
      <c r="C22390" s="0" t="s">
        <v>8434</v>
      </c>
      <c r="D22390" s="0" t="s">
        <v>1289</v>
      </c>
      <c r="E22390" s="0" t="s">
        <v>1289</v>
      </c>
      <c r="F22390" s="0" t="s">
        <v>1289</v>
      </c>
    </row>
    <row r="22392" customFormat="false" ht="12.8" hidden="false" customHeight="false" outlineLevel="0" collapsed="false">
      <c r="A22392" s="0" t="s">
        <v>8435</v>
      </c>
      <c r="B22392" s="0" t="str">
        <f aca="false">HYPERLINK("https://lindat.mff.cuni.cz/services/teitok/pdtc10/index.php?action=vallex&amp;frame=v-w2853hsa_1038", "odrazit (v-w2853hsa_1038)")</f>
        <v>odrazit (v-w2853hsa_1038)</v>
      </c>
    </row>
    <row r="22393" customFormat="false" ht="12.8" hidden="false" customHeight="false" outlineLevel="0" collapsed="false">
      <c r="B22393" s="0" t="s">
        <v>7</v>
      </c>
      <c r="C22393" s="0" t="s">
        <v>8436</v>
      </c>
      <c r="D22393" s="0" t="s">
        <v>4179</v>
      </c>
      <c r="E22393" s="0" t="s">
        <v>4179</v>
      </c>
      <c r="F22393" s="0" t="s">
        <v>4179</v>
      </c>
    </row>
    <row r="22394" customFormat="false" ht="12.8" hidden="false" customHeight="false" outlineLevel="0" collapsed="false">
      <c r="B22394" s="0" t="s">
        <v>172</v>
      </c>
      <c r="C22394" s="0" t="s">
        <v>8437</v>
      </c>
      <c r="D22394" s="0" t="s">
        <v>4181</v>
      </c>
      <c r="E22394" s="0" t="s">
        <v>4181</v>
      </c>
      <c r="F22394" s="0" t="s">
        <v>4181</v>
      </c>
    </row>
    <row r="22396" customFormat="false" ht="12.8" hidden="false" customHeight="false" outlineLevel="0" collapsed="false">
      <c r="A22396" s="0" t="s">
        <v>8438</v>
      </c>
      <c r="B22396" s="0" t="str">
        <f aca="false">HYPERLINK("https://lindat.mff.cuni.cz/services/teitok/pdtc10/index.php?action=vallex&amp;frame=v-w2853f2_ZU", "odrazit (v-w2853f2_ZU)")</f>
        <v>odrazit (v-w2853f2_ZU)</v>
      </c>
    </row>
    <row r="22397" customFormat="false" ht="12.8" hidden="false" customHeight="false" outlineLevel="0" collapsed="false">
      <c r="B22397" s="0" t="s">
        <v>7</v>
      </c>
    </row>
    <row r="22398" customFormat="false" ht="12.8" hidden="false" customHeight="false" outlineLevel="0" collapsed="false">
      <c r="B22398" s="0" t="s">
        <v>14</v>
      </c>
    </row>
    <row r="22400" customFormat="false" ht="12.8" hidden="false" customHeight="false" outlineLevel="0" collapsed="false">
      <c r="A22400" s="0" t="s">
        <v>8439</v>
      </c>
      <c r="B22400" s="0" t="str">
        <f aca="false">HYPERLINK("https://lindat.mff.cuni.cz/services/teitok/pdtc10/index.php?action=vallex&amp;frame=v-w2854f1", "odrazit se (v-w2854f1)")</f>
        <v>odrazit se (v-w2854f1)</v>
      </c>
    </row>
    <row r="22401" customFormat="false" ht="12.8" hidden="false" customHeight="false" outlineLevel="0" collapsed="false">
      <c r="B22401" s="0" t="s">
        <v>7</v>
      </c>
      <c r="C22401" s="0" t="s">
        <v>8440</v>
      </c>
      <c r="D22401" s="0" t="s">
        <v>8441</v>
      </c>
      <c r="E22401" s="0" t="s">
        <v>8441</v>
      </c>
      <c r="F22401" s="0" t="s">
        <v>8441</v>
      </c>
    </row>
    <row r="22402" customFormat="false" ht="12.8" hidden="false" customHeight="false" outlineLevel="0" collapsed="false">
      <c r="B22402" s="0" t="s">
        <v>8442</v>
      </c>
      <c r="C22402" s="0" t="s">
        <v>8443</v>
      </c>
      <c r="D22402" s="0" t="s">
        <v>8444</v>
      </c>
      <c r="E22402" s="0" t="s">
        <v>8444</v>
      </c>
      <c r="F22402" s="0" t="s">
        <v>8444</v>
      </c>
    </row>
    <row r="22404" customFormat="false" ht="12.8" hidden="false" customHeight="false" outlineLevel="0" collapsed="false">
      <c r="A22404" s="0" t="s">
        <v>8445</v>
      </c>
      <c r="B22404" s="0" t="str">
        <f aca="false">HYPERLINK("https://lindat.mff.cuni.cz/services/teitok/pdtc10/index.php?action=vallex&amp;frame=v-w2854f3", "odrazit se (v-w2854f3)")</f>
        <v>odrazit se (v-w2854f3)</v>
      </c>
    </row>
    <row r="22405" customFormat="false" ht="12.8" hidden="false" customHeight="false" outlineLevel="0" collapsed="false">
      <c r="B22405" s="0" t="s">
        <v>7</v>
      </c>
    </row>
    <row r="22406" customFormat="false" ht="12.8" hidden="false" customHeight="false" outlineLevel="0" collapsed="false">
      <c r="B22406" s="0" t="s">
        <v>11</v>
      </c>
    </row>
    <row r="22408" customFormat="false" ht="12.8" hidden="false" customHeight="false" outlineLevel="0" collapsed="false">
      <c r="A22408" s="0" t="s">
        <v>8446</v>
      </c>
      <c r="B22408" s="0" t="str">
        <f aca="false">HYPERLINK("https://lindat.mff.cuni.cz/services/teitok/pdtc10/index.php?action=vallex&amp;frame=v-w2854f2", "odrazit se (v-w2854f2)")</f>
        <v>odrazit se (v-w2854f2)</v>
      </c>
    </row>
    <row r="22409" customFormat="false" ht="12.8" hidden="false" customHeight="false" outlineLevel="0" collapsed="false">
      <c r="B22409" s="0" t="s">
        <v>7</v>
      </c>
      <c r="C22409" s="0" t="s">
        <v>8447</v>
      </c>
      <c r="D22409" s="0" t="s">
        <v>577</v>
      </c>
      <c r="E22409" s="0" t="s">
        <v>577</v>
      </c>
      <c r="F22409" s="0" t="s">
        <v>577</v>
      </c>
    </row>
    <row r="22410" customFormat="false" ht="12.8" hidden="false" customHeight="false" outlineLevel="0" collapsed="false">
      <c r="B22410" s="0" t="s">
        <v>459</v>
      </c>
      <c r="C22410" s="0" t="s">
        <v>8448</v>
      </c>
      <c r="D22410" s="0" t="s">
        <v>8448</v>
      </c>
      <c r="E22410" s="0" t="s">
        <v>8448</v>
      </c>
      <c r="F22410" s="0" t="s">
        <v>8448</v>
      </c>
    </row>
    <row r="22412" customFormat="false" ht="12.8" hidden="false" customHeight="false" outlineLevel="0" collapsed="false">
      <c r="A22412" s="0" t="s">
        <v>8449</v>
      </c>
      <c r="B22412" s="0" t="str">
        <f aca="false">HYPERLINK("https://lindat.mff.cuni.cz/services/teitok/pdtc10/index.php?action=vallex&amp;frame=v-w2854hsa_461", "odrazit se (v-w2854hsa_461)")</f>
        <v>odrazit se (v-w2854hsa_461)</v>
      </c>
    </row>
    <row r="22413" customFormat="false" ht="12.8" hidden="false" customHeight="false" outlineLevel="0" collapsed="false">
      <c r="B22413" s="0" t="s">
        <v>7</v>
      </c>
      <c r="C22413" s="0" t="s">
        <v>577</v>
      </c>
      <c r="D22413" s="0" t="s">
        <v>8450</v>
      </c>
      <c r="E22413" s="0" t="s">
        <v>8450</v>
      </c>
      <c r="F22413" s="0" t="s">
        <v>8450</v>
      </c>
    </row>
    <row r="22414" customFormat="false" ht="12.8" hidden="false" customHeight="false" outlineLevel="0" collapsed="false">
      <c r="B22414" s="0" t="s">
        <v>459</v>
      </c>
      <c r="C22414" s="0" t="s">
        <v>8448</v>
      </c>
      <c r="D22414" s="0" t="s">
        <v>8451</v>
      </c>
      <c r="E22414" s="0" t="s">
        <v>8451</v>
      </c>
      <c r="F22414" s="0" t="s">
        <v>8451</v>
      </c>
    </row>
    <row r="22416" customFormat="false" ht="12.8" hidden="false" customHeight="false" outlineLevel="0" collapsed="false">
      <c r="A22416" s="0" t="s">
        <v>8452</v>
      </c>
      <c r="B22416" s="0" t="str">
        <f aca="false">HYPERLINK("https://lindat.mff.cuni.cz/services/teitok/pdtc10/index.php?action=vallex&amp;frame=v-w2856f1", "odrazovat (v-w2856f1)")</f>
        <v>odrazovat (v-w2856f1)</v>
      </c>
    </row>
    <row r="22417" customFormat="false" ht="12.8" hidden="false" customHeight="false" outlineLevel="0" collapsed="false">
      <c r="B22417" s="0" t="s">
        <v>7</v>
      </c>
      <c r="C22417" s="0" t="s">
        <v>8453</v>
      </c>
      <c r="D22417" s="0" t="s">
        <v>8426</v>
      </c>
      <c r="E22417" s="0" t="s">
        <v>8426</v>
      </c>
      <c r="F22417" s="0" t="s">
        <v>8426</v>
      </c>
    </row>
    <row r="22418" customFormat="false" ht="12.8" hidden="false" customHeight="false" outlineLevel="0" collapsed="false">
      <c r="B22418" s="0" t="s">
        <v>81</v>
      </c>
      <c r="C22418" s="0" t="s">
        <v>8454</v>
      </c>
      <c r="D22418" s="0" t="s">
        <v>8428</v>
      </c>
      <c r="E22418" s="0" t="s">
        <v>8428</v>
      </c>
      <c r="F22418" s="0" t="s">
        <v>8428</v>
      </c>
    </row>
    <row r="22419" customFormat="false" ht="12.8" hidden="false" customHeight="false" outlineLevel="0" collapsed="false">
      <c r="B22419" s="0" t="s">
        <v>333</v>
      </c>
      <c r="C22419" s="0" t="s">
        <v>8455</v>
      </c>
      <c r="D22419" s="0" t="s">
        <v>8431</v>
      </c>
      <c r="E22419" s="0" t="s">
        <v>8431</v>
      </c>
      <c r="F22419" s="0" t="s">
        <v>8431</v>
      </c>
    </row>
    <row r="22421" customFormat="false" ht="12.8" hidden="false" customHeight="false" outlineLevel="0" collapsed="false">
      <c r="A22421" s="0" t="s">
        <v>8456</v>
      </c>
      <c r="B22421" s="0" t="str">
        <f aca="false">HYPERLINK("https://lindat.mff.cuni.cz/services/teitok/pdtc10/index.php?action=vallex&amp;frame=v-w2861f2_MM", "odreagovat se (v-w2861f2_MM)")</f>
        <v>odreagovat se (v-w2861f2_MM)</v>
      </c>
    </row>
    <row r="22422" customFormat="false" ht="12.8" hidden="false" customHeight="false" outlineLevel="0" collapsed="false">
      <c r="B22422" s="0" t="s">
        <v>7</v>
      </c>
    </row>
    <row r="22423" customFormat="false" ht="12.8" hidden="false" customHeight="false" outlineLevel="0" collapsed="false">
      <c r="B22423" s="0" t="s">
        <v>333</v>
      </c>
    </row>
    <row r="22425" customFormat="false" ht="12.8" hidden="false" customHeight="false" outlineLevel="0" collapsed="false">
      <c r="A22425" s="0" t="s">
        <v>8456</v>
      </c>
      <c r="B22425" s="0" t="str">
        <f aca="false">HYPERLINK("https://lindat.mff.cuni.cz/services/teitok/pdtc10/index.php?action=vallex&amp;frame=v-w2861f1", "odreagovat se (v-w2861f1) - substituted with v-w2861f2_MM")</f>
        <v>odreagovat se (v-w2861f1) - substituted with v-w2861f2_MM</v>
      </c>
    </row>
    <row r="22426" customFormat="false" ht="12.8" hidden="false" customHeight="false" outlineLevel="0" collapsed="false">
      <c r="B22426" s="0" t="s">
        <v>7</v>
      </c>
    </row>
    <row r="22427" customFormat="false" ht="12.8" hidden="false" customHeight="false" outlineLevel="0" collapsed="false">
      <c r="B22427" s="0" t="s">
        <v>333</v>
      </c>
    </row>
    <row r="22429" customFormat="false" ht="12.8" hidden="false" customHeight="false" outlineLevel="0" collapsed="false">
      <c r="A22429" s="0" t="s">
        <v>8457</v>
      </c>
      <c r="B22429" s="0" t="str">
        <f aca="false">HYPERLINK("https://lindat.mff.cuni.cz/services/teitok/pdtc10/index.php?action=vallex&amp;frame=v-w12352_MMf1_MM", "odreagovávat (v-w12352_MMf1_MM)")</f>
        <v>odreagovávat (v-w12352_MMf1_MM)</v>
      </c>
    </row>
    <row r="22430" customFormat="false" ht="12.8" hidden="false" customHeight="false" outlineLevel="0" collapsed="false">
      <c r="B22430" s="0" t="s">
        <v>7</v>
      </c>
    </row>
    <row r="22431" customFormat="false" ht="12.8" hidden="false" customHeight="false" outlineLevel="0" collapsed="false">
      <c r="B22431" s="0" t="s">
        <v>14</v>
      </c>
    </row>
    <row r="22433" customFormat="false" ht="12.8" hidden="false" customHeight="false" outlineLevel="0" collapsed="false">
      <c r="A22433" s="0" t="s">
        <v>8458</v>
      </c>
      <c r="B22433" s="0" t="str">
        <f aca="false">HYPERLINK("https://lindat.mff.cuni.cz/services/teitok/pdtc10/index.php?action=vallex&amp;frame=v-w12354_MMf1_MM", "odrodit (v-w12354_MMf1_MM)")</f>
        <v>odrodit (v-w12354_MMf1_MM)</v>
      </c>
    </row>
    <row r="22434" customFormat="false" ht="12.8" hidden="false" customHeight="false" outlineLevel="0" collapsed="false">
      <c r="B22434" s="0" t="s">
        <v>7</v>
      </c>
    </row>
    <row r="22435" customFormat="false" ht="12.8" hidden="false" customHeight="false" outlineLevel="0" collapsed="false">
      <c r="B22435" s="0" t="s">
        <v>14</v>
      </c>
    </row>
    <row r="22437" customFormat="false" ht="12.8" hidden="false" customHeight="false" outlineLevel="0" collapsed="false">
      <c r="A22437" s="0" t="s">
        <v>8459</v>
      </c>
      <c r="B22437" s="0" t="str">
        <f aca="false">HYPERLINK("https://lindat.mff.cuni.cz/services/teitok/pdtc10/index.php?action=vallex&amp;frame=v-w10873f2", "odrovnat (v-w10873f2)")</f>
        <v>odrovnat (v-w10873f2)</v>
      </c>
    </row>
    <row r="22438" customFormat="false" ht="12.8" hidden="false" customHeight="false" outlineLevel="0" collapsed="false">
      <c r="B22438" s="0" t="s">
        <v>7</v>
      </c>
    </row>
    <row r="22439" customFormat="false" ht="12.8" hidden="false" customHeight="false" outlineLevel="0" collapsed="false">
      <c r="B22439" s="0" t="s">
        <v>14</v>
      </c>
      <c r="C22439" s="0" t="s">
        <v>155</v>
      </c>
    </row>
    <row r="22441" customFormat="false" ht="12.8" hidden="false" customHeight="false" outlineLevel="0" collapsed="false">
      <c r="A22441" s="0" t="s">
        <v>8460</v>
      </c>
      <c r="B22441" s="0" t="str">
        <f aca="false">HYPERLINK("https://lindat.mff.cuni.cz/services/teitok/pdtc10/index.php?action=vallex&amp;frame=v-w2862f1", "odročit (v-w2862f1)")</f>
        <v>odročit (v-w2862f1)</v>
      </c>
    </row>
    <row r="22442" customFormat="false" ht="12.8" hidden="false" customHeight="false" outlineLevel="0" collapsed="false">
      <c r="B22442" s="0" t="s">
        <v>7</v>
      </c>
      <c r="C22442" s="0" t="s">
        <v>149</v>
      </c>
      <c r="D22442" s="0" t="s">
        <v>8024</v>
      </c>
      <c r="E22442" s="0" t="s">
        <v>8024</v>
      </c>
      <c r="F22442" s="0" t="s">
        <v>8024</v>
      </c>
    </row>
    <row r="22443" customFormat="false" ht="12.8" hidden="false" customHeight="false" outlineLevel="0" collapsed="false">
      <c r="B22443" s="0" t="s">
        <v>14</v>
      </c>
      <c r="C22443" s="0" t="s">
        <v>2641</v>
      </c>
      <c r="D22443" s="0" t="s">
        <v>8025</v>
      </c>
      <c r="E22443" s="0" t="s">
        <v>8025</v>
      </c>
      <c r="F22443" s="0" t="s">
        <v>8025</v>
      </c>
    </row>
    <row r="22445" customFormat="false" ht="12.8" hidden="false" customHeight="false" outlineLevel="0" collapsed="false">
      <c r="A22445" s="0" t="s">
        <v>8461</v>
      </c>
      <c r="B22445" s="0" t="str">
        <f aca="false">HYPERLINK("https://lindat.mff.cuni.cz/services/teitok/pdtc10/index.php?action=vallex&amp;frame=v-w2858f1", "odrážet (v-w2858f1)")</f>
        <v>odrážet (v-w2858f1)</v>
      </c>
    </row>
    <row r="22446" customFormat="false" ht="12.8" hidden="false" customHeight="false" outlineLevel="0" collapsed="false">
      <c r="B22446" s="0" t="s">
        <v>7</v>
      </c>
      <c r="C22446" s="0" t="s">
        <v>8462</v>
      </c>
      <c r="D22446" s="0" t="s">
        <v>4179</v>
      </c>
      <c r="E22446" s="0" t="s">
        <v>4179</v>
      </c>
      <c r="F22446" s="0" t="s">
        <v>4179</v>
      </c>
    </row>
    <row r="22447" customFormat="false" ht="12.8" hidden="false" customHeight="false" outlineLevel="0" collapsed="false">
      <c r="B22447" s="0" t="s">
        <v>172</v>
      </c>
      <c r="C22447" s="0" t="s">
        <v>8463</v>
      </c>
      <c r="D22447" s="0" t="s">
        <v>4181</v>
      </c>
      <c r="E22447" s="0" t="s">
        <v>4181</v>
      </c>
      <c r="F22447" s="0" t="s">
        <v>4181</v>
      </c>
    </row>
    <row r="22449" customFormat="false" ht="12.8" hidden="false" customHeight="false" outlineLevel="0" collapsed="false">
      <c r="A22449" s="0" t="s">
        <v>8464</v>
      </c>
      <c r="B22449" s="0" t="str">
        <f aca="false">HYPERLINK("https://lindat.mff.cuni.cz/services/teitok/pdtc10/index.php?action=vallex&amp;frame=v-w2858f2_ZU", "odrážet (v-w2858f2_ZU)")</f>
        <v>odrážet (v-w2858f2_ZU)</v>
      </c>
    </row>
    <row r="22450" customFormat="false" ht="12.8" hidden="false" customHeight="false" outlineLevel="0" collapsed="false">
      <c r="B22450" s="0" t="s">
        <v>7</v>
      </c>
      <c r="C22450" s="0" t="s">
        <v>8436</v>
      </c>
      <c r="D22450" s="0" t="s">
        <v>335</v>
      </c>
      <c r="E22450" s="0" t="s">
        <v>335</v>
      </c>
      <c r="F22450" s="0" t="s">
        <v>335</v>
      </c>
    </row>
    <row r="22451" customFormat="false" ht="12.8" hidden="false" customHeight="false" outlineLevel="0" collapsed="false">
      <c r="B22451" s="0" t="s">
        <v>14</v>
      </c>
      <c r="C22451" s="0" t="s">
        <v>8437</v>
      </c>
      <c r="D22451" s="0" t="s">
        <v>1289</v>
      </c>
      <c r="E22451" s="0" t="s">
        <v>1289</v>
      </c>
      <c r="F22451" s="0" t="s">
        <v>1289</v>
      </c>
    </row>
    <row r="22453" customFormat="false" ht="12.8" hidden="false" customHeight="false" outlineLevel="0" collapsed="false">
      <c r="A22453" s="0" t="s">
        <v>8465</v>
      </c>
      <c r="B22453" s="0" t="str">
        <f aca="false">HYPERLINK("https://lindat.mff.cuni.cz/services/teitok/pdtc10/index.php?action=vallex&amp;frame=v-w2859f1", "odrážet se (v-w2859f1)")</f>
        <v>odrážet se (v-w2859f1)</v>
      </c>
    </row>
    <row r="22454" customFormat="false" ht="12.8" hidden="false" customHeight="false" outlineLevel="0" collapsed="false">
      <c r="B22454" s="0" t="s">
        <v>7</v>
      </c>
      <c r="C22454" s="0" t="s">
        <v>8466</v>
      </c>
      <c r="D22454" s="0" t="s">
        <v>8441</v>
      </c>
      <c r="E22454" s="0" t="s">
        <v>8441</v>
      </c>
      <c r="F22454" s="0" t="s">
        <v>8441</v>
      </c>
    </row>
    <row r="22455" customFormat="false" ht="12.8" hidden="false" customHeight="false" outlineLevel="0" collapsed="false">
      <c r="B22455" s="0" t="s">
        <v>8442</v>
      </c>
      <c r="C22455" s="0" t="s">
        <v>8443</v>
      </c>
      <c r="D22455" s="0" t="s">
        <v>8444</v>
      </c>
      <c r="E22455" s="0" t="s">
        <v>8444</v>
      </c>
      <c r="F22455" s="0" t="s">
        <v>8444</v>
      </c>
    </row>
    <row r="22457" customFormat="false" ht="12.8" hidden="false" customHeight="false" outlineLevel="0" collapsed="false">
      <c r="A22457" s="0" t="s">
        <v>8467</v>
      </c>
      <c r="B22457" s="0" t="str">
        <f aca="false">HYPERLINK("https://lindat.mff.cuni.cz/services/teitok/pdtc10/index.php?action=vallex&amp;frame=v-w2859f2", "odrážet se (v-w2859f2)")</f>
        <v>odrážet se (v-w2859f2)</v>
      </c>
    </row>
    <row r="22458" customFormat="false" ht="12.8" hidden="false" customHeight="false" outlineLevel="0" collapsed="false">
      <c r="B22458" s="0" t="s">
        <v>7</v>
      </c>
      <c r="C22458" s="0" t="s">
        <v>8468</v>
      </c>
    </row>
    <row r="22459" customFormat="false" ht="12.8" hidden="false" customHeight="false" outlineLevel="0" collapsed="false">
      <c r="B22459" s="0" t="s">
        <v>11</v>
      </c>
    </row>
    <row r="22461" customFormat="false" ht="12.8" hidden="false" customHeight="false" outlineLevel="0" collapsed="false">
      <c r="A22461" s="0" t="s">
        <v>8469</v>
      </c>
      <c r="B22461" s="0" t="str">
        <f aca="false">HYPERLINK("https://lindat.mff.cuni.cz/services/teitok/pdtc10/index.php?action=vallex&amp;frame=v-w2859f3", "odrážet se (v-w2859f3)")</f>
        <v>odrážet se (v-w2859f3)</v>
      </c>
    </row>
    <row r="22462" customFormat="false" ht="12.8" hidden="false" customHeight="false" outlineLevel="0" collapsed="false">
      <c r="B22462" s="0" t="s">
        <v>7</v>
      </c>
    </row>
    <row r="22463" customFormat="false" ht="12.8" hidden="false" customHeight="false" outlineLevel="0" collapsed="false">
      <c r="B22463" s="0" t="s">
        <v>459</v>
      </c>
    </row>
    <row r="22465" customFormat="false" ht="12.8" hidden="false" customHeight="false" outlineLevel="0" collapsed="false">
      <c r="A22465" s="0" t="s">
        <v>8470</v>
      </c>
      <c r="B22465" s="0" t="str">
        <f aca="false">HYPERLINK("https://lindat.mff.cuni.cz/services/teitok/pdtc10/index.php?action=vallex&amp;frame=v-w2859hsa_66", "odrážet se (v-w2859hsa_66)")</f>
        <v>odrážet se (v-w2859hsa_66)</v>
      </c>
    </row>
    <row r="22466" customFormat="false" ht="12.8" hidden="false" customHeight="false" outlineLevel="0" collapsed="false">
      <c r="B22466" s="0" t="s">
        <v>7</v>
      </c>
      <c r="D22466" s="0" t="s">
        <v>577</v>
      </c>
      <c r="E22466" s="0" t="s">
        <v>577</v>
      </c>
      <c r="F22466" s="0" t="s">
        <v>577</v>
      </c>
    </row>
    <row r="22467" customFormat="false" ht="12.8" hidden="false" customHeight="false" outlineLevel="0" collapsed="false">
      <c r="B22467" s="0" t="s">
        <v>459</v>
      </c>
      <c r="D22467" s="0" t="s">
        <v>8448</v>
      </c>
      <c r="E22467" s="0" t="s">
        <v>8448</v>
      </c>
      <c r="F22467" s="0" t="s">
        <v>8448</v>
      </c>
    </row>
    <row r="22469" customFormat="false" ht="12.8" hidden="false" customHeight="false" outlineLevel="0" collapsed="false">
      <c r="A22469" s="0" t="s">
        <v>8471</v>
      </c>
      <c r="B22469" s="0" t="str">
        <f aca="false">HYPERLINK("https://lindat.mff.cuni.cz/services/teitok/pdtc10/index.php?action=vallex&amp;frame=v-w2863f2", "odrůst (v-w2863f2)")</f>
        <v>odrůst (v-w2863f2)</v>
      </c>
    </row>
    <row r="22470" customFormat="false" ht="12.8" hidden="false" customHeight="false" outlineLevel="0" collapsed="false">
      <c r="B22470" s="0" t="s">
        <v>7</v>
      </c>
    </row>
    <row r="22471" customFormat="false" ht="12.8" hidden="false" customHeight="false" outlineLevel="0" collapsed="false">
      <c r="B22471" s="0" t="s">
        <v>142</v>
      </c>
    </row>
    <row r="22473" customFormat="false" ht="12.8" hidden="false" customHeight="false" outlineLevel="0" collapsed="false">
      <c r="A22473" s="0" t="s">
        <v>8472</v>
      </c>
      <c r="B22473" s="0" t="str">
        <f aca="false">HYPERLINK("https://lindat.mff.cuni.cz/services/teitok/pdtc10/index.php?action=vallex&amp;frame=v-w2863f1", "odrůst (v-w2863f1)")</f>
        <v>odrůst (v-w2863f1)</v>
      </c>
    </row>
    <row r="22474" customFormat="false" ht="12.8" hidden="false" customHeight="false" outlineLevel="0" collapsed="false">
      <c r="B22474" s="0" t="s">
        <v>7</v>
      </c>
      <c r="D22474" s="0" t="s">
        <v>8473</v>
      </c>
      <c r="E22474" s="0" t="s">
        <v>8473</v>
      </c>
      <c r="F22474" s="0" t="s">
        <v>8473</v>
      </c>
    </row>
    <row r="22476" customFormat="false" ht="12.8" hidden="false" customHeight="false" outlineLevel="0" collapsed="false">
      <c r="A22476" s="0" t="s">
        <v>8474</v>
      </c>
      <c r="B22476" s="0" t="str">
        <f aca="false">HYPERLINK("https://lindat.mff.cuni.cz/services/teitok/pdtc10/index.php?action=vallex&amp;frame=v-whsa_8hsa_9", "odrůstat (v-whsa_8hsa_9)")</f>
        <v>odrůstat (v-whsa_8hsa_9)</v>
      </c>
    </row>
    <row r="22477" customFormat="false" ht="12.8" hidden="false" customHeight="false" outlineLevel="0" collapsed="false">
      <c r="B22477" s="0" t="s">
        <v>7</v>
      </c>
    </row>
    <row r="22479" customFormat="false" ht="12.8" hidden="false" customHeight="false" outlineLevel="0" collapsed="false">
      <c r="A22479" s="0" t="s">
        <v>8475</v>
      </c>
      <c r="B22479" s="0" t="str">
        <f aca="false">HYPERLINK("https://lindat.mff.cuni.cz/services/teitok/pdtc10/index.php?action=vallex&amp;frame=v-w2876f1", "odsednout si (v-w2876f1)")</f>
        <v>odsednout si (v-w2876f1)</v>
      </c>
    </row>
    <row r="22480" customFormat="false" ht="12.8" hidden="false" customHeight="false" outlineLevel="0" collapsed="false">
      <c r="B22480" s="0" t="s">
        <v>7</v>
      </c>
      <c r="C22480" s="0" t="s">
        <v>272</v>
      </c>
      <c r="D22480" s="0" t="s">
        <v>176</v>
      </c>
      <c r="E22480" s="0" t="s">
        <v>176</v>
      </c>
      <c r="F22480" s="0" t="s">
        <v>176</v>
      </c>
    </row>
    <row r="22481" customFormat="false" ht="12.8" hidden="false" customHeight="false" outlineLevel="0" collapsed="false">
      <c r="B22481" s="0" t="s">
        <v>459</v>
      </c>
    </row>
    <row r="22483" customFormat="false" ht="12.8" hidden="false" customHeight="false" outlineLevel="0" collapsed="false">
      <c r="A22483" s="0" t="s">
        <v>8476</v>
      </c>
      <c r="B22483" s="0" t="str">
        <f aca="false">HYPERLINK("https://lindat.mff.cuni.cz/services/teitok/pdtc10/index.php?action=vallex&amp;frame=v-w2875f1", "odsedět si (v-w2875f1)")</f>
        <v>odsedět si (v-w2875f1)</v>
      </c>
    </row>
    <row r="22484" customFormat="false" ht="12.8" hidden="false" customHeight="false" outlineLevel="0" collapsed="false">
      <c r="B22484" s="0" t="s">
        <v>7</v>
      </c>
    </row>
    <row r="22485" customFormat="false" ht="12.8" hidden="false" customHeight="false" outlineLevel="0" collapsed="false">
      <c r="B22485" s="0" t="s">
        <v>14</v>
      </c>
    </row>
    <row r="22487" customFormat="false" ht="12.8" hidden="false" customHeight="false" outlineLevel="0" collapsed="false">
      <c r="A22487" s="0" t="s">
        <v>8477</v>
      </c>
      <c r="B22487" s="0" t="str">
        <f aca="false">HYPERLINK("https://lindat.mff.cuni.cz/services/teitok/pdtc10/index.php?action=vallex&amp;frame=v-w10082f2", "odsekat (v-w10082f2)")</f>
        <v>odsekat (v-w10082f2)</v>
      </c>
    </row>
    <row r="22488" customFormat="false" ht="12.8" hidden="false" customHeight="false" outlineLevel="0" collapsed="false">
      <c r="B22488" s="0" t="s">
        <v>7</v>
      </c>
    </row>
    <row r="22489" customFormat="false" ht="12.8" hidden="false" customHeight="false" outlineLevel="0" collapsed="false">
      <c r="B22489" s="0" t="s">
        <v>14</v>
      </c>
    </row>
    <row r="22490" customFormat="false" ht="12.8" hidden="false" customHeight="false" outlineLevel="0" collapsed="false">
      <c r="B22490" s="0" t="s">
        <v>459</v>
      </c>
    </row>
    <row r="22492" customFormat="false" ht="12.8" hidden="false" customHeight="false" outlineLevel="0" collapsed="false">
      <c r="A22492" s="0" t="s">
        <v>8478</v>
      </c>
      <c r="B22492" s="0" t="str">
        <f aca="false">HYPERLINK("https://lindat.mff.cuni.cz/services/teitok/pdtc10/index.php?action=vallex&amp;frame=v-w2877f1", "odseknout (v-w2877f1)")</f>
        <v>odseknout (v-w2877f1)</v>
      </c>
    </row>
    <row r="22493" customFormat="false" ht="12.8" hidden="false" customHeight="false" outlineLevel="0" collapsed="false">
      <c r="B22493" s="0" t="s">
        <v>7</v>
      </c>
      <c r="D22493" s="0" t="s">
        <v>88</v>
      </c>
      <c r="E22493" s="0" t="s">
        <v>88</v>
      </c>
      <c r="F22493" s="0" t="s">
        <v>88</v>
      </c>
    </row>
    <row r="22494" customFormat="false" ht="12.8" hidden="false" customHeight="false" outlineLevel="0" collapsed="false">
      <c r="B22494" s="0" t="s">
        <v>14</v>
      </c>
      <c r="D22494" s="0" t="s">
        <v>89</v>
      </c>
      <c r="E22494" s="0" t="s">
        <v>89</v>
      </c>
      <c r="F22494" s="0" t="s">
        <v>89</v>
      </c>
    </row>
    <row r="22495" customFormat="false" ht="12.8" hidden="false" customHeight="false" outlineLevel="0" collapsed="false">
      <c r="B22495" s="0" t="s">
        <v>459</v>
      </c>
      <c r="D22495" s="0" t="s">
        <v>8479</v>
      </c>
      <c r="E22495" s="0" t="s">
        <v>8479</v>
      </c>
      <c r="F22495" s="0" t="s">
        <v>8479</v>
      </c>
    </row>
    <row r="22497" customFormat="false" ht="12.8" hidden="false" customHeight="false" outlineLevel="0" collapsed="false">
      <c r="A22497" s="0" t="s">
        <v>8480</v>
      </c>
      <c r="B22497" s="0" t="str">
        <f aca="false">HYPERLINK("https://lindat.mff.cuni.cz/services/teitok/pdtc10/index.php?action=vallex&amp;frame=v-w2877hsa_191", "odseknout (v-w2877hsa_191)")</f>
        <v>odseknout (v-w2877hsa_191)</v>
      </c>
    </row>
    <row r="22498" customFormat="false" ht="12.8" hidden="false" customHeight="false" outlineLevel="0" collapsed="false">
      <c r="B22498" s="0" t="s">
        <v>7</v>
      </c>
      <c r="C22498" s="0" t="s">
        <v>46</v>
      </c>
      <c r="D22498" s="0" t="s">
        <v>8367</v>
      </c>
      <c r="E22498" s="0" t="s">
        <v>8367</v>
      </c>
      <c r="F22498" s="0" t="s">
        <v>8367</v>
      </c>
    </row>
    <row r="22499" customFormat="false" ht="12.8" hidden="false" customHeight="false" outlineLevel="0" collapsed="false">
      <c r="B22499" s="0" t="s">
        <v>48</v>
      </c>
      <c r="D22499" s="0" t="s">
        <v>8368</v>
      </c>
      <c r="E22499" s="0" t="s">
        <v>8368</v>
      </c>
      <c r="F22499" s="0" t="s">
        <v>8368</v>
      </c>
    </row>
    <row r="22500" customFormat="false" ht="12.8" hidden="false" customHeight="false" outlineLevel="0" collapsed="false">
      <c r="B22500" s="0" t="s">
        <v>3977</v>
      </c>
      <c r="C22500" s="0" t="s">
        <v>8481</v>
      </c>
      <c r="D22500" s="0" t="s">
        <v>8371</v>
      </c>
      <c r="E22500" s="0" t="s">
        <v>8371</v>
      </c>
      <c r="F22500" s="0" t="s">
        <v>8371</v>
      </c>
    </row>
    <row r="22501" customFormat="false" ht="12.8" hidden="false" customHeight="false" outlineLevel="0" collapsed="false">
      <c r="B22501" s="0" t="s">
        <v>63</v>
      </c>
      <c r="D22501" s="0" t="s">
        <v>8373</v>
      </c>
      <c r="E22501" s="0" t="s">
        <v>8373</v>
      </c>
      <c r="F22501" s="0" t="s">
        <v>8373</v>
      </c>
    </row>
    <row r="22503" customFormat="false" ht="12.8" hidden="false" customHeight="false" outlineLevel="0" collapsed="false">
      <c r="A22503" s="0" t="s">
        <v>8482</v>
      </c>
      <c r="B22503" s="0" t="str">
        <f aca="false">HYPERLINK("https://lindat.mff.cuni.cz/services/teitok/pdtc10/index.php?action=vallex&amp;frame=v-whsa_426hsa_427", "odskakovat (v-whsa_426hsa_427)")</f>
        <v>odskakovat (v-whsa_426hsa_427)</v>
      </c>
    </row>
    <row r="22504" customFormat="false" ht="12.8" hidden="false" customHeight="false" outlineLevel="0" collapsed="false">
      <c r="B22504" s="0" t="s">
        <v>7</v>
      </c>
      <c r="C22504" s="0" t="s">
        <v>396</v>
      </c>
    </row>
    <row r="22505" customFormat="false" ht="12.8" hidden="false" customHeight="false" outlineLevel="0" collapsed="false">
      <c r="B22505" s="0" t="s">
        <v>459</v>
      </c>
    </row>
    <row r="22507" customFormat="false" ht="12.8" hidden="false" customHeight="false" outlineLevel="0" collapsed="false">
      <c r="A22507" s="0" t="s">
        <v>8483</v>
      </c>
      <c r="B22507" s="0" t="str">
        <f aca="false">HYPERLINK("https://lindat.mff.cuni.cz/services/teitok/pdtc10/index.php?action=vallex&amp;frame=v-w2881f1", "odskakovat si (v-w2881f1)")</f>
        <v>odskakovat si (v-w2881f1)</v>
      </c>
    </row>
    <row r="22508" customFormat="false" ht="12.8" hidden="false" customHeight="false" outlineLevel="0" collapsed="false">
      <c r="B22508" s="0" t="s">
        <v>7</v>
      </c>
    </row>
    <row r="22510" customFormat="false" ht="12.8" hidden="false" customHeight="false" outlineLevel="0" collapsed="false">
      <c r="A22510" s="0" t="s">
        <v>8484</v>
      </c>
      <c r="B22510" s="0" t="str">
        <f aca="false">HYPERLINK("https://lindat.mff.cuni.cz/services/teitok/pdtc10/index.php?action=vallex&amp;frame=v-w2882f1", "odskočit (v-w2882f1)")</f>
        <v>odskočit (v-w2882f1)</v>
      </c>
    </row>
    <row r="22511" customFormat="false" ht="12.8" hidden="false" customHeight="false" outlineLevel="0" collapsed="false">
      <c r="B22511" s="0" t="s">
        <v>7</v>
      </c>
    </row>
    <row r="22512" customFormat="false" ht="12.8" hidden="false" customHeight="false" outlineLevel="0" collapsed="false">
      <c r="B22512" s="0" t="s">
        <v>459</v>
      </c>
    </row>
    <row r="22514" customFormat="false" ht="12.8" hidden="false" customHeight="false" outlineLevel="0" collapsed="false">
      <c r="A22514" s="0" t="s">
        <v>8485</v>
      </c>
      <c r="B22514" s="0" t="str">
        <f aca="false">HYPERLINK("https://lindat.mff.cuni.cz/services/teitok/pdtc10/index.php?action=vallex&amp;frame=v-w2883f1", "odskočit si (v-w2883f1)")</f>
        <v>odskočit si (v-w2883f1)</v>
      </c>
    </row>
    <row r="22515" customFormat="false" ht="12.8" hidden="false" customHeight="false" outlineLevel="0" collapsed="false">
      <c r="B22515" s="0" t="s">
        <v>7</v>
      </c>
      <c r="C22515" s="0" t="s">
        <v>2894</v>
      </c>
      <c r="D22515" s="0" t="s">
        <v>2894</v>
      </c>
      <c r="E22515" s="0" t="s">
        <v>2894</v>
      </c>
      <c r="F22515" s="0" t="s">
        <v>2894</v>
      </c>
    </row>
    <row r="22517" customFormat="false" ht="12.8" hidden="false" customHeight="false" outlineLevel="0" collapsed="false">
      <c r="A22517" s="0" t="s">
        <v>8486</v>
      </c>
      <c r="B22517" s="0" t="str">
        <f aca="false">HYPERLINK("https://lindat.mff.cuni.cz/services/teitok/pdtc10/index.php?action=vallex&amp;frame=v-w2880f1", "odskákat (v-w2880f1)")</f>
        <v>odskákat (v-w2880f1)</v>
      </c>
    </row>
    <row r="22518" customFormat="false" ht="12.8" hidden="false" customHeight="false" outlineLevel="0" collapsed="false">
      <c r="B22518" s="0" t="s">
        <v>7</v>
      </c>
      <c r="C22518" s="0" t="s">
        <v>8487</v>
      </c>
    </row>
    <row r="22519" customFormat="false" ht="12.8" hidden="false" customHeight="false" outlineLevel="0" collapsed="false">
      <c r="B22519" s="0" t="s">
        <v>14</v>
      </c>
    </row>
    <row r="22521" customFormat="false" ht="12.8" hidden="false" customHeight="false" outlineLevel="0" collapsed="false">
      <c r="A22521" s="0" t="s">
        <v>8488</v>
      </c>
      <c r="B22521" s="0" t="str">
        <f aca="false">HYPERLINK("https://lindat.mff.cuni.cz/services/teitok/pdtc10/index.php?action=vallex&amp;frame=v-w2884f1", "odsloužit (v-w2884f1)")</f>
        <v>odsloužit (v-w2884f1)</v>
      </c>
    </row>
    <row r="22522" customFormat="false" ht="12.8" hidden="false" customHeight="false" outlineLevel="0" collapsed="false">
      <c r="B22522" s="0" t="s">
        <v>7</v>
      </c>
    </row>
    <row r="22523" customFormat="false" ht="12.8" hidden="false" customHeight="false" outlineLevel="0" collapsed="false">
      <c r="B22523" s="0" t="s">
        <v>14</v>
      </c>
    </row>
    <row r="22525" customFormat="false" ht="12.8" hidden="false" customHeight="false" outlineLevel="0" collapsed="false">
      <c r="A22525" s="0" t="s">
        <v>8489</v>
      </c>
      <c r="B22525" s="0" t="str">
        <f aca="false">HYPERLINK("https://lindat.mff.cuni.cz/services/teitok/pdtc10/index.php?action=vallex&amp;frame=v-w2885f1", "odsloužit si (v-w2885f1)")</f>
        <v>odsloužit si (v-w2885f1)</v>
      </c>
    </row>
    <row r="22526" customFormat="false" ht="12.8" hidden="false" customHeight="false" outlineLevel="0" collapsed="false">
      <c r="B22526" s="0" t="s">
        <v>7</v>
      </c>
    </row>
    <row r="22527" customFormat="false" ht="12.8" hidden="false" customHeight="false" outlineLevel="0" collapsed="false">
      <c r="B22527" s="0" t="s">
        <v>14</v>
      </c>
    </row>
    <row r="22529" customFormat="false" ht="12.8" hidden="false" customHeight="false" outlineLevel="0" collapsed="false">
      <c r="A22529" s="0" t="s">
        <v>8490</v>
      </c>
      <c r="B22529" s="0" t="str">
        <f aca="false">HYPERLINK("https://lindat.mff.cuni.cz/services/teitok/pdtc10/index.php?action=vallex&amp;frame=v-w2886hsa_4", "odsoudit (v-w2886hsa_4)")</f>
        <v>odsoudit (v-w2886hsa_4)</v>
      </c>
    </row>
    <row r="22530" customFormat="false" ht="12.8" hidden="false" customHeight="false" outlineLevel="0" collapsed="false">
      <c r="B22530" s="0" t="s">
        <v>7</v>
      </c>
      <c r="C22530" s="0" t="s">
        <v>335</v>
      </c>
      <c r="D22530" s="0" t="s">
        <v>8491</v>
      </c>
      <c r="E22530" s="0" t="s">
        <v>8491</v>
      </c>
      <c r="F22530" s="0" t="s">
        <v>8491</v>
      </c>
    </row>
    <row r="22531" customFormat="false" ht="12.8" hidden="false" customHeight="false" outlineLevel="0" collapsed="false">
      <c r="B22531" s="0" t="s">
        <v>14</v>
      </c>
      <c r="C22531" s="0" t="s">
        <v>384</v>
      </c>
      <c r="D22531" s="0" t="s">
        <v>8492</v>
      </c>
      <c r="E22531" s="0" t="s">
        <v>8492</v>
      </c>
      <c r="F22531" s="0" t="s">
        <v>8492</v>
      </c>
    </row>
    <row r="22532" customFormat="false" ht="12.8" hidden="false" customHeight="false" outlineLevel="0" collapsed="false">
      <c r="B22532" s="0" t="s">
        <v>8493</v>
      </c>
      <c r="C22532" s="0" t="s">
        <v>182</v>
      </c>
    </row>
    <row r="22534" customFormat="false" ht="12.8" hidden="false" customHeight="false" outlineLevel="0" collapsed="false">
      <c r="A22534" s="0" t="s">
        <v>8490</v>
      </c>
      <c r="B22534" s="0" t="str">
        <f aca="false">HYPERLINK("https://lindat.mff.cuni.cz/services/teitok/pdtc10/index.php?action=vallex&amp;frame=v-w2886f1", "odsoudit (v-w2886f1) - substituted with v-w2886hsa_4")</f>
        <v>odsoudit (v-w2886f1) - substituted with v-w2886hsa_4</v>
      </c>
    </row>
    <row r="22535" customFormat="false" ht="12.8" hidden="false" customHeight="false" outlineLevel="0" collapsed="false">
      <c r="B22535" s="0" t="s">
        <v>7</v>
      </c>
      <c r="C22535" s="0" t="s">
        <v>1874</v>
      </c>
    </row>
    <row r="22536" customFormat="false" ht="12.8" hidden="false" customHeight="false" outlineLevel="0" collapsed="false">
      <c r="B22536" s="0" t="s">
        <v>14</v>
      </c>
      <c r="C22536" s="0" t="s">
        <v>26</v>
      </c>
    </row>
    <row r="22537" customFormat="false" ht="12.8" hidden="false" customHeight="false" outlineLevel="0" collapsed="false">
      <c r="B22537" s="0" t="s">
        <v>8493</v>
      </c>
      <c r="C22537" s="0" t="s">
        <v>8494</v>
      </c>
    </row>
    <row r="22539" customFormat="false" ht="12.8" hidden="false" customHeight="false" outlineLevel="0" collapsed="false">
      <c r="A22539" s="0" t="s">
        <v>8490</v>
      </c>
      <c r="B22539" s="0" t="str">
        <f aca="false">HYPERLINK("https://lindat.mff.cuni.cz/services/teitok/pdtc10/index.php?action=vallex&amp;frame=v-w2886f3_ZU", "odsoudit (v-w2886f3_ZU) - substituted with v-w2886hsa_4")</f>
        <v>odsoudit (v-w2886f3_ZU) - substituted with v-w2886hsa_4</v>
      </c>
    </row>
    <row r="22540" customFormat="false" ht="12.8" hidden="false" customHeight="false" outlineLevel="0" collapsed="false">
      <c r="B22540" s="0" t="s">
        <v>7</v>
      </c>
      <c r="C22540" s="0" t="s">
        <v>3918</v>
      </c>
    </row>
    <row r="22541" customFormat="false" ht="12.8" hidden="false" customHeight="false" outlineLevel="0" collapsed="false">
      <c r="B22541" s="0" t="s">
        <v>14</v>
      </c>
      <c r="C22541" s="0" t="s">
        <v>342</v>
      </c>
    </row>
    <row r="22542" customFormat="false" ht="12.8" hidden="false" customHeight="false" outlineLevel="0" collapsed="false">
      <c r="B22542" s="0" t="s">
        <v>8493</v>
      </c>
      <c r="C22542" s="0" t="s">
        <v>8494</v>
      </c>
    </row>
    <row r="22544" customFormat="false" ht="12.8" hidden="false" customHeight="false" outlineLevel="0" collapsed="false">
      <c r="A22544" s="0" t="s">
        <v>8495</v>
      </c>
      <c r="B22544" s="0" t="str">
        <f aca="false">HYPERLINK("https://lindat.mff.cuni.cz/services/teitok/pdtc10/index.php?action=vallex&amp;frame=v-w2886f2", "odsoudit (v-w2886f2)")</f>
        <v>odsoudit (v-w2886f2)</v>
      </c>
    </row>
    <row r="22545" customFormat="false" ht="12.8" hidden="false" customHeight="false" outlineLevel="0" collapsed="false">
      <c r="B22545" s="0" t="s">
        <v>7</v>
      </c>
      <c r="C22545" s="0" t="s">
        <v>22</v>
      </c>
      <c r="D22545" s="0" t="s">
        <v>4960</v>
      </c>
      <c r="E22545" s="0" t="s">
        <v>4960</v>
      </c>
      <c r="F22545" s="0" t="s">
        <v>4960</v>
      </c>
    </row>
    <row r="22546" customFormat="false" ht="12.8" hidden="false" customHeight="false" outlineLevel="0" collapsed="false">
      <c r="B22546" s="0" t="s">
        <v>54</v>
      </c>
      <c r="C22546" s="0" t="s">
        <v>195</v>
      </c>
      <c r="D22546" s="0" t="s">
        <v>1631</v>
      </c>
      <c r="E22546" s="0" t="s">
        <v>1631</v>
      </c>
      <c r="F22546" s="0" t="s">
        <v>1631</v>
      </c>
    </row>
    <row r="22548" customFormat="false" ht="12.8" hidden="false" customHeight="false" outlineLevel="0" collapsed="false">
      <c r="A22548" s="0" t="s">
        <v>8496</v>
      </c>
      <c r="B22548" s="0" t="str">
        <f aca="false">HYPERLINK("https://lindat.mff.cuni.cz/services/teitok/pdtc10/index.php?action=vallex&amp;frame=v-w2887f1", "odsouhlasit (v-w2887f1)")</f>
        <v>odsouhlasit (v-w2887f1)</v>
      </c>
    </row>
    <row r="22549" customFormat="false" ht="12.8" hidden="false" customHeight="false" outlineLevel="0" collapsed="false">
      <c r="B22549" s="0" t="s">
        <v>7</v>
      </c>
      <c r="C22549" s="0" t="s">
        <v>8497</v>
      </c>
      <c r="D22549" s="0" t="s">
        <v>8498</v>
      </c>
      <c r="E22549" s="0" t="s">
        <v>8498</v>
      </c>
      <c r="F22549" s="0" t="s">
        <v>8498</v>
      </c>
    </row>
    <row r="22550" customFormat="false" ht="12.8" hidden="false" customHeight="false" outlineLevel="0" collapsed="false">
      <c r="B22550" s="0" t="s">
        <v>8499</v>
      </c>
      <c r="C22550" s="0" t="s">
        <v>8500</v>
      </c>
      <c r="D22550" s="0" t="s">
        <v>8501</v>
      </c>
      <c r="E22550" s="0" t="s">
        <v>8501</v>
      </c>
      <c r="F22550" s="0" t="s">
        <v>8501</v>
      </c>
    </row>
    <row r="22551" customFormat="false" ht="12.8" hidden="false" customHeight="false" outlineLevel="0" collapsed="false">
      <c r="B22551" s="0" t="s">
        <v>106</v>
      </c>
      <c r="D22551" s="0" t="s">
        <v>8502</v>
      </c>
      <c r="E22551" s="0" t="s">
        <v>8502</v>
      </c>
      <c r="F22551" s="0" t="s">
        <v>8502</v>
      </c>
    </row>
    <row r="22553" customFormat="false" ht="12.8" hidden="false" customHeight="false" outlineLevel="0" collapsed="false">
      <c r="A22553" s="0" t="s">
        <v>8503</v>
      </c>
      <c r="B22553" s="0" t="str">
        <f aca="false">HYPERLINK("https://lindat.mff.cuni.cz/services/teitok/pdtc10/index.php?action=vallex&amp;frame=v-w2888f1", "odsouvat (v-w2888f1)")</f>
        <v>odsouvat (v-w2888f1)</v>
      </c>
    </row>
    <row r="22554" customFormat="false" ht="12.8" hidden="false" customHeight="false" outlineLevel="0" collapsed="false">
      <c r="B22554" s="0" t="s">
        <v>7</v>
      </c>
    </row>
    <row r="22555" customFormat="false" ht="12.8" hidden="false" customHeight="false" outlineLevel="0" collapsed="false">
      <c r="B22555" s="0" t="s">
        <v>14</v>
      </c>
    </row>
    <row r="22556" customFormat="false" ht="12.8" hidden="false" customHeight="false" outlineLevel="0" collapsed="false">
      <c r="B22556" s="0" t="s">
        <v>279</v>
      </c>
    </row>
    <row r="22558" customFormat="false" ht="12.8" hidden="false" customHeight="false" outlineLevel="0" collapsed="false">
      <c r="A22558" s="0" t="s">
        <v>8504</v>
      </c>
      <c r="B22558" s="0" t="str">
        <f aca="false">HYPERLINK("https://lindat.mff.cuni.cz/services/teitok/pdtc10/index.php?action=vallex&amp;frame=v-w2888f2", "odsouvat (v-w2888f2)")</f>
        <v>odsouvat (v-w2888f2)</v>
      </c>
    </row>
    <row r="22559" customFormat="false" ht="12.8" hidden="false" customHeight="false" outlineLevel="0" collapsed="false">
      <c r="B22559" s="0" t="s">
        <v>7</v>
      </c>
      <c r="C22559" s="0" t="s">
        <v>1261</v>
      </c>
      <c r="D22559" s="0" t="s">
        <v>8024</v>
      </c>
      <c r="E22559" s="0" t="s">
        <v>8024</v>
      </c>
      <c r="F22559" s="0" t="s">
        <v>8024</v>
      </c>
    </row>
    <row r="22560" customFormat="false" ht="12.8" hidden="false" customHeight="false" outlineLevel="0" collapsed="false">
      <c r="B22560" s="0" t="s">
        <v>14</v>
      </c>
      <c r="C22560" s="0" t="s">
        <v>4407</v>
      </c>
      <c r="D22560" s="0" t="s">
        <v>8025</v>
      </c>
      <c r="E22560" s="0" t="s">
        <v>8025</v>
      </c>
      <c r="F22560" s="0" t="s">
        <v>8025</v>
      </c>
    </row>
    <row r="22562" customFormat="false" ht="12.8" hidden="false" customHeight="false" outlineLevel="0" collapsed="false">
      <c r="A22562" s="0" t="s">
        <v>8505</v>
      </c>
      <c r="B22562" s="0" t="str">
        <f aca="false">HYPERLINK("https://lindat.mff.cuni.cz/services/teitok/pdtc10/index.php?action=vallex&amp;frame=v-w2892f1", "odstartovat (v-w2892f1)")</f>
        <v>odstartovat (v-w2892f1)</v>
      </c>
    </row>
    <row r="22563" customFormat="false" ht="12.8" hidden="false" customHeight="false" outlineLevel="0" collapsed="false">
      <c r="B22563" s="0" t="s">
        <v>7</v>
      </c>
      <c r="C22563" s="0" t="s">
        <v>8506</v>
      </c>
      <c r="D22563" s="0" t="s">
        <v>69</v>
      </c>
      <c r="E22563" s="0" t="s">
        <v>69</v>
      </c>
      <c r="F22563" s="0" t="s">
        <v>69</v>
      </c>
    </row>
    <row r="22564" customFormat="false" ht="12.8" hidden="false" customHeight="false" outlineLevel="0" collapsed="false">
      <c r="B22564" s="0" t="s">
        <v>14</v>
      </c>
      <c r="C22564" s="0" t="s">
        <v>8507</v>
      </c>
      <c r="D22564" s="0" t="s">
        <v>71</v>
      </c>
      <c r="E22564" s="0" t="s">
        <v>71</v>
      </c>
      <c r="F22564" s="0" t="s">
        <v>71</v>
      </c>
    </row>
    <row r="22566" customFormat="false" ht="12.8" hidden="false" customHeight="false" outlineLevel="0" collapsed="false">
      <c r="A22566" s="0" t="s">
        <v>8508</v>
      </c>
      <c r="B22566" s="0" t="str">
        <f aca="false">HYPERLINK("https://lindat.mff.cuni.cz/services/teitok/pdtc10/index.php?action=vallex&amp;frame=v-w2892f2", "odstartovat (v-w2892f2)")</f>
        <v>odstartovat (v-w2892f2)</v>
      </c>
    </row>
    <row r="22567" customFormat="false" ht="12.8" hidden="false" customHeight="false" outlineLevel="0" collapsed="false">
      <c r="B22567" s="0" t="s">
        <v>7</v>
      </c>
    </row>
    <row r="22569" customFormat="false" ht="12.8" hidden="false" customHeight="false" outlineLevel="0" collapsed="false">
      <c r="A22569" s="0" t="s">
        <v>8509</v>
      </c>
      <c r="B22569" s="0" t="str">
        <f aca="false">HYPERLINK("https://lindat.mff.cuni.cz/services/teitok/pdtc10/index.php?action=vallex&amp;frame=v-w2892f3_ZU", "odstartovat (v-w2892f3_ZU)")</f>
        <v>odstartovat (v-w2892f3_ZU)</v>
      </c>
    </row>
    <row r="22570" customFormat="false" ht="12.8" hidden="false" customHeight="false" outlineLevel="0" collapsed="false">
      <c r="B22570" s="0" t="s">
        <v>7</v>
      </c>
      <c r="C22570" s="0" t="s">
        <v>6910</v>
      </c>
      <c r="D22570" s="0" t="s">
        <v>288</v>
      </c>
      <c r="E22570" s="0" t="s">
        <v>288</v>
      </c>
      <c r="F22570" s="0" t="s">
        <v>288</v>
      </c>
    </row>
    <row r="22572" customFormat="false" ht="12.8" hidden="false" customHeight="false" outlineLevel="0" collapsed="false">
      <c r="A22572" s="0" t="s">
        <v>8510</v>
      </c>
      <c r="B22572" s="0" t="str">
        <f aca="false">HYPERLINK("https://lindat.mff.cuni.cz/services/teitok/pdtc10/index.php?action=vallex&amp;frame=v-w2892f4_ZU", "odstartovat (v-w2892f4_ZU)")</f>
        <v>odstartovat (v-w2892f4_ZU)</v>
      </c>
    </row>
    <row r="22573" customFormat="false" ht="12.8" hidden="false" customHeight="false" outlineLevel="0" collapsed="false">
      <c r="B22573" s="0" t="s">
        <v>7</v>
      </c>
      <c r="C22573" s="0" t="s">
        <v>4171</v>
      </c>
      <c r="D22573" s="0" t="s">
        <v>69</v>
      </c>
      <c r="E22573" s="0" t="s">
        <v>69</v>
      </c>
      <c r="F22573" s="0" t="s">
        <v>69</v>
      </c>
    </row>
    <row r="22574" customFormat="false" ht="12.8" hidden="false" customHeight="false" outlineLevel="0" collapsed="false">
      <c r="B22574" s="0" t="s">
        <v>14</v>
      </c>
      <c r="C22574" s="0" t="s">
        <v>4344</v>
      </c>
      <c r="D22574" s="0" t="s">
        <v>71</v>
      </c>
      <c r="E22574" s="0" t="s">
        <v>71</v>
      </c>
      <c r="F22574" s="0" t="s">
        <v>71</v>
      </c>
    </row>
    <row r="22576" customFormat="false" ht="12.8" hidden="false" customHeight="false" outlineLevel="0" collapsed="false">
      <c r="A22576" s="0" t="s">
        <v>8510</v>
      </c>
      <c r="B22576" s="0" t="str">
        <f aca="false">HYPERLINK("https://lindat.mff.cuni.cz/services/teitok/pdtc10/index.php?action=vallex&amp;frame=v-w2892hsa_863", "odstartovat (v-w2892hsa_863) - substituted with v-w2892f4_ZU")</f>
        <v>odstartovat (v-w2892hsa_863) - substituted with v-w2892f4_ZU</v>
      </c>
    </row>
    <row r="22577" customFormat="false" ht="12.8" hidden="false" customHeight="false" outlineLevel="0" collapsed="false">
      <c r="B22577" s="0" t="s">
        <v>7</v>
      </c>
    </row>
    <row r="22578" customFormat="false" ht="12.8" hidden="false" customHeight="false" outlineLevel="0" collapsed="false">
      <c r="B22578" s="0" t="s">
        <v>14</v>
      </c>
    </row>
    <row r="22580" customFormat="false" ht="12.8" hidden="false" customHeight="false" outlineLevel="0" collapsed="false">
      <c r="A22580" s="0" t="s">
        <v>8511</v>
      </c>
      <c r="B22580" s="0" t="str">
        <f aca="false">HYPERLINK("https://lindat.mff.cuni.cz/services/teitok/pdtc10/index.php?action=vallex&amp;frame=v-w2892hsa_864", "odstartovat (v-w2892hsa_864)")</f>
        <v>odstartovat (v-w2892hsa_864)</v>
      </c>
    </row>
    <row r="22581" customFormat="false" ht="12.8" hidden="false" customHeight="false" outlineLevel="0" collapsed="false">
      <c r="B22581" s="0" t="s">
        <v>7</v>
      </c>
      <c r="C22581" s="0" t="s">
        <v>272</v>
      </c>
      <c r="D22581" s="0" t="s">
        <v>8512</v>
      </c>
      <c r="E22581" s="0" t="s">
        <v>8512</v>
      </c>
      <c r="F22581" s="0" t="s">
        <v>8512</v>
      </c>
    </row>
    <row r="22582" customFormat="false" ht="12.8" hidden="false" customHeight="false" outlineLevel="0" collapsed="false">
      <c r="B22582" s="0" t="s">
        <v>1471</v>
      </c>
      <c r="D22582" s="0" t="s">
        <v>8513</v>
      </c>
      <c r="E22582" s="0" t="s">
        <v>8513</v>
      </c>
      <c r="F22582" s="0" t="s">
        <v>8513</v>
      </c>
    </row>
    <row r="22583" customFormat="false" ht="12.8" hidden="false" customHeight="false" outlineLevel="0" collapsed="false">
      <c r="B22583" s="0" t="s">
        <v>474</v>
      </c>
      <c r="D22583" s="0" t="s">
        <v>8514</v>
      </c>
      <c r="E22583" s="0" t="s">
        <v>8514</v>
      </c>
      <c r="F22583" s="0" t="s">
        <v>8514</v>
      </c>
    </row>
    <row r="22584" customFormat="false" ht="12.8" hidden="false" customHeight="false" outlineLevel="0" collapsed="false">
      <c r="B22584" s="0" t="s">
        <v>479</v>
      </c>
      <c r="D22584" s="0" t="s">
        <v>8515</v>
      </c>
      <c r="E22584" s="0" t="s">
        <v>8515</v>
      </c>
      <c r="F22584" s="0" t="s">
        <v>8515</v>
      </c>
    </row>
    <row r="22586" customFormat="false" ht="12.8" hidden="false" customHeight="false" outlineLevel="0" collapsed="false">
      <c r="A22586" s="0" t="s">
        <v>8516</v>
      </c>
      <c r="B22586" s="0" t="str">
        <f aca="false">HYPERLINK("https://lindat.mff.cuni.cz/services/teitok/pdtc10/index.php?action=vallex&amp;frame=v-w12344_MMf1_MM", "odstaršit (v-w12344_MMf1_MM)")</f>
        <v>odstaršit (v-w12344_MMf1_MM)</v>
      </c>
    </row>
    <row r="22587" customFormat="false" ht="12.8" hidden="false" customHeight="false" outlineLevel="0" collapsed="false">
      <c r="B22587" s="0" t="s">
        <v>7</v>
      </c>
    </row>
    <row r="22588" customFormat="false" ht="12.8" hidden="false" customHeight="false" outlineLevel="0" collapsed="false">
      <c r="B22588" s="0" t="s">
        <v>14</v>
      </c>
    </row>
    <row r="22590" customFormat="false" ht="12.8" hidden="false" customHeight="false" outlineLevel="0" collapsed="false">
      <c r="A22590" s="0" t="s">
        <v>8517</v>
      </c>
      <c r="B22590" s="0" t="str">
        <f aca="false">HYPERLINK("https://lindat.mff.cuni.cz/services/teitok/pdtc10/index.php?action=vallex&amp;frame=v-w2895f1", "odstavit (v-w2895f1)")</f>
        <v>odstavit (v-w2895f1)</v>
      </c>
    </row>
    <row r="22591" customFormat="false" ht="12.8" hidden="false" customHeight="false" outlineLevel="0" collapsed="false">
      <c r="B22591" s="0" t="s">
        <v>7</v>
      </c>
      <c r="C22591" s="0" t="s">
        <v>8518</v>
      </c>
    </row>
    <row r="22592" customFormat="false" ht="12.8" hidden="false" customHeight="false" outlineLevel="0" collapsed="false">
      <c r="B22592" s="0" t="s">
        <v>14</v>
      </c>
      <c r="C22592" s="0" t="s">
        <v>25</v>
      </c>
    </row>
    <row r="22593" customFormat="false" ht="12.8" hidden="false" customHeight="false" outlineLevel="0" collapsed="false">
      <c r="B22593" s="0" t="s">
        <v>459</v>
      </c>
      <c r="C22593" s="0" t="s">
        <v>8519</v>
      </c>
    </row>
    <row r="22595" customFormat="false" ht="12.8" hidden="false" customHeight="false" outlineLevel="0" collapsed="false">
      <c r="A22595" s="0" t="s">
        <v>8520</v>
      </c>
      <c r="B22595" s="0" t="str">
        <f aca="false">HYPERLINK("https://lindat.mff.cuni.cz/services/teitok/pdtc10/index.php?action=vallex&amp;frame=v-w2895f2", "odstavit (v-w2895f2)")</f>
        <v>odstavit (v-w2895f2)</v>
      </c>
    </row>
    <row r="22596" customFormat="false" ht="12.8" hidden="false" customHeight="false" outlineLevel="0" collapsed="false">
      <c r="B22596" s="0" t="s">
        <v>7</v>
      </c>
      <c r="C22596" s="0" t="s">
        <v>316</v>
      </c>
      <c r="D22596" s="0" t="s">
        <v>46</v>
      </c>
      <c r="E22596" s="0" t="s">
        <v>46</v>
      </c>
      <c r="F22596" s="0" t="s">
        <v>46</v>
      </c>
    </row>
    <row r="22597" customFormat="false" ht="12.8" hidden="false" customHeight="false" outlineLevel="0" collapsed="false">
      <c r="B22597" s="0" t="s">
        <v>14</v>
      </c>
      <c r="C22597" s="0" t="s">
        <v>2064</v>
      </c>
      <c r="D22597" s="0" t="s">
        <v>1170</v>
      </c>
      <c r="E22597" s="0" t="s">
        <v>1170</v>
      </c>
      <c r="F22597" s="0" t="s">
        <v>1170</v>
      </c>
    </row>
    <row r="22599" customFormat="false" ht="12.8" hidden="false" customHeight="false" outlineLevel="0" collapsed="false">
      <c r="A22599" s="0" t="s">
        <v>8521</v>
      </c>
      <c r="B22599" s="0" t="str">
        <f aca="false">HYPERLINK("https://lindat.mff.cuni.cz/services/teitok/pdtc10/index.php?action=vallex&amp;frame=v-w2895f3", "odstavit (v-w2895f3)")</f>
        <v>odstavit (v-w2895f3)</v>
      </c>
    </row>
    <row r="22600" customFormat="false" ht="12.8" hidden="false" customHeight="false" outlineLevel="0" collapsed="false">
      <c r="B22600" s="0" t="s">
        <v>7</v>
      </c>
    </row>
    <row r="22601" customFormat="false" ht="12.8" hidden="false" customHeight="false" outlineLevel="0" collapsed="false">
      <c r="B22601" s="0" t="s">
        <v>14</v>
      </c>
    </row>
    <row r="22603" customFormat="false" ht="12.8" hidden="false" customHeight="false" outlineLevel="0" collapsed="false">
      <c r="A22603" s="0" t="s">
        <v>8522</v>
      </c>
      <c r="B22603" s="0" t="str">
        <f aca="false">HYPERLINK("https://lindat.mff.cuni.cz/services/teitok/pdtc10/index.php?action=vallex&amp;frame=v-w2897f1", "odstavovat (v-w2897f1)")</f>
        <v>odstavovat (v-w2897f1)</v>
      </c>
    </row>
    <row r="22604" customFormat="false" ht="12.8" hidden="false" customHeight="false" outlineLevel="0" collapsed="false">
      <c r="B22604" s="0" t="s">
        <v>7</v>
      </c>
    </row>
    <row r="22605" customFormat="false" ht="12.8" hidden="false" customHeight="false" outlineLevel="0" collapsed="false">
      <c r="B22605" s="0" t="s">
        <v>14</v>
      </c>
    </row>
    <row r="22606" customFormat="false" ht="12.8" hidden="false" customHeight="false" outlineLevel="0" collapsed="false">
      <c r="B22606" s="0" t="s">
        <v>459</v>
      </c>
    </row>
    <row r="22608" customFormat="false" ht="12.8" hidden="false" customHeight="false" outlineLevel="0" collapsed="false">
      <c r="A22608" s="0" t="s">
        <v>8523</v>
      </c>
      <c r="B22608" s="0" t="str">
        <f aca="false">HYPERLINK("https://lindat.mff.cuni.cz/services/teitok/pdtc10/index.php?action=vallex&amp;frame=v-w2897f2", "odstavovat (v-w2897f2)")</f>
        <v>odstavovat (v-w2897f2)</v>
      </c>
    </row>
    <row r="22609" customFormat="false" ht="12.8" hidden="false" customHeight="false" outlineLevel="0" collapsed="false">
      <c r="B22609" s="0" t="s">
        <v>7</v>
      </c>
    </row>
    <row r="22610" customFormat="false" ht="12.8" hidden="false" customHeight="false" outlineLevel="0" collapsed="false">
      <c r="B22610" s="0" t="s">
        <v>14</v>
      </c>
    </row>
    <row r="22612" customFormat="false" ht="12.8" hidden="false" customHeight="false" outlineLevel="0" collapsed="false">
      <c r="A22612" s="0" t="s">
        <v>8524</v>
      </c>
      <c r="B22612" s="0" t="str">
        <f aca="false">HYPERLINK("https://lindat.mff.cuni.cz/services/teitok/pdtc10/index.php?action=vallex&amp;frame=v-w2903f2", "odstoupit (v-w2903f2)")</f>
        <v>odstoupit (v-w2903f2)</v>
      </c>
    </row>
    <row r="22613" customFormat="false" ht="12.8" hidden="false" customHeight="false" outlineLevel="0" collapsed="false">
      <c r="B22613" s="0" t="s">
        <v>7</v>
      </c>
      <c r="C22613" s="0" t="s">
        <v>8525</v>
      </c>
      <c r="D22613" s="0" t="s">
        <v>1399</v>
      </c>
      <c r="E22613" s="0" t="s">
        <v>1399</v>
      </c>
      <c r="F22613" s="0" t="s">
        <v>1399</v>
      </c>
    </row>
    <row r="22614" customFormat="false" ht="12.8" hidden="false" customHeight="false" outlineLevel="0" collapsed="false">
      <c r="B22614" s="0" t="s">
        <v>28</v>
      </c>
      <c r="C22614" s="0" t="s">
        <v>8526</v>
      </c>
      <c r="D22614" s="0" t="s">
        <v>1401</v>
      </c>
      <c r="E22614" s="0" t="s">
        <v>1401</v>
      </c>
      <c r="F22614" s="0" t="s">
        <v>1401</v>
      </c>
    </row>
    <row r="22616" customFormat="false" ht="12.8" hidden="false" customHeight="false" outlineLevel="0" collapsed="false">
      <c r="A22616" s="0" t="s">
        <v>8527</v>
      </c>
      <c r="B22616" s="0" t="str">
        <f aca="false">HYPERLINK("https://lindat.mff.cuni.cz/services/teitok/pdtc10/index.php?action=vallex&amp;frame=v-w2903f3", "odstoupit (v-w2903f3)")</f>
        <v>odstoupit (v-w2903f3)</v>
      </c>
    </row>
    <row r="22617" customFormat="false" ht="12.8" hidden="false" customHeight="false" outlineLevel="0" collapsed="false">
      <c r="B22617" s="0" t="s">
        <v>7</v>
      </c>
      <c r="C22617" s="0" t="s">
        <v>2498</v>
      </c>
    </row>
    <row r="22618" customFormat="false" ht="12.8" hidden="false" customHeight="false" outlineLevel="0" collapsed="false">
      <c r="B22618" s="0" t="s">
        <v>459</v>
      </c>
    </row>
    <row r="22620" customFormat="false" ht="12.8" hidden="false" customHeight="false" outlineLevel="0" collapsed="false">
      <c r="A22620" s="0" t="s">
        <v>8528</v>
      </c>
      <c r="B22620" s="0" t="str">
        <f aca="false">HYPERLINK("https://lindat.mff.cuni.cz/services/teitok/pdtc10/index.php?action=vallex&amp;frame=v-w2903f1", "odstoupit (v-w2903f1)")</f>
        <v>odstoupit (v-w2903f1)</v>
      </c>
    </row>
    <row r="22621" customFormat="false" ht="12.8" hidden="false" customHeight="false" outlineLevel="0" collapsed="false">
      <c r="B22621" s="0" t="s">
        <v>7</v>
      </c>
      <c r="C22621" s="0" t="s">
        <v>8529</v>
      </c>
      <c r="D22621" s="0" t="s">
        <v>8530</v>
      </c>
      <c r="E22621" s="0" t="s">
        <v>8530</v>
      </c>
      <c r="F22621" s="0" t="s">
        <v>8530</v>
      </c>
    </row>
    <row r="22623" customFormat="false" ht="12.8" hidden="false" customHeight="false" outlineLevel="0" collapsed="false">
      <c r="A22623" s="0" t="s">
        <v>8531</v>
      </c>
      <c r="B22623" s="0" t="str">
        <f aca="false">HYPERLINK("https://lindat.mff.cuni.cz/services/teitok/pdtc10/index.php?action=vallex&amp;frame=v-w2905f2", "odstranit (v-w2905f2)")</f>
        <v>odstranit (v-w2905f2)</v>
      </c>
    </row>
    <row r="22624" customFormat="false" ht="12.8" hidden="false" customHeight="false" outlineLevel="0" collapsed="false">
      <c r="B22624" s="0" t="s">
        <v>7</v>
      </c>
      <c r="C22624" s="0" t="s">
        <v>3591</v>
      </c>
      <c r="D22624" s="0" t="s">
        <v>88</v>
      </c>
      <c r="E22624" s="0" t="s">
        <v>88</v>
      </c>
      <c r="F22624" s="0" t="s">
        <v>88</v>
      </c>
    </row>
    <row r="22625" customFormat="false" ht="12.8" hidden="false" customHeight="false" outlineLevel="0" collapsed="false">
      <c r="B22625" s="0" t="s">
        <v>14</v>
      </c>
      <c r="C22625" s="0" t="s">
        <v>8532</v>
      </c>
      <c r="D22625" s="0" t="s">
        <v>3872</v>
      </c>
      <c r="E22625" s="0" t="s">
        <v>3872</v>
      </c>
      <c r="F22625" s="0" t="s">
        <v>3872</v>
      </c>
    </row>
    <row r="22626" customFormat="false" ht="12.8" hidden="false" customHeight="false" outlineLevel="0" collapsed="false">
      <c r="B22626" s="0" t="s">
        <v>459</v>
      </c>
      <c r="C22626" s="0" t="s">
        <v>8091</v>
      </c>
      <c r="D22626" s="0" t="s">
        <v>8533</v>
      </c>
      <c r="E22626" s="0" t="s">
        <v>8533</v>
      </c>
      <c r="F22626" s="0" t="s">
        <v>8533</v>
      </c>
    </row>
    <row r="22628" customFormat="false" ht="12.8" hidden="false" customHeight="false" outlineLevel="0" collapsed="false">
      <c r="A22628" s="0" t="s">
        <v>8534</v>
      </c>
      <c r="B22628" s="0" t="str">
        <f aca="false">HYPERLINK("https://lindat.mff.cuni.cz/services/teitok/pdtc10/index.php?action=vallex&amp;frame=v-w2905f3", "odstranit (v-w2905f3)")</f>
        <v>odstranit (v-w2905f3)</v>
      </c>
    </row>
    <row r="22629" customFormat="false" ht="12.8" hidden="false" customHeight="false" outlineLevel="0" collapsed="false">
      <c r="B22629" s="0" t="s">
        <v>7</v>
      </c>
      <c r="C22629" s="0" t="s">
        <v>8535</v>
      </c>
    </row>
    <row r="22630" customFormat="false" ht="12.8" hidden="false" customHeight="false" outlineLevel="0" collapsed="false">
      <c r="B22630" s="0" t="s">
        <v>14</v>
      </c>
      <c r="C22630" s="0" t="s">
        <v>5458</v>
      </c>
    </row>
    <row r="22631" customFormat="false" ht="12.8" hidden="false" customHeight="false" outlineLevel="0" collapsed="false">
      <c r="B22631" s="0" t="s">
        <v>459</v>
      </c>
      <c r="C22631" s="0" t="s">
        <v>8536</v>
      </c>
    </row>
    <row r="22633" customFormat="false" ht="12.8" hidden="false" customHeight="false" outlineLevel="0" collapsed="false">
      <c r="A22633" s="0" t="s">
        <v>8537</v>
      </c>
      <c r="B22633" s="0" t="str">
        <f aca="false">HYPERLINK("https://lindat.mff.cuni.cz/services/teitok/pdtc10/index.php?action=vallex&amp;frame=v-w2905f1", "odstranit (v-w2905f1)")</f>
        <v>odstranit (v-w2905f1)</v>
      </c>
    </row>
    <row r="22634" customFormat="false" ht="12.8" hidden="false" customHeight="false" outlineLevel="0" collapsed="false">
      <c r="B22634" s="0" t="s">
        <v>7</v>
      </c>
      <c r="C22634" s="0" t="s">
        <v>8538</v>
      </c>
      <c r="D22634" s="0" t="s">
        <v>88</v>
      </c>
      <c r="E22634" s="0" t="s">
        <v>88</v>
      </c>
      <c r="F22634" s="0" t="s">
        <v>88</v>
      </c>
    </row>
    <row r="22635" customFormat="false" ht="12.8" hidden="false" customHeight="false" outlineLevel="0" collapsed="false">
      <c r="B22635" s="0" t="s">
        <v>14</v>
      </c>
      <c r="C22635" s="0" t="s">
        <v>8539</v>
      </c>
      <c r="D22635" s="0" t="s">
        <v>3872</v>
      </c>
      <c r="E22635" s="0" t="s">
        <v>3872</v>
      </c>
      <c r="F22635" s="0" t="s">
        <v>3872</v>
      </c>
    </row>
    <row r="22637" customFormat="false" ht="12.8" hidden="false" customHeight="false" outlineLevel="0" collapsed="false">
      <c r="A22637" s="0" t="s">
        <v>8540</v>
      </c>
      <c r="B22637" s="0" t="str">
        <f aca="false">HYPERLINK("https://lindat.mff.cuni.cz/services/teitok/pdtc10/index.php?action=vallex&amp;frame=v-w2907f1", "odstraňovat (v-w2907f1)")</f>
        <v>odstraňovat (v-w2907f1)</v>
      </c>
    </row>
    <row r="22638" customFormat="false" ht="12.8" hidden="false" customHeight="false" outlineLevel="0" collapsed="false">
      <c r="B22638" s="0" t="s">
        <v>7</v>
      </c>
      <c r="C22638" s="0" t="s">
        <v>1263</v>
      </c>
    </row>
    <row r="22639" customFormat="false" ht="12.8" hidden="false" customHeight="false" outlineLevel="0" collapsed="false">
      <c r="B22639" s="0" t="s">
        <v>14</v>
      </c>
      <c r="C22639" s="0" t="s">
        <v>5444</v>
      </c>
    </row>
    <row r="22640" customFormat="false" ht="12.8" hidden="false" customHeight="false" outlineLevel="0" collapsed="false">
      <c r="B22640" s="0" t="s">
        <v>459</v>
      </c>
      <c r="C22640" s="0" t="s">
        <v>8541</v>
      </c>
    </row>
    <row r="22642" customFormat="false" ht="12.8" hidden="false" customHeight="false" outlineLevel="0" collapsed="false">
      <c r="A22642" s="0" t="s">
        <v>8542</v>
      </c>
      <c r="B22642" s="0" t="str">
        <f aca="false">HYPERLINK("https://lindat.mff.cuni.cz/services/teitok/pdtc10/index.php?action=vallex&amp;frame=v-w2907f3", "odstraňovat (v-w2907f3)")</f>
        <v>odstraňovat (v-w2907f3)</v>
      </c>
    </row>
    <row r="22643" customFormat="false" ht="12.8" hidden="false" customHeight="false" outlineLevel="0" collapsed="false">
      <c r="B22643" s="0" t="s">
        <v>7</v>
      </c>
      <c r="C22643" s="0" t="s">
        <v>504</v>
      </c>
    </row>
    <row r="22644" customFormat="false" ht="12.8" hidden="false" customHeight="false" outlineLevel="0" collapsed="false">
      <c r="B22644" s="0" t="s">
        <v>14</v>
      </c>
      <c r="C22644" s="0" t="s">
        <v>899</v>
      </c>
    </row>
    <row r="22645" customFormat="false" ht="12.8" hidden="false" customHeight="false" outlineLevel="0" collapsed="false">
      <c r="B22645" s="0" t="s">
        <v>459</v>
      </c>
    </row>
    <row r="22647" customFormat="false" ht="12.8" hidden="false" customHeight="false" outlineLevel="0" collapsed="false">
      <c r="A22647" s="0" t="s">
        <v>8543</v>
      </c>
      <c r="B22647" s="0" t="str">
        <f aca="false">HYPERLINK("https://lindat.mff.cuni.cz/services/teitok/pdtc10/index.php?action=vallex&amp;frame=v-w2907f2", "odstraňovat (v-w2907f2)")</f>
        <v>odstraňovat (v-w2907f2)</v>
      </c>
    </row>
    <row r="22648" customFormat="false" ht="12.8" hidden="false" customHeight="false" outlineLevel="0" collapsed="false">
      <c r="B22648" s="0" t="s">
        <v>7</v>
      </c>
      <c r="C22648" s="0" t="s">
        <v>91</v>
      </c>
      <c r="D22648" s="0" t="s">
        <v>46</v>
      </c>
      <c r="E22648" s="0" t="s">
        <v>46</v>
      </c>
      <c r="F22648" s="0" t="s">
        <v>46</v>
      </c>
    </row>
    <row r="22649" customFormat="false" ht="12.8" hidden="false" customHeight="false" outlineLevel="0" collapsed="false">
      <c r="B22649" s="0" t="s">
        <v>14</v>
      </c>
      <c r="C22649" s="0" t="s">
        <v>4180</v>
      </c>
      <c r="D22649" s="0" t="s">
        <v>1170</v>
      </c>
      <c r="E22649" s="0" t="s">
        <v>1170</v>
      </c>
      <c r="F22649" s="0" t="s">
        <v>1170</v>
      </c>
    </row>
    <row r="22651" customFormat="false" ht="12.8" hidden="false" customHeight="false" outlineLevel="0" collapsed="false">
      <c r="A22651" s="0" t="s">
        <v>8544</v>
      </c>
      <c r="B22651" s="0" t="str">
        <f aca="false">HYPERLINK("https://lindat.mff.cuni.cz/services/teitok/pdtc10/index.php?action=vallex&amp;frame=v-w11176f2", "odstrašit (v-w11176f2)")</f>
        <v>odstrašit (v-w11176f2)</v>
      </c>
    </row>
    <row r="22652" customFormat="false" ht="12.8" hidden="false" customHeight="false" outlineLevel="0" collapsed="false">
      <c r="B22652" s="0" t="s">
        <v>7</v>
      </c>
      <c r="C22652" s="0" t="s">
        <v>8545</v>
      </c>
      <c r="D22652" s="0" t="s">
        <v>8426</v>
      </c>
      <c r="E22652" s="0" t="s">
        <v>8426</v>
      </c>
      <c r="F22652" s="0" t="s">
        <v>8426</v>
      </c>
    </row>
    <row r="22653" customFormat="false" ht="12.8" hidden="false" customHeight="false" outlineLevel="0" collapsed="false">
      <c r="B22653" s="0" t="s">
        <v>81</v>
      </c>
      <c r="C22653" s="0" t="s">
        <v>8546</v>
      </c>
      <c r="D22653" s="0" t="s">
        <v>8428</v>
      </c>
      <c r="E22653" s="0" t="s">
        <v>8428</v>
      </c>
      <c r="F22653" s="0" t="s">
        <v>8428</v>
      </c>
    </row>
    <row r="22654" customFormat="false" ht="12.8" hidden="false" customHeight="false" outlineLevel="0" collapsed="false">
      <c r="B22654" s="0" t="s">
        <v>8429</v>
      </c>
      <c r="C22654" s="0" t="s">
        <v>3694</v>
      </c>
      <c r="D22654" s="0" t="s">
        <v>8431</v>
      </c>
      <c r="E22654" s="0" t="s">
        <v>8431</v>
      </c>
      <c r="F22654" s="0" t="s">
        <v>8431</v>
      </c>
    </row>
    <row r="22656" customFormat="false" ht="12.8" hidden="false" customHeight="false" outlineLevel="0" collapsed="false">
      <c r="A22656" s="0" t="s">
        <v>8547</v>
      </c>
      <c r="B22656" s="0" t="str">
        <f aca="false">HYPERLINK("https://lindat.mff.cuni.cz/services/teitok/pdtc10/index.php?action=vallex&amp;frame=v-w2909f1", "odstrašovat (v-w2909f1)")</f>
        <v>odstrašovat (v-w2909f1)</v>
      </c>
    </row>
    <row r="22657" customFormat="false" ht="12.8" hidden="false" customHeight="false" outlineLevel="0" collapsed="false">
      <c r="B22657" s="0" t="s">
        <v>7</v>
      </c>
      <c r="C22657" s="0" t="s">
        <v>8548</v>
      </c>
      <c r="D22657" s="0" t="s">
        <v>3576</v>
      </c>
      <c r="E22657" s="0" t="s">
        <v>3576</v>
      </c>
      <c r="F22657" s="0" t="s">
        <v>3576</v>
      </c>
    </row>
    <row r="22658" customFormat="false" ht="12.8" hidden="false" customHeight="false" outlineLevel="0" collapsed="false">
      <c r="B22658" s="0" t="s">
        <v>14</v>
      </c>
      <c r="C22658" s="0" t="s">
        <v>33</v>
      </c>
      <c r="D22658" s="0" t="s">
        <v>2641</v>
      </c>
      <c r="E22658" s="0" t="s">
        <v>2641</v>
      </c>
      <c r="F22658" s="0" t="s">
        <v>2641</v>
      </c>
    </row>
    <row r="22660" customFormat="false" ht="12.8" hidden="false" customHeight="false" outlineLevel="0" collapsed="false">
      <c r="A22660" s="0" t="s">
        <v>8549</v>
      </c>
      <c r="B22660" s="0" t="str">
        <f aca="false">HYPERLINK("https://lindat.mff.cuni.cz/services/teitok/pdtc10/index.php?action=vallex&amp;frame=v-w2910f2", "odstrčit (v-w2910f2)")</f>
        <v>odstrčit (v-w2910f2)</v>
      </c>
    </row>
    <row r="22661" customFormat="false" ht="12.8" hidden="false" customHeight="false" outlineLevel="0" collapsed="false">
      <c r="B22661" s="0" t="s">
        <v>7</v>
      </c>
    </row>
    <row r="22662" customFormat="false" ht="12.8" hidden="false" customHeight="false" outlineLevel="0" collapsed="false">
      <c r="B22662" s="0" t="s">
        <v>14</v>
      </c>
    </row>
    <row r="22663" customFormat="false" ht="12.8" hidden="false" customHeight="false" outlineLevel="0" collapsed="false">
      <c r="B22663" s="0" t="s">
        <v>459</v>
      </c>
    </row>
    <row r="22665" customFormat="false" ht="12.8" hidden="false" customHeight="false" outlineLevel="0" collapsed="false">
      <c r="A22665" s="0" t="s">
        <v>8550</v>
      </c>
      <c r="B22665" s="0" t="str">
        <f aca="false">HYPERLINK("https://lindat.mff.cuni.cz/services/teitok/pdtc10/index.php?action=vallex&amp;frame=v-w2910f1", "odstrčit (v-w2910f1)")</f>
        <v>odstrčit (v-w2910f1)</v>
      </c>
    </row>
    <row r="22666" customFormat="false" ht="12.8" hidden="false" customHeight="false" outlineLevel="0" collapsed="false">
      <c r="B22666" s="0" t="s">
        <v>7</v>
      </c>
    </row>
    <row r="22667" customFormat="false" ht="12.8" hidden="false" customHeight="false" outlineLevel="0" collapsed="false">
      <c r="B22667" s="0" t="s">
        <v>14</v>
      </c>
    </row>
    <row r="22669" customFormat="false" ht="12.8" hidden="false" customHeight="false" outlineLevel="0" collapsed="false">
      <c r="A22669" s="0" t="s">
        <v>8551</v>
      </c>
      <c r="B22669" s="0" t="str">
        <f aca="false">HYPERLINK("https://lindat.mff.cuni.cz/services/teitok/pdtc10/index.php?action=vallex&amp;frame=v-w2917f2", "odstupovat (v-w2917f2)")</f>
        <v>odstupovat (v-w2917f2)</v>
      </c>
    </row>
    <row r="22670" customFormat="false" ht="12.8" hidden="false" customHeight="false" outlineLevel="0" collapsed="false">
      <c r="B22670" s="0" t="s">
        <v>7</v>
      </c>
      <c r="C22670" s="0" t="s">
        <v>8552</v>
      </c>
      <c r="D22670" s="0" t="s">
        <v>1399</v>
      </c>
      <c r="E22670" s="0" t="s">
        <v>1399</v>
      </c>
      <c r="F22670" s="0" t="s">
        <v>1399</v>
      </c>
    </row>
    <row r="22671" customFormat="false" ht="12.8" hidden="false" customHeight="false" outlineLevel="0" collapsed="false">
      <c r="B22671" s="0" t="s">
        <v>28</v>
      </c>
      <c r="C22671" s="0" t="s">
        <v>2182</v>
      </c>
      <c r="D22671" s="0" t="s">
        <v>1401</v>
      </c>
      <c r="E22671" s="0" t="s">
        <v>1401</v>
      </c>
      <c r="F22671" s="0" t="s">
        <v>1401</v>
      </c>
    </row>
    <row r="22673" customFormat="false" ht="12.8" hidden="false" customHeight="false" outlineLevel="0" collapsed="false">
      <c r="A22673" s="0" t="s">
        <v>8553</v>
      </c>
      <c r="B22673" s="0" t="str">
        <f aca="false">HYPERLINK("https://lindat.mff.cuni.cz/services/teitok/pdtc10/index.php?action=vallex&amp;frame=v-w2917f1", "odstupovat (v-w2917f1)")</f>
        <v>odstupovat (v-w2917f1)</v>
      </c>
    </row>
    <row r="22674" customFormat="false" ht="12.8" hidden="false" customHeight="false" outlineLevel="0" collapsed="false">
      <c r="B22674" s="0" t="s">
        <v>7</v>
      </c>
      <c r="D22674" s="0" t="s">
        <v>2736</v>
      </c>
      <c r="E22674" s="0" t="s">
        <v>2736</v>
      </c>
      <c r="F22674" s="0" t="s">
        <v>2736</v>
      </c>
    </row>
    <row r="22676" customFormat="false" ht="12.8" hidden="false" customHeight="false" outlineLevel="0" collapsed="false">
      <c r="A22676" s="0" t="s">
        <v>8554</v>
      </c>
      <c r="B22676" s="0" t="str">
        <f aca="false">HYPERLINK("https://lindat.mff.cuni.cz/services/teitok/pdtc10/index.php?action=vallex&amp;frame=v-w2916f1", "odstupňovat (v-w2916f1)")</f>
        <v>odstupňovat (v-w2916f1)</v>
      </c>
    </row>
    <row r="22677" customFormat="false" ht="12.8" hidden="false" customHeight="false" outlineLevel="0" collapsed="false">
      <c r="B22677" s="0" t="s">
        <v>7</v>
      </c>
    </row>
    <row r="22678" customFormat="false" ht="12.8" hidden="false" customHeight="false" outlineLevel="0" collapsed="false">
      <c r="B22678" s="0" t="s">
        <v>14</v>
      </c>
    </row>
    <row r="22679" customFormat="false" ht="12.8" hidden="false" customHeight="false" outlineLevel="0" collapsed="false">
      <c r="B22679" s="0" t="s">
        <v>37</v>
      </c>
    </row>
    <row r="22681" customFormat="false" ht="12.8" hidden="false" customHeight="false" outlineLevel="0" collapsed="false">
      <c r="A22681" s="0" t="s">
        <v>8555</v>
      </c>
      <c r="B22681" s="0" t="str">
        <f aca="false">HYPERLINK("https://lindat.mff.cuni.cz/services/teitok/pdtc10/index.php?action=vallex&amp;frame=v-w10633f2", "odstínit (v-w10633f2)")</f>
        <v>odstínit (v-w10633f2)</v>
      </c>
    </row>
    <row r="22682" customFormat="false" ht="12.8" hidden="false" customHeight="false" outlineLevel="0" collapsed="false">
      <c r="B22682" s="0" t="s">
        <v>7</v>
      </c>
      <c r="D22682" s="0" t="s">
        <v>8556</v>
      </c>
      <c r="E22682" s="0" t="s">
        <v>8556</v>
      </c>
      <c r="F22682" s="0" t="s">
        <v>8556</v>
      </c>
    </row>
    <row r="22683" customFormat="false" ht="12.8" hidden="false" customHeight="false" outlineLevel="0" collapsed="false">
      <c r="B22683" s="0" t="s">
        <v>14</v>
      </c>
      <c r="D22683" s="0" t="s">
        <v>8557</v>
      </c>
      <c r="E22683" s="0" t="s">
        <v>8557</v>
      </c>
      <c r="F22683" s="0" t="s">
        <v>8557</v>
      </c>
    </row>
    <row r="22684" customFormat="false" ht="12.8" hidden="false" customHeight="false" outlineLevel="0" collapsed="false">
      <c r="B22684" s="0" t="s">
        <v>8558</v>
      </c>
      <c r="D22684" s="0" t="s">
        <v>8559</v>
      </c>
      <c r="E22684" s="0" t="s">
        <v>8559</v>
      </c>
      <c r="F22684" s="0" t="s">
        <v>8559</v>
      </c>
    </row>
    <row r="22686" customFormat="false" ht="12.8" hidden="false" customHeight="false" outlineLevel="0" collapsed="false">
      <c r="A22686" s="0" t="s">
        <v>8560</v>
      </c>
      <c r="B22686" s="0" t="str">
        <f aca="false">HYPERLINK("https://lindat.mff.cuni.cz/services/teitok/pdtc10/index.php?action=vallex&amp;frame=v-w2899f1", "odstěhovat (v-w2899f1)")</f>
        <v>odstěhovat (v-w2899f1)</v>
      </c>
    </row>
    <row r="22687" customFormat="false" ht="12.8" hidden="false" customHeight="false" outlineLevel="0" collapsed="false">
      <c r="B22687" s="0" t="s">
        <v>7</v>
      </c>
      <c r="E22687" s="0" t="s">
        <v>4161</v>
      </c>
      <c r="F22687" s="0" t="s">
        <v>4161</v>
      </c>
    </row>
    <row r="22688" customFormat="false" ht="12.8" hidden="false" customHeight="false" outlineLevel="0" collapsed="false">
      <c r="B22688" s="0" t="s">
        <v>14</v>
      </c>
      <c r="E22688" s="0" t="s">
        <v>8195</v>
      </c>
      <c r="F22688" s="0" t="s">
        <v>8195</v>
      </c>
    </row>
    <row r="22689" customFormat="false" ht="12.8" hidden="false" customHeight="false" outlineLevel="0" collapsed="false">
      <c r="B22689" s="0" t="s">
        <v>459</v>
      </c>
    </row>
    <row r="22691" customFormat="false" ht="12.8" hidden="false" customHeight="false" outlineLevel="0" collapsed="false">
      <c r="A22691" s="0" t="s">
        <v>8561</v>
      </c>
      <c r="B22691" s="0" t="str">
        <f aca="false">HYPERLINK("https://lindat.mff.cuni.cz/services/teitok/pdtc10/index.php?action=vallex&amp;frame=v-w2900f1", "odstěhovat se (v-w2900f1)")</f>
        <v>odstěhovat se (v-w2900f1)</v>
      </c>
    </row>
    <row r="22692" customFormat="false" ht="12.8" hidden="false" customHeight="false" outlineLevel="0" collapsed="false">
      <c r="B22692" s="0" t="s">
        <v>7</v>
      </c>
      <c r="C22692" s="0" t="s">
        <v>7871</v>
      </c>
      <c r="D22692" s="0" t="s">
        <v>1582</v>
      </c>
      <c r="E22692" s="0" t="s">
        <v>1582</v>
      </c>
      <c r="F22692" s="0" t="s">
        <v>1582</v>
      </c>
    </row>
    <row r="22693" customFormat="false" ht="12.8" hidden="false" customHeight="false" outlineLevel="0" collapsed="false">
      <c r="B22693" s="0" t="s">
        <v>459</v>
      </c>
      <c r="C22693" s="0" t="s">
        <v>8182</v>
      </c>
      <c r="D22693" s="0" t="s">
        <v>1583</v>
      </c>
      <c r="E22693" s="0" t="s">
        <v>1583</v>
      </c>
      <c r="F22693" s="0" t="s">
        <v>1583</v>
      </c>
    </row>
    <row r="22695" customFormat="false" ht="12.8" hidden="false" customHeight="false" outlineLevel="0" collapsed="false">
      <c r="A22695" s="0" t="s">
        <v>8562</v>
      </c>
      <c r="B22695" s="0" t="str">
        <f aca="false">HYPERLINK("https://lindat.mff.cuni.cz/services/teitok/pdtc10/index.php?action=vallex&amp;frame=v-w2912f1", "odstřelit (v-w2912f1)")</f>
        <v>odstřelit (v-w2912f1)</v>
      </c>
    </row>
    <row r="22696" customFormat="false" ht="12.8" hidden="false" customHeight="false" outlineLevel="0" collapsed="false">
      <c r="B22696" s="0" t="s">
        <v>7</v>
      </c>
    </row>
    <row r="22697" customFormat="false" ht="12.8" hidden="false" customHeight="false" outlineLevel="0" collapsed="false">
      <c r="B22697" s="0" t="s">
        <v>14</v>
      </c>
    </row>
    <row r="22699" customFormat="false" ht="12.8" hidden="false" customHeight="false" outlineLevel="0" collapsed="false">
      <c r="A22699" s="0" t="s">
        <v>8563</v>
      </c>
      <c r="B22699" s="0" t="str">
        <f aca="false">HYPERLINK("https://lindat.mff.cuni.cz/services/teitok/pdtc10/index.php?action=vallex&amp;frame=v-w2912f3_ZU", "odstřelit (v-w2912f3_ZU)")</f>
        <v>odstřelit (v-w2912f3_ZU)</v>
      </c>
    </row>
    <row r="22700" customFormat="false" ht="12.8" hidden="false" customHeight="false" outlineLevel="0" collapsed="false">
      <c r="B22700" s="0" t="s">
        <v>7</v>
      </c>
    </row>
    <row r="22701" customFormat="false" ht="12.8" hidden="false" customHeight="false" outlineLevel="0" collapsed="false">
      <c r="B22701" s="0" t="s">
        <v>14</v>
      </c>
    </row>
    <row r="22703" customFormat="false" ht="12.8" hidden="false" customHeight="false" outlineLevel="0" collapsed="false">
      <c r="A22703" s="0" t="s">
        <v>8563</v>
      </c>
      <c r="B22703" s="0" t="str">
        <f aca="false">HYPERLINK("https://lindat.mff.cuni.cz/services/teitok/pdtc10/index.php?action=vallex&amp;frame=v-w2912f2_ZU", "odstřelit (v-w2912f2_ZU) - substituted with v-w2912f3_ZU")</f>
        <v>odstřelit (v-w2912f2_ZU) - substituted with v-w2912f3_ZU</v>
      </c>
    </row>
    <row r="22704" customFormat="false" ht="12.8" hidden="false" customHeight="false" outlineLevel="0" collapsed="false">
      <c r="B22704" s="0" t="s">
        <v>7</v>
      </c>
    </row>
    <row r="22705" customFormat="false" ht="12.8" hidden="false" customHeight="false" outlineLevel="0" collapsed="false">
      <c r="B22705" s="0" t="s">
        <v>14</v>
      </c>
    </row>
    <row r="22707" customFormat="false" ht="12.8" hidden="false" customHeight="false" outlineLevel="0" collapsed="false">
      <c r="A22707" s="0" t="s">
        <v>8564</v>
      </c>
      <c r="B22707" s="0" t="str">
        <f aca="false">HYPERLINK("https://lindat.mff.cuni.cz/services/teitok/pdtc10/index.php?action=vallex&amp;frame=v-w2913f1", "odstřelovat (v-w2913f1)")</f>
        <v>odstřelovat (v-w2913f1)</v>
      </c>
    </row>
    <row r="22708" customFormat="false" ht="12.8" hidden="false" customHeight="false" outlineLevel="0" collapsed="false">
      <c r="B22708" s="0" t="s">
        <v>7</v>
      </c>
    </row>
    <row r="22709" customFormat="false" ht="12.8" hidden="false" customHeight="false" outlineLevel="0" collapsed="false">
      <c r="B22709" s="0" t="s">
        <v>14</v>
      </c>
    </row>
    <row r="22711" customFormat="false" ht="12.8" hidden="false" customHeight="false" outlineLevel="0" collapsed="false">
      <c r="A22711" s="0" t="s">
        <v>8565</v>
      </c>
      <c r="B22711" s="0" t="str">
        <f aca="false">HYPERLINK("https://lindat.mff.cuni.cz/services/teitok/pdtc10/index.php?action=vallex&amp;frame=v-w10050f2", "odstřihnout (v-w10050f2)")</f>
        <v>odstřihnout (v-w10050f2)</v>
      </c>
    </row>
    <row r="22712" customFormat="false" ht="12.8" hidden="false" customHeight="false" outlineLevel="0" collapsed="false">
      <c r="B22712" s="0" t="s">
        <v>7</v>
      </c>
      <c r="D22712" s="0" t="s">
        <v>1777</v>
      </c>
      <c r="E22712" s="0" t="s">
        <v>1777</v>
      </c>
      <c r="F22712" s="0" t="s">
        <v>1777</v>
      </c>
    </row>
    <row r="22713" customFormat="false" ht="12.8" hidden="false" customHeight="false" outlineLevel="0" collapsed="false">
      <c r="B22713" s="0" t="s">
        <v>14</v>
      </c>
      <c r="D22713" s="0" t="s">
        <v>4252</v>
      </c>
      <c r="E22713" s="0" t="s">
        <v>4252</v>
      </c>
      <c r="F22713" s="0" t="s">
        <v>4252</v>
      </c>
    </row>
    <row r="22714" customFormat="false" ht="12.8" hidden="false" customHeight="false" outlineLevel="0" collapsed="false">
      <c r="B22714" s="0" t="s">
        <v>459</v>
      </c>
      <c r="D22714" s="0" t="s">
        <v>8566</v>
      </c>
      <c r="E22714" s="0" t="s">
        <v>8566</v>
      </c>
      <c r="F22714" s="0" t="s">
        <v>8566</v>
      </c>
    </row>
    <row r="22716" customFormat="false" ht="12.8" hidden="false" customHeight="false" outlineLevel="0" collapsed="false">
      <c r="A22716" s="0" t="s">
        <v>8567</v>
      </c>
      <c r="B22716" s="0" t="str">
        <f aca="false">HYPERLINK("https://lindat.mff.cuni.cz/services/teitok/pdtc10/index.php?action=vallex&amp;frame=v-w10216f2", "odstřihávat (v-w10216f2)")</f>
        <v>odstřihávat (v-w10216f2)</v>
      </c>
    </row>
    <row r="22717" customFormat="false" ht="12.8" hidden="false" customHeight="false" outlineLevel="0" collapsed="false">
      <c r="B22717" s="0" t="s">
        <v>7</v>
      </c>
      <c r="C22717" s="0" t="s">
        <v>88</v>
      </c>
      <c r="D22717" s="0" t="s">
        <v>88</v>
      </c>
      <c r="E22717" s="0" t="s">
        <v>88</v>
      </c>
      <c r="F22717" s="0" t="s">
        <v>88</v>
      </c>
    </row>
    <row r="22718" customFormat="false" ht="12.8" hidden="false" customHeight="false" outlineLevel="0" collapsed="false">
      <c r="B22718" s="0" t="s">
        <v>14</v>
      </c>
      <c r="C22718" s="0" t="s">
        <v>89</v>
      </c>
      <c r="D22718" s="0" t="s">
        <v>89</v>
      </c>
      <c r="E22718" s="0" t="s">
        <v>89</v>
      </c>
      <c r="F22718" s="0" t="s">
        <v>89</v>
      </c>
    </row>
    <row r="22719" customFormat="false" ht="12.8" hidden="false" customHeight="false" outlineLevel="0" collapsed="false">
      <c r="B22719" s="0" t="s">
        <v>459</v>
      </c>
      <c r="C22719" s="0" t="s">
        <v>8479</v>
      </c>
      <c r="D22719" s="0" t="s">
        <v>8479</v>
      </c>
      <c r="E22719" s="0" t="s">
        <v>8479</v>
      </c>
      <c r="F22719" s="0" t="s">
        <v>8479</v>
      </c>
    </row>
    <row r="22721" customFormat="false" ht="12.8" hidden="false" customHeight="false" outlineLevel="0" collapsed="false">
      <c r="A22721" s="0" t="s">
        <v>8568</v>
      </c>
      <c r="B22721" s="0" t="str">
        <f aca="false">HYPERLINK("https://lindat.mff.cuni.cz/services/teitok/pdtc10/index.php?action=vallex&amp;frame=v-whsa_175hsa_176", "odstříknout (v-whsa_175hsa_176)")</f>
        <v>odstříknout (v-whsa_175hsa_176)</v>
      </c>
    </row>
    <row r="22722" customFormat="false" ht="12.8" hidden="false" customHeight="false" outlineLevel="0" collapsed="false">
      <c r="B22722" s="0" t="s">
        <v>7</v>
      </c>
    </row>
    <row r="22723" customFormat="false" ht="12.8" hidden="false" customHeight="false" outlineLevel="0" collapsed="false">
      <c r="B22723" s="0" t="s">
        <v>14</v>
      </c>
    </row>
    <row r="22724" customFormat="false" ht="12.8" hidden="false" customHeight="false" outlineLevel="0" collapsed="false">
      <c r="B22724" s="0" t="s">
        <v>459</v>
      </c>
    </row>
    <row r="22726" customFormat="false" ht="12.8" hidden="false" customHeight="false" outlineLevel="0" collapsed="false">
      <c r="A22726" s="0" t="s">
        <v>8569</v>
      </c>
      <c r="B22726" s="0" t="str">
        <f aca="false">HYPERLINK("https://lindat.mff.cuni.cz/services/teitok/pdtc10/index.php?action=vallex&amp;frame=v-whsa_175hsa_177", "odstříknout (v-whsa_175hsa_177)")</f>
        <v>odstříknout (v-whsa_175hsa_177)</v>
      </c>
    </row>
    <row r="22727" customFormat="false" ht="12.8" hidden="false" customHeight="false" outlineLevel="0" collapsed="false">
      <c r="B22727" s="0" t="s">
        <v>7</v>
      </c>
    </row>
    <row r="22728" customFormat="false" ht="12.8" hidden="false" customHeight="false" outlineLevel="0" collapsed="false">
      <c r="B22728" s="0" t="s">
        <v>14</v>
      </c>
    </row>
    <row r="22730" customFormat="false" ht="12.8" hidden="false" customHeight="false" outlineLevel="0" collapsed="false">
      <c r="A22730" s="0" t="s">
        <v>8570</v>
      </c>
      <c r="B22730" s="0" t="str">
        <f aca="false">HYPERLINK("https://lindat.mff.cuni.cz/services/teitok/pdtc10/index.php?action=vallex&amp;frame=v-w2919f3", "odsunout (v-w2919f3)")</f>
        <v>odsunout (v-w2919f3)</v>
      </c>
    </row>
    <row r="22731" customFormat="false" ht="12.8" hidden="false" customHeight="false" outlineLevel="0" collapsed="false">
      <c r="B22731" s="0" t="s">
        <v>7</v>
      </c>
      <c r="C22731" s="0" t="s">
        <v>3051</v>
      </c>
      <c r="D22731" s="0" t="s">
        <v>3664</v>
      </c>
      <c r="E22731" s="0" t="s">
        <v>3664</v>
      </c>
      <c r="F22731" s="0" t="s">
        <v>3664</v>
      </c>
    </row>
    <row r="22732" customFormat="false" ht="12.8" hidden="false" customHeight="false" outlineLevel="0" collapsed="false">
      <c r="B22732" s="0" t="s">
        <v>14</v>
      </c>
      <c r="C22732" s="0" t="s">
        <v>5103</v>
      </c>
      <c r="D22732" s="0" t="s">
        <v>8571</v>
      </c>
      <c r="E22732" s="0" t="s">
        <v>8571</v>
      </c>
      <c r="F22732" s="0" t="s">
        <v>8571</v>
      </c>
    </row>
    <row r="22733" customFormat="false" ht="12.8" hidden="false" customHeight="false" outlineLevel="0" collapsed="false">
      <c r="B22733" s="0" t="s">
        <v>459</v>
      </c>
    </row>
    <row r="22735" customFormat="false" ht="12.8" hidden="false" customHeight="false" outlineLevel="0" collapsed="false">
      <c r="A22735" s="0" t="s">
        <v>8572</v>
      </c>
      <c r="B22735" s="0" t="str">
        <f aca="false">HYPERLINK("https://lindat.mff.cuni.cz/services/teitok/pdtc10/index.php?action=vallex&amp;frame=v-w2919f1", "odsunout (v-w2919f1)")</f>
        <v>odsunout (v-w2919f1)</v>
      </c>
    </row>
    <row r="22736" customFormat="false" ht="12.8" hidden="false" customHeight="false" outlineLevel="0" collapsed="false">
      <c r="B22736" s="0" t="s">
        <v>7</v>
      </c>
      <c r="C22736" s="0" t="s">
        <v>309</v>
      </c>
      <c r="D22736" s="0" t="s">
        <v>3664</v>
      </c>
      <c r="E22736" s="0" t="s">
        <v>3664</v>
      </c>
      <c r="F22736" s="0" t="s">
        <v>3664</v>
      </c>
    </row>
    <row r="22737" customFormat="false" ht="12.8" hidden="false" customHeight="false" outlineLevel="0" collapsed="false">
      <c r="B22737" s="0" t="s">
        <v>14</v>
      </c>
      <c r="C22737" s="0" t="s">
        <v>8573</v>
      </c>
      <c r="D22737" s="0" t="s">
        <v>8571</v>
      </c>
      <c r="E22737" s="0" t="s">
        <v>8571</v>
      </c>
      <c r="F22737" s="0" t="s">
        <v>8571</v>
      </c>
    </row>
    <row r="22738" customFormat="false" ht="12.8" hidden="false" customHeight="false" outlineLevel="0" collapsed="false">
      <c r="B22738" s="0" t="s">
        <v>8574</v>
      </c>
      <c r="C22738" s="0" t="s">
        <v>8575</v>
      </c>
    </row>
    <row r="22740" customFormat="false" ht="12.8" hidden="false" customHeight="false" outlineLevel="0" collapsed="false">
      <c r="A22740" s="0" t="s">
        <v>8576</v>
      </c>
      <c r="B22740" s="0" t="str">
        <f aca="false">HYPERLINK("https://lindat.mff.cuni.cz/services/teitok/pdtc10/index.php?action=vallex&amp;frame=v-w2919f2", "odsunout (v-w2919f2)")</f>
        <v>odsunout (v-w2919f2)</v>
      </c>
    </row>
    <row r="22741" customFormat="false" ht="12.8" hidden="false" customHeight="false" outlineLevel="0" collapsed="false">
      <c r="B22741" s="0" t="s">
        <v>7</v>
      </c>
      <c r="C22741" s="0" t="s">
        <v>1826</v>
      </c>
      <c r="D22741" s="0" t="s">
        <v>8024</v>
      </c>
      <c r="E22741" s="0" t="s">
        <v>8024</v>
      </c>
      <c r="F22741" s="0" t="s">
        <v>8024</v>
      </c>
    </row>
    <row r="22742" customFormat="false" ht="12.8" hidden="false" customHeight="false" outlineLevel="0" collapsed="false">
      <c r="B22742" s="0" t="s">
        <v>14</v>
      </c>
      <c r="C22742" s="0" t="s">
        <v>324</v>
      </c>
      <c r="D22742" s="0" t="s">
        <v>8025</v>
      </c>
      <c r="E22742" s="0" t="s">
        <v>8025</v>
      </c>
      <c r="F22742" s="0" t="s">
        <v>8025</v>
      </c>
    </row>
    <row r="22744" customFormat="false" ht="12.8" hidden="false" customHeight="false" outlineLevel="0" collapsed="false">
      <c r="A22744" s="0" t="s">
        <v>8577</v>
      </c>
      <c r="B22744" s="0" t="str">
        <f aca="false">HYPERLINK("https://lindat.mff.cuni.cz/services/teitok/pdtc10/index.php?action=vallex&amp;frame=v-w2919f5_ZU", "odsunout (v-w2919f5_ZU)")</f>
        <v>odsunout (v-w2919f5_ZU)</v>
      </c>
    </row>
    <row r="22745" customFormat="false" ht="12.8" hidden="false" customHeight="false" outlineLevel="0" collapsed="false">
      <c r="B22745" s="0" t="s">
        <v>7</v>
      </c>
    </row>
    <row r="22746" customFormat="false" ht="12.8" hidden="false" customHeight="false" outlineLevel="0" collapsed="false">
      <c r="B22746" s="0" t="s">
        <v>14</v>
      </c>
    </row>
    <row r="22747" customFormat="false" ht="12.8" hidden="false" customHeight="false" outlineLevel="0" collapsed="false">
      <c r="B22747" s="0" t="s">
        <v>338</v>
      </c>
    </row>
    <row r="22749" customFormat="false" ht="12.8" hidden="false" customHeight="false" outlineLevel="0" collapsed="false">
      <c r="A22749" s="0" t="s">
        <v>8577</v>
      </c>
      <c r="B22749" s="0" t="str">
        <f aca="false">HYPERLINK("https://lindat.mff.cuni.cz/services/teitok/pdtc10/index.php?action=vallex&amp;frame=v-w2919f4_ZU", "odsunout (v-w2919f4_ZU) - substituted with v-w2919f5_ZU")</f>
        <v>odsunout (v-w2919f4_ZU) - substituted with v-w2919f5_ZU</v>
      </c>
    </row>
    <row r="22750" customFormat="false" ht="12.8" hidden="false" customHeight="false" outlineLevel="0" collapsed="false">
      <c r="B22750" s="0" t="s">
        <v>7</v>
      </c>
    </row>
    <row r="22751" customFormat="false" ht="12.8" hidden="false" customHeight="false" outlineLevel="0" collapsed="false">
      <c r="B22751" s="0" t="s">
        <v>14</v>
      </c>
    </row>
    <row r="22752" customFormat="false" ht="12.8" hidden="false" customHeight="false" outlineLevel="0" collapsed="false">
      <c r="B22752" s="0" t="s">
        <v>338</v>
      </c>
    </row>
    <row r="22754" customFormat="false" ht="12.8" hidden="false" customHeight="false" outlineLevel="0" collapsed="false">
      <c r="A22754" s="0" t="s">
        <v>8578</v>
      </c>
      <c r="B22754" s="0" t="str">
        <f aca="false">HYPERLINK("https://lindat.mff.cuni.cz/services/teitok/pdtc10/index.php?action=vallex&amp;frame=v-w2920f1", "odsuzovat (v-w2920f1)")</f>
        <v>odsuzovat (v-w2920f1)</v>
      </c>
    </row>
    <row r="22755" customFormat="false" ht="12.8" hidden="false" customHeight="false" outlineLevel="0" collapsed="false">
      <c r="B22755" s="0" t="s">
        <v>7</v>
      </c>
      <c r="C22755" s="0" t="s">
        <v>1287</v>
      </c>
      <c r="D22755" s="0" t="s">
        <v>4960</v>
      </c>
      <c r="E22755" s="0" t="s">
        <v>4960</v>
      </c>
      <c r="F22755" s="0" t="s">
        <v>4960</v>
      </c>
    </row>
    <row r="22756" customFormat="false" ht="12.8" hidden="false" customHeight="false" outlineLevel="0" collapsed="false">
      <c r="B22756" s="0" t="s">
        <v>54</v>
      </c>
      <c r="C22756" s="0" t="s">
        <v>25</v>
      </c>
      <c r="D22756" s="0" t="s">
        <v>1631</v>
      </c>
      <c r="E22756" s="0" t="s">
        <v>1631</v>
      </c>
      <c r="F22756" s="0" t="s">
        <v>1631</v>
      </c>
    </row>
    <row r="22758" customFormat="false" ht="12.8" hidden="false" customHeight="false" outlineLevel="0" collapsed="false">
      <c r="A22758" s="0" t="s">
        <v>8579</v>
      </c>
      <c r="B22758" s="0" t="str">
        <f aca="false">HYPERLINK("https://lindat.mff.cuni.cz/services/teitok/pdtc10/index.php?action=vallex&amp;frame=v-w2872f1", "odsát (v-w2872f1)")</f>
        <v>odsát (v-w2872f1)</v>
      </c>
    </row>
    <row r="22759" customFormat="false" ht="12.8" hidden="false" customHeight="false" outlineLevel="0" collapsed="false">
      <c r="B22759" s="0" t="s">
        <v>7</v>
      </c>
    </row>
    <row r="22760" customFormat="false" ht="12.8" hidden="false" customHeight="false" outlineLevel="0" collapsed="false">
      <c r="B22760" s="0" t="s">
        <v>14</v>
      </c>
    </row>
    <row r="22761" customFormat="false" ht="12.8" hidden="false" customHeight="false" outlineLevel="0" collapsed="false">
      <c r="B22761" s="0" t="s">
        <v>459</v>
      </c>
    </row>
    <row r="22763" customFormat="false" ht="12.8" hidden="false" customHeight="false" outlineLevel="0" collapsed="false">
      <c r="A22763" s="0" t="s">
        <v>8580</v>
      </c>
      <c r="B22763" s="0" t="str">
        <f aca="false">HYPERLINK("https://lindat.mff.cuni.cz/services/teitok/pdtc10/index.php?action=vallex&amp;frame=v-w2873f1", "odsávat (v-w2873f1)")</f>
        <v>odsávat (v-w2873f1)</v>
      </c>
    </row>
    <row r="22764" customFormat="false" ht="12.8" hidden="false" customHeight="false" outlineLevel="0" collapsed="false">
      <c r="B22764" s="0" t="s">
        <v>7</v>
      </c>
    </row>
    <row r="22765" customFormat="false" ht="12.8" hidden="false" customHeight="false" outlineLevel="0" collapsed="false">
      <c r="B22765" s="0" t="s">
        <v>14</v>
      </c>
    </row>
    <row r="22766" customFormat="false" ht="12.8" hidden="false" customHeight="false" outlineLevel="0" collapsed="false">
      <c r="B22766" s="0" t="s">
        <v>459</v>
      </c>
    </row>
    <row r="22768" customFormat="false" ht="12.8" hidden="false" customHeight="false" outlineLevel="0" collapsed="false">
      <c r="A22768" s="0" t="s">
        <v>8581</v>
      </c>
      <c r="B22768" s="0" t="str">
        <f aca="false">HYPERLINK("https://lindat.mff.cuni.cz/services/teitok/pdtc10/index.php?action=vallex&amp;frame=v-whsa_1251hsa_1252", "odtahovat se (v-whsa_1251hsa_1252)")</f>
        <v>odtahovat se (v-whsa_1251hsa_1252)</v>
      </c>
    </row>
    <row r="22769" customFormat="false" ht="12.8" hidden="false" customHeight="false" outlineLevel="0" collapsed="false">
      <c r="B22769" s="0" t="s">
        <v>7</v>
      </c>
      <c r="C22769" s="0" t="s">
        <v>46</v>
      </c>
    </row>
    <row r="22770" customFormat="false" ht="12.8" hidden="false" customHeight="false" outlineLevel="0" collapsed="false">
      <c r="B22770" s="0" t="s">
        <v>28</v>
      </c>
      <c r="C22770" s="0" t="s">
        <v>47</v>
      </c>
    </row>
    <row r="22772" customFormat="false" ht="12.8" hidden="false" customHeight="false" outlineLevel="0" collapsed="false">
      <c r="A22772" s="0" t="s">
        <v>8582</v>
      </c>
      <c r="B22772" s="0" t="str">
        <f aca="false">HYPERLINK("https://lindat.mff.cuni.cz/services/teitok/pdtc10/index.php?action=vallex&amp;frame=v-w2927f1", "odtajnit (v-w2927f1)")</f>
        <v>odtajnit (v-w2927f1)</v>
      </c>
    </row>
    <row r="22773" customFormat="false" ht="12.8" hidden="false" customHeight="false" outlineLevel="0" collapsed="false">
      <c r="B22773" s="0" t="s">
        <v>7</v>
      </c>
      <c r="C22773" s="0" t="s">
        <v>309</v>
      </c>
    </row>
    <row r="22774" customFormat="false" ht="12.8" hidden="false" customHeight="false" outlineLevel="0" collapsed="false">
      <c r="B22774" s="0" t="s">
        <v>172</v>
      </c>
      <c r="C22774" s="0" t="s">
        <v>152</v>
      </c>
    </row>
    <row r="22776" customFormat="false" ht="12.8" hidden="false" customHeight="false" outlineLevel="0" collapsed="false">
      <c r="A22776" s="0" t="s">
        <v>8583</v>
      </c>
      <c r="B22776" s="0" t="str">
        <f aca="false">HYPERLINK("https://lindat.mff.cuni.cz/services/teitok/pdtc10/index.php?action=vallex&amp;frame=v-w12041_ZUf1_ZU", "odtransportovat (v-w12041_ZUf1_ZU)")</f>
        <v>odtransportovat (v-w12041_ZUf1_ZU)</v>
      </c>
    </row>
    <row r="22777" customFormat="false" ht="12.8" hidden="false" customHeight="false" outlineLevel="0" collapsed="false">
      <c r="B22777" s="0" t="s">
        <v>7</v>
      </c>
    </row>
    <row r="22778" customFormat="false" ht="12.8" hidden="false" customHeight="false" outlineLevel="0" collapsed="false">
      <c r="B22778" s="0" t="s">
        <v>14</v>
      </c>
    </row>
    <row r="22779" customFormat="false" ht="12.8" hidden="false" customHeight="false" outlineLevel="0" collapsed="false">
      <c r="B22779" s="0" t="s">
        <v>5382</v>
      </c>
    </row>
    <row r="22781" customFormat="false" ht="12.8" hidden="false" customHeight="false" outlineLevel="0" collapsed="false">
      <c r="A22781" s="0" t="s">
        <v>8584</v>
      </c>
      <c r="B22781" s="0" t="str">
        <f aca="false">HYPERLINK("https://lindat.mff.cuni.cz/services/teitok/pdtc10/index.php?action=vallex&amp;frame=v-w10457f4", "odtrhnout (v-w10457f4)")</f>
        <v>odtrhnout (v-w10457f4)</v>
      </c>
    </row>
    <row r="22782" customFormat="false" ht="12.8" hidden="false" customHeight="false" outlineLevel="0" collapsed="false">
      <c r="B22782" s="0" t="s">
        <v>7</v>
      </c>
      <c r="C22782" s="0" t="s">
        <v>46</v>
      </c>
    </row>
    <row r="22783" customFormat="false" ht="12.8" hidden="false" customHeight="false" outlineLevel="0" collapsed="false">
      <c r="B22783" s="0" t="s">
        <v>14</v>
      </c>
      <c r="C22783" s="0" t="s">
        <v>47</v>
      </c>
    </row>
    <row r="22784" customFormat="false" ht="12.8" hidden="false" customHeight="false" outlineLevel="0" collapsed="false">
      <c r="B22784" s="0" t="s">
        <v>1592</v>
      </c>
    </row>
    <row r="22786" customFormat="false" ht="12.8" hidden="false" customHeight="false" outlineLevel="0" collapsed="false">
      <c r="A22786" s="0" t="s">
        <v>8585</v>
      </c>
      <c r="B22786" s="0" t="str">
        <f aca="false">HYPERLINK("https://lindat.mff.cuni.cz/services/teitok/pdtc10/index.php?action=vallex&amp;frame=v-w10457f3", "odtrhnout (v-w10457f3)")</f>
        <v>odtrhnout (v-w10457f3)</v>
      </c>
    </row>
    <row r="22787" customFormat="false" ht="12.8" hidden="false" customHeight="false" outlineLevel="0" collapsed="false">
      <c r="B22787" s="0" t="s">
        <v>7</v>
      </c>
      <c r="D22787" s="0" t="s">
        <v>88</v>
      </c>
      <c r="E22787" s="0" t="s">
        <v>88</v>
      </c>
      <c r="F22787" s="0" t="s">
        <v>88</v>
      </c>
    </row>
    <row r="22788" customFormat="false" ht="12.8" hidden="false" customHeight="false" outlineLevel="0" collapsed="false">
      <c r="B22788" s="0" t="s">
        <v>14</v>
      </c>
      <c r="D22788" s="0" t="s">
        <v>89</v>
      </c>
      <c r="E22788" s="0" t="s">
        <v>89</v>
      </c>
      <c r="F22788" s="0" t="s">
        <v>89</v>
      </c>
    </row>
    <row r="22789" customFormat="false" ht="12.8" hidden="false" customHeight="false" outlineLevel="0" collapsed="false">
      <c r="B22789" s="0" t="s">
        <v>459</v>
      </c>
      <c r="D22789" s="0" t="s">
        <v>8479</v>
      </c>
      <c r="E22789" s="0" t="s">
        <v>8479</v>
      </c>
      <c r="F22789" s="0" t="s">
        <v>8479</v>
      </c>
    </row>
    <row r="22791" customFormat="false" ht="12.8" hidden="false" customHeight="false" outlineLevel="0" collapsed="false">
      <c r="A22791" s="0" t="s">
        <v>8586</v>
      </c>
      <c r="B22791" s="0" t="str">
        <f aca="false">HYPERLINK("https://lindat.mff.cuni.cz/services/teitok/pdtc10/index.php?action=vallex&amp;frame=v-w11320f2", "odtrhnout se (v-w11320f2)")</f>
        <v>odtrhnout se (v-w11320f2)</v>
      </c>
    </row>
    <row r="22792" customFormat="false" ht="12.8" hidden="false" customHeight="false" outlineLevel="0" collapsed="false">
      <c r="B22792" s="0" t="s">
        <v>7</v>
      </c>
      <c r="D22792" s="0" t="s">
        <v>8587</v>
      </c>
      <c r="E22792" s="0" t="s">
        <v>8587</v>
      </c>
      <c r="F22792" s="0" t="s">
        <v>8587</v>
      </c>
    </row>
    <row r="22793" customFormat="false" ht="12.8" hidden="false" customHeight="false" outlineLevel="0" collapsed="false">
      <c r="B22793" s="0" t="s">
        <v>28</v>
      </c>
      <c r="D22793" s="0" t="s">
        <v>1401</v>
      </c>
      <c r="E22793" s="0" t="s">
        <v>1401</v>
      </c>
      <c r="F22793" s="0" t="s">
        <v>1401</v>
      </c>
    </row>
    <row r="22795" customFormat="false" ht="12.8" hidden="false" customHeight="false" outlineLevel="0" collapsed="false">
      <c r="A22795" s="0" t="s">
        <v>8588</v>
      </c>
      <c r="B22795" s="0" t="str">
        <f aca="false">HYPERLINK("https://lindat.mff.cuni.cz/services/teitok/pdtc10/index.php?action=vallex&amp;frame=v-w11320f1", "odtrhnout se (v-w11320f1)")</f>
        <v>odtrhnout se (v-w11320f1)</v>
      </c>
    </row>
    <row r="22796" customFormat="false" ht="12.8" hidden="false" customHeight="false" outlineLevel="0" collapsed="false">
      <c r="B22796" s="0" t="s">
        <v>7</v>
      </c>
      <c r="C22796" s="0" t="s">
        <v>200</v>
      </c>
    </row>
    <row r="22797" customFormat="false" ht="12.8" hidden="false" customHeight="false" outlineLevel="0" collapsed="false">
      <c r="B22797" s="0" t="s">
        <v>459</v>
      </c>
    </row>
    <row r="22799" customFormat="false" ht="12.8" hidden="false" customHeight="false" outlineLevel="0" collapsed="false">
      <c r="A22799" s="0" t="s">
        <v>8589</v>
      </c>
      <c r="B22799" s="0" t="str">
        <f aca="false">HYPERLINK("https://lindat.mff.cuni.cz/services/teitok/pdtc10/index.php?action=vallex&amp;frame=v-w11014f4", "odtrhovat (v-w11014f4)")</f>
        <v>odtrhovat (v-w11014f4)</v>
      </c>
    </row>
    <row r="22800" customFormat="false" ht="12.8" hidden="false" customHeight="false" outlineLevel="0" collapsed="false">
      <c r="B22800" s="0" t="s">
        <v>7</v>
      </c>
    </row>
    <row r="22801" customFormat="false" ht="12.8" hidden="false" customHeight="false" outlineLevel="0" collapsed="false">
      <c r="B22801" s="0" t="s">
        <v>14</v>
      </c>
    </row>
    <row r="22802" customFormat="false" ht="12.8" hidden="false" customHeight="false" outlineLevel="0" collapsed="false">
      <c r="B22802" s="0" t="s">
        <v>1592</v>
      </c>
    </row>
    <row r="22804" customFormat="false" ht="12.8" hidden="false" customHeight="false" outlineLevel="0" collapsed="false">
      <c r="A22804" s="0" t="s">
        <v>8590</v>
      </c>
      <c r="B22804" s="0" t="str">
        <f aca="false">HYPERLINK("https://lindat.mff.cuni.cz/services/teitok/pdtc10/index.php?action=vallex&amp;frame=v-w11014f2", "odtrhovat (v-w11014f2)")</f>
        <v>odtrhovat (v-w11014f2)</v>
      </c>
    </row>
    <row r="22805" customFormat="false" ht="12.8" hidden="false" customHeight="false" outlineLevel="0" collapsed="false">
      <c r="B22805" s="0" t="s">
        <v>7</v>
      </c>
      <c r="D22805" s="0" t="s">
        <v>88</v>
      </c>
      <c r="E22805" s="0" t="s">
        <v>88</v>
      </c>
      <c r="F22805" s="0" t="s">
        <v>88</v>
      </c>
    </row>
    <row r="22806" customFormat="false" ht="12.8" hidden="false" customHeight="false" outlineLevel="0" collapsed="false">
      <c r="B22806" s="0" t="s">
        <v>14</v>
      </c>
      <c r="D22806" s="0" t="s">
        <v>89</v>
      </c>
      <c r="E22806" s="0" t="s">
        <v>89</v>
      </c>
      <c r="F22806" s="0" t="s">
        <v>89</v>
      </c>
    </row>
    <row r="22807" customFormat="false" ht="12.8" hidden="false" customHeight="false" outlineLevel="0" collapsed="false">
      <c r="B22807" s="0" t="s">
        <v>459</v>
      </c>
      <c r="D22807" s="0" t="s">
        <v>8479</v>
      </c>
      <c r="E22807" s="0" t="s">
        <v>8479</v>
      </c>
      <c r="F22807" s="0" t="s">
        <v>8479</v>
      </c>
    </row>
    <row r="22809" customFormat="false" ht="12.8" hidden="false" customHeight="false" outlineLevel="0" collapsed="false">
      <c r="A22809" s="0" t="s">
        <v>8591</v>
      </c>
      <c r="B22809" s="0" t="str">
        <f aca="false">HYPERLINK("https://lindat.mff.cuni.cz/services/teitok/pdtc10/index.php?action=vallex&amp;frame=v-w11443f2", "odtrhovat si (v-w11443f2)")</f>
        <v>odtrhovat si (v-w11443f2)</v>
      </c>
    </row>
    <row r="22810" customFormat="false" ht="12.8" hidden="false" customHeight="false" outlineLevel="0" collapsed="false">
      <c r="B22810" s="0" t="s">
        <v>7</v>
      </c>
    </row>
    <row r="22811" customFormat="false" ht="12.8" hidden="false" customHeight="false" outlineLevel="0" collapsed="false">
      <c r="B22811" s="0" t="s">
        <v>8592</v>
      </c>
    </row>
    <row r="22813" customFormat="false" ht="12.8" hidden="false" customHeight="false" outlineLevel="0" collapsed="false">
      <c r="A22813" s="0" t="s">
        <v>8593</v>
      </c>
      <c r="B22813" s="0" t="str">
        <f aca="false">HYPERLINK("https://lindat.mff.cuni.cz/services/teitok/pdtc10/index.php?action=vallex&amp;frame=v-w11147f3", "odtrhávat (v-w11147f3)")</f>
        <v>odtrhávat (v-w11147f3)</v>
      </c>
    </row>
    <row r="22814" customFormat="false" ht="12.8" hidden="false" customHeight="false" outlineLevel="0" collapsed="false">
      <c r="B22814" s="0" t="s">
        <v>7</v>
      </c>
      <c r="C22814" s="0" t="s">
        <v>2431</v>
      </c>
      <c r="D22814" s="0" t="s">
        <v>1777</v>
      </c>
      <c r="E22814" s="0" t="s">
        <v>1777</v>
      </c>
      <c r="F22814" s="0" t="s">
        <v>1777</v>
      </c>
    </row>
    <row r="22815" customFormat="false" ht="12.8" hidden="false" customHeight="false" outlineLevel="0" collapsed="false">
      <c r="B22815" s="0" t="s">
        <v>14</v>
      </c>
      <c r="D22815" s="0" t="s">
        <v>4252</v>
      </c>
      <c r="E22815" s="0" t="s">
        <v>4252</v>
      </c>
      <c r="F22815" s="0" t="s">
        <v>4252</v>
      </c>
    </row>
    <row r="22816" customFormat="false" ht="12.8" hidden="false" customHeight="false" outlineLevel="0" collapsed="false">
      <c r="B22816" s="0" t="s">
        <v>1592</v>
      </c>
      <c r="D22816" s="0" t="s">
        <v>2480</v>
      </c>
      <c r="E22816" s="0" t="s">
        <v>2480</v>
      </c>
      <c r="F22816" s="0" t="s">
        <v>2480</v>
      </c>
    </row>
    <row r="22818" customFormat="false" ht="12.8" hidden="false" customHeight="false" outlineLevel="0" collapsed="false">
      <c r="A22818" s="0" t="s">
        <v>8594</v>
      </c>
      <c r="B22818" s="0" t="str">
        <f aca="false">HYPERLINK("https://lindat.mff.cuni.cz/services/teitok/pdtc10/index.php?action=vallex&amp;frame=v-w11475f1", "odtrhávat se (v-w11475f1)")</f>
        <v>odtrhávat se (v-w11475f1)</v>
      </c>
    </row>
    <row r="22819" customFormat="false" ht="12.8" hidden="false" customHeight="false" outlineLevel="0" collapsed="false">
      <c r="B22819" s="0" t="s">
        <v>7</v>
      </c>
    </row>
    <row r="22820" customFormat="false" ht="12.8" hidden="false" customHeight="false" outlineLevel="0" collapsed="false">
      <c r="B22820" s="0" t="s">
        <v>28</v>
      </c>
    </row>
    <row r="22822" customFormat="false" ht="12.8" hidden="false" customHeight="false" outlineLevel="0" collapsed="false">
      <c r="A22822" s="0" t="s">
        <v>8595</v>
      </c>
      <c r="B22822" s="0" t="str">
        <f aca="false">HYPERLINK("https://lindat.mff.cuni.cz/services/teitok/pdtc10/index.php?action=vallex&amp;frame=v-w11661_ZUf4_ZU", "odtáhnout (v-w11661_ZUf4_ZU)")</f>
        <v>odtáhnout (v-w11661_ZUf4_ZU)</v>
      </c>
    </row>
    <row r="22823" customFormat="false" ht="12.8" hidden="false" customHeight="false" outlineLevel="0" collapsed="false">
      <c r="B22823" s="0" t="s">
        <v>7</v>
      </c>
    </row>
    <row r="22824" customFormat="false" ht="12.8" hidden="false" customHeight="false" outlineLevel="0" collapsed="false">
      <c r="B22824" s="0" t="s">
        <v>14</v>
      </c>
    </row>
    <row r="22825" customFormat="false" ht="12.8" hidden="false" customHeight="false" outlineLevel="0" collapsed="false">
      <c r="B22825" s="0" t="s">
        <v>459</v>
      </c>
    </row>
    <row r="22827" customFormat="false" ht="12.8" hidden="false" customHeight="false" outlineLevel="0" collapsed="false">
      <c r="A22827" s="0" t="s">
        <v>8595</v>
      </c>
      <c r="B22827" s="0" t="str">
        <f aca="false">HYPERLINK("https://lindat.mff.cuni.cz/services/teitok/pdtc10/index.php?action=vallex&amp;frame=v-w11661_ZUf1_ZU", "odtáhnout (v-w11661_ZUf1_ZU) - substituted with v-w11661_ZUf4_ZU")</f>
        <v>odtáhnout (v-w11661_ZUf1_ZU) - substituted with v-w11661_ZUf4_ZU</v>
      </c>
    </row>
    <row r="22828" customFormat="false" ht="12.8" hidden="false" customHeight="false" outlineLevel="0" collapsed="false">
      <c r="B22828" s="0" t="s">
        <v>7</v>
      </c>
    </row>
    <row r="22829" customFormat="false" ht="12.8" hidden="false" customHeight="false" outlineLevel="0" collapsed="false">
      <c r="B22829" s="0" t="s">
        <v>14</v>
      </c>
      <c r="D22829" s="0" t="s">
        <v>1544</v>
      </c>
      <c r="E22829" s="0" t="s">
        <v>1544</v>
      </c>
      <c r="F22829" s="0" t="s">
        <v>1544</v>
      </c>
    </row>
    <row r="22830" customFormat="false" ht="12.8" hidden="false" customHeight="false" outlineLevel="0" collapsed="false">
      <c r="B22830" s="0" t="s">
        <v>459</v>
      </c>
    </row>
    <row r="22832" customFormat="false" ht="12.8" hidden="false" customHeight="false" outlineLevel="0" collapsed="false">
      <c r="A22832" s="0" t="s">
        <v>8596</v>
      </c>
      <c r="B22832" s="0" t="str">
        <f aca="false">HYPERLINK("https://lindat.mff.cuni.cz/services/teitok/pdtc10/index.php?action=vallex&amp;frame=v-w11661_ZUf3_ZU", "odtáhnout (v-w11661_ZUf3_ZU)")</f>
        <v>odtáhnout (v-w11661_ZUf3_ZU)</v>
      </c>
    </row>
    <row r="22833" customFormat="false" ht="12.8" hidden="false" customHeight="false" outlineLevel="0" collapsed="false">
      <c r="B22833" s="0" t="s">
        <v>7</v>
      </c>
    </row>
    <row r="22834" customFormat="false" ht="12.8" hidden="false" customHeight="false" outlineLevel="0" collapsed="false">
      <c r="B22834" s="0" t="s">
        <v>14</v>
      </c>
    </row>
    <row r="22835" customFormat="false" ht="12.8" hidden="false" customHeight="false" outlineLevel="0" collapsed="false">
      <c r="B22835" s="0" t="s">
        <v>5382</v>
      </c>
    </row>
    <row r="22837" customFormat="false" ht="12.8" hidden="false" customHeight="false" outlineLevel="0" collapsed="false">
      <c r="A22837" s="0" t="s">
        <v>8596</v>
      </c>
      <c r="B22837" s="0" t="str">
        <f aca="false">HYPERLINK("https://lindat.mff.cuni.cz/services/teitok/pdtc10/index.php?action=vallex&amp;frame=v-w11661_ZUf2_ZU", "odtáhnout (v-w11661_ZUf2_ZU) - substituted with v-w11661_ZUf3_ZU")</f>
        <v>odtáhnout (v-w11661_ZUf2_ZU) - substituted with v-w11661_ZUf3_ZU</v>
      </c>
    </row>
    <row r="22838" customFormat="false" ht="12.8" hidden="false" customHeight="false" outlineLevel="0" collapsed="false">
      <c r="B22838" s="0" t="s">
        <v>7</v>
      </c>
    </row>
    <row r="22839" customFormat="false" ht="12.8" hidden="false" customHeight="false" outlineLevel="0" collapsed="false">
      <c r="B22839" s="0" t="s">
        <v>14</v>
      </c>
    </row>
    <row r="22840" customFormat="false" ht="12.8" hidden="false" customHeight="false" outlineLevel="0" collapsed="false">
      <c r="B22840" s="0" t="s">
        <v>5382</v>
      </c>
    </row>
    <row r="22842" customFormat="false" ht="12.8" hidden="false" customHeight="false" outlineLevel="0" collapsed="false">
      <c r="A22842" s="0" t="s">
        <v>8597</v>
      </c>
      <c r="B22842" s="0" t="str">
        <f aca="false">HYPERLINK("https://lindat.mff.cuni.cz/services/teitok/pdtc10/index.php?action=vallex&amp;frame=v-w11661_ZUf6_ZU", "odtáhnout (v-w11661_ZUf6_ZU)")</f>
        <v>odtáhnout (v-w11661_ZUf6_ZU)</v>
      </c>
    </row>
    <row r="22843" customFormat="false" ht="12.8" hidden="false" customHeight="false" outlineLevel="0" collapsed="false">
      <c r="B22843" s="0" t="s">
        <v>7</v>
      </c>
    </row>
    <row r="22844" customFormat="false" ht="12.8" hidden="false" customHeight="false" outlineLevel="0" collapsed="false">
      <c r="B22844" s="0" t="s">
        <v>5382</v>
      </c>
    </row>
    <row r="22846" customFormat="false" ht="12.8" hidden="false" customHeight="false" outlineLevel="0" collapsed="false">
      <c r="A22846" s="0" t="s">
        <v>8597</v>
      </c>
      <c r="B22846" s="0" t="str">
        <f aca="false">HYPERLINK("https://lindat.mff.cuni.cz/services/teitok/pdtc10/index.php?action=vallex&amp;frame=v-w11661_ZUf5_ZU", "odtáhnout (v-w11661_ZUf5_ZU) - substituted with v-w11661_ZUf6_ZU")</f>
        <v>odtáhnout (v-w11661_ZUf5_ZU) - substituted with v-w11661_ZUf6_ZU</v>
      </c>
    </row>
    <row r="22847" customFormat="false" ht="12.8" hidden="false" customHeight="false" outlineLevel="0" collapsed="false">
      <c r="B22847" s="0" t="s">
        <v>7</v>
      </c>
    </row>
    <row r="22848" customFormat="false" ht="12.8" hidden="false" customHeight="false" outlineLevel="0" collapsed="false">
      <c r="B22848" s="0" t="s">
        <v>5382</v>
      </c>
    </row>
    <row r="22850" customFormat="false" ht="12.8" hidden="false" customHeight="false" outlineLevel="0" collapsed="false">
      <c r="A22850" s="0" t="s">
        <v>8598</v>
      </c>
      <c r="B22850" s="0" t="str">
        <f aca="false">HYPERLINK("https://lindat.mff.cuni.cz/services/teitok/pdtc10/index.php?action=vallex&amp;frame=v-w11293f1", "odtáhnout se (v-w11293f1)")</f>
        <v>odtáhnout se (v-w11293f1)</v>
      </c>
    </row>
    <row r="22851" customFormat="false" ht="12.8" hidden="false" customHeight="false" outlineLevel="0" collapsed="false">
      <c r="B22851" s="0" t="s">
        <v>7</v>
      </c>
    </row>
    <row r="22852" customFormat="false" ht="12.8" hidden="false" customHeight="false" outlineLevel="0" collapsed="false">
      <c r="B22852" s="0" t="s">
        <v>28</v>
      </c>
    </row>
    <row r="22854" customFormat="false" ht="12.8" hidden="false" customHeight="false" outlineLevel="0" collapsed="false">
      <c r="A22854" s="0" t="s">
        <v>8599</v>
      </c>
      <c r="B22854" s="0" t="str">
        <f aca="false">HYPERLINK("https://lindat.mff.cuni.cz/services/teitok/pdtc10/index.php?action=vallex&amp;frame=v-w11536_ZUf2_ZU", "odtéci (v-w11536_ZUf2_ZU)")</f>
        <v>odtéci (v-w11536_ZUf2_ZU)</v>
      </c>
    </row>
    <row r="22855" customFormat="false" ht="12.8" hidden="false" customHeight="false" outlineLevel="0" collapsed="false">
      <c r="B22855" s="0" t="s">
        <v>7</v>
      </c>
      <c r="C22855" s="0" t="s">
        <v>200</v>
      </c>
      <c r="D22855" s="0" t="s">
        <v>200</v>
      </c>
      <c r="E22855" s="0" t="s">
        <v>200</v>
      </c>
      <c r="F22855" s="0" t="s">
        <v>200</v>
      </c>
    </row>
    <row r="22856" customFormat="false" ht="12.8" hidden="false" customHeight="false" outlineLevel="0" collapsed="false">
      <c r="B22856" s="0" t="s">
        <v>5382</v>
      </c>
    </row>
    <row r="22858" customFormat="false" ht="12.8" hidden="false" customHeight="false" outlineLevel="0" collapsed="false">
      <c r="A22858" s="0" t="s">
        <v>8599</v>
      </c>
      <c r="B22858" s="0" t="str">
        <f aca="false">HYPERLINK("https://lindat.mff.cuni.cz/services/teitok/pdtc10/index.php?action=vallex&amp;frame=v-w11536_ZUf1_ZU", "odtéci (v-w11536_ZUf1_ZU) - substituted with v-w11536_ZUf2_ZU")</f>
        <v>odtéci (v-w11536_ZUf1_ZU) - substituted with v-w11536_ZUf2_ZU</v>
      </c>
    </row>
    <row r="22859" customFormat="false" ht="12.8" hidden="false" customHeight="false" outlineLevel="0" collapsed="false">
      <c r="B22859" s="0" t="s">
        <v>7</v>
      </c>
    </row>
    <row r="22860" customFormat="false" ht="12.8" hidden="false" customHeight="false" outlineLevel="0" collapsed="false">
      <c r="B22860" s="0" t="s">
        <v>5382</v>
      </c>
    </row>
    <row r="22862" customFormat="false" ht="12.8" hidden="false" customHeight="false" outlineLevel="0" collapsed="false">
      <c r="A22862" s="0" t="s">
        <v>8600</v>
      </c>
      <c r="B22862" s="0" t="str">
        <f aca="false">HYPERLINK("https://lindat.mff.cuni.cz/services/teitok/pdtc10/index.php?action=vallex&amp;frame=v-w2928f1", "odtékat (v-w2928f1)")</f>
        <v>odtékat (v-w2928f1)</v>
      </c>
    </row>
    <row r="22863" customFormat="false" ht="12.8" hidden="false" customHeight="false" outlineLevel="0" collapsed="false">
      <c r="B22863" s="0" t="s">
        <v>7</v>
      </c>
    </row>
    <row r="22864" customFormat="false" ht="12.8" hidden="false" customHeight="false" outlineLevel="0" collapsed="false">
      <c r="B22864" s="0" t="s">
        <v>459</v>
      </c>
    </row>
    <row r="22866" customFormat="false" ht="12.8" hidden="false" customHeight="false" outlineLevel="0" collapsed="false">
      <c r="A22866" s="0" t="s">
        <v>8601</v>
      </c>
      <c r="B22866" s="0" t="str">
        <f aca="false">HYPERLINK("https://lindat.mff.cuni.cz/services/teitok/pdtc10/index.php?action=vallex&amp;frame=v-w11537_ZUf2_ZU", "odumřít (v-w11537_ZUf2_ZU)")</f>
        <v>odumřít (v-w11537_ZUf2_ZU)</v>
      </c>
    </row>
    <row r="22867" customFormat="false" ht="12.8" hidden="false" customHeight="false" outlineLevel="0" collapsed="false">
      <c r="B22867" s="0" t="s">
        <v>7</v>
      </c>
      <c r="C22867" s="0" t="s">
        <v>8602</v>
      </c>
      <c r="D22867" s="0" t="s">
        <v>5380</v>
      </c>
      <c r="E22867" s="0" t="s">
        <v>5380</v>
      </c>
      <c r="F22867" s="0" t="s">
        <v>5380</v>
      </c>
    </row>
    <row r="22869" customFormat="false" ht="12.8" hidden="false" customHeight="false" outlineLevel="0" collapsed="false">
      <c r="A22869" s="0" t="s">
        <v>8601</v>
      </c>
      <c r="B22869" s="0" t="str">
        <f aca="false">HYPERLINK("https://lindat.mff.cuni.cz/services/teitok/pdtc10/index.php?action=vallex&amp;frame=v-w11537_ZUf1_ZU", "odumřít (v-w11537_ZUf1_ZU) - substituted with v-w11537_ZUf2_ZU")</f>
        <v>odumřít (v-w11537_ZUf1_ZU) - substituted with v-w11537_ZUf2_ZU</v>
      </c>
    </row>
    <row r="22870" customFormat="false" ht="12.8" hidden="false" customHeight="false" outlineLevel="0" collapsed="false">
      <c r="B22870" s="0" t="s">
        <v>7</v>
      </c>
    </row>
    <row r="22872" customFormat="false" ht="12.8" hidden="false" customHeight="false" outlineLevel="0" collapsed="false">
      <c r="A22872" s="0" t="s">
        <v>8603</v>
      </c>
      <c r="B22872" s="0" t="str">
        <f aca="false">HYPERLINK("https://lindat.mff.cuni.cz/services/teitok/pdtc10/index.php?action=vallex&amp;frame=v-w12341_MMf1_MM", "odučit (v-w12341_MMf1_MM)")</f>
        <v>odučit (v-w12341_MMf1_MM)</v>
      </c>
    </row>
    <row r="22873" customFormat="false" ht="12.8" hidden="false" customHeight="false" outlineLevel="0" collapsed="false">
      <c r="B22873" s="0" t="s">
        <v>7</v>
      </c>
    </row>
    <row r="22874" customFormat="false" ht="12.8" hidden="false" customHeight="false" outlineLevel="0" collapsed="false">
      <c r="B22874" s="0" t="s">
        <v>297</v>
      </c>
    </row>
    <row r="22876" customFormat="false" ht="12.8" hidden="false" customHeight="false" outlineLevel="0" collapsed="false">
      <c r="A22876" s="0" t="s">
        <v>8604</v>
      </c>
      <c r="B22876" s="0" t="str">
        <f aca="false">HYPERLINK("https://lindat.mff.cuni.cz/services/teitok/pdtc10/index.php?action=vallex&amp;frame=v-w2939f1", "odvalit (v-w2939f1)")</f>
        <v>odvalit (v-w2939f1)</v>
      </c>
    </row>
    <row r="22877" customFormat="false" ht="12.8" hidden="false" customHeight="false" outlineLevel="0" collapsed="false">
      <c r="B22877" s="0" t="s">
        <v>7</v>
      </c>
    </row>
    <row r="22878" customFormat="false" ht="12.8" hidden="false" customHeight="false" outlineLevel="0" collapsed="false">
      <c r="B22878" s="0" t="s">
        <v>14</v>
      </c>
    </row>
    <row r="22880" customFormat="false" ht="12.8" hidden="false" customHeight="false" outlineLevel="0" collapsed="false">
      <c r="A22880" s="0" t="s">
        <v>8605</v>
      </c>
      <c r="B22880" s="0" t="str">
        <f aca="false">HYPERLINK("https://lindat.mff.cuni.cz/services/teitok/pdtc10/index.php?action=vallex&amp;frame=v-w2940f1", "odvanout (v-w2940f1)")</f>
        <v>odvanout (v-w2940f1)</v>
      </c>
    </row>
    <row r="22881" customFormat="false" ht="12.8" hidden="false" customHeight="false" outlineLevel="0" collapsed="false">
      <c r="B22881" s="0" t="s">
        <v>7</v>
      </c>
    </row>
    <row r="22882" customFormat="false" ht="12.8" hidden="false" customHeight="false" outlineLevel="0" collapsed="false">
      <c r="B22882" s="0" t="s">
        <v>14</v>
      </c>
    </row>
    <row r="22884" customFormat="false" ht="12.8" hidden="false" customHeight="false" outlineLevel="0" collapsed="false">
      <c r="A22884" s="0" t="s">
        <v>8606</v>
      </c>
      <c r="B22884" s="0" t="str">
        <f aca="false">HYPERLINK("https://lindat.mff.cuni.cz/services/teitok/pdtc10/index.php?action=vallex&amp;frame=v-w2945f1", "odvažovat se (v-w2945f1)")</f>
        <v>odvažovat se (v-w2945f1)</v>
      </c>
    </row>
    <row r="22885" customFormat="false" ht="12.8" hidden="false" customHeight="false" outlineLevel="0" collapsed="false">
      <c r="B22885" s="0" t="s">
        <v>7</v>
      </c>
      <c r="C22885" s="0" t="s">
        <v>16</v>
      </c>
      <c r="D22885" s="0" t="s">
        <v>8607</v>
      </c>
      <c r="E22885" s="0" t="s">
        <v>8607</v>
      </c>
      <c r="F22885" s="0" t="s">
        <v>8607</v>
      </c>
    </row>
    <row r="22886" customFormat="false" ht="12.8" hidden="false" customHeight="false" outlineLevel="0" collapsed="false">
      <c r="B22886" s="0" t="s">
        <v>8608</v>
      </c>
      <c r="C22886" s="0" t="s">
        <v>8609</v>
      </c>
      <c r="D22886" s="0" t="s">
        <v>8610</v>
      </c>
      <c r="E22886" s="0" t="s">
        <v>8610</v>
      </c>
      <c r="F22886" s="0" t="s">
        <v>8610</v>
      </c>
    </row>
    <row r="22888" customFormat="false" ht="12.8" hidden="false" customHeight="false" outlineLevel="0" collapsed="false">
      <c r="A22888" s="0" t="s">
        <v>8611</v>
      </c>
      <c r="B22888" s="0" t="str">
        <f aca="false">HYPERLINK("https://lindat.mff.cuni.cz/services/teitok/pdtc10/index.php?action=vallex&amp;frame=v-w2946f1", "odvděčit se (v-w2946f1)")</f>
        <v>odvděčit se (v-w2946f1)</v>
      </c>
    </row>
    <row r="22889" customFormat="false" ht="12.8" hidden="false" customHeight="false" outlineLevel="0" collapsed="false">
      <c r="B22889" s="0" t="s">
        <v>7</v>
      </c>
    </row>
    <row r="22890" customFormat="false" ht="12.8" hidden="false" customHeight="false" outlineLevel="0" collapsed="false">
      <c r="B22890" s="0" t="s">
        <v>142</v>
      </c>
    </row>
    <row r="22892" customFormat="false" ht="12.8" hidden="false" customHeight="false" outlineLevel="0" collapsed="false">
      <c r="A22892" s="0" t="s">
        <v>8612</v>
      </c>
      <c r="B22892" s="0" t="str">
        <f aca="false">HYPERLINK("https://lindat.mff.cuni.cz/services/teitok/pdtc10/index.php?action=vallex&amp;frame=v-w2947f1", "odvděčovat se (v-w2947f1)")</f>
        <v>odvděčovat se (v-w2947f1)</v>
      </c>
    </row>
    <row r="22893" customFormat="false" ht="12.8" hidden="false" customHeight="false" outlineLevel="0" collapsed="false">
      <c r="B22893" s="0" t="s">
        <v>7</v>
      </c>
    </row>
    <row r="22894" customFormat="false" ht="12.8" hidden="false" customHeight="false" outlineLevel="0" collapsed="false">
      <c r="B22894" s="0" t="s">
        <v>142</v>
      </c>
    </row>
    <row r="22896" customFormat="false" ht="12.8" hidden="false" customHeight="false" outlineLevel="0" collapsed="false">
      <c r="A22896" s="0" t="s">
        <v>8613</v>
      </c>
      <c r="B22896" s="0" t="str">
        <f aca="false">HYPERLINK("https://lindat.mff.cuni.cz/services/teitok/pdtc10/index.php?action=vallex&amp;frame=v-w2948f1", "odvelet (v-w2948f1)")</f>
        <v>odvelet (v-w2948f1)</v>
      </c>
    </row>
    <row r="22897" customFormat="false" ht="12.8" hidden="false" customHeight="false" outlineLevel="0" collapsed="false">
      <c r="B22897" s="0" t="s">
        <v>7</v>
      </c>
    </row>
    <row r="22898" customFormat="false" ht="12.8" hidden="false" customHeight="false" outlineLevel="0" collapsed="false">
      <c r="B22898" s="0" t="s">
        <v>14</v>
      </c>
    </row>
    <row r="22899" customFormat="false" ht="12.8" hidden="false" customHeight="false" outlineLevel="0" collapsed="false">
      <c r="B22899" s="0" t="s">
        <v>124</v>
      </c>
    </row>
    <row r="22901" customFormat="false" ht="12.8" hidden="false" customHeight="false" outlineLevel="0" collapsed="false">
      <c r="A22901" s="0" t="s">
        <v>8614</v>
      </c>
      <c r="B22901" s="0" t="str">
        <f aca="false">HYPERLINK("https://lindat.mff.cuni.cz/services/teitok/pdtc10/index.php?action=vallex&amp;frame=v-w2956f1", "odvinit (v-w2956f1)")</f>
        <v>odvinit (v-w2956f1)</v>
      </c>
    </row>
    <row r="22902" customFormat="false" ht="12.8" hidden="false" customHeight="false" outlineLevel="0" collapsed="false">
      <c r="B22902" s="0" t="s">
        <v>7</v>
      </c>
    </row>
    <row r="22903" customFormat="false" ht="12.8" hidden="false" customHeight="false" outlineLevel="0" collapsed="false">
      <c r="B22903" s="0" t="s">
        <v>81</v>
      </c>
    </row>
    <row r="22904" customFormat="false" ht="12.8" hidden="false" customHeight="false" outlineLevel="0" collapsed="false">
      <c r="B22904" s="0" t="s">
        <v>333</v>
      </c>
    </row>
    <row r="22906" customFormat="false" ht="12.8" hidden="false" customHeight="false" outlineLevel="0" collapsed="false">
      <c r="A22906" s="0" t="s">
        <v>8615</v>
      </c>
      <c r="B22906" s="0" t="str">
        <f aca="false">HYPERLINK("https://lindat.mff.cuni.cz/services/teitok/pdtc10/index.php?action=vallex&amp;frame=v-w2957f1", "odvinout se (v-w2957f1)")</f>
        <v>odvinout se (v-w2957f1)</v>
      </c>
    </row>
    <row r="22907" customFormat="false" ht="12.8" hidden="false" customHeight="false" outlineLevel="0" collapsed="false">
      <c r="B22907" s="0" t="s">
        <v>7</v>
      </c>
    </row>
    <row r="22908" customFormat="false" ht="12.8" hidden="false" customHeight="false" outlineLevel="0" collapsed="false">
      <c r="B22908" s="0" t="s">
        <v>28</v>
      </c>
    </row>
    <row r="22910" customFormat="false" ht="12.8" hidden="false" customHeight="false" outlineLevel="0" collapsed="false">
      <c r="A22910" s="0" t="s">
        <v>8616</v>
      </c>
      <c r="B22910" s="0" t="str">
        <f aca="false">HYPERLINK("https://lindat.mff.cuni.cz/services/teitok/pdtc10/index.php?action=vallex&amp;frame=v-whsa_885hsa_886", "odvlíknout (v-whsa_885hsa_886)")</f>
        <v>odvlíknout (v-whsa_885hsa_886)</v>
      </c>
    </row>
    <row r="22911" customFormat="false" ht="12.8" hidden="false" customHeight="false" outlineLevel="0" collapsed="false">
      <c r="B22911" s="0" t="s">
        <v>7</v>
      </c>
    </row>
    <row r="22912" customFormat="false" ht="12.8" hidden="false" customHeight="false" outlineLevel="0" collapsed="false">
      <c r="B22912" s="0" t="s">
        <v>14</v>
      </c>
    </row>
    <row r="22913" customFormat="false" ht="12.8" hidden="false" customHeight="false" outlineLevel="0" collapsed="false">
      <c r="B22913" s="0" t="s">
        <v>124</v>
      </c>
    </row>
    <row r="22915" customFormat="false" ht="12.8" hidden="false" customHeight="false" outlineLevel="0" collapsed="false">
      <c r="A22915" s="0" t="s">
        <v>8617</v>
      </c>
      <c r="B22915" s="0" t="str">
        <f aca="false">HYPERLINK("https://lindat.mff.cuni.cz/services/teitok/pdtc10/index.php?action=vallex&amp;frame=v-w2959f1", "odvodit (v-w2959f1)")</f>
        <v>odvodit (v-w2959f1)</v>
      </c>
    </row>
    <row r="22916" customFormat="false" ht="12.8" hidden="false" customHeight="false" outlineLevel="0" collapsed="false">
      <c r="B22916" s="0" t="s">
        <v>7</v>
      </c>
      <c r="C22916" s="0" t="s">
        <v>184</v>
      </c>
      <c r="D22916" s="0" t="s">
        <v>8618</v>
      </c>
      <c r="E22916" s="0" t="s">
        <v>8618</v>
      </c>
      <c r="F22916" s="0" t="s">
        <v>8618</v>
      </c>
    </row>
    <row r="22917" customFormat="false" ht="12.8" hidden="false" customHeight="false" outlineLevel="0" collapsed="false">
      <c r="B22917" s="0" t="s">
        <v>54</v>
      </c>
      <c r="C22917" s="0" t="s">
        <v>120</v>
      </c>
      <c r="D22917" s="0" t="s">
        <v>4866</v>
      </c>
      <c r="E22917" s="0" t="s">
        <v>4866</v>
      </c>
      <c r="F22917" s="0" t="s">
        <v>4866</v>
      </c>
    </row>
    <row r="22918" customFormat="false" ht="12.8" hidden="false" customHeight="false" outlineLevel="0" collapsed="false">
      <c r="B22918" s="0" t="s">
        <v>8619</v>
      </c>
      <c r="C22918" s="0" t="s">
        <v>5551</v>
      </c>
      <c r="D22918" s="0" t="s">
        <v>2480</v>
      </c>
      <c r="E22918" s="0" t="s">
        <v>2480</v>
      </c>
      <c r="F22918" s="0" t="s">
        <v>2480</v>
      </c>
    </row>
    <row r="22920" customFormat="false" ht="12.8" hidden="false" customHeight="false" outlineLevel="0" collapsed="false">
      <c r="A22920" s="0" t="s">
        <v>8620</v>
      </c>
      <c r="B22920" s="0" t="str">
        <f aca="false">HYPERLINK("https://lindat.mff.cuni.cz/services/teitok/pdtc10/index.php?action=vallex&amp;frame=v-w2959f2", "odvodit (v-w2959f2)")</f>
        <v>odvodit (v-w2959f2)</v>
      </c>
    </row>
    <row r="22921" customFormat="false" ht="12.8" hidden="false" customHeight="false" outlineLevel="0" collapsed="false">
      <c r="B22921" s="0" t="s">
        <v>7</v>
      </c>
    </row>
    <row r="22922" customFormat="false" ht="12.8" hidden="false" customHeight="false" outlineLevel="0" collapsed="false">
      <c r="B22922" s="0" t="s">
        <v>8621</v>
      </c>
    </row>
    <row r="22923" customFormat="false" ht="12.8" hidden="false" customHeight="false" outlineLevel="0" collapsed="false">
      <c r="B22923" s="0" t="s">
        <v>363</v>
      </c>
    </row>
    <row r="22925" customFormat="false" ht="12.8" hidden="false" customHeight="false" outlineLevel="0" collapsed="false">
      <c r="A22925" s="0" t="s">
        <v>8622</v>
      </c>
      <c r="B22925" s="0" t="str">
        <f aca="false">HYPERLINK("https://lindat.mff.cuni.cz/services/teitok/pdtc10/index.php?action=vallex&amp;frame=v-w2961f1", "odvolat (v-w2961f1)")</f>
        <v>odvolat (v-w2961f1)</v>
      </c>
    </row>
    <row r="22926" customFormat="false" ht="12.8" hidden="false" customHeight="false" outlineLevel="0" collapsed="false">
      <c r="B22926" s="0" t="s">
        <v>7</v>
      </c>
      <c r="C22926" s="0" t="s">
        <v>8623</v>
      </c>
      <c r="D22926" s="0" t="s">
        <v>1567</v>
      </c>
      <c r="E22926" s="0" t="s">
        <v>1567</v>
      </c>
      <c r="F22926" s="0" t="s">
        <v>1567</v>
      </c>
    </row>
    <row r="22927" customFormat="false" ht="12.8" hidden="false" customHeight="false" outlineLevel="0" collapsed="false">
      <c r="B22927" s="0" t="s">
        <v>14</v>
      </c>
      <c r="C22927" s="0" t="s">
        <v>8097</v>
      </c>
      <c r="D22927" s="0" t="s">
        <v>1568</v>
      </c>
      <c r="E22927" s="0" t="s">
        <v>1568</v>
      </c>
      <c r="F22927" s="0" t="s">
        <v>1568</v>
      </c>
    </row>
    <row r="22928" customFormat="false" ht="12.8" hidden="false" customHeight="false" outlineLevel="0" collapsed="false">
      <c r="B22928" s="0" t="s">
        <v>459</v>
      </c>
      <c r="C22928" s="0" t="s">
        <v>8536</v>
      </c>
      <c r="D22928" s="0" t="s">
        <v>1569</v>
      </c>
      <c r="E22928" s="0" t="s">
        <v>1569</v>
      </c>
      <c r="F22928" s="0" t="s">
        <v>1569</v>
      </c>
    </row>
    <row r="22930" customFormat="false" ht="12.8" hidden="false" customHeight="false" outlineLevel="0" collapsed="false">
      <c r="A22930" s="0" t="s">
        <v>8624</v>
      </c>
      <c r="B22930" s="0" t="str">
        <f aca="false">HYPERLINK("https://lindat.mff.cuni.cz/services/teitok/pdtc10/index.php?action=vallex&amp;frame=v-w2961f3", "odvolat (v-w2961f3)")</f>
        <v>odvolat (v-w2961f3)</v>
      </c>
    </row>
    <row r="22931" customFormat="false" ht="12.8" hidden="false" customHeight="false" outlineLevel="0" collapsed="false">
      <c r="B22931" s="0" t="s">
        <v>7</v>
      </c>
      <c r="D22931" s="0" t="s">
        <v>1567</v>
      </c>
      <c r="E22931" s="0" t="s">
        <v>1567</v>
      </c>
      <c r="F22931" s="0" t="s">
        <v>1567</v>
      </c>
    </row>
    <row r="22932" customFormat="false" ht="12.8" hidden="false" customHeight="false" outlineLevel="0" collapsed="false">
      <c r="B22932" s="0" t="s">
        <v>14</v>
      </c>
      <c r="D22932" s="0" t="s">
        <v>1568</v>
      </c>
      <c r="E22932" s="0" t="s">
        <v>1568</v>
      </c>
      <c r="F22932" s="0" t="s">
        <v>1568</v>
      </c>
    </row>
    <row r="22933" customFormat="false" ht="12.8" hidden="false" customHeight="false" outlineLevel="0" collapsed="false">
      <c r="B22933" s="0" t="s">
        <v>459</v>
      </c>
      <c r="D22933" s="0" t="s">
        <v>1569</v>
      </c>
      <c r="E22933" s="0" t="s">
        <v>1569</v>
      </c>
      <c r="F22933" s="0" t="s">
        <v>1569</v>
      </c>
    </row>
    <row r="22935" customFormat="false" ht="12.8" hidden="false" customHeight="false" outlineLevel="0" collapsed="false">
      <c r="A22935" s="0" t="s">
        <v>8625</v>
      </c>
      <c r="B22935" s="0" t="str">
        <f aca="false">HYPERLINK("https://lindat.mff.cuni.cz/services/teitok/pdtc10/index.php?action=vallex&amp;frame=v-w2961f2", "odvolat (v-w2961f2)")</f>
        <v>odvolat (v-w2961f2)</v>
      </c>
    </row>
    <row r="22936" customFormat="false" ht="12.8" hidden="false" customHeight="false" outlineLevel="0" collapsed="false">
      <c r="B22936" s="0" t="s">
        <v>7</v>
      </c>
      <c r="C22936" s="0" t="s">
        <v>8626</v>
      </c>
      <c r="D22936" s="0" t="s">
        <v>7397</v>
      </c>
      <c r="E22936" s="0" t="s">
        <v>7397</v>
      </c>
      <c r="F22936" s="0" t="s">
        <v>7397</v>
      </c>
    </row>
    <row r="22937" customFormat="false" ht="12.8" hidden="false" customHeight="false" outlineLevel="0" collapsed="false">
      <c r="B22937" s="0" t="s">
        <v>54</v>
      </c>
      <c r="C22937" s="0" t="s">
        <v>8627</v>
      </c>
      <c r="D22937" s="0" t="s">
        <v>7398</v>
      </c>
      <c r="E22937" s="0" t="s">
        <v>7398</v>
      </c>
      <c r="F22937" s="0" t="s">
        <v>7398</v>
      </c>
    </row>
    <row r="22939" customFormat="false" ht="12.8" hidden="false" customHeight="false" outlineLevel="0" collapsed="false">
      <c r="A22939" s="0" t="s">
        <v>8628</v>
      </c>
      <c r="B22939" s="0" t="str">
        <f aca="false">HYPERLINK("https://lindat.mff.cuni.cz/services/teitok/pdtc10/index.php?action=vallex&amp;frame=v-w2962f2", "odvolat se (v-w2962f2)")</f>
        <v>odvolat se (v-w2962f2)</v>
      </c>
    </row>
    <row r="22940" customFormat="false" ht="12.8" hidden="false" customHeight="false" outlineLevel="0" collapsed="false">
      <c r="B22940" s="0" t="s">
        <v>7</v>
      </c>
      <c r="C22940" s="0" t="s">
        <v>2675</v>
      </c>
    </row>
    <row r="22941" customFormat="false" ht="12.8" hidden="false" customHeight="false" outlineLevel="0" collapsed="false">
      <c r="B22941" s="0" t="s">
        <v>41</v>
      </c>
      <c r="C22941" s="0" t="s">
        <v>8629</v>
      </c>
    </row>
    <row r="22943" customFormat="false" ht="12.8" hidden="false" customHeight="false" outlineLevel="0" collapsed="false">
      <c r="A22943" s="0" t="s">
        <v>8630</v>
      </c>
      <c r="B22943" s="0" t="str">
        <f aca="false">HYPERLINK("https://lindat.mff.cuni.cz/services/teitok/pdtc10/index.php?action=vallex&amp;frame=v-w2962f1", "odvolat se (v-w2962f1)")</f>
        <v>odvolat se (v-w2962f1)</v>
      </c>
    </row>
    <row r="22944" customFormat="false" ht="12.8" hidden="false" customHeight="false" outlineLevel="0" collapsed="false">
      <c r="B22944" s="0" t="s">
        <v>7</v>
      </c>
      <c r="C22944" s="0" t="s">
        <v>157</v>
      </c>
    </row>
    <row r="22945" customFormat="false" ht="12.8" hidden="false" customHeight="false" outlineLevel="0" collapsed="false">
      <c r="B22945" s="0" t="s">
        <v>1560</v>
      </c>
      <c r="C22945" s="0" t="s">
        <v>120</v>
      </c>
    </row>
    <row r="22947" customFormat="false" ht="12.8" hidden="false" customHeight="false" outlineLevel="0" collapsed="false">
      <c r="A22947" s="0" t="s">
        <v>8631</v>
      </c>
      <c r="B22947" s="0" t="str">
        <f aca="false">HYPERLINK("https://lindat.mff.cuni.cz/services/teitok/pdtc10/index.php?action=vallex&amp;frame=v-w2964f1", "odvolávat (v-w2964f1)")</f>
        <v>odvolávat (v-w2964f1)</v>
      </c>
    </row>
    <row r="22948" customFormat="false" ht="12.8" hidden="false" customHeight="false" outlineLevel="0" collapsed="false">
      <c r="B22948" s="0" t="s">
        <v>7</v>
      </c>
    </row>
    <row r="22949" customFormat="false" ht="12.8" hidden="false" customHeight="false" outlineLevel="0" collapsed="false">
      <c r="B22949" s="0" t="s">
        <v>14</v>
      </c>
    </row>
    <row r="22950" customFormat="false" ht="12.8" hidden="false" customHeight="false" outlineLevel="0" collapsed="false">
      <c r="B22950" s="0" t="s">
        <v>459</v>
      </c>
    </row>
    <row r="22952" customFormat="false" ht="12.8" hidden="false" customHeight="false" outlineLevel="0" collapsed="false">
      <c r="A22952" s="0" t="s">
        <v>8632</v>
      </c>
      <c r="B22952" s="0" t="str">
        <f aca="false">HYPERLINK("https://lindat.mff.cuni.cz/services/teitok/pdtc10/index.php?action=vallex&amp;frame=v-w2964f2", "odvolávat (v-w2964f2)")</f>
        <v>odvolávat (v-w2964f2)</v>
      </c>
    </row>
    <row r="22953" customFormat="false" ht="12.8" hidden="false" customHeight="false" outlineLevel="0" collapsed="false">
      <c r="B22953" s="0" t="s">
        <v>7</v>
      </c>
      <c r="D22953" s="0" t="s">
        <v>1567</v>
      </c>
      <c r="E22953" s="0" t="s">
        <v>1567</v>
      </c>
      <c r="F22953" s="0" t="s">
        <v>1567</v>
      </c>
    </row>
    <row r="22954" customFormat="false" ht="12.8" hidden="false" customHeight="false" outlineLevel="0" collapsed="false">
      <c r="B22954" s="0" t="s">
        <v>14</v>
      </c>
      <c r="D22954" s="0" t="s">
        <v>1568</v>
      </c>
      <c r="E22954" s="0" t="s">
        <v>1568</v>
      </c>
      <c r="F22954" s="0" t="s">
        <v>1568</v>
      </c>
    </row>
    <row r="22955" customFormat="false" ht="12.8" hidden="false" customHeight="false" outlineLevel="0" collapsed="false">
      <c r="B22955" s="0" t="s">
        <v>459</v>
      </c>
      <c r="D22955" s="0" t="s">
        <v>1569</v>
      </c>
      <c r="E22955" s="0" t="s">
        <v>1569</v>
      </c>
      <c r="F22955" s="0" t="s">
        <v>1569</v>
      </c>
    </row>
    <row r="22957" customFormat="false" ht="12.8" hidden="false" customHeight="false" outlineLevel="0" collapsed="false">
      <c r="A22957" s="0" t="s">
        <v>8633</v>
      </c>
      <c r="B22957" s="0" t="str">
        <f aca="false">HYPERLINK("https://lindat.mff.cuni.cz/services/teitok/pdtc10/index.php?action=vallex&amp;frame=v-w2964f3", "odvolávat (v-w2964f3)")</f>
        <v>odvolávat (v-w2964f3)</v>
      </c>
    </row>
    <row r="22958" customFormat="false" ht="12.8" hidden="false" customHeight="false" outlineLevel="0" collapsed="false">
      <c r="B22958" s="0" t="s">
        <v>7</v>
      </c>
      <c r="D22958" s="0" t="s">
        <v>7397</v>
      </c>
      <c r="E22958" s="0" t="s">
        <v>7397</v>
      </c>
      <c r="F22958" s="0" t="s">
        <v>7397</v>
      </c>
    </row>
    <row r="22959" customFormat="false" ht="12.8" hidden="false" customHeight="false" outlineLevel="0" collapsed="false">
      <c r="B22959" s="0" t="s">
        <v>54</v>
      </c>
      <c r="D22959" s="0" t="s">
        <v>7398</v>
      </c>
      <c r="E22959" s="0" t="s">
        <v>7398</v>
      </c>
      <c r="F22959" s="0" t="s">
        <v>7398</v>
      </c>
    </row>
    <row r="22961" customFormat="false" ht="12.8" hidden="false" customHeight="false" outlineLevel="0" collapsed="false">
      <c r="A22961" s="0" t="s">
        <v>8634</v>
      </c>
      <c r="B22961" s="0" t="str">
        <f aca="false">HYPERLINK("https://lindat.mff.cuni.cz/services/teitok/pdtc10/index.php?action=vallex&amp;frame=v-w2965f1", "odvolávat se (v-w2965f1)")</f>
        <v>odvolávat se (v-w2965f1)</v>
      </c>
    </row>
    <row r="22962" customFormat="false" ht="12.8" hidden="false" customHeight="false" outlineLevel="0" collapsed="false">
      <c r="B22962" s="0" t="s">
        <v>7</v>
      </c>
      <c r="C22962" s="0" t="s">
        <v>140</v>
      </c>
      <c r="D22962" s="0" t="s">
        <v>133</v>
      </c>
      <c r="E22962" s="0" t="s">
        <v>133</v>
      </c>
      <c r="F22962" s="0" t="s">
        <v>133</v>
      </c>
    </row>
    <row r="22963" customFormat="false" ht="12.8" hidden="false" customHeight="false" outlineLevel="0" collapsed="false">
      <c r="B22963" s="0" t="s">
        <v>41</v>
      </c>
      <c r="C22963" s="0" t="s">
        <v>4729</v>
      </c>
      <c r="D22963" s="0" t="s">
        <v>136</v>
      </c>
      <c r="E22963" s="0" t="s">
        <v>136</v>
      </c>
      <c r="F22963" s="0" t="s">
        <v>136</v>
      </c>
    </row>
    <row r="22965" customFormat="false" ht="12.8" hidden="false" customHeight="false" outlineLevel="0" collapsed="false">
      <c r="A22965" s="0" t="s">
        <v>8635</v>
      </c>
      <c r="B22965" s="0" t="str">
        <f aca="false">HYPERLINK("https://lindat.mff.cuni.cz/services/teitok/pdtc10/index.php?action=vallex&amp;frame=v-w2965f2", "odvolávat se (v-w2965f2)")</f>
        <v>odvolávat se (v-w2965f2)</v>
      </c>
    </row>
    <row r="22966" customFormat="false" ht="12.8" hidden="false" customHeight="false" outlineLevel="0" collapsed="false">
      <c r="B22966" s="0" t="s">
        <v>7</v>
      </c>
      <c r="C22966" s="0" t="s">
        <v>2736</v>
      </c>
    </row>
    <row r="22967" customFormat="false" ht="12.8" hidden="false" customHeight="false" outlineLevel="0" collapsed="false">
      <c r="B22967" s="0" t="s">
        <v>1560</v>
      </c>
      <c r="C22967" s="0" t="s">
        <v>120</v>
      </c>
    </row>
    <row r="22969" customFormat="false" ht="12.8" hidden="false" customHeight="false" outlineLevel="0" collapsed="false">
      <c r="A22969" s="0" t="s">
        <v>8636</v>
      </c>
      <c r="B22969" s="0" t="str">
        <f aca="false">HYPERLINK("https://lindat.mff.cuni.cz/services/teitok/pdtc10/index.php?action=vallex&amp;frame=v-w2969f1", "odvozovat (v-w2969f1)")</f>
        <v>odvozovat (v-w2969f1)</v>
      </c>
    </row>
    <row r="22970" customFormat="false" ht="12.8" hidden="false" customHeight="false" outlineLevel="0" collapsed="false">
      <c r="B22970" s="0" t="s">
        <v>7</v>
      </c>
      <c r="C22970" s="0" t="s">
        <v>118</v>
      </c>
      <c r="D22970" s="0" t="s">
        <v>8618</v>
      </c>
      <c r="E22970" s="0" t="s">
        <v>8618</v>
      </c>
      <c r="F22970" s="0" t="s">
        <v>8618</v>
      </c>
    </row>
    <row r="22971" customFormat="false" ht="12.8" hidden="false" customHeight="false" outlineLevel="0" collapsed="false">
      <c r="B22971" s="0" t="s">
        <v>54</v>
      </c>
      <c r="C22971" s="0" t="s">
        <v>1315</v>
      </c>
      <c r="D22971" s="0" t="s">
        <v>4866</v>
      </c>
      <c r="E22971" s="0" t="s">
        <v>4866</v>
      </c>
      <c r="F22971" s="0" t="s">
        <v>4866</v>
      </c>
    </row>
    <row r="22972" customFormat="false" ht="12.8" hidden="false" customHeight="false" outlineLevel="0" collapsed="false">
      <c r="B22972" s="0" t="s">
        <v>8619</v>
      </c>
      <c r="C22972" s="0" t="s">
        <v>2480</v>
      </c>
      <c r="D22972" s="0" t="s">
        <v>2480</v>
      </c>
      <c r="E22972" s="0" t="s">
        <v>2480</v>
      </c>
      <c r="F22972" s="0" t="s">
        <v>2480</v>
      </c>
    </row>
    <row r="22974" customFormat="false" ht="12.8" hidden="false" customHeight="false" outlineLevel="0" collapsed="false">
      <c r="A22974" s="0" t="s">
        <v>8637</v>
      </c>
      <c r="B22974" s="0" t="str">
        <f aca="false">HYPERLINK("https://lindat.mff.cuni.cz/services/teitok/pdtc10/index.php?action=vallex&amp;frame=v-w2972f1", "odvracet (v-w2972f1)")</f>
        <v>odvracet (v-w2972f1)</v>
      </c>
    </row>
    <row r="22975" customFormat="false" ht="12.8" hidden="false" customHeight="false" outlineLevel="0" collapsed="false">
      <c r="B22975" s="0" t="s">
        <v>7</v>
      </c>
      <c r="D22975" s="0" t="s">
        <v>252</v>
      </c>
      <c r="E22975" s="0" t="s">
        <v>253</v>
      </c>
      <c r="F22975" s="0" t="s">
        <v>253</v>
      </c>
    </row>
    <row r="22976" customFormat="false" ht="12.8" hidden="false" customHeight="false" outlineLevel="0" collapsed="false">
      <c r="B22976" s="0" t="s">
        <v>14</v>
      </c>
      <c r="D22976" s="0" t="s">
        <v>255</v>
      </c>
      <c r="E22976" s="0" t="s">
        <v>256</v>
      </c>
      <c r="F22976" s="0" t="s">
        <v>256</v>
      </c>
    </row>
    <row r="22978" customFormat="false" ht="12.8" hidden="false" customHeight="false" outlineLevel="0" collapsed="false">
      <c r="A22978" s="0" t="s">
        <v>8638</v>
      </c>
      <c r="B22978" s="0" t="str">
        <f aca="false">HYPERLINK("https://lindat.mff.cuni.cz/services/teitok/pdtc10/index.php?action=vallex&amp;frame=v-w2972hsa_865", "odvracet (v-w2972hsa_865)")</f>
        <v>odvracet (v-w2972hsa_865)</v>
      </c>
    </row>
    <row r="22979" customFormat="false" ht="12.8" hidden="false" customHeight="false" outlineLevel="0" collapsed="false">
      <c r="B22979" s="0" t="s">
        <v>7</v>
      </c>
      <c r="D22979" s="0" t="s">
        <v>88</v>
      </c>
      <c r="E22979" s="0" t="s">
        <v>88</v>
      </c>
      <c r="F22979" s="0" t="s">
        <v>88</v>
      </c>
    </row>
    <row r="22980" customFormat="false" ht="12.8" hidden="false" customHeight="false" outlineLevel="0" collapsed="false">
      <c r="B22980" s="0" t="s">
        <v>81</v>
      </c>
      <c r="C22980" s="0" t="s">
        <v>3323</v>
      </c>
      <c r="D22980" s="0" t="s">
        <v>3426</v>
      </c>
      <c r="E22980" s="0" t="s">
        <v>3426</v>
      </c>
      <c r="F22980" s="0" t="s">
        <v>3426</v>
      </c>
    </row>
    <row r="22981" customFormat="false" ht="12.8" hidden="false" customHeight="false" outlineLevel="0" collapsed="false">
      <c r="B22981" s="0" t="s">
        <v>28</v>
      </c>
      <c r="D22981" s="0" t="s">
        <v>4706</v>
      </c>
      <c r="E22981" s="0" t="s">
        <v>4706</v>
      </c>
      <c r="F22981" s="0" t="s">
        <v>4706</v>
      </c>
    </row>
    <row r="22983" customFormat="false" ht="12.8" hidden="false" customHeight="false" outlineLevel="0" collapsed="false">
      <c r="A22983" s="0" t="s">
        <v>8639</v>
      </c>
      <c r="B22983" s="0" t="str">
        <f aca="false">HYPERLINK("https://lindat.mff.cuni.cz/services/teitok/pdtc10/index.php?action=vallex&amp;frame=v-w2973f1", "odvracet se (v-w2973f1)")</f>
        <v>odvracet se (v-w2973f1)</v>
      </c>
    </row>
    <row r="22984" customFormat="false" ht="12.8" hidden="false" customHeight="false" outlineLevel="0" collapsed="false">
      <c r="B22984" s="0" t="s">
        <v>7</v>
      </c>
    </row>
    <row r="22985" customFormat="false" ht="12.8" hidden="false" customHeight="false" outlineLevel="0" collapsed="false">
      <c r="B22985" s="0" t="s">
        <v>28</v>
      </c>
    </row>
    <row r="22987" customFormat="false" ht="12.8" hidden="false" customHeight="false" outlineLevel="0" collapsed="false">
      <c r="A22987" s="0" t="s">
        <v>8640</v>
      </c>
      <c r="B22987" s="0" t="str">
        <f aca="false">HYPERLINK("https://lindat.mff.cuni.cz/services/teitok/pdtc10/index.php?action=vallex&amp;frame=v-w10418f2", "odvrhnout (v-w10418f2)")</f>
        <v>odvrhnout (v-w10418f2)</v>
      </c>
    </row>
    <row r="22988" customFormat="false" ht="12.8" hidden="false" customHeight="false" outlineLevel="0" collapsed="false">
      <c r="B22988" s="0" t="s">
        <v>7</v>
      </c>
      <c r="C22988" s="0" t="s">
        <v>460</v>
      </c>
    </row>
    <row r="22989" customFormat="false" ht="12.8" hidden="false" customHeight="false" outlineLevel="0" collapsed="false">
      <c r="B22989" s="0" t="s">
        <v>14</v>
      </c>
      <c r="C22989" s="0" t="s">
        <v>1264</v>
      </c>
    </row>
    <row r="22991" customFormat="false" ht="12.8" hidden="false" customHeight="false" outlineLevel="0" collapsed="false">
      <c r="A22991" s="0" t="s">
        <v>8641</v>
      </c>
      <c r="B22991" s="0" t="str">
        <f aca="false">HYPERLINK("https://lindat.mff.cuni.cz/services/teitok/pdtc10/index.php?action=vallex&amp;frame=v-w2974f1", "odvrátit (v-w2974f1)")</f>
        <v>odvrátit (v-w2974f1)</v>
      </c>
    </row>
    <row r="22992" customFormat="false" ht="12.8" hidden="false" customHeight="false" outlineLevel="0" collapsed="false">
      <c r="B22992" s="0" t="s">
        <v>7</v>
      </c>
      <c r="C22992" s="0" t="s">
        <v>8642</v>
      </c>
      <c r="D22992" s="0" t="s">
        <v>252</v>
      </c>
      <c r="E22992" s="0" t="s">
        <v>253</v>
      </c>
      <c r="F22992" s="0" t="s">
        <v>253</v>
      </c>
    </row>
    <row r="22993" customFormat="false" ht="12.8" hidden="false" customHeight="false" outlineLevel="0" collapsed="false">
      <c r="B22993" s="0" t="s">
        <v>14</v>
      </c>
      <c r="C22993" s="0" t="s">
        <v>4162</v>
      </c>
      <c r="D22993" s="0" t="s">
        <v>255</v>
      </c>
      <c r="E22993" s="0" t="s">
        <v>256</v>
      </c>
      <c r="F22993" s="0" t="s">
        <v>256</v>
      </c>
    </row>
    <row r="22995" customFormat="false" ht="12.8" hidden="false" customHeight="false" outlineLevel="0" collapsed="false">
      <c r="A22995" s="0" t="s">
        <v>8643</v>
      </c>
      <c r="B22995" s="0" t="str">
        <f aca="false">HYPERLINK("https://lindat.mff.cuni.cz/services/teitok/pdtc10/index.php?action=vallex&amp;frame=v-w2974f3_ZU", "odvrátit (v-w2974f3_ZU)")</f>
        <v>odvrátit (v-w2974f3_ZU)</v>
      </c>
    </row>
    <row r="22996" customFormat="false" ht="12.8" hidden="false" customHeight="false" outlineLevel="0" collapsed="false">
      <c r="B22996" s="0" t="s">
        <v>7</v>
      </c>
      <c r="C22996" s="0" t="s">
        <v>46</v>
      </c>
    </row>
    <row r="22997" customFormat="false" ht="12.8" hidden="false" customHeight="false" outlineLevel="0" collapsed="false">
      <c r="B22997" s="0" t="s">
        <v>14</v>
      </c>
      <c r="C22997" s="0" t="s">
        <v>78</v>
      </c>
    </row>
    <row r="22999" customFormat="false" ht="12.8" hidden="false" customHeight="false" outlineLevel="0" collapsed="false">
      <c r="A22999" s="0" t="s">
        <v>8644</v>
      </c>
      <c r="B22999" s="0" t="str">
        <f aca="false">HYPERLINK("https://lindat.mff.cuni.cz/services/teitok/pdtc10/index.php?action=vallex&amp;frame=v-w2974f2", "odvrátit (v-w2974f2)")</f>
        <v>odvrátit (v-w2974f2)</v>
      </c>
    </row>
    <row r="23000" customFormat="false" ht="12.8" hidden="false" customHeight="false" outlineLevel="0" collapsed="false">
      <c r="B23000" s="0" t="s">
        <v>7</v>
      </c>
    </row>
    <row r="23001" customFormat="false" ht="12.8" hidden="false" customHeight="false" outlineLevel="0" collapsed="false">
      <c r="B23001" s="0" t="s">
        <v>81</v>
      </c>
    </row>
    <row r="23002" customFormat="false" ht="12.8" hidden="false" customHeight="false" outlineLevel="0" collapsed="false">
      <c r="B23002" s="0" t="s">
        <v>333</v>
      </c>
    </row>
    <row r="23004" customFormat="false" ht="12.8" hidden="false" customHeight="false" outlineLevel="0" collapsed="false">
      <c r="A23004" s="0" t="s">
        <v>8645</v>
      </c>
      <c r="B23004" s="0" t="str">
        <f aca="false">HYPERLINK("https://lindat.mff.cuni.cz/services/teitok/pdtc10/index.php?action=vallex&amp;frame=v-w2975f1", "odvrátit se (v-w2975f1)")</f>
        <v>odvrátit se (v-w2975f1)</v>
      </c>
    </row>
    <row r="23005" customFormat="false" ht="12.8" hidden="false" customHeight="false" outlineLevel="0" collapsed="false">
      <c r="B23005" s="0" t="s">
        <v>7</v>
      </c>
      <c r="C23005" s="0" t="s">
        <v>4895</v>
      </c>
      <c r="D23005" s="0" t="s">
        <v>8209</v>
      </c>
      <c r="E23005" s="0" t="s">
        <v>8209</v>
      </c>
      <c r="F23005" s="0" t="s">
        <v>8209</v>
      </c>
    </row>
    <row r="23006" customFormat="false" ht="12.8" hidden="false" customHeight="false" outlineLevel="0" collapsed="false">
      <c r="B23006" s="0" t="s">
        <v>28</v>
      </c>
      <c r="C23006" s="0" t="s">
        <v>8646</v>
      </c>
      <c r="D23006" s="0" t="s">
        <v>473</v>
      </c>
      <c r="E23006" s="0" t="s">
        <v>473</v>
      </c>
      <c r="F23006" s="0" t="s">
        <v>473</v>
      </c>
    </row>
    <row r="23008" customFormat="false" ht="12.8" hidden="false" customHeight="false" outlineLevel="0" collapsed="false">
      <c r="A23008" s="0" t="s">
        <v>8647</v>
      </c>
      <c r="B23008" s="0" t="str">
        <f aca="false">HYPERLINK("https://lindat.mff.cuni.cz/services/teitok/pdtc10/index.php?action=vallex&amp;frame=v-whsa_1267hsa_1268", "odvykat (v-whsa_1267hsa_1268)")</f>
        <v>odvykat (v-whsa_1267hsa_1268)</v>
      </c>
    </row>
    <row r="23009" customFormat="false" ht="12.8" hidden="false" customHeight="false" outlineLevel="0" collapsed="false">
      <c r="B23009" s="0" t="s">
        <v>7</v>
      </c>
      <c r="C23009" s="0" t="s">
        <v>157</v>
      </c>
    </row>
    <row r="23010" customFormat="false" ht="12.8" hidden="false" customHeight="false" outlineLevel="0" collapsed="false">
      <c r="B23010" s="0" t="s">
        <v>142</v>
      </c>
      <c r="C23010" s="0" t="s">
        <v>152</v>
      </c>
    </row>
    <row r="23012" customFormat="false" ht="12.8" hidden="false" customHeight="false" outlineLevel="0" collapsed="false">
      <c r="A23012" s="0" t="s">
        <v>8648</v>
      </c>
      <c r="B23012" s="0" t="str">
        <f aca="false">HYPERLINK("https://lindat.mff.cuni.cz/services/teitok/pdtc10/index.php?action=vallex&amp;frame=v-w2976f1", "odvyknout (v-w2976f1)")</f>
        <v>odvyknout (v-w2976f1)</v>
      </c>
    </row>
    <row r="23013" customFormat="false" ht="12.8" hidden="false" customHeight="false" outlineLevel="0" collapsed="false">
      <c r="B23013" s="0" t="s">
        <v>7</v>
      </c>
    </row>
    <row r="23014" customFormat="false" ht="12.8" hidden="false" customHeight="false" outlineLevel="0" collapsed="false">
      <c r="B23014" s="0" t="s">
        <v>142</v>
      </c>
    </row>
    <row r="23016" customFormat="false" ht="12.8" hidden="false" customHeight="false" outlineLevel="0" collapsed="false">
      <c r="A23016" s="0" t="s">
        <v>8649</v>
      </c>
      <c r="B23016" s="0" t="str">
        <f aca="false">HYPERLINK("https://lindat.mff.cuni.cz/services/teitok/pdtc10/index.php?action=vallex&amp;frame=v-w2977f1", "odvyknout si (v-w2977f1)")</f>
        <v>odvyknout si (v-w2977f1)</v>
      </c>
    </row>
    <row r="23017" customFormat="false" ht="12.8" hidden="false" customHeight="false" outlineLevel="0" collapsed="false">
      <c r="B23017" s="0" t="s">
        <v>7</v>
      </c>
    </row>
    <row r="23018" customFormat="false" ht="12.8" hidden="false" customHeight="false" outlineLevel="0" collapsed="false">
      <c r="B23018" s="0" t="s">
        <v>8650</v>
      </c>
    </row>
    <row r="23020" customFormat="false" ht="12.8" hidden="false" customHeight="false" outlineLevel="0" collapsed="false">
      <c r="A23020" s="0" t="s">
        <v>8651</v>
      </c>
      <c r="B23020" s="0" t="str">
        <f aca="false">HYPERLINK("https://lindat.mff.cuni.cz/services/teitok/pdtc10/index.php?action=vallex&amp;frame=v-w2979f1", "odvysílat (v-w2979f1)")</f>
        <v>odvysílat (v-w2979f1)</v>
      </c>
    </row>
    <row r="23021" customFormat="false" ht="12.8" hidden="false" customHeight="false" outlineLevel="0" collapsed="false">
      <c r="B23021" s="0" t="s">
        <v>7</v>
      </c>
      <c r="C23021" s="0" t="s">
        <v>1263</v>
      </c>
      <c r="D23021" s="0" t="s">
        <v>8652</v>
      </c>
      <c r="E23021" s="0" t="s">
        <v>8652</v>
      </c>
      <c r="F23021" s="0" t="s">
        <v>8652</v>
      </c>
    </row>
    <row r="23022" customFormat="false" ht="12.8" hidden="false" customHeight="false" outlineLevel="0" collapsed="false">
      <c r="B23022" s="0" t="s">
        <v>54</v>
      </c>
      <c r="C23022" s="0" t="s">
        <v>151</v>
      </c>
      <c r="D23022" s="0" t="s">
        <v>152</v>
      </c>
      <c r="E23022" s="0" t="s">
        <v>152</v>
      </c>
      <c r="F23022" s="0" t="s">
        <v>152</v>
      </c>
    </row>
    <row r="23024" customFormat="false" ht="12.8" hidden="false" customHeight="false" outlineLevel="0" collapsed="false">
      <c r="A23024" s="0" t="s">
        <v>8653</v>
      </c>
      <c r="B23024" s="0" t="str">
        <f aca="false">HYPERLINK("https://lindat.mff.cuni.cz/services/teitok/pdtc10/index.php?action=vallex&amp;frame=v-w2937f7", "odvádět (v-w2937f7)")</f>
        <v>odvádět (v-w2937f7)</v>
      </c>
    </row>
    <row r="23025" customFormat="false" ht="12.8" hidden="false" customHeight="false" outlineLevel="0" collapsed="false">
      <c r="B23025" s="0" t="s">
        <v>7</v>
      </c>
    </row>
    <row r="23026" customFormat="false" ht="12.8" hidden="false" customHeight="false" outlineLevel="0" collapsed="false">
      <c r="B23026" s="0" t="s">
        <v>14</v>
      </c>
    </row>
    <row r="23027" customFormat="false" ht="12.8" hidden="false" customHeight="false" outlineLevel="0" collapsed="false">
      <c r="B23027" s="0" t="s">
        <v>106</v>
      </c>
    </row>
    <row r="23028" customFormat="false" ht="12.8" hidden="false" customHeight="false" outlineLevel="0" collapsed="false">
      <c r="B23028" s="0" t="s">
        <v>550</v>
      </c>
    </row>
    <row r="23030" customFormat="false" ht="12.8" hidden="false" customHeight="false" outlineLevel="0" collapsed="false">
      <c r="A23030" s="0" t="s">
        <v>8654</v>
      </c>
      <c r="B23030" s="0" t="str">
        <f aca="false">HYPERLINK("https://lindat.mff.cuni.cz/services/teitok/pdtc10/index.php?action=vallex&amp;frame=v-w2937f1", "odvádět (v-w2937f1)")</f>
        <v>odvádět (v-w2937f1)</v>
      </c>
    </row>
    <row r="23031" customFormat="false" ht="12.8" hidden="false" customHeight="false" outlineLevel="0" collapsed="false">
      <c r="B23031" s="0" t="s">
        <v>7</v>
      </c>
    </row>
    <row r="23032" customFormat="false" ht="12.8" hidden="false" customHeight="false" outlineLevel="0" collapsed="false">
      <c r="B23032" s="0" t="s">
        <v>14</v>
      </c>
    </row>
    <row r="23033" customFormat="false" ht="12.8" hidden="false" customHeight="false" outlineLevel="0" collapsed="false">
      <c r="B23033" s="0" t="s">
        <v>106</v>
      </c>
    </row>
    <row r="23035" customFormat="false" ht="12.8" hidden="false" customHeight="false" outlineLevel="0" collapsed="false">
      <c r="A23035" s="0" t="s">
        <v>8655</v>
      </c>
      <c r="B23035" s="0" t="str">
        <f aca="false">HYPERLINK("https://lindat.mff.cuni.cz/services/teitok/pdtc10/index.php?action=vallex&amp;frame=v-w2937f2", "odvádět (v-w2937f2)")</f>
        <v>odvádět (v-w2937f2)</v>
      </c>
    </row>
    <row r="23036" customFormat="false" ht="12.8" hidden="false" customHeight="false" outlineLevel="0" collapsed="false">
      <c r="B23036" s="0" t="s">
        <v>7</v>
      </c>
    </row>
    <row r="23037" customFormat="false" ht="12.8" hidden="false" customHeight="false" outlineLevel="0" collapsed="false">
      <c r="B23037" s="0" t="s">
        <v>14</v>
      </c>
    </row>
    <row r="23038" customFormat="false" ht="12.8" hidden="false" customHeight="false" outlineLevel="0" collapsed="false">
      <c r="B23038" s="0" t="s">
        <v>459</v>
      </c>
    </row>
    <row r="23040" customFormat="false" ht="12.8" hidden="false" customHeight="false" outlineLevel="0" collapsed="false">
      <c r="A23040" s="0" t="s">
        <v>8656</v>
      </c>
      <c r="B23040" s="0" t="str">
        <f aca="false">HYPERLINK("https://lindat.mff.cuni.cz/services/teitok/pdtc10/index.php?action=vallex&amp;frame=v-w2937f4", "odvádět (v-w2937f4)")</f>
        <v>odvádět (v-w2937f4)</v>
      </c>
    </row>
    <row r="23041" customFormat="false" ht="12.8" hidden="false" customHeight="false" outlineLevel="0" collapsed="false">
      <c r="B23041" s="0" t="s">
        <v>7</v>
      </c>
      <c r="C23041" s="0" t="s">
        <v>309</v>
      </c>
      <c r="D23041" s="0" t="s">
        <v>88</v>
      </c>
      <c r="E23041" s="0" t="s">
        <v>88</v>
      </c>
      <c r="F23041" s="0" t="s">
        <v>88</v>
      </c>
    </row>
    <row r="23042" customFormat="false" ht="12.8" hidden="false" customHeight="false" outlineLevel="0" collapsed="false">
      <c r="B23042" s="0" t="s">
        <v>14</v>
      </c>
      <c r="C23042" s="0" t="s">
        <v>195</v>
      </c>
      <c r="D23042" s="0" t="s">
        <v>33</v>
      </c>
      <c r="E23042" s="0" t="s">
        <v>33</v>
      </c>
      <c r="F23042" s="0" t="s">
        <v>33</v>
      </c>
    </row>
    <row r="23043" customFormat="false" ht="12.8" hidden="false" customHeight="false" outlineLevel="0" collapsed="false">
      <c r="B23043" s="0" t="s">
        <v>459</v>
      </c>
      <c r="C23043" s="0" t="s">
        <v>8536</v>
      </c>
      <c r="D23043" s="0" t="s">
        <v>8566</v>
      </c>
      <c r="E23043" s="0" t="s">
        <v>8566</v>
      </c>
      <c r="F23043" s="0" t="s">
        <v>8566</v>
      </c>
    </row>
    <row r="23045" customFormat="false" ht="12.8" hidden="false" customHeight="false" outlineLevel="0" collapsed="false">
      <c r="A23045" s="0" t="s">
        <v>8657</v>
      </c>
      <c r="B23045" s="0" t="str">
        <f aca="false">HYPERLINK("https://lindat.mff.cuni.cz/services/teitok/pdtc10/index.php?action=vallex&amp;frame=v-w2937f5", "odvádět (v-w2937f5)")</f>
        <v>odvádět (v-w2937f5)</v>
      </c>
    </row>
    <row r="23046" customFormat="false" ht="12.8" hidden="false" customHeight="false" outlineLevel="0" collapsed="false">
      <c r="B23046" s="0" t="s">
        <v>7</v>
      </c>
    </row>
    <row r="23047" customFormat="false" ht="12.8" hidden="false" customHeight="false" outlineLevel="0" collapsed="false">
      <c r="B23047" s="0" t="s">
        <v>14</v>
      </c>
    </row>
    <row r="23048" customFormat="false" ht="12.8" hidden="false" customHeight="false" outlineLevel="0" collapsed="false">
      <c r="B23048" s="0" t="s">
        <v>124</v>
      </c>
    </row>
    <row r="23050" customFormat="false" ht="12.8" hidden="false" customHeight="false" outlineLevel="0" collapsed="false">
      <c r="A23050" s="0" t="s">
        <v>8658</v>
      </c>
      <c r="B23050" s="0" t="str">
        <f aca="false">HYPERLINK("https://lindat.mff.cuni.cz/services/teitok/pdtc10/index.php?action=vallex&amp;frame=v-w2937f3", "odvádět (v-w2937f3)")</f>
        <v>odvádět (v-w2937f3)</v>
      </c>
    </row>
    <row r="23051" customFormat="false" ht="12.8" hidden="false" customHeight="false" outlineLevel="0" collapsed="false">
      <c r="B23051" s="0" t="s">
        <v>7</v>
      </c>
      <c r="C23051" s="0" t="s">
        <v>3469</v>
      </c>
      <c r="D23051" s="0" t="s">
        <v>4748</v>
      </c>
      <c r="E23051" s="0" t="s">
        <v>4748</v>
      </c>
      <c r="F23051" s="0" t="s">
        <v>4748</v>
      </c>
    </row>
    <row r="23052" customFormat="false" ht="12.8" hidden="false" customHeight="false" outlineLevel="0" collapsed="false">
      <c r="B23052" s="0" t="s">
        <v>14</v>
      </c>
      <c r="C23052" s="0" t="s">
        <v>6367</v>
      </c>
      <c r="D23052" s="0" t="s">
        <v>4749</v>
      </c>
      <c r="E23052" s="0" t="s">
        <v>4749</v>
      </c>
      <c r="F23052" s="0" t="s">
        <v>4749</v>
      </c>
    </row>
    <row r="23054" customFormat="false" ht="12.8" hidden="false" customHeight="false" outlineLevel="0" collapsed="false">
      <c r="A23054" s="0" t="s">
        <v>8659</v>
      </c>
      <c r="B23054" s="0" t="str">
        <f aca="false">HYPERLINK("https://lindat.mff.cuni.cz/services/teitok/pdtc10/index.php?action=vallex&amp;frame=v-w2937f6", "odvádět (v-w2937f6)")</f>
        <v>odvádět (v-w2937f6)</v>
      </c>
    </row>
    <row r="23055" customFormat="false" ht="12.8" hidden="false" customHeight="false" outlineLevel="0" collapsed="false">
      <c r="B23055" s="0" t="s">
        <v>7</v>
      </c>
    </row>
    <row r="23056" customFormat="false" ht="12.8" hidden="false" customHeight="false" outlineLevel="0" collapsed="false">
      <c r="B23056" s="0" t="s">
        <v>679</v>
      </c>
    </row>
    <row r="23057" customFormat="false" ht="12.8" hidden="false" customHeight="false" outlineLevel="0" collapsed="false">
      <c r="B23057" s="0" t="s">
        <v>1654</v>
      </c>
    </row>
    <row r="23058" customFormat="false" ht="12.8" hidden="false" customHeight="false" outlineLevel="0" collapsed="false">
      <c r="B23058" s="0" t="s">
        <v>106</v>
      </c>
    </row>
    <row r="23060" customFormat="false" ht="12.8" hidden="false" customHeight="false" outlineLevel="0" collapsed="false">
      <c r="A23060" s="0" t="s">
        <v>8660</v>
      </c>
      <c r="B23060" s="0" t="str">
        <f aca="false">HYPERLINK("https://lindat.mff.cuni.cz/services/teitok/pdtc10/index.php?action=vallex&amp;frame=v-w2941f1", "odvát (v-w2941f1)")</f>
        <v>odvát (v-w2941f1)</v>
      </c>
    </row>
    <row r="23061" customFormat="false" ht="12.8" hidden="false" customHeight="false" outlineLevel="0" collapsed="false">
      <c r="B23061" s="0" t="s">
        <v>7</v>
      </c>
      <c r="D23061" s="0" t="s">
        <v>191</v>
      </c>
      <c r="E23061" s="0" t="s">
        <v>191</v>
      </c>
      <c r="F23061" s="0" t="s">
        <v>191</v>
      </c>
    </row>
    <row r="23062" customFormat="false" ht="12.8" hidden="false" customHeight="false" outlineLevel="0" collapsed="false">
      <c r="B23062" s="0" t="s">
        <v>14</v>
      </c>
      <c r="D23062" s="0" t="s">
        <v>155</v>
      </c>
      <c r="E23062" s="0" t="s">
        <v>155</v>
      </c>
      <c r="F23062" s="0" t="s">
        <v>155</v>
      </c>
    </row>
    <row r="23064" customFormat="false" ht="12.8" hidden="false" customHeight="false" outlineLevel="0" collapsed="false">
      <c r="A23064" s="0" t="s">
        <v>8661</v>
      </c>
      <c r="B23064" s="0" t="str">
        <f aca="false">HYPERLINK("https://lindat.mff.cuni.cz/services/teitok/pdtc10/index.php?action=vallex&amp;frame=v-whsa_612hsa_613", "odvázat se (v-whsa_612hsa_613)")</f>
        <v>odvázat se (v-whsa_612hsa_613)</v>
      </c>
    </row>
    <row r="23065" customFormat="false" ht="12.8" hidden="false" customHeight="false" outlineLevel="0" collapsed="false">
      <c r="B23065" s="0" t="s">
        <v>7</v>
      </c>
    </row>
    <row r="23067" customFormat="false" ht="12.8" hidden="false" customHeight="false" outlineLevel="0" collapsed="false">
      <c r="A23067" s="0" t="s">
        <v>8662</v>
      </c>
      <c r="B23067" s="0" t="str">
        <f aca="false">HYPERLINK("https://lindat.mff.cuni.cz/services/teitok/pdtc10/index.php?action=vallex&amp;frame=v-w2942f2", "odvážet (v-w2942f2)")</f>
        <v>odvážet (v-w2942f2)</v>
      </c>
    </row>
    <row r="23068" customFormat="false" ht="12.8" hidden="false" customHeight="false" outlineLevel="0" collapsed="false">
      <c r="B23068" s="0" t="s">
        <v>7</v>
      </c>
      <c r="C23068" s="0" t="s">
        <v>46</v>
      </c>
      <c r="D23068" s="0" t="s">
        <v>1758</v>
      </c>
      <c r="E23068" s="0" t="s">
        <v>1758</v>
      </c>
      <c r="F23068" s="0" t="s">
        <v>1758</v>
      </c>
    </row>
    <row r="23069" customFormat="false" ht="12.8" hidden="false" customHeight="false" outlineLevel="0" collapsed="false">
      <c r="B23069" s="0" t="s">
        <v>14</v>
      </c>
      <c r="C23069" s="0" t="s">
        <v>47</v>
      </c>
      <c r="D23069" s="0" t="s">
        <v>1760</v>
      </c>
      <c r="E23069" s="0" t="s">
        <v>1760</v>
      </c>
      <c r="F23069" s="0" t="s">
        <v>1760</v>
      </c>
    </row>
    <row r="23070" customFormat="false" ht="12.8" hidden="false" customHeight="false" outlineLevel="0" collapsed="false">
      <c r="B23070" s="0" t="s">
        <v>48</v>
      </c>
      <c r="D23070" s="0" t="s">
        <v>1851</v>
      </c>
      <c r="E23070" s="0" t="s">
        <v>1851</v>
      </c>
      <c r="F23070" s="0" t="s">
        <v>1851</v>
      </c>
    </row>
    <row r="23072" customFormat="false" ht="12.8" hidden="false" customHeight="false" outlineLevel="0" collapsed="false">
      <c r="A23072" s="0" t="s">
        <v>8663</v>
      </c>
      <c r="B23072" s="0" t="str">
        <f aca="false">HYPERLINK("https://lindat.mff.cuni.cz/services/teitok/pdtc10/index.php?action=vallex&amp;frame=v-w2942f1", "odvážet (v-w2942f1)")</f>
        <v>odvážet (v-w2942f1)</v>
      </c>
    </row>
    <row r="23073" customFormat="false" ht="12.8" hidden="false" customHeight="false" outlineLevel="0" collapsed="false">
      <c r="B23073" s="0" t="s">
        <v>7</v>
      </c>
    </row>
    <row r="23074" customFormat="false" ht="12.8" hidden="false" customHeight="false" outlineLevel="0" collapsed="false">
      <c r="B23074" s="0" t="s">
        <v>14</v>
      </c>
    </row>
    <row r="23075" customFormat="false" ht="12.8" hidden="false" customHeight="false" outlineLevel="0" collapsed="false">
      <c r="B23075" s="0" t="s">
        <v>459</v>
      </c>
    </row>
    <row r="23077" customFormat="false" ht="12.8" hidden="false" customHeight="false" outlineLevel="0" collapsed="false">
      <c r="A23077" s="0" t="s">
        <v>8664</v>
      </c>
      <c r="B23077" s="0" t="str">
        <f aca="false">HYPERLINK("https://lindat.mff.cuni.cz/services/teitok/pdtc10/index.php?action=vallex&amp;frame=v-w2942f3", "odvážet (v-w2942f3)")</f>
        <v>odvážet (v-w2942f3)</v>
      </c>
    </row>
    <row r="23078" customFormat="false" ht="12.8" hidden="false" customHeight="false" outlineLevel="0" collapsed="false">
      <c r="B23078" s="0" t="s">
        <v>7</v>
      </c>
      <c r="D23078" s="0" t="s">
        <v>3844</v>
      </c>
      <c r="E23078" s="0" t="s">
        <v>3844</v>
      </c>
      <c r="F23078" s="0" t="s">
        <v>3844</v>
      </c>
    </row>
    <row r="23079" customFormat="false" ht="12.8" hidden="false" customHeight="false" outlineLevel="0" collapsed="false">
      <c r="B23079" s="0" t="s">
        <v>14</v>
      </c>
      <c r="D23079" s="0" t="s">
        <v>312</v>
      </c>
      <c r="E23079" s="0" t="s">
        <v>312</v>
      </c>
      <c r="F23079" s="0" t="s">
        <v>312</v>
      </c>
    </row>
    <row r="23080" customFormat="false" ht="12.8" hidden="false" customHeight="false" outlineLevel="0" collapsed="false">
      <c r="B23080" s="0" t="s">
        <v>124</v>
      </c>
    </row>
    <row r="23082" customFormat="false" ht="12.8" hidden="false" customHeight="false" outlineLevel="0" collapsed="false">
      <c r="A23082" s="0" t="s">
        <v>8665</v>
      </c>
      <c r="B23082" s="0" t="str">
        <f aca="false">HYPERLINK("https://lindat.mff.cuni.cz/services/teitok/pdtc10/index.php?action=vallex&amp;frame=v-w2943f1", "odvážit (v-w2943f1)")</f>
        <v>odvážit (v-w2943f1)</v>
      </c>
    </row>
    <row r="23083" customFormat="false" ht="12.8" hidden="false" customHeight="false" outlineLevel="0" collapsed="false">
      <c r="B23083" s="0" t="s">
        <v>7</v>
      </c>
    </row>
    <row r="23084" customFormat="false" ht="12.8" hidden="false" customHeight="false" outlineLevel="0" collapsed="false">
      <c r="B23084" s="0" t="s">
        <v>14</v>
      </c>
    </row>
    <row r="23086" customFormat="false" ht="12.8" hidden="false" customHeight="false" outlineLevel="0" collapsed="false">
      <c r="A23086" s="0" t="s">
        <v>8666</v>
      </c>
      <c r="B23086" s="0" t="str">
        <f aca="false">HYPERLINK("https://lindat.mff.cuni.cz/services/teitok/pdtc10/index.php?action=vallex&amp;frame=v-w2944f1", "odvážit se (v-w2944f1)")</f>
        <v>odvážit se (v-w2944f1)</v>
      </c>
    </row>
    <row r="23087" customFormat="false" ht="12.8" hidden="false" customHeight="false" outlineLevel="0" collapsed="false">
      <c r="B23087" s="0" t="s">
        <v>7</v>
      </c>
      <c r="C23087" s="0" t="s">
        <v>16</v>
      </c>
      <c r="D23087" s="0" t="s">
        <v>8607</v>
      </c>
      <c r="E23087" s="0" t="s">
        <v>8607</v>
      </c>
      <c r="F23087" s="0" t="s">
        <v>8607</v>
      </c>
    </row>
    <row r="23088" customFormat="false" ht="12.8" hidden="false" customHeight="false" outlineLevel="0" collapsed="false">
      <c r="B23088" s="0" t="s">
        <v>8667</v>
      </c>
      <c r="C23088" s="0" t="s">
        <v>8609</v>
      </c>
      <c r="D23088" s="0" t="s">
        <v>8610</v>
      </c>
      <c r="E23088" s="0" t="s">
        <v>8610</v>
      </c>
      <c r="F23088" s="0" t="s">
        <v>8610</v>
      </c>
    </row>
    <row r="23090" customFormat="false" ht="12.8" hidden="false" customHeight="false" outlineLevel="0" collapsed="false">
      <c r="A23090" s="0" t="s">
        <v>8668</v>
      </c>
      <c r="B23090" s="0" t="str">
        <f aca="false">HYPERLINK("https://lindat.mff.cuni.cz/services/teitok/pdtc10/index.php?action=vallex&amp;frame=v-w2944f2_ZU", "odvážit se (v-w2944f2_ZU)")</f>
        <v>odvážit se (v-w2944f2_ZU)</v>
      </c>
    </row>
    <row r="23091" customFormat="false" ht="12.8" hidden="false" customHeight="false" outlineLevel="0" collapsed="false">
      <c r="B23091" s="0" t="s">
        <v>7</v>
      </c>
    </row>
    <row r="23092" customFormat="false" ht="12.8" hidden="false" customHeight="false" outlineLevel="0" collapsed="false">
      <c r="B23092" s="0" t="s">
        <v>338</v>
      </c>
    </row>
    <row r="23094" customFormat="false" ht="12.8" hidden="false" customHeight="false" outlineLevel="0" collapsed="false">
      <c r="A23094" s="0" t="s">
        <v>8669</v>
      </c>
      <c r="B23094" s="0" t="str">
        <f aca="false">HYPERLINK("https://lindat.mff.cuni.cz/services/teitok/pdtc10/index.php?action=vallex&amp;frame=v-w2949f2", "odvést (v-w2949f2)")</f>
        <v>odvést (v-w2949f2)</v>
      </c>
    </row>
    <row r="23095" customFormat="false" ht="12.8" hidden="false" customHeight="false" outlineLevel="0" collapsed="false">
      <c r="B23095" s="0" t="s">
        <v>7</v>
      </c>
      <c r="C23095" s="0" t="s">
        <v>88</v>
      </c>
      <c r="D23095" s="0" t="s">
        <v>88</v>
      </c>
      <c r="E23095" s="0" t="s">
        <v>88</v>
      </c>
      <c r="F23095" s="0" t="s">
        <v>88</v>
      </c>
    </row>
    <row r="23096" customFormat="false" ht="12.8" hidden="false" customHeight="false" outlineLevel="0" collapsed="false">
      <c r="B23096" s="0" t="s">
        <v>14</v>
      </c>
      <c r="C23096" s="0" t="s">
        <v>33</v>
      </c>
      <c r="D23096" s="0" t="s">
        <v>33</v>
      </c>
      <c r="E23096" s="0" t="s">
        <v>33</v>
      </c>
      <c r="F23096" s="0" t="s">
        <v>33</v>
      </c>
    </row>
    <row r="23097" customFormat="false" ht="12.8" hidden="false" customHeight="false" outlineLevel="0" collapsed="false">
      <c r="B23097" s="0" t="s">
        <v>459</v>
      </c>
      <c r="C23097" s="0" t="s">
        <v>8566</v>
      </c>
      <c r="D23097" s="0" t="s">
        <v>8566</v>
      </c>
      <c r="E23097" s="0" t="s">
        <v>8566</v>
      </c>
      <c r="F23097" s="0" t="s">
        <v>8566</v>
      </c>
    </row>
    <row r="23099" customFormat="false" ht="12.8" hidden="false" customHeight="false" outlineLevel="0" collapsed="false">
      <c r="A23099" s="0" t="s">
        <v>8670</v>
      </c>
      <c r="B23099" s="0" t="str">
        <f aca="false">HYPERLINK("https://lindat.mff.cuni.cz/services/teitok/pdtc10/index.php?action=vallex&amp;frame=v-w2949f3", "odvést (v-w2949f3)")</f>
        <v>odvést (v-w2949f3)</v>
      </c>
    </row>
    <row r="23100" customFormat="false" ht="12.8" hidden="false" customHeight="false" outlineLevel="0" collapsed="false">
      <c r="B23100" s="0" t="s">
        <v>7</v>
      </c>
      <c r="D23100" s="0" t="s">
        <v>2051</v>
      </c>
      <c r="E23100" s="0" t="s">
        <v>2675</v>
      </c>
      <c r="F23100" s="0" t="s">
        <v>2675</v>
      </c>
    </row>
    <row r="23101" customFormat="false" ht="12.8" hidden="false" customHeight="false" outlineLevel="0" collapsed="false">
      <c r="B23101" s="0" t="s">
        <v>14</v>
      </c>
      <c r="D23101" s="0" t="s">
        <v>2676</v>
      </c>
      <c r="E23101" s="0" t="s">
        <v>2677</v>
      </c>
      <c r="F23101" s="0" t="s">
        <v>2677</v>
      </c>
    </row>
    <row r="23102" customFormat="false" ht="12.8" hidden="false" customHeight="false" outlineLevel="0" collapsed="false">
      <c r="B23102" s="0" t="s">
        <v>124</v>
      </c>
      <c r="D23102" s="0" t="s">
        <v>1761</v>
      </c>
      <c r="E23102" s="0" t="s">
        <v>1761</v>
      </c>
      <c r="F23102" s="0" t="s">
        <v>1761</v>
      </c>
    </row>
    <row r="23104" customFormat="false" ht="12.8" hidden="false" customHeight="false" outlineLevel="0" collapsed="false">
      <c r="A23104" s="0" t="s">
        <v>8671</v>
      </c>
      <c r="B23104" s="0" t="str">
        <f aca="false">HYPERLINK("https://lindat.mff.cuni.cz/services/teitok/pdtc10/index.php?action=vallex&amp;frame=v-w2949f1", "odvést (v-w2949f1)")</f>
        <v>odvést (v-w2949f1)</v>
      </c>
    </row>
    <row r="23105" customFormat="false" ht="12.8" hidden="false" customHeight="false" outlineLevel="0" collapsed="false">
      <c r="B23105" s="0" t="s">
        <v>7</v>
      </c>
      <c r="C23105" s="0" t="s">
        <v>3479</v>
      </c>
      <c r="D23105" s="0" t="s">
        <v>4748</v>
      </c>
      <c r="E23105" s="0" t="s">
        <v>4748</v>
      </c>
      <c r="F23105" s="0" t="s">
        <v>4748</v>
      </c>
    </row>
    <row r="23106" customFormat="false" ht="12.8" hidden="false" customHeight="false" outlineLevel="0" collapsed="false">
      <c r="B23106" s="0" t="s">
        <v>14</v>
      </c>
      <c r="C23106" s="0" t="s">
        <v>8672</v>
      </c>
      <c r="D23106" s="0" t="s">
        <v>4749</v>
      </c>
      <c r="E23106" s="0" t="s">
        <v>4749</v>
      </c>
      <c r="F23106" s="0" t="s">
        <v>4749</v>
      </c>
    </row>
    <row r="23108" customFormat="false" ht="12.8" hidden="false" customHeight="false" outlineLevel="0" collapsed="false">
      <c r="A23108" s="0" t="s">
        <v>8673</v>
      </c>
      <c r="B23108" s="0" t="str">
        <f aca="false">HYPERLINK("https://lindat.mff.cuni.cz/services/teitok/pdtc10/index.php?action=vallex&amp;frame=v-w2949f4", "odvést (v-w2949f4)")</f>
        <v>odvést (v-w2949f4)</v>
      </c>
    </row>
    <row r="23109" customFormat="false" ht="12.8" hidden="false" customHeight="false" outlineLevel="0" collapsed="false">
      <c r="B23109" s="0" t="s">
        <v>7</v>
      </c>
    </row>
    <row r="23110" customFormat="false" ht="12.8" hidden="false" customHeight="false" outlineLevel="0" collapsed="false">
      <c r="B23110" s="0" t="s">
        <v>679</v>
      </c>
    </row>
    <row r="23111" customFormat="false" ht="12.8" hidden="false" customHeight="false" outlineLevel="0" collapsed="false">
      <c r="B23111" s="0" t="s">
        <v>1654</v>
      </c>
    </row>
    <row r="23112" customFormat="false" ht="12.8" hidden="false" customHeight="false" outlineLevel="0" collapsed="false">
      <c r="B23112" s="0" t="s">
        <v>106</v>
      </c>
    </row>
    <row r="23114" customFormat="false" ht="12.8" hidden="false" customHeight="false" outlineLevel="0" collapsed="false">
      <c r="A23114" s="0" t="s">
        <v>8674</v>
      </c>
      <c r="B23114" s="0" t="str">
        <f aca="false">HYPERLINK("https://lindat.mff.cuni.cz/services/teitok/pdtc10/index.php?action=vallex&amp;frame=v-w2949hsa_596", "odvést (v-w2949hsa_596)")</f>
        <v>odvést (v-w2949hsa_596)</v>
      </c>
    </row>
    <row r="23115" customFormat="false" ht="12.8" hidden="false" customHeight="false" outlineLevel="0" collapsed="false">
      <c r="B23115" s="0" t="s">
        <v>7</v>
      </c>
    </row>
    <row r="23116" customFormat="false" ht="12.8" hidden="false" customHeight="false" outlineLevel="0" collapsed="false">
      <c r="B23116" s="0" t="s">
        <v>14</v>
      </c>
    </row>
    <row r="23117" customFormat="false" ht="12.8" hidden="false" customHeight="false" outlineLevel="0" collapsed="false">
      <c r="B23117" s="0" t="s">
        <v>459</v>
      </c>
    </row>
    <row r="23119" customFormat="false" ht="12.8" hidden="false" customHeight="false" outlineLevel="0" collapsed="false">
      <c r="A23119" s="0" t="s">
        <v>8675</v>
      </c>
      <c r="B23119" s="0" t="str">
        <f aca="false">HYPERLINK("https://lindat.mff.cuni.cz/services/teitok/pdtc10/index.php?action=vallex&amp;frame=v-w2953f3", "odvézt (v-w2953f3)")</f>
        <v>odvézt (v-w2953f3)</v>
      </c>
    </row>
    <row r="23120" customFormat="false" ht="12.8" hidden="false" customHeight="false" outlineLevel="0" collapsed="false">
      <c r="B23120" s="0" t="s">
        <v>7</v>
      </c>
      <c r="D23120" s="0" t="s">
        <v>1758</v>
      </c>
      <c r="E23120" s="0" t="s">
        <v>1758</v>
      </c>
      <c r="F23120" s="0" t="s">
        <v>1758</v>
      </c>
    </row>
    <row r="23121" customFormat="false" ht="12.8" hidden="false" customHeight="false" outlineLevel="0" collapsed="false">
      <c r="B23121" s="0" t="s">
        <v>14</v>
      </c>
      <c r="D23121" s="0" t="s">
        <v>1760</v>
      </c>
      <c r="E23121" s="0" t="s">
        <v>1760</v>
      </c>
      <c r="F23121" s="0" t="s">
        <v>1760</v>
      </c>
    </row>
    <row r="23122" customFormat="false" ht="12.8" hidden="false" customHeight="false" outlineLevel="0" collapsed="false">
      <c r="B23122" s="0" t="s">
        <v>48</v>
      </c>
      <c r="D23122" s="0" t="s">
        <v>1851</v>
      </c>
      <c r="E23122" s="0" t="s">
        <v>1851</v>
      </c>
      <c r="F23122" s="0" t="s">
        <v>1851</v>
      </c>
    </row>
    <row r="23124" customFormat="false" ht="12.8" hidden="false" customHeight="false" outlineLevel="0" collapsed="false">
      <c r="A23124" s="0" t="s">
        <v>8676</v>
      </c>
      <c r="B23124" s="0" t="str">
        <f aca="false">HYPERLINK("https://lindat.mff.cuni.cz/services/teitok/pdtc10/index.php?action=vallex&amp;frame=v-w2953f1", "odvézt (v-w2953f1)")</f>
        <v>odvézt (v-w2953f1)</v>
      </c>
    </row>
    <row r="23125" customFormat="false" ht="12.8" hidden="false" customHeight="false" outlineLevel="0" collapsed="false">
      <c r="B23125" s="0" t="s">
        <v>7</v>
      </c>
      <c r="C23125" s="0" t="s">
        <v>3051</v>
      </c>
    </row>
    <row r="23126" customFormat="false" ht="12.8" hidden="false" customHeight="false" outlineLevel="0" collapsed="false">
      <c r="B23126" s="0" t="s">
        <v>14</v>
      </c>
      <c r="C23126" s="0" t="s">
        <v>4733</v>
      </c>
    </row>
    <row r="23127" customFormat="false" ht="12.8" hidden="false" customHeight="false" outlineLevel="0" collapsed="false">
      <c r="B23127" s="0" t="s">
        <v>459</v>
      </c>
    </row>
    <row r="23129" customFormat="false" ht="12.8" hidden="false" customHeight="false" outlineLevel="0" collapsed="false">
      <c r="A23129" s="0" t="s">
        <v>8677</v>
      </c>
      <c r="B23129" s="0" t="str">
        <f aca="false">HYPERLINK("https://lindat.mff.cuni.cz/services/teitok/pdtc10/index.php?action=vallex&amp;frame=v-w2953f2", "odvézt (v-w2953f2)")</f>
        <v>odvézt (v-w2953f2)</v>
      </c>
    </row>
    <row r="23130" customFormat="false" ht="12.8" hidden="false" customHeight="false" outlineLevel="0" collapsed="false">
      <c r="B23130" s="0" t="s">
        <v>7</v>
      </c>
      <c r="C23130" s="0" t="s">
        <v>504</v>
      </c>
      <c r="D23130" s="0" t="s">
        <v>8678</v>
      </c>
      <c r="E23130" s="0" t="s">
        <v>8678</v>
      </c>
      <c r="F23130" s="0" t="s">
        <v>8678</v>
      </c>
    </row>
    <row r="23131" customFormat="false" ht="12.8" hidden="false" customHeight="false" outlineLevel="0" collapsed="false">
      <c r="B23131" s="0" t="s">
        <v>14</v>
      </c>
      <c r="C23131" s="0" t="s">
        <v>152</v>
      </c>
      <c r="D23131" s="0" t="s">
        <v>8679</v>
      </c>
      <c r="E23131" s="0" t="s">
        <v>8679</v>
      </c>
      <c r="F23131" s="0" t="s">
        <v>8679</v>
      </c>
    </row>
    <row r="23132" customFormat="false" ht="12.8" hidden="false" customHeight="false" outlineLevel="0" collapsed="false">
      <c r="B23132" s="0" t="s">
        <v>124</v>
      </c>
      <c r="D23132" s="0" t="s">
        <v>1761</v>
      </c>
      <c r="E23132" s="0" t="s">
        <v>1761</v>
      </c>
      <c r="F23132" s="0" t="s">
        <v>1761</v>
      </c>
    </row>
    <row r="23134" customFormat="false" ht="12.8" hidden="false" customHeight="false" outlineLevel="0" collapsed="false">
      <c r="A23134" s="0" t="s">
        <v>8680</v>
      </c>
      <c r="B23134" s="0" t="str">
        <f aca="false">HYPERLINK("https://lindat.mff.cuni.cz/services/teitok/pdtc10/index.php?action=vallex&amp;frame=v-w2954f1", "odvíjet (v-w2954f1)")</f>
        <v>odvíjet (v-w2954f1)</v>
      </c>
    </row>
    <row r="23135" customFormat="false" ht="12.8" hidden="false" customHeight="false" outlineLevel="0" collapsed="false">
      <c r="B23135" s="0" t="s">
        <v>7</v>
      </c>
    </row>
    <row r="23136" customFormat="false" ht="12.8" hidden="false" customHeight="false" outlineLevel="0" collapsed="false">
      <c r="B23136" s="0" t="s">
        <v>14</v>
      </c>
    </row>
    <row r="23137" customFormat="false" ht="12.8" hidden="false" customHeight="false" outlineLevel="0" collapsed="false">
      <c r="B23137" s="0" t="s">
        <v>1056</v>
      </c>
    </row>
    <row r="23139" customFormat="false" ht="12.8" hidden="false" customHeight="false" outlineLevel="0" collapsed="false">
      <c r="A23139" s="0" t="s">
        <v>8681</v>
      </c>
      <c r="B23139" s="0" t="str">
        <f aca="false">HYPERLINK("https://lindat.mff.cuni.cz/services/teitok/pdtc10/index.php?action=vallex&amp;frame=v-w2955f1", "odvíjet se (v-w2955f1)")</f>
        <v>odvíjet se (v-w2955f1)</v>
      </c>
    </row>
    <row r="23140" customFormat="false" ht="12.8" hidden="false" customHeight="false" outlineLevel="0" collapsed="false">
      <c r="B23140" s="0" t="s">
        <v>7</v>
      </c>
    </row>
    <row r="23141" customFormat="false" ht="12.8" hidden="false" customHeight="false" outlineLevel="0" collapsed="false">
      <c r="B23141" s="0" t="s">
        <v>28</v>
      </c>
    </row>
    <row r="23143" customFormat="false" ht="12.8" hidden="false" customHeight="false" outlineLevel="0" collapsed="false">
      <c r="A23143" s="0" t="s">
        <v>8682</v>
      </c>
      <c r="B23143" s="0" t="str">
        <f aca="false">HYPERLINK("https://lindat.mff.cuni.cz/services/teitok/pdtc10/index.php?action=vallex&amp;frame=v-w2955f3_ZU", "odvíjet se (v-w2955f3_ZU)")</f>
        <v>odvíjet se (v-w2955f3_ZU)</v>
      </c>
    </row>
    <row r="23144" customFormat="false" ht="12.8" hidden="false" customHeight="false" outlineLevel="0" collapsed="false">
      <c r="B23144" s="0" t="s">
        <v>7</v>
      </c>
    </row>
    <row r="23146" customFormat="false" ht="12.8" hidden="false" customHeight="false" outlineLevel="0" collapsed="false">
      <c r="A23146" s="0" t="s">
        <v>8682</v>
      </c>
      <c r="B23146" s="0" t="str">
        <f aca="false">HYPERLINK("https://lindat.mff.cuni.cz/services/teitok/pdtc10/index.php?action=vallex&amp;frame=v-w2955f2", "odvíjet se (v-w2955f2) - substituted with v-w2955f3_ZU")</f>
        <v>odvíjet se (v-w2955f2) - substituted with v-w2955f3_ZU</v>
      </c>
    </row>
    <row r="23147" customFormat="false" ht="12.8" hidden="false" customHeight="false" outlineLevel="0" collapsed="false">
      <c r="B23147" s="0" t="s">
        <v>7</v>
      </c>
      <c r="C23147" s="0" t="s">
        <v>1378</v>
      </c>
      <c r="D23147" s="0" t="s">
        <v>1108</v>
      </c>
      <c r="E23147" s="0" t="s">
        <v>1108</v>
      </c>
      <c r="F23147" s="0" t="s">
        <v>1108</v>
      </c>
    </row>
    <row r="23149" customFormat="false" ht="12.8" hidden="false" customHeight="false" outlineLevel="0" collapsed="false">
      <c r="A23149" s="0" t="s">
        <v>8683</v>
      </c>
      <c r="B23149" s="0" t="str">
        <f aca="false">HYPERLINK("https://lindat.mff.cuni.cz/services/teitok/pdtc10/index.php?action=vallex&amp;frame=v-w2951f1", "odvětit (v-w2951f1)")</f>
        <v>odvětit (v-w2951f1)</v>
      </c>
    </row>
    <row r="23150" customFormat="false" ht="12.8" hidden="false" customHeight="false" outlineLevel="0" collapsed="false">
      <c r="B23150" s="0" t="s">
        <v>7</v>
      </c>
      <c r="C23150" s="0" t="s">
        <v>5572</v>
      </c>
      <c r="D23150" s="0" t="s">
        <v>8367</v>
      </c>
      <c r="E23150" s="0" t="s">
        <v>8367</v>
      </c>
      <c r="F23150" s="0" t="s">
        <v>8367</v>
      </c>
    </row>
    <row r="23151" customFormat="false" ht="12.8" hidden="false" customHeight="false" outlineLevel="0" collapsed="false">
      <c r="B23151" s="0" t="s">
        <v>48</v>
      </c>
      <c r="C23151" s="0" t="s">
        <v>3323</v>
      </c>
      <c r="D23151" s="0" t="s">
        <v>8368</v>
      </c>
      <c r="E23151" s="0" t="s">
        <v>8368</v>
      </c>
      <c r="F23151" s="0" t="s">
        <v>8368</v>
      </c>
    </row>
    <row r="23152" customFormat="false" ht="12.8" hidden="false" customHeight="false" outlineLevel="0" collapsed="false">
      <c r="B23152" s="0" t="s">
        <v>8094</v>
      </c>
      <c r="C23152" s="0" t="s">
        <v>8684</v>
      </c>
      <c r="D23152" s="0" t="s">
        <v>8371</v>
      </c>
      <c r="E23152" s="0" t="s">
        <v>8371</v>
      </c>
      <c r="F23152" s="0" t="s">
        <v>8371</v>
      </c>
    </row>
    <row r="23153" customFormat="false" ht="12.8" hidden="false" customHeight="false" outlineLevel="0" collapsed="false">
      <c r="B23153" s="0" t="s">
        <v>63</v>
      </c>
      <c r="C23153" s="0" t="s">
        <v>6697</v>
      </c>
      <c r="D23153" s="0" t="s">
        <v>8373</v>
      </c>
      <c r="E23153" s="0" t="s">
        <v>8373</v>
      </c>
      <c r="F23153" s="0" t="s">
        <v>8373</v>
      </c>
    </row>
    <row r="23155" customFormat="false" ht="12.8" hidden="false" customHeight="false" outlineLevel="0" collapsed="false">
      <c r="A23155" s="0" t="s">
        <v>8685</v>
      </c>
      <c r="B23155" s="0" t="str">
        <f aca="false">HYPERLINK("https://lindat.mff.cuni.cz/services/teitok/pdtc10/index.php?action=vallex&amp;frame=v-w2981f1", "odzbrojit (v-w2981f1)")</f>
        <v>odzbrojit (v-w2981f1)</v>
      </c>
    </row>
    <row r="23156" customFormat="false" ht="12.8" hidden="false" customHeight="false" outlineLevel="0" collapsed="false">
      <c r="B23156" s="0" t="s">
        <v>7</v>
      </c>
    </row>
    <row r="23157" customFormat="false" ht="12.8" hidden="false" customHeight="false" outlineLevel="0" collapsed="false">
      <c r="B23157" s="0" t="s">
        <v>14</v>
      </c>
      <c r="C23157" s="0" t="s">
        <v>567</v>
      </c>
      <c r="D23157" s="0" t="s">
        <v>567</v>
      </c>
      <c r="E23157" s="0" t="s">
        <v>567</v>
      </c>
      <c r="F23157" s="0" t="s">
        <v>567</v>
      </c>
    </row>
    <row r="23159" customFormat="false" ht="12.8" hidden="false" customHeight="false" outlineLevel="0" collapsed="false">
      <c r="A23159" s="0" t="s">
        <v>8686</v>
      </c>
      <c r="B23159" s="0" t="str">
        <f aca="false">HYPERLINK("https://lindat.mff.cuni.cz/services/teitok/pdtc10/index.php?action=vallex&amp;frame=v-w2981hsa_608", "odzbrojit (v-w2981hsa_608)")</f>
        <v>odzbrojit (v-w2981hsa_608)</v>
      </c>
    </row>
    <row r="23160" customFormat="false" ht="12.8" hidden="false" customHeight="false" outlineLevel="0" collapsed="false">
      <c r="B23160" s="0" t="s">
        <v>7</v>
      </c>
      <c r="D23160" s="0" t="s">
        <v>396</v>
      </c>
    </row>
    <row r="23162" customFormat="false" ht="12.8" hidden="false" customHeight="false" outlineLevel="0" collapsed="false">
      <c r="A23162" s="0" t="s">
        <v>8687</v>
      </c>
      <c r="B23162" s="0" t="str">
        <f aca="false">HYPERLINK("https://lindat.mff.cuni.cz/services/teitok/pdtc10/index.php?action=vallex&amp;frame=v-w2983f1", "odzbrojovat (v-w2983f1)")</f>
        <v>odzbrojovat (v-w2983f1)</v>
      </c>
    </row>
    <row r="23163" customFormat="false" ht="12.8" hidden="false" customHeight="false" outlineLevel="0" collapsed="false">
      <c r="B23163" s="0" t="s">
        <v>7</v>
      </c>
    </row>
    <row r="23164" customFormat="false" ht="12.8" hidden="false" customHeight="false" outlineLevel="0" collapsed="false">
      <c r="B23164" s="0" t="s">
        <v>14</v>
      </c>
      <c r="D23164" s="0" t="s">
        <v>567</v>
      </c>
      <c r="E23164" s="0" t="s">
        <v>567</v>
      </c>
      <c r="F23164" s="0" t="s">
        <v>567</v>
      </c>
    </row>
    <row r="23166" customFormat="false" ht="12.8" hidden="false" customHeight="false" outlineLevel="0" collapsed="false">
      <c r="A23166" s="0" t="s">
        <v>8688</v>
      </c>
      <c r="B23166" s="0" t="str">
        <f aca="false">HYPERLINK("https://lindat.mff.cuni.cz/services/teitok/pdtc10/index.php?action=vallex&amp;frame=v-w11538_ZUf1_ZU", "odzvonit (v-w11538_ZUf1_ZU)")</f>
        <v>odzvonit (v-w11538_ZUf1_ZU)</v>
      </c>
    </row>
    <row r="23167" customFormat="false" ht="12.8" hidden="false" customHeight="false" outlineLevel="0" collapsed="false">
      <c r="B23167" s="0" t="s">
        <v>603</v>
      </c>
      <c r="C23167" s="0" t="s">
        <v>4651</v>
      </c>
    </row>
    <row r="23169" customFormat="false" ht="12.8" hidden="false" customHeight="false" outlineLevel="0" collapsed="false">
      <c r="A23169" s="0" t="s">
        <v>8689</v>
      </c>
      <c r="B23169" s="0" t="str">
        <f aca="false">HYPERLINK("https://lindat.mff.cuni.cz/services/teitok/pdtc10/index.php?action=vallex&amp;frame=v-w11538_ZUhsa_490", "odzvonit (v-w11538_ZUhsa_490)")</f>
        <v>odzvonit (v-w11538_ZUhsa_490)</v>
      </c>
    </row>
    <row r="23170" customFormat="false" ht="12.8" hidden="false" customHeight="false" outlineLevel="0" collapsed="false">
      <c r="B23170" s="0" t="s">
        <v>7</v>
      </c>
      <c r="C23170" s="0" t="s">
        <v>247</v>
      </c>
    </row>
    <row r="23171" customFormat="false" ht="12.8" hidden="false" customHeight="false" outlineLevel="0" collapsed="false">
      <c r="B23171" s="0" t="s">
        <v>14</v>
      </c>
    </row>
    <row r="23173" customFormat="false" ht="12.8" hidden="false" customHeight="false" outlineLevel="0" collapsed="false">
      <c r="A23173" s="0" t="s">
        <v>8690</v>
      </c>
      <c r="B23173" s="0" t="str">
        <f aca="false">HYPERLINK("https://lindat.mff.cuni.cz/services/teitok/pdtc10/index.php?action=vallex&amp;frame=v-w2726f1", "odírat (v-w2726f1)")</f>
        <v>odírat (v-w2726f1)</v>
      </c>
    </row>
    <row r="23174" customFormat="false" ht="12.8" hidden="false" customHeight="false" outlineLevel="0" collapsed="false">
      <c r="B23174" s="0" t="s">
        <v>7</v>
      </c>
    </row>
    <row r="23175" customFormat="false" ht="12.8" hidden="false" customHeight="false" outlineLevel="0" collapsed="false">
      <c r="B23175" s="0" t="s">
        <v>81</v>
      </c>
    </row>
    <row r="23176" customFormat="false" ht="12.8" hidden="false" customHeight="false" outlineLevel="0" collapsed="false">
      <c r="B23176" s="0" t="s">
        <v>2721</v>
      </c>
    </row>
    <row r="23178" customFormat="false" ht="12.8" hidden="false" customHeight="false" outlineLevel="0" collapsed="false">
      <c r="A23178" s="0" t="s">
        <v>8691</v>
      </c>
      <c r="B23178" s="0" t="str">
        <f aca="false">HYPERLINK("https://lindat.mff.cuni.cz/services/teitok/pdtc10/index.php?action=vallex&amp;frame=v-w2727f1", "odít (v-w2727f1)")</f>
        <v>odít (v-w2727f1)</v>
      </c>
    </row>
    <row r="23179" customFormat="false" ht="12.8" hidden="false" customHeight="false" outlineLevel="0" collapsed="false">
      <c r="B23179" s="0" t="s">
        <v>7</v>
      </c>
    </row>
    <row r="23180" customFormat="false" ht="12.8" hidden="false" customHeight="false" outlineLevel="0" collapsed="false">
      <c r="B23180" s="0" t="s">
        <v>14</v>
      </c>
    </row>
    <row r="23182" customFormat="false" ht="12.8" hidden="false" customHeight="false" outlineLevel="0" collapsed="false">
      <c r="A23182" s="0" t="s">
        <v>8692</v>
      </c>
      <c r="B23182" s="0" t="str">
        <f aca="false">HYPERLINK("https://lindat.mff.cuni.cz/services/teitok/pdtc10/index.php?action=vallex&amp;frame=v-w2641f1", "odčarovat (v-w2641f1)")</f>
        <v>odčarovat (v-w2641f1)</v>
      </c>
    </row>
    <row r="23183" customFormat="false" ht="12.8" hidden="false" customHeight="false" outlineLevel="0" collapsed="false">
      <c r="B23183" s="0" t="s">
        <v>7</v>
      </c>
    </row>
    <row r="23184" customFormat="false" ht="12.8" hidden="false" customHeight="false" outlineLevel="0" collapsed="false">
      <c r="B23184" s="0" t="s">
        <v>14</v>
      </c>
    </row>
    <row r="23185" customFormat="false" ht="12.8" hidden="false" customHeight="false" outlineLevel="0" collapsed="false">
      <c r="B23185" s="0" t="s">
        <v>459</v>
      </c>
    </row>
    <row r="23187" customFormat="false" ht="12.8" hidden="false" customHeight="false" outlineLevel="0" collapsed="false">
      <c r="A23187" s="0" t="s">
        <v>8693</v>
      </c>
      <c r="B23187" s="0" t="str">
        <f aca="false">HYPERLINK("https://lindat.mff.cuni.cz/services/teitok/pdtc10/index.php?action=vallex&amp;frame=v-w2642f2", "odčerpat (v-w2642f2)")</f>
        <v>odčerpat (v-w2642f2)</v>
      </c>
    </row>
    <row r="23188" customFormat="false" ht="12.8" hidden="false" customHeight="false" outlineLevel="0" collapsed="false">
      <c r="B23188" s="0" t="s">
        <v>7</v>
      </c>
      <c r="C23188" s="0" t="s">
        <v>46</v>
      </c>
      <c r="D23188" s="0" t="s">
        <v>191</v>
      </c>
      <c r="E23188" s="0" t="s">
        <v>191</v>
      </c>
      <c r="F23188" s="0" t="s">
        <v>191</v>
      </c>
    </row>
    <row r="23189" customFormat="false" ht="12.8" hidden="false" customHeight="false" outlineLevel="0" collapsed="false">
      <c r="B23189" s="0" t="s">
        <v>14</v>
      </c>
      <c r="C23189" s="0" t="s">
        <v>47</v>
      </c>
      <c r="D23189" s="0" t="s">
        <v>8694</v>
      </c>
      <c r="E23189" s="0" t="s">
        <v>8694</v>
      </c>
      <c r="F23189" s="0" t="s">
        <v>8694</v>
      </c>
    </row>
    <row r="23190" customFormat="false" ht="12.8" hidden="false" customHeight="false" outlineLevel="0" collapsed="false">
      <c r="B23190" s="0" t="s">
        <v>48</v>
      </c>
    </row>
    <row r="23192" customFormat="false" ht="12.8" hidden="false" customHeight="false" outlineLevel="0" collapsed="false">
      <c r="A23192" s="0" t="s">
        <v>8695</v>
      </c>
      <c r="B23192" s="0" t="str">
        <f aca="false">HYPERLINK("https://lindat.mff.cuni.cz/services/teitok/pdtc10/index.php?action=vallex&amp;frame=v-w2642f1", "odčerpat (v-w2642f1)")</f>
        <v>odčerpat (v-w2642f1)</v>
      </c>
    </row>
    <row r="23193" customFormat="false" ht="12.8" hidden="false" customHeight="false" outlineLevel="0" collapsed="false">
      <c r="B23193" s="0" t="s">
        <v>7</v>
      </c>
    </row>
    <row r="23194" customFormat="false" ht="12.8" hidden="false" customHeight="false" outlineLevel="0" collapsed="false">
      <c r="B23194" s="0" t="s">
        <v>14</v>
      </c>
    </row>
    <row r="23195" customFormat="false" ht="12.8" hidden="false" customHeight="false" outlineLevel="0" collapsed="false">
      <c r="B23195" s="0" t="s">
        <v>459</v>
      </c>
    </row>
    <row r="23197" customFormat="false" ht="12.8" hidden="false" customHeight="false" outlineLevel="0" collapsed="false">
      <c r="A23197" s="0" t="s">
        <v>8696</v>
      </c>
      <c r="B23197" s="0" t="str">
        <f aca="false">HYPERLINK("https://lindat.mff.cuni.cz/services/teitok/pdtc10/index.php?action=vallex&amp;frame=v-w2642f3", "odčerpat (v-w2642f3)")</f>
        <v>odčerpat (v-w2642f3)</v>
      </c>
    </row>
    <row r="23198" customFormat="false" ht="12.8" hidden="false" customHeight="false" outlineLevel="0" collapsed="false">
      <c r="B23198" s="0" t="s">
        <v>7</v>
      </c>
      <c r="C23198" s="0" t="s">
        <v>2736</v>
      </c>
    </row>
    <row r="23199" customFormat="false" ht="12.8" hidden="false" customHeight="false" outlineLevel="0" collapsed="false">
      <c r="B23199" s="0" t="s">
        <v>14</v>
      </c>
      <c r="C23199" s="0" t="s">
        <v>89</v>
      </c>
    </row>
    <row r="23200" customFormat="false" ht="12.8" hidden="false" customHeight="false" outlineLevel="0" collapsed="false">
      <c r="B23200" s="0" t="s">
        <v>459</v>
      </c>
      <c r="C23200" s="0" t="s">
        <v>8697</v>
      </c>
    </row>
    <row r="23202" customFormat="false" ht="12.8" hidden="false" customHeight="false" outlineLevel="0" collapsed="false">
      <c r="A23202" s="0" t="s">
        <v>8698</v>
      </c>
      <c r="B23202" s="0" t="str">
        <f aca="false">HYPERLINK("https://lindat.mff.cuni.cz/services/teitok/pdtc10/index.php?action=vallex&amp;frame=v-w2645f1", "odčerpávat (v-w2645f1)")</f>
        <v>odčerpávat (v-w2645f1)</v>
      </c>
    </row>
    <row r="23203" customFormat="false" ht="12.8" hidden="false" customHeight="false" outlineLevel="0" collapsed="false">
      <c r="B23203" s="0" t="s">
        <v>7</v>
      </c>
      <c r="C23203" s="0" t="s">
        <v>184</v>
      </c>
      <c r="D23203" s="0" t="s">
        <v>191</v>
      </c>
      <c r="E23203" s="0" t="s">
        <v>191</v>
      </c>
      <c r="F23203" s="0" t="s">
        <v>191</v>
      </c>
    </row>
    <row r="23204" customFormat="false" ht="12.8" hidden="false" customHeight="false" outlineLevel="0" collapsed="false">
      <c r="B23204" s="0" t="s">
        <v>14</v>
      </c>
      <c r="C23204" s="0" t="s">
        <v>8699</v>
      </c>
      <c r="D23204" s="0" t="s">
        <v>8694</v>
      </c>
      <c r="E23204" s="0" t="s">
        <v>8694</v>
      </c>
      <c r="F23204" s="0" t="s">
        <v>8694</v>
      </c>
    </row>
    <row r="23205" customFormat="false" ht="12.8" hidden="false" customHeight="false" outlineLevel="0" collapsed="false">
      <c r="B23205" s="0" t="s">
        <v>48</v>
      </c>
    </row>
    <row r="23207" customFormat="false" ht="12.8" hidden="false" customHeight="false" outlineLevel="0" collapsed="false">
      <c r="A23207" s="0" t="s">
        <v>8700</v>
      </c>
      <c r="B23207" s="0" t="str">
        <f aca="false">HYPERLINK("https://lindat.mff.cuni.cz/services/teitok/pdtc10/index.php?action=vallex&amp;frame=v-w2645f2", "odčerpávat (v-w2645f2)")</f>
        <v>odčerpávat (v-w2645f2)</v>
      </c>
    </row>
    <row r="23208" customFormat="false" ht="12.8" hidden="false" customHeight="false" outlineLevel="0" collapsed="false">
      <c r="B23208" s="0" t="s">
        <v>7</v>
      </c>
      <c r="C23208" s="0" t="s">
        <v>335</v>
      </c>
    </row>
    <row r="23209" customFormat="false" ht="12.8" hidden="false" customHeight="false" outlineLevel="0" collapsed="false">
      <c r="B23209" s="0" t="s">
        <v>14</v>
      </c>
    </row>
    <row r="23210" customFormat="false" ht="12.8" hidden="false" customHeight="false" outlineLevel="0" collapsed="false">
      <c r="B23210" s="0" t="s">
        <v>459</v>
      </c>
      <c r="C23210" s="0" t="s">
        <v>1583</v>
      </c>
    </row>
    <row r="23212" customFormat="false" ht="12.8" hidden="false" customHeight="false" outlineLevel="0" collapsed="false">
      <c r="A23212" s="0" t="s">
        <v>8701</v>
      </c>
      <c r="B23212" s="0" t="str">
        <f aca="false">HYPERLINK("https://lindat.mff.cuni.cz/services/teitok/pdtc10/index.php?action=vallex&amp;frame=v-w2647f1", "odčinit (v-w2647f1)")</f>
        <v>odčinit (v-w2647f1)</v>
      </c>
    </row>
    <row r="23213" customFormat="false" ht="12.8" hidden="false" customHeight="false" outlineLevel="0" collapsed="false">
      <c r="B23213" s="0" t="s">
        <v>7</v>
      </c>
      <c r="C23213" s="0" t="s">
        <v>31</v>
      </c>
    </row>
    <row r="23214" customFormat="false" ht="12.8" hidden="false" customHeight="false" outlineLevel="0" collapsed="false">
      <c r="B23214" s="0" t="s">
        <v>14</v>
      </c>
      <c r="C23214" s="0" t="s">
        <v>159</v>
      </c>
    </row>
    <row r="23216" customFormat="false" ht="12.8" hidden="false" customHeight="false" outlineLevel="0" collapsed="false">
      <c r="A23216" s="0" t="s">
        <v>8702</v>
      </c>
      <c r="B23216" s="0" t="str">
        <f aca="false">HYPERLINK("https://lindat.mff.cuni.cz/services/teitok/pdtc10/index.php?action=vallex&amp;frame=v-whsa_758hsa_759", "odčítat (v-whsa_758hsa_759)")</f>
        <v>odčítat (v-whsa_758hsa_759)</v>
      </c>
    </row>
    <row r="23217" customFormat="false" ht="12.8" hidden="false" customHeight="false" outlineLevel="0" collapsed="false">
      <c r="B23217" s="0" t="s">
        <v>7</v>
      </c>
      <c r="C23217" s="0" t="s">
        <v>46</v>
      </c>
      <c r="D23217" s="0" t="s">
        <v>4976</v>
      </c>
      <c r="E23217" s="0" t="s">
        <v>4976</v>
      </c>
      <c r="F23217" s="0" t="s">
        <v>4976</v>
      </c>
    </row>
    <row r="23218" customFormat="false" ht="12.8" hidden="false" customHeight="false" outlineLevel="0" collapsed="false">
      <c r="B23218" s="0" t="s">
        <v>14</v>
      </c>
      <c r="C23218" s="0" t="s">
        <v>33</v>
      </c>
      <c r="D23218" s="0" t="s">
        <v>487</v>
      </c>
      <c r="E23218" s="0" t="s">
        <v>487</v>
      </c>
      <c r="F23218" s="0" t="s">
        <v>487</v>
      </c>
    </row>
    <row r="23220" customFormat="false" ht="12.8" hidden="false" customHeight="false" outlineLevel="0" collapsed="false">
      <c r="A23220" s="0" t="s">
        <v>8703</v>
      </c>
      <c r="B23220" s="0" t="str">
        <f aca="false">HYPERLINK("https://lindat.mff.cuni.cz/services/teitok/pdtc10/index.php?action=vallex&amp;frame=v-w11688_ZUf1_ZU", "odčítávat (v-w11688_ZUf1_ZU)")</f>
        <v>odčítávat (v-w11688_ZUf1_ZU)</v>
      </c>
    </row>
    <row r="23221" customFormat="false" ht="12.8" hidden="false" customHeight="false" outlineLevel="0" collapsed="false">
      <c r="B23221" s="0" t="s">
        <v>7</v>
      </c>
    </row>
    <row r="23222" customFormat="false" ht="12.8" hidden="false" customHeight="false" outlineLevel="0" collapsed="false">
      <c r="B23222" s="0" t="s">
        <v>14</v>
      </c>
    </row>
    <row r="23223" customFormat="false" ht="12.8" hidden="false" customHeight="false" outlineLevel="0" collapsed="false">
      <c r="B23223" s="0" t="s">
        <v>5382</v>
      </c>
    </row>
    <row r="23225" customFormat="false" ht="12.8" hidden="false" customHeight="false" outlineLevel="0" collapsed="false">
      <c r="A23225" s="0" t="s">
        <v>8704</v>
      </c>
      <c r="B23225" s="0" t="str">
        <f aca="false">HYPERLINK("https://lindat.mff.cuni.cz/services/teitok/pdtc10/index.php?action=vallex&amp;frame=v-w2865f2", "odřeknout (v-w2865f2)")</f>
        <v>odřeknout (v-w2865f2)</v>
      </c>
    </row>
    <row r="23226" customFormat="false" ht="12.8" hidden="false" customHeight="false" outlineLevel="0" collapsed="false">
      <c r="B23226" s="0" t="s">
        <v>7</v>
      </c>
    </row>
    <row r="23227" customFormat="false" ht="12.8" hidden="false" customHeight="false" outlineLevel="0" collapsed="false">
      <c r="B23227" s="0" t="s">
        <v>8101</v>
      </c>
    </row>
    <row r="23228" customFormat="false" ht="12.8" hidden="false" customHeight="false" outlineLevel="0" collapsed="false">
      <c r="B23228" s="0" t="s">
        <v>48</v>
      </c>
    </row>
    <row r="23230" customFormat="false" ht="12.8" hidden="false" customHeight="false" outlineLevel="0" collapsed="false">
      <c r="A23230" s="0" t="s">
        <v>8705</v>
      </c>
      <c r="B23230" s="0" t="str">
        <f aca="false">HYPERLINK("https://lindat.mff.cuni.cz/services/teitok/pdtc10/index.php?action=vallex&amp;frame=v-w2865f1", "odřeknout (v-w2865f1)")</f>
        <v>odřeknout (v-w2865f1)</v>
      </c>
    </row>
    <row r="23231" customFormat="false" ht="12.8" hidden="false" customHeight="false" outlineLevel="0" collapsed="false">
      <c r="B23231" s="0" t="s">
        <v>7</v>
      </c>
    </row>
    <row r="23232" customFormat="false" ht="12.8" hidden="false" customHeight="false" outlineLevel="0" collapsed="false">
      <c r="B23232" s="0" t="s">
        <v>14</v>
      </c>
    </row>
    <row r="23234" customFormat="false" ht="12.8" hidden="false" customHeight="false" outlineLevel="0" collapsed="false">
      <c r="A23234" s="0" t="s">
        <v>8706</v>
      </c>
      <c r="B23234" s="0" t="str">
        <f aca="false">HYPERLINK("https://lindat.mff.cuni.cz/services/teitok/pdtc10/index.php?action=vallex&amp;frame=v-w2866f1", "odřezávat (v-w2866f1)")</f>
        <v>odřezávat (v-w2866f1)</v>
      </c>
    </row>
    <row r="23235" customFormat="false" ht="12.8" hidden="false" customHeight="false" outlineLevel="0" collapsed="false">
      <c r="B23235" s="0" t="s">
        <v>7</v>
      </c>
    </row>
    <row r="23236" customFormat="false" ht="12.8" hidden="false" customHeight="false" outlineLevel="0" collapsed="false">
      <c r="B23236" s="0" t="s">
        <v>14</v>
      </c>
    </row>
    <row r="23237" customFormat="false" ht="12.8" hidden="false" customHeight="false" outlineLevel="0" collapsed="false">
      <c r="B23237" s="0" t="s">
        <v>1592</v>
      </c>
    </row>
    <row r="23239" customFormat="false" ht="12.8" hidden="false" customHeight="false" outlineLevel="0" collapsed="false">
      <c r="A23239" s="0" t="s">
        <v>8707</v>
      </c>
      <c r="B23239" s="0" t="str">
        <f aca="false">HYPERLINK("https://lindat.mff.cuni.cz/services/teitok/pdtc10/index.php?action=vallex&amp;frame=v-w2866f2", "odřezávat (v-w2866f2)")</f>
        <v>odřezávat (v-w2866f2)</v>
      </c>
    </row>
    <row r="23240" customFormat="false" ht="12.8" hidden="false" customHeight="false" outlineLevel="0" collapsed="false">
      <c r="B23240" s="0" t="s">
        <v>7</v>
      </c>
      <c r="D23240" s="0" t="s">
        <v>88</v>
      </c>
      <c r="E23240" s="0" t="s">
        <v>88</v>
      </c>
      <c r="F23240" s="0" t="s">
        <v>88</v>
      </c>
    </row>
    <row r="23241" customFormat="false" ht="12.8" hidden="false" customHeight="false" outlineLevel="0" collapsed="false">
      <c r="B23241" s="0" t="s">
        <v>14</v>
      </c>
      <c r="D23241" s="0" t="s">
        <v>89</v>
      </c>
      <c r="E23241" s="0" t="s">
        <v>89</v>
      </c>
      <c r="F23241" s="0" t="s">
        <v>89</v>
      </c>
    </row>
    <row r="23242" customFormat="false" ht="12.8" hidden="false" customHeight="false" outlineLevel="0" collapsed="false">
      <c r="B23242" s="0" t="s">
        <v>459</v>
      </c>
      <c r="D23242" s="0" t="s">
        <v>8479</v>
      </c>
      <c r="E23242" s="0" t="s">
        <v>8479</v>
      </c>
      <c r="F23242" s="0" t="s">
        <v>8479</v>
      </c>
    </row>
    <row r="23244" customFormat="false" ht="12.8" hidden="false" customHeight="false" outlineLevel="0" collapsed="false">
      <c r="A23244" s="0" t="s">
        <v>8708</v>
      </c>
      <c r="B23244" s="0" t="str">
        <f aca="false">HYPERLINK("https://lindat.mff.cuni.cz/services/teitok/pdtc10/index.php?action=vallex&amp;frame=v-w12189_ZUf1_ZU", "odříci (v-w12189_ZUf1_ZU)")</f>
        <v>odříci (v-w12189_ZUf1_ZU)</v>
      </c>
    </row>
    <row r="23245" customFormat="false" ht="12.8" hidden="false" customHeight="false" outlineLevel="0" collapsed="false">
      <c r="B23245" s="0" t="s">
        <v>7</v>
      </c>
    </row>
    <row r="23246" customFormat="false" ht="12.8" hidden="false" customHeight="false" outlineLevel="0" collapsed="false">
      <c r="B23246" s="0" t="s">
        <v>14</v>
      </c>
    </row>
    <row r="23248" customFormat="false" ht="12.8" hidden="false" customHeight="false" outlineLevel="0" collapsed="false">
      <c r="A23248" s="0" t="s">
        <v>8709</v>
      </c>
      <c r="B23248" s="0" t="str">
        <f aca="false">HYPERLINK("https://lindat.mff.cuni.cz/services/teitok/pdtc10/index.php?action=vallex&amp;frame=v-w2867f1", "odříci si (v-w2867f1)")</f>
        <v>odříci si (v-w2867f1)</v>
      </c>
    </row>
    <row r="23249" customFormat="false" ht="12.8" hidden="false" customHeight="false" outlineLevel="0" collapsed="false">
      <c r="B23249" s="0" t="s">
        <v>7</v>
      </c>
    </row>
    <row r="23250" customFormat="false" ht="12.8" hidden="false" customHeight="false" outlineLevel="0" collapsed="false">
      <c r="B23250" s="0" t="s">
        <v>1145</v>
      </c>
    </row>
    <row r="23252" customFormat="false" ht="12.8" hidden="false" customHeight="false" outlineLevel="0" collapsed="false">
      <c r="A23252" s="0" t="s">
        <v>8710</v>
      </c>
      <c r="B23252" s="0" t="str">
        <f aca="false">HYPERLINK("https://lindat.mff.cuni.cz/services/teitok/pdtc10/index.php?action=vallex&amp;frame=v-w11812_ZUf1_ZU", "odříkat (v-w11812_ZUf1_ZU)")</f>
        <v>odříkat (v-w11812_ZUf1_ZU)</v>
      </c>
    </row>
    <row r="23253" customFormat="false" ht="12.8" hidden="false" customHeight="false" outlineLevel="0" collapsed="false">
      <c r="B23253" s="0" t="s">
        <v>7</v>
      </c>
    </row>
    <row r="23254" customFormat="false" ht="12.8" hidden="false" customHeight="false" outlineLevel="0" collapsed="false">
      <c r="B23254" s="0" t="s">
        <v>14</v>
      </c>
    </row>
    <row r="23256" customFormat="false" ht="12.8" hidden="false" customHeight="false" outlineLevel="0" collapsed="false">
      <c r="A23256" s="0" t="s">
        <v>8711</v>
      </c>
      <c r="B23256" s="0" t="str">
        <f aca="false">HYPERLINK("https://lindat.mff.cuni.cz/services/teitok/pdtc10/index.php?action=vallex&amp;frame=v-w2869f1", "odříkat se (v-w2869f1)")</f>
        <v>odříkat se (v-w2869f1)</v>
      </c>
    </row>
    <row r="23257" customFormat="false" ht="12.8" hidden="false" customHeight="false" outlineLevel="0" collapsed="false">
      <c r="B23257" s="0" t="s">
        <v>7</v>
      </c>
    </row>
    <row r="23258" customFormat="false" ht="12.8" hidden="false" customHeight="false" outlineLevel="0" collapsed="false">
      <c r="B23258" s="0" t="s">
        <v>1087</v>
      </c>
    </row>
    <row r="23260" customFormat="false" ht="12.8" hidden="false" customHeight="false" outlineLevel="0" collapsed="false">
      <c r="A23260" s="0" t="s">
        <v>8712</v>
      </c>
      <c r="B23260" s="0" t="str">
        <f aca="false">HYPERLINK("https://lindat.mff.cuni.cz/services/teitok/pdtc10/index.php?action=vallex&amp;frame=v-w2870f1", "odříkávat (v-w2870f1)")</f>
        <v>odříkávat (v-w2870f1)</v>
      </c>
    </row>
    <row r="23261" customFormat="false" ht="12.8" hidden="false" customHeight="false" outlineLevel="0" collapsed="false">
      <c r="B23261" s="0" t="s">
        <v>7</v>
      </c>
      <c r="C23261" s="0" t="s">
        <v>191</v>
      </c>
      <c r="D23261" s="0" t="s">
        <v>8713</v>
      </c>
      <c r="E23261" s="0" t="s">
        <v>8713</v>
      </c>
      <c r="F23261" s="0" t="s">
        <v>8713</v>
      </c>
    </row>
    <row r="23262" customFormat="false" ht="12.8" hidden="false" customHeight="false" outlineLevel="0" collapsed="false">
      <c r="B23262" s="0" t="s">
        <v>14</v>
      </c>
      <c r="C23262" s="0" t="s">
        <v>33</v>
      </c>
      <c r="D23262" s="0" t="s">
        <v>8714</v>
      </c>
      <c r="E23262" s="0" t="s">
        <v>8714</v>
      </c>
      <c r="F23262" s="0" t="s">
        <v>8714</v>
      </c>
    </row>
    <row r="23264" customFormat="false" ht="12.8" hidden="false" customHeight="false" outlineLevel="0" collapsed="false">
      <c r="A23264" s="0" t="s">
        <v>8715</v>
      </c>
      <c r="B23264" s="0" t="str">
        <f aca="false">HYPERLINK("https://lindat.mff.cuni.cz/services/teitok/pdtc10/index.php?action=vallex&amp;frame=v-w12394_MMf1_MM", "odřít (v-w12394_MMf1_MM)")</f>
        <v>odřít (v-w12394_MMf1_MM)</v>
      </c>
    </row>
    <row r="23265" customFormat="false" ht="12.8" hidden="false" customHeight="false" outlineLevel="0" collapsed="false">
      <c r="B23265" s="0" t="s">
        <v>7</v>
      </c>
    </row>
    <row r="23266" customFormat="false" ht="12.8" hidden="false" customHeight="false" outlineLevel="0" collapsed="false">
      <c r="B23266" s="0" t="s">
        <v>14</v>
      </c>
    </row>
    <row r="23268" customFormat="false" ht="12.8" hidden="false" customHeight="false" outlineLevel="0" collapsed="false">
      <c r="A23268" s="0" t="s">
        <v>8716</v>
      </c>
      <c r="B23268" s="0" t="str">
        <f aca="false">HYPERLINK("https://lindat.mff.cuni.cz/services/teitok/pdtc10/index.php?action=vallex&amp;frame=v-w2871f1", "odříznout (v-w2871f1)")</f>
        <v>odříznout (v-w2871f1)</v>
      </c>
    </row>
    <row r="23269" customFormat="false" ht="12.8" hidden="false" customHeight="false" outlineLevel="0" collapsed="false">
      <c r="B23269" s="0" t="s">
        <v>7</v>
      </c>
      <c r="C23269" s="0" t="s">
        <v>335</v>
      </c>
      <c r="D23269" s="0" t="s">
        <v>1777</v>
      </c>
      <c r="E23269" s="0" t="s">
        <v>1777</v>
      </c>
      <c r="F23269" s="0" t="s">
        <v>1777</v>
      </c>
    </row>
    <row r="23270" customFormat="false" ht="12.8" hidden="false" customHeight="false" outlineLevel="0" collapsed="false">
      <c r="B23270" s="0" t="s">
        <v>14</v>
      </c>
      <c r="C23270" s="0" t="s">
        <v>487</v>
      </c>
      <c r="D23270" s="0" t="s">
        <v>4252</v>
      </c>
      <c r="E23270" s="0" t="s">
        <v>4252</v>
      </c>
      <c r="F23270" s="0" t="s">
        <v>4252</v>
      </c>
    </row>
    <row r="23271" customFormat="false" ht="12.8" hidden="false" customHeight="false" outlineLevel="0" collapsed="false">
      <c r="B23271" s="0" t="s">
        <v>1592</v>
      </c>
      <c r="D23271" s="0" t="s">
        <v>2480</v>
      </c>
      <c r="E23271" s="0" t="s">
        <v>2480</v>
      </c>
      <c r="F23271" s="0" t="s">
        <v>2480</v>
      </c>
    </row>
    <row r="23273" customFormat="false" ht="12.8" hidden="false" customHeight="false" outlineLevel="0" collapsed="false">
      <c r="A23273" s="0" t="s">
        <v>8717</v>
      </c>
      <c r="B23273" s="0" t="str">
        <f aca="false">HYPERLINK("https://lindat.mff.cuni.cz/services/teitok/pdtc10/index.php?action=vallex&amp;frame=v-w2871f2", "odříznout (v-w2871f2)")</f>
        <v>odříznout (v-w2871f2)</v>
      </c>
    </row>
    <row r="23274" customFormat="false" ht="12.8" hidden="false" customHeight="false" outlineLevel="0" collapsed="false">
      <c r="B23274" s="0" t="s">
        <v>7</v>
      </c>
      <c r="D23274" s="0" t="s">
        <v>88</v>
      </c>
      <c r="E23274" s="0" t="s">
        <v>88</v>
      </c>
      <c r="F23274" s="0" t="s">
        <v>88</v>
      </c>
    </row>
    <row r="23275" customFormat="false" ht="12.8" hidden="false" customHeight="false" outlineLevel="0" collapsed="false">
      <c r="B23275" s="0" t="s">
        <v>14</v>
      </c>
      <c r="D23275" s="0" t="s">
        <v>89</v>
      </c>
      <c r="E23275" s="0" t="s">
        <v>89</v>
      </c>
      <c r="F23275" s="0" t="s">
        <v>89</v>
      </c>
    </row>
    <row r="23276" customFormat="false" ht="12.8" hidden="false" customHeight="false" outlineLevel="0" collapsed="false">
      <c r="B23276" s="0" t="s">
        <v>459</v>
      </c>
      <c r="D23276" s="0" t="s">
        <v>8479</v>
      </c>
      <c r="E23276" s="0" t="s">
        <v>8479</v>
      </c>
      <c r="F23276" s="0" t="s">
        <v>8479</v>
      </c>
    </row>
    <row r="23278" customFormat="false" ht="12.8" hidden="false" customHeight="false" outlineLevel="0" collapsed="false">
      <c r="A23278" s="0" t="s">
        <v>8718</v>
      </c>
      <c r="B23278" s="0" t="str">
        <f aca="false">HYPERLINK("https://lindat.mff.cuni.cz/services/teitok/pdtc10/index.php?action=vallex&amp;frame=v-w2871f3_ZU", "odříznout (v-w2871f3_ZU)")</f>
        <v>odříznout (v-w2871f3_ZU)</v>
      </c>
    </row>
    <row r="23279" customFormat="false" ht="12.8" hidden="false" customHeight="false" outlineLevel="0" collapsed="false">
      <c r="B23279" s="0" t="s">
        <v>7</v>
      </c>
    </row>
    <row r="23280" customFormat="false" ht="12.8" hidden="false" customHeight="false" outlineLevel="0" collapsed="false">
      <c r="B23280" s="0" t="s">
        <v>14</v>
      </c>
    </row>
    <row r="23281" customFormat="false" ht="12.8" hidden="false" customHeight="false" outlineLevel="0" collapsed="false">
      <c r="B23281" s="0" t="s">
        <v>48</v>
      </c>
    </row>
    <row r="23283" customFormat="false" ht="12.8" hidden="false" customHeight="false" outlineLevel="0" collapsed="false">
      <c r="A23283" s="0" t="s">
        <v>8719</v>
      </c>
      <c r="B23283" s="0" t="str">
        <f aca="false">HYPERLINK("https://lindat.mff.cuni.cz/services/teitok/pdtc10/index.php?action=vallex&amp;frame=v-w2922f1", "odškodnit (v-w2922f1)")</f>
        <v>odškodnit (v-w2922f1)</v>
      </c>
    </row>
    <row r="23284" customFormat="false" ht="12.8" hidden="false" customHeight="false" outlineLevel="0" collapsed="false">
      <c r="B23284" s="0" t="s">
        <v>7</v>
      </c>
      <c r="C23284" s="0" t="s">
        <v>31</v>
      </c>
    </row>
    <row r="23285" customFormat="false" ht="12.8" hidden="false" customHeight="false" outlineLevel="0" collapsed="false">
      <c r="B23285" s="0" t="s">
        <v>14</v>
      </c>
      <c r="C23285" s="0" t="s">
        <v>7610</v>
      </c>
    </row>
    <row r="23287" customFormat="false" ht="12.8" hidden="false" customHeight="false" outlineLevel="0" collapsed="false">
      <c r="A23287" s="0" t="s">
        <v>8720</v>
      </c>
      <c r="B23287" s="0" t="str">
        <f aca="false">HYPERLINK("https://lindat.mff.cuni.cz/services/teitok/pdtc10/index.php?action=vallex&amp;frame=v-w11146f2", "odškodňovat (v-w11146f2)")</f>
        <v>odškodňovat (v-w11146f2)</v>
      </c>
    </row>
    <row r="23288" customFormat="false" ht="12.8" hidden="false" customHeight="false" outlineLevel="0" collapsed="false">
      <c r="B23288" s="0" t="s">
        <v>7</v>
      </c>
      <c r="C23288" s="0" t="s">
        <v>623</v>
      </c>
    </row>
    <row r="23289" customFormat="false" ht="12.8" hidden="false" customHeight="false" outlineLevel="0" collapsed="false">
      <c r="B23289" s="0" t="s">
        <v>14</v>
      </c>
      <c r="C23289" s="0" t="s">
        <v>8721</v>
      </c>
    </row>
    <row r="23291" customFormat="false" ht="12.8" hidden="false" customHeight="false" outlineLevel="0" collapsed="false">
      <c r="A23291" s="0" t="s">
        <v>8722</v>
      </c>
      <c r="B23291" s="0" t="str">
        <f aca="false">HYPERLINK("https://lindat.mff.cuni.cz/services/teitok/pdtc10/index.php?action=vallex&amp;frame=v-w10926f2", "odškrtávat (v-w10926f2)")</f>
        <v>odškrtávat (v-w10926f2)</v>
      </c>
    </row>
    <row r="23292" customFormat="false" ht="12.8" hidden="false" customHeight="false" outlineLevel="0" collapsed="false">
      <c r="B23292" s="0" t="s">
        <v>7</v>
      </c>
    </row>
    <row r="23293" customFormat="false" ht="12.8" hidden="false" customHeight="false" outlineLevel="0" collapsed="false">
      <c r="B23293" s="0" t="s">
        <v>14</v>
      </c>
    </row>
    <row r="23295" customFormat="false" ht="12.8" hidden="false" customHeight="false" outlineLevel="0" collapsed="false">
      <c r="A23295" s="0" t="s">
        <v>8723</v>
      </c>
      <c r="B23295" s="0" t="str">
        <f aca="false">HYPERLINK("https://lindat.mff.cuni.cz/services/teitok/pdtc10/index.php?action=vallex&amp;frame=v-w11836_ZUf1_ZU", "odšroubovat (v-w11836_ZUf1_ZU)")</f>
        <v>odšroubovat (v-w11836_ZUf1_ZU)</v>
      </c>
    </row>
    <row r="23296" customFormat="false" ht="12.8" hidden="false" customHeight="false" outlineLevel="0" collapsed="false">
      <c r="B23296" s="0" t="s">
        <v>7</v>
      </c>
    </row>
    <row r="23297" customFormat="false" ht="12.8" hidden="false" customHeight="false" outlineLevel="0" collapsed="false">
      <c r="B23297" s="0" t="s">
        <v>14</v>
      </c>
    </row>
    <row r="23298" customFormat="false" ht="12.8" hidden="false" customHeight="false" outlineLevel="0" collapsed="false">
      <c r="B23298" s="0" t="s">
        <v>5382</v>
      </c>
    </row>
    <row r="23300" customFormat="false" ht="12.8" hidden="false" customHeight="false" outlineLevel="0" collapsed="false">
      <c r="A23300" s="0" t="s">
        <v>8724</v>
      </c>
      <c r="B23300" s="0" t="str">
        <f aca="false">HYPERLINK("https://lindat.mff.cuni.cz/services/teitok/pdtc10/index.php?action=vallex&amp;frame=v-whsa_291hsa_292", "odštípnout (v-whsa_291hsa_292)")</f>
        <v>odštípnout (v-whsa_291hsa_292)</v>
      </c>
    </row>
    <row r="23301" customFormat="false" ht="12.8" hidden="false" customHeight="false" outlineLevel="0" collapsed="false">
      <c r="B23301" s="0" t="s">
        <v>7</v>
      </c>
      <c r="C23301" s="0" t="s">
        <v>191</v>
      </c>
      <c r="D23301" s="0" t="s">
        <v>6495</v>
      </c>
      <c r="E23301" s="0" t="s">
        <v>6495</v>
      </c>
      <c r="F23301" s="0" t="s">
        <v>6495</v>
      </c>
    </row>
    <row r="23302" customFormat="false" ht="12.8" hidden="false" customHeight="false" outlineLevel="0" collapsed="false">
      <c r="B23302" s="0" t="s">
        <v>14</v>
      </c>
      <c r="C23302" s="0" t="s">
        <v>155</v>
      </c>
      <c r="D23302" s="0" t="s">
        <v>1449</v>
      </c>
      <c r="E23302" s="0" t="s">
        <v>1449</v>
      </c>
      <c r="F23302" s="0" t="s">
        <v>1449</v>
      </c>
    </row>
    <row r="23303" customFormat="false" ht="12.8" hidden="false" customHeight="false" outlineLevel="0" collapsed="false">
      <c r="B23303" s="0" t="s">
        <v>459</v>
      </c>
      <c r="D23303" s="0" t="s">
        <v>8725</v>
      </c>
      <c r="E23303" s="0" t="s">
        <v>8725</v>
      </c>
      <c r="F23303" s="0" t="s">
        <v>8725</v>
      </c>
    </row>
    <row r="23305" customFormat="false" ht="12.8" hidden="false" customHeight="false" outlineLevel="0" collapsed="false">
      <c r="A23305" s="0" t="s">
        <v>8726</v>
      </c>
      <c r="B23305" s="0" t="str">
        <f aca="false">HYPERLINK("https://lindat.mff.cuni.cz/services/teitok/pdtc10/index.php?action=vallex&amp;frame=v-w2924f1", "odštěpit se (v-w2924f1)")</f>
        <v>odštěpit se (v-w2924f1)</v>
      </c>
    </row>
    <row r="23306" customFormat="false" ht="12.8" hidden="false" customHeight="false" outlineLevel="0" collapsed="false">
      <c r="B23306" s="0" t="s">
        <v>7</v>
      </c>
      <c r="D23306" s="0" t="s">
        <v>8727</v>
      </c>
      <c r="E23306" s="0" t="s">
        <v>8727</v>
      </c>
      <c r="F23306" s="0" t="s">
        <v>8727</v>
      </c>
    </row>
    <row r="23307" customFormat="false" ht="12.8" hidden="false" customHeight="false" outlineLevel="0" collapsed="false">
      <c r="B23307" s="0" t="s">
        <v>333</v>
      </c>
      <c r="D23307" s="0" t="s">
        <v>4706</v>
      </c>
      <c r="E23307" s="0" t="s">
        <v>4706</v>
      </c>
      <c r="F23307" s="0" t="s">
        <v>4706</v>
      </c>
    </row>
    <row r="23309" customFormat="false" ht="12.8" hidden="false" customHeight="false" outlineLevel="0" collapsed="false">
      <c r="A23309" s="0" t="s">
        <v>8728</v>
      </c>
      <c r="B23309" s="0" t="str">
        <f aca="false">HYPERLINK("https://lindat.mff.cuni.cz/services/teitok/pdtc10/index.php?action=vallex&amp;frame=v-w2934f1", "odůvodnit (v-w2934f1)")</f>
        <v>odůvodnit (v-w2934f1)</v>
      </c>
    </row>
    <row r="23310" customFormat="false" ht="12.8" hidden="false" customHeight="false" outlineLevel="0" collapsed="false">
      <c r="B23310" s="0" t="s">
        <v>7</v>
      </c>
      <c r="C23310" s="0" t="s">
        <v>3918</v>
      </c>
    </row>
    <row r="23311" customFormat="false" ht="12.8" hidden="false" customHeight="false" outlineLevel="0" collapsed="false">
      <c r="B23311" s="0" t="s">
        <v>172</v>
      </c>
      <c r="C23311" s="0" t="s">
        <v>7728</v>
      </c>
    </row>
    <row r="23313" customFormat="false" ht="12.8" hidden="false" customHeight="false" outlineLevel="0" collapsed="false">
      <c r="A23313" s="0" t="s">
        <v>8729</v>
      </c>
      <c r="B23313" s="0" t="str">
        <f aca="false">HYPERLINK("https://lindat.mff.cuni.cz/services/teitok/pdtc10/index.php?action=vallex&amp;frame=v-w2935f1", "odůvodňovat (v-w2935f1)")</f>
        <v>odůvodňovat (v-w2935f1)</v>
      </c>
    </row>
    <row r="23314" customFormat="false" ht="12.8" hidden="false" customHeight="false" outlineLevel="0" collapsed="false">
      <c r="B23314" s="0" t="s">
        <v>7</v>
      </c>
      <c r="C23314" s="0" t="s">
        <v>149</v>
      </c>
      <c r="D23314" s="0" t="s">
        <v>8730</v>
      </c>
      <c r="E23314" s="0" t="s">
        <v>8730</v>
      </c>
      <c r="F23314" s="0" t="s">
        <v>8730</v>
      </c>
    </row>
    <row r="23315" customFormat="false" ht="12.8" hidden="false" customHeight="false" outlineLevel="0" collapsed="false">
      <c r="B23315" s="0" t="s">
        <v>172</v>
      </c>
      <c r="C23315" s="0" t="s">
        <v>25</v>
      </c>
      <c r="D23315" s="0" t="s">
        <v>1917</v>
      </c>
      <c r="E23315" s="0" t="s">
        <v>1917</v>
      </c>
      <c r="F23315" s="0" t="s">
        <v>1917</v>
      </c>
    </row>
    <row r="23317" customFormat="false" ht="12.8" hidden="false" customHeight="false" outlineLevel="0" collapsed="false">
      <c r="A23317" s="0" t="s">
        <v>8731</v>
      </c>
      <c r="B23317" s="0" t="str">
        <f aca="false">HYPERLINK("https://lindat.mff.cuni.cz/services/teitok/pdtc10/index.php?action=vallex&amp;frame=v-w10544f2", "ofotit (v-w10544f2)")</f>
        <v>ofotit (v-w10544f2)</v>
      </c>
    </row>
    <row r="23318" customFormat="false" ht="12.8" hidden="false" customHeight="false" outlineLevel="0" collapsed="false">
      <c r="B23318" s="0" t="s">
        <v>7</v>
      </c>
      <c r="D23318" s="0" t="s">
        <v>113</v>
      </c>
      <c r="E23318" s="0" t="s">
        <v>113</v>
      </c>
      <c r="F23318" s="0" t="s">
        <v>113</v>
      </c>
    </row>
    <row r="23319" customFormat="false" ht="12.8" hidden="false" customHeight="false" outlineLevel="0" collapsed="false">
      <c r="B23319" s="0" t="s">
        <v>14</v>
      </c>
      <c r="C23319" s="0" t="s">
        <v>155</v>
      </c>
      <c r="D23319" s="0" t="s">
        <v>624</v>
      </c>
      <c r="E23319" s="0" t="s">
        <v>624</v>
      </c>
      <c r="F23319" s="0" t="s">
        <v>624</v>
      </c>
    </row>
    <row r="23321" customFormat="false" ht="12.8" hidden="false" customHeight="false" outlineLevel="0" collapsed="false">
      <c r="A23321" s="0" t="s">
        <v>8732</v>
      </c>
      <c r="B23321" s="0" t="str">
        <f aca="false">HYPERLINK("https://lindat.mff.cuni.cz/services/teitok/pdtc10/index.php?action=vallex&amp;frame=v-w12235_ZUf1_ZU", "ofotografovat (v-w12235_ZUf1_ZU)")</f>
        <v>ofotografovat (v-w12235_ZUf1_ZU)</v>
      </c>
    </row>
    <row r="23322" customFormat="false" ht="12.8" hidden="false" customHeight="false" outlineLevel="0" collapsed="false">
      <c r="B23322" s="0" t="s">
        <v>7</v>
      </c>
    </row>
    <row r="23323" customFormat="false" ht="12.8" hidden="false" customHeight="false" outlineLevel="0" collapsed="false">
      <c r="B23323" s="0" t="s">
        <v>14</v>
      </c>
    </row>
    <row r="23325" customFormat="false" ht="12.8" hidden="false" customHeight="false" outlineLevel="0" collapsed="false">
      <c r="A23325" s="0" t="s">
        <v>8733</v>
      </c>
      <c r="B23325" s="0" t="str">
        <f aca="false">HYPERLINK("https://lindat.mff.cuni.cz/services/teitok/pdtc10/index.php?action=vallex&amp;frame=v-w11735_ZUf1_ZU", "ofouknout (v-w11735_ZUf1_ZU)")</f>
        <v>ofouknout (v-w11735_ZUf1_ZU)</v>
      </c>
    </row>
    <row r="23326" customFormat="false" ht="12.8" hidden="false" customHeight="false" outlineLevel="0" collapsed="false">
      <c r="B23326" s="0" t="s">
        <v>7</v>
      </c>
    </row>
    <row r="23327" customFormat="false" ht="12.8" hidden="false" customHeight="false" outlineLevel="0" collapsed="false">
      <c r="B23327" s="0" t="s">
        <v>14</v>
      </c>
    </row>
    <row r="23329" customFormat="false" ht="12.8" hidden="false" customHeight="false" outlineLevel="0" collapsed="false">
      <c r="A23329" s="0" t="s">
        <v>8734</v>
      </c>
      <c r="B23329" s="0" t="str">
        <f aca="false">HYPERLINK("https://lindat.mff.cuni.cz/services/teitok/pdtc10/index.php?action=vallex&amp;frame=v-w11806_ZUf1_ZU", "ogrilovat (v-w11806_ZUf1_ZU)")</f>
        <v>ogrilovat (v-w11806_ZUf1_ZU)</v>
      </c>
    </row>
    <row r="23330" customFormat="false" ht="12.8" hidden="false" customHeight="false" outlineLevel="0" collapsed="false">
      <c r="B23330" s="0" t="s">
        <v>7</v>
      </c>
    </row>
    <row r="23331" customFormat="false" ht="12.8" hidden="false" customHeight="false" outlineLevel="0" collapsed="false">
      <c r="B23331" s="0" t="s">
        <v>14</v>
      </c>
    </row>
    <row r="23333" customFormat="false" ht="12.8" hidden="false" customHeight="false" outlineLevel="0" collapsed="false">
      <c r="A23333" s="0" t="s">
        <v>8735</v>
      </c>
      <c r="B23333" s="0" t="str">
        <f aca="false">HYPERLINK("https://lindat.mff.cuni.cz/services/teitok/pdtc10/index.php?action=vallex&amp;frame=v-w2991f1", "ohlašovat (v-w2991f1)")</f>
        <v>ohlašovat (v-w2991f1)</v>
      </c>
    </row>
    <row r="23334" customFormat="false" ht="12.8" hidden="false" customHeight="false" outlineLevel="0" collapsed="false">
      <c r="B23334" s="0" t="s">
        <v>7</v>
      </c>
      <c r="C23334" s="0" t="s">
        <v>8736</v>
      </c>
      <c r="D23334" s="0" t="s">
        <v>164</v>
      </c>
      <c r="E23334" s="0" t="s">
        <v>164</v>
      </c>
      <c r="F23334" s="0" t="s">
        <v>164</v>
      </c>
    </row>
    <row r="23335" customFormat="false" ht="12.8" hidden="false" customHeight="false" outlineLevel="0" collapsed="false">
      <c r="B23335" s="0" t="s">
        <v>165</v>
      </c>
      <c r="C23335" s="0" t="s">
        <v>8737</v>
      </c>
      <c r="D23335" s="0" t="s">
        <v>167</v>
      </c>
      <c r="E23335" s="0" t="s">
        <v>167</v>
      </c>
      <c r="F23335" s="0" t="s">
        <v>167</v>
      </c>
    </row>
    <row r="23336" customFormat="false" ht="12.8" hidden="false" customHeight="false" outlineLevel="0" collapsed="false">
      <c r="B23336" s="0" t="s">
        <v>48</v>
      </c>
      <c r="C23336" s="0" t="s">
        <v>8104</v>
      </c>
      <c r="D23336" s="0" t="s">
        <v>168</v>
      </c>
      <c r="E23336" s="0" t="s">
        <v>168</v>
      </c>
      <c r="F23336" s="0" t="s">
        <v>168</v>
      </c>
    </row>
    <row r="23338" customFormat="false" ht="12.8" hidden="false" customHeight="false" outlineLevel="0" collapsed="false">
      <c r="A23338" s="0" t="s">
        <v>8738</v>
      </c>
      <c r="B23338" s="0" t="str">
        <f aca="false">HYPERLINK("https://lindat.mff.cuni.cz/services/teitok/pdtc10/index.php?action=vallex&amp;frame=v-w2991f2", "ohlašovat (v-w2991f2)")</f>
        <v>ohlašovat (v-w2991f2)</v>
      </c>
    </row>
    <row r="23339" customFormat="false" ht="12.8" hidden="false" customHeight="false" outlineLevel="0" collapsed="false">
      <c r="B23339" s="0" t="s">
        <v>7</v>
      </c>
    </row>
    <row r="23340" customFormat="false" ht="12.8" hidden="false" customHeight="false" outlineLevel="0" collapsed="false">
      <c r="B23340" s="0" t="s">
        <v>165</v>
      </c>
    </row>
    <row r="23341" customFormat="false" ht="12.8" hidden="false" customHeight="false" outlineLevel="0" collapsed="false">
      <c r="B23341" s="0" t="s">
        <v>124</v>
      </c>
    </row>
    <row r="23343" customFormat="false" ht="12.8" hidden="false" customHeight="false" outlineLevel="0" collapsed="false">
      <c r="A23343" s="0" t="s">
        <v>8739</v>
      </c>
      <c r="B23343" s="0" t="str">
        <f aca="false">HYPERLINK("https://lindat.mff.cuni.cz/services/teitok/pdtc10/index.php?action=vallex&amp;frame=v-w2994f1", "ohledat (v-w2994f1)")</f>
        <v>ohledat (v-w2994f1)</v>
      </c>
    </row>
    <row r="23344" customFormat="false" ht="12.8" hidden="false" customHeight="false" outlineLevel="0" collapsed="false">
      <c r="B23344" s="0" t="s">
        <v>7</v>
      </c>
    </row>
    <row r="23345" customFormat="false" ht="12.8" hidden="false" customHeight="false" outlineLevel="0" collapsed="false">
      <c r="B23345" s="0" t="s">
        <v>14</v>
      </c>
    </row>
    <row r="23347" customFormat="false" ht="12.8" hidden="false" customHeight="false" outlineLevel="0" collapsed="false">
      <c r="A23347" s="0" t="s">
        <v>8740</v>
      </c>
      <c r="B23347" s="0" t="str">
        <f aca="false">HYPERLINK("https://lindat.mff.cuni.cz/services/teitok/pdtc10/index.php?action=vallex&amp;frame=v-w10839f2", "ohlodat (v-w10839f2)")</f>
        <v>ohlodat (v-w10839f2)</v>
      </c>
    </row>
    <row r="23348" customFormat="false" ht="12.8" hidden="false" customHeight="false" outlineLevel="0" collapsed="false">
      <c r="B23348" s="0" t="s">
        <v>7</v>
      </c>
    </row>
    <row r="23349" customFormat="false" ht="12.8" hidden="false" customHeight="false" outlineLevel="0" collapsed="false">
      <c r="B23349" s="0" t="s">
        <v>14</v>
      </c>
    </row>
    <row r="23351" customFormat="false" ht="12.8" hidden="false" customHeight="false" outlineLevel="0" collapsed="false">
      <c r="A23351" s="0" t="s">
        <v>8741</v>
      </c>
      <c r="B23351" s="0" t="str">
        <f aca="false">HYPERLINK("https://lindat.mff.cuni.cz/services/teitok/pdtc10/index.php?action=vallex&amp;frame=v-w3000f1", "ohluchnout (v-w3000f1)")</f>
        <v>ohluchnout (v-w3000f1)</v>
      </c>
    </row>
    <row r="23352" customFormat="false" ht="12.8" hidden="false" customHeight="false" outlineLevel="0" collapsed="false">
      <c r="B23352" s="0" t="s">
        <v>7</v>
      </c>
    </row>
    <row r="23354" customFormat="false" ht="12.8" hidden="false" customHeight="false" outlineLevel="0" collapsed="false">
      <c r="A23354" s="0" t="s">
        <v>8742</v>
      </c>
      <c r="B23354" s="0" t="str">
        <f aca="false">HYPERLINK("https://lindat.mff.cuni.cz/services/teitok/pdtc10/index.php?action=vallex&amp;frame=v-whsb_419hsa_420", "ohlušit (v-whsb_419hsa_420)")</f>
        <v>ohlušit (v-whsb_419hsa_420)</v>
      </c>
    </row>
    <row r="23355" customFormat="false" ht="12.8" hidden="false" customHeight="false" outlineLevel="0" collapsed="false">
      <c r="B23355" s="0" t="s">
        <v>7</v>
      </c>
    </row>
    <row r="23356" customFormat="false" ht="12.8" hidden="false" customHeight="false" outlineLevel="0" collapsed="false">
      <c r="B23356" s="0" t="s">
        <v>14</v>
      </c>
    </row>
    <row r="23358" customFormat="false" ht="12.8" hidden="false" customHeight="false" outlineLevel="0" collapsed="false">
      <c r="A23358" s="0" t="s">
        <v>8743</v>
      </c>
      <c r="B23358" s="0" t="str">
        <f aca="false">HYPERLINK("https://lindat.mff.cuni.cz/services/teitok/pdtc10/index.php?action=vallex&amp;frame=v-w2988f1", "ohlásit (v-w2988f1)")</f>
        <v>ohlásit (v-w2988f1)</v>
      </c>
    </row>
    <row r="23359" customFormat="false" ht="12.8" hidden="false" customHeight="false" outlineLevel="0" collapsed="false">
      <c r="B23359" s="0" t="s">
        <v>7</v>
      </c>
      <c r="C23359" s="0" t="s">
        <v>8744</v>
      </c>
      <c r="D23359" s="0" t="s">
        <v>164</v>
      </c>
      <c r="E23359" s="0" t="s">
        <v>164</v>
      </c>
      <c r="F23359" s="0" t="s">
        <v>164</v>
      </c>
    </row>
    <row r="23360" customFormat="false" ht="12.8" hidden="false" customHeight="false" outlineLevel="0" collapsed="false">
      <c r="B23360" s="0" t="s">
        <v>165</v>
      </c>
      <c r="C23360" s="0" t="s">
        <v>8745</v>
      </c>
      <c r="D23360" s="0" t="s">
        <v>167</v>
      </c>
      <c r="E23360" s="0" t="s">
        <v>167</v>
      </c>
      <c r="F23360" s="0" t="s">
        <v>167</v>
      </c>
    </row>
    <row r="23361" customFormat="false" ht="12.8" hidden="false" customHeight="false" outlineLevel="0" collapsed="false">
      <c r="B23361" s="0" t="s">
        <v>48</v>
      </c>
      <c r="C23361" s="0" t="s">
        <v>8746</v>
      </c>
      <c r="D23361" s="0" t="s">
        <v>168</v>
      </c>
      <c r="E23361" s="0" t="s">
        <v>168</v>
      </c>
      <c r="F23361" s="0" t="s">
        <v>168</v>
      </c>
    </row>
    <row r="23363" customFormat="false" ht="12.8" hidden="false" customHeight="false" outlineLevel="0" collapsed="false">
      <c r="A23363" s="0" t="s">
        <v>8747</v>
      </c>
      <c r="B23363" s="0" t="str">
        <f aca="false">HYPERLINK("https://lindat.mff.cuni.cz/services/teitok/pdtc10/index.php?action=vallex&amp;frame=v-w2988f2", "ohlásit (v-w2988f2)")</f>
        <v>ohlásit (v-w2988f2)</v>
      </c>
    </row>
    <row r="23364" customFormat="false" ht="12.8" hidden="false" customHeight="false" outlineLevel="0" collapsed="false">
      <c r="B23364" s="0" t="s">
        <v>7</v>
      </c>
    </row>
    <row r="23365" customFormat="false" ht="12.8" hidden="false" customHeight="false" outlineLevel="0" collapsed="false">
      <c r="B23365" s="0" t="s">
        <v>165</v>
      </c>
    </row>
    <row r="23366" customFormat="false" ht="12.8" hidden="false" customHeight="false" outlineLevel="0" collapsed="false">
      <c r="B23366" s="0" t="s">
        <v>11</v>
      </c>
    </row>
    <row r="23368" customFormat="false" ht="12.8" hidden="false" customHeight="false" outlineLevel="0" collapsed="false">
      <c r="A23368" s="0" t="s">
        <v>8748</v>
      </c>
      <c r="B23368" s="0" t="str">
        <f aca="false">HYPERLINK("https://lindat.mff.cuni.cz/services/teitok/pdtc10/index.php?action=vallex&amp;frame=v-w2988f3", "ohlásit (v-w2988f3)")</f>
        <v>ohlásit (v-w2988f3)</v>
      </c>
    </row>
    <row r="23369" customFormat="false" ht="12.8" hidden="false" customHeight="false" outlineLevel="0" collapsed="false">
      <c r="B23369" s="0" t="s">
        <v>7</v>
      </c>
    </row>
    <row r="23370" customFormat="false" ht="12.8" hidden="false" customHeight="false" outlineLevel="0" collapsed="false">
      <c r="B23370" s="0" t="s">
        <v>165</v>
      </c>
    </row>
    <row r="23371" customFormat="false" ht="12.8" hidden="false" customHeight="false" outlineLevel="0" collapsed="false">
      <c r="B23371" s="0" t="s">
        <v>124</v>
      </c>
    </row>
    <row r="23373" customFormat="false" ht="12.8" hidden="false" customHeight="false" outlineLevel="0" collapsed="false">
      <c r="A23373" s="0" t="s">
        <v>8749</v>
      </c>
      <c r="B23373" s="0" t="str">
        <f aca="false">HYPERLINK("https://lindat.mff.cuni.cz/services/teitok/pdtc10/index.php?action=vallex&amp;frame=v-w2989f1", "ohlásit se (v-w2989f1)")</f>
        <v>ohlásit se (v-w2989f1)</v>
      </c>
    </row>
    <row r="23374" customFormat="false" ht="12.8" hidden="false" customHeight="false" outlineLevel="0" collapsed="false">
      <c r="B23374" s="0" t="s">
        <v>7</v>
      </c>
      <c r="C23374" s="0" t="s">
        <v>88</v>
      </c>
      <c r="D23374" s="0" t="s">
        <v>88</v>
      </c>
      <c r="E23374" s="0" t="s">
        <v>88</v>
      </c>
      <c r="F23374" s="0" t="s">
        <v>88</v>
      </c>
    </row>
    <row r="23375" customFormat="false" ht="12.8" hidden="false" customHeight="false" outlineLevel="0" collapsed="false">
      <c r="B23375" s="0" t="s">
        <v>142</v>
      </c>
      <c r="C23375" s="0" t="s">
        <v>3832</v>
      </c>
      <c r="D23375" s="0" t="s">
        <v>3832</v>
      </c>
      <c r="E23375" s="0" t="s">
        <v>3832</v>
      </c>
      <c r="F23375" s="0" t="s">
        <v>3832</v>
      </c>
    </row>
    <row r="23377" customFormat="false" ht="12.8" hidden="false" customHeight="false" outlineLevel="0" collapsed="false">
      <c r="A23377" s="0" t="s">
        <v>8750</v>
      </c>
      <c r="B23377" s="0" t="str">
        <f aca="false">HYPERLINK("https://lindat.mff.cuni.cz/services/teitok/pdtc10/index.php?action=vallex&amp;frame=v-w2989f2_ZU", "ohlásit se (v-w2989f2_ZU)")</f>
        <v>ohlásit se (v-w2989f2_ZU)</v>
      </c>
    </row>
    <row r="23378" customFormat="false" ht="12.8" hidden="false" customHeight="false" outlineLevel="0" collapsed="false">
      <c r="B23378" s="0" t="s">
        <v>7</v>
      </c>
    </row>
    <row r="23379" customFormat="false" ht="12.8" hidden="false" customHeight="false" outlineLevel="0" collapsed="false">
      <c r="B23379" s="0" t="s">
        <v>1059</v>
      </c>
    </row>
    <row r="23381" customFormat="false" ht="12.8" hidden="false" customHeight="false" outlineLevel="0" collapsed="false">
      <c r="A23381" s="0" t="s">
        <v>8751</v>
      </c>
      <c r="B23381" s="0" t="str">
        <f aca="false">HYPERLINK("https://lindat.mff.cuni.cz/services/teitok/pdtc10/index.php?action=vallex&amp;frame=v-w2995f1", "ohlédnout se (v-w2995f1)")</f>
        <v>ohlédnout se (v-w2995f1)</v>
      </c>
    </row>
    <row r="23382" customFormat="false" ht="12.8" hidden="false" customHeight="false" outlineLevel="0" collapsed="false">
      <c r="B23382" s="0" t="s">
        <v>7</v>
      </c>
      <c r="D23382" s="0" t="s">
        <v>191</v>
      </c>
      <c r="E23382" s="0" t="s">
        <v>191</v>
      </c>
      <c r="F23382" s="0" t="s">
        <v>191</v>
      </c>
    </row>
    <row r="23384" customFormat="false" ht="12.8" hidden="false" customHeight="false" outlineLevel="0" collapsed="false">
      <c r="A23384" s="0" t="s">
        <v>8752</v>
      </c>
      <c r="B23384" s="0" t="str">
        <f aca="false">HYPERLINK("https://lindat.mff.cuni.cz/services/teitok/pdtc10/index.php?action=vallex&amp;frame=v-w2998f1", "ohlídat (v-w2998f1)")</f>
        <v>ohlídat (v-w2998f1)</v>
      </c>
    </row>
    <row r="23385" customFormat="false" ht="12.8" hidden="false" customHeight="false" outlineLevel="0" collapsed="false">
      <c r="B23385" s="0" t="s">
        <v>7</v>
      </c>
    </row>
    <row r="23386" customFormat="false" ht="12.8" hidden="false" customHeight="false" outlineLevel="0" collapsed="false">
      <c r="B23386" s="0" t="s">
        <v>14</v>
      </c>
    </row>
    <row r="23388" customFormat="false" ht="12.8" hidden="false" customHeight="false" outlineLevel="0" collapsed="false">
      <c r="A23388" s="0" t="s">
        <v>8753</v>
      </c>
      <c r="B23388" s="0" t="str">
        <f aca="false">HYPERLINK("https://lindat.mff.cuni.cz/services/teitok/pdtc10/index.php?action=vallex&amp;frame=v-w2999hsa_678", "ohlížet se (v-w2999hsa_678)")</f>
        <v>ohlížet se (v-w2999hsa_678)</v>
      </c>
    </row>
    <row r="23389" customFormat="false" ht="12.8" hidden="false" customHeight="false" outlineLevel="0" collapsed="false">
      <c r="B23389" s="0" t="s">
        <v>7</v>
      </c>
    </row>
    <row r="23390" customFormat="false" ht="12.8" hidden="false" customHeight="false" outlineLevel="0" collapsed="false">
      <c r="B23390" s="0" t="s">
        <v>8754</v>
      </c>
    </row>
    <row r="23392" customFormat="false" ht="12.8" hidden="false" customHeight="false" outlineLevel="0" collapsed="false">
      <c r="A23392" s="0" t="s">
        <v>8753</v>
      </c>
      <c r="B23392" s="0" t="str">
        <f aca="false">HYPERLINK("https://lindat.mff.cuni.cz/services/teitok/pdtc10/index.php?action=vallex&amp;frame=v-w2999f2", "ohlížet se (v-w2999f2) - substituted with v-w2999hsa_678")</f>
        <v>ohlížet se (v-w2999f2) - substituted with v-w2999hsa_678</v>
      </c>
    </row>
    <row r="23393" customFormat="false" ht="12.8" hidden="false" customHeight="false" outlineLevel="0" collapsed="false">
      <c r="B23393" s="0" t="s">
        <v>7</v>
      </c>
    </row>
    <row r="23394" customFormat="false" ht="12.8" hidden="false" customHeight="false" outlineLevel="0" collapsed="false">
      <c r="B23394" s="0" t="s">
        <v>8754</v>
      </c>
    </row>
    <row r="23396" customFormat="false" ht="12.8" hidden="false" customHeight="false" outlineLevel="0" collapsed="false">
      <c r="A23396" s="0" t="s">
        <v>8755</v>
      </c>
      <c r="B23396" s="0" t="str">
        <f aca="false">HYPERLINK("https://lindat.mff.cuni.cz/services/teitok/pdtc10/index.php?action=vallex&amp;frame=v-w2999f3", "ohlížet se (v-w2999f3)")</f>
        <v>ohlížet se (v-w2999f3)</v>
      </c>
    </row>
    <row r="23397" customFormat="false" ht="12.8" hidden="false" customHeight="false" outlineLevel="0" collapsed="false">
      <c r="B23397" s="0" t="s">
        <v>7</v>
      </c>
    </row>
    <row r="23398" customFormat="false" ht="12.8" hidden="false" customHeight="false" outlineLevel="0" collapsed="false">
      <c r="B23398" s="0" t="s">
        <v>244</v>
      </c>
    </row>
    <row r="23400" customFormat="false" ht="12.8" hidden="false" customHeight="false" outlineLevel="0" collapsed="false">
      <c r="A23400" s="0" t="s">
        <v>8756</v>
      </c>
      <c r="B23400" s="0" t="str">
        <f aca="false">HYPERLINK("https://lindat.mff.cuni.cz/services/teitok/pdtc10/index.php?action=vallex&amp;frame=v-w2999f1", "ohlížet se (v-w2999f1)")</f>
        <v>ohlížet se (v-w2999f1)</v>
      </c>
    </row>
    <row r="23401" customFormat="false" ht="12.8" hidden="false" customHeight="false" outlineLevel="0" collapsed="false">
      <c r="B23401" s="0" t="s">
        <v>7</v>
      </c>
      <c r="C23401" s="0" t="s">
        <v>194</v>
      </c>
    </row>
    <row r="23403" customFormat="false" ht="12.8" hidden="false" customHeight="false" outlineLevel="0" collapsed="false">
      <c r="A23403" s="0" t="s">
        <v>8757</v>
      </c>
      <c r="B23403" s="0" t="str">
        <f aca="false">HYPERLINK("https://lindat.mff.cuni.cz/services/teitok/pdtc10/index.php?action=vallex&amp;frame=v-whsa_155hsa_156", "ohmatat (v-whsa_155hsa_156)")</f>
        <v>ohmatat (v-whsa_155hsa_156)</v>
      </c>
    </row>
    <row r="23404" customFormat="false" ht="12.8" hidden="false" customHeight="false" outlineLevel="0" collapsed="false">
      <c r="B23404" s="0" t="s">
        <v>7</v>
      </c>
    </row>
    <row r="23405" customFormat="false" ht="12.8" hidden="false" customHeight="false" outlineLevel="0" collapsed="false">
      <c r="B23405" s="0" t="s">
        <v>14</v>
      </c>
    </row>
    <row r="23407" customFormat="false" ht="12.8" hidden="false" customHeight="false" outlineLevel="0" collapsed="false">
      <c r="A23407" s="0" t="s">
        <v>8758</v>
      </c>
      <c r="B23407" s="0" t="str">
        <f aca="false">HYPERLINK("https://lindat.mff.cuni.cz/services/teitok/pdtc10/index.php?action=vallex&amp;frame=v-w10365f2", "ohmatávat (v-w10365f2)")</f>
        <v>ohmatávat (v-w10365f2)</v>
      </c>
    </row>
    <row r="23408" customFormat="false" ht="12.8" hidden="false" customHeight="false" outlineLevel="0" collapsed="false">
      <c r="B23408" s="0" t="s">
        <v>7</v>
      </c>
      <c r="C23408" s="0" t="s">
        <v>569</v>
      </c>
    </row>
    <row r="23409" customFormat="false" ht="12.8" hidden="false" customHeight="false" outlineLevel="0" collapsed="false">
      <c r="B23409" s="0" t="s">
        <v>14</v>
      </c>
      <c r="C23409" s="0" t="s">
        <v>461</v>
      </c>
    </row>
    <row r="23411" customFormat="false" ht="12.8" hidden="false" customHeight="false" outlineLevel="0" collapsed="false">
      <c r="A23411" s="0" t="s">
        <v>8759</v>
      </c>
      <c r="B23411" s="0" t="str">
        <f aca="false">HYPERLINK("https://lindat.mff.cuni.cz/services/teitok/pdtc10/index.php?action=vallex&amp;frame=v-w11946_ZUf1_ZU", "ohnout (v-w11946_ZUf1_ZU)")</f>
        <v>ohnout (v-w11946_ZUf1_ZU)</v>
      </c>
    </row>
    <row r="23412" customFormat="false" ht="12.8" hidden="false" customHeight="false" outlineLevel="0" collapsed="false">
      <c r="B23412" s="0" t="s">
        <v>7</v>
      </c>
    </row>
    <row r="23413" customFormat="false" ht="12.8" hidden="false" customHeight="false" outlineLevel="0" collapsed="false">
      <c r="B23413" s="0" t="s">
        <v>14</v>
      </c>
    </row>
    <row r="23415" customFormat="false" ht="12.8" hidden="false" customHeight="false" outlineLevel="0" collapsed="false">
      <c r="A23415" s="0" t="s">
        <v>8760</v>
      </c>
      <c r="B23415" s="0" t="str">
        <f aca="false">HYPERLINK("https://lindat.mff.cuni.cz/services/teitok/pdtc10/index.php?action=vallex&amp;frame=v-w11419f1", "ohnout se (v-w11419f1)")</f>
        <v>ohnout se (v-w11419f1)</v>
      </c>
    </row>
    <row r="23416" customFormat="false" ht="12.8" hidden="false" customHeight="false" outlineLevel="0" collapsed="false">
      <c r="B23416" s="0" t="s">
        <v>7</v>
      </c>
      <c r="C23416" s="0" t="s">
        <v>247</v>
      </c>
      <c r="D23416" s="0" t="s">
        <v>8761</v>
      </c>
      <c r="E23416" s="0" t="s">
        <v>8761</v>
      </c>
      <c r="F23416" s="0" t="s">
        <v>8761</v>
      </c>
    </row>
    <row r="23418" customFormat="false" ht="12.8" hidden="false" customHeight="false" outlineLevel="0" collapsed="false">
      <c r="A23418" s="0" t="s">
        <v>8762</v>
      </c>
      <c r="B23418" s="0" t="str">
        <f aca="false">HYPERLINK("https://lindat.mff.cuni.cz/services/teitok/pdtc10/index.php?action=vallex&amp;frame=v-w11419f3_ZU", "ohnout se (v-w11419f3_ZU)")</f>
        <v>ohnout se (v-w11419f3_ZU)</v>
      </c>
    </row>
    <row r="23419" customFormat="false" ht="12.8" hidden="false" customHeight="false" outlineLevel="0" collapsed="false">
      <c r="B23419" s="0" t="s">
        <v>7</v>
      </c>
    </row>
    <row r="23421" customFormat="false" ht="12.8" hidden="false" customHeight="false" outlineLevel="0" collapsed="false">
      <c r="A23421" s="0" t="s">
        <v>8762</v>
      </c>
      <c r="B23421" s="0" t="str">
        <f aca="false">HYPERLINK("https://lindat.mff.cuni.cz/services/teitok/pdtc10/index.php?action=vallex&amp;frame=v-w11419f2_ZU", "ohnout se (v-w11419f2_ZU) - substituted with v-w11419f3_ZU")</f>
        <v>ohnout se (v-w11419f2_ZU) - substituted with v-w11419f3_ZU</v>
      </c>
    </row>
    <row r="23422" customFormat="false" ht="12.8" hidden="false" customHeight="false" outlineLevel="0" collapsed="false">
      <c r="B23422" s="0" t="s">
        <v>7</v>
      </c>
    </row>
    <row r="23424" customFormat="false" ht="12.8" hidden="false" customHeight="false" outlineLevel="0" collapsed="false">
      <c r="A23424" s="0" t="s">
        <v>8763</v>
      </c>
      <c r="B23424" s="0" t="str">
        <f aca="false">HYPERLINK("https://lindat.mff.cuni.cz/services/teitok/pdtc10/index.php?action=vallex&amp;frame=v-w11785_ZUf1_ZU", "ohnít (v-w11785_ZUf1_ZU)")</f>
        <v>ohnít (v-w11785_ZUf1_ZU)</v>
      </c>
    </row>
    <row r="23425" customFormat="false" ht="12.8" hidden="false" customHeight="false" outlineLevel="0" collapsed="false">
      <c r="B23425" s="0" t="s">
        <v>7</v>
      </c>
    </row>
    <row r="23427" customFormat="false" ht="12.8" hidden="false" customHeight="false" outlineLevel="0" collapsed="false">
      <c r="A23427" s="0" t="s">
        <v>8764</v>
      </c>
      <c r="B23427" s="0" t="str">
        <f aca="false">HYPERLINK("https://lindat.mff.cuni.cz/services/teitok/pdtc10/index.php?action=vallex&amp;frame=v-w3003f1", "ohodnocovat (v-w3003f1)")</f>
        <v>ohodnocovat (v-w3003f1)</v>
      </c>
    </row>
    <row r="23428" customFormat="false" ht="12.8" hidden="false" customHeight="false" outlineLevel="0" collapsed="false">
      <c r="B23428" s="0" t="s">
        <v>7</v>
      </c>
      <c r="C23428" s="0" t="s">
        <v>23</v>
      </c>
      <c r="D23428" s="0" t="s">
        <v>1135</v>
      </c>
      <c r="E23428" s="0" t="s">
        <v>1135</v>
      </c>
      <c r="F23428" s="0" t="s">
        <v>1135</v>
      </c>
    </row>
    <row r="23429" customFormat="false" ht="12.8" hidden="false" customHeight="false" outlineLevel="0" collapsed="false">
      <c r="B23429" s="0" t="s">
        <v>54</v>
      </c>
      <c r="C23429" s="0" t="s">
        <v>8765</v>
      </c>
      <c r="D23429" s="0" t="s">
        <v>1137</v>
      </c>
      <c r="E23429" s="0" t="s">
        <v>1137</v>
      </c>
      <c r="F23429" s="0" t="s">
        <v>1137</v>
      </c>
    </row>
    <row r="23430" customFormat="false" ht="12.8" hidden="false" customHeight="false" outlineLevel="0" collapsed="false">
      <c r="B23430" s="0" t="s">
        <v>37</v>
      </c>
      <c r="C23430" s="0" t="s">
        <v>1147</v>
      </c>
      <c r="D23430" s="0" t="s">
        <v>1139</v>
      </c>
      <c r="E23430" s="0" t="s">
        <v>1139</v>
      </c>
      <c r="F23430" s="0" t="s">
        <v>1139</v>
      </c>
    </row>
    <row r="23432" customFormat="false" ht="12.8" hidden="false" customHeight="false" outlineLevel="0" collapsed="false">
      <c r="A23432" s="0" t="s">
        <v>8766</v>
      </c>
      <c r="B23432" s="0" t="str">
        <f aca="false">HYPERLINK("https://lindat.mff.cuni.cz/services/teitok/pdtc10/index.php?action=vallex&amp;frame=v-w3004f1", "ohodnotit (v-w3004f1)")</f>
        <v>ohodnotit (v-w3004f1)</v>
      </c>
    </row>
    <row r="23433" customFormat="false" ht="12.8" hidden="false" customHeight="false" outlineLevel="0" collapsed="false">
      <c r="B23433" s="0" t="s">
        <v>7</v>
      </c>
      <c r="C23433" s="0" t="s">
        <v>8767</v>
      </c>
      <c r="D23433" s="0" t="s">
        <v>460</v>
      </c>
      <c r="E23433" s="0" t="s">
        <v>460</v>
      </c>
      <c r="F23433" s="0" t="s">
        <v>460</v>
      </c>
    </row>
    <row r="23434" customFormat="false" ht="12.8" hidden="false" customHeight="false" outlineLevel="0" collapsed="false">
      <c r="B23434" s="0" t="s">
        <v>14</v>
      </c>
      <c r="C23434" s="0" t="s">
        <v>8768</v>
      </c>
      <c r="D23434" s="0" t="s">
        <v>110</v>
      </c>
      <c r="E23434" s="0" t="s">
        <v>110</v>
      </c>
      <c r="F23434" s="0" t="s">
        <v>110</v>
      </c>
    </row>
    <row r="23435" customFormat="false" ht="12.8" hidden="false" customHeight="false" outlineLevel="0" collapsed="false">
      <c r="B23435" s="0" t="s">
        <v>8769</v>
      </c>
      <c r="C23435" s="0" t="s">
        <v>8770</v>
      </c>
      <c r="D23435" s="0" t="s">
        <v>4595</v>
      </c>
      <c r="E23435" s="0" t="s">
        <v>4595</v>
      </c>
      <c r="F23435" s="0" t="s">
        <v>4595</v>
      </c>
    </row>
    <row r="23437" customFormat="false" ht="12.8" hidden="false" customHeight="false" outlineLevel="0" collapsed="false">
      <c r="A23437" s="0" t="s">
        <v>8771</v>
      </c>
      <c r="B23437" s="0" t="str">
        <f aca="false">HYPERLINK("https://lindat.mff.cuni.cz/services/teitok/pdtc10/index.php?action=vallex&amp;frame=v-w3004f3_ZU", "ohodnotit (v-w3004f3_ZU)")</f>
        <v>ohodnotit (v-w3004f3_ZU)</v>
      </c>
    </row>
    <row r="23438" customFormat="false" ht="12.8" hidden="false" customHeight="false" outlineLevel="0" collapsed="false">
      <c r="B23438" s="0" t="s">
        <v>7</v>
      </c>
      <c r="C23438" s="0" t="s">
        <v>4783</v>
      </c>
      <c r="D23438" s="0" t="s">
        <v>1135</v>
      </c>
      <c r="E23438" s="0" t="s">
        <v>1135</v>
      </c>
      <c r="F23438" s="0" t="s">
        <v>1135</v>
      </c>
    </row>
    <row r="23439" customFormat="false" ht="12.8" hidden="false" customHeight="false" outlineLevel="0" collapsed="false">
      <c r="B23439" s="0" t="s">
        <v>14</v>
      </c>
      <c r="C23439" s="0" t="s">
        <v>1605</v>
      </c>
      <c r="D23439" s="0" t="s">
        <v>1137</v>
      </c>
      <c r="E23439" s="0" t="s">
        <v>1137</v>
      </c>
      <c r="F23439" s="0" t="s">
        <v>1137</v>
      </c>
    </row>
    <row r="23440" customFormat="false" ht="12.8" hidden="false" customHeight="false" outlineLevel="0" collapsed="false">
      <c r="B23440" s="0" t="s">
        <v>84</v>
      </c>
      <c r="C23440" s="0" t="s">
        <v>1147</v>
      </c>
      <c r="D23440" s="0" t="s">
        <v>1139</v>
      </c>
      <c r="E23440" s="0" t="s">
        <v>1139</v>
      </c>
      <c r="F23440" s="0" t="s">
        <v>1139</v>
      </c>
    </row>
    <row r="23442" customFormat="false" ht="12.8" hidden="false" customHeight="false" outlineLevel="0" collapsed="false">
      <c r="A23442" s="0" t="s">
        <v>8772</v>
      </c>
      <c r="B23442" s="0" t="str">
        <f aca="false">HYPERLINK("https://lindat.mff.cuni.cz/services/teitok/pdtc10/index.php?action=vallex&amp;frame=v-w3004f2", "ohodnotit (v-w3004f2)")</f>
        <v>ohodnotit (v-w3004f2)</v>
      </c>
    </row>
    <row r="23443" customFormat="false" ht="12.8" hidden="false" customHeight="false" outlineLevel="0" collapsed="false">
      <c r="B23443" s="0" t="s">
        <v>7</v>
      </c>
      <c r="C23443" s="0" t="s">
        <v>8773</v>
      </c>
      <c r="D23443" s="0" t="s">
        <v>3664</v>
      </c>
      <c r="E23443" s="0" t="s">
        <v>3664</v>
      </c>
      <c r="F23443" s="0" t="s">
        <v>3664</v>
      </c>
    </row>
    <row r="23444" customFormat="false" ht="12.8" hidden="false" customHeight="false" outlineLevel="0" collapsed="false">
      <c r="B23444" s="0" t="s">
        <v>172</v>
      </c>
      <c r="C23444" s="0" t="s">
        <v>8774</v>
      </c>
      <c r="D23444" s="0" t="s">
        <v>899</v>
      </c>
      <c r="E23444" s="0" t="s">
        <v>899</v>
      </c>
      <c r="F23444" s="0" t="s">
        <v>899</v>
      </c>
    </row>
    <row r="23446" customFormat="false" ht="12.8" hidden="false" customHeight="false" outlineLevel="0" collapsed="false">
      <c r="A23446" s="0" t="s">
        <v>8775</v>
      </c>
      <c r="B23446" s="0" t="str">
        <f aca="false">HYPERLINK("https://lindat.mff.cuni.cz/services/teitok/pdtc10/index.php?action=vallex&amp;frame=v-w3005f2", "oholit (v-w3005f2)")</f>
        <v>oholit (v-w3005f2)</v>
      </c>
    </row>
    <row r="23447" customFormat="false" ht="12.8" hidden="false" customHeight="false" outlineLevel="0" collapsed="false">
      <c r="B23447" s="0" t="s">
        <v>7</v>
      </c>
      <c r="C23447" s="0" t="s">
        <v>184</v>
      </c>
      <c r="F23447" s="0" t="s">
        <v>157</v>
      </c>
    </row>
    <row r="23448" customFormat="false" ht="12.8" hidden="false" customHeight="false" outlineLevel="0" collapsed="false">
      <c r="B23448" s="0" t="s">
        <v>14</v>
      </c>
      <c r="C23448" s="0" t="s">
        <v>384</v>
      </c>
      <c r="F23448" s="0" t="s">
        <v>462</v>
      </c>
    </row>
    <row r="23449" customFormat="false" ht="12.8" hidden="false" customHeight="false" outlineLevel="0" collapsed="false">
      <c r="B23449" s="0" t="s">
        <v>459</v>
      </c>
      <c r="C23449" s="0" t="s">
        <v>8776</v>
      </c>
      <c r="F23449" s="0" t="s">
        <v>463</v>
      </c>
    </row>
    <row r="23451" customFormat="false" ht="12.8" hidden="false" customHeight="false" outlineLevel="0" collapsed="false">
      <c r="A23451" s="0" t="s">
        <v>8777</v>
      </c>
      <c r="B23451" s="0" t="str">
        <f aca="false">HYPERLINK("https://lindat.mff.cuni.cz/services/teitok/pdtc10/index.php?action=vallex&amp;frame=v-w3005f1", "oholit (v-w3005f1)")</f>
        <v>oholit (v-w3005f1)</v>
      </c>
    </row>
    <row r="23452" customFormat="false" ht="12.8" hidden="false" customHeight="false" outlineLevel="0" collapsed="false">
      <c r="B23452" s="0" t="s">
        <v>7</v>
      </c>
      <c r="C23452" s="0" t="s">
        <v>191</v>
      </c>
      <c r="F23452" s="0" t="s">
        <v>191</v>
      </c>
    </row>
    <row r="23453" customFormat="false" ht="12.8" hidden="false" customHeight="false" outlineLevel="0" collapsed="false">
      <c r="B23453" s="0" t="s">
        <v>14</v>
      </c>
      <c r="C23453" s="0" t="s">
        <v>155</v>
      </c>
      <c r="F23453" s="0" t="s">
        <v>155</v>
      </c>
    </row>
    <row r="23455" customFormat="false" ht="12.8" hidden="false" customHeight="false" outlineLevel="0" collapsed="false">
      <c r="A23455" s="0" t="s">
        <v>8778</v>
      </c>
      <c r="B23455" s="0" t="str">
        <f aca="false">HYPERLINK("https://lindat.mff.cuni.cz/services/teitok/pdtc10/index.php?action=vallex&amp;frame=v-w3006f1", "ohořet (v-w3006f1)")</f>
        <v>ohořet (v-w3006f1)</v>
      </c>
    </row>
    <row r="23456" customFormat="false" ht="12.8" hidden="false" customHeight="false" outlineLevel="0" collapsed="false">
      <c r="B23456" s="0" t="s">
        <v>7</v>
      </c>
      <c r="D23456" s="0" t="s">
        <v>200</v>
      </c>
      <c r="E23456" s="0" t="s">
        <v>200</v>
      </c>
      <c r="F23456" s="0" t="s">
        <v>200</v>
      </c>
    </row>
    <row r="23458" customFormat="false" ht="12.8" hidden="false" customHeight="false" outlineLevel="0" collapsed="false">
      <c r="A23458" s="0" t="s">
        <v>8779</v>
      </c>
      <c r="B23458" s="0" t="str">
        <f aca="false">HYPERLINK("https://lindat.mff.cuni.cz/services/teitok/pdtc10/index.php?action=vallex&amp;frame=v-w3007f1", "ohradit (v-w3007f1)")</f>
        <v>ohradit (v-w3007f1)</v>
      </c>
    </row>
    <row r="23459" customFormat="false" ht="12.8" hidden="false" customHeight="false" outlineLevel="0" collapsed="false">
      <c r="B23459" s="0" t="s">
        <v>7</v>
      </c>
      <c r="F23459" s="0" t="s">
        <v>7671</v>
      </c>
    </row>
    <row r="23460" customFormat="false" ht="12.8" hidden="false" customHeight="false" outlineLevel="0" collapsed="false">
      <c r="B23460" s="0" t="s">
        <v>14</v>
      </c>
      <c r="F23460" s="0" t="s">
        <v>3386</v>
      </c>
    </row>
    <row r="23462" customFormat="false" ht="12.8" hidden="false" customHeight="false" outlineLevel="0" collapsed="false">
      <c r="A23462" s="0" t="s">
        <v>8780</v>
      </c>
      <c r="B23462" s="0" t="str">
        <f aca="false">HYPERLINK("https://lindat.mff.cuni.cz/services/teitok/pdtc10/index.php?action=vallex&amp;frame=v-w3008f1", "ohradit se (v-w3008f1)")</f>
        <v>ohradit se (v-w3008f1)</v>
      </c>
    </row>
    <row r="23463" customFormat="false" ht="12.8" hidden="false" customHeight="false" outlineLevel="0" collapsed="false">
      <c r="B23463" s="0" t="s">
        <v>7</v>
      </c>
      <c r="C23463" s="0" t="s">
        <v>194</v>
      </c>
      <c r="D23463" s="0" t="s">
        <v>351</v>
      </c>
      <c r="E23463" s="0" t="s">
        <v>351</v>
      </c>
      <c r="F23463" s="0" t="s">
        <v>351</v>
      </c>
    </row>
    <row r="23464" customFormat="false" ht="12.8" hidden="false" customHeight="false" outlineLevel="0" collapsed="false">
      <c r="B23464" s="0" t="s">
        <v>8781</v>
      </c>
      <c r="C23464" s="0" t="s">
        <v>8782</v>
      </c>
      <c r="D23464" s="0" t="s">
        <v>7637</v>
      </c>
      <c r="E23464" s="0" t="s">
        <v>7637</v>
      </c>
      <c r="F23464" s="0" t="s">
        <v>7637</v>
      </c>
    </row>
    <row r="23466" customFormat="false" ht="12.8" hidden="false" customHeight="false" outlineLevel="0" collapsed="false">
      <c r="A23466" s="0" t="s">
        <v>8783</v>
      </c>
      <c r="B23466" s="0" t="str">
        <f aca="false">HYPERLINK("https://lindat.mff.cuni.cz/services/teitok/pdtc10/index.php?action=vallex&amp;frame=v-w10166f2", "ohraničit (v-w10166f2)")</f>
        <v>ohraničit (v-w10166f2)</v>
      </c>
    </row>
    <row r="23467" customFormat="false" ht="12.8" hidden="false" customHeight="false" outlineLevel="0" collapsed="false">
      <c r="B23467" s="0" t="s">
        <v>7</v>
      </c>
      <c r="C23467" s="0" t="s">
        <v>46</v>
      </c>
      <c r="D23467" s="0" t="s">
        <v>200</v>
      </c>
      <c r="E23467" s="0" t="s">
        <v>200</v>
      </c>
      <c r="F23467" s="0" t="s">
        <v>200</v>
      </c>
    </row>
    <row r="23468" customFormat="false" ht="12.8" hidden="false" customHeight="false" outlineLevel="0" collapsed="false">
      <c r="B23468" s="0" t="s">
        <v>232</v>
      </c>
      <c r="C23468" s="0" t="s">
        <v>33</v>
      </c>
      <c r="D23468" s="0" t="s">
        <v>1544</v>
      </c>
      <c r="E23468" s="0" t="s">
        <v>1544</v>
      </c>
      <c r="F23468" s="0" t="s">
        <v>1544</v>
      </c>
    </row>
    <row r="23470" customFormat="false" ht="12.8" hidden="false" customHeight="false" outlineLevel="0" collapsed="false">
      <c r="A23470" s="0" t="s">
        <v>8784</v>
      </c>
      <c r="B23470" s="0" t="str">
        <f aca="false">HYPERLINK("https://lindat.mff.cuni.cz/services/teitok/pdtc10/index.php?action=vallex&amp;frame=v-w10947f2", "ohraničovat (v-w10947f2)")</f>
        <v>ohraničovat (v-w10947f2)</v>
      </c>
    </row>
    <row r="23471" customFormat="false" ht="12.8" hidden="false" customHeight="false" outlineLevel="0" collapsed="false">
      <c r="B23471" s="0" t="s">
        <v>7</v>
      </c>
      <c r="C23471" s="0" t="s">
        <v>1380</v>
      </c>
      <c r="D23471" s="0" t="s">
        <v>200</v>
      </c>
      <c r="E23471" s="0" t="s">
        <v>200</v>
      </c>
      <c r="F23471" s="0" t="s">
        <v>200</v>
      </c>
    </row>
    <row r="23472" customFormat="false" ht="12.8" hidden="false" customHeight="false" outlineLevel="0" collapsed="false">
      <c r="B23472" s="0" t="s">
        <v>14</v>
      </c>
      <c r="C23472" s="0" t="s">
        <v>6832</v>
      </c>
      <c r="D23472" s="0" t="s">
        <v>1544</v>
      </c>
      <c r="E23472" s="0" t="s">
        <v>1544</v>
      </c>
      <c r="F23472" s="0" t="s">
        <v>1544</v>
      </c>
    </row>
    <row r="23474" customFormat="false" ht="12.8" hidden="false" customHeight="false" outlineLevel="0" collapsed="false">
      <c r="A23474" s="0" t="s">
        <v>8785</v>
      </c>
      <c r="B23474" s="0" t="str">
        <f aca="false">HYPERLINK("https://lindat.mff.cuni.cz/services/teitok/pdtc10/index.php?action=vallex&amp;frame=v-w3013f1", "ohrazovat (v-w3013f1)")</f>
        <v>ohrazovat (v-w3013f1)</v>
      </c>
    </row>
    <row r="23475" customFormat="false" ht="12.8" hidden="false" customHeight="false" outlineLevel="0" collapsed="false">
      <c r="B23475" s="0" t="s">
        <v>7</v>
      </c>
      <c r="F23475" s="0" t="s">
        <v>7671</v>
      </c>
    </row>
    <row r="23476" customFormat="false" ht="12.8" hidden="false" customHeight="false" outlineLevel="0" collapsed="false">
      <c r="B23476" s="0" t="s">
        <v>14</v>
      </c>
      <c r="F23476" s="0" t="s">
        <v>3386</v>
      </c>
    </row>
    <row r="23478" customFormat="false" ht="12.8" hidden="false" customHeight="false" outlineLevel="0" collapsed="false">
      <c r="A23478" s="0" t="s">
        <v>8786</v>
      </c>
      <c r="B23478" s="0" t="str">
        <f aca="false">HYPERLINK("https://lindat.mff.cuni.cz/services/teitok/pdtc10/index.php?action=vallex&amp;frame=v-w3014f1", "ohrazovat se (v-w3014f1)")</f>
        <v>ohrazovat se (v-w3014f1)</v>
      </c>
    </row>
    <row r="23479" customFormat="false" ht="12.8" hidden="false" customHeight="false" outlineLevel="0" collapsed="false">
      <c r="B23479" s="0" t="s">
        <v>7</v>
      </c>
      <c r="C23479" s="0" t="s">
        <v>118</v>
      </c>
      <c r="D23479" s="0" t="s">
        <v>351</v>
      </c>
      <c r="E23479" s="0" t="s">
        <v>351</v>
      </c>
      <c r="F23479" s="0" t="s">
        <v>351</v>
      </c>
    </row>
    <row r="23480" customFormat="false" ht="12.8" hidden="false" customHeight="false" outlineLevel="0" collapsed="false">
      <c r="B23480" s="0" t="s">
        <v>8781</v>
      </c>
      <c r="C23480" s="0" t="s">
        <v>384</v>
      </c>
      <c r="D23480" s="0" t="s">
        <v>7637</v>
      </c>
      <c r="E23480" s="0" t="s">
        <v>7637</v>
      </c>
      <c r="F23480" s="0" t="s">
        <v>7637</v>
      </c>
    </row>
    <row r="23482" customFormat="false" ht="12.8" hidden="false" customHeight="false" outlineLevel="0" collapsed="false">
      <c r="A23482" s="0" t="s">
        <v>8787</v>
      </c>
      <c r="B23482" s="0" t="str">
        <f aca="false">HYPERLINK("https://lindat.mff.cuni.cz/services/teitok/pdtc10/index.php?action=vallex&amp;frame=v-w10719f3", "ohrnout (v-w10719f3)")</f>
        <v>ohrnout (v-w10719f3)</v>
      </c>
    </row>
    <row r="23483" customFormat="false" ht="12.8" hidden="false" customHeight="false" outlineLevel="0" collapsed="false">
      <c r="B23483" s="0" t="s">
        <v>7</v>
      </c>
    </row>
    <row r="23484" customFormat="false" ht="12.8" hidden="false" customHeight="false" outlineLevel="0" collapsed="false">
      <c r="B23484" s="0" t="s">
        <v>14</v>
      </c>
      <c r="C23484" s="0" t="s">
        <v>567</v>
      </c>
    </row>
    <row r="23486" customFormat="false" ht="12.8" hidden="false" customHeight="false" outlineLevel="0" collapsed="false">
      <c r="A23486" s="0" t="s">
        <v>8788</v>
      </c>
      <c r="B23486" s="0" t="str">
        <f aca="false">HYPERLINK("https://lindat.mff.cuni.cz/services/teitok/pdtc10/index.php?action=vallex&amp;frame=v-w10719f2", "ohrnout (v-w10719f2)")</f>
        <v>ohrnout (v-w10719f2)</v>
      </c>
    </row>
    <row r="23487" customFormat="false" ht="12.8" hidden="false" customHeight="false" outlineLevel="0" collapsed="false">
      <c r="B23487" s="0" t="s">
        <v>7</v>
      </c>
      <c r="D23487" s="0" t="s">
        <v>88</v>
      </c>
      <c r="E23487" s="0" t="s">
        <v>88</v>
      </c>
      <c r="F23487" s="0" t="s">
        <v>88</v>
      </c>
    </row>
    <row r="23488" customFormat="false" ht="12.8" hidden="false" customHeight="false" outlineLevel="0" collapsed="false">
      <c r="B23488" s="0" t="s">
        <v>8789</v>
      </c>
    </row>
    <row r="23490" customFormat="false" ht="12.8" hidden="false" customHeight="false" outlineLevel="0" collapsed="false">
      <c r="A23490" s="0" t="s">
        <v>8790</v>
      </c>
      <c r="B23490" s="0" t="str">
        <f aca="false">HYPERLINK("https://lindat.mff.cuni.cz/services/teitok/pdtc10/index.php?action=vallex&amp;frame=v-w10709f3", "ohrnovat (v-w10709f3)")</f>
        <v>ohrnovat (v-w10709f3)</v>
      </c>
    </row>
    <row r="23491" customFormat="false" ht="12.8" hidden="false" customHeight="false" outlineLevel="0" collapsed="false">
      <c r="B23491" s="0" t="s">
        <v>7</v>
      </c>
      <c r="C23491" s="0" t="s">
        <v>569</v>
      </c>
      <c r="D23491" s="0" t="s">
        <v>88</v>
      </c>
      <c r="E23491" s="0" t="s">
        <v>88</v>
      </c>
      <c r="F23491" s="0" t="s">
        <v>88</v>
      </c>
    </row>
    <row r="23492" customFormat="false" ht="12.8" hidden="false" customHeight="false" outlineLevel="0" collapsed="false">
      <c r="B23492" s="0" t="s">
        <v>8789</v>
      </c>
    </row>
    <row r="23494" customFormat="false" ht="12.8" hidden="false" customHeight="false" outlineLevel="0" collapsed="false">
      <c r="A23494" s="0" t="s">
        <v>8791</v>
      </c>
      <c r="B23494" s="0" t="str">
        <f aca="false">HYPERLINK("https://lindat.mff.cuni.cz/services/teitok/pdtc10/index.php?action=vallex&amp;frame=v-w3015f1", "ohromit (v-w3015f1)")</f>
        <v>ohromit (v-w3015f1)</v>
      </c>
    </row>
    <row r="23495" customFormat="false" ht="12.8" hidden="false" customHeight="false" outlineLevel="0" collapsed="false">
      <c r="B23495" s="0" t="s">
        <v>8792</v>
      </c>
      <c r="C23495" s="0" t="s">
        <v>8793</v>
      </c>
      <c r="D23495" s="0" t="s">
        <v>8794</v>
      </c>
      <c r="E23495" s="0" t="s">
        <v>8794</v>
      </c>
      <c r="F23495" s="0" t="s">
        <v>8794</v>
      </c>
    </row>
    <row r="23496" customFormat="false" ht="12.8" hidden="false" customHeight="false" outlineLevel="0" collapsed="false">
      <c r="B23496" s="0" t="s">
        <v>14</v>
      </c>
      <c r="C23496" s="0" t="s">
        <v>8795</v>
      </c>
      <c r="D23496" s="0" t="s">
        <v>8796</v>
      </c>
      <c r="E23496" s="0" t="s">
        <v>8796</v>
      </c>
      <c r="F23496" s="0" t="s">
        <v>8796</v>
      </c>
    </row>
    <row r="23498" customFormat="false" ht="12.8" hidden="false" customHeight="false" outlineLevel="0" collapsed="false">
      <c r="A23498" s="0" t="s">
        <v>8797</v>
      </c>
      <c r="B23498" s="0" t="str">
        <f aca="false">HYPERLINK("https://lindat.mff.cuni.cz/services/teitok/pdtc10/index.php?action=vallex&amp;frame=v-w10380f2", "ohromovat (v-w10380f2)")</f>
        <v>ohromovat (v-w10380f2)</v>
      </c>
    </row>
    <row r="23499" customFormat="false" ht="12.8" hidden="false" customHeight="false" outlineLevel="0" collapsed="false">
      <c r="B23499" s="0" t="s">
        <v>7</v>
      </c>
      <c r="D23499" s="0" t="s">
        <v>8794</v>
      </c>
      <c r="E23499" s="0" t="s">
        <v>8794</v>
      </c>
      <c r="F23499" s="0" t="s">
        <v>8794</v>
      </c>
    </row>
    <row r="23500" customFormat="false" ht="12.8" hidden="false" customHeight="false" outlineLevel="0" collapsed="false">
      <c r="B23500" s="0" t="s">
        <v>14</v>
      </c>
      <c r="D23500" s="0" t="s">
        <v>8796</v>
      </c>
      <c r="E23500" s="0" t="s">
        <v>8796</v>
      </c>
      <c r="F23500" s="0" t="s">
        <v>8796</v>
      </c>
    </row>
    <row r="23502" customFormat="false" ht="12.8" hidden="false" customHeight="false" outlineLevel="0" collapsed="false">
      <c r="A23502" s="0" t="s">
        <v>8798</v>
      </c>
      <c r="B23502" s="0" t="str">
        <f aca="false">HYPERLINK("https://lindat.mff.cuni.cz/services/teitok/pdtc10/index.php?action=vallex&amp;frame=v-w3016f1", "ohrozit (v-w3016f1)")</f>
        <v>ohrozit (v-w3016f1)</v>
      </c>
    </row>
    <row r="23503" customFormat="false" ht="12.8" hidden="false" customHeight="false" outlineLevel="0" collapsed="false">
      <c r="B23503" s="0" t="s">
        <v>7</v>
      </c>
      <c r="C23503" s="0" t="s">
        <v>8799</v>
      </c>
      <c r="D23503" s="0" t="s">
        <v>411</v>
      </c>
      <c r="E23503" s="0" t="s">
        <v>411</v>
      </c>
      <c r="F23503" s="0" t="s">
        <v>411</v>
      </c>
    </row>
    <row r="23504" customFormat="false" ht="12.8" hidden="false" customHeight="false" outlineLevel="0" collapsed="false">
      <c r="B23504" s="0" t="s">
        <v>14</v>
      </c>
      <c r="C23504" s="0" t="s">
        <v>8800</v>
      </c>
      <c r="D23504" s="0" t="s">
        <v>8801</v>
      </c>
      <c r="E23504" s="0" t="s">
        <v>8801</v>
      </c>
      <c r="F23504" s="0" t="s">
        <v>8801</v>
      </c>
    </row>
    <row r="23506" customFormat="false" ht="12.8" hidden="false" customHeight="false" outlineLevel="0" collapsed="false">
      <c r="A23506" s="0" t="s">
        <v>8802</v>
      </c>
      <c r="B23506" s="0" t="str">
        <f aca="false">HYPERLINK("https://lindat.mff.cuni.cz/services/teitok/pdtc10/index.php?action=vallex&amp;frame=v-w3020f1", "ohrožovat (v-w3020f1)")</f>
        <v>ohrožovat (v-w3020f1)</v>
      </c>
    </row>
    <row r="23507" customFormat="false" ht="12.8" hidden="false" customHeight="false" outlineLevel="0" collapsed="false">
      <c r="B23507" s="0" t="s">
        <v>7</v>
      </c>
      <c r="C23507" s="0" t="s">
        <v>8803</v>
      </c>
      <c r="D23507" s="0" t="s">
        <v>411</v>
      </c>
      <c r="E23507" s="0" t="s">
        <v>411</v>
      </c>
      <c r="F23507" s="0" t="s">
        <v>411</v>
      </c>
    </row>
    <row r="23508" customFormat="false" ht="12.8" hidden="false" customHeight="false" outlineLevel="0" collapsed="false">
      <c r="B23508" s="0" t="s">
        <v>14</v>
      </c>
      <c r="C23508" s="0" t="s">
        <v>8804</v>
      </c>
      <c r="D23508" s="0" t="s">
        <v>8801</v>
      </c>
      <c r="E23508" s="0" t="s">
        <v>8801</v>
      </c>
      <c r="F23508" s="0" t="s">
        <v>8801</v>
      </c>
    </row>
    <row r="23510" customFormat="false" ht="12.8" hidden="false" customHeight="false" outlineLevel="0" collapsed="false">
      <c r="A23510" s="0" t="s">
        <v>8805</v>
      </c>
      <c r="B23510" s="0" t="str">
        <f aca="false">HYPERLINK("https://lindat.mff.cuni.cz/services/teitok/pdtc10/index.php?action=vallex&amp;frame=v-w3011f1", "ohrávat (v-w3011f1)")</f>
        <v>ohrávat (v-w3011f1)</v>
      </c>
    </row>
    <row r="23511" customFormat="false" ht="12.8" hidden="false" customHeight="false" outlineLevel="0" collapsed="false">
      <c r="B23511" s="0" t="s">
        <v>7</v>
      </c>
    </row>
    <row r="23512" customFormat="false" ht="12.8" hidden="false" customHeight="false" outlineLevel="0" collapsed="false">
      <c r="B23512" s="0" t="s">
        <v>14</v>
      </c>
    </row>
    <row r="23514" customFormat="false" ht="12.8" hidden="false" customHeight="false" outlineLevel="0" collapsed="false">
      <c r="A23514" s="0" t="s">
        <v>8806</v>
      </c>
      <c r="B23514" s="0" t="str">
        <f aca="false">HYPERLINK("https://lindat.mff.cuni.cz/services/teitok/pdtc10/index.php?action=vallex&amp;frame=v-w2986f1", "ohánět se (v-w2986f1)")</f>
        <v>ohánět se (v-w2986f1)</v>
      </c>
    </row>
    <row r="23515" customFormat="false" ht="12.8" hidden="false" customHeight="false" outlineLevel="0" collapsed="false">
      <c r="B23515" s="0" t="s">
        <v>7</v>
      </c>
      <c r="C23515" s="0" t="s">
        <v>88</v>
      </c>
      <c r="D23515" s="0" t="s">
        <v>194</v>
      </c>
      <c r="E23515" s="0" t="s">
        <v>194</v>
      </c>
      <c r="F23515" s="0" t="s">
        <v>194</v>
      </c>
    </row>
    <row r="23516" customFormat="false" ht="12.8" hidden="false" customHeight="false" outlineLevel="0" collapsed="false">
      <c r="B23516" s="0" t="s">
        <v>216</v>
      </c>
      <c r="C23516" s="0" t="s">
        <v>120</v>
      </c>
      <c r="D23516" s="0" t="s">
        <v>24</v>
      </c>
      <c r="E23516" s="0" t="s">
        <v>24</v>
      </c>
      <c r="F23516" s="0" t="s">
        <v>24</v>
      </c>
    </row>
    <row r="23518" customFormat="false" ht="12.8" hidden="false" customHeight="false" outlineLevel="0" collapsed="false">
      <c r="A23518" s="0" t="s">
        <v>8807</v>
      </c>
      <c r="B23518" s="0" t="str">
        <f aca="false">HYPERLINK("https://lindat.mff.cuni.cz/services/teitok/pdtc10/index.php?action=vallex&amp;frame=v-w2986f2", "ohánět se (v-w2986f2)")</f>
        <v>ohánět se (v-w2986f2)</v>
      </c>
    </row>
    <row r="23519" customFormat="false" ht="12.8" hidden="false" customHeight="false" outlineLevel="0" collapsed="false">
      <c r="B23519" s="0" t="s">
        <v>7</v>
      </c>
    </row>
    <row r="23521" customFormat="false" ht="12.8" hidden="false" customHeight="false" outlineLevel="0" collapsed="false">
      <c r="A23521" s="0" t="s">
        <v>8808</v>
      </c>
      <c r="B23521" s="0" t="str">
        <f aca="false">HYPERLINK("https://lindat.mff.cuni.cz/services/teitok/pdtc10/index.php?action=vallex&amp;frame=v-w11466f1", "ohýbat (v-w11466f1)")</f>
        <v>ohýbat (v-w11466f1)</v>
      </c>
    </row>
    <row r="23522" customFormat="false" ht="12.8" hidden="false" customHeight="false" outlineLevel="0" collapsed="false">
      <c r="B23522" s="0" t="s">
        <v>7</v>
      </c>
    </row>
    <row r="23523" customFormat="false" ht="12.8" hidden="false" customHeight="false" outlineLevel="0" collapsed="false">
      <c r="B23523" s="0" t="s">
        <v>14</v>
      </c>
    </row>
    <row r="23525" customFormat="false" ht="12.8" hidden="false" customHeight="false" outlineLevel="0" collapsed="false">
      <c r="A23525" s="0" t="s">
        <v>8809</v>
      </c>
      <c r="B23525" s="0" t="str">
        <f aca="false">HYPERLINK("https://lindat.mff.cuni.cz/services/teitok/pdtc10/index.php?action=vallex&amp;frame=v-w3026f1", "ohýbat se (v-w3026f1)")</f>
        <v>ohýbat se (v-w3026f1)</v>
      </c>
    </row>
    <row r="23526" customFormat="false" ht="12.8" hidden="false" customHeight="false" outlineLevel="0" collapsed="false">
      <c r="B23526" s="0" t="s">
        <v>7</v>
      </c>
    </row>
    <row r="23528" customFormat="false" ht="12.8" hidden="false" customHeight="false" outlineLevel="0" collapsed="false">
      <c r="A23528" s="0" t="s">
        <v>8810</v>
      </c>
      <c r="B23528" s="0" t="str">
        <f aca="false">HYPERLINK("https://lindat.mff.cuni.cz/services/teitok/pdtc10/index.php?action=vallex&amp;frame=v-whsa_1443hsa_1444", "ohřát (v-whsa_1443hsa_1444)")</f>
        <v>ohřát (v-whsa_1443hsa_1444)</v>
      </c>
    </row>
    <row r="23529" customFormat="false" ht="12.8" hidden="false" customHeight="false" outlineLevel="0" collapsed="false">
      <c r="B23529" s="0" t="s">
        <v>7</v>
      </c>
    </row>
    <row r="23530" customFormat="false" ht="12.8" hidden="false" customHeight="false" outlineLevel="0" collapsed="false">
      <c r="B23530" s="0" t="s">
        <v>14</v>
      </c>
    </row>
    <row r="23532" customFormat="false" ht="12.8" hidden="false" customHeight="false" outlineLevel="0" collapsed="false">
      <c r="A23532" s="0" t="s">
        <v>8811</v>
      </c>
      <c r="B23532" s="0" t="str">
        <f aca="false">HYPERLINK("https://lindat.mff.cuni.cz/services/teitok/pdtc10/index.php?action=vallex&amp;frame=v-w3022f1", "ohřát se (v-w3022f1)")</f>
        <v>ohřát se (v-w3022f1)</v>
      </c>
    </row>
    <row r="23533" customFormat="false" ht="12.8" hidden="false" customHeight="false" outlineLevel="0" collapsed="false">
      <c r="B23533" s="0" t="s">
        <v>7</v>
      </c>
      <c r="F23533" s="0" t="s">
        <v>247</v>
      </c>
    </row>
    <row r="23535" customFormat="false" ht="12.8" hidden="false" customHeight="false" outlineLevel="0" collapsed="false">
      <c r="A23535" s="0" t="s">
        <v>8812</v>
      </c>
      <c r="B23535" s="0" t="str">
        <f aca="false">HYPERLINK("https://lindat.mff.cuni.cz/services/teitok/pdtc10/index.php?action=vallex&amp;frame=v-w10069f2", "ohřívat (v-w10069f2)")</f>
        <v>ohřívat (v-w10069f2)</v>
      </c>
    </row>
    <row r="23536" customFormat="false" ht="12.8" hidden="false" customHeight="false" outlineLevel="0" collapsed="false">
      <c r="B23536" s="0" t="s">
        <v>7</v>
      </c>
      <c r="C23536" s="0" t="s">
        <v>3293</v>
      </c>
    </row>
    <row r="23537" customFormat="false" ht="12.8" hidden="false" customHeight="false" outlineLevel="0" collapsed="false">
      <c r="B23537" s="0" t="s">
        <v>14</v>
      </c>
      <c r="C23537" s="0" t="s">
        <v>3295</v>
      </c>
      <c r="F23537" s="0" t="s">
        <v>155</v>
      </c>
    </row>
    <row r="23539" customFormat="false" ht="12.8" hidden="false" customHeight="false" outlineLevel="0" collapsed="false">
      <c r="A23539" s="0" t="s">
        <v>8813</v>
      </c>
      <c r="B23539" s="0" t="str">
        <f aca="false">HYPERLINK("https://lindat.mff.cuni.cz/services/teitok/pdtc10/index.php?action=vallex&amp;frame=v-w3048f1", "oklamat (v-w3048f1)")</f>
        <v>oklamat (v-w3048f1)</v>
      </c>
    </row>
    <row r="23540" customFormat="false" ht="12.8" hidden="false" customHeight="false" outlineLevel="0" collapsed="false">
      <c r="B23540" s="0" t="s">
        <v>7</v>
      </c>
      <c r="C23540" s="0" t="s">
        <v>3051</v>
      </c>
      <c r="D23540" s="0" t="s">
        <v>4342</v>
      </c>
      <c r="E23540" s="0" t="s">
        <v>4342</v>
      </c>
      <c r="F23540" s="0" t="s">
        <v>4342</v>
      </c>
    </row>
    <row r="23541" customFormat="false" ht="12.8" hidden="false" customHeight="false" outlineLevel="0" collapsed="false">
      <c r="B23541" s="0" t="s">
        <v>14</v>
      </c>
      <c r="C23541" s="0" t="s">
        <v>8814</v>
      </c>
      <c r="D23541" s="0" t="s">
        <v>4586</v>
      </c>
      <c r="E23541" s="0" t="s">
        <v>4586</v>
      </c>
      <c r="F23541" s="0" t="s">
        <v>4586</v>
      </c>
    </row>
    <row r="23543" customFormat="false" ht="12.8" hidden="false" customHeight="false" outlineLevel="0" collapsed="false">
      <c r="A23543" s="0" t="s">
        <v>8815</v>
      </c>
      <c r="B23543" s="0" t="str">
        <f aca="false">HYPERLINK("https://lindat.mff.cuni.cz/services/teitok/pdtc10/index.php?action=vallex&amp;frame=v-whsa_1971hsa_1972", "oklepat se (v-whsa_1971hsa_1972)")</f>
        <v>oklepat se (v-whsa_1971hsa_1972)</v>
      </c>
    </row>
    <row r="23544" customFormat="false" ht="12.8" hidden="false" customHeight="false" outlineLevel="0" collapsed="false">
      <c r="B23544" s="0" t="s">
        <v>7</v>
      </c>
    </row>
    <row r="23546" customFormat="false" ht="12.8" hidden="false" customHeight="false" outlineLevel="0" collapsed="false">
      <c r="A23546" s="0" t="s">
        <v>8816</v>
      </c>
      <c r="B23546" s="0" t="str">
        <f aca="false">HYPERLINK("https://lindat.mff.cuni.cz/services/teitok/pdtc10/index.php?action=vallex&amp;frame=v-w11388f1", "oklepávat se (v-w11388f1)")</f>
        <v>oklepávat se (v-w11388f1)</v>
      </c>
    </row>
    <row r="23547" customFormat="false" ht="12.8" hidden="false" customHeight="false" outlineLevel="0" collapsed="false">
      <c r="B23547" s="0" t="s">
        <v>7</v>
      </c>
    </row>
    <row r="23548" customFormat="false" ht="12.8" hidden="false" customHeight="false" outlineLevel="0" collapsed="false">
      <c r="B23548" s="0" t="s">
        <v>581</v>
      </c>
    </row>
    <row r="23550" customFormat="false" ht="12.8" hidden="false" customHeight="false" outlineLevel="0" collapsed="false">
      <c r="A23550" s="0" t="s">
        <v>8817</v>
      </c>
      <c r="B23550" s="0" t="str">
        <f aca="false">HYPERLINK("https://lindat.mff.cuni.cz/services/teitok/pdtc10/index.php?action=vallex&amp;frame=v-w11163f2", "oklestit (v-w11163f2)")</f>
        <v>oklestit (v-w11163f2)</v>
      </c>
    </row>
    <row r="23551" customFormat="false" ht="12.8" hidden="false" customHeight="false" outlineLevel="0" collapsed="false">
      <c r="B23551" s="0" t="s">
        <v>7</v>
      </c>
      <c r="C23551" s="0" t="s">
        <v>1263</v>
      </c>
      <c r="D23551" s="0" t="s">
        <v>8818</v>
      </c>
      <c r="E23551" s="0" t="s">
        <v>8818</v>
      </c>
      <c r="F23551" s="0" t="s">
        <v>8818</v>
      </c>
    </row>
    <row r="23552" customFormat="false" ht="12.8" hidden="false" customHeight="false" outlineLevel="0" collapsed="false">
      <c r="B23552" s="0" t="s">
        <v>14</v>
      </c>
      <c r="C23552" s="0" t="s">
        <v>5444</v>
      </c>
      <c r="D23552" s="0" t="s">
        <v>8819</v>
      </c>
      <c r="E23552" s="0" t="s">
        <v>8819</v>
      </c>
      <c r="F23552" s="0" t="s">
        <v>8819</v>
      </c>
    </row>
    <row r="23554" customFormat="false" ht="12.8" hidden="false" customHeight="false" outlineLevel="0" collapsed="false">
      <c r="A23554" s="0" t="s">
        <v>8820</v>
      </c>
      <c r="B23554" s="0" t="str">
        <f aca="false">HYPERLINK("https://lindat.mff.cuni.cz/services/teitok/pdtc10/index.php?action=vallex&amp;frame=v-w3050f1", "oklešťovat (v-w3050f1)")</f>
        <v>oklešťovat (v-w3050f1)</v>
      </c>
    </row>
    <row r="23555" customFormat="false" ht="12.8" hidden="false" customHeight="false" outlineLevel="0" collapsed="false">
      <c r="B23555" s="0" t="s">
        <v>7</v>
      </c>
      <c r="C23555" s="0" t="s">
        <v>8821</v>
      </c>
      <c r="D23555" s="0" t="s">
        <v>8822</v>
      </c>
      <c r="E23555" s="0" t="s">
        <v>8822</v>
      </c>
      <c r="F23555" s="0" t="s">
        <v>8822</v>
      </c>
    </row>
    <row r="23556" customFormat="false" ht="12.8" hidden="false" customHeight="false" outlineLevel="0" collapsed="false">
      <c r="B23556" s="0" t="s">
        <v>14</v>
      </c>
      <c r="C23556" s="0" t="s">
        <v>8823</v>
      </c>
      <c r="D23556" s="0" t="s">
        <v>8824</v>
      </c>
      <c r="E23556" s="0" t="s">
        <v>8824</v>
      </c>
      <c r="F23556" s="0" t="s">
        <v>8824</v>
      </c>
    </row>
    <row r="23558" customFormat="false" ht="12.8" hidden="false" customHeight="false" outlineLevel="0" collapsed="false">
      <c r="A23558" s="0" t="s">
        <v>8825</v>
      </c>
      <c r="B23558" s="0" t="str">
        <f aca="false">HYPERLINK("https://lindat.mff.cuni.cz/services/teitok/pdtc10/index.php?action=vallex&amp;frame=v-whsa_1987hsa_1988", "okopat (v-whsa_1987hsa_1988)")</f>
        <v>okopat (v-whsa_1987hsa_1988)</v>
      </c>
    </row>
    <row r="23559" customFormat="false" ht="12.8" hidden="false" customHeight="false" outlineLevel="0" collapsed="false">
      <c r="B23559" s="0" t="s">
        <v>7</v>
      </c>
    </row>
    <row r="23560" customFormat="false" ht="12.8" hidden="false" customHeight="false" outlineLevel="0" collapsed="false">
      <c r="B23560" s="0" t="s">
        <v>14</v>
      </c>
    </row>
    <row r="23562" customFormat="false" ht="12.8" hidden="false" customHeight="false" outlineLevel="0" collapsed="false">
      <c r="A23562" s="0" t="s">
        <v>8826</v>
      </c>
      <c r="B23562" s="0" t="str">
        <f aca="false">HYPERLINK("https://lindat.mff.cuni.cz/services/teitok/pdtc10/index.php?action=vallex&amp;frame=v-whsa_1987hsa_1989", "okopat (v-whsa_1987hsa_1989)")</f>
        <v>okopat (v-whsa_1987hsa_1989)</v>
      </c>
    </row>
    <row r="23563" customFormat="false" ht="12.8" hidden="false" customHeight="false" outlineLevel="0" collapsed="false">
      <c r="B23563" s="0" t="s">
        <v>7</v>
      </c>
    </row>
    <row r="23564" customFormat="false" ht="12.8" hidden="false" customHeight="false" outlineLevel="0" collapsed="false">
      <c r="B23564" s="0" t="s">
        <v>14</v>
      </c>
    </row>
    <row r="23566" customFormat="false" ht="12.8" hidden="false" customHeight="false" outlineLevel="0" collapsed="false">
      <c r="A23566" s="0" t="s">
        <v>8827</v>
      </c>
      <c r="B23566" s="0" t="str">
        <f aca="false">HYPERLINK("https://lindat.mff.cuni.cz/services/teitok/pdtc10/index.php?action=vallex&amp;frame=v-w3052f1", "okopávat (v-w3052f1)")</f>
        <v>okopávat (v-w3052f1)</v>
      </c>
    </row>
    <row r="23567" customFormat="false" ht="12.8" hidden="false" customHeight="false" outlineLevel="0" collapsed="false">
      <c r="B23567" s="0" t="s">
        <v>7</v>
      </c>
    </row>
    <row r="23568" customFormat="false" ht="12.8" hidden="false" customHeight="false" outlineLevel="0" collapsed="false">
      <c r="B23568" s="0" t="s">
        <v>14</v>
      </c>
    </row>
    <row r="23570" customFormat="false" ht="12.8" hidden="false" customHeight="false" outlineLevel="0" collapsed="false">
      <c r="A23570" s="0" t="s">
        <v>8828</v>
      </c>
      <c r="B23570" s="0" t="str">
        <f aca="false">HYPERLINK("https://lindat.mff.cuni.cz/services/teitok/pdtc10/index.php?action=vallex&amp;frame=v-w3052f2", "okopávat (v-w3052f2)")</f>
        <v>okopávat (v-w3052f2)</v>
      </c>
    </row>
    <row r="23571" customFormat="false" ht="12.8" hidden="false" customHeight="false" outlineLevel="0" collapsed="false">
      <c r="B23571" s="0" t="s">
        <v>7</v>
      </c>
    </row>
    <row r="23572" customFormat="false" ht="12.8" hidden="false" customHeight="false" outlineLevel="0" collapsed="false">
      <c r="B23572" s="0" t="s">
        <v>14</v>
      </c>
    </row>
    <row r="23574" customFormat="false" ht="12.8" hidden="false" customHeight="false" outlineLevel="0" collapsed="false">
      <c r="A23574" s="0" t="s">
        <v>8829</v>
      </c>
      <c r="B23574" s="0" t="str">
        <f aca="false">HYPERLINK("https://lindat.mff.cuni.cz/services/teitok/pdtc10/index.php?action=vallex&amp;frame=v-w3054f1", "okopírovat (v-w3054f1)")</f>
        <v>okopírovat (v-w3054f1)</v>
      </c>
    </row>
    <row r="23575" customFormat="false" ht="12.8" hidden="false" customHeight="false" outlineLevel="0" collapsed="false">
      <c r="B23575" s="0" t="s">
        <v>7</v>
      </c>
      <c r="C23575" s="0" t="s">
        <v>335</v>
      </c>
      <c r="D23575" s="0" t="s">
        <v>113</v>
      </c>
      <c r="E23575" s="0" t="s">
        <v>113</v>
      </c>
      <c r="F23575" s="0" t="s">
        <v>113</v>
      </c>
    </row>
    <row r="23576" customFormat="false" ht="12.8" hidden="false" customHeight="false" outlineLevel="0" collapsed="false">
      <c r="B23576" s="0" t="s">
        <v>14</v>
      </c>
      <c r="C23576" s="0" t="s">
        <v>487</v>
      </c>
      <c r="D23576" s="0" t="s">
        <v>624</v>
      </c>
      <c r="E23576" s="0" t="s">
        <v>624</v>
      </c>
      <c r="F23576" s="0" t="s">
        <v>624</v>
      </c>
    </row>
    <row r="23578" customFormat="false" ht="12.8" hidden="false" customHeight="false" outlineLevel="0" collapsed="false">
      <c r="A23578" s="0" t="s">
        <v>8830</v>
      </c>
      <c r="B23578" s="0" t="str">
        <f aca="false">HYPERLINK("https://lindat.mff.cuni.cz/services/teitok/pdtc10/index.php?action=vallex&amp;frame=v-w3054hsa_31", "okopírovat (v-w3054hsa_31)")</f>
        <v>okopírovat (v-w3054hsa_31)</v>
      </c>
    </row>
    <row r="23579" customFormat="false" ht="12.8" hidden="false" customHeight="false" outlineLevel="0" collapsed="false">
      <c r="B23579" s="0" t="s">
        <v>7</v>
      </c>
      <c r="C23579" s="0" t="s">
        <v>335</v>
      </c>
    </row>
    <row r="23580" customFormat="false" ht="12.8" hidden="false" customHeight="false" outlineLevel="0" collapsed="false">
      <c r="B23580" s="0" t="s">
        <v>14</v>
      </c>
      <c r="C23580" s="0" t="s">
        <v>74</v>
      </c>
    </row>
    <row r="23581" customFormat="false" ht="12.8" hidden="false" customHeight="false" outlineLevel="0" collapsed="false">
      <c r="B23581" s="0" t="s">
        <v>441</v>
      </c>
    </row>
    <row r="23583" customFormat="false" ht="12.8" hidden="false" customHeight="false" outlineLevel="0" collapsed="false">
      <c r="A23583" s="0" t="s">
        <v>8831</v>
      </c>
      <c r="B23583" s="0" t="str">
        <f aca="false">HYPERLINK("https://lindat.mff.cuni.cz/services/teitok/pdtc10/index.php?action=vallex&amp;frame=v-w3056f1", "okoukat (v-w3056f1)")</f>
        <v>okoukat (v-w3056f1)</v>
      </c>
    </row>
    <row r="23584" customFormat="false" ht="12.8" hidden="false" customHeight="false" outlineLevel="0" collapsed="false">
      <c r="B23584" s="0" t="s">
        <v>7</v>
      </c>
    </row>
    <row r="23585" customFormat="false" ht="12.8" hidden="false" customHeight="false" outlineLevel="0" collapsed="false">
      <c r="B23585" s="0" t="s">
        <v>14</v>
      </c>
    </row>
    <row r="23586" customFormat="false" ht="12.8" hidden="false" customHeight="false" outlineLevel="0" collapsed="false">
      <c r="B23586" s="0" t="s">
        <v>1349</v>
      </c>
    </row>
    <row r="23588" customFormat="false" ht="12.8" hidden="false" customHeight="false" outlineLevel="0" collapsed="false">
      <c r="A23588" s="0" t="s">
        <v>8832</v>
      </c>
      <c r="B23588" s="0" t="str">
        <f aca="false">HYPERLINK("https://lindat.mff.cuni.cz/services/teitok/pdtc10/index.php?action=vallex&amp;frame=v-w3057f1", "okoukat se (v-w3057f1)")</f>
        <v>okoukat se (v-w3057f1)</v>
      </c>
    </row>
    <row r="23589" customFormat="false" ht="12.8" hidden="false" customHeight="false" outlineLevel="0" collapsed="false">
      <c r="B23589" s="0" t="s">
        <v>7</v>
      </c>
    </row>
    <row r="23591" customFormat="false" ht="12.8" hidden="false" customHeight="false" outlineLevel="0" collapsed="false">
      <c r="A23591" s="0" t="s">
        <v>8833</v>
      </c>
      <c r="B23591" s="0" t="str">
        <f aca="false">HYPERLINK("https://lindat.mff.cuni.cz/services/teitok/pdtc10/index.php?action=vallex&amp;frame=v-w3058f1", "okouknout (v-w3058f1)")</f>
        <v>okouknout (v-w3058f1)</v>
      </c>
    </row>
    <row r="23592" customFormat="false" ht="12.8" hidden="false" customHeight="false" outlineLevel="0" collapsed="false">
      <c r="B23592" s="0" t="s">
        <v>7</v>
      </c>
    </row>
    <row r="23593" customFormat="false" ht="12.8" hidden="false" customHeight="false" outlineLevel="0" collapsed="false">
      <c r="B23593" s="0" t="s">
        <v>14</v>
      </c>
    </row>
    <row r="23595" customFormat="false" ht="12.8" hidden="false" customHeight="false" outlineLevel="0" collapsed="false">
      <c r="A23595" s="0" t="s">
        <v>8834</v>
      </c>
      <c r="B23595" s="0" t="str">
        <f aca="false">HYPERLINK("https://lindat.mff.cuni.cz/services/teitok/pdtc10/index.php?action=vallex&amp;frame=v-w3060f1", "okouzlit (v-w3060f1)")</f>
        <v>okouzlit (v-w3060f1)</v>
      </c>
    </row>
    <row r="23596" customFormat="false" ht="12.8" hidden="false" customHeight="false" outlineLevel="0" collapsed="false">
      <c r="B23596" s="0" t="s">
        <v>7</v>
      </c>
    </row>
    <row r="23597" customFormat="false" ht="12.8" hidden="false" customHeight="false" outlineLevel="0" collapsed="false">
      <c r="B23597" s="0" t="s">
        <v>14</v>
      </c>
    </row>
    <row r="23599" customFormat="false" ht="12.8" hidden="false" customHeight="false" outlineLevel="0" collapsed="false">
      <c r="A23599" s="0" t="s">
        <v>8835</v>
      </c>
      <c r="B23599" s="0" t="str">
        <f aca="false">HYPERLINK("https://lindat.mff.cuni.cz/services/teitok/pdtc10/index.php?action=vallex&amp;frame=v-w3061f1", "okouzlovat (v-w3061f1)")</f>
        <v>okouzlovat (v-w3061f1)</v>
      </c>
    </row>
    <row r="23600" customFormat="false" ht="12.8" hidden="false" customHeight="false" outlineLevel="0" collapsed="false">
      <c r="B23600" s="0" t="s">
        <v>7</v>
      </c>
    </row>
    <row r="23601" customFormat="false" ht="12.8" hidden="false" customHeight="false" outlineLevel="0" collapsed="false">
      <c r="B23601" s="0" t="s">
        <v>14</v>
      </c>
    </row>
    <row r="23603" customFormat="false" ht="12.8" hidden="false" customHeight="false" outlineLevel="0" collapsed="false">
      <c r="A23603" s="0" t="s">
        <v>8836</v>
      </c>
      <c r="B23603" s="0" t="str">
        <f aca="false">HYPERLINK("https://lindat.mff.cuni.cz/services/teitok/pdtc10/index.php?action=vallex&amp;frame=v-w3055f1", "okořenit (v-w3055f1)")</f>
        <v>okořenit (v-w3055f1)</v>
      </c>
    </row>
    <row r="23604" customFormat="false" ht="12.8" hidden="false" customHeight="false" outlineLevel="0" collapsed="false">
      <c r="B23604" s="0" t="s">
        <v>7</v>
      </c>
    </row>
    <row r="23605" customFormat="false" ht="12.8" hidden="false" customHeight="false" outlineLevel="0" collapsed="false">
      <c r="B23605" s="0" t="s">
        <v>14</v>
      </c>
    </row>
    <row r="23607" customFormat="false" ht="12.8" hidden="false" customHeight="false" outlineLevel="0" collapsed="false">
      <c r="A23607" s="0" t="s">
        <v>8837</v>
      </c>
      <c r="B23607" s="0" t="str">
        <f aca="false">HYPERLINK("https://lindat.mff.cuni.cz/services/teitok/pdtc10/index.php?action=vallex&amp;frame=v-w3063f1", "okrádat (v-w3063f1)")</f>
        <v>okrádat (v-w3063f1)</v>
      </c>
    </row>
    <row r="23608" customFormat="false" ht="12.8" hidden="false" customHeight="false" outlineLevel="0" collapsed="false">
      <c r="B23608" s="0" t="s">
        <v>7</v>
      </c>
      <c r="C23608" s="0" t="s">
        <v>191</v>
      </c>
    </row>
    <row r="23609" customFormat="false" ht="12.8" hidden="false" customHeight="false" outlineLevel="0" collapsed="false">
      <c r="B23609" s="0" t="s">
        <v>81</v>
      </c>
      <c r="C23609" s="0" t="s">
        <v>3323</v>
      </c>
      <c r="D23609" s="0" t="s">
        <v>4656</v>
      </c>
      <c r="E23609" s="0" t="s">
        <v>4656</v>
      </c>
      <c r="F23609" s="0" t="s">
        <v>4656</v>
      </c>
    </row>
    <row r="23610" customFormat="false" ht="12.8" hidden="false" customHeight="false" outlineLevel="0" collapsed="false">
      <c r="B23610" s="0" t="s">
        <v>2721</v>
      </c>
    </row>
    <row r="23612" customFormat="false" ht="12.8" hidden="false" customHeight="false" outlineLevel="0" collapsed="false">
      <c r="A23612" s="0" t="s">
        <v>8838</v>
      </c>
      <c r="B23612" s="0" t="str">
        <f aca="false">HYPERLINK("https://lindat.mff.cuni.cz/services/teitok/pdtc10/index.php?action=vallex&amp;frame=v-w3065f1", "okrást (v-w3065f1)")</f>
        <v>okrást (v-w3065f1)</v>
      </c>
    </row>
    <row r="23613" customFormat="false" ht="12.8" hidden="false" customHeight="false" outlineLevel="0" collapsed="false">
      <c r="B23613" s="0" t="s">
        <v>7</v>
      </c>
    </row>
    <row r="23614" customFormat="false" ht="12.8" hidden="false" customHeight="false" outlineLevel="0" collapsed="false">
      <c r="B23614" s="0" t="s">
        <v>81</v>
      </c>
      <c r="C23614" s="0" t="s">
        <v>4656</v>
      </c>
      <c r="D23614" s="0" t="s">
        <v>4656</v>
      </c>
      <c r="E23614" s="0" t="s">
        <v>4656</v>
      </c>
      <c r="F23614" s="0" t="s">
        <v>4656</v>
      </c>
    </row>
    <row r="23615" customFormat="false" ht="12.8" hidden="false" customHeight="false" outlineLevel="0" collapsed="false">
      <c r="B23615" s="0" t="s">
        <v>2721</v>
      </c>
    </row>
    <row r="23617" customFormat="false" ht="12.8" hidden="false" customHeight="false" outlineLevel="0" collapsed="false">
      <c r="A23617" s="0" t="s">
        <v>8839</v>
      </c>
      <c r="B23617" s="0" t="str">
        <f aca="false">HYPERLINK("https://lindat.mff.cuni.cz/services/teitok/pdtc10/index.php?action=vallex&amp;frame=v-w3066f1", "oktrojovat (v-w3066f1)")</f>
        <v>oktrojovat (v-w3066f1)</v>
      </c>
    </row>
    <row r="23618" customFormat="false" ht="12.8" hidden="false" customHeight="false" outlineLevel="0" collapsed="false">
      <c r="B23618" s="0" t="s">
        <v>7</v>
      </c>
    </row>
    <row r="23619" customFormat="false" ht="12.8" hidden="false" customHeight="false" outlineLevel="0" collapsed="false">
      <c r="B23619" s="0" t="s">
        <v>14</v>
      </c>
    </row>
    <row r="23620" customFormat="false" ht="12.8" hidden="false" customHeight="false" outlineLevel="0" collapsed="false">
      <c r="B23620" s="0" t="s">
        <v>106</v>
      </c>
    </row>
    <row r="23622" customFormat="false" ht="12.8" hidden="false" customHeight="false" outlineLevel="0" collapsed="false">
      <c r="A23622" s="0" t="s">
        <v>8840</v>
      </c>
      <c r="B23622" s="0" t="str">
        <f aca="false">HYPERLINK("https://lindat.mff.cuni.cz/services/teitok/pdtc10/index.php?action=vallex&amp;frame=v-w11915_ZUf1_ZU", "okukovat (v-w11915_ZUf1_ZU)")</f>
        <v>okukovat (v-w11915_ZUf1_ZU)</v>
      </c>
    </row>
    <row r="23623" customFormat="false" ht="12.8" hidden="false" customHeight="false" outlineLevel="0" collapsed="false">
      <c r="B23623" s="0" t="s">
        <v>7</v>
      </c>
    </row>
    <row r="23624" customFormat="false" ht="12.8" hidden="false" customHeight="false" outlineLevel="0" collapsed="false">
      <c r="B23624" s="0" t="s">
        <v>14</v>
      </c>
    </row>
    <row r="23626" customFormat="false" ht="12.8" hidden="false" customHeight="false" outlineLevel="0" collapsed="false">
      <c r="A23626" s="0" t="s">
        <v>8841</v>
      </c>
      <c r="B23626" s="0" t="str">
        <f aca="false">HYPERLINK("https://lindat.mff.cuni.cz/services/teitok/pdtc10/index.php?action=vallex&amp;frame=v-w3069f1", "okupovat (v-w3069f1)")</f>
        <v>okupovat (v-w3069f1)</v>
      </c>
    </row>
    <row r="23627" customFormat="false" ht="12.8" hidden="false" customHeight="false" outlineLevel="0" collapsed="false">
      <c r="B23627" s="0" t="s">
        <v>7</v>
      </c>
      <c r="C23627" s="0" t="s">
        <v>8842</v>
      </c>
      <c r="D23627" s="0" t="s">
        <v>1680</v>
      </c>
      <c r="E23627" s="0" t="s">
        <v>1680</v>
      </c>
      <c r="F23627" s="0" t="s">
        <v>1680</v>
      </c>
    </row>
    <row r="23628" customFormat="false" ht="12.8" hidden="false" customHeight="false" outlineLevel="0" collapsed="false">
      <c r="B23628" s="0" t="s">
        <v>14</v>
      </c>
      <c r="C23628" s="0" t="s">
        <v>1278</v>
      </c>
      <c r="D23628" s="0" t="s">
        <v>1681</v>
      </c>
      <c r="E23628" s="0" t="s">
        <v>1681</v>
      </c>
      <c r="F23628" s="0" t="s">
        <v>1681</v>
      </c>
    </row>
    <row r="23630" customFormat="false" ht="12.8" hidden="false" customHeight="false" outlineLevel="0" collapsed="false">
      <c r="A23630" s="0" t="s">
        <v>8843</v>
      </c>
      <c r="B23630" s="0" t="str">
        <f aca="false">HYPERLINK("https://lindat.mff.cuni.cz/services/teitok/pdtc10/index.php?action=vallex&amp;frame=v-w3070f1", "okusit (v-w3070f1)")</f>
        <v>okusit (v-w3070f1)</v>
      </c>
    </row>
    <row r="23631" customFormat="false" ht="12.8" hidden="false" customHeight="false" outlineLevel="0" collapsed="false">
      <c r="B23631" s="0" t="s">
        <v>7</v>
      </c>
      <c r="C23631" s="0" t="s">
        <v>8844</v>
      </c>
    </row>
    <row r="23632" customFormat="false" ht="12.8" hidden="false" customHeight="false" outlineLevel="0" collapsed="false">
      <c r="B23632" s="0" t="s">
        <v>14</v>
      </c>
      <c r="C23632" s="0" t="s">
        <v>8845</v>
      </c>
    </row>
    <row r="23634" customFormat="false" ht="12.8" hidden="false" customHeight="false" outlineLevel="0" collapsed="false">
      <c r="A23634" s="0" t="s">
        <v>8846</v>
      </c>
      <c r="B23634" s="0" t="str">
        <f aca="false">HYPERLINK("https://lindat.mff.cuni.cz/services/teitok/pdtc10/index.php?action=vallex&amp;frame=v-w3070f2", "okusit (v-w3070f2)")</f>
        <v>okusit (v-w3070f2)</v>
      </c>
    </row>
    <row r="23635" customFormat="false" ht="12.8" hidden="false" customHeight="false" outlineLevel="0" collapsed="false">
      <c r="B23635" s="0" t="s">
        <v>7</v>
      </c>
    </row>
    <row r="23636" customFormat="false" ht="12.8" hidden="false" customHeight="false" outlineLevel="0" collapsed="false">
      <c r="B23636" s="0" t="s">
        <v>14</v>
      </c>
    </row>
    <row r="23638" customFormat="false" ht="12.8" hidden="false" customHeight="false" outlineLevel="0" collapsed="false">
      <c r="A23638" s="0" t="s">
        <v>8847</v>
      </c>
      <c r="B23638" s="0" t="str">
        <f aca="false">HYPERLINK("https://lindat.mff.cuni.cz/services/teitok/pdtc10/index.php?action=vallex&amp;frame=v-w12299_MMf1_MM", "okusovat (v-w12299_MMf1_MM)")</f>
        <v>okusovat (v-w12299_MMf1_MM)</v>
      </c>
    </row>
    <row r="23639" customFormat="false" ht="12.8" hidden="false" customHeight="false" outlineLevel="0" collapsed="false">
      <c r="B23639" s="0" t="s">
        <v>7</v>
      </c>
    </row>
    <row r="23640" customFormat="false" ht="12.8" hidden="false" customHeight="false" outlineLevel="0" collapsed="false">
      <c r="B23640" s="0" t="s">
        <v>14</v>
      </c>
    </row>
    <row r="23642" customFormat="false" ht="12.8" hidden="false" customHeight="false" outlineLevel="0" collapsed="false">
      <c r="A23642" s="0" t="s">
        <v>8848</v>
      </c>
      <c r="B23642" s="0" t="str">
        <f aca="false">HYPERLINK("https://lindat.mff.cuni.cz/services/teitok/pdtc10/index.php?action=vallex&amp;frame=v-w3047f1", "okázat se (v-w3047f1)")</f>
        <v>okázat se (v-w3047f1)</v>
      </c>
    </row>
    <row r="23643" customFormat="false" ht="12.8" hidden="false" customHeight="false" outlineLevel="0" collapsed="false">
      <c r="B23643" s="0" t="s">
        <v>7</v>
      </c>
    </row>
    <row r="23644" customFormat="false" ht="12.8" hidden="false" customHeight="false" outlineLevel="0" collapsed="false">
      <c r="B23644" s="0" t="s">
        <v>3760</v>
      </c>
    </row>
    <row r="23646" customFormat="false" ht="12.8" hidden="false" customHeight="false" outlineLevel="0" collapsed="false">
      <c r="A23646" s="0" t="s">
        <v>8849</v>
      </c>
      <c r="B23646" s="0" t="str">
        <f aca="false">HYPERLINK("https://lindat.mff.cuni.cz/services/teitok/pdtc10/index.php?action=vallex&amp;frame=v-whsb_694hsa_695", "olizovat (v-whsb_694hsa_695)")</f>
        <v>olizovat (v-whsb_694hsa_695)</v>
      </c>
    </row>
    <row r="23647" customFormat="false" ht="12.8" hidden="false" customHeight="false" outlineLevel="0" collapsed="false">
      <c r="B23647" s="0" t="s">
        <v>7</v>
      </c>
    </row>
    <row r="23648" customFormat="false" ht="12.8" hidden="false" customHeight="false" outlineLevel="0" collapsed="false">
      <c r="B23648" s="0" t="s">
        <v>14</v>
      </c>
    </row>
    <row r="23650" customFormat="false" ht="12.8" hidden="false" customHeight="false" outlineLevel="0" collapsed="false">
      <c r="A23650" s="0" t="s">
        <v>8850</v>
      </c>
      <c r="B23650" s="0" t="str">
        <f aca="false">HYPERLINK("https://lindat.mff.cuni.cz/services/teitok/pdtc10/index.php?action=vallex&amp;frame=v-w10113f2", "oloupat (v-w10113f2)")</f>
        <v>oloupat (v-w10113f2)</v>
      </c>
    </row>
    <row r="23651" customFormat="false" ht="12.8" hidden="false" customHeight="false" outlineLevel="0" collapsed="false">
      <c r="B23651" s="0" t="s">
        <v>7</v>
      </c>
      <c r="D23651" s="0" t="s">
        <v>309</v>
      </c>
      <c r="E23651" s="0" t="s">
        <v>309</v>
      </c>
      <c r="F23651" s="0" t="s">
        <v>309</v>
      </c>
    </row>
    <row r="23652" customFormat="false" ht="12.8" hidden="false" customHeight="false" outlineLevel="0" collapsed="false">
      <c r="B23652" s="0" t="s">
        <v>14</v>
      </c>
      <c r="D23652" s="0" t="s">
        <v>3427</v>
      </c>
      <c r="E23652" s="0" t="s">
        <v>3427</v>
      </c>
      <c r="F23652" s="0" t="s">
        <v>3427</v>
      </c>
    </row>
    <row r="23653" customFormat="false" ht="12.8" hidden="false" customHeight="false" outlineLevel="0" collapsed="false">
      <c r="B23653" s="0" t="s">
        <v>459</v>
      </c>
      <c r="D23653" s="0" t="s">
        <v>8851</v>
      </c>
      <c r="E23653" s="0" t="s">
        <v>8852</v>
      </c>
      <c r="F23653" s="0" t="s">
        <v>8852</v>
      </c>
    </row>
    <row r="23655" customFormat="false" ht="12.8" hidden="false" customHeight="false" outlineLevel="0" collapsed="false">
      <c r="A23655" s="0" t="s">
        <v>8853</v>
      </c>
      <c r="B23655" s="0" t="str">
        <f aca="false">HYPERLINK("https://lindat.mff.cuni.cz/services/teitok/pdtc10/index.php?action=vallex&amp;frame=v-w12008_ZUf1_ZU", "omakat si (v-w12008_ZUf1_ZU)")</f>
        <v>omakat si (v-w12008_ZUf1_ZU)</v>
      </c>
    </row>
    <row r="23656" customFormat="false" ht="12.8" hidden="false" customHeight="false" outlineLevel="0" collapsed="false">
      <c r="B23656" s="0" t="s">
        <v>7</v>
      </c>
    </row>
    <row r="23657" customFormat="false" ht="12.8" hidden="false" customHeight="false" outlineLevel="0" collapsed="false">
      <c r="B23657" s="0" t="s">
        <v>8854</v>
      </c>
    </row>
    <row r="23659" customFormat="false" ht="12.8" hidden="false" customHeight="false" outlineLevel="0" collapsed="false">
      <c r="A23659" s="0" t="s">
        <v>8855</v>
      </c>
      <c r="B23659" s="0" t="str">
        <f aca="false">HYPERLINK("https://lindat.mff.cuni.cz/services/teitok/pdtc10/index.php?action=vallex&amp;frame=v-w3073f1", "omalovat (v-w3073f1)")</f>
        <v>omalovat (v-w3073f1)</v>
      </c>
    </row>
    <row r="23660" customFormat="false" ht="12.8" hidden="false" customHeight="false" outlineLevel="0" collapsed="false">
      <c r="B23660" s="0" t="s">
        <v>7</v>
      </c>
      <c r="D23660" s="0" t="s">
        <v>569</v>
      </c>
      <c r="E23660" s="0" t="s">
        <v>569</v>
      </c>
      <c r="F23660" s="0" t="s">
        <v>569</v>
      </c>
    </row>
    <row r="23661" customFormat="false" ht="12.8" hidden="false" customHeight="false" outlineLevel="0" collapsed="false">
      <c r="B23661" s="0" t="s">
        <v>14</v>
      </c>
      <c r="D23661" s="0" t="s">
        <v>461</v>
      </c>
      <c r="E23661" s="0" t="s">
        <v>461</v>
      </c>
      <c r="F23661" s="0" t="s">
        <v>461</v>
      </c>
    </row>
    <row r="23663" customFormat="false" ht="12.8" hidden="false" customHeight="false" outlineLevel="0" collapsed="false">
      <c r="A23663" s="0" t="s">
        <v>8856</v>
      </c>
      <c r="B23663" s="0" t="str">
        <f aca="false">HYPERLINK("https://lindat.mff.cuni.cz/services/teitok/pdtc10/index.php?action=vallex&amp;frame=v-whsb_655hsa_656", "omarodit (v-whsb_655hsa_656)")</f>
        <v>omarodit (v-whsb_655hsa_656)</v>
      </c>
    </row>
    <row r="23664" customFormat="false" ht="12.8" hidden="false" customHeight="false" outlineLevel="0" collapsed="false">
      <c r="B23664" s="0" t="s">
        <v>7</v>
      </c>
    </row>
    <row r="23665" customFormat="false" ht="12.8" hidden="false" customHeight="false" outlineLevel="0" collapsed="false">
      <c r="B23665" s="0" t="s">
        <v>2871</v>
      </c>
    </row>
    <row r="23667" customFormat="false" ht="12.8" hidden="false" customHeight="false" outlineLevel="0" collapsed="false">
      <c r="A23667" s="0" t="s">
        <v>8857</v>
      </c>
      <c r="B23667" s="0" t="str">
        <f aca="false">HYPERLINK("https://lindat.mff.cuni.cz/services/teitok/pdtc10/index.php?action=vallex&amp;frame=v-w12042_ZUf1_ZU", "omarodit (v-w12042_ZUf1_ZU)")</f>
        <v>omarodit (v-w12042_ZUf1_ZU)</v>
      </c>
    </row>
    <row r="23668" customFormat="false" ht="12.8" hidden="false" customHeight="false" outlineLevel="0" collapsed="false">
      <c r="B23668" s="0" t="s">
        <v>7</v>
      </c>
    </row>
    <row r="23669" customFormat="false" ht="12.8" hidden="false" customHeight="false" outlineLevel="0" collapsed="false">
      <c r="B23669" s="0" t="s">
        <v>14</v>
      </c>
    </row>
    <row r="23671" customFormat="false" ht="12.8" hidden="false" customHeight="false" outlineLevel="0" collapsed="false">
      <c r="A23671" s="0" t="s">
        <v>8858</v>
      </c>
      <c r="B23671" s="0" t="str">
        <f aca="false">HYPERLINK("https://lindat.mff.cuni.cz/services/teitok/pdtc10/index.php?action=vallex&amp;frame=v-w11955_ZUf1_ZU", "omdlévat (v-w11955_ZUf1_ZU)")</f>
        <v>omdlévat (v-w11955_ZUf1_ZU)</v>
      </c>
    </row>
    <row r="23672" customFormat="false" ht="12.8" hidden="false" customHeight="false" outlineLevel="0" collapsed="false">
      <c r="B23672" s="0" t="s">
        <v>7</v>
      </c>
    </row>
    <row r="23674" customFormat="false" ht="12.8" hidden="false" customHeight="false" outlineLevel="0" collapsed="false">
      <c r="A23674" s="0" t="s">
        <v>8859</v>
      </c>
      <c r="B23674" s="0" t="str">
        <f aca="false">HYPERLINK("https://lindat.mff.cuni.cz/services/teitok/pdtc10/index.php?action=vallex&amp;frame=v-w3074f1", "omdlít (v-w3074f1)")</f>
        <v>omdlít (v-w3074f1)</v>
      </c>
    </row>
    <row r="23675" customFormat="false" ht="12.8" hidden="false" customHeight="false" outlineLevel="0" collapsed="false">
      <c r="B23675" s="0" t="s">
        <v>7</v>
      </c>
      <c r="F23675" s="0" t="s">
        <v>8860</v>
      </c>
    </row>
    <row r="23677" customFormat="false" ht="12.8" hidden="false" customHeight="false" outlineLevel="0" collapsed="false">
      <c r="A23677" s="0" t="s">
        <v>8861</v>
      </c>
      <c r="B23677" s="0" t="str">
        <f aca="false">HYPERLINK("https://lindat.mff.cuni.cz/services/teitok/pdtc10/index.php?action=vallex&amp;frame=v-w3076f1", "omezit (v-w3076f1)")</f>
        <v>omezit (v-w3076f1)</v>
      </c>
    </row>
    <row r="23678" customFormat="false" ht="12.8" hidden="false" customHeight="false" outlineLevel="0" collapsed="false">
      <c r="B23678" s="0" t="s">
        <v>7</v>
      </c>
      <c r="C23678" s="0" t="s">
        <v>8862</v>
      </c>
      <c r="D23678" s="0" t="s">
        <v>8863</v>
      </c>
      <c r="E23678" s="0" t="s">
        <v>8863</v>
      </c>
      <c r="F23678" s="0" t="s">
        <v>8863</v>
      </c>
    </row>
    <row r="23679" customFormat="false" ht="12.8" hidden="false" customHeight="false" outlineLevel="0" collapsed="false">
      <c r="B23679" s="0" t="s">
        <v>14</v>
      </c>
      <c r="C23679" s="0" t="s">
        <v>8864</v>
      </c>
      <c r="D23679" s="0" t="s">
        <v>8865</v>
      </c>
      <c r="E23679" s="0" t="s">
        <v>8865</v>
      </c>
      <c r="F23679" s="0" t="s">
        <v>8865</v>
      </c>
    </row>
    <row r="23680" customFormat="false" ht="12.8" hidden="false" customHeight="false" outlineLevel="0" collapsed="false">
      <c r="B23680" s="0" t="s">
        <v>35</v>
      </c>
      <c r="C23680" s="0" t="s">
        <v>8866</v>
      </c>
      <c r="D23680" s="0" t="s">
        <v>8867</v>
      </c>
      <c r="E23680" s="0" t="s">
        <v>8867</v>
      </c>
      <c r="F23680" s="0" t="s">
        <v>8867</v>
      </c>
    </row>
    <row r="23681" customFormat="false" ht="12.8" hidden="false" customHeight="false" outlineLevel="0" collapsed="false">
      <c r="B23681" s="0" t="s">
        <v>84</v>
      </c>
      <c r="C23681" s="0" t="s">
        <v>8868</v>
      </c>
      <c r="D23681" s="0" t="s">
        <v>8869</v>
      </c>
      <c r="E23681" s="0" t="s">
        <v>8869</v>
      </c>
      <c r="F23681" s="0" t="s">
        <v>8869</v>
      </c>
    </row>
    <row r="23683" customFormat="false" ht="12.8" hidden="false" customHeight="false" outlineLevel="0" collapsed="false">
      <c r="A23683" s="0" t="s">
        <v>8870</v>
      </c>
      <c r="B23683" s="0" t="str">
        <f aca="false">HYPERLINK("https://lindat.mff.cuni.cz/services/teitok/pdtc10/index.php?action=vallex&amp;frame=v-w3076hsa_241", "omezit (v-w3076hsa_241)")</f>
        <v>omezit (v-w3076hsa_241)</v>
      </c>
    </row>
    <row r="23684" customFormat="false" ht="12.8" hidden="false" customHeight="false" outlineLevel="0" collapsed="false">
      <c r="B23684" s="0" t="s">
        <v>7</v>
      </c>
      <c r="D23684" s="0" t="s">
        <v>2530</v>
      </c>
      <c r="E23684" s="0" t="s">
        <v>2530</v>
      </c>
      <c r="F23684" s="0" t="s">
        <v>2530</v>
      </c>
    </row>
    <row r="23685" customFormat="false" ht="12.8" hidden="false" customHeight="false" outlineLevel="0" collapsed="false">
      <c r="B23685" s="0" t="s">
        <v>14</v>
      </c>
      <c r="C23685" s="0" t="s">
        <v>384</v>
      </c>
      <c r="D23685" s="0" t="s">
        <v>5187</v>
      </c>
      <c r="E23685" s="0" t="s">
        <v>5187</v>
      </c>
      <c r="F23685" s="0" t="s">
        <v>5187</v>
      </c>
    </row>
    <row r="23686" customFormat="false" ht="12.8" hidden="false" customHeight="false" outlineLevel="0" collapsed="false">
      <c r="B23686" s="0" t="s">
        <v>1755</v>
      </c>
      <c r="D23686" s="0" t="s">
        <v>5188</v>
      </c>
      <c r="E23686" s="0" t="s">
        <v>5188</v>
      </c>
      <c r="F23686" s="0" t="s">
        <v>5188</v>
      </c>
    </row>
    <row r="23688" customFormat="false" ht="12.8" hidden="false" customHeight="false" outlineLevel="0" collapsed="false">
      <c r="A23688" s="0" t="s">
        <v>8871</v>
      </c>
      <c r="B23688" s="0" t="str">
        <f aca="false">HYPERLINK("https://lindat.mff.cuni.cz/services/teitok/pdtc10/index.php?action=vallex&amp;frame=v-w3077f1", "omezit se (v-w3077f1)")</f>
        <v>omezit se (v-w3077f1)</v>
      </c>
    </row>
    <row r="23689" customFormat="false" ht="12.8" hidden="false" customHeight="false" outlineLevel="0" collapsed="false">
      <c r="B23689" s="0" t="s">
        <v>7</v>
      </c>
    </row>
    <row r="23690" customFormat="false" ht="12.8" hidden="false" customHeight="false" outlineLevel="0" collapsed="false">
      <c r="B23690" s="0" t="s">
        <v>41</v>
      </c>
    </row>
    <row r="23692" customFormat="false" ht="12.8" hidden="false" customHeight="false" outlineLevel="0" collapsed="false">
      <c r="A23692" s="0" t="s">
        <v>8872</v>
      </c>
      <c r="B23692" s="0" t="str">
        <f aca="false">HYPERLINK("https://lindat.mff.cuni.cz/services/teitok/pdtc10/index.php?action=vallex&amp;frame=v-w3077f2", "omezit se (v-w3077f2)")</f>
        <v>omezit se (v-w3077f2)</v>
      </c>
    </row>
    <row r="23693" customFormat="false" ht="12.8" hidden="false" customHeight="false" outlineLevel="0" collapsed="false">
      <c r="B23693" s="0" t="s">
        <v>7</v>
      </c>
    </row>
    <row r="23695" customFormat="false" ht="12.8" hidden="false" customHeight="false" outlineLevel="0" collapsed="false">
      <c r="A23695" s="0" t="s">
        <v>8873</v>
      </c>
      <c r="B23695" s="0" t="str">
        <f aca="false">HYPERLINK("https://lindat.mff.cuni.cz/services/teitok/pdtc10/index.php?action=vallex&amp;frame=v-w3080f1", "omezovat (v-w3080f1)")</f>
        <v>omezovat (v-w3080f1)</v>
      </c>
    </row>
    <row r="23696" customFormat="false" ht="12.8" hidden="false" customHeight="false" outlineLevel="0" collapsed="false">
      <c r="B23696" s="0" t="s">
        <v>7</v>
      </c>
      <c r="C23696" s="0" t="s">
        <v>2016</v>
      </c>
      <c r="D23696" s="0" t="s">
        <v>8863</v>
      </c>
      <c r="E23696" s="0" t="s">
        <v>8863</v>
      </c>
      <c r="F23696" s="0" t="s">
        <v>8863</v>
      </c>
    </row>
    <row r="23697" customFormat="false" ht="12.8" hidden="false" customHeight="false" outlineLevel="0" collapsed="false">
      <c r="B23697" s="0" t="s">
        <v>14</v>
      </c>
      <c r="C23697" s="0" t="s">
        <v>8874</v>
      </c>
      <c r="D23697" s="0" t="s">
        <v>8865</v>
      </c>
      <c r="E23697" s="0" t="s">
        <v>8865</v>
      </c>
      <c r="F23697" s="0" t="s">
        <v>8865</v>
      </c>
    </row>
    <row r="23698" customFormat="false" ht="12.8" hidden="false" customHeight="false" outlineLevel="0" collapsed="false">
      <c r="B23698" s="0" t="s">
        <v>35</v>
      </c>
      <c r="C23698" s="0" t="s">
        <v>8875</v>
      </c>
      <c r="D23698" s="0" t="s">
        <v>8867</v>
      </c>
      <c r="E23698" s="0" t="s">
        <v>8867</v>
      </c>
      <c r="F23698" s="0" t="s">
        <v>8867</v>
      </c>
    </row>
    <row r="23699" customFormat="false" ht="12.8" hidden="false" customHeight="false" outlineLevel="0" collapsed="false">
      <c r="B23699" s="0" t="s">
        <v>84</v>
      </c>
      <c r="C23699" s="0" t="s">
        <v>8876</v>
      </c>
      <c r="D23699" s="0" t="s">
        <v>8869</v>
      </c>
      <c r="E23699" s="0" t="s">
        <v>8869</v>
      </c>
      <c r="F23699" s="0" t="s">
        <v>8869</v>
      </c>
    </row>
    <row r="23701" customFormat="false" ht="12.8" hidden="false" customHeight="false" outlineLevel="0" collapsed="false">
      <c r="A23701" s="0" t="s">
        <v>8877</v>
      </c>
      <c r="B23701" s="0" t="str">
        <f aca="false">HYPERLINK("https://lindat.mff.cuni.cz/services/teitok/pdtc10/index.php?action=vallex&amp;frame=v-w3080hsa_633", "omezovat (v-w3080hsa_633)")</f>
        <v>omezovat (v-w3080hsa_633)</v>
      </c>
    </row>
    <row r="23702" customFormat="false" ht="12.8" hidden="false" customHeight="false" outlineLevel="0" collapsed="false">
      <c r="B23702" s="0" t="s">
        <v>7</v>
      </c>
      <c r="C23702" s="0" t="s">
        <v>504</v>
      </c>
      <c r="D23702" s="0" t="s">
        <v>2530</v>
      </c>
      <c r="E23702" s="0" t="s">
        <v>2530</v>
      </c>
      <c r="F23702" s="0" t="s">
        <v>2530</v>
      </c>
    </row>
    <row r="23703" customFormat="false" ht="12.8" hidden="false" customHeight="false" outlineLevel="0" collapsed="false">
      <c r="B23703" s="0" t="s">
        <v>81</v>
      </c>
      <c r="C23703" s="0" t="s">
        <v>8878</v>
      </c>
      <c r="D23703" s="0" t="s">
        <v>8879</v>
      </c>
      <c r="E23703" s="0" t="s">
        <v>8879</v>
      </c>
      <c r="F23703" s="0" t="s">
        <v>8879</v>
      </c>
    </row>
    <row r="23704" customFormat="false" ht="12.8" hidden="false" customHeight="false" outlineLevel="0" collapsed="false">
      <c r="B23704" s="0" t="s">
        <v>706</v>
      </c>
      <c r="C23704" s="0" t="s">
        <v>8880</v>
      </c>
      <c r="D23704" s="0" t="s">
        <v>8881</v>
      </c>
      <c r="E23704" s="0" t="s">
        <v>8881</v>
      </c>
      <c r="F23704" s="0" t="s">
        <v>8881</v>
      </c>
    </row>
    <row r="23706" customFormat="false" ht="12.8" hidden="false" customHeight="false" outlineLevel="0" collapsed="false">
      <c r="A23706" s="0" t="s">
        <v>8882</v>
      </c>
      <c r="B23706" s="0" t="str">
        <f aca="false">HYPERLINK("https://lindat.mff.cuni.cz/services/teitok/pdtc10/index.php?action=vallex&amp;frame=v-w3081f1", "omezovat se (v-w3081f1)")</f>
        <v>omezovat se (v-w3081f1)</v>
      </c>
    </row>
    <row r="23707" customFormat="false" ht="12.8" hidden="false" customHeight="false" outlineLevel="0" collapsed="false">
      <c r="B23707" s="0" t="s">
        <v>7</v>
      </c>
      <c r="C23707" s="0" t="s">
        <v>8883</v>
      </c>
    </row>
    <row r="23708" customFormat="false" ht="12.8" hidden="false" customHeight="false" outlineLevel="0" collapsed="false">
      <c r="B23708" s="0" t="s">
        <v>41</v>
      </c>
      <c r="C23708" s="0" t="s">
        <v>8881</v>
      </c>
    </row>
    <row r="23710" customFormat="false" ht="12.8" hidden="false" customHeight="false" outlineLevel="0" collapsed="false">
      <c r="A23710" s="0" t="s">
        <v>8884</v>
      </c>
      <c r="B23710" s="0" t="str">
        <f aca="false">HYPERLINK("https://lindat.mff.cuni.cz/services/teitok/pdtc10/index.php?action=vallex&amp;frame=v-w3081hsa_651", "omezovat se (v-w3081hsa_651)")</f>
        <v>omezovat se (v-w3081hsa_651)</v>
      </c>
    </row>
    <row r="23711" customFormat="false" ht="12.8" hidden="false" customHeight="false" outlineLevel="0" collapsed="false">
      <c r="B23711" s="0" t="s">
        <v>7</v>
      </c>
    </row>
    <row r="23713" customFormat="false" ht="12.8" hidden="false" customHeight="false" outlineLevel="0" collapsed="false">
      <c r="A23713" s="0" t="s">
        <v>8885</v>
      </c>
      <c r="B23713" s="0" t="str">
        <f aca="false">HYPERLINK("https://lindat.mff.cuni.cz/services/teitok/pdtc10/index.php?action=vallex&amp;frame=v-w3084f1", "omilostnit (v-w3084f1)")</f>
        <v>omilostnit (v-w3084f1)</v>
      </c>
    </row>
    <row r="23714" customFormat="false" ht="12.8" hidden="false" customHeight="false" outlineLevel="0" collapsed="false">
      <c r="B23714" s="0" t="s">
        <v>7</v>
      </c>
    </row>
    <row r="23715" customFormat="false" ht="12.8" hidden="false" customHeight="false" outlineLevel="0" collapsed="false">
      <c r="B23715" s="0" t="s">
        <v>14</v>
      </c>
    </row>
    <row r="23716" customFormat="false" ht="12.8" hidden="false" customHeight="false" outlineLevel="0" collapsed="false">
      <c r="B23716" s="0" t="s">
        <v>8558</v>
      </c>
    </row>
    <row r="23718" customFormat="false" ht="12.8" hidden="false" customHeight="false" outlineLevel="0" collapsed="false">
      <c r="A23718" s="0" t="s">
        <v>8886</v>
      </c>
      <c r="B23718" s="0" t="str">
        <f aca="false">HYPERLINK("https://lindat.mff.cuni.cz/services/teitok/pdtc10/index.php?action=vallex&amp;frame=v-w3085f1", "omladit (v-w3085f1)")</f>
        <v>omladit (v-w3085f1)</v>
      </c>
    </row>
    <row r="23719" customFormat="false" ht="12.8" hidden="false" customHeight="false" outlineLevel="0" collapsed="false">
      <c r="B23719" s="0" t="s">
        <v>7</v>
      </c>
    </row>
    <row r="23720" customFormat="false" ht="12.8" hidden="false" customHeight="false" outlineLevel="0" collapsed="false">
      <c r="B23720" s="0" t="s">
        <v>14</v>
      </c>
    </row>
    <row r="23722" customFormat="false" ht="12.8" hidden="false" customHeight="false" outlineLevel="0" collapsed="false">
      <c r="A23722" s="0" t="s">
        <v>8887</v>
      </c>
      <c r="B23722" s="0" t="str">
        <f aca="false">HYPERLINK("https://lindat.mff.cuni.cz/services/teitok/pdtc10/index.php?action=vallex&amp;frame=v-w3088f1", "omlouvat (v-w3088f1)")</f>
        <v>omlouvat (v-w3088f1)</v>
      </c>
    </row>
    <row r="23723" customFormat="false" ht="12.8" hidden="false" customHeight="false" outlineLevel="0" collapsed="false">
      <c r="B23723" s="0" t="s">
        <v>7</v>
      </c>
      <c r="C23723" s="0" t="s">
        <v>46</v>
      </c>
      <c r="D23723" s="0" t="s">
        <v>184</v>
      </c>
      <c r="E23723" s="0" t="s">
        <v>184</v>
      </c>
      <c r="F23723" s="0" t="s">
        <v>184</v>
      </c>
    </row>
    <row r="23724" customFormat="false" ht="12.8" hidden="false" customHeight="false" outlineLevel="0" collapsed="false">
      <c r="B23724" s="0" t="s">
        <v>14</v>
      </c>
      <c r="D23724" s="0" t="s">
        <v>8888</v>
      </c>
      <c r="E23724" s="0" t="s">
        <v>8888</v>
      </c>
      <c r="F23724" s="0" t="s">
        <v>8888</v>
      </c>
    </row>
    <row r="23725" customFormat="false" ht="12.8" hidden="false" customHeight="false" outlineLevel="0" collapsed="false">
      <c r="B23725" s="0" t="s">
        <v>106</v>
      </c>
      <c r="D23725" s="0" t="s">
        <v>397</v>
      </c>
      <c r="E23725" s="0" t="s">
        <v>397</v>
      </c>
      <c r="F23725" s="0" t="s">
        <v>397</v>
      </c>
    </row>
    <row r="23727" customFormat="false" ht="12.8" hidden="false" customHeight="false" outlineLevel="0" collapsed="false">
      <c r="A23727" s="0" t="s">
        <v>8889</v>
      </c>
      <c r="B23727" s="0" t="str">
        <f aca="false">HYPERLINK("https://lindat.mff.cuni.cz/services/teitok/pdtc10/index.php?action=vallex&amp;frame=v-w3088f2", "omlouvat (v-w3088f2)")</f>
        <v>omlouvat (v-w3088f2)</v>
      </c>
    </row>
    <row r="23728" customFormat="false" ht="12.8" hidden="false" customHeight="false" outlineLevel="0" collapsed="false">
      <c r="B23728" s="0" t="s">
        <v>7</v>
      </c>
    </row>
    <row r="23729" customFormat="false" ht="12.8" hidden="false" customHeight="false" outlineLevel="0" collapsed="false">
      <c r="B23729" s="0" t="s">
        <v>14</v>
      </c>
      <c r="D23729" s="0" t="s">
        <v>1544</v>
      </c>
      <c r="E23729" s="0" t="s">
        <v>1544</v>
      </c>
      <c r="F23729" s="0" t="s">
        <v>1544</v>
      </c>
    </row>
    <row r="23731" customFormat="false" ht="12.8" hidden="false" customHeight="false" outlineLevel="0" collapsed="false">
      <c r="A23731" s="0" t="s">
        <v>8890</v>
      </c>
      <c r="B23731" s="0" t="str">
        <f aca="false">HYPERLINK("https://lindat.mff.cuni.cz/services/teitok/pdtc10/index.php?action=vallex&amp;frame=v-whsb_683hsa_684", "omlouvat se (v-whsb_683hsa_684)")</f>
        <v>omlouvat se (v-whsb_683hsa_684)</v>
      </c>
    </row>
    <row r="23732" customFormat="false" ht="12.8" hidden="false" customHeight="false" outlineLevel="0" collapsed="false">
      <c r="B23732" s="0" t="s">
        <v>7</v>
      </c>
    </row>
    <row r="23733" customFormat="false" ht="12.8" hidden="false" customHeight="false" outlineLevel="0" collapsed="false">
      <c r="B23733" s="0" t="s">
        <v>142</v>
      </c>
    </row>
    <row r="23735" customFormat="false" ht="12.8" hidden="false" customHeight="false" outlineLevel="0" collapsed="false">
      <c r="A23735" s="0" t="s">
        <v>8891</v>
      </c>
      <c r="B23735" s="0" t="str">
        <f aca="false">HYPERLINK("https://lindat.mff.cuni.cz/services/teitok/pdtc10/index.php?action=vallex&amp;frame=v-w3090f1", "omluvit (v-w3090f1)")</f>
        <v>omluvit (v-w3090f1)</v>
      </c>
    </row>
    <row r="23736" customFormat="false" ht="12.8" hidden="false" customHeight="false" outlineLevel="0" collapsed="false">
      <c r="B23736" s="0" t="s">
        <v>7</v>
      </c>
      <c r="C23736" s="0" t="s">
        <v>4638</v>
      </c>
      <c r="D23736" s="0" t="s">
        <v>184</v>
      </c>
      <c r="E23736" s="0" t="s">
        <v>184</v>
      </c>
      <c r="F23736" s="0" t="s">
        <v>184</v>
      </c>
    </row>
    <row r="23737" customFormat="false" ht="12.8" hidden="false" customHeight="false" outlineLevel="0" collapsed="false">
      <c r="B23737" s="0" t="s">
        <v>14</v>
      </c>
      <c r="D23737" s="0" t="s">
        <v>8888</v>
      </c>
      <c r="E23737" s="0" t="s">
        <v>8888</v>
      </c>
      <c r="F23737" s="0" t="s">
        <v>8888</v>
      </c>
    </row>
    <row r="23738" customFormat="false" ht="12.8" hidden="false" customHeight="false" outlineLevel="0" collapsed="false">
      <c r="B23738" s="0" t="s">
        <v>106</v>
      </c>
      <c r="D23738" s="0" t="s">
        <v>397</v>
      </c>
      <c r="E23738" s="0" t="s">
        <v>397</v>
      </c>
      <c r="F23738" s="0" t="s">
        <v>397</v>
      </c>
    </row>
    <row r="23740" customFormat="false" ht="12.8" hidden="false" customHeight="false" outlineLevel="0" collapsed="false">
      <c r="A23740" s="0" t="s">
        <v>8892</v>
      </c>
      <c r="B23740" s="0" t="str">
        <f aca="false">HYPERLINK("https://lindat.mff.cuni.cz/services/teitok/pdtc10/index.php?action=vallex&amp;frame=v-w3090f2", "omluvit (v-w3090f2)")</f>
        <v>omluvit (v-w3090f2)</v>
      </c>
    </row>
    <row r="23741" customFormat="false" ht="12.8" hidden="false" customHeight="false" outlineLevel="0" collapsed="false">
      <c r="B23741" s="0" t="s">
        <v>7</v>
      </c>
    </row>
    <row r="23742" customFormat="false" ht="12.8" hidden="false" customHeight="false" outlineLevel="0" collapsed="false">
      <c r="B23742" s="0" t="s">
        <v>14</v>
      </c>
      <c r="C23742" s="0" t="s">
        <v>1544</v>
      </c>
      <c r="D23742" s="0" t="s">
        <v>1544</v>
      </c>
      <c r="E23742" s="0" t="s">
        <v>1544</v>
      </c>
      <c r="F23742" s="0" t="s">
        <v>1544</v>
      </c>
    </row>
    <row r="23744" customFormat="false" ht="12.8" hidden="false" customHeight="false" outlineLevel="0" collapsed="false">
      <c r="A23744" s="0" t="s">
        <v>8893</v>
      </c>
      <c r="B23744" s="0" t="str">
        <f aca="false">HYPERLINK("https://lindat.mff.cuni.cz/services/teitok/pdtc10/index.php?action=vallex&amp;frame=v-whsa_579hsa_580", "omládnout (v-whsa_579hsa_580)")</f>
        <v>omládnout (v-whsa_579hsa_580)</v>
      </c>
    </row>
    <row r="23745" customFormat="false" ht="12.8" hidden="false" customHeight="false" outlineLevel="0" collapsed="false">
      <c r="B23745" s="0" t="s">
        <v>7</v>
      </c>
    </row>
    <row r="23747" customFormat="false" ht="12.8" hidden="false" customHeight="false" outlineLevel="0" collapsed="false">
      <c r="A23747" s="0" t="s">
        <v>8894</v>
      </c>
      <c r="B23747" s="0" t="str">
        <f aca="false">HYPERLINK("https://lindat.mff.cuni.cz/services/teitok/pdtc10/index.php?action=vallex&amp;frame=v-w3086f2", "omlátit (v-w3086f2)")</f>
        <v>omlátit (v-w3086f2)</v>
      </c>
    </row>
    <row r="23748" customFormat="false" ht="12.8" hidden="false" customHeight="false" outlineLevel="0" collapsed="false">
      <c r="B23748" s="0" t="s">
        <v>7</v>
      </c>
    </row>
    <row r="23749" customFormat="false" ht="12.8" hidden="false" customHeight="false" outlineLevel="0" collapsed="false">
      <c r="B23749" s="0" t="s">
        <v>14</v>
      </c>
    </row>
    <row r="23751" customFormat="false" ht="12.8" hidden="false" customHeight="false" outlineLevel="0" collapsed="false">
      <c r="A23751" s="0" t="s">
        <v>8895</v>
      </c>
      <c r="B23751" s="0" t="str">
        <f aca="false">HYPERLINK("https://lindat.mff.cuni.cz/services/teitok/pdtc10/index.php?action=vallex&amp;frame=v-w3086f1", "omlátit (v-w3086f1)")</f>
        <v>omlátit (v-w3086f1)</v>
      </c>
    </row>
    <row r="23752" customFormat="false" ht="12.8" hidden="false" customHeight="false" outlineLevel="0" collapsed="false">
      <c r="B23752" s="0" t="s">
        <v>7</v>
      </c>
    </row>
    <row r="23753" customFormat="false" ht="12.8" hidden="false" customHeight="false" outlineLevel="0" collapsed="false">
      <c r="B23753" s="0" t="s">
        <v>8896</v>
      </c>
    </row>
    <row r="23754" customFormat="false" ht="12.8" hidden="false" customHeight="false" outlineLevel="0" collapsed="false">
      <c r="B23754" s="0" t="s">
        <v>14</v>
      </c>
    </row>
    <row r="23755" customFormat="false" ht="12.8" hidden="false" customHeight="false" outlineLevel="0" collapsed="false">
      <c r="B23755" s="0" t="s">
        <v>48</v>
      </c>
    </row>
    <row r="23757" customFormat="false" ht="12.8" hidden="false" customHeight="false" outlineLevel="0" collapsed="false">
      <c r="A23757" s="0" t="s">
        <v>8897</v>
      </c>
      <c r="B23757" s="0" t="str">
        <f aca="false">HYPERLINK("https://lindat.mff.cuni.cz/services/teitok/pdtc10/index.php?action=vallex&amp;frame=v-w12128_ZUf1_ZU", "omrzet (v-w12128_ZUf1_ZU)")</f>
        <v>omrzet (v-w12128_ZUf1_ZU)</v>
      </c>
    </row>
    <row r="23758" customFormat="false" ht="12.8" hidden="false" customHeight="false" outlineLevel="0" collapsed="false">
      <c r="B23758" s="0" t="s">
        <v>199</v>
      </c>
    </row>
    <row r="23759" customFormat="false" ht="12.8" hidden="false" customHeight="false" outlineLevel="0" collapsed="false">
      <c r="B23759" s="0" t="s">
        <v>4305</v>
      </c>
    </row>
    <row r="23761" customFormat="false" ht="12.8" hidden="false" customHeight="false" outlineLevel="0" collapsed="false">
      <c r="A23761" s="0" t="s">
        <v>8898</v>
      </c>
      <c r="B23761" s="0" t="str">
        <f aca="false">HYPERLINK("https://lindat.mff.cuni.cz/services/teitok/pdtc10/index.php?action=vallex&amp;frame=v-w3091f1", "omráčit (v-w3091f1)")</f>
        <v>omráčit (v-w3091f1)</v>
      </c>
    </row>
    <row r="23762" customFormat="false" ht="12.8" hidden="false" customHeight="false" outlineLevel="0" collapsed="false">
      <c r="B23762" s="0" t="s">
        <v>7</v>
      </c>
      <c r="D23762" s="0" t="s">
        <v>335</v>
      </c>
      <c r="E23762" s="0" t="s">
        <v>31</v>
      </c>
      <c r="F23762" s="0" t="s">
        <v>31</v>
      </c>
    </row>
    <row r="23763" customFormat="false" ht="12.8" hidden="false" customHeight="false" outlineLevel="0" collapsed="false">
      <c r="B23763" s="0" t="s">
        <v>14</v>
      </c>
      <c r="D23763" s="0" t="s">
        <v>461</v>
      </c>
      <c r="E23763" s="0" t="s">
        <v>1315</v>
      </c>
      <c r="F23763" s="0" t="s">
        <v>1315</v>
      </c>
    </row>
    <row r="23765" customFormat="false" ht="12.8" hidden="false" customHeight="false" outlineLevel="0" collapsed="false">
      <c r="A23765" s="0" t="s">
        <v>8899</v>
      </c>
      <c r="B23765" s="0" t="str">
        <f aca="false">HYPERLINK("https://lindat.mff.cuni.cz/services/teitok/pdtc10/index.php?action=vallex&amp;frame=v-w3091f2", "omráčit (v-w3091f2)")</f>
        <v>omráčit (v-w3091f2)</v>
      </c>
    </row>
    <row r="23766" customFormat="false" ht="12.8" hidden="false" customHeight="false" outlineLevel="0" collapsed="false">
      <c r="B23766" s="0" t="s">
        <v>7</v>
      </c>
      <c r="D23766" s="0" t="s">
        <v>4795</v>
      </c>
      <c r="E23766" s="0" t="s">
        <v>4795</v>
      </c>
      <c r="F23766" s="0" t="s">
        <v>4795</v>
      </c>
    </row>
    <row r="23767" customFormat="false" ht="12.8" hidden="false" customHeight="false" outlineLevel="0" collapsed="false">
      <c r="B23767" s="0" t="s">
        <v>14</v>
      </c>
      <c r="D23767" s="0" t="s">
        <v>4796</v>
      </c>
      <c r="E23767" s="0" t="s">
        <v>4796</v>
      </c>
      <c r="F23767" s="0" t="s">
        <v>4796</v>
      </c>
    </row>
    <row r="23769" customFormat="false" ht="12.8" hidden="false" customHeight="false" outlineLevel="0" collapsed="false">
      <c r="A23769" s="0" t="s">
        <v>8900</v>
      </c>
      <c r="B23769" s="0" t="str">
        <f aca="false">HYPERLINK("https://lindat.mff.cuni.cz/services/teitok/pdtc10/index.php?action=vallex&amp;frame=v-w10806f2", "omílat (v-w10806f2)")</f>
        <v>omílat (v-w10806f2)</v>
      </c>
    </row>
    <row r="23770" customFormat="false" ht="12.8" hidden="false" customHeight="false" outlineLevel="0" collapsed="false">
      <c r="B23770" s="0" t="s">
        <v>7</v>
      </c>
      <c r="D23770" s="0" t="s">
        <v>8901</v>
      </c>
      <c r="E23770" s="0" t="s">
        <v>8901</v>
      </c>
      <c r="F23770" s="0" t="s">
        <v>8901</v>
      </c>
    </row>
    <row r="23771" customFormat="false" ht="12.8" hidden="false" customHeight="false" outlineLevel="0" collapsed="false">
      <c r="B23771" s="0" t="s">
        <v>8902</v>
      </c>
      <c r="C23771" s="0" t="s">
        <v>155</v>
      </c>
      <c r="D23771" s="0" t="s">
        <v>3860</v>
      </c>
      <c r="E23771" s="0" t="s">
        <v>3860</v>
      </c>
      <c r="F23771" s="0" t="s">
        <v>3860</v>
      </c>
    </row>
    <row r="23772" customFormat="false" ht="12.8" hidden="false" customHeight="false" outlineLevel="0" collapsed="false">
      <c r="B23772" s="0" t="s">
        <v>106</v>
      </c>
    </row>
    <row r="23773" customFormat="false" ht="12.8" hidden="false" customHeight="false" outlineLevel="0" collapsed="false">
      <c r="B23773" s="0" t="s">
        <v>8903</v>
      </c>
    </row>
    <row r="23775" customFormat="false" ht="12.8" hidden="false" customHeight="false" outlineLevel="0" collapsed="false">
      <c r="A23775" s="0" t="s">
        <v>8904</v>
      </c>
      <c r="B23775" s="0" t="str">
        <f aca="false">HYPERLINK("https://lindat.mff.cuni.cz/services/teitok/pdtc10/index.php?action=vallex&amp;frame=v-w11539_ZUf1_ZU", "omítnout (v-w11539_ZUf1_ZU)")</f>
        <v>omítnout (v-w11539_ZUf1_ZU)</v>
      </c>
    </row>
    <row r="23776" customFormat="false" ht="12.8" hidden="false" customHeight="false" outlineLevel="0" collapsed="false">
      <c r="B23776" s="0" t="s">
        <v>7</v>
      </c>
      <c r="D23776" s="0" t="s">
        <v>88</v>
      </c>
      <c r="E23776" s="0" t="s">
        <v>88</v>
      </c>
      <c r="F23776" s="0" t="s">
        <v>88</v>
      </c>
    </row>
    <row r="23777" customFormat="false" ht="12.8" hidden="false" customHeight="false" outlineLevel="0" collapsed="false">
      <c r="B23777" s="0" t="s">
        <v>14</v>
      </c>
      <c r="D23777" s="0" t="s">
        <v>466</v>
      </c>
      <c r="E23777" s="0" t="s">
        <v>466</v>
      </c>
      <c r="F23777" s="0" t="s">
        <v>466</v>
      </c>
    </row>
    <row r="23779" customFormat="false" ht="12.8" hidden="false" customHeight="false" outlineLevel="0" collapsed="false">
      <c r="A23779" s="0" t="s">
        <v>8905</v>
      </c>
      <c r="B23779" s="0" t="str">
        <f aca="false">HYPERLINK("https://lindat.mff.cuni.cz/services/teitok/pdtc10/index.php?action=vallex&amp;frame=v-w3093f1", "omývat (v-w3093f1)")</f>
        <v>omývat (v-w3093f1)</v>
      </c>
    </row>
    <row r="23780" customFormat="false" ht="12.8" hidden="false" customHeight="false" outlineLevel="0" collapsed="false">
      <c r="B23780" s="0" t="s">
        <v>7</v>
      </c>
      <c r="D23780" s="0" t="s">
        <v>31</v>
      </c>
      <c r="E23780" s="0" t="s">
        <v>31</v>
      </c>
      <c r="F23780" s="0" t="s">
        <v>31</v>
      </c>
    </row>
    <row r="23781" customFormat="false" ht="12.8" hidden="false" customHeight="false" outlineLevel="0" collapsed="false">
      <c r="B23781" s="0" t="s">
        <v>14</v>
      </c>
      <c r="D23781" s="0" t="s">
        <v>4921</v>
      </c>
      <c r="E23781" s="0" t="s">
        <v>4921</v>
      </c>
      <c r="F23781" s="0" t="s">
        <v>4921</v>
      </c>
    </row>
    <row r="23783" customFormat="false" ht="12.8" hidden="false" customHeight="false" outlineLevel="0" collapsed="false">
      <c r="A23783" s="0" t="s">
        <v>8906</v>
      </c>
      <c r="B23783" s="0" t="str">
        <f aca="false">HYPERLINK("https://lindat.mff.cuni.cz/services/teitok/pdtc10/index.php?action=vallex&amp;frame=v-w3095f1", "onemocnět (v-w3095f1)")</f>
        <v>onemocnět (v-w3095f1)</v>
      </c>
    </row>
    <row r="23784" customFormat="false" ht="12.8" hidden="false" customHeight="false" outlineLevel="0" collapsed="false">
      <c r="B23784" s="0" t="s">
        <v>7</v>
      </c>
      <c r="C23784" s="0" t="s">
        <v>8907</v>
      </c>
    </row>
    <row r="23785" customFormat="false" ht="12.8" hidden="false" customHeight="false" outlineLevel="0" collapsed="false">
      <c r="B23785" s="0" t="s">
        <v>3771</v>
      </c>
      <c r="C23785" s="0" t="s">
        <v>8908</v>
      </c>
    </row>
    <row r="23787" customFormat="false" ht="12.8" hidden="false" customHeight="false" outlineLevel="0" collapsed="false">
      <c r="A23787" s="0" t="s">
        <v>8909</v>
      </c>
      <c r="B23787" s="0" t="str">
        <f aca="false">HYPERLINK("https://lindat.mff.cuni.cz/services/teitok/pdtc10/index.php?action=vallex&amp;frame=v-w12159_ZUf1_ZU", "onosit (v-w12159_ZUf1_ZU)")</f>
        <v>onosit (v-w12159_ZUf1_ZU)</v>
      </c>
    </row>
    <row r="23788" customFormat="false" ht="12.8" hidden="false" customHeight="false" outlineLevel="0" collapsed="false">
      <c r="B23788" s="0" t="s">
        <v>7</v>
      </c>
    </row>
    <row r="23789" customFormat="false" ht="12.8" hidden="false" customHeight="false" outlineLevel="0" collapsed="false">
      <c r="B23789" s="0" t="s">
        <v>14</v>
      </c>
    </row>
    <row r="23791" customFormat="false" ht="12.8" hidden="false" customHeight="false" outlineLevel="0" collapsed="false">
      <c r="A23791" s="0" t="s">
        <v>8910</v>
      </c>
      <c r="B23791" s="0" t="str">
        <f aca="false">HYPERLINK("https://lindat.mff.cuni.cz/services/teitok/pdtc10/index.php?action=vallex&amp;frame=v-w10092f2", "opadat (v-w10092f2)")</f>
        <v>opadat (v-w10092f2)</v>
      </c>
    </row>
    <row r="23792" customFormat="false" ht="12.8" hidden="false" customHeight="false" outlineLevel="0" collapsed="false">
      <c r="B23792" s="0" t="s">
        <v>7</v>
      </c>
      <c r="C23792" s="0" t="s">
        <v>723</v>
      </c>
      <c r="D23792" s="0" t="s">
        <v>2074</v>
      </c>
      <c r="E23792" s="0" t="s">
        <v>2074</v>
      </c>
      <c r="F23792" s="0" t="s">
        <v>2074</v>
      </c>
    </row>
    <row r="23794" customFormat="false" ht="12.8" hidden="false" customHeight="false" outlineLevel="0" collapsed="false">
      <c r="A23794" s="0" t="s">
        <v>8911</v>
      </c>
      <c r="B23794" s="0" t="str">
        <f aca="false">HYPERLINK("https://lindat.mff.cuni.cz/services/teitok/pdtc10/index.php?action=vallex&amp;frame=v-w10092f3_ZU", "opadat (v-w10092f3_ZU)")</f>
        <v>opadat (v-w10092f3_ZU)</v>
      </c>
    </row>
    <row r="23795" customFormat="false" ht="12.8" hidden="false" customHeight="false" outlineLevel="0" collapsed="false">
      <c r="B23795" s="0" t="s">
        <v>7</v>
      </c>
      <c r="C23795" s="0" t="s">
        <v>176</v>
      </c>
      <c r="D23795" s="0" t="s">
        <v>3676</v>
      </c>
      <c r="E23795" s="0" t="s">
        <v>3676</v>
      </c>
      <c r="F23795" s="0" t="s">
        <v>3676</v>
      </c>
    </row>
    <row r="23797" customFormat="false" ht="12.8" hidden="false" customHeight="false" outlineLevel="0" collapsed="false">
      <c r="A23797" s="0" t="s">
        <v>8912</v>
      </c>
      <c r="B23797" s="0" t="str">
        <f aca="false">HYPERLINK("https://lindat.mff.cuni.cz/services/teitok/pdtc10/index.php?action=vallex&amp;frame=v-w3096f1", "opadnout (v-w3096f1)")</f>
        <v>opadnout (v-w3096f1)</v>
      </c>
    </row>
    <row r="23798" customFormat="false" ht="12.8" hidden="false" customHeight="false" outlineLevel="0" collapsed="false">
      <c r="B23798" s="0" t="s">
        <v>7</v>
      </c>
      <c r="C23798" s="0" t="s">
        <v>4397</v>
      </c>
      <c r="D23798" s="0" t="s">
        <v>7922</v>
      </c>
      <c r="E23798" s="0" t="s">
        <v>8913</v>
      </c>
      <c r="F23798" s="0" t="s">
        <v>8913</v>
      </c>
    </row>
    <row r="23800" customFormat="false" ht="12.8" hidden="false" customHeight="false" outlineLevel="0" collapsed="false">
      <c r="A23800" s="0" t="s">
        <v>8914</v>
      </c>
      <c r="B23800" s="0" t="str">
        <f aca="false">HYPERLINK("https://lindat.mff.cuni.cz/services/teitok/pdtc10/index.php?action=vallex&amp;frame=v-w3096f2_MM", "opadnout (v-w3096f2_MM)")</f>
        <v>opadnout (v-w3096f2_MM)</v>
      </c>
    </row>
    <row r="23801" customFormat="false" ht="12.8" hidden="false" customHeight="false" outlineLevel="0" collapsed="false">
      <c r="B23801" s="0" t="s">
        <v>7</v>
      </c>
    </row>
    <row r="23803" customFormat="false" ht="12.8" hidden="false" customHeight="false" outlineLevel="0" collapsed="false">
      <c r="A23803" s="0" t="s">
        <v>8915</v>
      </c>
      <c r="B23803" s="0" t="str">
        <f aca="false">HYPERLINK("https://lindat.mff.cuni.cz/services/teitok/pdtc10/index.php?action=vallex&amp;frame=v-whsa_694hsa_695", "opadávat (v-whsa_694hsa_695)")</f>
        <v>opadávat (v-whsa_694hsa_695)</v>
      </c>
    </row>
    <row r="23804" customFormat="false" ht="12.8" hidden="false" customHeight="false" outlineLevel="0" collapsed="false">
      <c r="B23804" s="0" t="s">
        <v>7</v>
      </c>
      <c r="C23804" s="0" t="s">
        <v>272</v>
      </c>
      <c r="D23804" s="0" t="s">
        <v>3676</v>
      </c>
      <c r="E23804" s="0" t="s">
        <v>3676</v>
      </c>
      <c r="F23804" s="0" t="s">
        <v>3676</v>
      </c>
    </row>
    <row r="23806" customFormat="false" ht="12.8" hidden="false" customHeight="false" outlineLevel="0" collapsed="false">
      <c r="A23806" s="0" t="s">
        <v>8916</v>
      </c>
      <c r="B23806" s="0" t="str">
        <f aca="false">HYPERLINK("https://lindat.mff.cuni.cz/services/teitok/pdtc10/index.php?action=vallex&amp;frame=v-whsa_694f1_ZU", "opadávat (v-whsa_694f1_ZU)")</f>
        <v>opadávat (v-whsa_694f1_ZU)</v>
      </c>
    </row>
    <row r="23807" customFormat="false" ht="12.8" hidden="false" customHeight="false" outlineLevel="0" collapsed="false">
      <c r="B23807" s="0" t="s">
        <v>7</v>
      </c>
    </row>
    <row r="23809" customFormat="false" ht="12.8" hidden="false" customHeight="false" outlineLevel="0" collapsed="false">
      <c r="A23809" s="0" t="s">
        <v>8917</v>
      </c>
      <c r="B23809" s="0" t="str">
        <f aca="false">HYPERLINK("https://lindat.mff.cuni.cz/services/teitok/pdtc10/index.php?action=vallex&amp;frame=v-w3099f1", "opakovat (v-w3099f1)")</f>
        <v>opakovat (v-w3099f1)</v>
      </c>
    </row>
    <row r="23810" customFormat="false" ht="12.8" hidden="false" customHeight="false" outlineLevel="0" collapsed="false">
      <c r="B23810" s="0" t="s">
        <v>7</v>
      </c>
      <c r="C23810" s="0" t="s">
        <v>8901</v>
      </c>
      <c r="D23810" s="0" t="s">
        <v>8901</v>
      </c>
      <c r="E23810" s="0" t="s">
        <v>8901</v>
      </c>
      <c r="F23810" s="0" t="s">
        <v>8901</v>
      </c>
    </row>
    <row r="23811" customFormat="false" ht="12.8" hidden="false" customHeight="false" outlineLevel="0" collapsed="false">
      <c r="B23811" s="0" t="s">
        <v>8902</v>
      </c>
      <c r="C23811" s="0" t="s">
        <v>1210</v>
      </c>
      <c r="D23811" s="0" t="s">
        <v>3860</v>
      </c>
      <c r="E23811" s="0" t="s">
        <v>3860</v>
      </c>
      <c r="F23811" s="0" t="s">
        <v>3860</v>
      </c>
    </row>
    <row r="23812" customFormat="false" ht="12.8" hidden="false" customHeight="false" outlineLevel="0" collapsed="false">
      <c r="B23812" s="0" t="s">
        <v>106</v>
      </c>
    </row>
    <row r="23813" customFormat="false" ht="12.8" hidden="false" customHeight="false" outlineLevel="0" collapsed="false">
      <c r="B23813" s="0" t="s">
        <v>8903</v>
      </c>
    </row>
    <row r="23815" customFormat="false" ht="12.8" hidden="false" customHeight="false" outlineLevel="0" collapsed="false">
      <c r="A23815" s="0" t="s">
        <v>8918</v>
      </c>
      <c r="B23815" s="0" t="str">
        <f aca="false">HYPERLINK("https://lindat.mff.cuni.cz/services/teitok/pdtc10/index.php?action=vallex&amp;frame=v-w3099f2", "opakovat (v-w3099f2)")</f>
        <v>opakovat (v-w3099f2)</v>
      </c>
    </row>
    <row r="23816" customFormat="false" ht="12.8" hidden="false" customHeight="false" outlineLevel="0" collapsed="false">
      <c r="B23816" s="0" t="s">
        <v>7</v>
      </c>
      <c r="C23816" s="0" t="s">
        <v>8919</v>
      </c>
    </row>
    <row r="23817" customFormat="false" ht="12.8" hidden="false" customHeight="false" outlineLevel="0" collapsed="false">
      <c r="B23817" s="0" t="s">
        <v>8920</v>
      </c>
      <c r="C23817" s="0" t="s">
        <v>625</v>
      </c>
    </row>
    <row r="23818" customFormat="false" ht="12.8" hidden="false" customHeight="false" outlineLevel="0" collapsed="false">
      <c r="B23818" s="0" t="s">
        <v>2767</v>
      </c>
    </row>
    <row r="23820" customFormat="false" ht="12.8" hidden="false" customHeight="false" outlineLevel="0" collapsed="false">
      <c r="A23820" s="0" t="s">
        <v>8921</v>
      </c>
      <c r="B23820" s="0" t="str">
        <f aca="false">HYPERLINK("https://lindat.mff.cuni.cz/services/teitok/pdtc10/index.php?action=vallex&amp;frame=v-w3099f3", "opakovat (v-w3099f3)")</f>
        <v>opakovat (v-w3099f3)</v>
      </c>
    </row>
    <row r="23821" customFormat="false" ht="12.8" hidden="false" customHeight="false" outlineLevel="0" collapsed="false">
      <c r="B23821" s="0" t="s">
        <v>7</v>
      </c>
      <c r="C23821" s="0" t="s">
        <v>8919</v>
      </c>
    </row>
    <row r="23822" customFormat="false" ht="12.8" hidden="false" customHeight="false" outlineLevel="0" collapsed="false">
      <c r="B23822" s="0" t="s">
        <v>5525</v>
      </c>
      <c r="C23822" s="0" t="s">
        <v>8922</v>
      </c>
    </row>
    <row r="23823" customFormat="false" ht="12.8" hidden="false" customHeight="false" outlineLevel="0" collapsed="false">
      <c r="B23823" s="0" t="s">
        <v>363</v>
      </c>
    </row>
    <row r="23824" customFormat="false" ht="12.8" hidden="false" customHeight="false" outlineLevel="0" collapsed="false">
      <c r="B23824" s="0" t="s">
        <v>106</v>
      </c>
    </row>
    <row r="23826" customFormat="false" ht="12.8" hidden="false" customHeight="false" outlineLevel="0" collapsed="false">
      <c r="A23826" s="0" t="s">
        <v>8923</v>
      </c>
      <c r="B23826" s="0" t="str">
        <f aca="false">HYPERLINK("https://lindat.mff.cuni.cz/services/teitok/pdtc10/index.php?action=vallex&amp;frame=v-w3100f1", "opakovat se (v-w3100f1)")</f>
        <v>opakovat se (v-w3100f1)</v>
      </c>
    </row>
    <row r="23827" customFormat="false" ht="12.8" hidden="false" customHeight="false" outlineLevel="0" collapsed="false">
      <c r="B23827" s="0" t="s">
        <v>7</v>
      </c>
      <c r="C23827" s="0" t="s">
        <v>1715</v>
      </c>
    </row>
    <row r="23829" customFormat="false" ht="12.8" hidden="false" customHeight="false" outlineLevel="0" collapsed="false">
      <c r="A23829" s="0" t="s">
        <v>8924</v>
      </c>
      <c r="B23829" s="0" t="str">
        <f aca="false">HYPERLINK("https://lindat.mff.cuni.cz/services/teitok/pdtc10/index.php?action=vallex&amp;frame=v-w3100f2", "opakovat se (v-w3100f2)")</f>
        <v>opakovat se (v-w3100f2)</v>
      </c>
    </row>
    <row r="23830" customFormat="false" ht="12.8" hidden="false" customHeight="false" outlineLevel="0" collapsed="false">
      <c r="B23830" s="0" t="s">
        <v>7</v>
      </c>
    </row>
    <row r="23832" customFormat="false" ht="12.8" hidden="false" customHeight="false" outlineLevel="0" collapsed="false">
      <c r="A23832" s="0" t="s">
        <v>8925</v>
      </c>
      <c r="B23832" s="0" t="str">
        <f aca="false">HYPERLINK("https://lindat.mff.cuni.cz/services/teitok/pdtc10/index.php?action=vallex&amp;frame=v-w3101f1", "opakovat si (v-w3101f1)")</f>
        <v>opakovat si (v-w3101f1)</v>
      </c>
    </row>
    <row r="23833" customFormat="false" ht="12.8" hidden="false" customHeight="false" outlineLevel="0" collapsed="false">
      <c r="B23833" s="0" t="s">
        <v>7</v>
      </c>
    </row>
    <row r="23834" customFormat="false" ht="12.8" hidden="false" customHeight="false" outlineLevel="0" collapsed="false">
      <c r="B23834" s="0" t="s">
        <v>14</v>
      </c>
    </row>
    <row r="23836" customFormat="false" ht="12.8" hidden="false" customHeight="false" outlineLevel="0" collapsed="false">
      <c r="A23836" s="0" t="s">
        <v>8926</v>
      </c>
      <c r="B23836" s="0" t="str">
        <f aca="false">HYPERLINK("https://lindat.mff.cuni.cz/services/teitok/pdtc10/index.php?action=vallex&amp;frame=v-w11540_ZUf1_ZU", "opalovat (v-w11540_ZUf1_ZU)")</f>
        <v>opalovat (v-w11540_ZUf1_ZU)</v>
      </c>
    </row>
    <row r="23837" customFormat="false" ht="12.8" hidden="false" customHeight="false" outlineLevel="0" collapsed="false">
      <c r="B23837" s="0" t="s">
        <v>7</v>
      </c>
    </row>
    <row r="23838" customFormat="false" ht="12.8" hidden="false" customHeight="false" outlineLevel="0" collapsed="false">
      <c r="B23838" s="0" t="s">
        <v>14</v>
      </c>
    </row>
    <row r="23840" customFormat="false" ht="12.8" hidden="false" customHeight="false" outlineLevel="0" collapsed="false">
      <c r="A23840" s="0" t="s">
        <v>8927</v>
      </c>
      <c r="B23840" s="0" t="str">
        <f aca="false">HYPERLINK("https://lindat.mff.cuni.cz/services/teitok/pdtc10/index.php?action=vallex&amp;frame=v-w3103f1", "opalovat se (v-w3103f1)")</f>
        <v>opalovat se (v-w3103f1)</v>
      </c>
    </row>
    <row r="23841" customFormat="false" ht="12.8" hidden="false" customHeight="false" outlineLevel="0" collapsed="false">
      <c r="B23841" s="0" t="s">
        <v>7</v>
      </c>
    </row>
    <row r="23843" customFormat="false" ht="12.8" hidden="false" customHeight="false" outlineLevel="0" collapsed="false">
      <c r="A23843" s="0" t="s">
        <v>8928</v>
      </c>
      <c r="B23843" s="0" t="str">
        <f aca="false">HYPERLINK("https://lindat.mff.cuni.cz/services/teitok/pdtc10/index.php?action=vallex&amp;frame=v-w3109f1", "opatrovat (v-w3109f1)")</f>
        <v>opatrovat (v-w3109f1)</v>
      </c>
    </row>
    <row r="23844" customFormat="false" ht="12.8" hidden="false" customHeight="false" outlineLevel="0" collapsed="false">
      <c r="B23844" s="0" t="s">
        <v>7</v>
      </c>
    </row>
    <row r="23845" customFormat="false" ht="12.8" hidden="false" customHeight="false" outlineLevel="0" collapsed="false">
      <c r="B23845" s="0" t="s">
        <v>14</v>
      </c>
    </row>
    <row r="23846" customFormat="false" ht="12.8" hidden="false" customHeight="false" outlineLevel="0" collapsed="false">
      <c r="B23846" s="0" t="s">
        <v>416</v>
      </c>
    </row>
    <row r="23848" customFormat="false" ht="12.8" hidden="false" customHeight="false" outlineLevel="0" collapsed="false">
      <c r="A23848" s="0" t="s">
        <v>8929</v>
      </c>
      <c r="B23848" s="0" t="str">
        <f aca="false">HYPERLINK("https://lindat.mff.cuni.cz/services/teitok/pdtc10/index.php?action=vallex&amp;frame=v-w3109hsa_682", "opatrovat (v-w3109hsa_682)")</f>
        <v>opatrovat (v-w3109hsa_682)</v>
      </c>
    </row>
    <row r="23849" customFormat="false" ht="12.8" hidden="false" customHeight="false" outlineLevel="0" collapsed="false">
      <c r="B23849" s="0" t="s">
        <v>7</v>
      </c>
    </row>
    <row r="23850" customFormat="false" ht="12.8" hidden="false" customHeight="false" outlineLevel="0" collapsed="false">
      <c r="B23850" s="0" t="s">
        <v>14</v>
      </c>
    </row>
    <row r="23852" customFormat="false" ht="12.8" hidden="false" customHeight="false" outlineLevel="0" collapsed="false">
      <c r="A23852" s="0" t="s">
        <v>8930</v>
      </c>
      <c r="B23852" s="0" t="str">
        <f aca="false">HYPERLINK("https://lindat.mff.cuni.cz/services/teitok/pdtc10/index.php?action=vallex&amp;frame=v-w3113f1", "opatřit (v-w3113f1)")</f>
        <v>opatřit (v-w3113f1)</v>
      </c>
    </row>
    <row r="23853" customFormat="false" ht="12.8" hidden="false" customHeight="false" outlineLevel="0" collapsed="false">
      <c r="B23853" s="0" t="s">
        <v>7</v>
      </c>
      <c r="D23853" s="0" t="s">
        <v>8931</v>
      </c>
      <c r="E23853" s="0" t="s">
        <v>8931</v>
      </c>
      <c r="F23853" s="0" t="s">
        <v>8931</v>
      </c>
    </row>
    <row r="23854" customFormat="false" ht="12.8" hidden="false" customHeight="false" outlineLevel="0" collapsed="false">
      <c r="B23854" s="0" t="s">
        <v>14</v>
      </c>
      <c r="D23854" s="0" t="s">
        <v>8932</v>
      </c>
      <c r="E23854" s="0" t="s">
        <v>8932</v>
      </c>
      <c r="F23854" s="0" t="s">
        <v>8932</v>
      </c>
    </row>
    <row r="23855" customFormat="false" ht="12.8" hidden="false" customHeight="false" outlineLevel="0" collapsed="false">
      <c r="B23855" s="0" t="s">
        <v>1408</v>
      </c>
      <c r="D23855" s="0" t="s">
        <v>8933</v>
      </c>
      <c r="E23855" s="0" t="s">
        <v>8933</v>
      </c>
      <c r="F23855" s="0" t="s">
        <v>8933</v>
      </c>
    </row>
    <row r="23857" customFormat="false" ht="12.8" hidden="false" customHeight="false" outlineLevel="0" collapsed="false">
      <c r="A23857" s="0" t="s">
        <v>8934</v>
      </c>
      <c r="B23857" s="0" t="str">
        <f aca="false">HYPERLINK("https://lindat.mff.cuni.cz/services/teitok/pdtc10/index.php?action=vallex&amp;frame=v-w3113f3_ZU", "opatřit (v-w3113f3_ZU)")</f>
        <v>opatřit (v-w3113f3_ZU)</v>
      </c>
    </row>
    <row r="23858" customFormat="false" ht="12.8" hidden="false" customHeight="false" outlineLevel="0" collapsed="false">
      <c r="B23858" s="0" t="s">
        <v>7</v>
      </c>
    </row>
    <row r="23859" customFormat="false" ht="12.8" hidden="false" customHeight="false" outlineLevel="0" collapsed="false">
      <c r="B23859" s="0" t="s">
        <v>14</v>
      </c>
    </row>
    <row r="23860" customFormat="false" ht="12.8" hidden="false" customHeight="false" outlineLevel="0" collapsed="false">
      <c r="B23860" s="0" t="s">
        <v>441</v>
      </c>
    </row>
    <row r="23862" customFormat="false" ht="12.8" hidden="false" customHeight="false" outlineLevel="0" collapsed="false">
      <c r="A23862" s="0" t="s">
        <v>8934</v>
      </c>
      <c r="B23862" s="0" t="str">
        <f aca="false">HYPERLINK("https://lindat.mff.cuni.cz/services/teitok/pdtc10/index.php?action=vallex&amp;frame=v-w3113f2", "opatřit (v-w3113f2) - substituted with v-w3113f3_ZU")</f>
        <v>opatřit (v-w3113f2) - substituted with v-w3113f3_ZU</v>
      </c>
    </row>
    <row r="23863" customFormat="false" ht="12.8" hidden="false" customHeight="false" outlineLevel="0" collapsed="false">
      <c r="B23863" s="0" t="s">
        <v>7</v>
      </c>
      <c r="C23863" s="0" t="s">
        <v>3051</v>
      </c>
      <c r="D23863" s="0" t="s">
        <v>3610</v>
      </c>
      <c r="E23863" s="0" t="s">
        <v>3610</v>
      </c>
      <c r="F23863" s="0" t="s">
        <v>3610</v>
      </c>
    </row>
    <row r="23864" customFormat="false" ht="12.8" hidden="false" customHeight="false" outlineLevel="0" collapsed="false">
      <c r="B23864" s="0" t="s">
        <v>14</v>
      </c>
      <c r="C23864" s="0" t="s">
        <v>1511</v>
      </c>
      <c r="D23864" s="0" t="s">
        <v>7844</v>
      </c>
      <c r="E23864" s="0" t="s">
        <v>7844</v>
      </c>
      <c r="F23864" s="0" t="s">
        <v>7844</v>
      </c>
    </row>
    <row r="23865" customFormat="false" ht="12.8" hidden="false" customHeight="false" outlineLevel="0" collapsed="false">
      <c r="B23865" s="0" t="s">
        <v>441</v>
      </c>
    </row>
    <row r="23867" customFormat="false" ht="12.8" hidden="false" customHeight="false" outlineLevel="0" collapsed="false">
      <c r="A23867" s="0" t="s">
        <v>8935</v>
      </c>
      <c r="B23867" s="0" t="str">
        <f aca="false">HYPERLINK("https://lindat.mff.cuni.cz/services/teitok/pdtc10/index.php?action=vallex&amp;frame=v-w3113hsa_1247", "opatřit (v-w3113hsa_1247)")</f>
        <v>opatřit (v-w3113hsa_1247)</v>
      </c>
    </row>
    <row r="23868" customFormat="false" ht="12.8" hidden="false" customHeight="false" outlineLevel="0" collapsed="false">
      <c r="B23868" s="0" t="s">
        <v>7</v>
      </c>
    </row>
    <row r="23869" customFormat="false" ht="12.8" hidden="false" customHeight="false" outlineLevel="0" collapsed="false">
      <c r="B23869" s="0" t="s">
        <v>14</v>
      </c>
    </row>
    <row r="23871" customFormat="false" ht="12.8" hidden="false" customHeight="false" outlineLevel="0" collapsed="false">
      <c r="A23871" s="0" t="s">
        <v>8936</v>
      </c>
      <c r="B23871" s="0" t="str">
        <f aca="false">HYPERLINK("https://lindat.mff.cuni.cz/services/teitok/pdtc10/index.php?action=vallex&amp;frame=v-whsa_1558hsa_1559", "opatřovat (v-whsa_1558hsa_1559)")</f>
        <v>opatřovat (v-whsa_1558hsa_1559)</v>
      </c>
    </row>
    <row r="23872" customFormat="false" ht="12.8" hidden="false" customHeight="false" outlineLevel="0" collapsed="false">
      <c r="B23872" s="0" t="s">
        <v>7</v>
      </c>
    </row>
    <row r="23873" customFormat="false" ht="12.8" hidden="false" customHeight="false" outlineLevel="0" collapsed="false">
      <c r="B23873" s="0" t="s">
        <v>14</v>
      </c>
    </row>
    <row r="23875" customFormat="false" ht="12.8" hidden="false" customHeight="false" outlineLevel="0" collapsed="false">
      <c r="A23875" s="0" t="s">
        <v>8937</v>
      </c>
      <c r="B23875" s="0" t="str">
        <f aca="false">HYPERLINK("https://lindat.mff.cuni.cz/services/teitok/pdtc10/index.php?action=vallex&amp;frame=v-w3104f2", "opařit (v-w3104f2)")</f>
        <v>opařit (v-w3104f2)</v>
      </c>
    </row>
    <row r="23876" customFormat="false" ht="12.8" hidden="false" customHeight="false" outlineLevel="0" collapsed="false">
      <c r="B23876" s="0" t="s">
        <v>7</v>
      </c>
    </row>
    <row r="23877" customFormat="false" ht="12.8" hidden="false" customHeight="false" outlineLevel="0" collapsed="false">
      <c r="B23877" s="0" t="s">
        <v>14</v>
      </c>
    </row>
    <row r="23879" customFormat="false" ht="12.8" hidden="false" customHeight="false" outlineLevel="0" collapsed="false">
      <c r="A23879" s="0" t="s">
        <v>8938</v>
      </c>
      <c r="B23879" s="0" t="str">
        <f aca="false">HYPERLINK("https://lindat.mff.cuni.cz/services/teitok/pdtc10/index.php?action=vallex&amp;frame=v-w3104f1", "opařit (v-w3104f1)")</f>
        <v>opařit (v-w3104f1)</v>
      </c>
    </row>
    <row r="23880" customFormat="false" ht="12.8" hidden="false" customHeight="false" outlineLevel="0" collapsed="false">
      <c r="B23880" s="0" t="s">
        <v>7</v>
      </c>
    </row>
    <row r="23881" customFormat="false" ht="12.8" hidden="false" customHeight="false" outlineLevel="0" collapsed="false">
      <c r="B23881" s="0" t="s">
        <v>14</v>
      </c>
    </row>
    <row r="23883" customFormat="false" ht="12.8" hidden="false" customHeight="false" outlineLevel="0" collapsed="false">
      <c r="A23883" s="0" t="s">
        <v>8939</v>
      </c>
      <c r="B23883" s="0" t="str">
        <f aca="false">HYPERLINK("https://lindat.mff.cuni.cz/services/teitok/pdtc10/index.php?action=vallex&amp;frame=v-w3105f1", "opařit se (v-w3105f1)")</f>
        <v>opařit se (v-w3105f1)</v>
      </c>
    </row>
    <row r="23884" customFormat="false" ht="12.8" hidden="false" customHeight="false" outlineLevel="0" collapsed="false">
      <c r="B23884" s="0" t="s">
        <v>7</v>
      </c>
    </row>
    <row r="23886" customFormat="false" ht="12.8" hidden="false" customHeight="false" outlineLevel="0" collapsed="false">
      <c r="A23886" s="0" t="s">
        <v>8940</v>
      </c>
      <c r="B23886" s="0" t="str">
        <f aca="false">HYPERLINK("https://lindat.mff.cuni.cz/services/teitok/pdtc10/index.php?action=vallex&amp;frame=v-w11541_ZUf1_ZU", "opepřit (v-w11541_ZUf1_ZU)")</f>
        <v>opepřit (v-w11541_ZUf1_ZU)</v>
      </c>
    </row>
    <row r="23887" customFormat="false" ht="12.8" hidden="false" customHeight="false" outlineLevel="0" collapsed="false">
      <c r="B23887" s="0" t="s">
        <v>7</v>
      </c>
    </row>
    <row r="23888" customFormat="false" ht="12.8" hidden="false" customHeight="false" outlineLevel="0" collapsed="false">
      <c r="B23888" s="0" t="s">
        <v>14</v>
      </c>
    </row>
    <row r="23890" customFormat="false" ht="12.8" hidden="false" customHeight="false" outlineLevel="0" collapsed="false">
      <c r="A23890" s="0" t="s">
        <v>8941</v>
      </c>
      <c r="B23890" s="0" t="str">
        <f aca="false">HYPERLINK("https://lindat.mff.cuni.cz/services/teitok/pdtc10/index.php?action=vallex&amp;frame=v-w3117f1", "operovat (v-w3117f1)")</f>
        <v>operovat (v-w3117f1)</v>
      </c>
    </row>
    <row r="23891" customFormat="false" ht="12.8" hidden="false" customHeight="false" outlineLevel="0" collapsed="false">
      <c r="B23891" s="0" t="s">
        <v>7</v>
      </c>
      <c r="C23891" s="0" t="s">
        <v>118</v>
      </c>
    </row>
    <row r="23892" customFormat="false" ht="12.8" hidden="false" customHeight="false" outlineLevel="0" collapsed="false">
      <c r="B23892" s="0" t="s">
        <v>14</v>
      </c>
      <c r="C23892" s="0" t="s">
        <v>151</v>
      </c>
    </row>
    <row r="23894" customFormat="false" ht="12.8" hidden="false" customHeight="false" outlineLevel="0" collapsed="false">
      <c r="A23894" s="0" t="s">
        <v>8942</v>
      </c>
      <c r="B23894" s="0" t="str">
        <f aca="false">HYPERLINK("https://lindat.mff.cuni.cz/services/teitok/pdtc10/index.php?action=vallex&amp;frame=v-w3117f5_ZU", "operovat (v-w3117f5_ZU)")</f>
        <v>operovat (v-w3117f5_ZU)</v>
      </c>
    </row>
    <row r="23895" customFormat="false" ht="12.8" hidden="false" customHeight="false" outlineLevel="0" collapsed="false">
      <c r="B23895" s="0" t="s">
        <v>7</v>
      </c>
      <c r="D23895" s="0" t="s">
        <v>8943</v>
      </c>
      <c r="E23895" s="0" t="s">
        <v>8943</v>
      </c>
      <c r="F23895" s="0" t="s">
        <v>8943</v>
      </c>
    </row>
    <row r="23896" customFormat="false" ht="12.8" hidden="false" customHeight="false" outlineLevel="0" collapsed="false">
      <c r="B23896" s="0" t="s">
        <v>1623</v>
      </c>
      <c r="D23896" s="0" t="s">
        <v>8944</v>
      </c>
      <c r="E23896" s="0" t="s">
        <v>8944</v>
      </c>
      <c r="F23896" s="0" t="s">
        <v>8944</v>
      </c>
    </row>
    <row r="23898" customFormat="false" ht="12.8" hidden="false" customHeight="false" outlineLevel="0" collapsed="false">
      <c r="A23898" s="0" t="s">
        <v>8942</v>
      </c>
      <c r="B23898" s="0" t="str">
        <f aca="false">HYPERLINK("https://lindat.mff.cuni.cz/services/teitok/pdtc10/index.php?action=vallex&amp;frame=v-w3117f3", "operovat (v-w3117f3) - substituted with v-w3117f5_ZU")</f>
        <v>operovat (v-w3117f3) - substituted with v-w3117f5_ZU</v>
      </c>
    </row>
    <row r="23899" customFormat="false" ht="12.8" hidden="false" customHeight="false" outlineLevel="0" collapsed="false">
      <c r="B23899" s="0" t="s">
        <v>7</v>
      </c>
      <c r="C23899" s="0" t="s">
        <v>1380</v>
      </c>
    </row>
    <row r="23900" customFormat="false" ht="12.8" hidden="false" customHeight="false" outlineLevel="0" collapsed="false">
      <c r="B23900" s="0" t="s">
        <v>1623</v>
      </c>
      <c r="C23900" s="0" t="s">
        <v>8945</v>
      </c>
    </row>
    <row r="23902" customFormat="false" ht="12.8" hidden="false" customHeight="false" outlineLevel="0" collapsed="false">
      <c r="A23902" s="0" t="s">
        <v>8942</v>
      </c>
      <c r="B23902" s="0" t="str">
        <f aca="false">HYPERLINK("https://lindat.mff.cuni.cz/services/teitok/pdtc10/index.php?action=vallex&amp;frame=v-w3117f4_ZU", "operovat (v-w3117f4_ZU) - substituted with v-w3117f5_ZU")</f>
        <v>operovat (v-w3117f4_ZU) - substituted with v-w3117f5_ZU</v>
      </c>
    </row>
    <row r="23903" customFormat="false" ht="12.8" hidden="false" customHeight="false" outlineLevel="0" collapsed="false">
      <c r="B23903" s="0" t="s">
        <v>7</v>
      </c>
    </row>
    <row r="23904" customFormat="false" ht="12.8" hidden="false" customHeight="false" outlineLevel="0" collapsed="false">
      <c r="B23904" s="0" t="s">
        <v>1623</v>
      </c>
    </row>
    <row r="23906" customFormat="false" ht="12.8" hidden="false" customHeight="false" outlineLevel="0" collapsed="false">
      <c r="A23906" s="0" t="s">
        <v>8946</v>
      </c>
      <c r="B23906" s="0" t="str">
        <f aca="false">HYPERLINK("https://lindat.mff.cuni.cz/services/teitok/pdtc10/index.php?action=vallex&amp;frame=v-w3117f2", "operovat (v-w3117f2)")</f>
        <v>operovat (v-w3117f2)</v>
      </c>
    </row>
    <row r="23907" customFormat="false" ht="12.8" hidden="false" customHeight="false" outlineLevel="0" collapsed="false">
      <c r="B23907" s="0" t="s">
        <v>7</v>
      </c>
      <c r="C23907" s="0" t="s">
        <v>8947</v>
      </c>
      <c r="D23907" s="0" t="s">
        <v>5335</v>
      </c>
      <c r="E23907" s="0" t="s">
        <v>5335</v>
      </c>
      <c r="F23907" s="0" t="s">
        <v>5335</v>
      </c>
    </row>
    <row r="23908" customFormat="false" ht="12.8" hidden="false" customHeight="false" outlineLevel="0" collapsed="false">
      <c r="B23908" s="0" t="s">
        <v>11</v>
      </c>
      <c r="C23908" s="0" t="s">
        <v>8948</v>
      </c>
      <c r="D23908" s="0" t="s">
        <v>5337</v>
      </c>
      <c r="E23908" s="0" t="s">
        <v>5337</v>
      </c>
      <c r="F23908" s="0" t="s">
        <v>5337</v>
      </c>
    </row>
    <row r="23910" customFormat="false" ht="12.8" hidden="false" customHeight="false" outlineLevel="0" collapsed="false">
      <c r="A23910" s="0" t="s">
        <v>8949</v>
      </c>
      <c r="B23910" s="0" t="str">
        <f aca="false">HYPERLINK("https://lindat.mff.cuni.cz/services/teitok/pdtc10/index.php?action=vallex&amp;frame=v-w3117f6_ZU", "operovat (v-w3117f6_ZU)")</f>
        <v>operovat (v-w3117f6_ZU)</v>
      </c>
    </row>
    <row r="23911" customFormat="false" ht="12.8" hidden="false" customHeight="false" outlineLevel="0" collapsed="false">
      <c r="B23911" s="0" t="s">
        <v>7</v>
      </c>
      <c r="C23911" s="0" t="s">
        <v>8950</v>
      </c>
      <c r="D23911" s="0" t="s">
        <v>868</v>
      </c>
      <c r="E23911" s="0" t="s">
        <v>868</v>
      </c>
      <c r="F23911" s="0" t="s">
        <v>868</v>
      </c>
    </row>
    <row r="23913" customFormat="false" ht="12.8" hidden="false" customHeight="false" outlineLevel="0" collapsed="false">
      <c r="A23913" s="0" t="s">
        <v>8951</v>
      </c>
      <c r="B23913" s="0" t="str">
        <f aca="false">HYPERLINK("https://lindat.mff.cuni.cz/services/teitok/pdtc10/index.php?action=vallex&amp;frame=v-w3117f8_ZU", "operovat (v-w3117f8_ZU)")</f>
        <v>operovat (v-w3117f8_ZU)</v>
      </c>
    </row>
    <row r="23914" customFormat="false" ht="12.8" hidden="false" customHeight="false" outlineLevel="0" collapsed="false">
      <c r="B23914" s="0" t="s">
        <v>7</v>
      </c>
    </row>
    <row r="23915" customFormat="false" ht="12.8" hidden="false" customHeight="false" outlineLevel="0" collapsed="false">
      <c r="B23915" s="0" t="s">
        <v>14</v>
      </c>
    </row>
    <row r="23917" customFormat="false" ht="12.8" hidden="false" customHeight="false" outlineLevel="0" collapsed="false">
      <c r="A23917" s="0" t="s">
        <v>8951</v>
      </c>
      <c r="B23917" s="0" t="str">
        <f aca="false">HYPERLINK("https://lindat.mff.cuni.cz/services/teitok/pdtc10/index.php?action=vallex&amp;frame=v-w3117f7_ZU", "operovat (v-w3117f7_ZU) - substituted with v-w3117f8_ZU")</f>
        <v>operovat (v-w3117f7_ZU) - substituted with v-w3117f8_ZU</v>
      </c>
    </row>
    <row r="23918" customFormat="false" ht="12.8" hidden="false" customHeight="false" outlineLevel="0" collapsed="false">
      <c r="B23918" s="0" t="s">
        <v>7</v>
      </c>
    </row>
    <row r="23919" customFormat="false" ht="12.8" hidden="false" customHeight="false" outlineLevel="0" collapsed="false">
      <c r="B23919" s="0" t="s">
        <v>14</v>
      </c>
    </row>
    <row r="23921" customFormat="false" ht="12.8" hidden="false" customHeight="false" outlineLevel="0" collapsed="false">
      <c r="A23921" s="0" t="s">
        <v>8952</v>
      </c>
      <c r="B23921" s="0" t="str">
        <f aca="false">HYPERLINK("https://lindat.mff.cuni.cz/services/teitok/pdtc10/index.php?action=vallex&amp;frame=v-w10094f2", "opevňovat (v-w10094f2)")</f>
        <v>opevňovat (v-w10094f2)</v>
      </c>
    </row>
    <row r="23922" customFormat="false" ht="12.8" hidden="false" customHeight="false" outlineLevel="0" collapsed="false">
      <c r="B23922" s="0" t="s">
        <v>7</v>
      </c>
      <c r="C23922" s="0" t="s">
        <v>191</v>
      </c>
      <c r="D23922" s="0" t="s">
        <v>8953</v>
      </c>
      <c r="E23922" s="0" t="s">
        <v>8953</v>
      </c>
      <c r="F23922" s="0" t="s">
        <v>8953</v>
      </c>
    </row>
    <row r="23923" customFormat="false" ht="12.8" hidden="false" customHeight="false" outlineLevel="0" collapsed="false">
      <c r="B23923" s="0" t="s">
        <v>14</v>
      </c>
      <c r="D23923" s="0" t="s">
        <v>8954</v>
      </c>
      <c r="E23923" s="0" t="s">
        <v>8954</v>
      </c>
      <c r="F23923" s="0" t="s">
        <v>8954</v>
      </c>
    </row>
    <row r="23924" customFormat="false" ht="12.8" hidden="false" customHeight="false" outlineLevel="0" collapsed="false">
      <c r="B23924" s="0" t="s">
        <v>416</v>
      </c>
      <c r="D23924" s="0" t="s">
        <v>8955</v>
      </c>
      <c r="E23924" s="0" t="s">
        <v>8955</v>
      </c>
      <c r="F23924" s="0" t="s">
        <v>8955</v>
      </c>
    </row>
    <row r="23926" customFormat="false" ht="12.8" hidden="false" customHeight="false" outlineLevel="0" collapsed="false">
      <c r="A23926" s="0" t="s">
        <v>8956</v>
      </c>
      <c r="B23926" s="0" t="str">
        <f aca="false">HYPERLINK("https://lindat.mff.cuni.cz/services/teitok/pdtc10/index.php?action=vallex&amp;frame=v-w10842f2", "opečovávat (v-w10842f2)")</f>
        <v>opečovávat (v-w10842f2)</v>
      </c>
    </row>
    <row r="23927" customFormat="false" ht="12.8" hidden="false" customHeight="false" outlineLevel="0" collapsed="false">
      <c r="B23927" s="0" t="s">
        <v>7</v>
      </c>
    </row>
    <row r="23928" customFormat="false" ht="12.8" hidden="false" customHeight="false" outlineLevel="0" collapsed="false">
      <c r="B23928" s="0" t="s">
        <v>14</v>
      </c>
    </row>
    <row r="23930" customFormat="false" ht="12.8" hidden="false" customHeight="false" outlineLevel="0" collapsed="false">
      <c r="A23930" s="0" t="s">
        <v>8957</v>
      </c>
      <c r="B23930" s="0" t="str">
        <f aca="false">HYPERLINK("https://lindat.mff.cuni.cz/services/teitok/pdtc10/index.php?action=vallex&amp;frame=v-w3127f1", "opisovat (v-w3127f1)")</f>
        <v>opisovat (v-w3127f1)</v>
      </c>
    </row>
    <row r="23931" customFormat="false" ht="12.8" hidden="false" customHeight="false" outlineLevel="0" collapsed="false">
      <c r="B23931" s="0" t="s">
        <v>7</v>
      </c>
      <c r="C23931" s="0" t="s">
        <v>335</v>
      </c>
      <c r="D23931" s="0" t="s">
        <v>460</v>
      </c>
      <c r="E23931" s="0" t="s">
        <v>460</v>
      </c>
      <c r="F23931" s="0" t="s">
        <v>460</v>
      </c>
    </row>
    <row r="23932" customFormat="false" ht="12.8" hidden="false" customHeight="false" outlineLevel="0" collapsed="false">
      <c r="B23932" s="0" t="s">
        <v>14</v>
      </c>
      <c r="C23932" s="0" t="s">
        <v>8958</v>
      </c>
      <c r="D23932" s="0" t="s">
        <v>173</v>
      </c>
      <c r="E23932" s="0" t="s">
        <v>173</v>
      </c>
      <c r="F23932" s="0" t="s">
        <v>173</v>
      </c>
    </row>
    <row r="23934" customFormat="false" ht="12.8" hidden="false" customHeight="false" outlineLevel="0" collapsed="false">
      <c r="A23934" s="0" t="s">
        <v>8959</v>
      </c>
      <c r="B23934" s="0" t="str">
        <f aca="false">HYPERLINK("https://lindat.mff.cuni.cz/services/teitok/pdtc10/index.php?action=vallex&amp;frame=v-w12193_ZUf1_ZU", "opičit se (v-w12193_ZUf1_ZU)")</f>
        <v>opičit se (v-w12193_ZUf1_ZU)</v>
      </c>
    </row>
    <row r="23935" customFormat="false" ht="12.8" hidden="false" customHeight="false" outlineLevel="0" collapsed="false">
      <c r="B23935" s="0" t="s">
        <v>7</v>
      </c>
    </row>
    <row r="23936" customFormat="false" ht="12.8" hidden="false" customHeight="false" outlineLevel="0" collapsed="false">
      <c r="B23936" s="0" t="s">
        <v>1375</v>
      </c>
    </row>
    <row r="23938" customFormat="false" ht="12.8" hidden="false" customHeight="false" outlineLevel="0" collapsed="false">
      <c r="A23938" s="0" t="s">
        <v>8960</v>
      </c>
      <c r="B23938" s="0" t="str">
        <f aca="false">HYPERLINK("https://lindat.mff.cuni.cz/services/teitok/pdtc10/index.php?action=vallex&amp;frame=v-whsa_887hsa_888", "oplakat (v-whsa_887hsa_888)")</f>
        <v>oplakat (v-whsa_887hsa_888)</v>
      </c>
    </row>
    <row r="23939" customFormat="false" ht="12.8" hidden="false" customHeight="false" outlineLevel="0" collapsed="false">
      <c r="B23939" s="0" t="s">
        <v>7</v>
      </c>
    </row>
    <row r="23940" customFormat="false" ht="12.8" hidden="false" customHeight="false" outlineLevel="0" collapsed="false">
      <c r="B23940" s="0" t="s">
        <v>14</v>
      </c>
    </row>
    <row r="23942" customFormat="false" ht="12.8" hidden="false" customHeight="false" outlineLevel="0" collapsed="false">
      <c r="A23942" s="0" t="s">
        <v>8961</v>
      </c>
      <c r="B23942" s="0" t="str">
        <f aca="false">HYPERLINK("https://lindat.mff.cuni.cz/services/teitok/pdtc10/index.php?action=vallex&amp;frame=v-w10467f2", "oplakávat (v-w10467f2)")</f>
        <v>oplakávat (v-w10467f2)</v>
      </c>
    </row>
    <row r="23943" customFormat="false" ht="12.8" hidden="false" customHeight="false" outlineLevel="0" collapsed="false">
      <c r="B23943" s="0" t="s">
        <v>7</v>
      </c>
      <c r="C23943" s="0" t="s">
        <v>191</v>
      </c>
      <c r="D23943" s="0" t="s">
        <v>8962</v>
      </c>
      <c r="E23943" s="0" t="s">
        <v>8962</v>
      </c>
      <c r="F23943" s="0" t="s">
        <v>8962</v>
      </c>
    </row>
    <row r="23944" customFormat="false" ht="12.8" hidden="false" customHeight="false" outlineLevel="0" collapsed="false">
      <c r="B23944" s="0" t="s">
        <v>14</v>
      </c>
      <c r="C23944" s="0" t="s">
        <v>47</v>
      </c>
      <c r="D23944" s="0" t="s">
        <v>1170</v>
      </c>
      <c r="E23944" s="0" t="s">
        <v>1170</v>
      </c>
      <c r="F23944" s="0" t="s">
        <v>1170</v>
      </c>
    </row>
    <row r="23946" customFormat="false" ht="12.8" hidden="false" customHeight="false" outlineLevel="0" collapsed="false">
      <c r="A23946" s="0" t="s">
        <v>8963</v>
      </c>
      <c r="B23946" s="0" t="str">
        <f aca="false">HYPERLINK("https://lindat.mff.cuni.cz/services/teitok/pdtc10/index.php?action=vallex&amp;frame=v-w3131f1", "oplatit (v-w3131f1)")</f>
        <v>oplatit (v-w3131f1)</v>
      </c>
    </row>
    <row r="23947" customFormat="false" ht="12.8" hidden="false" customHeight="false" outlineLevel="0" collapsed="false">
      <c r="B23947" s="0" t="s">
        <v>7</v>
      </c>
    </row>
    <row r="23948" customFormat="false" ht="12.8" hidden="false" customHeight="false" outlineLevel="0" collapsed="false">
      <c r="B23948" s="0" t="s">
        <v>14</v>
      </c>
    </row>
    <row r="23949" customFormat="false" ht="12.8" hidden="false" customHeight="false" outlineLevel="0" collapsed="false">
      <c r="B23949" s="0" t="s">
        <v>48</v>
      </c>
    </row>
    <row r="23951" customFormat="false" ht="12.8" hidden="false" customHeight="false" outlineLevel="0" collapsed="false">
      <c r="A23951" s="0" t="s">
        <v>8964</v>
      </c>
      <c r="B23951" s="0" t="str">
        <f aca="false">HYPERLINK("https://lindat.mff.cuni.cz/services/teitok/pdtc10/index.php?action=vallex&amp;frame=v-w10918f2", "oplodnit (v-w10918f2)")</f>
        <v>oplodnit (v-w10918f2)</v>
      </c>
    </row>
    <row r="23952" customFormat="false" ht="12.8" hidden="false" customHeight="false" outlineLevel="0" collapsed="false">
      <c r="B23952" s="0" t="s">
        <v>7</v>
      </c>
      <c r="C23952" s="0" t="s">
        <v>46</v>
      </c>
      <c r="D23952" s="0" t="s">
        <v>46</v>
      </c>
      <c r="E23952" s="0" t="s">
        <v>46</v>
      </c>
      <c r="F23952" s="0" t="s">
        <v>46</v>
      </c>
    </row>
    <row r="23953" customFormat="false" ht="12.8" hidden="false" customHeight="false" outlineLevel="0" collapsed="false">
      <c r="B23953" s="0" t="s">
        <v>14</v>
      </c>
      <c r="C23953" s="0" t="s">
        <v>33</v>
      </c>
      <c r="D23953" s="0" t="s">
        <v>33</v>
      </c>
      <c r="E23953" s="0" t="s">
        <v>33</v>
      </c>
      <c r="F23953" s="0" t="s">
        <v>33</v>
      </c>
    </row>
    <row r="23955" customFormat="false" ht="12.8" hidden="false" customHeight="false" outlineLevel="0" collapsed="false">
      <c r="A23955" s="0" t="s">
        <v>8965</v>
      </c>
      <c r="B23955" s="0" t="str">
        <f aca="false">HYPERLINK("https://lindat.mff.cuni.cz/services/teitok/pdtc10/index.php?action=vallex&amp;frame=v-w3132f1", "oplotit (v-w3132f1)")</f>
        <v>oplotit (v-w3132f1)</v>
      </c>
    </row>
    <row r="23956" customFormat="false" ht="12.8" hidden="false" customHeight="false" outlineLevel="0" collapsed="false">
      <c r="B23956" s="0" t="s">
        <v>7</v>
      </c>
      <c r="F23956" s="0" t="s">
        <v>7671</v>
      </c>
    </row>
    <row r="23957" customFormat="false" ht="12.8" hidden="false" customHeight="false" outlineLevel="0" collapsed="false">
      <c r="B23957" s="0" t="s">
        <v>14</v>
      </c>
      <c r="F23957" s="0" t="s">
        <v>3386</v>
      </c>
    </row>
    <row r="23959" customFormat="false" ht="12.8" hidden="false" customHeight="false" outlineLevel="0" collapsed="false">
      <c r="A23959" s="0" t="s">
        <v>8966</v>
      </c>
      <c r="B23959" s="0" t="str">
        <f aca="false">HYPERLINK("https://lindat.mff.cuni.cz/services/teitok/pdtc10/index.php?action=vallex&amp;frame=v-whsa_1191f1_ZU", "oplácet (v-whsa_1191f1_ZU)")</f>
        <v>oplácet (v-whsa_1191f1_ZU)</v>
      </c>
    </row>
    <row r="23960" customFormat="false" ht="12.8" hidden="false" customHeight="false" outlineLevel="0" collapsed="false">
      <c r="B23960" s="0" t="s">
        <v>7</v>
      </c>
    </row>
    <row r="23961" customFormat="false" ht="12.8" hidden="false" customHeight="false" outlineLevel="0" collapsed="false">
      <c r="B23961" s="0" t="s">
        <v>14</v>
      </c>
    </row>
    <row r="23962" customFormat="false" ht="12.8" hidden="false" customHeight="false" outlineLevel="0" collapsed="false">
      <c r="B23962" s="0" t="s">
        <v>48</v>
      </c>
    </row>
    <row r="23964" customFormat="false" ht="12.8" hidden="false" customHeight="false" outlineLevel="0" collapsed="false">
      <c r="A23964" s="0" t="s">
        <v>8966</v>
      </c>
      <c r="B23964" s="0" t="str">
        <f aca="false">HYPERLINK("https://lindat.mff.cuni.cz/services/teitok/pdtc10/index.php?action=vallex&amp;frame=v-whsa_1191hsa_1192", "oplácet (v-whsa_1191hsa_1192) - substituted with v-whsa_1191f1_ZU")</f>
        <v>oplácet (v-whsa_1191hsa_1192) - substituted with v-whsa_1191f1_ZU</v>
      </c>
    </row>
    <row r="23965" customFormat="false" ht="12.8" hidden="false" customHeight="false" outlineLevel="0" collapsed="false">
      <c r="B23965" s="0" t="s">
        <v>7</v>
      </c>
    </row>
    <row r="23966" customFormat="false" ht="12.8" hidden="false" customHeight="false" outlineLevel="0" collapsed="false">
      <c r="B23966" s="0" t="s">
        <v>14</v>
      </c>
    </row>
    <row r="23967" customFormat="false" ht="12.8" hidden="false" customHeight="false" outlineLevel="0" collapsed="false">
      <c r="B23967" s="0" t="s">
        <v>48</v>
      </c>
    </row>
    <row r="23969" customFormat="false" ht="12.8" hidden="false" customHeight="false" outlineLevel="0" collapsed="false">
      <c r="A23969" s="0" t="s">
        <v>8967</v>
      </c>
      <c r="B23969" s="0" t="str">
        <f aca="false">HYPERLINK("https://lindat.mff.cuni.cz/services/teitok/pdtc10/index.php?action=vallex&amp;frame=v-whsb_606hsa_607", "opláchnout (v-whsb_606hsa_607)")</f>
        <v>opláchnout (v-whsb_606hsa_607)</v>
      </c>
    </row>
    <row r="23970" customFormat="false" ht="12.8" hidden="false" customHeight="false" outlineLevel="0" collapsed="false">
      <c r="B23970" s="0" t="s">
        <v>7</v>
      </c>
    </row>
    <row r="23971" customFormat="false" ht="12.8" hidden="false" customHeight="false" outlineLevel="0" collapsed="false">
      <c r="B23971" s="0" t="s">
        <v>14</v>
      </c>
    </row>
    <row r="23973" customFormat="false" ht="12.8" hidden="false" customHeight="false" outlineLevel="0" collapsed="false">
      <c r="A23973" s="0" t="s">
        <v>8968</v>
      </c>
      <c r="B23973" s="0" t="str">
        <f aca="false">HYPERLINK("https://lindat.mff.cuni.cz/services/teitok/pdtc10/index.php?action=vallex&amp;frame=v-w3134f1", "oplývat (v-w3134f1)")</f>
        <v>oplývat (v-w3134f1)</v>
      </c>
    </row>
    <row r="23974" customFormat="false" ht="12.8" hidden="false" customHeight="false" outlineLevel="0" collapsed="false">
      <c r="B23974" s="0" t="s">
        <v>7</v>
      </c>
      <c r="C23974" s="0" t="s">
        <v>6737</v>
      </c>
      <c r="D23974" s="0" t="s">
        <v>5351</v>
      </c>
      <c r="E23974" s="0" t="s">
        <v>5351</v>
      </c>
      <c r="F23974" s="0" t="s">
        <v>5351</v>
      </c>
    </row>
    <row r="23975" customFormat="false" ht="12.8" hidden="false" customHeight="false" outlineLevel="0" collapsed="false">
      <c r="B23975" s="0" t="s">
        <v>216</v>
      </c>
      <c r="C23975" s="0" t="s">
        <v>5444</v>
      </c>
      <c r="D23975" s="0" t="s">
        <v>567</v>
      </c>
      <c r="E23975" s="0" t="s">
        <v>567</v>
      </c>
      <c r="F23975" s="0" t="s">
        <v>567</v>
      </c>
    </row>
    <row r="23977" customFormat="false" ht="12.8" hidden="false" customHeight="false" outlineLevel="0" collapsed="false">
      <c r="A23977" s="0" t="s">
        <v>8969</v>
      </c>
      <c r="B23977" s="0" t="str">
        <f aca="false">HYPERLINK("https://lindat.mff.cuni.cz/services/teitok/pdtc10/index.php?action=vallex&amp;frame=v-w3136f1", "opodstatňovat (v-w3136f1)")</f>
        <v>opodstatňovat (v-w3136f1)</v>
      </c>
    </row>
    <row r="23978" customFormat="false" ht="12.8" hidden="false" customHeight="false" outlineLevel="0" collapsed="false">
      <c r="B23978" s="0" t="s">
        <v>7</v>
      </c>
    </row>
    <row r="23979" customFormat="false" ht="12.8" hidden="false" customHeight="false" outlineLevel="0" collapsed="false">
      <c r="B23979" s="0" t="s">
        <v>172</v>
      </c>
    </row>
    <row r="23981" customFormat="false" ht="12.8" hidden="false" customHeight="false" outlineLevel="0" collapsed="false">
      <c r="A23981" s="0" t="s">
        <v>8970</v>
      </c>
      <c r="B23981" s="0" t="str">
        <f aca="false">HYPERLINK("https://lindat.mff.cuni.cz/services/teitok/pdtc10/index.php?action=vallex&amp;frame=v-w3138f1", "opomenout (v-w3138f1)")</f>
        <v>opomenout (v-w3138f1)</v>
      </c>
    </row>
    <row r="23982" customFormat="false" ht="12.8" hidden="false" customHeight="false" outlineLevel="0" collapsed="false">
      <c r="B23982" s="0" t="s">
        <v>7</v>
      </c>
      <c r="C23982" s="0" t="s">
        <v>8971</v>
      </c>
      <c r="D23982" s="0" t="s">
        <v>410</v>
      </c>
      <c r="E23982" s="0" t="s">
        <v>410</v>
      </c>
      <c r="F23982" s="0" t="s">
        <v>410</v>
      </c>
    </row>
    <row r="23983" customFormat="false" ht="12.8" hidden="false" customHeight="false" outlineLevel="0" collapsed="false">
      <c r="B23983" s="0" t="s">
        <v>8972</v>
      </c>
      <c r="C23983" s="0" t="s">
        <v>8973</v>
      </c>
      <c r="D23983" s="0" t="s">
        <v>4163</v>
      </c>
      <c r="E23983" s="0" t="s">
        <v>4163</v>
      </c>
      <c r="F23983" s="0" t="s">
        <v>4163</v>
      </c>
    </row>
    <row r="23985" customFormat="false" ht="12.8" hidden="false" customHeight="false" outlineLevel="0" collapsed="false">
      <c r="A23985" s="0" t="s">
        <v>8974</v>
      </c>
      <c r="B23985" s="0" t="str">
        <f aca="false">HYPERLINK("https://lindat.mff.cuni.cz/services/teitok/pdtc10/index.php?action=vallex&amp;frame=v-w10578f2", "opominout (v-w10578f2)")</f>
        <v>opominout (v-w10578f2)</v>
      </c>
    </row>
    <row r="23986" customFormat="false" ht="12.8" hidden="false" customHeight="false" outlineLevel="0" collapsed="false">
      <c r="B23986" s="0" t="s">
        <v>7</v>
      </c>
      <c r="C23986" s="0" t="s">
        <v>309</v>
      </c>
      <c r="D23986" s="0" t="s">
        <v>410</v>
      </c>
      <c r="E23986" s="0" t="s">
        <v>410</v>
      </c>
      <c r="F23986" s="0" t="s">
        <v>410</v>
      </c>
    </row>
    <row r="23987" customFormat="false" ht="12.8" hidden="false" customHeight="false" outlineLevel="0" collapsed="false">
      <c r="B23987" s="0" t="s">
        <v>8972</v>
      </c>
      <c r="C23987" s="0" t="s">
        <v>3860</v>
      </c>
      <c r="D23987" s="0" t="s">
        <v>4163</v>
      </c>
      <c r="E23987" s="0" t="s">
        <v>4163</v>
      </c>
      <c r="F23987" s="0" t="s">
        <v>4163</v>
      </c>
    </row>
    <row r="23989" customFormat="false" ht="12.8" hidden="false" customHeight="false" outlineLevel="0" collapsed="false">
      <c r="A23989" s="0" t="s">
        <v>8975</v>
      </c>
      <c r="B23989" s="0" t="str">
        <f aca="false">HYPERLINK("https://lindat.mff.cuni.cz/services/teitok/pdtc10/index.php?action=vallex&amp;frame=v-w3140f1", "opomíjet (v-w3140f1)")</f>
        <v>opomíjet (v-w3140f1)</v>
      </c>
    </row>
    <row r="23990" customFormat="false" ht="12.8" hidden="false" customHeight="false" outlineLevel="0" collapsed="false">
      <c r="B23990" s="0" t="s">
        <v>7</v>
      </c>
      <c r="C23990" s="0" t="s">
        <v>1758</v>
      </c>
      <c r="D23990" s="0" t="s">
        <v>410</v>
      </c>
      <c r="E23990" s="0" t="s">
        <v>410</v>
      </c>
      <c r="F23990" s="0" t="s">
        <v>410</v>
      </c>
    </row>
    <row r="23991" customFormat="false" ht="12.8" hidden="false" customHeight="false" outlineLevel="0" collapsed="false">
      <c r="B23991" s="0" t="s">
        <v>8972</v>
      </c>
      <c r="C23991" s="0" t="s">
        <v>5458</v>
      </c>
      <c r="D23991" s="0" t="s">
        <v>4163</v>
      </c>
      <c r="E23991" s="0" t="s">
        <v>4163</v>
      </c>
      <c r="F23991" s="0" t="s">
        <v>4163</v>
      </c>
    </row>
    <row r="23993" customFormat="false" ht="12.8" hidden="false" customHeight="false" outlineLevel="0" collapsed="false">
      <c r="A23993" s="0" t="s">
        <v>8976</v>
      </c>
      <c r="B23993" s="0" t="str">
        <f aca="false">HYPERLINK("https://lindat.mff.cuni.cz/services/teitok/pdtc10/index.php?action=vallex&amp;frame=v-w3141f1", "oponovat (v-w3141f1)")</f>
        <v>oponovat (v-w3141f1)</v>
      </c>
    </row>
    <row r="23994" customFormat="false" ht="12.8" hidden="false" customHeight="false" outlineLevel="0" collapsed="false">
      <c r="B23994" s="0" t="s">
        <v>7</v>
      </c>
      <c r="C23994" s="0" t="s">
        <v>8977</v>
      </c>
      <c r="D23994" s="0" t="s">
        <v>351</v>
      </c>
      <c r="E23994" s="0" t="s">
        <v>351</v>
      </c>
      <c r="F23994" s="0" t="s">
        <v>351</v>
      </c>
    </row>
    <row r="23995" customFormat="false" ht="12.8" hidden="false" customHeight="false" outlineLevel="0" collapsed="false">
      <c r="B23995" s="0" t="s">
        <v>8343</v>
      </c>
      <c r="C23995" s="0" t="s">
        <v>8978</v>
      </c>
      <c r="D23995" s="0" t="s">
        <v>7637</v>
      </c>
      <c r="E23995" s="0" t="s">
        <v>7637</v>
      </c>
      <c r="F23995" s="0" t="s">
        <v>7637</v>
      </c>
    </row>
    <row r="23997" customFormat="false" ht="12.8" hidden="false" customHeight="false" outlineLevel="0" collapsed="false">
      <c r="A23997" s="0" t="s">
        <v>8979</v>
      </c>
      <c r="B23997" s="0" t="str">
        <f aca="false">HYPERLINK("https://lindat.mff.cuni.cz/services/teitok/pdtc10/index.php?action=vallex&amp;frame=v-w3141f2", "oponovat (v-w3141f2)")</f>
        <v>oponovat (v-w3141f2)</v>
      </c>
    </row>
    <row r="23998" customFormat="false" ht="12.8" hidden="false" customHeight="false" outlineLevel="0" collapsed="false">
      <c r="B23998" s="0" t="s">
        <v>7</v>
      </c>
      <c r="C23998" s="0" t="s">
        <v>8980</v>
      </c>
    </row>
    <row r="23999" customFormat="false" ht="12.8" hidden="false" customHeight="false" outlineLevel="0" collapsed="false">
      <c r="B23999" s="0" t="s">
        <v>14</v>
      </c>
      <c r="C23999" s="0" t="s">
        <v>356</v>
      </c>
    </row>
    <row r="24001" customFormat="false" ht="12.8" hidden="false" customHeight="false" outlineLevel="0" collapsed="false">
      <c r="A24001" s="0" t="s">
        <v>8981</v>
      </c>
      <c r="B24001" s="0" t="str">
        <f aca="false">HYPERLINK("https://lindat.mff.cuni.cz/services/teitok/pdtc10/index.php?action=vallex&amp;frame=v-w10783f2", "opotřebovat (v-w10783f2)")</f>
        <v>opotřebovat (v-w10783f2)</v>
      </c>
    </row>
    <row r="24002" customFormat="false" ht="12.8" hidden="false" customHeight="false" outlineLevel="0" collapsed="false">
      <c r="B24002" s="0" t="s">
        <v>7</v>
      </c>
    </row>
    <row r="24003" customFormat="false" ht="12.8" hidden="false" customHeight="false" outlineLevel="0" collapsed="false">
      <c r="B24003" s="0" t="s">
        <v>14</v>
      </c>
    </row>
    <row r="24005" customFormat="false" ht="12.8" hidden="false" customHeight="false" outlineLevel="0" collapsed="false">
      <c r="A24005" s="0" t="s">
        <v>8982</v>
      </c>
      <c r="B24005" s="0" t="str">
        <f aca="false">HYPERLINK("https://lindat.mff.cuni.cz/services/teitok/pdtc10/index.php?action=vallex&amp;frame=v-w3143f1", "opouštět (v-w3143f1)")</f>
        <v>opouštět (v-w3143f1)</v>
      </c>
    </row>
    <row r="24006" customFormat="false" ht="12.8" hidden="false" customHeight="false" outlineLevel="0" collapsed="false">
      <c r="B24006" s="0" t="s">
        <v>7</v>
      </c>
      <c r="C24006" s="0" t="s">
        <v>5452</v>
      </c>
      <c r="D24006" s="0" t="s">
        <v>1582</v>
      </c>
      <c r="E24006" s="0" t="s">
        <v>1582</v>
      </c>
      <c r="F24006" s="0" t="s">
        <v>1582</v>
      </c>
    </row>
    <row r="24007" customFormat="false" ht="12.8" hidden="false" customHeight="false" outlineLevel="0" collapsed="false">
      <c r="B24007" s="0" t="s">
        <v>14</v>
      </c>
      <c r="C24007" s="0" t="s">
        <v>8983</v>
      </c>
      <c r="D24007" s="0" t="s">
        <v>115</v>
      </c>
      <c r="E24007" s="0" t="s">
        <v>115</v>
      </c>
      <c r="F24007" s="0" t="s">
        <v>115</v>
      </c>
    </row>
    <row r="24009" customFormat="false" ht="12.8" hidden="false" customHeight="false" outlineLevel="0" collapsed="false">
      <c r="A24009" s="0" t="s">
        <v>8984</v>
      </c>
      <c r="B24009" s="0" t="str">
        <f aca="false">HYPERLINK("https://lindat.mff.cuni.cz/services/teitok/pdtc10/index.php?action=vallex&amp;frame=v-w3143f2_MM", "opouštět (v-w3143f2_MM)")</f>
        <v>opouštět (v-w3143f2_MM)</v>
      </c>
    </row>
    <row r="24010" customFormat="false" ht="12.8" hidden="false" customHeight="false" outlineLevel="0" collapsed="false">
      <c r="B24010" s="0" t="s">
        <v>7</v>
      </c>
    </row>
    <row r="24011" customFormat="false" ht="12.8" hidden="false" customHeight="false" outlineLevel="0" collapsed="false">
      <c r="B24011" s="0" t="s">
        <v>14</v>
      </c>
    </row>
    <row r="24013" customFormat="false" ht="12.8" hidden="false" customHeight="false" outlineLevel="0" collapsed="false">
      <c r="A24013" s="0" t="s">
        <v>8985</v>
      </c>
      <c r="B24013" s="0" t="str">
        <f aca="false">HYPERLINK("https://lindat.mff.cuni.cz/services/teitok/pdtc10/index.php?action=vallex&amp;frame=v-w12263_ZUf1_ZU", "opovrhnout (v-w12263_ZUf1_ZU)")</f>
        <v>opovrhnout (v-w12263_ZUf1_ZU)</v>
      </c>
    </row>
    <row r="24014" customFormat="false" ht="12.8" hidden="false" customHeight="false" outlineLevel="0" collapsed="false">
      <c r="B24014" s="0" t="s">
        <v>7</v>
      </c>
    </row>
    <row r="24015" customFormat="false" ht="12.8" hidden="false" customHeight="false" outlineLevel="0" collapsed="false">
      <c r="B24015" s="0" t="s">
        <v>216</v>
      </c>
    </row>
    <row r="24017" customFormat="false" ht="12.8" hidden="false" customHeight="false" outlineLevel="0" collapsed="false">
      <c r="A24017" s="0" t="s">
        <v>8986</v>
      </c>
      <c r="B24017" s="0" t="str">
        <f aca="false">HYPERLINK("https://lindat.mff.cuni.cz/services/teitok/pdtc10/index.php?action=vallex&amp;frame=v-w10539f2", "opovrhovat (v-w10539f2)")</f>
        <v>opovrhovat (v-w10539f2)</v>
      </c>
    </row>
    <row r="24018" customFormat="false" ht="12.8" hidden="false" customHeight="false" outlineLevel="0" collapsed="false">
      <c r="B24018" s="0" t="s">
        <v>7</v>
      </c>
      <c r="C24018" s="0" t="s">
        <v>191</v>
      </c>
      <c r="D24018" s="0" t="s">
        <v>191</v>
      </c>
      <c r="E24018" s="0" t="s">
        <v>191</v>
      </c>
      <c r="F24018" s="0" t="s">
        <v>191</v>
      </c>
    </row>
    <row r="24019" customFormat="false" ht="12.8" hidden="false" customHeight="false" outlineLevel="0" collapsed="false">
      <c r="B24019" s="0" t="s">
        <v>216</v>
      </c>
      <c r="C24019" s="0" t="s">
        <v>33</v>
      </c>
      <c r="D24019" s="0" t="s">
        <v>155</v>
      </c>
      <c r="E24019" s="0" t="s">
        <v>155</v>
      </c>
      <c r="F24019" s="0" t="s">
        <v>155</v>
      </c>
    </row>
    <row r="24021" customFormat="false" ht="12.8" hidden="false" customHeight="false" outlineLevel="0" collapsed="false">
      <c r="A24021" s="0" t="s">
        <v>8987</v>
      </c>
      <c r="B24021" s="0" t="str">
        <f aca="false">HYPERLINK("https://lindat.mff.cuni.cz/services/teitok/pdtc10/index.php?action=vallex&amp;frame=v-w10933f2", "opozdit (v-w10933f2)")</f>
        <v>opozdit (v-w10933f2)</v>
      </c>
    </row>
    <row r="24022" customFormat="false" ht="12.8" hidden="false" customHeight="false" outlineLevel="0" collapsed="false">
      <c r="B24022" s="0" t="s">
        <v>7</v>
      </c>
      <c r="C24022" s="0" t="s">
        <v>1261</v>
      </c>
      <c r="D24022" s="0" t="s">
        <v>8024</v>
      </c>
      <c r="E24022" s="0" t="s">
        <v>8024</v>
      </c>
      <c r="F24022" s="0" t="s">
        <v>8024</v>
      </c>
    </row>
    <row r="24023" customFormat="false" ht="12.8" hidden="false" customHeight="false" outlineLevel="0" collapsed="false">
      <c r="B24023" s="0" t="s">
        <v>14</v>
      </c>
      <c r="C24023" s="0" t="s">
        <v>4407</v>
      </c>
      <c r="D24023" s="0" t="s">
        <v>8025</v>
      </c>
      <c r="E24023" s="0" t="s">
        <v>8025</v>
      </c>
      <c r="F24023" s="0" t="s">
        <v>8025</v>
      </c>
    </row>
    <row r="24025" customFormat="false" ht="12.8" hidden="false" customHeight="false" outlineLevel="0" collapsed="false">
      <c r="A24025" s="0" t="s">
        <v>8988</v>
      </c>
      <c r="B24025" s="0" t="str">
        <f aca="false">HYPERLINK("https://lindat.mff.cuni.cz/services/teitok/pdtc10/index.php?action=vallex&amp;frame=v-w11420f2", "opozdit se (v-w11420f2)")</f>
        <v>opozdit se (v-w11420f2)</v>
      </c>
    </row>
    <row r="24026" customFormat="false" ht="12.8" hidden="false" customHeight="false" outlineLevel="0" collapsed="false">
      <c r="B24026" s="0" t="s">
        <v>7</v>
      </c>
      <c r="C24026" s="0" t="s">
        <v>8989</v>
      </c>
    </row>
    <row r="24027" customFormat="false" ht="12.8" hidden="false" customHeight="false" outlineLevel="0" collapsed="false">
      <c r="B24027" s="0" t="s">
        <v>8990</v>
      </c>
    </row>
    <row r="24029" customFormat="false" ht="12.8" hidden="false" customHeight="false" outlineLevel="0" collapsed="false">
      <c r="A24029" s="0" t="s">
        <v>8991</v>
      </c>
      <c r="B24029" s="0" t="str">
        <f aca="false">HYPERLINK("https://lindat.mff.cuni.cz/services/teitok/pdtc10/index.php?action=vallex&amp;frame=v-w11420hsa_378", "opozdit se (v-w11420hsa_378)")</f>
        <v>opozdit se (v-w11420hsa_378)</v>
      </c>
    </row>
    <row r="24030" customFormat="false" ht="12.8" hidden="false" customHeight="false" outlineLevel="0" collapsed="false">
      <c r="B24030" s="0" t="s">
        <v>7</v>
      </c>
      <c r="D24030" s="0" t="s">
        <v>2797</v>
      </c>
      <c r="E24030" s="0" t="s">
        <v>2797</v>
      </c>
      <c r="F24030" s="0" t="s">
        <v>2797</v>
      </c>
    </row>
    <row r="24031" customFormat="false" ht="12.8" hidden="false" customHeight="false" outlineLevel="0" collapsed="false">
      <c r="B24031" s="0" t="s">
        <v>548</v>
      </c>
      <c r="D24031" s="0" t="s">
        <v>3628</v>
      </c>
      <c r="E24031" s="0" t="s">
        <v>3628</v>
      </c>
      <c r="F24031" s="0" t="s">
        <v>3628</v>
      </c>
    </row>
    <row r="24033" customFormat="false" ht="12.8" hidden="false" customHeight="false" outlineLevel="0" collapsed="false">
      <c r="A24033" s="0" t="s">
        <v>8992</v>
      </c>
      <c r="B24033" s="0" t="str">
        <f aca="false">HYPERLINK("https://lindat.mff.cuni.cz/services/teitok/pdtc10/index.php?action=vallex&amp;frame=v-w11429f3_ZU", "opožďovat se (v-w11429f3_ZU)")</f>
        <v>opožďovat se (v-w11429f3_ZU)</v>
      </c>
    </row>
    <row r="24034" customFormat="false" ht="12.8" hidden="false" customHeight="false" outlineLevel="0" collapsed="false">
      <c r="B24034" s="0" t="s">
        <v>7</v>
      </c>
      <c r="C24034" s="0" t="s">
        <v>504</v>
      </c>
      <c r="D24034" s="0" t="s">
        <v>2797</v>
      </c>
      <c r="E24034" s="0" t="s">
        <v>2797</v>
      </c>
      <c r="F24034" s="0" t="s">
        <v>2797</v>
      </c>
    </row>
    <row r="24035" customFormat="false" ht="12.8" hidden="false" customHeight="false" outlineLevel="0" collapsed="false">
      <c r="B24035" s="0" t="s">
        <v>8990</v>
      </c>
      <c r="C24035" s="0" t="s">
        <v>89</v>
      </c>
      <c r="D24035" s="0" t="s">
        <v>3628</v>
      </c>
      <c r="E24035" s="0" t="s">
        <v>3628</v>
      </c>
      <c r="F24035" s="0" t="s">
        <v>3628</v>
      </c>
    </row>
    <row r="24037" customFormat="false" ht="12.8" hidden="false" customHeight="false" outlineLevel="0" collapsed="false">
      <c r="A24037" s="0" t="s">
        <v>8992</v>
      </c>
      <c r="B24037" s="0" t="str">
        <f aca="false">HYPERLINK("https://lindat.mff.cuni.cz/services/teitok/pdtc10/index.php?action=vallex&amp;frame=v-w11429f2", "opožďovat se (v-w11429f2) - substituted with v-w11429f3_ZU")</f>
        <v>opožďovat se (v-w11429f2) - substituted with v-w11429f3_ZU</v>
      </c>
    </row>
    <row r="24038" customFormat="false" ht="12.8" hidden="false" customHeight="false" outlineLevel="0" collapsed="false">
      <c r="B24038" s="0" t="s">
        <v>7</v>
      </c>
    </row>
    <row r="24039" customFormat="false" ht="12.8" hidden="false" customHeight="false" outlineLevel="0" collapsed="false">
      <c r="B24039" s="0" t="s">
        <v>8990</v>
      </c>
    </row>
    <row r="24041" customFormat="false" ht="12.8" hidden="false" customHeight="false" outlineLevel="0" collapsed="false">
      <c r="A24041" s="0" t="s">
        <v>8993</v>
      </c>
      <c r="B24041" s="0" t="str">
        <f aca="false">HYPERLINK("https://lindat.mff.cuni.cz/services/teitok/pdtc10/index.php?action=vallex&amp;frame=v-whsb_277hsa_278", "opracovat (v-whsb_277hsa_278)")</f>
        <v>opracovat (v-whsb_277hsa_278)</v>
      </c>
    </row>
    <row r="24042" customFormat="false" ht="12.8" hidden="false" customHeight="false" outlineLevel="0" collapsed="false">
      <c r="B24042" s="0" t="s">
        <v>7</v>
      </c>
    </row>
    <row r="24043" customFormat="false" ht="12.8" hidden="false" customHeight="false" outlineLevel="0" collapsed="false">
      <c r="B24043" s="0" t="s">
        <v>14</v>
      </c>
    </row>
    <row r="24045" customFormat="false" ht="12.8" hidden="false" customHeight="false" outlineLevel="0" collapsed="false">
      <c r="A24045" s="0" t="s">
        <v>8994</v>
      </c>
      <c r="B24045" s="0" t="str">
        <f aca="false">HYPERLINK("https://lindat.mff.cuni.cz/services/teitok/pdtc10/index.php?action=vallex&amp;frame=v-w10177f4", "opracovávat (v-w10177f4)")</f>
        <v>opracovávat (v-w10177f4)</v>
      </c>
    </row>
    <row r="24046" customFormat="false" ht="12.8" hidden="false" customHeight="false" outlineLevel="0" collapsed="false">
      <c r="B24046" s="0" t="s">
        <v>7</v>
      </c>
      <c r="D24046" s="0" t="s">
        <v>184</v>
      </c>
      <c r="E24046" s="0" t="s">
        <v>184</v>
      </c>
      <c r="F24046" s="0" t="s">
        <v>184</v>
      </c>
    </row>
    <row r="24047" customFormat="false" ht="12.8" hidden="false" customHeight="false" outlineLevel="0" collapsed="false">
      <c r="B24047" s="0" t="s">
        <v>14</v>
      </c>
      <c r="C24047" s="0" t="s">
        <v>155</v>
      </c>
      <c r="D24047" s="0" t="s">
        <v>155</v>
      </c>
      <c r="E24047" s="0" t="s">
        <v>155</v>
      </c>
      <c r="F24047" s="0" t="s">
        <v>155</v>
      </c>
    </row>
    <row r="24049" customFormat="false" ht="12.8" hidden="false" customHeight="false" outlineLevel="0" collapsed="false">
      <c r="A24049" s="0" t="s">
        <v>8995</v>
      </c>
      <c r="B24049" s="0" t="str">
        <f aca="false">HYPERLINK("https://lindat.mff.cuni.cz/services/teitok/pdtc10/index.php?action=vallex&amp;frame=v-w3147f3_ZU", "opravit (v-w3147f3_ZU)")</f>
        <v>opravit (v-w3147f3_ZU)</v>
      </c>
    </row>
    <row r="24050" customFormat="false" ht="12.8" hidden="false" customHeight="false" outlineLevel="0" collapsed="false">
      <c r="B24050" s="0" t="s">
        <v>7</v>
      </c>
      <c r="C24050" s="0" t="s">
        <v>108</v>
      </c>
      <c r="D24050" s="0" t="s">
        <v>8996</v>
      </c>
      <c r="E24050" s="0" t="s">
        <v>8996</v>
      </c>
      <c r="F24050" s="0" t="s">
        <v>8996</v>
      </c>
    </row>
    <row r="24051" customFormat="false" ht="12.8" hidden="false" customHeight="false" outlineLevel="0" collapsed="false">
      <c r="B24051" s="0" t="s">
        <v>14</v>
      </c>
      <c r="C24051" s="0" t="s">
        <v>159</v>
      </c>
      <c r="D24051" s="0" t="s">
        <v>8997</v>
      </c>
      <c r="E24051" s="0" t="s">
        <v>8997</v>
      </c>
      <c r="F24051" s="0" t="s">
        <v>8997</v>
      </c>
    </row>
    <row r="24052" customFormat="false" ht="12.8" hidden="false" customHeight="false" outlineLevel="0" collapsed="false">
      <c r="B24052" s="0" t="s">
        <v>4885</v>
      </c>
      <c r="C24052" s="0" t="s">
        <v>1234</v>
      </c>
      <c r="D24052" s="0" t="s">
        <v>39</v>
      </c>
      <c r="E24052" s="0" t="s">
        <v>39</v>
      </c>
      <c r="F24052" s="0" t="s">
        <v>39</v>
      </c>
    </row>
    <row r="24053" customFormat="false" ht="12.8" hidden="false" customHeight="false" outlineLevel="0" collapsed="false">
      <c r="B24053" s="0" t="s">
        <v>35</v>
      </c>
      <c r="C24053" s="0" t="s">
        <v>6213</v>
      </c>
      <c r="D24053" s="0" t="s">
        <v>36</v>
      </c>
      <c r="E24053" s="0" t="s">
        <v>36</v>
      </c>
      <c r="F24053" s="0" t="s">
        <v>36</v>
      </c>
    </row>
    <row r="24055" customFormat="false" ht="12.8" hidden="false" customHeight="false" outlineLevel="0" collapsed="false">
      <c r="A24055" s="0" t="s">
        <v>8995</v>
      </c>
      <c r="B24055" s="0" t="str">
        <f aca="false">HYPERLINK("https://lindat.mff.cuni.cz/services/teitok/pdtc10/index.php?action=vallex&amp;frame=v-w3147f2", "opravit (v-w3147f2) - substituted with v-w3147f3_ZU")</f>
        <v>opravit (v-w3147f2) - substituted with v-w3147f3_ZU</v>
      </c>
    </row>
    <row r="24056" customFormat="false" ht="12.8" hidden="false" customHeight="false" outlineLevel="0" collapsed="false">
      <c r="B24056" s="0" t="s">
        <v>7</v>
      </c>
      <c r="C24056" s="0" t="s">
        <v>21</v>
      </c>
    </row>
    <row r="24057" customFormat="false" ht="12.8" hidden="false" customHeight="false" outlineLevel="0" collapsed="false">
      <c r="B24057" s="0" t="s">
        <v>14</v>
      </c>
      <c r="C24057" s="0" t="s">
        <v>5091</v>
      </c>
    </row>
    <row r="24058" customFormat="false" ht="12.8" hidden="false" customHeight="false" outlineLevel="0" collapsed="false">
      <c r="B24058" s="0" t="s">
        <v>4885</v>
      </c>
      <c r="C24058" s="0" t="s">
        <v>1234</v>
      </c>
    </row>
    <row r="24059" customFormat="false" ht="12.8" hidden="false" customHeight="false" outlineLevel="0" collapsed="false">
      <c r="B24059" s="0" t="s">
        <v>35</v>
      </c>
    </row>
    <row r="24061" customFormat="false" ht="12.8" hidden="false" customHeight="false" outlineLevel="0" collapsed="false">
      <c r="A24061" s="0" t="s">
        <v>8998</v>
      </c>
      <c r="B24061" s="0" t="str">
        <f aca="false">HYPERLINK("https://lindat.mff.cuni.cz/services/teitok/pdtc10/index.php?action=vallex&amp;frame=v-w3147f1", "opravit (v-w3147f1)")</f>
        <v>opravit (v-w3147f1)</v>
      </c>
    </row>
    <row r="24062" customFormat="false" ht="12.8" hidden="false" customHeight="false" outlineLevel="0" collapsed="false">
      <c r="B24062" s="0" t="s">
        <v>7</v>
      </c>
      <c r="C24062" s="0" t="s">
        <v>3918</v>
      </c>
      <c r="D24062" s="0" t="s">
        <v>88</v>
      </c>
      <c r="E24062" s="0" t="s">
        <v>88</v>
      </c>
      <c r="F24062" s="0" t="s">
        <v>88</v>
      </c>
    </row>
    <row r="24063" customFormat="false" ht="12.8" hidden="false" customHeight="false" outlineLevel="0" collapsed="false">
      <c r="B24063" s="0" t="s">
        <v>14</v>
      </c>
      <c r="C24063" s="0" t="s">
        <v>2739</v>
      </c>
      <c r="D24063" s="0" t="s">
        <v>466</v>
      </c>
      <c r="E24063" s="0" t="s">
        <v>466</v>
      </c>
      <c r="F24063" s="0" t="s">
        <v>466</v>
      </c>
    </row>
    <row r="24065" customFormat="false" ht="12.8" hidden="false" customHeight="false" outlineLevel="0" collapsed="false">
      <c r="A24065" s="0" t="s">
        <v>8999</v>
      </c>
      <c r="B24065" s="0" t="str">
        <f aca="false">HYPERLINK("https://lindat.mff.cuni.cz/services/teitok/pdtc10/index.php?action=vallex&amp;frame=v-w3153f1", "opravovat (v-w3153f1)")</f>
        <v>opravovat (v-w3153f1)</v>
      </c>
    </row>
    <row r="24066" customFormat="false" ht="12.8" hidden="false" customHeight="false" outlineLevel="0" collapsed="false">
      <c r="B24066" s="0" t="s">
        <v>7</v>
      </c>
      <c r="C24066" s="0" t="s">
        <v>31</v>
      </c>
      <c r="D24066" s="0" t="s">
        <v>3610</v>
      </c>
      <c r="E24066" s="0" t="s">
        <v>3610</v>
      </c>
      <c r="F24066" s="0" t="s">
        <v>3610</v>
      </c>
    </row>
    <row r="24067" customFormat="false" ht="12.8" hidden="false" customHeight="false" outlineLevel="0" collapsed="false">
      <c r="B24067" s="0" t="s">
        <v>14</v>
      </c>
      <c r="C24067" s="0" t="s">
        <v>152</v>
      </c>
      <c r="D24067" s="0" t="s">
        <v>4884</v>
      </c>
      <c r="E24067" s="0" t="s">
        <v>4884</v>
      </c>
      <c r="F24067" s="0" t="s">
        <v>4884</v>
      </c>
    </row>
    <row r="24068" customFormat="false" ht="12.8" hidden="false" customHeight="false" outlineLevel="0" collapsed="false">
      <c r="B24068" s="0" t="s">
        <v>4885</v>
      </c>
    </row>
    <row r="24070" customFormat="false" ht="12.8" hidden="false" customHeight="false" outlineLevel="0" collapsed="false">
      <c r="A24070" s="0" t="s">
        <v>9000</v>
      </c>
      <c r="B24070" s="0" t="str">
        <f aca="false">HYPERLINK("https://lindat.mff.cuni.cz/services/teitok/pdtc10/index.php?action=vallex&amp;frame=v-w3153f2", "opravovat (v-w3153f2)")</f>
        <v>opravovat (v-w3153f2)</v>
      </c>
    </row>
    <row r="24071" customFormat="false" ht="12.8" hidden="false" customHeight="false" outlineLevel="0" collapsed="false">
      <c r="B24071" s="0" t="s">
        <v>7</v>
      </c>
      <c r="C24071" s="0" t="s">
        <v>623</v>
      </c>
      <c r="D24071" s="0" t="s">
        <v>88</v>
      </c>
      <c r="E24071" s="0" t="s">
        <v>88</v>
      </c>
      <c r="F24071" s="0" t="s">
        <v>88</v>
      </c>
    </row>
    <row r="24072" customFormat="false" ht="12.8" hidden="false" customHeight="false" outlineLevel="0" collapsed="false">
      <c r="B24072" s="0" t="s">
        <v>14</v>
      </c>
      <c r="C24072" s="0" t="s">
        <v>195</v>
      </c>
      <c r="D24072" s="0" t="s">
        <v>466</v>
      </c>
      <c r="E24072" s="0" t="s">
        <v>466</v>
      </c>
      <c r="F24072" s="0" t="s">
        <v>466</v>
      </c>
    </row>
    <row r="24074" customFormat="false" ht="12.8" hidden="false" customHeight="false" outlineLevel="0" collapsed="false">
      <c r="A24074" s="0" t="s">
        <v>9001</v>
      </c>
      <c r="B24074" s="0" t="str">
        <f aca="false">HYPERLINK("https://lindat.mff.cuni.cz/services/teitok/pdtc10/index.php?action=vallex&amp;frame=v-w3153hsa_366", "opravovat (v-w3153hsa_366)")</f>
        <v>opravovat (v-w3153hsa_366)</v>
      </c>
    </row>
    <row r="24075" customFormat="false" ht="12.8" hidden="false" customHeight="false" outlineLevel="0" collapsed="false">
      <c r="B24075" s="0" t="s">
        <v>7</v>
      </c>
      <c r="C24075" s="0" t="s">
        <v>569</v>
      </c>
      <c r="D24075" s="0" t="s">
        <v>3610</v>
      </c>
      <c r="E24075" s="0" t="s">
        <v>3610</v>
      </c>
      <c r="F24075" s="0" t="s">
        <v>3610</v>
      </c>
    </row>
    <row r="24076" customFormat="false" ht="12.8" hidden="false" customHeight="false" outlineLevel="0" collapsed="false">
      <c r="B24076" s="0" t="s">
        <v>14</v>
      </c>
      <c r="D24076" s="0" t="s">
        <v>4884</v>
      </c>
      <c r="E24076" s="0" t="s">
        <v>4884</v>
      </c>
      <c r="F24076" s="0" t="s">
        <v>4884</v>
      </c>
    </row>
    <row r="24078" customFormat="false" ht="12.8" hidden="false" customHeight="false" outlineLevel="0" collapsed="false">
      <c r="A24078" s="0" t="s">
        <v>9002</v>
      </c>
      <c r="B24078" s="0" t="str">
        <f aca="false">HYPERLINK("https://lindat.mff.cuni.cz/services/teitok/pdtc10/index.php?action=vallex&amp;frame=v-w3152f1", "opravňovat (v-w3152f1)")</f>
        <v>opravňovat (v-w3152f1)</v>
      </c>
    </row>
    <row r="24079" customFormat="false" ht="12.8" hidden="false" customHeight="false" outlineLevel="0" collapsed="false">
      <c r="B24079" s="0" t="s">
        <v>7</v>
      </c>
      <c r="C24079" s="0" t="s">
        <v>9003</v>
      </c>
      <c r="D24079" s="0" t="s">
        <v>9004</v>
      </c>
      <c r="E24079" s="0" t="s">
        <v>9004</v>
      </c>
      <c r="F24079" s="0" t="s">
        <v>9004</v>
      </c>
    </row>
    <row r="24080" customFormat="false" ht="12.8" hidden="false" customHeight="false" outlineLevel="0" collapsed="false">
      <c r="B24080" s="0" t="s">
        <v>9005</v>
      </c>
      <c r="C24080" s="0" t="s">
        <v>9006</v>
      </c>
      <c r="D24080" s="0" t="s">
        <v>9007</v>
      </c>
      <c r="E24080" s="0" t="s">
        <v>9007</v>
      </c>
      <c r="F24080" s="0" t="s">
        <v>9007</v>
      </c>
    </row>
    <row r="24081" customFormat="false" ht="12.8" hidden="false" customHeight="false" outlineLevel="0" collapsed="false">
      <c r="B24081" s="0" t="s">
        <v>81</v>
      </c>
      <c r="C24081" s="0" t="s">
        <v>9008</v>
      </c>
      <c r="D24081" s="0" t="s">
        <v>9009</v>
      </c>
      <c r="E24081" s="0" t="s">
        <v>9009</v>
      </c>
      <c r="F24081" s="0" t="s">
        <v>9009</v>
      </c>
    </row>
    <row r="24083" customFormat="false" ht="12.8" hidden="false" customHeight="false" outlineLevel="0" collapsed="false">
      <c r="A24083" s="0" t="s">
        <v>9010</v>
      </c>
      <c r="B24083" s="0" t="str">
        <f aca="false">HYPERLINK("https://lindat.mff.cuni.cz/services/teitok/pdtc10/index.php?action=vallex&amp;frame=v-w3152f2", "opravňovat (v-w3152f2)")</f>
        <v>opravňovat (v-w3152f2)</v>
      </c>
    </row>
    <row r="24084" customFormat="false" ht="12.8" hidden="false" customHeight="false" outlineLevel="0" collapsed="false">
      <c r="B24084" s="0" t="s">
        <v>7</v>
      </c>
      <c r="C24084" s="0" t="s">
        <v>149</v>
      </c>
    </row>
    <row r="24085" customFormat="false" ht="12.8" hidden="false" customHeight="false" outlineLevel="0" collapsed="false">
      <c r="B24085" s="0" t="s">
        <v>14</v>
      </c>
      <c r="C24085" s="0" t="s">
        <v>466</v>
      </c>
    </row>
    <row r="24087" customFormat="false" ht="12.8" hidden="false" customHeight="false" outlineLevel="0" collapsed="false">
      <c r="A24087" s="0" t="s">
        <v>9011</v>
      </c>
      <c r="B24087" s="0" t="str">
        <f aca="false">HYPERLINK("https://lindat.mff.cuni.cz/services/teitok/pdtc10/index.php?action=vallex&amp;frame=v-w10959f2", "oprašovat (v-w10959f2)")</f>
        <v>oprašovat (v-w10959f2)</v>
      </c>
    </row>
    <row r="24088" customFormat="false" ht="12.8" hidden="false" customHeight="false" outlineLevel="0" collapsed="false">
      <c r="B24088" s="0" t="s">
        <v>7</v>
      </c>
      <c r="C24088" s="0" t="s">
        <v>191</v>
      </c>
      <c r="D24088" s="0" t="s">
        <v>7701</v>
      </c>
      <c r="E24088" s="0" t="s">
        <v>7701</v>
      </c>
      <c r="F24088" s="0" t="s">
        <v>7701</v>
      </c>
    </row>
    <row r="24089" customFormat="false" ht="12.8" hidden="false" customHeight="false" outlineLevel="0" collapsed="false">
      <c r="B24089" s="0" t="s">
        <v>14</v>
      </c>
      <c r="C24089" s="0" t="s">
        <v>47</v>
      </c>
      <c r="D24089" s="0" t="s">
        <v>7703</v>
      </c>
      <c r="E24089" s="0" t="s">
        <v>7703</v>
      </c>
      <c r="F24089" s="0" t="s">
        <v>7703</v>
      </c>
    </row>
    <row r="24091" customFormat="false" ht="12.8" hidden="false" customHeight="false" outlineLevel="0" collapsed="false">
      <c r="A24091" s="0" t="s">
        <v>9012</v>
      </c>
      <c r="B24091" s="0" t="str">
        <f aca="false">HYPERLINK("https://lindat.mff.cuni.cz/services/teitok/pdtc10/index.php?action=vallex&amp;frame=v-w3154f1", "oprostit (v-w3154f1)")</f>
        <v>oprostit (v-w3154f1)</v>
      </c>
    </row>
    <row r="24092" customFormat="false" ht="12.8" hidden="false" customHeight="false" outlineLevel="0" collapsed="false">
      <c r="B24092" s="0" t="s">
        <v>7</v>
      </c>
      <c r="C24092" s="0" t="s">
        <v>4976</v>
      </c>
      <c r="D24092" s="0" t="s">
        <v>2736</v>
      </c>
      <c r="E24092" s="0" t="s">
        <v>2736</v>
      </c>
      <c r="F24092" s="0" t="s">
        <v>2736</v>
      </c>
    </row>
    <row r="24093" customFormat="false" ht="12.8" hidden="false" customHeight="false" outlineLevel="0" collapsed="false">
      <c r="B24093" s="0" t="s">
        <v>14</v>
      </c>
      <c r="D24093" s="0" t="s">
        <v>9013</v>
      </c>
      <c r="E24093" s="0" t="s">
        <v>9013</v>
      </c>
      <c r="F24093" s="0" t="s">
        <v>9013</v>
      </c>
    </row>
    <row r="24094" customFormat="false" ht="12.8" hidden="false" customHeight="false" outlineLevel="0" collapsed="false">
      <c r="B24094" s="0" t="s">
        <v>1592</v>
      </c>
      <c r="C24094" s="0" t="s">
        <v>1729</v>
      </c>
      <c r="D24094" s="0" t="s">
        <v>9014</v>
      </c>
      <c r="E24094" s="0" t="s">
        <v>9014</v>
      </c>
      <c r="F24094" s="0" t="s">
        <v>9014</v>
      </c>
    </row>
    <row r="24096" customFormat="false" ht="12.8" hidden="false" customHeight="false" outlineLevel="0" collapsed="false">
      <c r="A24096" s="0" t="s">
        <v>9015</v>
      </c>
      <c r="B24096" s="0" t="str">
        <f aca="false">HYPERLINK("https://lindat.mff.cuni.cz/services/teitok/pdtc10/index.php?action=vallex&amp;frame=v-w3151f1", "oprávnit (v-w3151f1)")</f>
        <v>oprávnit (v-w3151f1)</v>
      </c>
    </row>
    <row r="24097" customFormat="false" ht="12.8" hidden="false" customHeight="false" outlineLevel="0" collapsed="false">
      <c r="B24097" s="0" t="s">
        <v>7</v>
      </c>
      <c r="C24097" s="0" t="s">
        <v>2736</v>
      </c>
      <c r="D24097" s="0" t="s">
        <v>2629</v>
      </c>
      <c r="E24097" s="0" t="s">
        <v>2629</v>
      </c>
      <c r="F24097" s="0" t="s">
        <v>2629</v>
      </c>
    </row>
    <row r="24098" customFormat="false" ht="12.8" hidden="false" customHeight="false" outlineLevel="0" collapsed="false">
      <c r="B24098" s="0" t="s">
        <v>9016</v>
      </c>
      <c r="C24098" s="0" t="s">
        <v>461</v>
      </c>
      <c r="D24098" s="0" t="s">
        <v>2632</v>
      </c>
      <c r="E24098" s="0" t="s">
        <v>2632</v>
      </c>
      <c r="F24098" s="0" t="s">
        <v>2632</v>
      </c>
    </row>
    <row r="24099" customFormat="false" ht="12.8" hidden="false" customHeight="false" outlineLevel="0" collapsed="false">
      <c r="B24099" s="0" t="s">
        <v>81</v>
      </c>
      <c r="C24099" s="0" t="s">
        <v>9017</v>
      </c>
      <c r="D24099" s="0" t="s">
        <v>2634</v>
      </c>
      <c r="E24099" s="0" t="s">
        <v>2634</v>
      </c>
      <c r="F24099" s="0" t="s">
        <v>2634</v>
      </c>
    </row>
    <row r="24101" customFormat="false" ht="12.8" hidden="false" customHeight="false" outlineLevel="0" collapsed="false">
      <c r="A24101" s="0" t="s">
        <v>9018</v>
      </c>
      <c r="B24101" s="0" t="str">
        <f aca="false">HYPERLINK("https://lindat.mff.cuni.cz/services/teitok/pdtc10/index.php?action=vallex&amp;frame=v-w3151hsa_797", "oprávnit (v-w3151hsa_797)")</f>
        <v>oprávnit (v-w3151hsa_797)</v>
      </c>
    </row>
    <row r="24102" customFormat="false" ht="12.8" hidden="false" customHeight="false" outlineLevel="0" collapsed="false">
      <c r="B24102" s="0" t="s">
        <v>7</v>
      </c>
      <c r="C24102" s="0" t="s">
        <v>149</v>
      </c>
    </row>
    <row r="24103" customFormat="false" ht="12.8" hidden="false" customHeight="false" outlineLevel="0" collapsed="false">
      <c r="B24103" s="0" t="s">
        <v>14</v>
      </c>
      <c r="C24103" s="0" t="s">
        <v>466</v>
      </c>
    </row>
    <row r="24105" customFormat="false" ht="12.8" hidden="false" customHeight="false" outlineLevel="0" collapsed="false">
      <c r="A24105" s="0" t="s">
        <v>9019</v>
      </c>
      <c r="B24105" s="0" t="str">
        <f aca="false">HYPERLINK("https://lindat.mff.cuni.cz/services/teitok/pdtc10/index.php?action=vallex&amp;frame=v-w3145f1", "oprášit (v-w3145f1)")</f>
        <v>oprášit (v-w3145f1)</v>
      </c>
    </row>
    <row r="24106" customFormat="false" ht="12.8" hidden="false" customHeight="false" outlineLevel="0" collapsed="false">
      <c r="B24106" s="0" t="s">
        <v>7</v>
      </c>
    </row>
    <row r="24107" customFormat="false" ht="12.8" hidden="false" customHeight="false" outlineLevel="0" collapsed="false">
      <c r="B24107" s="0" t="s">
        <v>14</v>
      </c>
    </row>
    <row r="24109" customFormat="false" ht="12.8" hidden="false" customHeight="false" outlineLevel="0" collapsed="false">
      <c r="A24109" s="0" t="s">
        <v>9020</v>
      </c>
      <c r="B24109" s="0" t="str">
        <f aca="false">HYPERLINK("https://lindat.mff.cuni.cz/services/teitok/pdtc10/index.php?action=vallex&amp;frame=v-w3145f2", "oprášit (v-w3145f2)")</f>
        <v>oprášit (v-w3145f2)</v>
      </c>
    </row>
    <row r="24110" customFormat="false" ht="12.8" hidden="false" customHeight="false" outlineLevel="0" collapsed="false">
      <c r="B24110" s="0" t="s">
        <v>7</v>
      </c>
    </row>
    <row r="24111" customFormat="false" ht="12.8" hidden="false" customHeight="false" outlineLevel="0" collapsed="false">
      <c r="B24111" s="0" t="s">
        <v>14</v>
      </c>
    </row>
    <row r="24113" customFormat="false" ht="12.8" hidden="false" customHeight="false" outlineLevel="0" collapsed="false">
      <c r="A24113" s="0" t="s">
        <v>9021</v>
      </c>
      <c r="B24113" s="0" t="str">
        <f aca="false">HYPERLINK("https://lindat.mff.cuni.cz/services/teitok/pdtc10/index.php?action=vallex&amp;frame=v-w11044f3", "opsat (v-w11044f3)")</f>
        <v>opsat (v-w11044f3)</v>
      </c>
    </row>
    <row r="24114" customFormat="false" ht="12.8" hidden="false" customHeight="false" outlineLevel="0" collapsed="false">
      <c r="B24114" s="0" t="s">
        <v>7</v>
      </c>
    </row>
    <row r="24115" customFormat="false" ht="12.8" hidden="false" customHeight="false" outlineLevel="0" collapsed="false">
      <c r="B24115" s="0" t="s">
        <v>14</v>
      </c>
    </row>
    <row r="24116" customFormat="false" ht="12.8" hidden="false" customHeight="false" outlineLevel="0" collapsed="false">
      <c r="B24116" s="0" t="s">
        <v>441</v>
      </c>
    </row>
    <row r="24118" customFormat="false" ht="12.8" hidden="false" customHeight="false" outlineLevel="0" collapsed="false">
      <c r="A24118" s="0" t="s">
        <v>9022</v>
      </c>
      <c r="B24118" s="0" t="str">
        <f aca="false">HYPERLINK("https://lindat.mff.cuni.cz/services/teitok/pdtc10/index.php?action=vallex&amp;frame=v-w11044f4", "opsat (v-w11044f4)")</f>
        <v>opsat (v-w11044f4)</v>
      </c>
    </row>
    <row r="24119" customFormat="false" ht="12.8" hidden="false" customHeight="false" outlineLevel="0" collapsed="false">
      <c r="B24119" s="0" t="s">
        <v>7</v>
      </c>
      <c r="C24119" s="0" t="s">
        <v>191</v>
      </c>
      <c r="D24119" s="0" t="s">
        <v>460</v>
      </c>
      <c r="E24119" s="0" t="s">
        <v>460</v>
      </c>
      <c r="F24119" s="0" t="s">
        <v>460</v>
      </c>
    </row>
    <row r="24120" customFormat="false" ht="12.8" hidden="false" customHeight="false" outlineLevel="0" collapsed="false">
      <c r="B24120" s="0" t="s">
        <v>14</v>
      </c>
      <c r="C24120" s="0" t="s">
        <v>155</v>
      </c>
      <c r="D24120" s="0" t="s">
        <v>173</v>
      </c>
      <c r="E24120" s="0" t="s">
        <v>173</v>
      </c>
      <c r="F24120" s="0" t="s">
        <v>173</v>
      </c>
    </row>
    <row r="24122" customFormat="false" ht="12.8" hidden="false" customHeight="false" outlineLevel="0" collapsed="false">
      <c r="A24122" s="0" t="s">
        <v>9023</v>
      </c>
      <c r="B24122" s="0" t="str">
        <f aca="false">HYPERLINK("https://lindat.mff.cuni.cz/services/teitok/pdtc10/index.php?action=vallex&amp;frame=v-w3158f1", "optat se (v-w3158f1)")</f>
        <v>optat se (v-w3158f1)</v>
      </c>
    </row>
    <row r="24123" customFormat="false" ht="12.8" hidden="false" customHeight="false" outlineLevel="0" collapsed="false">
      <c r="B24123" s="0" t="s">
        <v>7</v>
      </c>
      <c r="D24123" s="0" t="s">
        <v>2534</v>
      </c>
      <c r="E24123" s="0" t="s">
        <v>2534</v>
      </c>
      <c r="F24123" s="0" t="s">
        <v>2534</v>
      </c>
    </row>
    <row r="24124" customFormat="false" ht="12.8" hidden="false" customHeight="false" outlineLevel="0" collapsed="false">
      <c r="B24124" s="0" t="s">
        <v>9024</v>
      </c>
      <c r="D24124" s="0" t="s">
        <v>2537</v>
      </c>
      <c r="E24124" s="0" t="s">
        <v>2537</v>
      </c>
      <c r="F24124" s="0" t="s">
        <v>2537</v>
      </c>
    </row>
    <row r="24125" customFormat="false" ht="12.8" hidden="false" customHeight="false" outlineLevel="0" collapsed="false">
      <c r="B24125" s="0" t="s">
        <v>81</v>
      </c>
      <c r="D24125" s="0" t="s">
        <v>2540</v>
      </c>
      <c r="E24125" s="0" t="s">
        <v>2540</v>
      </c>
      <c r="F24125" s="0" t="s">
        <v>2540</v>
      </c>
    </row>
    <row r="24127" customFormat="false" ht="12.8" hidden="false" customHeight="false" outlineLevel="0" collapsed="false">
      <c r="A24127" s="0" t="s">
        <v>9025</v>
      </c>
      <c r="B24127" s="0" t="str">
        <f aca="false">HYPERLINK("https://lindat.mff.cuni.cz/services/teitok/pdtc10/index.php?action=vallex&amp;frame=v-w3160f1", "optimalizovat (v-w3160f1)")</f>
        <v>optimalizovat (v-w3160f1)</v>
      </c>
    </row>
    <row r="24128" customFormat="false" ht="12.8" hidden="false" customHeight="false" outlineLevel="0" collapsed="false">
      <c r="B24128" s="0" t="s">
        <v>7</v>
      </c>
    </row>
    <row r="24129" customFormat="false" ht="12.8" hidden="false" customHeight="false" outlineLevel="0" collapsed="false">
      <c r="B24129" s="0" t="s">
        <v>14</v>
      </c>
    </row>
    <row r="24131" customFormat="false" ht="12.8" hidden="false" customHeight="false" outlineLevel="0" collapsed="false">
      <c r="A24131" s="0" t="s">
        <v>9026</v>
      </c>
      <c r="B24131" s="0" t="str">
        <f aca="false">HYPERLINK("https://lindat.mff.cuni.cz/services/teitok/pdtc10/index.php?action=vallex&amp;frame=v-w3161f1", "opustit (v-w3161f1)")</f>
        <v>opustit (v-w3161f1)</v>
      </c>
    </row>
    <row r="24132" customFormat="false" ht="12.8" hidden="false" customHeight="false" outlineLevel="0" collapsed="false">
      <c r="B24132" s="0" t="s">
        <v>7</v>
      </c>
      <c r="C24132" s="0" t="s">
        <v>9027</v>
      </c>
      <c r="D24132" s="0" t="s">
        <v>1582</v>
      </c>
      <c r="E24132" s="0" t="s">
        <v>1582</v>
      </c>
      <c r="F24132" s="0" t="s">
        <v>1582</v>
      </c>
    </row>
    <row r="24133" customFormat="false" ht="12.8" hidden="false" customHeight="false" outlineLevel="0" collapsed="false">
      <c r="B24133" s="0" t="s">
        <v>14</v>
      </c>
      <c r="C24133" s="0" t="s">
        <v>8097</v>
      </c>
      <c r="D24133" s="0" t="s">
        <v>115</v>
      </c>
      <c r="E24133" s="0" t="s">
        <v>115</v>
      </c>
      <c r="F24133" s="0" t="s">
        <v>115</v>
      </c>
    </row>
    <row r="24135" customFormat="false" ht="12.8" hidden="false" customHeight="false" outlineLevel="0" collapsed="false">
      <c r="A24135" s="0" t="s">
        <v>9028</v>
      </c>
      <c r="B24135" s="0" t="str">
        <f aca="false">HYPERLINK("https://lindat.mff.cuni.cz/services/teitok/pdtc10/index.php?action=vallex&amp;frame=v-w3161f2", "opustit (v-w3161f2)")</f>
        <v>opustit (v-w3161f2)</v>
      </c>
    </row>
    <row r="24136" customFormat="false" ht="12.8" hidden="false" customHeight="false" outlineLevel="0" collapsed="false">
      <c r="B24136" s="0" t="s">
        <v>7</v>
      </c>
      <c r="C24136" s="0" t="s">
        <v>9029</v>
      </c>
      <c r="D24136" s="0" t="s">
        <v>1399</v>
      </c>
      <c r="E24136" s="0" t="s">
        <v>1399</v>
      </c>
      <c r="F24136" s="0" t="s">
        <v>1399</v>
      </c>
    </row>
    <row r="24137" customFormat="false" ht="12.8" hidden="false" customHeight="false" outlineLevel="0" collapsed="false">
      <c r="B24137" s="0" t="s">
        <v>14</v>
      </c>
      <c r="C24137" s="0" t="s">
        <v>9030</v>
      </c>
      <c r="D24137" s="0" t="s">
        <v>1401</v>
      </c>
      <c r="E24137" s="0" t="s">
        <v>1401</v>
      </c>
      <c r="F24137" s="0" t="s">
        <v>1401</v>
      </c>
    </row>
    <row r="24139" customFormat="false" ht="12.8" hidden="false" customHeight="false" outlineLevel="0" collapsed="false">
      <c r="A24139" s="0" t="s">
        <v>9031</v>
      </c>
      <c r="B24139" s="0" t="str">
        <f aca="false">HYPERLINK("https://lindat.mff.cuni.cz/services/teitok/pdtc10/index.php?action=vallex&amp;frame=v-w3161f3_MM", "opustit (v-w3161f3_MM)")</f>
        <v>opustit (v-w3161f3_MM)</v>
      </c>
    </row>
    <row r="24140" customFormat="false" ht="12.8" hidden="false" customHeight="false" outlineLevel="0" collapsed="false">
      <c r="B24140" s="0" t="s">
        <v>7</v>
      </c>
    </row>
    <row r="24141" customFormat="false" ht="12.8" hidden="false" customHeight="false" outlineLevel="0" collapsed="false">
      <c r="B24141" s="0" t="s">
        <v>14</v>
      </c>
    </row>
    <row r="24143" customFormat="false" ht="12.8" hidden="false" customHeight="false" outlineLevel="0" collapsed="false">
      <c r="A24143" s="0" t="s">
        <v>9032</v>
      </c>
      <c r="B24143" s="0" t="str">
        <f aca="false">HYPERLINK("https://lindat.mff.cuni.cz/services/teitok/pdtc10/index.php?action=vallex&amp;frame=v-w3161hsa_1411", "opustit (v-w3161hsa_1411)")</f>
        <v>opustit (v-w3161hsa_1411)</v>
      </c>
    </row>
    <row r="24144" customFormat="false" ht="12.8" hidden="false" customHeight="false" outlineLevel="0" collapsed="false">
      <c r="B24144" s="0" t="s">
        <v>7</v>
      </c>
    </row>
    <row r="24145" customFormat="false" ht="12.8" hidden="false" customHeight="false" outlineLevel="0" collapsed="false">
      <c r="B24145" s="0" t="s">
        <v>14</v>
      </c>
    </row>
    <row r="24147" customFormat="false" ht="12.8" hidden="false" customHeight="false" outlineLevel="0" collapsed="false">
      <c r="A24147" s="0" t="s">
        <v>9033</v>
      </c>
      <c r="B24147" s="0" t="str">
        <f aca="false">HYPERLINK("https://lindat.mff.cuni.cz/services/teitok/pdtc10/index.php?action=vallex&amp;frame=v-w11156f2", "opylit (v-w11156f2)")</f>
        <v>opylit (v-w11156f2)</v>
      </c>
    </row>
    <row r="24148" customFormat="false" ht="12.8" hidden="false" customHeight="false" outlineLevel="0" collapsed="false">
      <c r="B24148" s="0" t="s">
        <v>7</v>
      </c>
      <c r="D24148" s="0" t="s">
        <v>46</v>
      </c>
      <c r="E24148" s="0" t="s">
        <v>46</v>
      </c>
      <c r="F24148" s="0" t="s">
        <v>46</v>
      </c>
    </row>
    <row r="24149" customFormat="false" ht="12.8" hidden="false" customHeight="false" outlineLevel="0" collapsed="false">
      <c r="B24149" s="0" t="s">
        <v>14</v>
      </c>
      <c r="D24149" s="0" t="s">
        <v>33</v>
      </c>
      <c r="E24149" s="0" t="s">
        <v>33</v>
      </c>
      <c r="F24149" s="0" t="s">
        <v>33</v>
      </c>
    </row>
    <row r="24151" customFormat="false" ht="12.8" hidden="false" customHeight="false" outlineLevel="0" collapsed="false">
      <c r="A24151" s="0" t="s">
        <v>9034</v>
      </c>
      <c r="B24151" s="0" t="str">
        <f aca="false">HYPERLINK("https://lindat.mff.cuni.cz/services/teitok/pdtc10/index.php?action=vallex&amp;frame=v-w10372f2", "opylovat (v-w10372f2)")</f>
        <v>opylovat (v-w10372f2)</v>
      </c>
    </row>
    <row r="24152" customFormat="false" ht="12.8" hidden="false" customHeight="false" outlineLevel="0" collapsed="false">
      <c r="B24152" s="0" t="s">
        <v>7</v>
      </c>
      <c r="C24152" s="0" t="s">
        <v>200</v>
      </c>
      <c r="D24152" s="0" t="s">
        <v>46</v>
      </c>
      <c r="E24152" s="0" t="s">
        <v>46</v>
      </c>
      <c r="F24152" s="0" t="s">
        <v>46</v>
      </c>
    </row>
    <row r="24153" customFormat="false" ht="12.8" hidden="false" customHeight="false" outlineLevel="0" collapsed="false">
      <c r="B24153" s="0" t="s">
        <v>14</v>
      </c>
      <c r="C24153" s="0" t="s">
        <v>203</v>
      </c>
      <c r="D24153" s="0" t="s">
        <v>33</v>
      </c>
      <c r="E24153" s="0" t="s">
        <v>33</v>
      </c>
      <c r="F24153" s="0" t="s">
        <v>33</v>
      </c>
    </row>
    <row r="24155" customFormat="false" ht="12.8" hidden="false" customHeight="false" outlineLevel="0" collapsed="false">
      <c r="A24155" s="0" t="s">
        <v>9035</v>
      </c>
      <c r="B24155" s="0" t="str">
        <f aca="false">HYPERLINK("https://lindat.mff.cuni.cz/services/teitok/pdtc10/index.php?action=vallex&amp;frame=v-w3102f1", "opálit (v-w3102f1)")</f>
        <v>opálit (v-w3102f1)</v>
      </c>
    </row>
    <row r="24156" customFormat="false" ht="12.8" hidden="false" customHeight="false" outlineLevel="0" collapsed="false">
      <c r="B24156" s="0" t="s">
        <v>7</v>
      </c>
    </row>
    <row r="24157" customFormat="false" ht="12.8" hidden="false" customHeight="false" outlineLevel="0" collapsed="false">
      <c r="B24157" s="0" t="s">
        <v>14</v>
      </c>
    </row>
    <row r="24159" customFormat="false" ht="12.8" hidden="false" customHeight="false" outlineLevel="0" collapsed="false">
      <c r="A24159" s="0" t="s">
        <v>9036</v>
      </c>
      <c r="B24159" s="0" t="str">
        <f aca="false">HYPERLINK("https://lindat.mff.cuni.cz/services/teitok/pdtc10/index.php?action=vallex&amp;frame=v-w3106f1", "opásat (v-w3106f1)")</f>
        <v>opásat (v-w3106f1)</v>
      </c>
    </row>
    <row r="24160" customFormat="false" ht="12.8" hidden="false" customHeight="false" outlineLevel="0" collapsed="false">
      <c r="B24160" s="0" t="s">
        <v>7</v>
      </c>
    </row>
    <row r="24161" customFormat="false" ht="12.8" hidden="false" customHeight="false" outlineLevel="0" collapsed="false">
      <c r="B24161" s="0" t="s">
        <v>14</v>
      </c>
    </row>
    <row r="24163" customFormat="false" ht="12.8" hidden="false" customHeight="false" outlineLevel="0" collapsed="false">
      <c r="A24163" s="0" t="s">
        <v>9037</v>
      </c>
      <c r="B24163" s="0" t="str">
        <f aca="false">HYPERLINK("https://lindat.mff.cuni.cz/services/teitok/pdtc10/index.php?action=vallex&amp;frame=v-w10925f2", "opáčit (v-w10925f2)")</f>
        <v>opáčit (v-w10925f2)</v>
      </c>
    </row>
    <row r="24164" customFormat="false" ht="12.8" hidden="false" customHeight="false" outlineLevel="0" collapsed="false">
      <c r="B24164" s="0" t="s">
        <v>7</v>
      </c>
      <c r="C24164" s="0" t="s">
        <v>460</v>
      </c>
    </row>
    <row r="24165" customFormat="false" ht="12.8" hidden="false" customHeight="false" outlineLevel="0" collapsed="false">
      <c r="B24165" s="0" t="s">
        <v>48</v>
      </c>
      <c r="C24165" s="0" t="s">
        <v>9038</v>
      </c>
    </row>
    <row r="24166" customFormat="false" ht="12.8" hidden="false" customHeight="false" outlineLevel="0" collapsed="false">
      <c r="B24166" s="0" t="s">
        <v>8094</v>
      </c>
      <c r="C24166" s="0" t="s">
        <v>4826</v>
      </c>
    </row>
    <row r="24167" customFormat="false" ht="12.8" hidden="false" customHeight="false" outlineLevel="0" collapsed="false">
      <c r="B24167" s="0" t="s">
        <v>63</v>
      </c>
    </row>
    <row r="24169" customFormat="false" ht="12.8" hidden="false" customHeight="false" outlineLevel="0" collapsed="false">
      <c r="A24169" s="0" t="s">
        <v>9039</v>
      </c>
      <c r="B24169" s="0" t="str">
        <f aca="false">HYPERLINK("https://lindat.mff.cuni.cz/services/teitok/pdtc10/index.php?action=vallex&amp;frame=v-whsb_724hsa_725", "opéci (v-whsb_724hsa_725)")</f>
        <v>opéci (v-whsb_724hsa_725)</v>
      </c>
    </row>
    <row r="24170" customFormat="false" ht="12.8" hidden="false" customHeight="false" outlineLevel="0" collapsed="false">
      <c r="B24170" s="0" t="s">
        <v>7</v>
      </c>
    </row>
    <row r="24171" customFormat="false" ht="12.8" hidden="false" customHeight="false" outlineLevel="0" collapsed="false">
      <c r="B24171" s="0" t="s">
        <v>14</v>
      </c>
    </row>
    <row r="24173" customFormat="false" ht="12.8" hidden="false" customHeight="false" outlineLevel="0" collapsed="false">
      <c r="A24173" s="0" t="s">
        <v>9040</v>
      </c>
      <c r="B24173" s="0" t="str">
        <f aca="false">HYPERLINK("https://lindat.mff.cuni.cz/services/teitok/pdtc10/index.php?action=vallex&amp;frame=v-whsa_1111hsa_1112", "opékat (v-whsa_1111hsa_1112)")</f>
        <v>opékat (v-whsa_1111hsa_1112)</v>
      </c>
    </row>
    <row r="24174" customFormat="false" ht="12.8" hidden="false" customHeight="false" outlineLevel="0" collapsed="false">
      <c r="B24174" s="0" t="s">
        <v>7</v>
      </c>
    </row>
    <row r="24175" customFormat="false" ht="12.8" hidden="false" customHeight="false" outlineLevel="0" collapsed="false">
      <c r="B24175" s="0" t="s">
        <v>14</v>
      </c>
    </row>
    <row r="24177" customFormat="false" ht="12.8" hidden="false" customHeight="false" outlineLevel="0" collapsed="false">
      <c r="A24177" s="0" t="s">
        <v>9041</v>
      </c>
      <c r="B24177" s="0" t="str">
        <f aca="false">HYPERLINK("https://lindat.mff.cuni.cz/services/teitok/pdtc10/index.php?action=vallex&amp;frame=v-w3119f1", "opíjet (v-w3119f1)")</f>
        <v>opíjet (v-w3119f1)</v>
      </c>
    </row>
    <row r="24178" customFormat="false" ht="12.8" hidden="false" customHeight="false" outlineLevel="0" collapsed="false">
      <c r="B24178" s="0" t="s">
        <v>7</v>
      </c>
    </row>
    <row r="24179" customFormat="false" ht="12.8" hidden="false" customHeight="false" outlineLevel="0" collapsed="false">
      <c r="B24179" s="0" t="s">
        <v>14</v>
      </c>
    </row>
    <row r="24181" customFormat="false" ht="12.8" hidden="false" customHeight="false" outlineLevel="0" collapsed="false">
      <c r="A24181" s="0" t="s">
        <v>9042</v>
      </c>
      <c r="B24181" s="0" t="str">
        <f aca="false">HYPERLINK("https://lindat.mff.cuni.cz/services/teitok/pdtc10/index.php?action=vallex&amp;frame=v-w3120f1", "opíjet se (v-w3120f1)")</f>
        <v>opíjet se (v-w3120f1)</v>
      </c>
    </row>
    <row r="24182" customFormat="false" ht="12.8" hidden="false" customHeight="false" outlineLevel="0" collapsed="false">
      <c r="B24182" s="0" t="s">
        <v>7</v>
      </c>
    </row>
    <row r="24184" customFormat="false" ht="12.8" hidden="false" customHeight="false" outlineLevel="0" collapsed="false">
      <c r="A24184" s="0" t="s">
        <v>9043</v>
      </c>
      <c r="B24184" s="0" t="str">
        <f aca="false">HYPERLINK("https://lindat.mff.cuni.cz/services/teitok/pdtc10/index.php?action=vallex&amp;frame=v-w3120f2", "opíjet se (v-w3120f2)")</f>
        <v>opíjet se (v-w3120f2)</v>
      </c>
    </row>
    <row r="24185" customFormat="false" ht="12.8" hidden="false" customHeight="false" outlineLevel="0" collapsed="false">
      <c r="B24185" s="0" t="s">
        <v>7</v>
      </c>
    </row>
    <row r="24187" customFormat="false" ht="12.8" hidden="false" customHeight="false" outlineLevel="0" collapsed="false">
      <c r="A24187" s="0" t="s">
        <v>9044</v>
      </c>
      <c r="B24187" s="0" t="str">
        <f aca="false">HYPERLINK("https://lindat.mff.cuni.cz/services/teitok/pdtc10/index.php?action=vallex&amp;frame=v-w3123f1", "opírat (v-w3123f1)")</f>
        <v>opírat (v-w3123f1)</v>
      </c>
    </row>
    <row r="24188" customFormat="false" ht="12.8" hidden="false" customHeight="false" outlineLevel="0" collapsed="false">
      <c r="B24188" s="0" t="s">
        <v>7</v>
      </c>
    </row>
    <row r="24189" customFormat="false" ht="12.8" hidden="false" customHeight="false" outlineLevel="0" collapsed="false">
      <c r="B24189" s="0" t="s">
        <v>14</v>
      </c>
    </row>
    <row r="24190" customFormat="false" ht="12.8" hidden="false" customHeight="false" outlineLevel="0" collapsed="false">
      <c r="B24190" s="0" t="s">
        <v>9045</v>
      </c>
    </row>
    <row r="24192" customFormat="false" ht="12.8" hidden="false" customHeight="false" outlineLevel="0" collapsed="false">
      <c r="A24192" s="0" t="s">
        <v>9046</v>
      </c>
      <c r="B24192" s="0" t="str">
        <f aca="false">HYPERLINK("https://lindat.mff.cuni.cz/services/teitok/pdtc10/index.php?action=vallex&amp;frame=v-w3123f2", "opírat (v-w3123f2)")</f>
        <v>opírat (v-w3123f2)</v>
      </c>
    </row>
    <row r="24193" customFormat="false" ht="12.8" hidden="false" customHeight="false" outlineLevel="0" collapsed="false">
      <c r="B24193" s="0" t="s">
        <v>7</v>
      </c>
    </row>
    <row r="24194" customFormat="false" ht="12.8" hidden="false" customHeight="false" outlineLevel="0" collapsed="false">
      <c r="B24194" s="0" t="s">
        <v>14</v>
      </c>
    </row>
    <row r="24195" customFormat="false" ht="12.8" hidden="false" customHeight="false" outlineLevel="0" collapsed="false">
      <c r="B24195" s="0" t="s">
        <v>124</v>
      </c>
    </row>
    <row r="24197" customFormat="false" ht="12.8" hidden="false" customHeight="false" outlineLevel="0" collapsed="false">
      <c r="A24197" s="0" t="s">
        <v>9047</v>
      </c>
      <c r="B24197" s="0" t="str">
        <f aca="false">HYPERLINK("https://lindat.mff.cuni.cz/services/teitok/pdtc10/index.php?action=vallex&amp;frame=v-w3124f1", "opírat se (v-w3124f1)")</f>
        <v>opírat se (v-w3124f1)</v>
      </c>
    </row>
    <row r="24198" customFormat="false" ht="12.8" hidden="false" customHeight="false" outlineLevel="0" collapsed="false">
      <c r="B24198" s="0" t="s">
        <v>7</v>
      </c>
      <c r="C24198" s="0" t="s">
        <v>9048</v>
      </c>
      <c r="D24198" s="0" t="s">
        <v>2431</v>
      </c>
      <c r="E24198" s="0" t="s">
        <v>2431</v>
      </c>
      <c r="F24198" s="0" t="s">
        <v>2431</v>
      </c>
    </row>
    <row r="24199" customFormat="false" ht="12.8" hidden="false" customHeight="false" outlineLevel="0" collapsed="false">
      <c r="B24199" s="0" t="s">
        <v>615</v>
      </c>
      <c r="C24199" s="0" t="s">
        <v>9049</v>
      </c>
      <c r="D24199" s="0" t="s">
        <v>9050</v>
      </c>
      <c r="E24199" s="0" t="s">
        <v>9050</v>
      </c>
      <c r="F24199" s="0" t="s">
        <v>9050</v>
      </c>
    </row>
    <row r="24201" customFormat="false" ht="12.8" hidden="false" customHeight="false" outlineLevel="0" collapsed="false">
      <c r="A24201" s="0" t="s">
        <v>9051</v>
      </c>
      <c r="B24201" s="0" t="str">
        <f aca="false">HYPERLINK("https://lindat.mff.cuni.cz/services/teitok/pdtc10/index.php?action=vallex&amp;frame=v-w3124f2", "opírat se (v-w3124f2)")</f>
        <v>opírat se (v-w3124f2)</v>
      </c>
    </row>
    <row r="24202" customFormat="false" ht="12.8" hidden="false" customHeight="false" outlineLevel="0" collapsed="false">
      <c r="B24202" s="0" t="s">
        <v>7</v>
      </c>
    </row>
    <row r="24204" customFormat="false" ht="12.8" hidden="false" customHeight="false" outlineLevel="0" collapsed="false">
      <c r="A24204" s="0" t="s">
        <v>9052</v>
      </c>
      <c r="B24204" s="0" t="str">
        <f aca="false">HYPERLINK("https://lindat.mff.cuni.cz/services/teitok/pdtc10/index.php?action=vallex&amp;frame=v-w3128f1", "opít (v-w3128f1)")</f>
        <v>opít (v-w3128f1)</v>
      </c>
    </row>
    <row r="24205" customFormat="false" ht="12.8" hidden="false" customHeight="false" outlineLevel="0" collapsed="false">
      <c r="B24205" s="0" t="s">
        <v>7</v>
      </c>
    </row>
    <row r="24206" customFormat="false" ht="12.8" hidden="false" customHeight="false" outlineLevel="0" collapsed="false">
      <c r="B24206" s="0" t="s">
        <v>14</v>
      </c>
    </row>
    <row r="24208" customFormat="false" ht="12.8" hidden="false" customHeight="false" outlineLevel="0" collapsed="false">
      <c r="A24208" s="0" t="s">
        <v>9053</v>
      </c>
      <c r="B24208" s="0" t="str">
        <f aca="false">HYPERLINK("https://lindat.mff.cuni.cz/services/teitok/pdtc10/index.php?action=vallex&amp;frame=v-w3128f2", "opít (v-w3128f2)")</f>
        <v>opít (v-w3128f2)</v>
      </c>
    </row>
    <row r="24209" customFormat="false" ht="12.8" hidden="false" customHeight="false" outlineLevel="0" collapsed="false">
      <c r="B24209" s="0" t="s">
        <v>7</v>
      </c>
    </row>
    <row r="24210" customFormat="false" ht="12.8" hidden="false" customHeight="false" outlineLevel="0" collapsed="false">
      <c r="B24210" s="0" t="s">
        <v>14</v>
      </c>
    </row>
    <row r="24212" customFormat="false" ht="12.8" hidden="false" customHeight="false" outlineLevel="0" collapsed="false">
      <c r="A24212" s="0" t="s">
        <v>9054</v>
      </c>
      <c r="B24212" s="0" t="str">
        <f aca="false">HYPERLINK("https://lindat.mff.cuni.cz/services/teitok/pdtc10/index.php?action=vallex&amp;frame=v-w3129f2_ZU", "opít se (v-w3129f2_ZU)")</f>
        <v>opít se (v-w3129f2_ZU)</v>
      </c>
    </row>
    <row r="24213" customFormat="false" ht="12.8" hidden="false" customHeight="false" outlineLevel="0" collapsed="false">
      <c r="B24213" s="0" t="s">
        <v>7</v>
      </c>
      <c r="C24213" s="0" t="s">
        <v>9055</v>
      </c>
    </row>
    <row r="24215" customFormat="false" ht="12.8" hidden="false" customHeight="false" outlineLevel="0" collapsed="false">
      <c r="A24215" s="0" t="s">
        <v>9054</v>
      </c>
      <c r="B24215" s="0" t="str">
        <f aca="false">HYPERLINK("https://lindat.mff.cuni.cz/services/teitok/pdtc10/index.php?action=vallex&amp;frame=v-w3129f1", "opít se (v-w3129f1) - substituted with v-w3129f2_ZU")</f>
        <v>opít se (v-w3129f1) - substituted with v-w3129f2_ZU</v>
      </c>
    </row>
    <row r="24216" customFormat="false" ht="12.8" hidden="false" customHeight="false" outlineLevel="0" collapsed="false">
      <c r="B24216" s="0" t="s">
        <v>7</v>
      </c>
    </row>
    <row r="24218" customFormat="false" ht="12.8" hidden="false" customHeight="false" outlineLevel="0" collapsed="false">
      <c r="A24218" s="0" t="s">
        <v>9056</v>
      </c>
      <c r="B24218" s="0" t="str">
        <f aca="false">HYPERLINK("https://lindat.mff.cuni.cz/services/teitok/pdtc10/index.php?action=vallex&amp;frame=v-w10903f2", "opětovat (v-w10903f2)")</f>
        <v>opětovat (v-w10903f2)</v>
      </c>
    </row>
    <row r="24219" customFormat="false" ht="12.8" hidden="false" customHeight="false" outlineLevel="0" collapsed="false">
      <c r="B24219" s="0" t="s">
        <v>7</v>
      </c>
      <c r="C24219" s="0" t="s">
        <v>194</v>
      </c>
      <c r="D24219" s="0" t="s">
        <v>88</v>
      </c>
      <c r="E24219" s="0" t="s">
        <v>88</v>
      </c>
      <c r="F24219" s="0" t="s">
        <v>88</v>
      </c>
    </row>
    <row r="24220" customFormat="false" ht="12.8" hidden="false" customHeight="false" outlineLevel="0" collapsed="false">
      <c r="B24220" s="0" t="s">
        <v>14</v>
      </c>
      <c r="C24220" s="0" t="s">
        <v>9057</v>
      </c>
      <c r="D24220" s="0" t="s">
        <v>78</v>
      </c>
      <c r="E24220" s="0" t="s">
        <v>78</v>
      </c>
      <c r="F24220" s="0" t="s">
        <v>78</v>
      </c>
    </row>
    <row r="24222" customFormat="false" ht="12.8" hidden="false" customHeight="false" outlineLevel="0" collapsed="false">
      <c r="A24222" s="0" t="s">
        <v>9058</v>
      </c>
      <c r="B24222" s="0" t="str">
        <f aca="false">HYPERLINK("https://lindat.mff.cuni.cz/services/teitok/pdtc10/index.php?action=vallex&amp;frame=v-w10774f2", "opěvovat (v-w10774f2)")</f>
        <v>opěvovat (v-w10774f2)</v>
      </c>
    </row>
    <row r="24223" customFormat="false" ht="12.8" hidden="false" customHeight="false" outlineLevel="0" collapsed="false">
      <c r="B24223" s="0" t="s">
        <v>7</v>
      </c>
    </row>
    <row r="24224" customFormat="false" ht="12.8" hidden="false" customHeight="false" outlineLevel="0" collapsed="false">
      <c r="B24224" s="0" t="s">
        <v>9059</v>
      </c>
    </row>
    <row r="24226" customFormat="false" ht="12.8" hidden="false" customHeight="false" outlineLevel="0" collapsed="false">
      <c r="A24226" s="0" t="s">
        <v>9060</v>
      </c>
      <c r="B24226" s="0" t="str">
        <f aca="false">HYPERLINK("https://lindat.mff.cuni.cz/services/teitok/pdtc10/index.php?action=vallex&amp;frame=v-w11662_ZUf1_ZU", "opřít (v-w11662_ZUf1_ZU)")</f>
        <v>opřít (v-w11662_ZUf1_ZU)</v>
      </c>
    </row>
    <row r="24227" customFormat="false" ht="12.8" hidden="false" customHeight="false" outlineLevel="0" collapsed="false">
      <c r="B24227" s="0" t="s">
        <v>7</v>
      </c>
    </row>
    <row r="24228" customFormat="false" ht="12.8" hidden="false" customHeight="false" outlineLevel="0" collapsed="false">
      <c r="B24228" s="0" t="s">
        <v>14</v>
      </c>
    </row>
    <row r="24229" customFormat="false" ht="12.8" hidden="false" customHeight="false" outlineLevel="0" collapsed="false">
      <c r="B24229" s="0" t="s">
        <v>1956</v>
      </c>
    </row>
    <row r="24231" customFormat="false" ht="12.8" hidden="false" customHeight="false" outlineLevel="0" collapsed="false">
      <c r="A24231" s="0" t="s">
        <v>9061</v>
      </c>
      <c r="B24231" s="0" t="str">
        <f aca="false">HYPERLINK("https://lindat.mff.cuni.cz/services/teitok/pdtc10/index.php?action=vallex&amp;frame=v-w3157f1", "opřít se (v-w3157f1)")</f>
        <v>opřít se (v-w3157f1)</v>
      </c>
    </row>
    <row r="24232" customFormat="false" ht="12.8" hidden="false" customHeight="false" outlineLevel="0" collapsed="false">
      <c r="B24232" s="0" t="s">
        <v>7</v>
      </c>
      <c r="C24232" s="0" t="s">
        <v>9062</v>
      </c>
      <c r="D24232" s="0" t="s">
        <v>2431</v>
      </c>
      <c r="E24232" s="0" t="s">
        <v>2431</v>
      </c>
      <c r="F24232" s="0" t="s">
        <v>2431</v>
      </c>
    </row>
    <row r="24233" customFormat="false" ht="12.8" hidden="false" customHeight="false" outlineLevel="0" collapsed="false">
      <c r="B24233" s="0" t="s">
        <v>615</v>
      </c>
      <c r="D24233" s="0" t="s">
        <v>9050</v>
      </c>
      <c r="E24233" s="0" t="s">
        <v>9050</v>
      </c>
      <c r="F24233" s="0" t="s">
        <v>9050</v>
      </c>
    </row>
    <row r="24235" customFormat="false" ht="12.8" hidden="false" customHeight="false" outlineLevel="0" collapsed="false">
      <c r="A24235" s="0" t="s">
        <v>9063</v>
      </c>
      <c r="B24235" s="0" t="str">
        <f aca="false">HYPERLINK("https://lindat.mff.cuni.cz/services/teitok/pdtc10/index.php?action=vallex&amp;frame=v-w3157f2", "opřít se (v-w3157f2)")</f>
        <v>opřít se (v-w3157f2)</v>
      </c>
    </row>
    <row r="24236" customFormat="false" ht="12.8" hidden="false" customHeight="false" outlineLevel="0" collapsed="false">
      <c r="B24236" s="0" t="s">
        <v>457</v>
      </c>
    </row>
    <row r="24237" customFormat="false" ht="12.8" hidden="false" customHeight="false" outlineLevel="0" collapsed="false">
      <c r="B24237" s="0" t="s">
        <v>124</v>
      </c>
    </row>
    <row r="24239" customFormat="false" ht="12.8" hidden="false" customHeight="false" outlineLevel="0" collapsed="false">
      <c r="A24239" s="0" t="s">
        <v>9064</v>
      </c>
      <c r="B24239" s="0" t="str">
        <f aca="false">HYPERLINK("https://lindat.mff.cuni.cz/services/teitok/pdtc10/index.php?action=vallex&amp;frame=v-w3157f3", "opřít se (v-w3157f3)")</f>
        <v>opřít se (v-w3157f3)</v>
      </c>
    </row>
    <row r="24240" customFormat="false" ht="12.8" hidden="false" customHeight="false" outlineLevel="0" collapsed="false">
      <c r="B24240" s="0" t="s">
        <v>7</v>
      </c>
    </row>
    <row r="24242" customFormat="false" ht="12.8" hidden="false" customHeight="false" outlineLevel="0" collapsed="false">
      <c r="A24242" s="0" t="s">
        <v>9065</v>
      </c>
      <c r="B24242" s="0" t="str">
        <f aca="false">HYPERLINK("https://lindat.mff.cuni.cz/services/teitok/pdtc10/index.php?action=vallex&amp;frame=v-w3163f1", "orat (v-w3163f1)")</f>
        <v>orat (v-w3163f1)</v>
      </c>
    </row>
    <row r="24243" customFormat="false" ht="12.8" hidden="false" customHeight="false" outlineLevel="0" collapsed="false">
      <c r="B24243" s="0" t="s">
        <v>7</v>
      </c>
      <c r="C24243" s="0" t="s">
        <v>191</v>
      </c>
    </row>
    <row r="24244" customFormat="false" ht="12.8" hidden="false" customHeight="false" outlineLevel="0" collapsed="false">
      <c r="B24244" s="0" t="s">
        <v>14</v>
      </c>
    </row>
    <row r="24246" customFormat="false" ht="12.8" hidden="false" customHeight="false" outlineLevel="0" collapsed="false">
      <c r="A24246" s="0" t="s">
        <v>9066</v>
      </c>
      <c r="B24246" s="0" t="str">
        <f aca="false">HYPERLINK("https://lindat.mff.cuni.cz/services/teitok/pdtc10/index.php?action=vallex&amp;frame=v-w11009f2", "orazítkovat (v-w11009f2)")</f>
        <v>orazítkovat (v-w11009f2)</v>
      </c>
    </row>
    <row r="24247" customFormat="false" ht="12.8" hidden="false" customHeight="false" outlineLevel="0" collapsed="false">
      <c r="B24247" s="0" t="s">
        <v>7</v>
      </c>
    </row>
    <row r="24248" customFormat="false" ht="12.8" hidden="false" customHeight="false" outlineLevel="0" collapsed="false">
      <c r="B24248" s="0" t="s">
        <v>14</v>
      </c>
      <c r="C24248" s="0" t="s">
        <v>567</v>
      </c>
      <c r="D24248" s="0" t="s">
        <v>155</v>
      </c>
      <c r="E24248" s="0" t="s">
        <v>155</v>
      </c>
      <c r="F24248" s="0" t="s">
        <v>155</v>
      </c>
    </row>
    <row r="24250" customFormat="false" ht="12.8" hidden="false" customHeight="false" outlineLevel="0" collapsed="false">
      <c r="A24250" s="0" t="s">
        <v>9067</v>
      </c>
      <c r="B24250" s="0" t="str">
        <f aca="false">HYPERLINK("https://lindat.mff.cuni.cz/services/teitok/pdtc10/index.php?action=vallex&amp;frame=v-w3164f1", "ordinovat (v-w3164f1)")</f>
        <v>ordinovat (v-w3164f1)</v>
      </c>
    </row>
    <row r="24251" customFormat="false" ht="12.8" hidden="false" customHeight="false" outlineLevel="0" collapsed="false">
      <c r="B24251" s="0" t="s">
        <v>7</v>
      </c>
    </row>
    <row r="24252" customFormat="false" ht="12.8" hidden="false" customHeight="false" outlineLevel="0" collapsed="false">
      <c r="B24252" s="0" t="s">
        <v>9068</v>
      </c>
    </row>
    <row r="24253" customFormat="false" ht="12.8" hidden="false" customHeight="false" outlineLevel="0" collapsed="false">
      <c r="B24253" s="0" t="s">
        <v>48</v>
      </c>
    </row>
    <row r="24255" customFormat="false" ht="12.8" hidden="false" customHeight="false" outlineLevel="0" collapsed="false">
      <c r="A24255" s="0" t="s">
        <v>9069</v>
      </c>
      <c r="B24255" s="0" t="str">
        <f aca="false">HYPERLINK("https://lindat.mff.cuni.cz/services/teitok/pdtc10/index.php?action=vallex&amp;frame=v-w3169f2_MM", "organizovat (v-w3169f2_MM)")</f>
        <v>organizovat (v-w3169f2_MM)</v>
      </c>
    </row>
    <row r="24256" customFormat="false" ht="12.8" hidden="false" customHeight="false" outlineLevel="0" collapsed="false">
      <c r="B24256" s="0" t="s">
        <v>7</v>
      </c>
    </row>
    <row r="24257" customFormat="false" ht="12.8" hidden="false" customHeight="false" outlineLevel="0" collapsed="false">
      <c r="B24257" s="0" t="s">
        <v>54</v>
      </c>
    </row>
    <row r="24259" customFormat="false" ht="12.8" hidden="false" customHeight="false" outlineLevel="0" collapsed="false">
      <c r="A24259" s="0" t="s">
        <v>9069</v>
      </c>
      <c r="B24259" s="0" t="str">
        <f aca="false">HYPERLINK("https://lindat.mff.cuni.cz/services/teitok/pdtc10/index.php?action=vallex&amp;frame=v-w3169f1", "organizovat (v-w3169f1) - substituted with v-w3169f2_MM")</f>
        <v>organizovat (v-w3169f1) - substituted with v-w3169f2_MM</v>
      </c>
    </row>
    <row r="24260" customFormat="false" ht="12.8" hidden="false" customHeight="false" outlineLevel="0" collapsed="false">
      <c r="B24260" s="0" t="s">
        <v>7</v>
      </c>
      <c r="C24260" s="0" t="s">
        <v>1630</v>
      </c>
      <c r="D24260" s="0" t="s">
        <v>1292</v>
      </c>
      <c r="E24260" s="0" t="s">
        <v>1292</v>
      </c>
      <c r="F24260" s="0" t="s">
        <v>1292</v>
      </c>
    </row>
    <row r="24261" customFormat="false" ht="12.8" hidden="false" customHeight="false" outlineLevel="0" collapsed="false">
      <c r="B24261" s="0" t="s">
        <v>54</v>
      </c>
      <c r="C24261" s="0" t="s">
        <v>9070</v>
      </c>
      <c r="D24261" s="0" t="s">
        <v>1294</v>
      </c>
      <c r="E24261" s="0" t="s">
        <v>1294</v>
      </c>
      <c r="F24261" s="0" t="s">
        <v>1294</v>
      </c>
    </row>
    <row r="24263" customFormat="false" ht="12.8" hidden="false" customHeight="false" outlineLevel="0" collapsed="false">
      <c r="A24263" s="0" t="s">
        <v>9071</v>
      </c>
      <c r="B24263" s="0" t="str">
        <f aca="false">HYPERLINK("https://lindat.mff.cuni.cz/services/teitok/pdtc10/index.php?action=vallex&amp;frame=v-w3169hsa_470", "organizovat (v-w3169hsa_470)")</f>
        <v>organizovat (v-w3169hsa_470)</v>
      </c>
    </row>
    <row r="24264" customFormat="false" ht="12.8" hidden="false" customHeight="false" outlineLevel="0" collapsed="false">
      <c r="B24264" s="0" t="s">
        <v>7</v>
      </c>
      <c r="C24264" s="0" t="s">
        <v>1226</v>
      </c>
    </row>
    <row r="24265" customFormat="false" ht="12.8" hidden="false" customHeight="false" outlineLevel="0" collapsed="false">
      <c r="B24265" s="0" t="s">
        <v>14</v>
      </c>
      <c r="C24265" s="0" t="s">
        <v>195</v>
      </c>
    </row>
    <row r="24267" customFormat="false" ht="12.8" hidden="false" customHeight="false" outlineLevel="0" collapsed="false">
      <c r="A24267" s="0" t="s">
        <v>9072</v>
      </c>
      <c r="B24267" s="0" t="str">
        <f aca="false">HYPERLINK("https://lindat.mff.cuni.cz/services/teitok/pdtc10/index.php?action=vallex&amp;frame=v-w3172f4", "orientovat (v-w3172f4)")</f>
        <v>orientovat (v-w3172f4)</v>
      </c>
    </row>
    <row r="24268" customFormat="false" ht="12.8" hidden="false" customHeight="false" outlineLevel="0" collapsed="false">
      <c r="B24268" s="0" t="s">
        <v>7</v>
      </c>
      <c r="C24268" s="0" t="s">
        <v>46</v>
      </c>
      <c r="D24268" s="0" t="s">
        <v>1435</v>
      </c>
      <c r="E24268" s="0" t="s">
        <v>1435</v>
      </c>
      <c r="F24268" s="0" t="s">
        <v>1435</v>
      </c>
    </row>
    <row r="24269" customFormat="false" ht="12.8" hidden="false" customHeight="false" outlineLevel="0" collapsed="false">
      <c r="B24269" s="0" t="s">
        <v>14</v>
      </c>
      <c r="C24269" s="0" t="s">
        <v>9073</v>
      </c>
      <c r="D24269" s="0" t="s">
        <v>1437</v>
      </c>
      <c r="E24269" s="0" t="s">
        <v>1437</v>
      </c>
      <c r="F24269" s="0" t="s">
        <v>1437</v>
      </c>
    </row>
    <row r="24270" customFormat="false" ht="12.8" hidden="false" customHeight="false" outlineLevel="0" collapsed="false">
      <c r="B24270" s="0" t="s">
        <v>1438</v>
      </c>
      <c r="C24270" s="0" t="s">
        <v>1439</v>
      </c>
      <c r="D24270" s="0" t="s">
        <v>1440</v>
      </c>
      <c r="E24270" s="0" t="s">
        <v>1440</v>
      </c>
      <c r="F24270" s="0" t="s">
        <v>1440</v>
      </c>
    </row>
    <row r="24272" customFormat="false" ht="12.8" hidden="false" customHeight="false" outlineLevel="0" collapsed="false">
      <c r="A24272" s="0" t="s">
        <v>9074</v>
      </c>
      <c r="B24272" s="0" t="str">
        <f aca="false">HYPERLINK("https://lindat.mff.cuni.cz/services/teitok/pdtc10/index.php?action=vallex&amp;frame=v-w3172f2", "orientovat (v-w3172f2)")</f>
        <v>orientovat (v-w3172f2)</v>
      </c>
    </row>
    <row r="24273" customFormat="false" ht="12.8" hidden="false" customHeight="false" outlineLevel="0" collapsed="false">
      <c r="B24273" s="0" t="s">
        <v>7</v>
      </c>
    </row>
    <row r="24274" customFormat="false" ht="12.8" hidden="false" customHeight="false" outlineLevel="0" collapsed="false">
      <c r="B24274" s="0" t="s">
        <v>14</v>
      </c>
    </row>
    <row r="24275" customFormat="false" ht="12.8" hidden="false" customHeight="false" outlineLevel="0" collapsed="false">
      <c r="B24275" s="0" t="s">
        <v>124</v>
      </c>
    </row>
    <row r="24277" customFormat="false" ht="12.8" hidden="false" customHeight="false" outlineLevel="0" collapsed="false">
      <c r="A24277" s="0" t="s">
        <v>9075</v>
      </c>
      <c r="B24277" s="0" t="str">
        <f aca="false">HYPERLINK("https://lindat.mff.cuni.cz/services/teitok/pdtc10/index.php?action=vallex&amp;frame=v-w3172f3", "orientovat (v-w3172f3)")</f>
        <v>orientovat (v-w3172f3)</v>
      </c>
    </row>
    <row r="24278" customFormat="false" ht="12.8" hidden="false" customHeight="false" outlineLevel="0" collapsed="false">
      <c r="B24278" s="0" t="s">
        <v>7</v>
      </c>
    </row>
    <row r="24279" customFormat="false" ht="12.8" hidden="false" customHeight="false" outlineLevel="0" collapsed="false">
      <c r="B24279" s="0" t="s">
        <v>14</v>
      </c>
    </row>
    <row r="24280" customFormat="false" ht="12.8" hidden="false" customHeight="false" outlineLevel="0" collapsed="false">
      <c r="B24280" s="0" t="s">
        <v>124</v>
      </c>
    </row>
    <row r="24282" customFormat="false" ht="12.8" hidden="false" customHeight="false" outlineLevel="0" collapsed="false">
      <c r="A24282" s="0" t="s">
        <v>9075</v>
      </c>
      <c r="B24282" s="0" t="str">
        <f aca="false">HYPERLINK("https://lindat.mff.cuni.cz/services/teitok/pdtc10/index.php?action=vallex&amp;frame=v-w3172f1", "orientovat (v-w3172f1) - substituted with v-w3172f3")</f>
        <v>orientovat (v-w3172f1) - substituted with v-w3172f3</v>
      </c>
    </row>
    <row r="24283" customFormat="false" ht="12.8" hidden="false" customHeight="false" outlineLevel="0" collapsed="false">
      <c r="B24283" s="0" t="s">
        <v>7</v>
      </c>
    </row>
    <row r="24284" customFormat="false" ht="12.8" hidden="false" customHeight="false" outlineLevel="0" collapsed="false">
      <c r="B24284" s="0" t="s">
        <v>14</v>
      </c>
    </row>
    <row r="24285" customFormat="false" ht="12.8" hidden="false" customHeight="false" outlineLevel="0" collapsed="false">
      <c r="B24285" s="0" t="s">
        <v>124</v>
      </c>
    </row>
    <row r="24287" customFormat="false" ht="12.8" hidden="false" customHeight="false" outlineLevel="0" collapsed="false">
      <c r="A24287" s="0" t="s">
        <v>9076</v>
      </c>
      <c r="B24287" s="0" t="str">
        <f aca="false">HYPERLINK("https://lindat.mff.cuni.cz/services/teitok/pdtc10/index.php?action=vallex&amp;frame=v-w3173f3_ZU", "orientovat se (v-w3173f3_ZU)")</f>
        <v>orientovat se (v-w3173f3_ZU)</v>
      </c>
    </row>
    <row r="24288" customFormat="false" ht="12.8" hidden="false" customHeight="false" outlineLevel="0" collapsed="false">
      <c r="B24288" s="0" t="s">
        <v>7</v>
      </c>
      <c r="C24288" s="0" t="s">
        <v>9077</v>
      </c>
      <c r="D24288" s="0" t="s">
        <v>9078</v>
      </c>
      <c r="E24288" s="0" t="s">
        <v>9078</v>
      </c>
      <c r="F24288" s="0" t="s">
        <v>9078</v>
      </c>
    </row>
    <row r="24289" customFormat="false" ht="12.8" hidden="false" customHeight="false" outlineLevel="0" collapsed="false">
      <c r="B24289" s="0" t="s">
        <v>9079</v>
      </c>
      <c r="D24289" s="0" t="s">
        <v>9080</v>
      </c>
      <c r="E24289" s="0" t="s">
        <v>9080</v>
      </c>
      <c r="F24289" s="0" t="s">
        <v>9080</v>
      </c>
    </row>
    <row r="24291" customFormat="false" ht="12.8" hidden="false" customHeight="false" outlineLevel="0" collapsed="false">
      <c r="A24291" s="0" t="s">
        <v>9076</v>
      </c>
      <c r="B24291" s="0" t="str">
        <f aca="false">HYPERLINK("https://lindat.mff.cuni.cz/services/teitok/pdtc10/index.php?action=vallex&amp;frame=v-w3173f1", "orientovat se (v-w3173f1) - substituted with v-w3173f3_ZU")</f>
        <v>orientovat se (v-w3173f1) - substituted with v-w3173f3_ZU</v>
      </c>
    </row>
    <row r="24292" customFormat="false" ht="12.8" hidden="false" customHeight="false" outlineLevel="0" collapsed="false">
      <c r="B24292" s="0" t="s">
        <v>7</v>
      </c>
      <c r="C24292" s="0" t="s">
        <v>9081</v>
      </c>
    </row>
    <row r="24293" customFormat="false" ht="12.8" hidden="false" customHeight="false" outlineLevel="0" collapsed="false">
      <c r="B24293" s="0" t="s">
        <v>9079</v>
      </c>
      <c r="C24293" s="0" t="s">
        <v>4785</v>
      </c>
    </row>
    <row r="24295" customFormat="false" ht="12.8" hidden="false" customHeight="false" outlineLevel="0" collapsed="false">
      <c r="A24295" s="0" t="s">
        <v>9082</v>
      </c>
      <c r="B24295" s="0" t="str">
        <f aca="false">HYPERLINK("https://lindat.mff.cuni.cz/services/teitok/pdtc10/index.php?action=vallex&amp;frame=v-w3173f2", "orientovat se (v-w3173f2)")</f>
        <v>orientovat se (v-w3173f2)</v>
      </c>
    </row>
    <row r="24296" customFormat="false" ht="12.8" hidden="false" customHeight="false" outlineLevel="0" collapsed="false">
      <c r="B24296" s="0" t="s">
        <v>7</v>
      </c>
    </row>
    <row r="24297" customFormat="false" ht="12.8" hidden="false" customHeight="false" outlineLevel="0" collapsed="false">
      <c r="B24297" s="0" t="s">
        <v>11</v>
      </c>
    </row>
    <row r="24299" customFormat="false" ht="12.8" hidden="false" customHeight="false" outlineLevel="0" collapsed="false">
      <c r="A24299" s="0" t="s">
        <v>9083</v>
      </c>
      <c r="B24299" s="0" t="str">
        <f aca="false">HYPERLINK("https://lindat.mff.cuni.cz/services/teitok/pdtc10/index.php?action=vallex&amp;frame=v-w3173hsa_735", "orientovat se (v-w3173hsa_735)")</f>
        <v>orientovat se (v-w3173hsa_735)</v>
      </c>
    </row>
    <row r="24300" customFormat="false" ht="12.8" hidden="false" customHeight="false" outlineLevel="0" collapsed="false">
      <c r="B24300" s="0" t="s">
        <v>7</v>
      </c>
    </row>
    <row r="24301" customFormat="false" ht="12.8" hidden="false" customHeight="false" outlineLevel="0" collapsed="false">
      <c r="B24301" s="0" t="s">
        <v>124</v>
      </c>
    </row>
    <row r="24303" customFormat="false" ht="12.8" hidden="false" customHeight="false" outlineLevel="0" collapsed="false">
      <c r="A24303" s="0" t="s">
        <v>9084</v>
      </c>
      <c r="B24303" s="0" t="str">
        <f aca="false">HYPERLINK("https://lindat.mff.cuni.cz/services/teitok/pdtc10/index.php?action=vallex&amp;frame=v-w12139_ZUf1_ZU", "orodovat (v-w12139_ZUf1_ZU)")</f>
        <v>orodovat (v-w12139_ZUf1_ZU)</v>
      </c>
    </row>
    <row r="24304" customFormat="false" ht="12.8" hidden="false" customHeight="false" outlineLevel="0" collapsed="false">
      <c r="B24304" s="0" t="s">
        <v>7</v>
      </c>
    </row>
    <row r="24305" customFormat="false" ht="12.8" hidden="false" customHeight="false" outlineLevel="0" collapsed="false">
      <c r="B24305" s="0" t="s">
        <v>1654</v>
      </c>
    </row>
    <row r="24307" customFormat="false" ht="12.8" hidden="false" customHeight="false" outlineLevel="0" collapsed="false">
      <c r="A24307" s="0" t="s">
        <v>9085</v>
      </c>
      <c r="B24307" s="0" t="str">
        <f aca="false">HYPERLINK("https://lindat.mff.cuni.cz/services/teitok/pdtc10/index.php?action=vallex&amp;frame=v-w3174f1", "orosit se (v-w3174f1)")</f>
        <v>orosit se (v-w3174f1)</v>
      </c>
    </row>
    <row r="24308" customFormat="false" ht="12.8" hidden="false" customHeight="false" outlineLevel="0" collapsed="false">
      <c r="B24308" s="0" t="s">
        <v>7</v>
      </c>
    </row>
    <row r="24310" customFormat="false" ht="12.8" hidden="false" customHeight="false" outlineLevel="0" collapsed="false">
      <c r="A24310" s="0" t="s">
        <v>9086</v>
      </c>
      <c r="B24310" s="0" t="str">
        <f aca="false">HYPERLINK("https://lindat.mff.cuni.cz/services/teitok/pdtc10/index.php?action=vallex&amp;frame=v-w11232f1", "osahat (v-w11232f1)")</f>
        <v>osahat (v-w11232f1)</v>
      </c>
    </row>
    <row r="24311" customFormat="false" ht="12.8" hidden="false" customHeight="false" outlineLevel="0" collapsed="false">
      <c r="B24311" s="0" t="s">
        <v>7</v>
      </c>
    </row>
    <row r="24312" customFormat="false" ht="12.8" hidden="false" customHeight="false" outlineLevel="0" collapsed="false">
      <c r="B24312" s="0" t="s">
        <v>14</v>
      </c>
    </row>
    <row r="24314" customFormat="false" ht="12.8" hidden="false" customHeight="false" outlineLevel="0" collapsed="false">
      <c r="A24314" s="0" t="s">
        <v>9087</v>
      </c>
      <c r="B24314" s="0" t="str">
        <f aca="false">HYPERLINK("https://lindat.mff.cuni.cz/services/teitok/pdtc10/index.php?action=vallex&amp;frame=v-w3176f1", "osahat si (v-w3176f1)")</f>
        <v>osahat si (v-w3176f1)</v>
      </c>
    </row>
    <row r="24315" customFormat="false" ht="12.8" hidden="false" customHeight="false" outlineLevel="0" collapsed="false">
      <c r="B24315" s="0" t="s">
        <v>7</v>
      </c>
    </row>
    <row r="24316" customFormat="false" ht="12.8" hidden="false" customHeight="false" outlineLevel="0" collapsed="false">
      <c r="B24316" s="0" t="s">
        <v>14</v>
      </c>
    </row>
    <row r="24318" customFormat="false" ht="12.8" hidden="false" customHeight="false" outlineLevel="0" collapsed="false">
      <c r="A24318" s="0" t="s">
        <v>9088</v>
      </c>
      <c r="B24318" s="0" t="str">
        <f aca="false">HYPERLINK("https://lindat.mff.cuni.cz/services/teitok/pdtc10/index.php?action=vallex&amp;frame=v-w3177f1", "osahávat (v-w3177f1)")</f>
        <v>osahávat (v-w3177f1)</v>
      </c>
    </row>
    <row r="24319" customFormat="false" ht="12.8" hidden="false" customHeight="false" outlineLevel="0" collapsed="false">
      <c r="B24319" s="0" t="s">
        <v>7</v>
      </c>
    </row>
    <row r="24320" customFormat="false" ht="12.8" hidden="false" customHeight="false" outlineLevel="0" collapsed="false">
      <c r="B24320" s="0" t="s">
        <v>14</v>
      </c>
    </row>
    <row r="24322" customFormat="false" ht="12.8" hidden="false" customHeight="false" outlineLevel="0" collapsed="false">
      <c r="A24322" s="0" t="s">
        <v>9089</v>
      </c>
      <c r="B24322" s="0" t="str">
        <f aca="false">HYPERLINK("https://lindat.mff.cuni.cz/services/teitok/pdtc10/index.php?action=vallex&amp;frame=v-w3181f2", "osamostatnit se (v-w3181f2)")</f>
        <v>osamostatnit se (v-w3181f2)</v>
      </c>
    </row>
    <row r="24323" customFormat="false" ht="12.8" hidden="false" customHeight="false" outlineLevel="0" collapsed="false">
      <c r="B24323" s="0" t="s">
        <v>7</v>
      </c>
    </row>
    <row r="24324" customFormat="false" ht="12.8" hidden="false" customHeight="false" outlineLevel="0" collapsed="false">
      <c r="B24324" s="0" t="s">
        <v>28</v>
      </c>
    </row>
    <row r="24326" customFormat="false" ht="12.8" hidden="false" customHeight="false" outlineLevel="0" collapsed="false">
      <c r="A24326" s="0" t="s">
        <v>9090</v>
      </c>
      <c r="B24326" s="0" t="str">
        <f aca="false">HYPERLINK("https://lindat.mff.cuni.cz/services/teitok/pdtc10/index.php?action=vallex&amp;frame=v-w3181f1", "osamostatnit se (v-w3181f1)")</f>
        <v>osamostatnit se (v-w3181f1)</v>
      </c>
    </row>
    <row r="24327" customFormat="false" ht="12.8" hidden="false" customHeight="false" outlineLevel="0" collapsed="false">
      <c r="B24327" s="0" t="s">
        <v>7</v>
      </c>
    </row>
    <row r="24329" customFormat="false" ht="12.8" hidden="false" customHeight="false" outlineLevel="0" collapsed="false">
      <c r="A24329" s="0" t="s">
        <v>9091</v>
      </c>
      <c r="B24329" s="0" t="str">
        <f aca="false">HYPERLINK("https://lindat.mff.cuni.cz/services/teitok/pdtc10/index.php?action=vallex&amp;frame=v-w11700_ZUf1_ZU", "osamostatňovat se (v-w11700_ZUf1_ZU)")</f>
        <v>osamostatňovat se (v-w11700_ZUf1_ZU)</v>
      </c>
    </row>
    <row r="24330" customFormat="false" ht="12.8" hidden="false" customHeight="false" outlineLevel="0" collapsed="false">
      <c r="B24330" s="0" t="s">
        <v>7</v>
      </c>
    </row>
    <row r="24332" customFormat="false" ht="12.8" hidden="false" customHeight="false" outlineLevel="0" collapsed="false">
      <c r="A24332" s="0" t="s">
        <v>9092</v>
      </c>
      <c r="B24332" s="0" t="str">
        <f aca="false">HYPERLINK("https://lindat.mff.cuni.cz/services/teitok/pdtc10/index.php?action=vallex&amp;frame=v-w12052_ZUf1_ZU", "osazovat (v-w12052_ZUf1_ZU)")</f>
        <v>osazovat (v-w12052_ZUf1_ZU)</v>
      </c>
    </row>
    <row r="24333" customFormat="false" ht="12.8" hidden="false" customHeight="false" outlineLevel="0" collapsed="false">
      <c r="B24333" s="0" t="s">
        <v>7</v>
      </c>
    </row>
    <row r="24334" customFormat="false" ht="12.8" hidden="false" customHeight="false" outlineLevel="0" collapsed="false">
      <c r="B24334" s="0" t="s">
        <v>14</v>
      </c>
    </row>
    <row r="24336" customFormat="false" ht="12.8" hidden="false" customHeight="false" outlineLevel="0" collapsed="false">
      <c r="A24336" s="0" t="s">
        <v>9093</v>
      </c>
      <c r="B24336" s="0" t="str">
        <f aca="false">HYPERLINK("https://lindat.mff.cuni.cz/services/teitok/pdtc10/index.php?action=vallex&amp;frame=v-whsa_870f1_ZU", "oscilovat (v-whsa_870f1_ZU)")</f>
        <v>oscilovat (v-whsa_870f1_ZU)</v>
      </c>
    </row>
    <row r="24337" customFormat="false" ht="12.8" hidden="false" customHeight="false" outlineLevel="0" collapsed="false">
      <c r="B24337" s="0" t="s">
        <v>7</v>
      </c>
      <c r="C24337" s="0" t="s">
        <v>16</v>
      </c>
    </row>
    <row r="24339" customFormat="false" ht="12.8" hidden="false" customHeight="false" outlineLevel="0" collapsed="false">
      <c r="A24339" s="0" t="s">
        <v>9093</v>
      </c>
      <c r="B24339" s="0" t="str">
        <f aca="false">HYPERLINK("https://lindat.mff.cuni.cz/services/teitok/pdtc10/index.php?action=vallex&amp;frame=v-whsa_870hsa_871", "oscilovat (v-whsa_870hsa_871) - substituted with v-whsa_870f1_ZU")</f>
        <v>oscilovat (v-whsa_870hsa_871) - substituted with v-whsa_870f1_ZU</v>
      </c>
    </row>
    <row r="24340" customFormat="false" ht="12.8" hidden="false" customHeight="false" outlineLevel="0" collapsed="false">
      <c r="B24340" s="0" t="s">
        <v>7</v>
      </c>
    </row>
    <row r="24342" customFormat="false" ht="12.8" hidden="false" customHeight="false" outlineLevel="0" collapsed="false">
      <c r="A24342" s="0" t="s">
        <v>9094</v>
      </c>
      <c r="B24342" s="0" t="str">
        <f aca="false">HYPERLINK("https://lindat.mff.cuni.cz/services/teitok/pdtc10/index.php?action=vallex&amp;frame=v-w11542_ZUf1_ZU", "osedlat si (v-w11542_ZUf1_ZU)")</f>
        <v>osedlat si (v-w11542_ZUf1_ZU)</v>
      </c>
    </row>
    <row r="24343" customFormat="false" ht="12.8" hidden="false" customHeight="false" outlineLevel="0" collapsed="false">
      <c r="B24343" s="0" t="s">
        <v>7</v>
      </c>
      <c r="C24343" s="0" t="s">
        <v>191</v>
      </c>
    </row>
    <row r="24344" customFormat="false" ht="12.8" hidden="false" customHeight="false" outlineLevel="0" collapsed="false">
      <c r="B24344" s="0" t="s">
        <v>14</v>
      </c>
      <c r="C24344" s="0" t="s">
        <v>4706</v>
      </c>
    </row>
    <row r="24346" customFormat="false" ht="12.8" hidden="false" customHeight="false" outlineLevel="0" collapsed="false">
      <c r="A24346" s="0" t="s">
        <v>9095</v>
      </c>
      <c r="B24346" s="0" t="str">
        <f aca="false">HYPERLINK("https://lindat.mff.cuni.cz/services/teitok/pdtc10/index.php?action=vallex&amp;frame=v-w10714f2", "osekat (v-w10714f2)")</f>
        <v>osekat (v-w10714f2)</v>
      </c>
    </row>
    <row r="24347" customFormat="false" ht="12.8" hidden="false" customHeight="false" outlineLevel="0" collapsed="false">
      <c r="B24347" s="0" t="s">
        <v>7</v>
      </c>
      <c r="C24347" s="0" t="s">
        <v>191</v>
      </c>
      <c r="D24347" s="0" t="s">
        <v>8863</v>
      </c>
      <c r="E24347" s="0" t="s">
        <v>8863</v>
      </c>
      <c r="F24347" s="0" t="s">
        <v>8863</v>
      </c>
    </row>
    <row r="24348" customFormat="false" ht="12.8" hidden="false" customHeight="false" outlineLevel="0" collapsed="false">
      <c r="B24348" s="0" t="s">
        <v>14</v>
      </c>
      <c r="C24348" s="0" t="s">
        <v>47</v>
      </c>
      <c r="D24348" s="0" t="s">
        <v>8865</v>
      </c>
      <c r="E24348" s="0" t="s">
        <v>8865</v>
      </c>
      <c r="F24348" s="0" t="s">
        <v>8865</v>
      </c>
    </row>
    <row r="24349" customFormat="false" ht="12.8" hidden="false" customHeight="false" outlineLevel="0" collapsed="false">
      <c r="B24349" s="0" t="s">
        <v>35</v>
      </c>
      <c r="D24349" s="0" t="s">
        <v>8867</v>
      </c>
      <c r="E24349" s="0" t="s">
        <v>8867</v>
      </c>
      <c r="F24349" s="0" t="s">
        <v>8867</v>
      </c>
    </row>
    <row r="24350" customFormat="false" ht="12.8" hidden="false" customHeight="false" outlineLevel="0" collapsed="false">
      <c r="B24350" s="0" t="s">
        <v>84</v>
      </c>
      <c r="D24350" s="0" t="s">
        <v>8869</v>
      </c>
      <c r="E24350" s="0" t="s">
        <v>8869</v>
      </c>
      <c r="F24350" s="0" t="s">
        <v>8869</v>
      </c>
    </row>
    <row r="24352" customFormat="false" ht="12.8" hidden="false" customHeight="false" outlineLevel="0" collapsed="false">
      <c r="A24352" s="0" t="s">
        <v>9096</v>
      </c>
      <c r="B24352" s="0" t="str">
        <f aca="false">HYPERLINK("https://lindat.mff.cuni.cz/services/teitok/pdtc10/index.php?action=vallex&amp;frame=v-w10677f2", "oseknout (v-w10677f2)")</f>
        <v>oseknout (v-w10677f2)</v>
      </c>
    </row>
    <row r="24353" customFormat="false" ht="12.8" hidden="false" customHeight="false" outlineLevel="0" collapsed="false">
      <c r="B24353" s="0" t="s">
        <v>7</v>
      </c>
    </row>
    <row r="24354" customFormat="false" ht="12.8" hidden="false" customHeight="false" outlineLevel="0" collapsed="false">
      <c r="B24354" s="0" t="s">
        <v>14</v>
      </c>
    </row>
    <row r="24355" customFormat="false" ht="12.8" hidden="false" customHeight="false" outlineLevel="0" collapsed="false">
      <c r="B24355" s="0" t="s">
        <v>35</v>
      </c>
    </row>
    <row r="24356" customFormat="false" ht="12.8" hidden="false" customHeight="false" outlineLevel="0" collapsed="false">
      <c r="B24356" s="0" t="s">
        <v>84</v>
      </c>
    </row>
    <row r="24358" customFormat="false" ht="12.8" hidden="false" customHeight="false" outlineLevel="0" collapsed="false">
      <c r="A24358" s="0" t="s">
        <v>9097</v>
      </c>
      <c r="B24358" s="0" t="str">
        <f aca="false">HYPERLINK("https://lindat.mff.cuni.cz/services/teitok/pdtc10/index.php?action=vallex&amp;frame=v-w3186f1", "osiřet (v-w3186f1)")</f>
        <v>osiřet (v-w3186f1)</v>
      </c>
    </row>
    <row r="24359" customFormat="false" ht="12.8" hidden="false" customHeight="false" outlineLevel="0" collapsed="false">
      <c r="B24359" s="0" t="s">
        <v>7</v>
      </c>
    </row>
    <row r="24361" customFormat="false" ht="12.8" hidden="false" customHeight="false" outlineLevel="0" collapsed="false">
      <c r="A24361" s="0" t="s">
        <v>9098</v>
      </c>
      <c r="B24361" s="0" t="str">
        <f aca="false">HYPERLINK("https://lindat.mff.cuni.cz/services/teitok/pdtc10/index.php?action=vallex&amp;frame=v-whsa_616hsa_617", "oskenovat (v-whsa_616hsa_617)")</f>
        <v>oskenovat (v-whsa_616hsa_617)</v>
      </c>
    </row>
    <row r="24362" customFormat="false" ht="12.8" hidden="false" customHeight="false" outlineLevel="0" collapsed="false">
      <c r="B24362" s="0" t="s">
        <v>7</v>
      </c>
    </row>
    <row r="24363" customFormat="false" ht="12.8" hidden="false" customHeight="false" outlineLevel="0" collapsed="false">
      <c r="B24363" s="0" t="s">
        <v>14</v>
      </c>
    </row>
    <row r="24365" customFormat="false" ht="12.8" hidden="false" customHeight="false" outlineLevel="0" collapsed="false">
      <c r="A24365" s="0" t="s">
        <v>9099</v>
      </c>
      <c r="B24365" s="0" t="str">
        <f aca="false">HYPERLINK("https://lindat.mff.cuni.cz/services/teitok/pdtc10/index.php?action=vallex&amp;frame=v-w3188f1", "oslabit (v-w3188f1)")</f>
        <v>oslabit (v-w3188f1)</v>
      </c>
    </row>
    <row r="24366" customFormat="false" ht="12.8" hidden="false" customHeight="false" outlineLevel="0" collapsed="false">
      <c r="B24366" s="0" t="s">
        <v>7</v>
      </c>
      <c r="C24366" s="0" t="s">
        <v>9100</v>
      </c>
      <c r="D24366" s="0" t="s">
        <v>9101</v>
      </c>
      <c r="E24366" s="0" t="s">
        <v>9101</v>
      </c>
      <c r="F24366" s="0" t="s">
        <v>9101</v>
      </c>
    </row>
    <row r="24367" customFormat="false" ht="12.8" hidden="false" customHeight="false" outlineLevel="0" collapsed="false">
      <c r="B24367" s="0" t="s">
        <v>14</v>
      </c>
      <c r="C24367" s="0" t="s">
        <v>3599</v>
      </c>
      <c r="D24367" s="0" t="s">
        <v>9102</v>
      </c>
      <c r="E24367" s="0" t="s">
        <v>9102</v>
      </c>
      <c r="F24367" s="0" t="s">
        <v>9102</v>
      </c>
    </row>
    <row r="24368" customFormat="false" ht="12.8" hidden="false" customHeight="false" outlineLevel="0" collapsed="false">
      <c r="B24368" s="0" t="s">
        <v>35</v>
      </c>
      <c r="D24368" s="0" t="s">
        <v>9103</v>
      </c>
      <c r="E24368" s="0" t="s">
        <v>9103</v>
      </c>
      <c r="F24368" s="0" t="s">
        <v>9103</v>
      </c>
    </row>
    <row r="24369" customFormat="false" ht="12.8" hidden="false" customHeight="false" outlineLevel="0" collapsed="false">
      <c r="B24369" s="0" t="s">
        <v>84</v>
      </c>
      <c r="C24369" s="0" t="s">
        <v>4346</v>
      </c>
      <c r="D24369" s="0" t="s">
        <v>9104</v>
      </c>
      <c r="E24369" s="0" t="s">
        <v>9104</v>
      </c>
      <c r="F24369" s="0" t="s">
        <v>9104</v>
      </c>
    </row>
    <row r="24371" customFormat="false" ht="12.8" hidden="false" customHeight="false" outlineLevel="0" collapsed="false">
      <c r="A24371" s="0" t="s">
        <v>9105</v>
      </c>
      <c r="B24371" s="0" t="str">
        <f aca="false">HYPERLINK("https://lindat.mff.cuni.cz/services/teitok/pdtc10/index.php?action=vallex&amp;frame=v-w3188f3", "oslabit (v-w3188f3)")</f>
        <v>oslabit (v-w3188f3)</v>
      </c>
    </row>
    <row r="24372" customFormat="false" ht="12.8" hidden="false" customHeight="false" outlineLevel="0" collapsed="false">
      <c r="B24372" s="0" t="s">
        <v>7</v>
      </c>
      <c r="C24372" s="0" t="s">
        <v>2560</v>
      </c>
      <c r="D24372" s="0" t="s">
        <v>9106</v>
      </c>
      <c r="E24372" s="0" t="s">
        <v>9106</v>
      </c>
      <c r="F24372" s="0" t="s">
        <v>9106</v>
      </c>
    </row>
    <row r="24373" customFormat="false" ht="12.8" hidden="false" customHeight="false" outlineLevel="0" collapsed="false">
      <c r="B24373" s="0" t="s">
        <v>14</v>
      </c>
      <c r="C24373" s="0" t="s">
        <v>1681</v>
      </c>
      <c r="D24373" s="0" t="s">
        <v>9107</v>
      </c>
      <c r="E24373" s="0" t="s">
        <v>9107</v>
      </c>
      <c r="F24373" s="0" t="s">
        <v>9107</v>
      </c>
    </row>
    <row r="24375" customFormat="false" ht="12.8" hidden="false" customHeight="false" outlineLevel="0" collapsed="false">
      <c r="A24375" s="0" t="s">
        <v>9108</v>
      </c>
      <c r="B24375" s="0" t="str">
        <f aca="false">HYPERLINK("https://lindat.mff.cuni.cz/services/teitok/pdtc10/index.php?action=vallex&amp;frame=v-w3188f2", "oslabit (v-w3188f2)")</f>
        <v>oslabit (v-w3188f2)</v>
      </c>
    </row>
    <row r="24376" customFormat="false" ht="12.8" hidden="false" customHeight="false" outlineLevel="0" collapsed="false">
      <c r="B24376" s="0" t="s">
        <v>7</v>
      </c>
      <c r="C24376" s="0" t="s">
        <v>9109</v>
      </c>
      <c r="D24376" s="0" t="s">
        <v>9110</v>
      </c>
      <c r="E24376" s="0" t="s">
        <v>9111</v>
      </c>
      <c r="F24376" s="0" t="s">
        <v>9111</v>
      </c>
    </row>
    <row r="24378" customFormat="false" ht="12.8" hidden="false" customHeight="false" outlineLevel="0" collapsed="false">
      <c r="A24378" s="0" t="s">
        <v>9112</v>
      </c>
      <c r="B24378" s="0" t="str">
        <f aca="false">HYPERLINK("https://lindat.mff.cuni.cz/services/teitok/pdtc10/index.php?action=vallex&amp;frame=v-w3188f4_ZU", "oslabit (v-w3188f4_ZU)")</f>
        <v>oslabit (v-w3188f4_ZU)</v>
      </c>
    </row>
    <row r="24379" customFormat="false" ht="12.8" hidden="false" customHeight="false" outlineLevel="0" collapsed="false">
      <c r="B24379" s="0" t="s">
        <v>7</v>
      </c>
      <c r="C24379" s="0" t="s">
        <v>9113</v>
      </c>
      <c r="D24379" s="0" t="s">
        <v>9114</v>
      </c>
      <c r="E24379" s="0" t="s">
        <v>4615</v>
      </c>
      <c r="F24379" s="0" t="s">
        <v>4615</v>
      </c>
    </row>
    <row r="24380" customFormat="false" ht="12.8" hidden="false" customHeight="false" outlineLevel="0" collapsed="false">
      <c r="B24380" s="0" t="s">
        <v>63</v>
      </c>
      <c r="C24380" s="0" t="s">
        <v>9115</v>
      </c>
      <c r="D24380" s="0" t="s">
        <v>9116</v>
      </c>
      <c r="E24380" s="0" t="s">
        <v>4618</v>
      </c>
      <c r="F24380" s="0" t="s">
        <v>4618</v>
      </c>
    </row>
    <row r="24381" customFormat="false" ht="12.8" hidden="false" customHeight="false" outlineLevel="0" collapsed="false">
      <c r="B24381" s="0" t="s">
        <v>35</v>
      </c>
      <c r="C24381" s="0" t="s">
        <v>9117</v>
      </c>
      <c r="D24381" s="0" t="s">
        <v>9118</v>
      </c>
      <c r="E24381" s="0" t="s">
        <v>4621</v>
      </c>
      <c r="F24381" s="0" t="s">
        <v>4621</v>
      </c>
    </row>
    <row r="24383" customFormat="false" ht="12.8" hidden="false" customHeight="false" outlineLevel="0" collapsed="false">
      <c r="A24383" s="0" t="s">
        <v>9112</v>
      </c>
      <c r="B24383" s="0" t="str">
        <f aca="false">HYPERLINK("https://lindat.mff.cuni.cz/services/teitok/pdtc10/index.php?action=vallex&amp;frame=v-w3188hsa_487", "oslabit (v-w3188hsa_487) - substituted with v-w3188f4_ZU")</f>
        <v>oslabit (v-w3188hsa_487) - substituted with v-w3188f4_ZU</v>
      </c>
    </row>
    <row r="24384" customFormat="false" ht="12.8" hidden="false" customHeight="false" outlineLevel="0" collapsed="false">
      <c r="B24384" s="0" t="s">
        <v>7</v>
      </c>
    </row>
    <row r="24385" customFormat="false" ht="12.8" hidden="false" customHeight="false" outlineLevel="0" collapsed="false">
      <c r="B24385" s="0" t="s">
        <v>63</v>
      </c>
    </row>
    <row r="24386" customFormat="false" ht="12.8" hidden="false" customHeight="false" outlineLevel="0" collapsed="false">
      <c r="B24386" s="0" t="s">
        <v>35</v>
      </c>
    </row>
    <row r="24388" customFormat="false" ht="12.8" hidden="false" customHeight="false" outlineLevel="0" collapsed="false">
      <c r="A24388" s="0" t="s">
        <v>9119</v>
      </c>
      <c r="B24388" s="0" t="str">
        <f aca="false">HYPERLINK("https://lindat.mff.cuni.cz/services/teitok/pdtc10/index.php?action=vallex&amp;frame=v-w3190f1", "oslabovat (v-w3190f1)")</f>
        <v>oslabovat (v-w3190f1)</v>
      </c>
    </row>
    <row r="24389" customFormat="false" ht="12.8" hidden="false" customHeight="false" outlineLevel="0" collapsed="false">
      <c r="B24389" s="0" t="s">
        <v>7</v>
      </c>
      <c r="D24389" s="0" t="s">
        <v>9101</v>
      </c>
      <c r="E24389" s="0" t="s">
        <v>9101</v>
      </c>
      <c r="F24389" s="0" t="s">
        <v>9101</v>
      </c>
    </row>
    <row r="24390" customFormat="false" ht="12.8" hidden="false" customHeight="false" outlineLevel="0" collapsed="false">
      <c r="B24390" s="0" t="s">
        <v>14</v>
      </c>
      <c r="D24390" s="0" t="s">
        <v>9102</v>
      </c>
      <c r="E24390" s="0" t="s">
        <v>9102</v>
      </c>
      <c r="F24390" s="0" t="s">
        <v>9102</v>
      </c>
    </row>
    <row r="24391" customFormat="false" ht="12.8" hidden="false" customHeight="false" outlineLevel="0" collapsed="false">
      <c r="B24391" s="0" t="s">
        <v>35</v>
      </c>
      <c r="D24391" s="0" t="s">
        <v>9103</v>
      </c>
      <c r="E24391" s="0" t="s">
        <v>9103</v>
      </c>
      <c r="F24391" s="0" t="s">
        <v>9103</v>
      </c>
    </row>
    <row r="24392" customFormat="false" ht="12.8" hidden="false" customHeight="false" outlineLevel="0" collapsed="false">
      <c r="B24392" s="0" t="s">
        <v>84</v>
      </c>
      <c r="D24392" s="0" t="s">
        <v>9104</v>
      </c>
      <c r="E24392" s="0" t="s">
        <v>9104</v>
      </c>
      <c r="F24392" s="0" t="s">
        <v>9104</v>
      </c>
    </row>
    <row r="24394" customFormat="false" ht="12.8" hidden="false" customHeight="false" outlineLevel="0" collapsed="false">
      <c r="A24394" s="0" t="s">
        <v>9120</v>
      </c>
      <c r="B24394" s="0" t="str">
        <f aca="false">HYPERLINK("https://lindat.mff.cuni.cz/services/teitok/pdtc10/index.php?action=vallex&amp;frame=v-w3190f2", "oslabovat (v-w3190f2)")</f>
        <v>oslabovat (v-w3190f2)</v>
      </c>
    </row>
    <row r="24395" customFormat="false" ht="12.8" hidden="false" customHeight="false" outlineLevel="0" collapsed="false">
      <c r="B24395" s="0" t="s">
        <v>7</v>
      </c>
      <c r="C24395" s="0" t="s">
        <v>504</v>
      </c>
      <c r="D24395" s="0" t="s">
        <v>9106</v>
      </c>
      <c r="E24395" s="0" t="s">
        <v>9106</v>
      </c>
      <c r="F24395" s="0" t="s">
        <v>9106</v>
      </c>
    </row>
    <row r="24396" customFormat="false" ht="12.8" hidden="false" customHeight="false" outlineLevel="0" collapsed="false">
      <c r="B24396" s="0" t="s">
        <v>14</v>
      </c>
      <c r="C24396" s="0" t="s">
        <v>159</v>
      </c>
      <c r="D24396" s="0" t="s">
        <v>9107</v>
      </c>
      <c r="E24396" s="0" t="s">
        <v>9107</v>
      </c>
      <c r="F24396" s="0" t="s">
        <v>9107</v>
      </c>
    </row>
    <row r="24398" customFormat="false" ht="12.8" hidden="false" customHeight="false" outlineLevel="0" collapsed="false">
      <c r="A24398" s="0" t="s">
        <v>9121</v>
      </c>
      <c r="B24398" s="0" t="str">
        <f aca="false">HYPERLINK("https://lindat.mff.cuni.cz/services/teitok/pdtc10/index.php?action=vallex&amp;frame=v-w3190f4_ZU", "oslabovat (v-w3190f4_ZU)")</f>
        <v>oslabovat (v-w3190f4_ZU)</v>
      </c>
    </row>
    <row r="24399" customFormat="false" ht="12.8" hidden="false" customHeight="false" outlineLevel="0" collapsed="false">
      <c r="B24399" s="0" t="s">
        <v>7</v>
      </c>
      <c r="D24399" s="0" t="s">
        <v>9110</v>
      </c>
      <c r="E24399" s="0" t="s">
        <v>9110</v>
      </c>
      <c r="F24399" s="0" t="s">
        <v>9110</v>
      </c>
    </row>
    <row r="24401" customFormat="false" ht="12.8" hidden="false" customHeight="false" outlineLevel="0" collapsed="false">
      <c r="A24401" s="0" t="s">
        <v>9121</v>
      </c>
      <c r="B24401" s="0" t="str">
        <f aca="false">HYPERLINK("https://lindat.mff.cuni.cz/services/teitok/pdtc10/index.php?action=vallex&amp;frame=v-w3190f3_ZU", "oslabovat (v-w3190f3_ZU) - substituted with v-w3190f4_ZU")</f>
        <v>oslabovat (v-w3190f3_ZU) - substituted with v-w3190f4_ZU</v>
      </c>
    </row>
    <row r="24402" customFormat="false" ht="12.8" hidden="false" customHeight="false" outlineLevel="0" collapsed="false">
      <c r="B24402" s="0" t="s">
        <v>7</v>
      </c>
      <c r="C24402" s="0" t="s">
        <v>2911</v>
      </c>
    </row>
    <row r="24404" customFormat="false" ht="12.8" hidden="false" customHeight="false" outlineLevel="0" collapsed="false">
      <c r="A24404" s="0" t="s">
        <v>9122</v>
      </c>
      <c r="B24404" s="0" t="str">
        <f aca="false">HYPERLINK("https://lindat.mff.cuni.cz/services/teitok/pdtc10/index.php?action=vallex&amp;frame=v-w3190hsa_1298", "oslabovat (v-w3190hsa_1298)")</f>
        <v>oslabovat (v-w3190hsa_1298)</v>
      </c>
    </row>
    <row r="24405" customFormat="false" ht="12.8" hidden="false" customHeight="false" outlineLevel="0" collapsed="false">
      <c r="B24405" s="0" t="s">
        <v>7</v>
      </c>
    </row>
    <row r="24407" customFormat="false" ht="12.8" hidden="false" customHeight="false" outlineLevel="0" collapsed="false">
      <c r="A24407" s="0" t="s">
        <v>9123</v>
      </c>
      <c r="B24407" s="0" t="str">
        <f aca="false">HYPERLINK("https://lindat.mff.cuni.cz/services/teitok/pdtc10/index.php?action=vallex&amp;frame=v-w3191f1", "oslabovat se (v-w3191f1)")</f>
        <v>oslabovat se (v-w3191f1)</v>
      </c>
    </row>
    <row r="24408" customFormat="false" ht="12.8" hidden="false" customHeight="false" outlineLevel="0" collapsed="false">
      <c r="B24408" s="0" t="s">
        <v>7</v>
      </c>
      <c r="C24408" s="0" t="s">
        <v>708</v>
      </c>
    </row>
    <row r="24410" customFormat="false" ht="12.8" hidden="false" customHeight="false" outlineLevel="0" collapsed="false">
      <c r="A24410" s="0" t="s">
        <v>9124</v>
      </c>
      <c r="B24410" s="0" t="str">
        <f aca="false">HYPERLINK("https://lindat.mff.cuni.cz/services/teitok/pdtc10/index.php?action=vallex&amp;frame=v-w11213f2", "osladit (v-w11213f2)")</f>
        <v>osladit (v-w11213f2)</v>
      </c>
    </row>
    <row r="24411" customFormat="false" ht="12.8" hidden="false" customHeight="false" outlineLevel="0" collapsed="false">
      <c r="B24411" s="0" t="s">
        <v>7</v>
      </c>
      <c r="C24411" s="0" t="s">
        <v>460</v>
      </c>
      <c r="D24411" s="0" t="s">
        <v>460</v>
      </c>
      <c r="E24411" s="0" t="s">
        <v>460</v>
      </c>
      <c r="F24411" s="0" t="s">
        <v>460</v>
      </c>
    </row>
    <row r="24412" customFormat="false" ht="12.8" hidden="false" customHeight="false" outlineLevel="0" collapsed="false">
      <c r="B24412" s="0" t="s">
        <v>14</v>
      </c>
      <c r="C24412" s="0" t="s">
        <v>1209</v>
      </c>
      <c r="D24412" s="0" t="s">
        <v>1209</v>
      </c>
      <c r="E24412" s="0" t="s">
        <v>1209</v>
      </c>
      <c r="F24412" s="0" t="s">
        <v>1209</v>
      </c>
    </row>
    <row r="24414" customFormat="false" ht="12.8" hidden="false" customHeight="false" outlineLevel="0" collapsed="false">
      <c r="A24414" s="0" t="s">
        <v>9125</v>
      </c>
      <c r="B24414" s="0" t="str">
        <f aca="false">HYPERLINK("https://lindat.mff.cuni.cz/services/teitok/pdtc10/index.php?action=vallex&amp;frame=v-w11213f3_ZU", "osladit (v-w11213f3_ZU)")</f>
        <v>osladit (v-w11213f3_ZU)</v>
      </c>
    </row>
    <row r="24415" customFormat="false" ht="12.8" hidden="false" customHeight="false" outlineLevel="0" collapsed="false">
      <c r="B24415" s="0" t="s">
        <v>7</v>
      </c>
    </row>
    <row r="24416" customFormat="false" ht="12.8" hidden="false" customHeight="false" outlineLevel="0" collapsed="false">
      <c r="B24416" s="0" t="s">
        <v>14</v>
      </c>
    </row>
    <row r="24418" customFormat="false" ht="12.8" hidden="false" customHeight="false" outlineLevel="0" collapsed="false">
      <c r="A24418" s="0" t="s">
        <v>9126</v>
      </c>
      <c r="B24418" s="0" t="str">
        <f aca="false">HYPERLINK("https://lindat.mff.cuni.cz/services/teitok/pdtc10/index.php?action=vallex&amp;frame=v-w3193f1", "oslavit (v-w3193f1)")</f>
        <v>oslavit (v-w3193f1)</v>
      </c>
    </row>
    <row r="24419" customFormat="false" ht="12.8" hidden="false" customHeight="false" outlineLevel="0" collapsed="false">
      <c r="B24419" s="0" t="s">
        <v>7</v>
      </c>
      <c r="C24419" s="0" t="s">
        <v>113</v>
      </c>
      <c r="D24419" s="0" t="s">
        <v>1263</v>
      </c>
      <c r="E24419" s="0" t="s">
        <v>1263</v>
      </c>
      <c r="F24419" s="0" t="s">
        <v>1263</v>
      </c>
    </row>
    <row r="24420" customFormat="false" ht="12.8" hidden="false" customHeight="false" outlineLevel="0" collapsed="false">
      <c r="B24420" s="0" t="s">
        <v>1451</v>
      </c>
      <c r="C24420" s="0" t="s">
        <v>120</v>
      </c>
      <c r="D24420" s="0" t="s">
        <v>9127</v>
      </c>
      <c r="E24420" s="0" t="s">
        <v>9127</v>
      </c>
      <c r="F24420" s="0" t="s">
        <v>9127</v>
      </c>
    </row>
    <row r="24422" customFormat="false" ht="12.8" hidden="false" customHeight="false" outlineLevel="0" collapsed="false">
      <c r="A24422" s="0" t="s">
        <v>9128</v>
      </c>
      <c r="B24422" s="0" t="str">
        <f aca="false">HYPERLINK("https://lindat.mff.cuni.cz/services/teitok/pdtc10/index.php?action=vallex&amp;frame=v-w3194f1", "oslavovat (v-w3194f1)")</f>
        <v>oslavovat (v-w3194f1)</v>
      </c>
    </row>
    <row r="24423" customFormat="false" ht="12.8" hidden="false" customHeight="false" outlineLevel="0" collapsed="false">
      <c r="B24423" s="0" t="s">
        <v>7</v>
      </c>
      <c r="C24423" s="0" t="s">
        <v>157</v>
      </c>
      <c r="D24423" s="0" t="s">
        <v>1263</v>
      </c>
      <c r="E24423" s="0" t="s">
        <v>1263</v>
      </c>
      <c r="F24423" s="0" t="s">
        <v>1263</v>
      </c>
    </row>
    <row r="24424" customFormat="false" ht="12.8" hidden="false" customHeight="false" outlineLevel="0" collapsed="false">
      <c r="B24424" s="0" t="s">
        <v>172</v>
      </c>
      <c r="C24424" s="0" t="s">
        <v>9129</v>
      </c>
      <c r="D24424" s="0" t="s">
        <v>9127</v>
      </c>
      <c r="E24424" s="0" t="s">
        <v>9127</v>
      </c>
      <c r="F24424" s="0" t="s">
        <v>9127</v>
      </c>
    </row>
    <row r="24426" customFormat="false" ht="12.8" hidden="false" customHeight="false" outlineLevel="0" collapsed="false">
      <c r="A24426" s="0" t="s">
        <v>9130</v>
      </c>
      <c r="B24426" s="0" t="str">
        <f aca="false">HYPERLINK("https://lindat.mff.cuni.cz/services/teitok/pdtc10/index.php?action=vallex&amp;frame=v-w3196f1", "oslepit (v-w3196f1)")</f>
        <v>oslepit (v-w3196f1)</v>
      </c>
    </row>
    <row r="24427" customFormat="false" ht="12.8" hidden="false" customHeight="false" outlineLevel="0" collapsed="false">
      <c r="B24427" s="0" t="s">
        <v>7</v>
      </c>
    </row>
    <row r="24428" customFormat="false" ht="12.8" hidden="false" customHeight="false" outlineLevel="0" collapsed="false">
      <c r="B24428" s="0" t="s">
        <v>14</v>
      </c>
    </row>
    <row r="24430" customFormat="false" ht="12.8" hidden="false" customHeight="false" outlineLevel="0" collapsed="false">
      <c r="A24430" s="0" t="s">
        <v>9131</v>
      </c>
      <c r="B24430" s="0" t="str">
        <f aca="false">HYPERLINK("https://lindat.mff.cuni.cz/services/teitok/pdtc10/index.php?action=vallex&amp;frame=v-w12142_ZUf1_ZU", "oslepnout (v-w12142_ZUf1_ZU)")</f>
        <v>oslepnout (v-w12142_ZUf1_ZU)</v>
      </c>
    </row>
    <row r="24431" customFormat="false" ht="12.8" hidden="false" customHeight="false" outlineLevel="0" collapsed="false">
      <c r="B24431" s="0" t="s">
        <v>7</v>
      </c>
    </row>
    <row r="24433" customFormat="false" ht="12.8" hidden="false" customHeight="false" outlineLevel="0" collapsed="false">
      <c r="A24433" s="0" t="s">
        <v>9132</v>
      </c>
      <c r="B24433" s="0" t="str">
        <f aca="false">HYPERLINK("https://lindat.mff.cuni.cz/services/teitok/pdtc10/index.php?action=vallex&amp;frame=v-w3197f1", "oslnit (v-w3197f1)")</f>
        <v>oslnit (v-w3197f1)</v>
      </c>
    </row>
    <row r="24434" customFormat="false" ht="12.8" hidden="false" customHeight="false" outlineLevel="0" collapsed="false">
      <c r="B24434" s="0" t="s">
        <v>7</v>
      </c>
      <c r="C24434" s="0" t="s">
        <v>46</v>
      </c>
      <c r="D24434" s="0" t="s">
        <v>9133</v>
      </c>
      <c r="E24434" s="0" t="s">
        <v>9133</v>
      </c>
      <c r="F24434" s="0" t="s">
        <v>9133</v>
      </c>
    </row>
    <row r="24435" customFormat="false" ht="12.8" hidden="false" customHeight="false" outlineLevel="0" collapsed="false">
      <c r="B24435" s="0" t="s">
        <v>14</v>
      </c>
      <c r="C24435" s="0" t="s">
        <v>155</v>
      </c>
      <c r="D24435" s="0" t="s">
        <v>9134</v>
      </c>
      <c r="E24435" s="0" t="s">
        <v>9134</v>
      </c>
      <c r="F24435" s="0" t="s">
        <v>9134</v>
      </c>
    </row>
    <row r="24437" customFormat="false" ht="12.8" hidden="false" customHeight="false" outlineLevel="0" collapsed="false">
      <c r="A24437" s="0" t="s">
        <v>9135</v>
      </c>
      <c r="B24437" s="0" t="str">
        <f aca="false">HYPERLINK("https://lindat.mff.cuni.cz/services/teitok/pdtc10/index.php?action=vallex&amp;frame=v-w3199f2", "oslovit (v-w3199f2)")</f>
        <v>oslovit (v-w3199f2)</v>
      </c>
    </row>
    <row r="24438" customFormat="false" ht="12.8" hidden="false" customHeight="false" outlineLevel="0" collapsed="false">
      <c r="B24438" s="0" t="s">
        <v>7</v>
      </c>
      <c r="C24438" s="0" t="s">
        <v>88</v>
      </c>
      <c r="D24438" s="0" t="s">
        <v>2266</v>
      </c>
      <c r="E24438" s="0" t="s">
        <v>2266</v>
      </c>
      <c r="F24438" s="0" t="s">
        <v>2266</v>
      </c>
    </row>
    <row r="24439" customFormat="false" ht="12.8" hidden="false" customHeight="false" outlineLevel="0" collapsed="false">
      <c r="B24439" s="0" t="s">
        <v>14</v>
      </c>
      <c r="C24439" s="0" t="s">
        <v>110</v>
      </c>
      <c r="D24439" s="0" t="s">
        <v>7292</v>
      </c>
      <c r="E24439" s="0" t="s">
        <v>7292</v>
      </c>
      <c r="F24439" s="0" t="s">
        <v>7292</v>
      </c>
    </row>
    <row r="24440" customFormat="false" ht="12.8" hidden="false" customHeight="false" outlineLevel="0" collapsed="false">
      <c r="B24440" s="0" t="s">
        <v>9136</v>
      </c>
      <c r="D24440" s="0" t="s">
        <v>7295</v>
      </c>
      <c r="E24440" s="0" t="s">
        <v>7295</v>
      </c>
      <c r="F24440" s="0" t="s">
        <v>7295</v>
      </c>
    </row>
    <row r="24442" customFormat="false" ht="12.8" hidden="false" customHeight="false" outlineLevel="0" collapsed="false">
      <c r="A24442" s="0" t="s">
        <v>9137</v>
      </c>
      <c r="B24442" s="0" t="str">
        <f aca="false">HYPERLINK("https://lindat.mff.cuni.cz/services/teitok/pdtc10/index.php?action=vallex&amp;frame=v-w3199f5_ZU", "oslovit (v-w3199f5_ZU)")</f>
        <v>oslovit (v-w3199f5_ZU)</v>
      </c>
    </row>
    <row r="24443" customFormat="false" ht="12.8" hidden="false" customHeight="false" outlineLevel="0" collapsed="false">
      <c r="B24443" s="0" t="s">
        <v>7</v>
      </c>
      <c r="C24443" s="0" t="s">
        <v>7215</v>
      </c>
      <c r="D24443" s="0" t="s">
        <v>114</v>
      </c>
      <c r="E24443" s="0" t="s">
        <v>114</v>
      </c>
      <c r="F24443" s="0" t="s">
        <v>114</v>
      </c>
    </row>
    <row r="24444" customFormat="false" ht="12.8" hidden="false" customHeight="false" outlineLevel="0" collapsed="false">
      <c r="B24444" s="0" t="s">
        <v>14</v>
      </c>
      <c r="C24444" s="0" t="s">
        <v>9138</v>
      </c>
      <c r="D24444" s="0" t="s">
        <v>116</v>
      </c>
      <c r="E24444" s="0" t="s">
        <v>116</v>
      </c>
      <c r="F24444" s="0" t="s">
        <v>116</v>
      </c>
    </row>
    <row r="24445" customFormat="false" ht="12.8" hidden="false" customHeight="false" outlineLevel="0" collapsed="false">
      <c r="B24445" s="0" t="s">
        <v>9139</v>
      </c>
      <c r="D24445" s="0" t="s">
        <v>9140</v>
      </c>
      <c r="E24445" s="0" t="s">
        <v>9140</v>
      </c>
      <c r="F24445" s="0" t="s">
        <v>9140</v>
      </c>
    </row>
    <row r="24447" customFormat="false" ht="12.8" hidden="false" customHeight="false" outlineLevel="0" collapsed="false">
      <c r="A24447" s="0" t="s">
        <v>9137</v>
      </c>
      <c r="B24447" s="0" t="str">
        <f aca="false">HYPERLINK("https://lindat.mff.cuni.cz/services/teitok/pdtc10/index.php?action=vallex&amp;frame=v-w3199f1", "oslovit (v-w3199f1) - substituted with v-w3199f5_ZU")</f>
        <v>oslovit (v-w3199f1) - substituted with v-w3199f5_ZU</v>
      </c>
    </row>
    <row r="24448" customFormat="false" ht="12.8" hidden="false" customHeight="false" outlineLevel="0" collapsed="false">
      <c r="B24448" s="0" t="s">
        <v>7</v>
      </c>
      <c r="C24448" s="0" t="s">
        <v>9141</v>
      </c>
    </row>
    <row r="24449" customFormat="false" ht="12.8" hidden="false" customHeight="false" outlineLevel="0" collapsed="false">
      <c r="B24449" s="0" t="s">
        <v>14</v>
      </c>
      <c r="C24449" s="0" t="s">
        <v>9142</v>
      </c>
    </row>
    <row r="24450" customFormat="false" ht="12.8" hidden="false" customHeight="false" outlineLevel="0" collapsed="false">
      <c r="B24450" s="0" t="s">
        <v>9139</v>
      </c>
    </row>
    <row r="24452" customFormat="false" ht="12.8" hidden="false" customHeight="false" outlineLevel="0" collapsed="false">
      <c r="A24452" s="0" t="s">
        <v>9143</v>
      </c>
      <c r="B24452" s="0" t="str">
        <f aca="false">HYPERLINK("https://lindat.mff.cuni.cz/services/teitok/pdtc10/index.php?action=vallex&amp;frame=v-w3199f4_ZU", "oslovit (v-w3199f4_ZU)")</f>
        <v>oslovit (v-w3199f4_ZU)</v>
      </c>
    </row>
    <row r="24453" customFormat="false" ht="12.8" hidden="false" customHeight="false" outlineLevel="0" collapsed="false">
      <c r="B24453" s="0" t="s">
        <v>7</v>
      </c>
      <c r="D24453" s="0" t="s">
        <v>9144</v>
      </c>
      <c r="E24453" s="0" t="s">
        <v>9144</v>
      </c>
      <c r="F24453" s="0" t="s">
        <v>9144</v>
      </c>
    </row>
    <row r="24454" customFormat="false" ht="12.8" hidden="false" customHeight="false" outlineLevel="0" collapsed="false">
      <c r="B24454" s="0" t="s">
        <v>14</v>
      </c>
      <c r="D24454" s="0" t="s">
        <v>78</v>
      </c>
      <c r="E24454" s="0" t="s">
        <v>78</v>
      </c>
      <c r="F24454" s="0" t="s">
        <v>78</v>
      </c>
    </row>
    <row r="24456" customFormat="false" ht="12.8" hidden="false" customHeight="false" outlineLevel="0" collapsed="false">
      <c r="A24456" s="0" t="s">
        <v>9143</v>
      </c>
      <c r="B24456" s="0" t="str">
        <f aca="false">HYPERLINK("https://lindat.mff.cuni.cz/services/teitok/pdtc10/index.php?action=vallex&amp;frame=v-w3199f3_ZU", "oslovit (v-w3199f3_ZU) - substituted with v-w3199f4_ZU")</f>
        <v>oslovit (v-w3199f3_ZU) - substituted with v-w3199f4_ZU</v>
      </c>
    </row>
    <row r="24457" customFormat="false" ht="12.8" hidden="false" customHeight="false" outlineLevel="0" collapsed="false">
      <c r="B24457" s="0" t="s">
        <v>7</v>
      </c>
    </row>
    <row r="24458" customFormat="false" ht="12.8" hidden="false" customHeight="false" outlineLevel="0" collapsed="false">
      <c r="B24458" s="0" t="s">
        <v>14</v>
      </c>
    </row>
    <row r="24460" customFormat="false" ht="12.8" hidden="false" customHeight="false" outlineLevel="0" collapsed="false">
      <c r="A24460" s="0" t="s">
        <v>9143</v>
      </c>
      <c r="B24460" s="0" t="str">
        <f aca="false">HYPERLINK("https://lindat.mff.cuni.cz/services/teitok/pdtc10/index.php?action=vallex&amp;frame=v-w3199hsa_152", "oslovit (v-w3199hsa_152) - substituted with v-w3199f4_ZU")</f>
        <v>oslovit (v-w3199hsa_152) - substituted with v-w3199f4_ZU</v>
      </c>
    </row>
    <row r="24461" customFormat="false" ht="12.8" hidden="false" customHeight="false" outlineLevel="0" collapsed="false">
      <c r="B24461" s="0" t="s">
        <v>7</v>
      </c>
      <c r="C24461" s="0" t="s">
        <v>118</v>
      </c>
    </row>
    <row r="24462" customFormat="false" ht="12.8" hidden="false" customHeight="false" outlineLevel="0" collapsed="false">
      <c r="B24462" s="0" t="s">
        <v>14</v>
      </c>
      <c r="C24462" s="0" t="s">
        <v>625</v>
      </c>
    </row>
    <row r="24464" customFormat="false" ht="12.8" hidden="false" customHeight="false" outlineLevel="0" collapsed="false">
      <c r="A24464" s="0" t="s">
        <v>9145</v>
      </c>
      <c r="B24464" s="0" t="str">
        <f aca="false">HYPERLINK("https://lindat.mff.cuni.cz/services/teitok/pdtc10/index.php?action=vallex&amp;frame=v-w3200f1", "oslovovat (v-w3200f1)")</f>
        <v>oslovovat (v-w3200f1)</v>
      </c>
    </row>
    <row r="24465" customFormat="false" ht="12.8" hidden="false" customHeight="false" outlineLevel="0" collapsed="false">
      <c r="B24465" s="0" t="s">
        <v>7</v>
      </c>
    </row>
    <row r="24466" customFormat="false" ht="12.8" hidden="false" customHeight="false" outlineLevel="0" collapsed="false">
      <c r="B24466" s="0" t="s">
        <v>14</v>
      </c>
    </row>
    <row r="24468" customFormat="false" ht="12.8" hidden="false" customHeight="false" outlineLevel="0" collapsed="false">
      <c r="A24468" s="0" t="s">
        <v>9146</v>
      </c>
      <c r="B24468" s="0" t="str">
        <f aca="false">HYPERLINK("https://lindat.mff.cuni.cz/services/teitok/pdtc10/index.php?action=vallex&amp;frame=v-w3200f2_ZU", "oslovovat (v-w3200f2_ZU)")</f>
        <v>oslovovat (v-w3200f2_ZU)</v>
      </c>
    </row>
    <row r="24469" customFormat="false" ht="12.8" hidden="false" customHeight="false" outlineLevel="0" collapsed="false">
      <c r="B24469" s="0" t="s">
        <v>7</v>
      </c>
    </row>
    <row r="24470" customFormat="false" ht="12.8" hidden="false" customHeight="false" outlineLevel="0" collapsed="false">
      <c r="B24470" s="0" t="s">
        <v>14</v>
      </c>
    </row>
    <row r="24471" customFormat="false" ht="12.8" hidden="false" customHeight="false" outlineLevel="0" collapsed="false">
      <c r="B24471" s="0" t="s">
        <v>9147</v>
      </c>
    </row>
    <row r="24473" customFormat="false" ht="12.8" hidden="false" customHeight="false" outlineLevel="0" collapsed="false">
      <c r="A24473" s="0" t="s">
        <v>9146</v>
      </c>
      <c r="B24473" s="0" t="str">
        <f aca="false">HYPERLINK("https://lindat.mff.cuni.cz/services/teitok/pdtc10/index.php?action=vallex&amp;frame=v-w3200hsa_963", "oslovovat (v-w3200hsa_963) - substituted with v-w3200f2_ZU")</f>
        <v>oslovovat (v-w3200hsa_963) - substituted with v-w3200f2_ZU</v>
      </c>
    </row>
    <row r="24474" customFormat="false" ht="12.8" hidden="false" customHeight="false" outlineLevel="0" collapsed="false">
      <c r="B24474" s="0" t="s">
        <v>7</v>
      </c>
      <c r="C24474" s="0" t="s">
        <v>7297</v>
      </c>
      <c r="D24474" s="0" t="s">
        <v>2266</v>
      </c>
      <c r="E24474" s="0" t="s">
        <v>2266</v>
      </c>
      <c r="F24474" s="0" t="s">
        <v>2266</v>
      </c>
    </row>
    <row r="24475" customFormat="false" ht="12.8" hidden="false" customHeight="false" outlineLevel="0" collapsed="false">
      <c r="B24475" s="0" t="s">
        <v>14</v>
      </c>
      <c r="C24475" s="0" t="s">
        <v>7298</v>
      </c>
      <c r="D24475" s="0" t="s">
        <v>7292</v>
      </c>
      <c r="E24475" s="0" t="s">
        <v>7292</v>
      </c>
      <c r="F24475" s="0" t="s">
        <v>7292</v>
      </c>
    </row>
    <row r="24476" customFormat="false" ht="12.8" hidden="false" customHeight="false" outlineLevel="0" collapsed="false">
      <c r="B24476" s="0" t="s">
        <v>9147</v>
      </c>
      <c r="C24476" s="0" t="s">
        <v>9148</v>
      </c>
      <c r="D24476" s="0" t="s">
        <v>7295</v>
      </c>
      <c r="E24476" s="0" t="s">
        <v>7295</v>
      </c>
      <c r="F24476" s="0" t="s">
        <v>7295</v>
      </c>
    </row>
    <row r="24478" customFormat="false" ht="12.8" hidden="false" customHeight="false" outlineLevel="0" collapsed="false">
      <c r="A24478" s="0" t="s">
        <v>9149</v>
      </c>
      <c r="B24478" s="0" t="str">
        <f aca="false">HYPERLINK("https://lindat.mff.cuni.cz/services/teitok/pdtc10/index.php?action=vallex&amp;frame=v-w3201f1", "oslyšet (v-w3201f1)")</f>
        <v>oslyšet (v-w3201f1)</v>
      </c>
    </row>
    <row r="24479" customFormat="false" ht="12.8" hidden="false" customHeight="false" outlineLevel="0" collapsed="false">
      <c r="B24479" s="0" t="s">
        <v>7</v>
      </c>
    </row>
    <row r="24480" customFormat="false" ht="12.8" hidden="false" customHeight="false" outlineLevel="0" collapsed="false">
      <c r="B24480" s="0" t="s">
        <v>14</v>
      </c>
    </row>
    <row r="24482" customFormat="false" ht="12.8" hidden="false" customHeight="false" outlineLevel="0" collapsed="false">
      <c r="A24482" s="0" t="s">
        <v>9150</v>
      </c>
      <c r="B24482" s="0" t="str">
        <f aca="false">HYPERLINK("https://lindat.mff.cuni.cz/services/teitok/pdtc10/index.php?action=vallex&amp;frame=v-w10420f2", "osnovat (v-w10420f2)")</f>
        <v>osnovat (v-w10420f2)</v>
      </c>
    </row>
    <row r="24483" customFormat="false" ht="12.8" hidden="false" customHeight="false" outlineLevel="0" collapsed="false">
      <c r="B24483" s="0" t="s">
        <v>7</v>
      </c>
      <c r="C24483" s="0" t="s">
        <v>191</v>
      </c>
      <c r="F24483" s="0" t="s">
        <v>118</v>
      </c>
    </row>
    <row r="24484" customFormat="false" ht="12.8" hidden="false" customHeight="false" outlineLevel="0" collapsed="false">
      <c r="B24484" s="0" t="s">
        <v>14</v>
      </c>
      <c r="C24484" s="0" t="s">
        <v>115</v>
      </c>
      <c r="F24484" s="0" t="s">
        <v>1209</v>
      </c>
    </row>
    <row r="24486" customFormat="false" ht="12.8" hidden="false" customHeight="false" outlineLevel="0" collapsed="false">
      <c r="A24486" s="0" t="s">
        <v>9151</v>
      </c>
      <c r="B24486" s="0" t="str">
        <f aca="false">HYPERLINK("https://lindat.mff.cuni.cz/services/teitok/pdtc10/index.php?action=vallex&amp;frame=v-w3202f1", "osobovat si (v-w3202f1)")</f>
        <v>osobovat si (v-w3202f1)</v>
      </c>
    </row>
    <row r="24487" customFormat="false" ht="12.8" hidden="false" customHeight="false" outlineLevel="0" collapsed="false">
      <c r="B24487" s="0" t="s">
        <v>7</v>
      </c>
    </row>
    <row r="24488" customFormat="false" ht="12.8" hidden="false" customHeight="false" outlineLevel="0" collapsed="false">
      <c r="B24488" s="0" t="s">
        <v>14</v>
      </c>
    </row>
    <row r="24490" customFormat="false" ht="12.8" hidden="false" customHeight="false" outlineLevel="0" collapsed="false">
      <c r="A24490" s="0" t="s">
        <v>9152</v>
      </c>
      <c r="B24490" s="0" t="str">
        <f aca="false">HYPERLINK("https://lindat.mff.cuni.cz/services/teitok/pdtc10/index.php?action=vallex&amp;frame=v-w3206f1", "osolit (v-w3206f1)")</f>
        <v>osolit (v-w3206f1)</v>
      </c>
    </row>
    <row r="24491" customFormat="false" ht="12.8" hidden="false" customHeight="false" outlineLevel="0" collapsed="false">
      <c r="B24491" s="0" t="s">
        <v>7</v>
      </c>
    </row>
    <row r="24492" customFormat="false" ht="12.8" hidden="false" customHeight="false" outlineLevel="0" collapsed="false">
      <c r="B24492" s="0" t="s">
        <v>14</v>
      </c>
    </row>
    <row r="24494" customFormat="false" ht="12.8" hidden="false" customHeight="false" outlineLevel="0" collapsed="false">
      <c r="A24494" s="0" t="s">
        <v>9153</v>
      </c>
      <c r="B24494" s="0" t="str">
        <f aca="false">HYPERLINK("https://lindat.mff.cuni.cz/services/teitok/pdtc10/index.php?action=vallex&amp;frame=v-whsa_1324f1_ZU", "osopit se (v-whsa_1324f1_ZU)")</f>
        <v>osopit se (v-whsa_1324f1_ZU)</v>
      </c>
    </row>
    <row r="24495" customFormat="false" ht="12.8" hidden="false" customHeight="false" outlineLevel="0" collapsed="false">
      <c r="B24495" s="0" t="s">
        <v>7</v>
      </c>
    </row>
    <row r="24496" customFormat="false" ht="12.8" hidden="false" customHeight="false" outlineLevel="0" collapsed="false">
      <c r="B24496" s="0" t="s">
        <v>122</v>
      </c>
    </row>
    <row r="24497" customFormat="false" ht="12.8" hidden="false" customHeight="false" outlineLevel="0" collapsed="false">
      <c r="B24497" s="0" t="s">
        <v>9154</v>
      </c>
    </row>
    <row r="24499" customFormat="false" ht="12.8" hidden="false" customHeight="false" outlineLevel="0" collapsed="false">
      <c r="A24499" s="0" t="s">
        <v>9153</v>
      </c>
      <c r="B24499" s="0" t="str">
        <f aca="false">HYPERLINK("https://lindat.mff.cuni.cz/services/teitok/pdtc10/index.php?action=vallex&amp;frame=v-whsb_1324hsa_1325", "osopit se (v-whsb_1324hsa_1325) - substituted with v-whsa_1324f1_ZU")</f>
        <v>osopit se (v-whsb_1324hsa_1325) - substituted with v-whsa_1324f1_ZU</v>
      </c>
    </row>
    <row r="24500" customFormat="false" ht="12.8" hidden="false" customHeight="false" outlineLevel="0" collapsed="false">
      <c r="B24500" s="0" t="s">
        <v>7</v>
      </c>
    </row>
    <row r="24501" customFormat="false" ht="12.8" hidden="false" customHeight="false" outlineLevel="0" collapsed="false">
      <c r="B24501" s="0" t="s">
        <v>122</v>
      </c>
    </row>
    <row r="24502" customFormat="false" ht="12.8" hidden="false" customHeight="false" outlineLevel="0" collapsed="false">
      <c r="B24502" s="0" t="s">
        <v>9154</v>
      </c>
    </row>
    <row r="24504" customFormat="false" ht="12.8" hidden="false" customHeight="false" outlineLevel="0" collapsed="false">
      <c r="A24504" s="0" t="s">
        <v>9155</v>
      </c>
      <c r="B24504" s="0" t="str">
        <f aca="false">HYPERLINK("https://lindat.mff.cuni.cz/services/teitok/pdtc10/index.php?action=vallex&amp;frame=v-w3205f1", "osočovat (v-w3205f1)")</f>
        <v>osočovat (v-w3205f1)</v>
      </c>
    </row>
    <row r="24505" customFormat="false" ht="12.8" hidden="false" customHeight="false" outlineLevel="0" collapsed="false">
      <c r="B24505" s="0" t="s">
        <v>7</v>
      </c>
    </row>
    <row r="24506" customFormat="false" ht="12.8" hidden="false" customHeight="false" outlineLevel="0" collapsed="false">
      <c r="B24506" s="0" t="s">
        <v>81</v>
      </c>
    </row>
    <row r="24507" customFormat="false" ht="12.8" hidden="false" customHeight="false" outlineLevel="0" collapsed="false">
      <c r="B24507" s="0" t="s">
        <v>7340</v>
      </c>
    </row>
    <row r="24509" customFormat="false" ht="12.8" hidden="false" customHeight="false" outlineLevel="0" collapsed="false">
      <c r="A24509" s="0" t="s">
        <v>9156</v>
      </c>
      <c r="B24509" s="0" t="str">
        <f aca="false">HYPERLINK("https://lindat.mff.cuni.cz/services/teitok/pdtc10/index.php?action=vallex&amp;frame=v-w3208f1", "ospravedlnit (v-w3208f1)")</f>
        <v>ospravedlnit (v-w3208f1)</v>
      </c>
    </row>
    <row r="24510" customFormat="false" ht="12.8" hidden="false" customHeight="false" outlineLevel="0" collapsed="false">
      <c r="B24510" s="0" t="s">
        <v>7</v>
      </c>
      <c r="C24510" s="0" t="s">
        <v>149</v>
      </c>
      <c r="D24510" s="0" t="s">
        <v>149</v>
      </c>
      <c r="E24510" s="0" t="s">
        <v>149</v>
      </c>
      <c r="F24510" s="0" t="s">
        <v>149</v>
      </c>
    </row>
    <row r="24511" customFormat="false" ht="12.8" hidden="false" customHeight="false" outlineLevel="0" collapsed="false">
      <c r="B24511" s="0" t="s">
        <v>54</v>
      </c>
      <c r="C24511" s="0" t="s">
        <v>25</v>
      </c>
      <c r="D24511" s="0" t="s">
        <v>25</v>
      </c>
      <c r="E24511" s="0" t="s">
        <v>25</v>
      </c>
      <c r="F24511" s="0" t="s">
        <v>25</v>
      </c>
    </row>
    <row r="24513" customFormat="false" ht="12.8" hidden="false" customHeight="false" outlineLevel="0" collapsed="false">
      <c r="A24513" s="0" t="s">
        <v>9157</v>
      </c>
      <c r="B24513" s="0" t="str">
        <f aca="false">HYPERLINK("https://lindat.mff.cuni.cz/services/teitok/pdtc10/index.php?action=vallex&amp;frame=v-w3209f1", "ospravedlňovat (v-w3209f1)")</f>
        <v>ospravedlňovat (v-w3209f1)</v>
      </c>
    </row>
    <row r="24514" customFormat="false" ht="12.8" hidden="false" customHeight="false" outlineLevel="0" collapsed="false">
      <c r="B24514" s="0" t="s">
        <v>7</v>
      </c>
      <c r="C24514" s="0" t="s">
        <v>149</v>
      </c>
      <c r="D24514" s="0" t="s">
        <v>149</v>
      </c>
      <c r="E24514" s="0" t="s">
        <v>149</v>
      </c>
      <c r="F24514" s="0" t="s">
        <v>149</v>
      </c>
    </row>
    <row r="24515" customFormat="false" ht="12.8" hidden="false" customHeight="false" outlineLevel="0" collapsed="false">
      <c r="B24515" s="0" t="s">
        <v>54</v>
      </c>
      <c r="C24515" s="0" t="s">
        <v>466</v>
      </c>
      <c r="D24515" s="0" t="s">
        <v>25</v>
      </c>
      <c r="E24515" s="0" t="s">
        <v>25</v>
      </c>
      <c r="F24515" s="0" t="s">
        <v>25</v>
      </c>
    </row>
    <row r="24517" customFormat="false" ht="12.8" hidden="false" customHeight="false" outlineLevel="0" collapsed="false">
      <c r="A24517" s="0" t="s">
        <v>9158</v>
      </c>
      <c r="B24517" s="0" t="str">
        <f aca="false">HYPERLINK("https://lindat.mff.cuni.cz/services/teitok/pdtc10/index.php?action=vallex&amp;frame=v-w11793_ZUf1_ZU", "osprchovat (v-w11793_ZUf1_ZU)")</f>
        <v>osprchovat (v-w11793_ZUf1_ZU)</v>
      </c>
    </row>
    <row r="24518" customFormat="false" ht="12.8" hidden="false" customHeight="false" outlineLevel="0" collapsed="false">
      <c r="B24518" s="0" t="s">
        <v>7</v>
      </c>
    </row>
    <row r="24519" customFormat="false" ht="12.8" hidden="false" customHeight="false" outlineLevel="0" collapsed="false">
      <c r="B24519" s="0" t="s">
        <v>14</v>
      </c>
    </row>
    <row r="24521" customFormat="false" ht="12.8" hidden="false" customHeight="false" outlineLevel="0" collapsed="false">
      <c r="A24521" s="0" t="s">
        <v>9159</v>
      </c>
      <c r="B24521" s="0" t="str">
        <f aca="false">HYPERLINK("https://lindat.mff.cuni.cz/services/teitok/pdtc10/index.php?action=vallex&amp;frame=v-w3215f1", "ostýchat se (v-w3215f1)")</f>
        <v>ostýchat se (v-w3215f1)</v>
      </c>
    </row>
    <row r="24522" customFormat="false" ht="12.8" hidden="false" customHeight="false" outlineLevel="0" collapsed="false">
      <c r="B24522" s="0" t="s">
        <v>7</v>
      </c>
    </row>
    <row r="24523" customFormat="false" ht="12.8" hidden="false" customHeight="false" outlineLevel="0" collapsed="false">
      <c r="B24523" s="0" t="s">
        <v>9160</v>
      </c>
    </row>
    <row r="24525" customFormat="false" ht="12.8" hidden="false" customHeight="false" outlineLevel="0" collapsed="false">
      <c r="A24525" s="0" t="s">
        <v>9161</v>
      </c>
      <c r="B24525" s="0" t="str">
        <f aca="false">HYPERLINK("https://lindat.mff.cuni.cz/services/teitok/pdtc10/index.php?action=vallex&amp;frame=v-w3212f1", "ostřelovat (v-w3212f1)")</f>
        <v>ostřelovat (v-w3212f1)</v>
      </c>
    </row>
    <row r="24526" customFormat="false" ht="12.8" hidden="false" customHeight="false" outlineLevel="0" collapsed="false">
      <c r="B24526" s="0" t="s">
        <v>7</v>
      </c>
      <c r="D24526" s="0" t="s">
        <v>113</v>
      </c>
      <c r="E24526" s="0" t="s">
        <v>113</v>
      </c>
      <c r="F24526" s="0" t="s">
        <v>113</v>
      </c>
    </row>
    <row r="24527" customFormat="false" ht="12.8" hidden="false" customHeight="false" outlineLevel="0" collapsed="false">
      <c r="B24527" s="0" t="s">
        <v>14</v>
      </c>
      <c r="C24527" s="0" t="s">
        <v>155</v>
      </c>
      <c r="D24527" s="0" t="s">
        <v>74</v>
      </c>
      <c r="E24527" s="0" t="s">
        <v>74</v>
      </c>
      <c r="F24527" s="0" t="s">
        <v>74</v>
      </c>
    </row>
    <row r="24529" customFormat="false" ht="12.8" hidden="false" customHeight="false" outlineLevel="0" collapsed="false">
      <c r="A24529" s="0" t="s">
        <v>9162</v>
      </c>
      <c r="B24529" s="0" t="str">
        <f aca="false">HYPERLINK("https://lindat.mff.cuni.cz/services/teitok/pdtc10/index.php?action=vallex&amp;frame=v-w3213f1", "ostřit (v-w3213f1)")</f>
        <v>ostřit (v-w3213f1)</v>
      </c>
    </row>
    <row r="24530" customFormat="false" ht="12.8" hidden="false" customHeight="false" outlineLevel="0" collapsed="false">
      <c r="B24530" s="0" t="s">
        <v>7</v>
      </c>
    </row>
    <row r="24531" customFormat="false" ht="12.8" hidden="false" customHeight="false" outlineLevel="0" collapsed="false">
      <c r="B24531" s="0" t="s">
        <v>14</v>
      </c>
    </row>
    <row r="24533" customFormat="false" ht="12.8" hidden="false" customHeight="false" outlineLevel="0" collapsed="false">
      <c r="A24533" s="0" t="s">
        <v>9163</v>
      </c>
      <c r="B24533" s="0" t="str">
        <f aca="false">HYPERLINK("https://lindat.mff.cuni.cz/services/teitok/pdtc10/index.php?action=vallex&amp;frame=v-whsa_480hsa_481", "ostříhat (v-whsa_480hsa_481)")</f>
        <v>ostříhat (v-whsa_480hsa_481)</v>
      </c>
    </row>
    <row r="24534" customFormat="false" ht="12.8" hidden="false" customHeight="false" outlineLevel="0" collapsed="false">
      <c r="B24534" s="0" t="s">
        <v>7</v>
      </c>
    </row>
    <row r="24535" customFormat="false" ht="12.8" hidden="false" customHeight="false" outlineLevel="0" collapsed="false">
      <c r="B24535" s="0" t="s">
        <v>14</v>
      </c>
    </row>
    <row r="24537" customFormat="false" ht="12.8" hidden="false" customHeight="false" outlineLevel="0" collapsed="false">
      <c r="A24537" s="0" t="s">
        <v>9164</v>
      </c>
      <c r="B24537" s="0" t="str">
        <f aca="false">HYPERLINK("https://lindat.mff.cuni.cz/services/teitok/pdtc10/index.php?action=vallex&amp;frame=v-w12329_MMf1_MM", "osušit (v-w12329_MMf1_MM)")</f>
        <v>osušit (v-w12329_MMf1_MM)</v>
      </c>
    </row>
    <row r="24538" customFormat="false" ht="12.8" hidden="false" customHeight="false" outlineLevel="0" collapsed="false">
      <c r="B24538" s="0" t="s">
        <v>7</v>
      </c>
    </row>
    <row r="24539" customFormat="false" ht="12.8" hidden="false" customHeight="false" outlineLevel="0" collapsed="false">
      <c r="B24539" s="0" t="s">
        <v>14</v>
      </c>
    </row>
    <row r="24541" customFormat="false" ht="12.8" hidden="false" customHeight="false" outlineLevel="0" collapsed="false">
      <c r="A24541" s="0" t="s">
        <v>9165</v>
      </c>
      <c r="B24541" s="0" t="str">
        <f aca="false">HYPERLINK("https://lindat.mff.cuni.cz/services/teitok/pdtc10/index.php?action=vallex&amp;frame=v-w3230hsa_934", "osvobodit (v-w3230hsa_934)")</f>
        <v>osvobodit (v-w3230hsa_934)</v>
      </c>
    </row>
    <row r="24542" customFormat="false" ht="12.8" hidden="false" customHeight="false" outlineLevel="0" collapsed="false">
      <c r="B24542" s="0" t="s">
        <v>7</v>
      </c>
      <c r="C24542" s="0" t="s">
        <v>460</v>
      </c>
      <c r="D24542" s="0" t="s">
        <v>2736</v>
      </c>
      <c r="E24542" s="0" t="s">
        <v>2736</v>
      </c>
      <c r="F24542" s="0" t="s">
        <v>2736</v>
      </c>
    </row>
    <row r="24543" customFormat="false" ht="12.8" hidden="false" customHeight="false" outlineLevel="0" collapsed="false">
      <c r="B24543" s="0" t="s">
        <v>14</v>
      </c>
      <c r="C24543" s="0" t="s">
        <v>159</v>
      </c>
      <c r="D24543" s="0" t="s">
        <v>9013</v>
      </c>
      <c r="E24543" s="0" t="s">
        <v>9013</v>
      </c>
      <c r="F24543" s="0" t="s">
        <v>9013</v>
      </c>
    </row>
    <row r="24544" customFormat="false" ht="12.8" hidden="false" customHeight="false" outlineLevel="0" collapsed="false">
      <c r="B24544" s="0" t="s">
        <v>9166</v>
      </c>
      <c r="C24544" s="0" t="s">
        <v>2480</v>
      </c>
      <c r="D24544" s="0" t="s">
        <v>9014</v>
      </c>
      <c r="E24544" s="0" t="s">
        <v>9014</v>
      </c>
      <c r="F24544" s="0" t="s">
        <v>9014</v>
      </c>
    </row>
    <row r="24546" customFormat="false" ht="12.8" hidden="false" customHeight="false" outlineLevel="0" collapsed="false">
      <c r="A24546" s="0" t="s">
        <v>9165</v>
      </c>
      <c r="B24546" s="0" t="str">
        <f aca="false">HYPERLINK("https://lindat.mff.cuni.cz/services/teitok/pdtc10/index.php?action=vallex&amp;frame=v-w3230f1", "osvobodit (v-w3230f1) - substituted with v-w3230hsa_934")</f>
        <v>osvobodit (v-w3230f1) - substituted with v-w3230hsa_934</v>
      </c>
    </row>
    <row r="24547" customFormat="false" ht="12.8" hidden="false" customHeight="false" outlineLevel="0" collapsed="false">
      <c r="B24547" s="0" t="s">
        <v>7</v>
      </c>
      <c r="C24547" s="0" t="s">
        <v>335</v>
      </c>
    </row>
    <row r="24548" customFormat="false" ht="12.8" hidden="false" customHeight="false" outlineLevel="0" collapsed="false">
      <c r="B24548" s="0" t="s">
        <v>14</v>
      </c>
      <c r="C24548" s="0" t="s">
        <v>1405</v>
      </c>
    </row>
    <row r="24549" customFormat="false" ht="12.8" hidden="false" customHeight="false" outlineLevel="0" collapsed="false">
      <c r="B24549" s="0" t="s">
        <v>9166</v>
      </c>
      <c r="C24549" s="0" t="s">
        <v>8052</v>
      </c>
    </row>
    <row r="24551" customFormat="false" ht="12.8" hidden="false" customHeight="false" outlineLevel="0" collapsed="false">
      <c r="A24551" s="0" t="s">
        <v>9167</v>
      </c>
      <c r="B24551" s="0" t="str">
        <f aca="false">HYPERLINK("https://lindat.mff.cuni.cz/services/teitok/pdtc10/index.php?action=vallex&amp;frame=v-w3230f2", "osvobodit (v-w3230f2)")</f>
        <v>osvobodit (v-w3230f2)</v>
      </c>
    </row>
    <row r="24552" customFormat="false" ht="12.8" hidden="false" customHeight="false" outlineLevel="0" collapsed="false">
      <c r="B24552" s="0" t="s">
        <v>7</v>
      </c>
    </row>
    <row r="24553" customFormat="false" ht="12.8" hidden="false" customHeight="false" outlineLevel="0" collapsed="false">
      <c r="B24553" s="0" t="s">
        <v>14</v>
      </c>
    </row>
    <row r="24554" customFormat="false" ht="12.8" hidden="false" customHeight="false" outlineLevel="0" collapsed="false">
      <c r="B24554" s="0" t="s">
        <v>8558</v>
      </c>
    </row>
    <row r="24556" customFormat="false" ht="12.8" hidden="false" customHeight="false" outlineLevel="0" collapsed="false">
      <c r="A24556" s="0" t="s">
        <v>9168</v>
      </c>
      <c r="B24556" s="0" t="str">
        <f aca="false">HYPERLINK("https://lindat.mff.cuni.cz/services/teitok/pdtc10/index.php?action=vallex&amp;frame=v-w3233f1", "osvobozovat (v-w3233f1)")</f>
        <v>osvobozovat (v-w3233f1)</v>
      </c>
    </row>
    <row r="24557" customFormat="false" ht="12.8" hidden="false" customHeight="false" outlineLevel="0" collapsed="false">
      <c r="B24557" s="0" t="s">
        <v>7</v>
      </c>
      <c r="C24557" s="0" t="s">
        <v>9169</v>
      </c>
      <c r="D24557" s="0" t="s">
        <v>2736</v>
      </c>
      <c r="E24557" s="0" t="s">
        <v>2736</v>
      </c>
      <c r="F24557" s="0" t="s">
        <v>2736</v>
      </c>
    </row>
    <row r="24558" customFormat="false" ht="12.8" hidden="false" customHeight="false" outlineLevel="0" collapsed="false">
      <c r="B24558" s="0" t="s">
        <v>14</v>
      </c>
      <c r="C24558" s="0" t="s">
        <v>9170</v>
      </c>
      <c r="D24558" s="0" t="s">
        <v>9013</v>
      </c>
      <c r="E24558" s="0" t="s">
        <v>9013</v>
      </c>
      <c r="F24558" s="0" t="s">
        <v>9013</v>
      </c>
    </row>
    <row r="24559" customFormat="false" ht="12.8" hidden="false" customHeight="false" outlineLevel="0" collapsed="false">
      <c r="B24559" s="0" t="s">
        <v>1592</v>
      </c>
      <c r="C24559" s="0" t="s">
        <v>9171</v>
      </c>
      <c r="D24559" s="0" t="s">
        <v>9014</v>
      </c>
      <c r="E24559" s="0" t="s">
        <v>9014</v>
      </c>
      <c r="F24559" s="0" t="s">
        <v>9014</v>
      </c>
    </row>
    <row r="24561" customFormat="false" ht="12.8" hidden="false" customHeight="false" outlineLevel="0" collapsed="false">
      <c r="A24561" s="0" t="s">
        <v>9172</v>
      </c>
      <c r="B24561" s="0" t="str">
        <f aca="false">HYPERLINK("https://lindat.mff.cuni.cz/services/teitok/pdtc10/index.php?action=vallex&amp;frame=v-w3233f2", "osvobozovat (v-w3233f2)")</f>
        <v>osvobozovat (v-w3233f2)</v>
      </c>
    </row>
    <row r="24562" customFormat="false" ht="12.8" hidden="false" customHeight="false" outlineLevel="0" collapsed="false">
      <c r="B24562" s="0" t="s">
        <v>7</v>
      </c>
    </row>
    <row r="24563" customFormat="false" ht="12.8" hidden="false" customHeight="false" outlineLevel="0" collapsed="false">
      <c r="B24563" s="0" t="s">
        <v>14</v>
      </c>
    </row>
    <row r="24564" customFormat="false" ht="12.8" hidden="false" customHeight="false" outlineLevel="0" collapsed="false">
      <c r="B24564" s="0" t="s">
        <v>416</v>
      </c>
    </row>
    <row r="24566" customFormat="false" ht="12.8" hidden="false" customHeight="false" outlineLevel="0" collapsed="false">
      <c r="A24566" s="0" t="s">
        <v>9173</v>
      </c>
      <c r="B24566" s="0" t="str">
        <f aca="false">HYPERLINK("https://lindat.mff.cuni.cz/services/teitok/pdtc10/index.php?action=vallex&amp;frame=v-w3235f1", "osvojit si (v-w3235f1)")</f>
        <v>osvojit si (v-w3235f1)</v>
      </c>
    </row>
    <row r="24567" customFormat="false" ht="12.8" hidden="false" customHeight="false" outlineLevel="0" collapsed="false">
      <c r="B24567" s="0" t="s">
        <v>7</v>
      </c>
      <c r="C24567" s="0" t="s">
        <v>1364</v>
      </c>
    </row>
    <row r="24568" customFormat="false" ht="12.8" hidden="false" customHeight="false" outlineLevel="0" collapsed="false">
      <c r="B24568" s="0" t="s">
        <v>172</v>
      </c>
      <c r="C24568" s="0" t="s">
        <v>9174</v>
      </c>
    </row>
    <row r="24570" customFormat="false" ht="12.8" hidden="false" customHeight="false" outlineLevel="0" collapsed="false">
      <c r="A24570" s="0" t="s">
        <v>9175</v>
      </c>
      <c r="B24570" s="0" t="str">
        <f aca="false">HYPERLINK("https://lindat.mff.cuni.cz/services/teitok/pdtc10/index.php?action=vallex&amp;frame=v-w3235f2_ZU", "osvojit si (v-w3235f2_ZU)")</f>
        <v>osvojit si (v-w3235f2_ZU)</v>
      </c>
    </row>
    <row r="24571" customFormat="false" ht="12.8" hidden="false" customHeight="false" outlineLevel="0" collapsed="false">
      <c r="B24571" s="0" t="s">
        <v>7</v>
      </c>
    </row>
    <row r="24572" customFormat="false" ht="12.8" hidden="false" customHeight="false" outlineLevel="0" collapsed="false">
      <c r="B24572" s="0" t="s">
        <v>14</v>
      </c>
    </row>
    <row r="24574" customFormat="false" ht="12.8" hidden="false" customHeight="false" outlineLevel="0" collapsed="false">
      <c r="A24574" s="0" t="s">
        <v>9176</v>
      </c>
      <c r="B24574" s="0" t="str">
        <f aca="false">HYPERLINK("https://lindat.mff.cuni.cz/services/teitok/pdtc10/index.php?action=vallex&amp;frame=v-w3236f1", "osvojovat si (v-w3236f1)")</f>
        <v>osvojovat si (v-w3236f1)</v>
      </c>
    </row>
    <row r="24575" customFormat="false" ht="12.8" hidden="false" customHeight="false" outlineLevel="0" collapsed="false">
      <c r="B24575" s="0" t="s">
        <v>7</v>
      </c>
      <c r="C24575" s="0" t="s">
        <v>9177</v>
      </c>
    </row>
    <row r="24576" customFormat="false" ht="12.8" hidden="false" customHeight="false" outlineLevel="0" collapsed="false">
      <c r="B24576" s="0" t="s">
        <v>172</v>
      </c>
      <c r="C24576" s="0" t="s">
        <v>9178</v>
      </c>
    </row>
    <row r="24578" customFormat="false" ht="12.8" hidden="false" customHeight="false" outlineLevel="0" collapsed="false">
      <c r="A24578" s="0" t="s">
        <v>9179</v>
      </c>
      <c r="B24578" s="0" t="str">
        <f aca="false">HYPERLINK("https://lindat.mff.cuni.cz/services/teitok/pdtc10/index.php?action=vallex&amp;frame=v-w11082f2", "osvítit (v-w11082f2)")</f>
        <v>osvítit (v-w11082f2)</v>
      </c>
    </row>
    <row r="24579" customFormat="false" ht="12.8" hidden="false" customHeight="false" outlineLevel="0" collapsed="false">
      <c r="B24579" s="0" t="s">
        <v>7</v>
      </c>
    </row>
    <row r="24580" customFormat="false" ht="12.8" hidden="false" customHeight="false" outlineLevel="0" collapsed="false">
      <c r="B24580" s="0" t="s">
        <v>14</v>
      </c>
    </row>
    <row r="24582" customFormat="false" ht="12.8" hidden="false" customHeight="false" outlineLevel="0" collapsed="false">
      <c r="A24582" s="0" t="s">
        <v>9180</v>
      </c>
      <c r="B24582" s="0" t="str">
        <f aca="false">HYPERLINK("https://lindat.mff.cuni.cz/services/teitok/pdtc10/index.php?action=vallex&amp;frame=v-w11695_ZUf1_ZU", "osvěcovat (v-w11695_ZUf1_ZU)")</f>
        <v>osvěcovat (v-w11695_ZUf1_ZU)</v>
      </c>
    </row>
    <row r="24583" customFormat="false" ht="12.8" hidden="false" customHeight="false" outlineLevel="0" collapsed="false">
      <c r="B24583" s="0" t="s">
        <v>7</v>
      </c>
    </row>
    <row r="24584" customFormat="false" ht="12.8" hidden="false" customHeight="false" outlineLevel="0" collapsed="false">
      <c r="B24584" s="0" t="s">
        <v>14</v>
      </c>
    </row>
    <row r="24586" customFormat="false" ht="12.8" hidden="false" customHeight="false" outlineLevel="0" collapsed="false">
      <c r="A24586" s="0" t="s">
        <v>9181</v>
      </c>
      <c r="B24586" s="0" t="str">
        <f aca="false">HYPERLINK("https://lindat.mff.cuni.cz/services/teitok/pdtc10/index.php?action=vallex&amp;frame=v-w3219f1", "osvědčit (v-w3219f1)")</f>
        <v>osvědčit (v-w3219f1)</v>
      </c>
    </row>
    <row r="24587" customFormat="false" ht="12.8" hidden="false" customHeight="false" outlineLevel="0" collapsed="false">
      <c r="B24587" s="0" t="s">
        <v>7</v>
      </c>
    </row>
    <row r="24588" customFormat="false" ht="12.8" hidden="false" customHeight="false" outlineLevel="0" collapsed="false">
      <c r="B24588" s="0" t="s">
        <v>14</v>
      </c>
    </row>
    <row r="24589" customFormat="false" ht="12.8" hidden="false" customHeight="false" outlineLevel="0" collapsed="false">
      <c r="B24589" s="0" t="s">
        <v>106</v>
      </c>
    </row>
    <row r="24591" customFormat="false" ht="12.8" hidden="false" customHeight="false" outlineLevel="0" collapsed="false">
      <c r="A24591" s="0" t="s">
        <v>9182</v>
      </c>
      <c r="B24591" s="0" t="str">
        <f aca="false">HYPERLINK("https://lindat.mff.cuni.cz/services/teitok/pdtc10/index.php?action=vallex&amp;frame=v-w3220f1", "osvědčit se (v-w3220f1)")</f>
        <v>osvědčit se (v-w3220f1)</v>
      </c>
    </row>
    <row r="24592" customFormat="false" ht="12.8" hidden="false" customHeight="false" outlineLevel="0" collapsed="false">
      <c r="B24592" s="0" t="s">
        <v>6300</v>
      </c>
      <c r="C24592" s="0" t="s">
        <v>9183</v>
      </c>
      <c r="D24592" s="0" t="s">
        <v>7215</v>
      </c>
      <c r="E24592" s="0" t="s">
        <v>7215</v>
      </c>
      <c r="F24592" s="0" t="s">
        <v>7215</v>
      </c>
    </row>
    <row r="24593" customFormat="false" ht="12.8" hidden="false" customHeight="false" outlineLevel="0" collapsed="false">
      <c r="B24593" s="0" t="s">
        <v>119</v>
      </c>
    </row>
    <row r="24595" customFormat="false" ht="12.8" hidden="false" customHeight="false" outlineLevel="0" collapsed="false">
      <c r="A24595" s="0" t="s">
        <v>9184</v>
      </c>
      <c r="B24595" s="0" t="str">
        <f aca="false">HYPERLINK("https://lindat.mff.cuni.cz/services/teitok/pdtc10/index.php?action=vallex&amp;frame=v-w3221f1", "osvědčovat (v-w3221f1)")</f>
        <v>osvědčovat (v-w3221f1)</v>
      </c>
    </row>
    <row r="24596" customFormat="false" ht="12.8" hidden="false" customHeight="false" outlineLevel="0" collapsed="false">
      <c r="B24596" s="0" t="s">
        <v>7</v>
      </c>
    </row>
    <row r="24597" customFormat="false" ht="12.8" hidden="false" customHeight="false" outlineLevel="0" collapsed="false">
      <c r="B24597" s="0" t="s">
        <v>14</v>
      </c>
    </row>
    <row r="24598" customFormat="false" ht="12.8" hidden="false" customHeight="false" outlineLevel="0" collapsed="false">
      <c r="B24598" s="0" t="s">
        <v>106</v>
      </c>
    </row>
    <row r="24600" customFormat="false" ht="12.8" hidden="false" customHeight="false" outlineLevel="0" collapsed="false">
      <c r="A24600" s="0" t="s">
        <v>9185</v>
      </c>
      <c r="B24600" s="0" t="str">
        <f aca="false">HYPERLINK("https://lindat.mff.cuni.cz/services/teitok/pdtc10/index.php?action=vallex&amp;frame=v-w3222f1", "osvědčovat se (v-w3222f1)")</f>
        <v>osvědčovat se (v-w3222f1)</v>
      </c>
    </row>
    <row r="24601" customFormat="false" ht="12.8" hidden="false" customHeight="false" outlineLevel="0" collapsed="false">
      <c r="B24601" s="0" t="s">
        <v>6300</v>
      </c>
    </row>
    <row r="24602" customFormat="false" ht="12.8" hidden="false" customHeight="false" outlineLevel="0" collapsed="false">
      <c r="B24602" s="0" t="s">
        <v>119</v>
      </c>
    </row>
    <row r="24604" customFormat="false" ht="12.8" hidden="false" customHeight="false" outlineLevel="0" collapsed="false">
      <c r="A24604" s="0" t="s">
        <v>9186</v>
      </c>
      <c r="B24604" s="0" t="str">
        <f aca="false">HYPERLINK("https://lindat.mff.cuni.cz/services/teitok/pdtc10/index.php?action=vallex&amp;frame=v-w3225f1", "osvětlit (v-w3225f1)")</f>
        <v>osvětlit (v-w3225f1)</v>
      </c>
    </row>
    <row r="24605" customFormat="false" ht="12.8" hidden="false" customHeight="false" outlineLevel="0" collapsed="false">
      <c r="B24605" s="0" t="s">
        <v>7</v>
      </c>
    </row>
    <row r="24606" customFormat="false" ht="12.8" hidden="false" customHeight="false" outlineLevel="0" collapsed="false">
      <c r="B24606" s="0" t="s">
        <v>7636</v>
      </c>
    </row>
    <row r="24607" customFormat="false" ht="12.8" hidden="false" customHeight="false" outlineLevel="0" collapsed="false">
      <c r="B24607" s="0" t="s">
        <v>48</v>
      </c>
    </row>
    <row r="24609" customFormat="false" ht="12.8" hidden="false" customHeight="false" outlineLevel="0" collapsed="false">
      <c r="A24609" s="0" t="s">
        <v>9187</v>
      </c>
      <c r="B24609" s="0" t="str">
        <f aca="false">HYPERLINK("https://lindat.mff.cuni.cz/services/teitok/pdtc10/index.php?action=vallex&amp;frame=v-w3225f2", "osvětlit (v-w3225f2)")</f>
        <v>osvětlit (v-w3225f2)</v>
      </c>
    </row>
    <row r="24610" customFormat="false" ht="12.8" hidden="false" customHeight="false" outlineLevel="0" collapsed="false">
      <c r="B24610" s="0" t="s">
        <v>7</v>
      </c>
    </row>
    <row r="24611" customFormat="false" ht="12.8" hidden="false" customHeight="false" outlineLevel="0" collapsed="false">
      <c r="B24611" s="0" t="s">
        <v>14</v>
      </c>
    </row>
    <row r="24613" customFormat="false" ht="12.8" hidden="false" customHeight="false" outlineLevel="0" collapsed="false">
      <c r="A24613" s="0" t="s">
        <v>9188</v>
      </c>
      <c r="B24613" s="0" t="str">
        <f aca="false">HYPERLINK("https://lindat.mff.cuni.cz/services/teitok/pdtc10/index.php?action=vallex&amp;frame=v-w3226f1", "osvětlovat (v-w3226f1)")</f>
        <v>osvětlovat (v-w3226f1)</v>
      </c>
    </row>
    <row r="24614" customFormat="false" ht="12.8" hidden="false" customHeight="false" outlineLevel="0" collapsed="false">
      <c r="B24614" s="0" t="s">
        <v>7</v>
      </c>
      <c r="D24614" s="0" t="s">
        <v>7632</v>
      </c>
      <c r="E24614" s="0" t="s">
        <v>7632</v>
      </c>
      <c r="F24614" s="0" t="s">
        <v>7632</v>
      </c>
    </row>
    <row r="24615" customFormat="false" ht="12.8" hidden="false" customHeight="false" outlineLevel="0" collapsed="false">
      <c r="B24615" s="0" t="s">
        <v>7636</v>
      </c>
      <c r="D24615" s="0" t="s">
        <v>7634</v>
      </c>
      <c r="E24615" s="0" t="s">
        <v>7634</v>
      </c>
      <c r="F24615" s="0" t="s">
        <v>7634</v>
      </c>
    </row>
    <row r="24616" customFormat="false" ht="12.8" hidden="false" customHeight="false" outlineLevel="0" collapsed="false">
      <c r="B24616" s="0" t="s">
        <v>48</v>
      </c>
      <c r="D24616" s="0" t="s">
        <v>3288</v>
      </c>
      <c r="E24616" s="0" t="s">
        <v>3288</v>
      </c>
      <c r="F24616" s="0" t="s">
        <v>3288</v>
      </c>
    </row>
    <row r="24618" customFormat="false" ht="12.8" hidden="false" customHeight="false" outlineLevel="0" collapsed="false">
      <c r="A24618" s="0" t="s">
        <v>9189</v>
      </c>
      <c r="B24618" s="0" t="str">
        <f aca="false">HYPERLINK("https://lindat.mff.cuni.cz/services/teitok/pdtc10/index.php?action=vallex&amp;frame=v-w3226f2_ZU", "osvětlovat (v-w3226f2_ZU)")</f>
        <v>osvětlovat (v-w3226f2_ZU)</v>
      </c>
    </row>
    <row r="24619" customFormat="false" ht="12.8" hidden="false" customHeight="false" outlineLevel="0" collapsed="false">
      <c r="B24619" s="0" t="s">
        <v>7</v>
      </c>
      <c r="D24619" s="0" t="s">
        <v>7632</v>
      </c>
      <c r="E24619" s="0" t="s">
        <v>7632</v>
      </c>
      <c r="F24619" s="0" t="s">
        <v>7632</v>
      </c>
    </row>
    <row r="24620" customFormat="false" ht="12.8" hidden="false" customHeight="false" outlineLevel="0" collapsed="false">
      <c r="B24620" s="0" t="s">
        <v>106</v>
      </c>
      <c r="D24620" s="0" t="s">
        <v>3288</v>
      </c>
      <c r="E24620" s="0" t="s">
        <v>3288</v>
      </c>
      <c r="F24620" s="0" t="s">
        <v>3288</v>
      </c>
    </row>
    <row r="24621" customFormat="false" ht="12.8" hidden="false" customHeight="false" outlineLevel="0" collapsed="false">
      <c r="B24621" s="0" t="s">
        <v>14</v>
      </c>
      <c r="D24621" s="0" t="s">
        <v>7634</v>
      </c>
      <c r="E24621" s="0" t="s">
        <v>7634</v>
      </c>
      <c r="F24621" s="0" t="s">
        <v>7634</v>
      </c>
    </row>
    <row r="24623" customFormat="false" ht="12.8" hidden="false" customHeight="false" outlineLevel="0" collapsed="false">
      <c r="A24623" s="0" t="s">
        <v>9190</v>
      </c>
      <c r="B24623" s="0" t="str">
        <f aca="false">HYPERLINK("https://lindat.mff.cuni.cz/services/teitok/pdtc10/index.php?action=vallex&amp;frame=v-w3228f2_ZU", "osvěžit (v-w3228f2_ZU)")</f>
        <v>osvěžit (v-w3228f2_ZU)</v>
      </c>
    </row>
    <row r="24624" customFormat="false" ht="12.8" hidden="false" customHeight="false" outlineLevel="0" collapsed="false">
      <c r="B24624" s="0" t="s">
        <v>7</v>
      </c>
    </row>
    <row r="24625" customFormat="false" ht="12.8" hidden="false" customHeight="false" outlineLevel="0" collapsed="false">
      <c r="B24625" s="0" t="s">
        <v>54</v>
      </c>
    </row>
    <row r="24627" customFormat="false" ht="12.8" hidden="false" customHeight="false" outlineLevel="0" collapsed="false">
      <c r="A24627" s="0" t="s">
        <v>9190</v>
      </c>
      <c r="B24627" s="0" t="str">
        <f aca="false">HYPERLINK("https://lindat.mff.cuni.cz/services/teitok/pdtc10/index.php?action=vallex&amp;frame=v-w3228f1", "osvěžit (v-w3228f1) - substituted with v-w3228f2_ZU")</f>
        <v>osvěžit (v-w3228f1) - substituted with v-w3228f2_ZU</v>
      </c>
    </row>
    <row r="24628" customFormat="false" ht="12.8" hidden="false" customHeight="false" outlineLevel="0" collapsed="false">
      <c r="B24628" s="0" t="s">
        <v>7</v>
      </c>
      <c r="D24628" s="0" t="s">
        <v>7701</v>
      </c>
      <c r="E24628" s="0" t="s">
        <v>7701</v>
      </c>
      <c r="F24628" s="0" t="s">
        <v>7701</v>
      </c>
    </row>
    <row r="24629" customFormat="false" ht="12.8" hidden="false" customHeight="false" outlineLevel="0" collapsed="false">
      <c r="B24629" s="0" t="s">
        <v>54</v>
      </c>
      <c r="C24629" s="0" t="s">
        <v>155</v>
      </c>
      <c r="D24629" s="0" t="s">
        <v>7703</v>
      </c>
      <c r="E24629" s="0" t="s">
        <v>7703</v>
      </c>
      <c r="F24629" s="0" t="s">
        <v>7703</v>
      </c>
    </row>
    <row r="24631" customFormat="false" ht="12.8" hidden="false" customHeight="false" outlineLevel="0" collapsed="false">
      <c r="A24631" s="0" t="s">
        <v>9191</v>
      </c>
      <c r="B24631" s="0" t="str">
        <f aca="false">HYPERLINK("https://lindat.mff.cuni.cz/services/teitok/pdtc10/index.php?action=vallex&amp;frame=v-whsa_2052hsa_2053", "osvěžit se (v-whsa_2052hsa_2053)")</f>
        <v>osvěžit se (v-whsa_2052hsa_2053)</v>
      </c>
    </row>
    <row r="24632" customFormat="false" ht="12.8" hidden="false" customHeight="false" outlineLevel="0" collapsed="false">
      <c r="B24632" s="0" t="s">
        <v>7</v>
      </c>
    </row>
    <row r="24634" customFormat="false" ht="12.8" hidden="false" customHeight="false" outlineLevel="0" collapsed="false">
      <c r="A24634" s="0" t="s">
        <v>9192</v>
      </c>
      <c r="B24634" s="0" t="str">
        <f aca="false">HYPERLINK("https://lindat.mff.cuni.cz/services/teitok/pdtc10/index.php?action=vallex&amp;frame=v-whsa_1530hsa_1531", "osázet (v-whsa_1530hsa_1531)")</f>
        <v>osázet (v-whsa_1530hsa_1531)</v>
      </c>
    </row>
    <row r="24635" customFormat="false" ht="12.8" hidden="false" customHeight="false" outlineLevel="0" collapsed="false">
      <c r="B24635" s="0" t="s">
        <v>7</v>
      </c>
    </row>
    <row r="24636" customFormat="false" ht="12.8" hidden="false" customHeight="false" outlineLevel="0" collapsed="false">
      <c r="B24636" s="0" t="s">
        <v>14</v>
      </c>
    </row>
    <row r="24638" customFormat="false" ht="12.8" hidden="false" customHeight="false" outlineLevel="0" collapsed="false">
      <c r="A24638" s="0" t="s">
        <v>9193</v>
      </c>
      <c r="B24638" s="0" t="str">
        <f aca="false">HYPERLINK("https://lindat.mff.cuni.cz/services/teitok/pdtc10/index.php?action=vallex&amp;frame=v-w3184f1", "osídlit (v-w3184f1)")</f>
        <v>osídlit (v-w3184f1)</v>
      </c>
    </row>
    <row r="24639" customFormat="false" ht="12.8" hidden="false" customHeight="false" outlineLevel="0" collapsed="false">
      <c r="B24639" s="0" t="s">
        <v>7</v>
      </c>
    </row>
    <row r="24640" customFormat="false" ht="12.8" hidden="false" customHeight="false" outlineLevel="0" collapsed="false">
      <c r="B24640" s="0" t="s">
        <v>14</v>
      </c>
    </row>
    <row r="24642" customFormat="false" ht="12.8" hidden="false" customHeight="false" outlineLevel="0" collapsed="false">
      <c r="A24642" s="0" t="s">
        <v>9194</v>
      </c>
      <c r="B24642" s="0" t="str">
        <f aca="false">HYPERLINK("https://lindat.mff.cuni.cz/services/teitok/pdtc10/index.php?action=vallex&amp;frame=v-w12073_ZUf1_ZU", "osídlovat (v-w12073_ZUf1_ZU)")</f>
        <v>osídlovat (v-w12073_ZUf1_ZU)</v>
      </c>
    </row>
    <row r="24643" customFormat="false" ht="12.8" hidden="false" customHeight="false" outlineLevel="0" collapsed="false">
      <c r="B24643" s="0" t="s">
        <v>7</v>
      </c>
    </row>
    <row r="24644" customFormat="false" ht="12.8" hidden="false" customHeight="false" outlineLevel="0" collapsed="false">
      <c r="B24644" s="0" t="s">
        <v>14</v>
      </c>
    </row>
    <row r="24646" customFormat="false" ht="12.8" hidden="false" customHeight="false" outlineLevel="0" collapsed="false">
      <c r="A24646" s="0" t="s">
        <v>9195</v>
      </c>
      <c r="B24646" s="0" t="str">
        <f aca="false">HYPERLINK("https://lindat.mff.cuni.cz/services/teitok/pdtc10/index.php?action=vallex&amp;frame=v-w3255f1", "oteplit se (v-w3255f1)")</f>
        <v>oteplit se (v-w3255f1)</v>
      </c>
    </row>
    <row r="24648" customFormat="false" ht="12.8" hidden="false" customHeight="false" outlineLevel="0" collapsed="false">
      <c r="A24648" s="0" t="s">
        <v>9196</v>
      </c>
      <c r="B24648" s="0" t="str">
        <f aca="false">HYPERLINK("https://lindat.mff.cuni.cz/services/teitok/pdtc10/index.php?action=vallex&amp;frame=v-w3256f1", "oteplovat (v-w3256f1)")</f>
        <v>oteplovat (v-w3256f1)</v>
      </c>
    </row>
    <row r="24649" customFormat="false" ht="12.8" hidden="false" customHeight="false" outlineLevel="0" collapsed="false">
      <c r="B24649" s="0" t="s">
        <v>7</v>
      </c>
    </row>
    <row r="24650" customFormat="false" ht="12.8" hidden="false" customHeight="false" outlineLevel="0" collapsed="false">
      <c r="B24650" s="0" t="s">
        <v>14</v>
      </c>
    </row>
    <row r="24652" customFormat="false" ht="12.8" hidden="false" customHeight="false" outlineLevel="0" collapsed="false">
      <c r="A24652" s="0" t="s">
        <v>9197</v>
      </c>
      <c r="B24652" s="0" t="str">
        <f aca="false">HYPERLINK("https://lindat.mff.cuni.cz/services/teitok/pdtc10/index.php?action=vallex&amp;frame=v-w3257f2", "oteplovat se (v-w3257f2)")</f>
        <v>oteplovat se (v-w3257f2)</v>
      </c>
    </row>
    <row r="24653" customFormat="false" ht="12.8" hidden="false" customHeight="false" outlineLevel="0" collapsed="false">
      <c r="B24653" s="0" t="s">
        <v>7</v>
      </c>
      <c r="C24653" s="0" t="s">
        <v>396</v>
      </c>
      <c r="D24653" s="0" t="s">
        <v>396</v>
      </c>
      <c r="E24653" s="0" t="s">
        <v>396</v>
      </c>
      <c r="F24653" s="0" t="s">
        <v>396</v>
      </c>
    </row>
    <row r="24655" customFormat="false" ht="12.8" hidden="false" customHeight="false" outlineLevel="0" collapsed="false">
      <c r="A24655" s="0" t="s">
        <v>9198</v>
      </c>
      <c r="B24655" s="0" t="str">
        <f aca="false">HYPERLINK("https://lindat.mff.cuni.cz/services/teitok/pdtc10/index.php?action=vallex&amp;frame=v-w3257f1", "oteplovat se (v-w3257f1)")</f>
        <v>oteplovat se (v-w3257f1)</v>
      </c>
    </row>
    <row r="24657" customFormat="false" ht="12.8" hidden="false" customHeight="false" outlineLevel="0" collapsed="false">
      <c r="A24657" s="0" t="s">
        <v>9199</v>
      </c>
      <c r="B24657" s="0" t="str">
        <f aca="false">HYPERLINK("https://lindat.mff.cuni.cz/services/teitok/pdtc10/index.php?action=vallex&amp;frame=v-w11543_ZUf1_ZU", "otesat (v-w11543_ZUf1_ZU)")</f>
        <v>otesat (v-w11543_ZUf1_ZU)</v>
      </c>
    </row>
    <row r="24658" customFormat="false" ht="12.8" hidden="false" customHeight="false" outlineLevel="0" collapsed="false">
      <c r="B24658" s="0" t="s">
        <v>7</v>
      </c>
    </row>
    <row r="24659" customFormat="false" ht="12.8" hidden="false" customHeight="false" outlineLevel="0" collapsed="false">
      <c r="B24659" s="0" t="s">
        <v>14</v>
      </c>
      <c r="C24659" s="0" t="s">
        <v>155</v>
      </c>
      <c r="D24659" s="0" t="s">
        <v>155</v>
      </c>
      <c r="E24659" s="0" t="s">
        <v>155</v>
      </c>
      <c r="F24659" s="0" t="s">
        <v>155</v>
      </c>
    </row>
    <row r="24661" customFormat="false" ht="12.8" hidden="false" customHeight="false" outlineLevel="0" collapsed="false">
      <c r="A24661" s="0" t="s">
        <v>9200</v>
      </c>
      <c r="B24661" s="0" t="str">
        <f aca="false">HYPERLINK("https://lindat.mff.cuni.cz/services/teitok/pdtc10/index.php?action=vallex&amp;frame=v-w3258f1", "otestovat (v-w3258f1)")</f>
        <v>otestovat (v-w3258f1)</v>
      </c>
    </row>
    <row r="24662" customFormat="false" ht="12.8" hidden="false" customHeight="false" outlineLevel="0" collapsed="false">
      <c r="B24662" s="0" t="s">
        <v>7</v>
      </c>
      <c r="C24662" s="0" t="s">
        <v>4136</v>
      </c>
      <c r="D24662" s="0" t="s">
        <v>1111</v>
      </c>
      <c r="E24662" s="0" t="s">
        <v>1111</v>
      </c>
      <c r="F24662" s="0" t="s">
        <v>1111</v>
      </c>
    </row>
    <row r="24663" customFormat="false" ht="12.8" hidden="false" customHeight="false" outlineLevel="0" collapsed="false">
      <c r="B24663" s="0" t="s">
        <v>2030</v>
      </c>
      <c r="C24663" s="0" t="s">
        <v>9201</v>
      </c>
      <c r="D24663" s="0" t="s">
        <v>3860</v>
      </c>
      <c r="E24663" s="0" t="s">
        <v>3860</v>
      </c>
      <c r="F24663" s="0" t="s">
        <v>3860</v>
      </c>
    </row>
    <row r="24665" customFormat="false" ht="12.8" hidden="false" customHeight="false" outlineLevel="0" collapsed="false">
      <c r="A24665" s="0" t="s">
        <v>9202</v>
      </c>
      <c r="B24665" s="0" t="str">
        <f aca="false">HYPERLINK("https://lindat.mff.cuni.cz/services/teitok/pdtc10/index.php?action=vallex&amp;frame=v-w3261f1", "otevírat (v-w3261f1)")</f>
        <v>otevírat (v-w3261f1)</v>
      </c>
    </row>
    <row r="24666" customFormat="false" ht="12.8" hidden="false" customHeight="false" outlineLevel="0" collapsed="false">
      <c r="B24666" s="0" t="s">
        <v>7</v>
      </c>
      <c r="C24666" s="0" t="s">
        <v>9203</v>
      </c>
      <c r="D24666" s="0" t="s">
        <v>69</v>
      </c>
      <c r="E24666" s="0" t="s">
        <v>69</v>
      </c>
      <c r="F24666" s="0" t="s">
        <v>69</v>
      </c>
    </row>
    <row r="24667" customFormat="false" ht="12.8" hidden="false" customHeight="false" outlineLevel="0" collapsed="false">
      <c r="B24667" s="0" t="s">
        <v>14</v>
      </c>
      <c r="C24667" s="0" t="s">
        <v>6860</v>
      </c>
      <c r="D24667" s="0" t="s">
        <v>71</v>
      </c>
      <c r="E24667" s="0" t="s">
        <v>71</v>
      </c>
      <c r="F24667" s="0" t="s">
        <v>71</v>
      </c>
    </row>
    <row r="24669" customFormat="false" ht="12.8" hidden="false" customHeight="false" outlineLevel="0" collapsed="false">
      <c r="A24669" s="0" t="s">
        <v>9204</v>
      </c>
      <c r="B24669" s="0" t="str">
        <f aca="false">HYPERLINK("https://lindat.mff.cuni.cz/services/teitok/pdtc10/index.php?action=vallex&amp;frame=v-w3261f3", "otevírat (v-w3261f3)")</f>
        <v>otevírat (v-w3261f3)</v>
      </c>
    </row>
    <row r="24670" customFormat="false" ht="12.8" hidden="false" customHeight="false" outlineLevel="0" collapsed="false">
      <c r="B24670" s="0" t="s">
        <v>7</v>
      </c>
      <c r="C24670" s="0" t="s">
        <v>9205</v>
      </c>
      <c r="D24670" s="0" t="s">
        <v>8088</v>
      </c>
      <c r="E24670" s="0" t="s">
        <v>8088</v>
      </c>
      <c r="F24670" s="0" t="s">
        <v>8088</v>
      </c>
    </row>
    <row r="24671" customFormat="false" ht="12.8" hidden="false" customHeight="false" outlineLevel="0" collapsed="false">
      <c r="B24671" s="0" t="s">
        <v>14</v>
      </c>
      <c r="C24671" s="0" t="s">
        <v>9206</v>
      </c>
      <c r="D24671" s="0" t="s">
        <v>7533</v>
      </c>
      <c r="E24671" s="0" t="s">
        <v>8089</v>
      </c>
      <c r="F24671" s="0" t="s">
        <v>8089</v>
      </c>
    </row>
    <row r="24673" customFormat="false" ht="12.8" hidden="false" customHeight="false" outlineLevel="0" collapsed="false">
      <c r="A24673" s="0" t="s">
        <v>9207</v>
      </c>
      <c r="B24673" s="0" t="str">
        <f aca="false">HYPERLINK("https://lindat.mff.cuni.cz/services/teitok/pdtc10/index.php?action=vallex&amp;frame=v-w3261f4", "otevírat (v-w3261f4)")</f>
        <v>otevírat (v-w3261f4)</v>
      </c>
    </row>
    <row r="24674" customFormat="false" ht="12.8" hidden="false" customHeight="false" outlineLevel="0" collapsed="false">
      <c r="B24674" s="0" t="s">
        <v>7</v>
      </c>
      <c r="C24674" s="0" t="s">
        <v>8111</v>
      </c>
    </row>
    <row r="24675" customFormat="false" ht="12.8" hidden="false" customHeight="false" outlineLevel="0" collapsed="false">
      <c r="B24675" s="0" t="s">
        <v>14</v>
      </c>
      <c r="C24675" s="0" t="s">
        <v>25</v>
      </c>
    </row>
    <row r="24677" customFormat="false" ht="12.8" hidden="false" customHeight="false" outlineLevel="0" collapsed="false">
      <c r="A24677" s="0" t="s">
        <v>9208</v>
      </c>
      <c r="B24677" s="0" t="str">
        <f aca="false">HYPERLINK("https://lindat.mff.cuni.cz/services/teitok/pdtc10/index.php?action=vallex&amp;frame=v-w3261f5", "otevírat (v-w3261f5)")</f>
        <v>otevírat (v-w3261f5)</v>
      </c>
    </row>
    <row r="24678" customFormat="false" ht="12.8" hidden="false" customHeight="false" outlineLevel="0" collapsed="false">
      <c r="B24678" s="0" t="s">
        <v>7</v>
      </c>
      <c r="C24678" s="0" t="s">
        <v>9209</v>
      </c>
      <c r="D24678" s="0" t="s">
        <v>9210</v>
      </c>
      <c r="E24678" s="0" t="s">
        <v>9210</v>
      </c>
      <c r="F24678" s="0" t="s">
        <v>9210</v>
      </c>
    </row>
    <row r="24680" customFormat="false" ht="12.8" hidden="false" customHeight="false" outlineLevel="0" collapsed="false">
      <c r="A24680" s="0" t="s">
        <v>9211</v>
      </c>
      <c r="B24680" s="0" t="str">
        <f aca="false">HYPERLINK("https://lindat.mff.cuni.cz/services/teitok/pdtc10/index.php?action=vallex&amp;frame=v-w3261f2", "otevírat (v-w3261f2)")</f>
        <v>otevírat (v-w3261f2)</v>
      </c>
    </row>
    <row r="24681" customFormat="false" ht="12.8" hidden="false" customHeight="false" outlineLevel="0" collapsed="false">
      <c r="B24681" s="0" t="s">
        <v>7</v>
      </c>
      <c r="C24681" s="0" t="s">
        <v>5351</v>
      </c>
      <c r="D24681" s="0" t="s">
        <v>3049</v>
      </c>
      <c r="E24681" s="0" t="s">
        <v>3049</v>
      </c>
      <c r="F24681" s="0" t="s">
        <v>3049</v>
      </c>
    </row>
    <row r="24682" customFormat="false" ht="12.8" hidden="false" customHeight="false" outlineLevel="0" collapsed="false">
      <c r="B24682" s="0" t="s">
        <v>9212</v>
      </c>
      <c r="C24682" s="0" t="s">
        <v>3181</v>
      </c>
      <c r="D24682" s="0" t="s">
        <v>3017</v>
      </c>
      <c r="E24682" s="0" t="s">
        <v>3017</v>
      </c>
      <c r="F24682" s="0" t="s">
        <v>3017</v>
      </c>
    </row>
    <row r="24683" customFormat="false" ht="12.8" hidden="false" customHeight="false" outlineLevel="0" collapsed="false">
      <c r="B24683" s="0" t="s">
        <v>3012</v>
      </c>
      <c r="C24683" s="0" t="s">
        <v>4656</v>
      </c>
      <c r="D24683" s="0" t="s">
        <v>2974</v>
      </c>
      <c r="E24683" s="0" t="s">
        <v>2974</v>
      </c>
      <c r="F24683" s="0" t="s">
        <v>2974</v>
      </c>
    </row>
    <row r="24685" customFormat="false" ht="12.8" hidden="false" customHeight="false" outlineLevel="0" collapsed="false">
      <c r="A24685" s="0" t="s">
        <v>9213</v>
      </c>
      <c r="B24685" s="0" t="str">
        <f aca="false">HYPERLINK("https://lindat.mff.cuni.cz/services/teitok/pdtc10/index.php?action=vallex&amp;frame=v-w3261hsa_928", "otevírat (v-w3261hsa_928)")</f>
        <v>otevírat (v-w3261hsa_928)</v>
      </c>
    </row>
    <row r="24686" customFormat="false" ht="12.8" hidden="false" customHeight="false" outlineLevel="0" collapsed="false">
      <c r="B24686" s="0" t="s">
        <v>7</v>
      </c>
      <c r="D24686" s="0" t="s">
        <v>3049</v>
      </c>
      <c r="E24686" s="0" t="s">
        <v>3049</v>
      </c>
      <c r="F24686" s="0" t="s">
        <v>3049</v>
      </c>
    </row>
    <row r="24687" customFormat="false" ht="12.8" hidden="false" customHeight="false" outlineLevel="0" collapsed="false">
      <c r="B24687" s="0" t="s">
        <v>14</v>
      </c>
      <c r="D24687" s="0" t="s">
        <v>3226</v>
      </c>
      <c r="E24687" s="0" t="s">
        <v>3226</v>
      </c>
      <c r="F24687" s="0" t="s">
        <v>3226</v>
      </c>
    </row>
    <row r="24688" customFormat="false" ht="12.8" hidden="false" customHeight="false" outlineLevel="0" collapsed="false">
      <c r="B24688" s="0" t="s">
        <v>48</v>
      </c>
      <c r="D24688" s="0" t="s">
        <v>2974</v>
      </c>
      <c r="E24688" s="0" t="s">
        <v>2974</v>
      </c>
      <c r="F24688" s="0" t="s">
        <v>2974</v>
      </c>
    </row>
    <row r="24690" customFormat="false" ht="12.8" hidden="false" customHeight="false" outlineLevel="0" collapsed="false">
      <c r="A24690" s="0" t="s">
        <v>9214</v>
      </c>
      <c r="B24690" s="0" t="str">
        <f aca="false">HYPERLINK("https://lindat.mff.cuni.cz/services/teitok/pdtc10/index.php?action=vallex&amp;frame=v-w3261hsa_929", "otevírat (v-w3261hsa_929)")</f>
        <v>otevírat (v-w3261hsa_929)</v>
      </c>
    </row>
    <row r="24691" customFormat="false" ht="12.8" hidden="false" customHeight="false" outlineLevel="0" collapsed="false">
      <c r="B24691" s="0" t="s">
        <v>7</v>
      </c>
      <c r="C24691" s="0" t="s">
        <v>8512</v>
      </c>
      <c r="D24691" s="0" t="s">
        <v>8512</v>
      </c>
      <c r="E24691" s="0" t="s">
        <v>8512</v>
      </c>
      <c r="F24691" s="0" t="s">
        <v>8512</v>
      </c>
    </row>
    <row r="24692" customFormat="false" ht="12.8" hidden="false" customHeight="false" outlineLevel="0" collapsed="false">
      <c r="B24692" s="0" t="s">
        <v>474</v>
      </c>
      <c r="D24692" s="0" t="s">
        <v>8514</v>
      </c>
      <c r="E24692" s="0" t="s">
        <v>8514</v>
      </c>
      <c r="F24692" s="0" t="s">
        <v>8514</v>
      </c>
    </row>
    <row r="24693" customFormat="false" ht="12.8" hidden="false" customHeight="false" outlineLevel="0" collapsed="false">
      <c r="B24693" s="0" t="s">
        <v>1471</v>
      </c>
      <c r="C24693" s="0" t="s">
        <v>9215</v>
      </c>
      <c r="D24693" s="0" t="s">
        <v>8513</v>
      </c>
      <c r="E24693" s="0" t="s">
        <v>8513</v>
      </c>
      <c r="F24693" s="0" t="s">
        <v>8513</v>
      </c>
    </row>
    <row r="24695" customFormat="false" ht="12.8" hidden="false" customHeight="false" outlineLevel="0" collapsed="false">
      <c r="A24695" s="0" t="s">
        <v>9216</v>
      </c>
      <c r="B24695" s="0" t="str">
        <f aca="false">HYPERLINK("https://lindat.mff.cuni.cz/services/teitok/pdtc10/index.php?action=vallex&amp;frame=v-w3261f6_ZU", "otevírat (v-w3261f6_ZU)")</f>
        <v>otevírat (v-w3261f6_ZU)</v>
      </c>
    </row>
    <row r="24696" customFormat="false" ht="12.8" hidden="false" customHeight="false" outlineLevel="0" collapsed="false">
      <c r="B24696" s="0" t="s">
        <v>7</v>
      </c>
    </row>
    <row r="24697" customFormat="false" ht="12.8" hidden="false" customHeight="false" outlineLevel="0" collapsed="false">
      <c r="B24697" s="0" t="s">
        <v>9217</v>
      </c>
    </row>
    <row r="24698" customFormat="false" ht="12.8" hidden="false" customHeight="false" outlineLevel="0" collapsed="false">
      <c r="B24698" s="0" t="s">
        <v>9218</v>
      </c>
    </row>
    <row r="24700" customFormat="false" ht="12.8" hidden="false" customHeight="false" outlineLevel="0" collapsed="false">
      <c r="A24700" s="0" t="s">
        <v>9216</v>
      </c>
      <c r="B24700" s="0" t="str">
        <f aca="false">HYPERLINK("https://lindat.mff.cuni.cz/services/teitok/pdtc10/index.php?action=vallex&amp;frame=v-w3261hsa_930", "otevírat (v-w3261hsa_930) - substituted with v-w3261f6_ZU")</f>
        <v>otevírat (v-w3261hsa_930) - substituted with v-w3261f6_ZU</v>
      </c>
    </row>
    <row r="24701" customFormat="false" ht="12.8" hidden="false" customHeight="false" outlineLevel="0" collapsed="false">
      <c r="B24701" s="0" t="s">
        <v>7</v>
      </c>
    </row>
    <row r="24702" customFormat="false" ht="12.8" hidden="false" customHeight="false" outlineLevel="0" collapsed="false">
      <c r="B24702" s="0" t="s">
        <v>9217</v>
      </c>
    </row>
    <row r="24703" customFormat="false" ht="12.8" hidden="false" customHeight="false" outlineLevel="0" collapsed="false">
      <c r="B24703" s="0" t="s">
        <v>9218</v>
      </c>
    </row>
    <row r="24705" customFormat="false" ht="12.8" hidden="false" customHeight="false" outlineLevel="0" collapsed="false">
      <c r="A24705" s="0" t="s">
        <v>9219</v>
      </c>
      <c r="B24705" s="0" t="str">
        <f aca="false">HYPERLINK("https://lindat.mff.cuni.cz/services/teitok/pdtc10/index.php?action=vallex&amp;frame=v-w3262f1", "otevírat se (v-w3262f1)")</f>
        <v>otevírat se (v-w3262f1)</v>
      </c>
    </row>
    <row r="24706" customFormat="false" ht="12.8" hidden="false" customHeight="false" outlineLevel="0" collapsed="false">
      <c r="B24706" s="0" t="s">
        <v>7</v>
      </c>
    </row>
    <row r="24708" customFormat="false" ht="12.8" hidden="false" customHeight="false" outlineLevel="0" collapsed="false">
      <c r="A24708" s="0" t="s">
        <v>9220</v>
      </c>
      <c r="B24708" s="0" t="str">
        <f aca="false">HYPERLINK("https://lindat.mff.cuni.cz/services/teitok/pdtc10/index.php?action=vallex&amp;frame=v-w3262hsa_178", "otevírat se (v-w3262hsa_178)")</f>
        <v>otevírat se (v-w3262hsa_178)</v>
      </c>
    </row>
    <row r="24709" customFormat="false" ht="12.8" hidden="false" customHeight="false" outlineLevel="0" collapsed="false">
      <c r="B24709" s="0" t="s">
        <v>7</v>
      </c>
      <c r="C24709" s="0" t="s">
        <v>247</v>
      </c>
      <c r="D24709" s="0" t="s">
        <v>396</v>
      </c>
      <c r="E24709" s="0" t="s">
        <v>396</v>
      </c>
      <c r="F24709" s="0" t="s">
        <v>396</v>
      </c>
    </row>
    <row r="24710" customFormat="false" ht="12.8" hidden="false" customHeight="false" outlineLevel="0" collapsed="false">
      <c r="B24710" s="0" t="s">
        <v>142</v>
      </c>
      <c r="C24710" s="0" t="s">
        <v>9221</v>
      </c>
      <c r="D24710" s="0" t="s">
        <v>9221</v>
      </c>
      <c r="E24710" s="0" t="s">
        <v>9221</v>
      </c>
      <c r="F24710" s="0" t="s">
        <v>9221</v>
      </c>
    </row>
    <row r="24712" customFormat="false" ht="12.8" hidden="false" customHeight="false" outlineLevel="0" collapsed="false">
      <c r="A24712" s="0" t="s">
        <v>9222</v>
      </c>
      <c r="B24712" s="0" t="str">
        <f aca="false">HYPERLINK("https://lindat.mff.cuni.cz/services/teitok/pdtc10/index.php?action=vallex&amp;frame=v-w3262f2_ZU", "otevírat se (v-w3262f2_ZU)")</f>
        <v>otevírat se (v-w3262f2_ZU)</v>
      </c>
    </row>
    <row r="24713" customFormat="false" ht="12.8" hidden="false" customHeight="false" outlineLevel="0" collapsed="false">
      <c r="B24713" s="0" t="s">
        <v>7</v>
      </c>
    </row>
    <row r="24715" customFormat="false" ht="12.8" hidden="false" customHeight="false" outlineLevel="0" collapsed="false">
      <c r="A24715" s="0" t="s">
        <v>9223</v>
      </c>
      <c r="B24715" s="0" t="str">
        <f aca="false">HYPERLINK("https://lindat.mff.cuni.cz/services/teitok/pdtc10/index.php?action=vallex&amp;frame=v-w3265f10_ZU", "otevřít (v-w3265f10_ZU)")</f>
        <v>otevřít (v-w3265f10_ZU)</v>
      </c>
    </row>
    <row r="24716" customFormat="false" ht="12.8" hidden="false" customHeight="false" outlineLevel="0" collapsed="false">
      <c r="B24716" s="0" t="s">
        <v>7</v>
      </c>
    </row>
    <row r="24717" customFormat="false" ht="12.8" hidden="false" customHeight="false" outlineLevel="0" collapsed="false">
      <c r="B24717" s="0" t="s">
        <v>14</v>
      </c>
    </row>
    <row r="24719" customFormat="false" ht="12.8" hidden="false" customHeight="false" outlineLevel="0" collapsed="false">
      <c r="A24719" s="0" t="s">
        <v>9223</v>
      </c>
      <c r="B24719" s="0" t="str">
        <f aca="false">HYPERLINK("https://lindat.mff.cuni.cz/services/teitok/pdtc10/index.php?action=vallex&amp;frame=v-w3265f1", "otevřít (v-w3265f1) - substituted with v-w3265f10_ZU")</f>
        <v>otevřít (v-w3265f1) - substituted with v-w3265f10_ZU</v>
      </c>
    </row>
    <row r="24720" customFormat="false" ht="12.8" hidden="false" customHeight="false" outlineLevel="0" collapsed="false">
      <c r="B24720" s="0" t="s">
        <v>7</v>
      </c>
      <c r="C24720" s="0" t="s">
        <v>9224</v>
      </c>
      <c r="D24720" s="0" t="s">
        <v>9225</v>
      </c>
      <c r="E24720" s="0" t="s">
        <v>9225</v>
      </c>
      <c r="F24720" s="0" t="s">
        <v>9225</v>
      </c>
    </row>
    <row r="24721" customFormat="false" ht="12.8" hidden="false" customHeight="false" outlineLevel="0" collapsed="false">
      <c r="B24721" s="0" t="s">
        <v>14</v>
      </c>
      <c r="C24721" s="0" t="s">
        <v>9226</v>
      </c>
      <c r="D24721" s="0" t="s">
        <v>9227</v>
      </c>
      <c r="E24721" s="0" t="s">
        <v>9227</v>
      </c>
      <c r="F24721" s="0" t="s">
        <v>9227</v>
      </c>
    </row>
    <row r="24723" customFormat="false" ht="12.8" hidden="false" customHeight="false" outlineLevel="0" collapsed="false">
      <c r="A24723" s="0" t="s">
        <v>9228</v>
      </c>
      <c r="B24723" s="0" t="str">
        <f aca="false">HYPERLINK("https://lindat.mff.cuni.cz/services/teitok/pdtc10/index.php?action=vallex&amp;frame=v-w3265f2", "otevřít (v-w3265f2)")</f>
        <v>otevřít (v-w3265f2)</v>
      </c>
    </row>
    <row r="24724" customFormat="false" ht="12.8" hidden="false" customHeight="false" outlineLevel="0" collapsed="false">
      <c r="B24724" s="0" t="s">
        <v>7</v>
      </c>
      <c r="C24724" s="0" t="s">
        <v>9229</v>
      </c>
      <c r="D24724" s="0" t="s">
        <v>8088</v>
      </c>
      <c r="E24724" s="0" t="s">
        <v>8088</v>
      </c>
      <c r="F24724" s="0" t="s">
        <v>8088</v>
      </c>
    </row>
    <row r="24725" customFormat="false" ht="12.8" hidden="false" customHeight="false" outlineLevel="0" collapsed="false">
      <c r="B24725" s="0" t="s">
        <v>14</v>
      </c>
      <c r="C24725" s="0" t="s">
        <v>9230</v>
      </c>
      <c r="D24725" s="0" t="s">
        <v>7533</v>
      </c>
      <c r="E24725" s="0" t="s">
        <v>8089</v>
      </c>
      <c r="F24725" s="0" t="s">
        <v>8089</v>
      </c>
    </row>
    <row r="24727" customFormat="false" ht="12.8" hidden="false" customHeight="false" outlineLevel="0" collapsed="false">
      <c r="A24727" s="0" t="s">
        <v>9231</v>
      </c>
      <c r="B24727" s="0" t="str">
        <f aca="false">HYPERLINK("https://lindat.mff.cuni.cz/services/teitok/pdtc10/index.php?action=vallex&amp;frame=v-w3265f5", "otevřít (v-w3265f5)")</f>
        <v>otevřít (v-w3265f5)</v>
      </c>
    </row>
    <row r="24728" customFormat="false" ht="12.8" hidden="false" customHeight="false" outlineLevel="0" collapsed="false">
      <c r="B24728" s="0" t="s">
        <v>7</v>
      </c>
      <c r="C24728" s="0" t="s">
        <v>9232</v>
      </c>
      <c r="D24728" s="0" t="s">
        <v>9233</v>
      </c>
      <c r="E24728" s="0" t="s">
        <v>9233</v>
      </c>
      <c r="F24728" s="0" t="s">
        <v>9233</v>
      </c>
    </row>
    <row r="24729" customFormat="false" ht="12.8" hidden="false" customHeight="false" outlineLevel="0" collapsed="false">
      <c r="B24729" s="0" t="s">
        <v>14</v>
      </c>
      <c r="C24729" s="0" t="s">
        <v>469</v>
      </c>
      <c r="D24729" s="0" t="s">
        <v>9234</v>
      </c>
      <c r="E24729" s="0" t="s">
        <v>9234</v>
      </c>
      <c r="F24729" s="0" t="s">
        <v>9234</v>
      </c>
    </row>
    <row r="24731" customFormat="false" ht="12.8" hidden="false" customHeight="false" outlineLevel="0" collapsed="false">
      <c r="A24731" s="0" t="s">
        <v>9235</v>
      </c>
      <c r="B24731" s="0" t="str">
        <f aca="false">HYPERLINK("https://lindat.mff.cuni.cz/services/teitok/pdtc10/index.php?action=vallex&amp;frame=v-w3265f9_ZU", "otevřít (v-w3265f9_ZU)")</f>
        <v>otevřít (v-w3265f9_ZU)</v>
      </c>
    </row>
    <row r="24732" customFormat="false" ht="12.8" hidden="false" customHeight="false" outlineLevel="0" collapsed="false">
      <c r="B24732" s="0" t="s">
        <v>7</v>
      </c>
      <c r="C24732" s="0" t="s">
        <v>8512</v>
      </c>
      <c r="D24732" s="0" t="s">
        <v>8512</v>
      </c>
      <c r="E24732" s="0" t="s">
        <v>8512</v>
      </c>
      <c r="F24732" s="0" t="s">
        <v>8512</v>
      </c>
    </row>
    <row r="24733" customFormat="false" ht="12.8" hidden="false" customHeight="false" outlineLevel="0" collapsed="false">
      <c r="B24733" s="0" t="s">
        <v>9236</v>
      </c>
      <c r="D24733" s="0" t="s">
        <v>8513</v>
      </c>
      <c r="E24733" s="0" t="s">
        <v>8513</v>
      </c>
      <c r="F24733" s="0" t="s">
        <v>8513</v>
      </c>
    </row>
    <row r="24734" customFormat="false" ht="12.8" hidden="false" customHeight="false" outlineLevel="0" collapsed="false">
      <c r="B24734" s="0" t="s">
        <v>4069</v>
      </c>
      <c r="C24734" s="0" t="s">
        <v>9237</v>
      </c>
      <c r="D24734" s="0" t="s">
        <v>8514</v>
      </c>
      <c r="E24734" s="0" t="s">
        <v>8514</v>
      </c>
      <c r="F24734" s="0" t="s">
        <v>8514</v>
      </c>
    </row>
    <row r="24736" customFormat="false" ht="12.8" hidden="false" customHeight="false" outlineLevel="0" collapsed="false">
      <c r="A24736" s="0" t="s">
        <v>9235</v>
      </c>
      <c r="B24736" s="0" t="str">
        <f aca="false">HYPERLINK("https://lindat.mff.cuni.cz/services/teitok/pdtc10/index.php?action=vallex&amp;frame=v-w3265f6_ZU", "otevřít (v-w3265f6_ZU) - substituted with v-w3265f9_ZU")</f>
        <v>otevřít (v-w3265f6_ZU) - substituted with v-w3265f9_ZU</v>
      </c>
    </row>
    <row r="24737" customFormat="false" ht="12.8" hidden="false" customHeight="false" outlineLevel="0" collapsed="false">
      <c r="B24737" s="0" t="s">
        <v>7</v>
      </c>
    </row>
    <row r="24738" customFormat="false" ht="12.8" hidden="false" customHeight="false" outlineLevel="0" collapsed="false">
      <c r="B24738" s="0" t="s">
        <v>9236</v>
      </c>
    </row>
    <row r="24739" customFormat="false" ht="12.8" hidden="false" customHeight="false" outlineLevel="0" collapsed="false">
      <c r="B24739" s="0" t="s">
        <v>4069</v>
      </c>
    </row>
    <row r="24741" customFormat="false" ht="12.8" hidden="false" customHeight="false" outlineLevel="0" collapsed="false">
      <c r="A24741" s="0" t="s">
        <v>9235</v>
      </c>
      <c r="B24741" s="0" t="str">
        <f aca="false">HYPERLINK("https://lindat.mff.cuni.cz/services/teitok/pdtc10/index.php?action=vallex&amp;frame=v-w3265f7_ZU", "otevřít (v-w3265f7_ZU) - substituted with v-w3265f9_ZU")</f>
        <v>otevřít (v-w3265f7_ZU) - substituted with v-w3265f9_ZU</v>
      </c>
    </row>
    <row r="24742" customFormat="false" ht="12.8" hidden="false" customHeight="false" outlineLevel="0" collapsed="false">
      <c r="B24742" s="0" t="s">
        <v>7</v>
      </c>
      <c r="C24742" s="0" t="s">
        <v>8512</v>
      </c>
    </row>
    <row r="24743" customFormat="false" ht="12.8" hidden="false" customHeight="false" outlineLevel="0" collapsed="false">
      <c r="B24743" s="0" t="s">
        <v>9236</v>
      </c>
      <c r="C24743" s="0" t="s">
        <v>9215</v>
      </c>
    </row>
    <row r="24744" customFormat="false" ht="12.8" hidden="false" customHeight="false" outlineLevel="0" collapsed="false">
      <c r="B24744" s="0" t="s">
        <v>4069</v>
      </c>
    </row>
    <row r="24746" customFormat="false" ht="12.8" hidden="false" customHeight="false" outlineLevel="0" collapsed="false">
      <c r="A24746" s="0" t="s">
        <v>9238</v>
      </c>
      <c r="B24746" s="0" t="str">
        <f aca="false">HYPERLINK("https://lindat.mff.cuni.cz/services/teitok/pdtc10/index.php?action=vallex&amp;frame=v-w3265f4", "otevřít (v-w3265f4)")</f>
        <v>otevřít (v-w3265f4)</v>
      </c>
    </row>
    <row r="24747" customFormat="false" ht="12.8" hidden="false" customHeight="false" outlineLevel="0" collapsed="false">
      <c r="B24747" s="0" t="s">
        <v>7</v>
      </c>
      <c r="C24747" s="0" t="s">
        <v>9239</v>
      </c>
      <c r="D24747" s="0" t="s">
        <v>9210</v>
      </c>
      <c r="E24747" s="0" t="s">
        <v>9210</v>
      </c>
      <c r="F24747" s="0" t="s">
        <v>9210</v>
      </c>
    </row>
    <row r="24749" customFormat="false" ht="12.8" hidden="false" customHeight="false" outlineLevel="0" collapsed="false">
      <c r="A24749" s="0" t="s">
        <v>9240</v>
      </c>
      <c r="B24749" s="0" t="str">
        <f aca="false">HYPERLINK("https://lindat.mff.cuni.cz/services/teitok/pdtc10/index.php?action=vallex&amp;frame=v-w3265hsa_303", "otevřít (v-w3265hsa_303)")</f>
        <v>otevřít (v-w3265hsa_303)</v>
      </c>
    </row>
    <row r="24750" customFormat="false" ht="12.8" hidden="false" customHeight="false" outlineLevel="0" collapsed="false">
      <c r="B24750" s="0" t="s">
        <v>7</v>
      </c>
      <c r="C24750" s="0" t="s">
        <v>9241</v>
      </c>
      <c r="D24750" s="0" t="s">
        <v>9242</v>
      </c>
      <c r="E24750" s="0" t="s">
        <v>9242</v>
      </c>
      <c r="F24750" s="0" t="s">
        <v>9242</v>
      </c>
    </row>
    <row r="24751" customFormat="false" ht="12.8" hidden="false" customHeight="false" outlineLevel="0" collapsed="false">
      <c r="B24751" s="0" t="s">
        <v>9243</v>
      </c>
      <c r="C24751" s="0" t="s">
        <v>9244</v>
      </c>
      <c r="D24751" s="0" t="s">
        <v>9245</v>
      </c>
      <c r="E24751" s="0" t="s">
        <v>9245</v>
      </c>
      <c r="F24751" s="0" t="s">
        <v>9245</v>
      </c>
    </row>
    <row r="24752" customFormat="false" ht="12.8" hidden="false" customHeight="false" outlineLevel="0" collapsed="false">
      <c r="B24752" s="0" t="s">
        <v>3012</v>
      </c>
      <c r="C24752" s="0" t="s">
        <v>9246</v>
      </c>
      <c r="D24752" s="0" t="s">
        <v>9247</v>
      </c>
      <c r="E24752" s="0" t="s">
        <v>9247</v>
      </c>
      <c r="F24752" s="0" t="s">
        <v>9247</v>
      </c>
    </row>
    <row r="24754" customFormat="false" ht="12.8" hidden="false" customHeight="false" outlineLevel="0" collapsed="false">
      <c r="A24754" s="0" t="s">
        <v>9240</v>
      </c>
      <c r="B24754" s="0" t="str">
        <f aca="false">HYPERLINK("https://lindat.mff.cuni.cz/services/teitok/pdtc10/index.php?action=vallex&amp;frame=v-w3265f3", "otevřít (v-w3265f3) - substituted with v-w3265hsa_303")</f>
        <v>otevřít (v-w3265f3) - substituted with v-w3265hsa_303</v>
      </c>
    </row>
    <row r="24755" customFormat="false" ht="12.8" hidden="false" customHeight="false" outlineLevel="0" collapsed="false">
      <c r="B24755" s="0" t="s">
        <v>7</v>
      </c>
      <c r="C24755" s="0" t="s">
        <v>9248</v>
      </c>
    </row>
    <row r="24756" customFormat="false" ht="12.8" hidden="false" customHeight="false" outlineLevel="0" collapsed="false">
      <c r="B24756" s="0" t="s">
        <v>9243</v>
      </c>
      <c r="C24756" s="0" t="s">
        <v>9249</v>
      </c>
    </row>
    <row r="24757" customFormat="false" ht="12.8" hidden="false" customHeight="false" outlineLevel="0" collapsed="false">
      <c r="B24757" s="0" t="s">
        <v>3012</v>
      </c>
      <c r="C24757" s="0" t="s">
        <v>9250</v>
      </c>
    </row>
    <row r="24759" customFormat="false" ht="12.8" hidden="false" customHeight="false" outlineLevel="0" collapsed="false">
      <c r="A24759" s="0" t="s">
        <v>9251</v>
      </c>
      <c r="B24759" s="0" t="str">
        <f aca="false">HYPERLINK("https://lindat.mff.cuni.cz/services/teitok/pdtc10/index.php?action=vallex&amp;frame=v-w3265f8_ZU", "otevřít (v-w3265f8_ZU)")</f>
        <v>otevřít (v-w3265f8_ZU)</v>
      </c>
    </row>
    <row r="24760" customFormat="false" ht="12.8" hidden="false" customHeight="false" outlineLevel="0" collapsed="false">
      <c r="B24760" s="0" t="s">
        <v>7</v>
      </c>
      <c r="C24760" s="0" t="s">
        <v>9252</v>
      </c>
      <c r="D24760" s="0" t="s">
        <v>9242</v>
      </c>
      <c r="E24760" s="0" t="s">
        <v>9242</v>
      </c>
      <c r="F24760" s="0" t="s">
        <v>9242</v>
      </c>
    </row>
    <row r="24761" customFormat="false" ht="12.8" hidden="false" customHeight="false" outlineLevel="0" collapsed="false">
      <c r="B24761" s="0" t="s">
        <v>9217</v>
      </c>
      <c r="C24761" s="0" t="s">
        <v>9253</v>
      </c>
    </row>
    <row r="24762" customFormat="false" ht="12.8" hidden="false" customHeight="false" outlineLevel="0" collapsed="false">
      <c r="B24762" s="0" t="s">
        <v>48</v>
      </c>
      <c r="C24762" s="0" t="s">
        <v>9246</v>
      </c>
      <c r="D24762" s="0" t="s">
        <v>9247</v>
      </c>
      <c r="E24762" s="0" t="s">
        <v>9247</v>
      </c>
      <c r="F24762" s="0" t="s">
        <v>9247</v>
      </c>
    </row>
    <row r="24763" customFormat="false" ht="12.8" hidden="false" customHeight="false" outlineLevel="0" collapsed="false">
      <c r="B24763" s="0" t="s">
        <v>9254</v>
      </c>
      <c r="D24763" s="0" t="s">
        <v>9255</v>
      </c>
      <c r="E24763" s="0" t="s">
        <v>9255</v>
      </c>
      <c r="F24763" s="0" t="s">
        <v>9255</v>
      </c>
    </row>
    <row r="24765" customFormat="false" ht="12.8" hidden="false" customHeight="false" outlineLevel="0" collapsed="false">
      <c r="A24765" s="0" t="s">
        <v>9251</v>
      </c>
      <c r="B24765" s="0" t="str">
        <f aca="false">HYPERLINK("https://lindat.mff.cuni.cz/services/teitok/pdtc10/index.php?action=vallex&amp;frame=v-w3265hsa_304", "otevřít (v-w3265hsa_304) - substituted with v-w3265f8_ZU")</f>
        <v>otevřít (v-w3265hsa_304) - substituted with v-w3265f8_ZU</v>
      </c>
    </row>
    <row r="24766" customFormat="false" ht="12.8" hidden="false" customHeight="false" outlineLevel="0" collapsed="false">
      <c r="B24766" s="0" t="s">
        <v>7</v>
      </c>
    </row>
    <row r="24767" customFormat="false" ht="12.8" hidden="false" customHeight="false" outlineLevel="0" collapsed="false">
      <c r="B24767" s="0" t="s">
        <v>9217</v>
      </c>
    </row>
    <row r="24768" customFormat="false" ht="12.8" hidden="false" customHeight="false" outlineLevel="0" collapsed="false">
      <c r="B24768" s="0" t="s">
        <v>48</v>
      </c>
    </row>
    <row r="24769" customFormat="false" ht="12.8" hidden="false" customHeight="false" outlineLevel="0" collapsed="false">
      <c r="B24769" s="0" t="s">
        <v>9254</v>
      </c>
    </row>
    <row r="24771" customFormat="false" ht="12.8" hidden="false" customHeight="false" outlineLevel="0" collapsed="false">
      <c r="A24771" s="0" t="s">
        <v>9256</v>
      </c>
      <c r="B24771" s="0" t="str">
        <f aca="false">HYPERLINK("https://lindat.mff.cuni.cz/services/teitok/pdtc10/index.php?action=vallex&amp;frame=v-w3266f3", "otevřít se (v-w3266f3)")</f>
        <v>otevřít se (v-w3266f3)</v>
      </c>
    </row>
    <row r="24772" customFormat="false" ht="12.8" hidden="false" customHeight="false" outlineLevel="0" collapsed="false">
      <c r="B24772" s="0" t="s">
        <v>7</v>
      </c>
      <c r="C24772" s="0" t="s">
        <v>9257</v>
      </c>
      <c r="D24772" s="0" t="s">
        <v>396</v>
      </c>
      <c r="E24772" s="0" t="s">
        <v>396</v>
      </c>
      <c r="F24772" s="0" t="s">
        <v>396</v>
      </c>
    </row>
    <row r="24773" customFormat="false" ht="12.8" hidden="false" customHeight="false" outlineLevel="0" collapsed="false">
      <c r="B24773" s="0" t="s">
        <v>9258</v>
      </c>
      <c r="C24773" s="0" t="s">
        <v>9259</v>
      </c>
      <c r="D24773" s="0" t="s">
        <v>9221</v>
      </c>
      <c r="E24773" s="0" t="s">
        <v>9221</v>
      </c>
      <c r="F24773" s="0" t="s">
        <v>9221</v>
      </c>
    </row>
    <row r="24775" customFormat="false" ht="12.8" hidden="false" customHeight="false" outlineLevel="0" collapsed="false">
      <c r="A24775" s="0" t="s">
        <v>9260</v>
      </c>
      <c r="B24775" s="0" t="str">
        <f aca="false">HYPERLINK("https://lindat.mff.cuni.cz/services/teitok/pdtc10/index.php?action=vallex&amp;frame=v-w3266f1", "otevřít se (v-w3266f1)")</f>
        <v>otevřít se (v-w3266f1)</v>
      </c>
    </row>
    <row r="24776" customFormat="false" ht="12.8" hidden="false" customHeight="false" outlineLevel="0" collapsed="false">
      <c r="B24776" s="0" t="s">
        <v>7</v>
      </c>
      <c r="C24776" s="0" t="s">
        <v>9261</v>
      </c>
      <c r="D24776" s="0" t="s">
        <v>9210</v>
      </c>
      <c r="E24776" s="0" t="s">
        <v>9210</v>
      </c>
      <c r="F24776" s="0" t="s">
        <v>9210</v>
      </c>
    </row>
    <row r="24778" customFormat="false" ht="12.8" hidden="false" customHeight="false" outlineLevel="0" collapsed="false">
      <c r="A24778" s="0" t="s">
        <v>9262</v>
      </c>
      <c r="B24778" s="0" t="str">
        <f aca="false">HYPERLINK("https://lindat.mff.cuni.cz/services/teitok/pdtc10/index.php?action=vallex&amp;frame=v-w3266f2", "otevřít se (v-w3266f2)")</f>
        <v>otevřít se (v-w3266f2)</v>
      </c>
    </row>
    <row r="24779" customFormat="false" ht="12.8" hidden="false" customHeight="false" outlineLevel="0" collapsed="false">
      <c r="B24779" s="0" t="s">
        <v>7</v>
      </c>
      <c r="C24779" s="0" t="s">
        <v>9263</v>
      </c>
      <c r="D24779" s="0" t="s">
        <v>9263</v>
      </c>
      <c r="E24779" s="0" t="s">
        <v>9263</v>
      </c>
      <c r="F24779" s="0" t="s">
        <v>9263</v>
      </c>
    </row>
    <row r="24781" customFormat="false" ht="12.8" hidden="false" customHeight="false" outlineLevel="0" collapsed="false">
      <c r="A24781" s="0" t="s">
        <v>9264</v>
      </c>
      <c r="B24781" s="0" t="str">
        <f aca="false">HYPERLINK("https://lindat.mff.cuni.cz/services/teitok/pdtc10/index.php?action=vallex&amp;frame=v-w3267f1", "otipovat (v-w3267f1)")</f>
        <v>otipovat (v-w3267f1)</v>
      </c>
    </row>
    <row r="24782" customFormat="false" ht="12.8" hidden="false" customHeight="false" outlineLevel="0" collapsed="false">
      <c r="B24782" s="0" t="s">
        <v>7</v>
      </c>
    </row>
    <row r="24783" customFormat="false" ht="12.8" hidden="false" customHeight="false" outlineLevel="0" collapsed="false">
      <c r="B24783" s="0" t="s">
        <v>54</v>
      </c>
    </row>
    <row r="24784" customFormat="false" ht="12.8" hidden="false" customHeight="false" outlineLevel="0" collapsed="false">
      <c r="B24784" s="0" t="s">
        <v>37</v>
      </c>
    </row>
    <row r="24786" customFormat="false" ht="12.8" hidden="false" customHeight="false" outlineLevel="0" collapsed="false">
      <c r="A24786" s="0" t="s">
        <v>9265</v>
      </c>
      <c r="B24786" s="0" t="str">
        <f aca="false">HYPERLINK("https://lindat.mff.cuni.cz/services/teitok/pdtc10/index.php?action=vallex&amp;frame=v-w3268f1", "otisknout (v-w3268f1)")</f>
        <v>otisknout (v-w3268f1)</v>
      </c>
    </row>
    <row r="24787" customFormat="false" ht="12.8" hidden="false" customHeight="false" outlineLevel="0" collapsed="false">
      <c r="B24787" s="0" t="s">
        <v>7</v>
      </c>
      <c r="C24787" s="0" t="s">
        <v>9266</v>
      </c>
      <c r="D24787" s="0" t="s">
        <v>164</v>
      </c>
      <c r="E24787" s="0" t="s">
        <v>164</v>
      </c>
      <c r="F24787" s="0" t="s">
        <v>164</v>
      </c>
    </row>
    <row r="24788" customFormat="false" ht="12.8" hidden="false" customHeight="false" outlineLevel="0" collapsed="false">
      <c r="B24788" s="0" t="s">
        <v>1520</v>
      </c>
      <c r="C24788" s="0" t="s">
        <v>9267</v>
      </c>
      <c r="D24788" s="0" t="s">
        <v>167</v>
      </c>
      <c r="E24788" s="0" t="s">
        <v>167</v>
      </c>
      <c r="F24788" s="0" t="s">
        <v>167</v>
      </c>
    </row>
    <row r="24790" customFormat="false" ht="12.8" hidden="false" customHeight="false" outlineLevel="0" collapsed="false">
      <c r="A24790" s="0" t="s">
        <v>9268</v>
      </c>
      <c r="B24790" s="0" t="str">
        <f aca="false">HYPERLINK("https://lindat.mff.cuni.cz/services/teitok/pdtc10/index.php?action=vallex&amp;frame=v-w3268f2", "otisknout (v-w3268f2)")</f>
        <v>otisknout (v-w3268f2)</v>
      </c>
    </row>
    <row r="24791" customFormat="false" ht="12.8" hidden="false" customHeight="false" outlineLevel="0" collapsed="false">
      <c r="B24791" s="0" t="s">
        <v>7</v>
      </c>
    </row>
    <row r="24792" customFormat="false" ht="12.8" hidden="false" customHeight="false" outlineLevel="0" collapsed="false">
      <c r="B24792" s="0" t="s">
        <v>5525</v>
      </c>
    </row>
    <row r="24793" customFormat="false" ht="12.8" hidden="false" customHeight="false" outlineLevel="0" collapsed="false">
      <c r="B24793" s="0" t="s">
        <v>363</v>
      </c>
    </row>
    <row r="24795" customFormat="false" ht="12.8" hidden="false" customHeight="false" outlineLevel="0" collapsed="false">
      <c r="A24795" s="0" t="s">
        <v>9269</v>
      </c>
      <c r="B24795" s="0" t="str">
        <f aca="false">HYPERLINK("https://lindat.mff.cuni.cz/services/teitok/pdtc10/index.php?action=vallex&amp;frame=v-w3269f1", "otiskovat (v-w3269f1)")</f>
        <v>otiskovat (v-w3269f1)</v>
      </c>
    </row>
    <row r="24796" customFormat="false" ht="12.8" hidden="false" customHeight="false" outlineLevel="0" collapsed="false">
      <c r="B24796" s="0" t="s">
        <v>7</v>
      </c>
      <c r="D24796" s="0" t="s">
        <v>164</v>
      </c>
      <c r="E24796" s="0" t="s">
        <v>164</v>
      </c>
      <c r="F24796" s="0" t="s">
        <v>164</v>
      </c>
    </row>
    <row r="24797" customFormat="false" ht="12.8" hidden="false" customHeight="false" outlineLevel="0" collapsed="false">
      <c r="B24797" s="0" t="s">
        <v>1520</v>
      </c>
      <c r="D24797" s="0" t="s">
        <v>167</v>
      </c>
      <c r="E24797" s="0" t="s">
        <v>167</v>
      </c>
      <c r="F24797" s="0" t="s">
        <v>167</v>
      </c>
    </row>
    <row r="24799" customFormat="false" ht="12.8" hidden="false" customHeight="false" outlineLevel="0" collapsed="false">
      <c r="A24799" s="0" t="s">
        <v>9270</v>
      </c>
      <c r="B24799" s="0" t="str">
        <f aca="false">HYPERLINK("https://lindat.mff.cuni.cz/services/teitok/pdtc10/index.php?action=vallex&amp;frame=v-w3269f2", "otiskovat (v-w3269f2)")</f>
        <v>otiskovat (v-w3269f2)</v>
      </c>
    </row>
    <row r="24800" customFormat="false" ht="12.8" hidden="false" customHeight="false" outlineLevel="0" collapsed="false">
      <c r="B24800" s="0" t="s">
        <v>7</v>
      </c>
    </row>
    <row r="24801" customFormat="false" ht="12.8" hidden="false" customHeight="false" outlineLevel="0" collapsed="false">
      <c r="B24801" s="0" t="s">
        <v>5525</v>
      </c>
    </row>
    <row r="24802" customFormat="false" ht="12.8" hidden="false" customHeight="false" outlineLevel="0" collapsed="false">
      <c r="B24802" s="0" t="s">
        <v>363</v>
      </c>
    </row>
    <row r="24804" customFormat="false" ht="12.8" hidden="false" customHeight="false" outlineLevel="0" collapsed="false">
      <c r="A24804" s="0" t="s">
        <v>9271</v>
      </c>
      <c r="B24804" s="0" t="str">
        <f aca="false">HYPERLINK("https://lindat.mff.cuni.cz/services/teitok/pdtc10/index.php?action=vallex&amp;frame=v-w11877_ZUf1_ZU", "otlačit se (v-w11877_ZUf1_ZU)")</f>
        <v>otlačit se (v-w11877_ZUf1_ZU)</v>
      </c>
    </row>
    <row r="24805" customFormat="false" ht="12.8" hidden="false" customHeight="false" outlineLevel="0" collapsed="false">
      <c r="B24805" s="0" t="s">
        <v>7</v>
      </c>
    </row>
    <row r="24807" customFormat="false" ht="12.8" hidden="false" customHeight="false" outlineLevel="0" collapsed="false">
      <c r="A24807" s="0" t="s">
        <v>9272</v>
      </c>
      <c r="B24807" s="0" t="str">
        <f aca="false">HYPERLINK("https://lindat.mff.cuni.cz/services/teitok/pdtc10/index.php?action=vallex&amp;frame=v-w12150_ZUf1_ZU", "otlouci (v-w12150_ZUf1_ZU)")</f>
        <v>otlouci (v-w12150_ZUf1_ZU)</v>
      </c>
    </row>
    <row r="24808" customFormat="false" ht="12.8" hidden="false" customHeight="false" outlineLevel="0" collapsed="false">
      <c r="B24808" s="0" t="s">
        <v>7</v>
      </c>
    </row>
    <row r="24809" customFormat="false" ht="12.8" hidden="false" customHeight="false" outlineLevel="0" collapsed="false">
      <c r="B24809" s="0" t="s">
        <v>14</v>
      </c>
    </row>
    <row r="24811" customFormat="false" ht="12.8" hidden="false" customHeight="false" outlineLevel="0" collapsed="false">
      <c r="A24811" s="0" t="s">
        <v>9273</v>
      </c>
      <c r="B24811" s="0" t="str">
        <f aca="false">HYPERLINK("https://lindat.mff.cuni.cz/services/teitok/pdtc10/index.php?action=vallex&amp;frame=v-whsa_392hsa_393", "otloukat (v-whsa_392hsa_393)")</f>
        <v>otloukat (v-whsa_392hsa_393)</v>
      </c>
    </row>
    <row r="24812" customFormat="false" ht="12.8" hidden="false" customHeight="false" outlineLevel="0" collapsed="false">
      <c r="B24812" s="0" t="s">
        <v>7</v>
      </c>
    </row>
    <row r="24813" customFormat="false" ht="12.8" hidden="false" customHeight="false" outlineLevel="0" collapsed="false">
      <c r="B24813" s="0" t="s">
        <v>14</v>
      </c>
    </row>
    <row r="24815" customFormat="false" ht="12.8" hidden="false" customHeight="false" outlineLevel="0" collapsed="false">
      <c r="A24815" s="0" t="s">
        <v>9274</v>
      </c>
      <c r="B24815" s="0" t="str">
        <f aca="false">HYPERLINK("https://lindat.mff.cuni.cz/services/teitok/pdtc10/index.php?action=vallex&amp;frame=v-w3271f1", "otočit (v-w3271f1)")</f>
        <v>otočit (v-w3271f1)</v>
      </c>
    </row>
    <row r="24816" customFormat="false" ht="12.8" hidden="false" customHeight="false" outlineLevel="0" collapsed="false">
      <c r="B24816" s="0" t="s">
        <v>7</v>
      </c>
      <c r="C24816" s="0" t="s">
        <v>2170</v>
      </c>
      <c r="D24816" s="0" t="s">
        <v>77</v>
      </c>
      <c r="E24816" s="0" t="s">
        <v>77</v>
      </c>
      <c r="F24816" s="0" t="s">
        <v>77</v>
      </c>
    </row>
    <row r="24817" customFormat="false" ht="12.8" hidden="false" customHeight="false" outlineLevel="0" collapsed="false">
      <c r="B24817" s="0" t="s">
        <v>14</v>
      </c>
      <c r="C24817" s="0" t="s">
        <v>1605</v>
      </c>
      <c r="D24817" s="0" t="s">
        <v>4163</v>
      </c>
      <c r="E24817" s="0" t="s">
        <v>4163</v>
      </c>
      <c r="F24817" s="0" t="s">
        <v>4163</v>
      </c>
    </row>
    <row r="24818" customFormat="false" ht="12.8" hidden="false" customHeight="false" outlineLevel="0" collapsed="false">
      <c r="B24818" s="0" t="s">
        <v>35</v>
      </c>
    </row>
    <row r="24819" customFormat="false" ht="12.8" hidden="false" customHeight="false" outlineLevel="0" collapsed="false">
      <c r="B24819" s="0" t="s">
        <v>84</v>
      </c>
      <c r="D24819" s="0" t="s">
        <v>5188</v>
      </c>
      <c r="E24819" s="0" t="s">
        <v>5188</v>
      </c>
      <c r="F24819" s="0" t="s">
        <v>5188</v>
      </c>
    </row>
    <row r="24821" customFormat="false" ht="12.8" hidden="false" customHeight="false" outlineLevel="0" collapsed="false">
      <c r="A24821" s="0" t="s">
        <v>9275</v>
      </c>
      <c r="B24821" s="0" t="str">
        <f aca="false">HYPERLINK("https://lindat.mff.cuni.cz/services/teitok/pdtc10/index.php?action=vallex&amp;frame=v-w3271f2", "otočit (v-w3271f2)")</f>
        <v>otočit (v-w3271f2)</v>
      </c>
    </row>
    <row r="24822" customFormat="false" ht="12.8" hidden="false" customHeight="false" outlineLevel="0" collapsed="false">
      <c r="B24822" s="0" t="s">
        <v>7</v>
      </c>
      <c r="D24822" s="0" t="s">
        <v>191</v>
      </c>
      <c r="E24822" s="0" t="s">
        <v>191</v>
      </c>
      <c r="F24822" s="0" t="s">
        <v>191</v>
      </c>
    </row>
    <row r="24823" customFormat="false" ht="12.8" hidden="false" customHeight="false" outlineLevel="0" collapsed="false">
      <c r="B24823" s="0" t="s">
        <v>1836</v>
      </c>
      <c r="D24823" s="0" t="s">
        <v>155</v>
      </c>
      <c r="E24823" s="0" t="s">
        <v>155</v>
      </c>
      <c r="F24823" s="0" t="s">
        <v>155</v>
      </c>
    </row>
    <row r="24825" customFormat="false" ht="12.8" hidden="false" customHeight="false" outlineLevel="0" collapsed="false">
      <c r="A24825" s="0" t="s">
        <v>9276</v>
      </c>
      <c r="B24825" s="0" t="str">
        <f aca="false">HYPERLINK("https://lindat.mff.cuni.cz/services/teitok/pdtc10/index.php?action=vallex&amp;frame=v-w3271f3", "otočit (v-w3271f3)")</f>
        <v>otočit (v-w3271f3)</v>
      </c>
    </row>
    <row r="24826" customFormat="false" ht="12.8" hidden="false" customHeight="false" outlineLevel="0" collapsed="false">
      <c r="B24826" s="0" t="s">
        <v>7</v>
      </c>
    </row>
    <row r="24827" customFormat="false" ht="12.8" hidden="false" customHeight="false" outlineLevel="0" collapsed="false">
      <c r="B24827" s="0" t="s">
        <v>14</v>
      </c>
    </row>
    <row r="24829" customFormat="false" ht="12.8" hidden="false" customHeight="false" outlineLevel="0" collapsed="false">
      <c r="A24829" s="0" t="s">
        <v>9277</v>
      </c>
      <c r="B24829" s="0" t="str">
        <f aca="false">HYPERLINK("https://lindat.mff.cuni.cz/services/teitok/pdtc10/index.php?action=vallex&amp;frame=v-w3271hsa_533", "otočit (v-w3271hsa_533)")</f>
        <v>otočit (v-w3271hsa_533)</v>
      </c>
    </row>
    <row r="24830" customFormat="false" ht="12.8" hidden="false" customHeight="false" outlineLevel="0" collapsed="false">
      <c r="B24830" s="0" t="s">
        <v>7</v>
      </c>
      <c r="C24830" s="0" t="s">
        <v>7782</v>
      </c>
    </row>
    <row r="24832" customFormat="false" ht="12.8" hidden="false" customHeight="false" outlineLevel="0" collapsed="false">
      <c r="A24832" s="0" t="s">
        <v>9278</v>
      </c>
      <c r="B24832" s="0" t="str">
        <f aca="false">HYPERLINK("https://lindat.mff.cuni.cz/services/teitok/pdtc10/index.php?action=vallex&amp;frame=v-w3271f4_ZU", "otočit (v-w3271f4_ZU)")</f>
        <v>otočit (v-w3271f4_ZU)</v>
      </c>
    </row>
    <row r="24833" customFormat="false" ht="12.8" hidden="false" customHeight="false" outlineLevel="0" collapsed="false">
      <c r="B24833" s="0" t="s">
        <v>7</v>
      </c>
    </row>
    <row r="24834" customFormat="false" ht="12.8" hidden="false" customHeight="false" outlineLevel="0" collapsed="false">
      <c r="B24834" s="0" t="s">
        <v>14</v>
      </c>
    </row>
    <row r="24836" customFormat="false" ht="12.8" hidden="false" customHeight="false" outlineLevel="0" collapsed="false">
      <c r="A24836" s="0" t="s">
        <v>9279</v>
      </c>
      <c r="B24836" s="0" t="str">
        <f aca="false">HYPERLINK("https://lindat.mff.cuni.cz/services/teitok/pdtc10/index.php?action=vallex&amp;frame=v-w3271hsa_534", "otočit (v-w3271hsa_534)")</f>
        <v>otočit (v-w3271hsa_534)</v>
      </c>
    </row>
    <row r="24837" customFormat="false" ht="12.8" hidden="false" customHeight="false" outlineLevel="0" collapsed="false">
      <c r="B24837" s="0" t="s">
        <v>7</v>
      </c>
    </row>
    <row r="24838" customFormat="false" ht="12.8" hidden="false" customHeight="false" outlineLevel="0" collapsed="false">
      <c r="B24838" s="0" t="s">
        <v>14</v>
      </c>
    </row>
    <row r="24839" customFormat="false" ht="12.8" hidden="false" customHeight="false" outlineLevel="0" collapsed="false">
      <c r="B24839" s="0" t="s">
        <v>7729</v>
      </c>
    </row>
    <row r="24841" customFormat="false" ht="12.8" hidden="false" customHeight="false" outlineLevel="0" collapsed="false">
      <c r="A24841" s="0" t="s">
        <v>9280</v>
      </c>
      <c r="B24841" s="0" t="str">
        <f aca="false">HYPERLINK("https://lindat.mff.cuni.cz/services/teitok/pdtc10/index.php?action=vallex&amp;frame=v-w3272f2", "otočit se (v-w3272f2)")</f>
        <v>otočit se (v-w3272f2)</v>
      </c>
    </row>
    <row r="24842" customFormat="false" ht="12.8" hidden="false" customHeight="false" outlineLevel="0" collapsed="false">
      <c r="B24842" s="0" t="s">
        <v>7</v>
      </c>
      <c r="C24842" s="0" t="s">
        <v>577</v>
      </c>
    </row>
    <row r="24843" customFormat="false" ht="12.8" hidden="false" customHeight="false" outlineLevel="0" collapsed="false">
      <c r="B24843" s="0" t="s">
        <v>5267</v>
      </c>
      <c r="C24843" s="0" t="s">
        <v>9281</v>
      </c>
    </row>
    <row r="24844" customFormat="false" ht="12.8" hidden="false" customHeight="false" outlineLevel="0" collapsed="false">
      <c r="B24844" s="0" t="s">
        <v>35</v>
      </c>
      <c r="C24844" s="0" t="s">
        <v>9282</v>
      </c>
    </row>
    <row r="24846" customFormat="false" ht="12.8" hidden="false" customHeight="false" outlineLevel="0" collapsed="false">
      <c r="A24846" s="0" t="s">
        <v>9283</v>
      </c>
      <c r="B24846" s="0" t="str">
        <f aca="false">HYPERLINK("https://lindat.mff.cuni.cz/services/teitok/pdtc10/index.php?action=vallex&amp;frame=v-w3272f1", "otočit se (v-w3272f1)")</f>
        <v>otočit se (v-w3272f1)</v>
      </c>
    </row>
    <row r="24847" customFormat="false" ht="12.8" hidden="false" customHeight="false" outlineLevel="0" collapsed="false">
      <c r="B24847" s="0" t="s">
        <v>7</v>
      </c>
      <c r="C24847" s="0" t="s">
        <v>9284</v>
      </c>
    </row>
    <row r="24849" customFormat="false" ht="12.8" hidden="false" customHeight="false" outlineLevel="0" collapsed="false">
      <c r="A24849" s="0" t="s">
        <v>9285</v>
      </c>
      <c r="B24849" s="0" t="str">
        <f aca="false">HYPERLINK("https://lindat.mff.cuni.cz/services/teitok/pdtc10/index.php?action=vallex&amp;frame=v-w3272f3_ZU", "otočit se (v-w3272f3_ZU)")</f>
        <v>otočit se (v-w3272f3_ZU)</v>
      </c>
    </row>
    <row r="24850" customFormat="false" ht="12.8" hidden="false" customHeight="false" outlineLevel="0" collapsed="false">
      <c r="B24850" s="0" t="s">
        <v>7</v>
      </c>
      <c r="D24850" s="0" t="s">
        <v>4414</v>
      </c>
      <c r="E24850" s="0" t="s">
        <v>4414</v>
      </c>
      <c r="F24850" s="0" t="s">
        <v>4414</v>
      </c>
    </row>
    <row r="24851" customFormat="false" ht="12.8" hidden="false" customHeight="false" outlineLevel="0" collapsed="false">
      <c r="B24851" s="0" t="s">
        <v>7751</v>
      </c>
    </row>
    <row r="24852" customFormat="false" ht="12.8" hidden="false" customHeight="false" outlineLevel="0" collapsed="false">
      <c r="B24852" s="0" t="s">
        <v>237</v>
      </c>
      <c r="D24852" s="0" t="s">
        <v>2887</v>
      </c>
      <c r="E24852" s="0" t="s">
        <v>2887</v>
      </c>
      <c r="F24852" s="0" t="s">
        <v>2887</v>
      </c>
    </row>
    <row r="24854" customFormat="false" ht="12.8" hidden="false" customHeight="false" outlineLevel="0" collapsed="false">
      <c r="A24854" s="0" t="s">
        <v>9286</v>
      </c>
      <c r="B24854" s="0" t="str">
        <f aca="false">HYPERLINK("https://lindat.mff.cuni.cz/services/teitok/pdtc10/index.php?action=vallex&amp;frame=v-w3272f4_ZU", "otočit se (v-w3272f4_ZU)")</f>
        <v>otočit se (v-w3272f4_ZU)</v>
      </c>
    </row>
    <row r="24855" customFormat="false" ht="12.8" hidden="false" customHeight="false" outlineLevel="0" collapsed="false">
      <c r="B24855" s="0" t="s">
        <v>7</v>
      </c>
    </row>
    <row r="24857" customFormat="false" ht="12.8" hidden="false" customHeight="false" outlineLevel="0" collapsed="false">
      <c r="A24857" s="0" t="s">
        <v>9287</v>
      </c>
      <c r="B24857" s="0" t="str">
        <f aca="false">HYPERLINK("https://lindat.mff.cuni.cz/services/teitok/pdtc10/index.php?action=vallex&amp;frame=v-w3277f1", "otravovat (v-w3277f1)")</f>
        <v>otravovat (v-w3277f1)</v>
      </c>
    </row>
    <row r="24858" customFormat="false" ht="12.8" hidden="false" customHeight="false" outlineLevel="0" collapsed="false">
      <c r="B24858" s="0" t="s">
        <v>7</v>
      </c>
      <c r="C24858" s="0" t="s">
        <v>3709</v>
      </c>
      <c r="D24858" s="0" t="s">
        <v>3710</v>
      </c>
      <c r="E24858" s="0" t="s">
        <v>3711</v>
      </c>
      <c r="F24858" s="0" t="s">
        <v>3711</v>
      </c>
    </row>
    <row r="24859" customFormat="false" ht="12.8" hidden="false" customHeight="false" outlineLevel="0" collapsed="false">
      <c r="B24859" s="0" t="s">
        <v>14</v>
      </c>
      <c r="C24859" s="0" t="s">
        <v>78</v>
      </c>
      <c r="D24859" s="0" t="s">
        <v>3712</v>
      </c>
      <c r="E24859" s="0" t="s">
        <v>461</v>
      </c>
      <c r="F24859" s="0" t="s">
        <v>461</v>
      </c>
    </row>
    <row r="24861" customFormat="false" ht="12.8" hidden="false" customHeight="false" outlineLevel="0" collapsed="false">
      <c r="A24861" s="0" t="s">
        <v>9288</v>
      </c>
      <c r="B24861" s="0" t="str">
        <f aca="false">HYPERLINK("https://lindat.mff.cuni.cz/services/teitok/pdtc10/index.php?action=vallex&amp;frame=v-w3277hsa_281", "otravovat (v-w3277hsa_281)")</f>
        <v>otravovat (v-w3277hsa_281)</v>
      </c>
    </row>
    <row r="24862" customFormat="false" ht="12.8" hidden="false" customHeight="false" outlineLevel="0" collapsed="false">
      <c r="B24862" s="0" t="s">
        <v>7</v>
      </c>
    </row>
    <row r="24863" customFormat="false" ht="12.8" hidden="false" customHeight="false" outlineLevel="0" collapsed="false">
      <c r="B24863" s="0" t="s">
        <v>14</v>
      </c>
    </row>
    <row r="24865" customFormat="false" ht="12.8" hidden="false" customHeight="false" outlineLevel="0" collapsed="false">
      <c r="A24865" s="0" t="s">
        <v>9289</v>
      </c>
      <c r="B24865" s="0" t="str">
        <f aca="false">HYPERLINK("https://lindat.mff.cuni.cz/services/teitok/pdtc10/index.php?action=vallex&amp;frame=v-whsa_441hsa_442", "otrhat (v-whsa_441hsa_442)")</f>
        <v>otrhat (v-whsa_441hsa_442)</v>
      </c>
    </row>
    <row r="24866" customFormat="false" ht="12.8" hidden="false" customHeight="false" outlineLevel="0" collapsed="false">
      <c r="B24866" s="0" t="s">
        <v>7</v>
      </c>
    </row>
    <row r="24867" customFormat="false" ht="12.8" hidden="false" customHeight="false" outlineLevel="0" collapsed="false">
      <c r="B24867" s="0" t="s">
        <v>14</v>
      </c>
    </row>
    <row r="24869" customFormat="false" ht="12.8" hidden="false" customHeight="false" outlineLevel="0" collapsed="false">
      <c r="A24869" s="0" t="s">
        <v>9290</v>
      </c>
      <c r="B24869" s="0" t="str">
        <f aca="false">HYPERLINK("https://lindat.mff.cuni.cz/services/teitok/pdtc10/index.php?action=vallex&amp;frame=v-w3278f1", "otrkat se (v-w3278f1)")</f>
        <v>otrkat se (v-w3278f1)</v>
      </c>
    </row>
    <row r="24870" customFormat="false" ht="12.8" hidden="false" customHeight="false" outlineLevel="0" collapsed="false">
      <c r="B24870" s="0" t="s">
        <v>7</v>
      </c>
    </row>
    <row r="24872" customFormat="false" ht="12.8" hidden="false" customHeight="false" outlineLevel="0" collapsed="false">
      <c r="A24872" s="0" t="s">
        <v>9291</v>
      </c>
      <c r="B24872" s="0" t="str">
        <f aca="false">HYPERLINK("https://lindat.mff.cuni.cz/services/teitok/pdtc10/index.php?action=vallex&amp;frame=v-w3279f1", "otrnout (v-w3279f1)")</f>
        <v>otrnout (v-w3279f1)</v>
      </c>
    </row>
    <row r="24873" customFormat="false" ht="12.8" hidden="false" customHeight="false" outlineLevel="0" collapsed="false">
      <c r="B24873" s="0" t="s">
        <v>603</v>
      </c>
    </row>
    <row r="24875" customFormat="false" ht="12.8" hidden="false" customHeight="false" outlineLevel="0" collapsed="false">
      <c r="A24875" s="0" t="s">
        <v>9292</v>
      </c>
      <c r="B24875" s="0" t="str">
        <f aca="false">HYPERLINK("https://lindat.mff.cuni.cz/services/teitok/pdtc10/index.php?action=vallex&amp;frame=v-w3275f1", "otrávit (v-w3275f1)")</f>
        <v>otrávit (v-w3275f1)</v>
      </c>
    </row>
    <row r="24876" customFormat="false" ht="12.8" hidden="false" customHeight="false" outlineLevel="0" collapsed="false">
      <c r="B24876" s="0" t="s">
        <v>7</v>
      </c>
      <c r="D24876" s="0" t="s">
        <v>9293</v>
      </c>
      <c r="E24876" s="0" t="s">
        <v>9294</v>
      </c>
      <c r="F24876" s="0" t="s">
        <v>9294</v>
      </c>
    </row>
    <row r="24877" customFormat="false" ht="12.8" hidden="false" customHeight="false" outlineLevel="0" collapsed="false">
      <c r="B24877" s="0" t="s">
        <v>14</v>
      </c>
      <c r="D24877" s="0" t="s">
        <v>180</v>
      </c>
      <c r="E24877" s="0" t="s">
        <v>9295</v>
      </c>
      <c r="F24877" s="0" t="s">
        <v>9295</v>
      </c>
    </row>
    <row r="24879" customFormat="false" ht="12.8" hidden="false" customHeight="false" outlineLevel="0" collapsed="false">
      <c r="A24879" s="0" t="s">
        <v>9296</v>
      </c>
      <c r="B24879" s="0" t="str">
        <f aca="false">HYPERLINK("https://lindat.mff.cuni.cz/services/teitok/pdtc10/index.php?action=vallex&amp;frame=v-w3276f1", "otrávit se (v-w3276f1)")</f>
        <v>otrávit se (v-w3276f1)</v>
      </c>
    </row>
    <row r="24880" customFormat="false" ht="12.8" hidden="false" customHeight="false" outlineLevel="0" collapsed="false">
      <c r="B24880" s="0" t="s">
        <v>7</v>
      </c>
      <c r="D24880" s="0" t="s">
        <v>1398</v>
      </c>
      <c r="E24880" s="0" t="s">
        <v>9297</v>
      </c>
      <c r="F24880" s="0" t="s">
        <v>9297</v>
      </c>
    </row>
    <row r="24882" customFormat="false" ht="12.8" hidden="false" customHeight="false" outlineLevel="0" collapsed="false">
      <c r="A24882" s="0" t="s">
        <v>9298</v>
      </c>
      <c r="B24882" s="0" t="str">
        <f aca="false">HYPERLINK("https://lindat.mff.cuni.cz/services/teitok/pdtc10/index.php?action=vallex&amp;frame=v-w10983f2", "otupit (v-w10983f2)")</f>
        <v>otupit (v-w10983f2)</v>
      </c>
    </row>
    <row r="24883" customFormat="false" ht="12.8" hidden="false" customHeight="false" outlineLevel="0" collapsed="false">
      <c r="B24883" s="0" t="s">
        <v>7</v>
      </c>
      <c r="C24883" s="0" t="s">
        <v>335</v>
      </c>
      <c r="D24883" s="0" t="s">
        <v>4161</v>
      </c>
      <c r="E24883" s="0" t="s">
        <v>9106</v>
      </c>
      <c r="F24883" s="0" t="s">
        <v>9106</v>
      </c>
    </row>
    <row r="24884" customFormat="false" ht="12.8" hidden="false" customHeight="false" outlineLevel="0" collapsed="false">
      <c r="B24884" s="0" t="s">
        <v>14</v>
      </c>
      <c r="C24884" s="0" t="s">
        <v>74</v>
      </c>
      <c r="D24884" s="0" t="s">
        <v>9299</v>
      </c>
      <c r="E24884" s="0" t="s">
        <v>9107</v>
      </c>
      <c r="F24884" s="0" t="s">
        <v>9107</v>
      </c>
    </row>
    <row r="24886" customFormat="false" ht="12.8" hidden="false" customHeight="false" outlineLevel="0" collapsed="false">
      <c r="A24886" s="0" t="s">
        <v>9300</v>
      </c>
      <c r="B24886" s="0" t="str">
        <f aca="false">HYPERLINK("https://lindat.mff.cuni.cz/services/teitok/pdtc10/index.php?action=vallex&amp;frame=v-w3284f1", "otupovat (v-w3284f1)")</f>
        <v>otupovat (v-w3284f1)</v>
      </c>
    </row>
    <row r="24887" customFormat="false" ht="12.8" hidden="false" customHeight="false" outlineLevel="0" collapsed="false">
      <c r="B24887" s="0" t="s">
        <v>7</v>
      </c>
      <c r="D24887" s="0" t="s">
        <v>4161</v>
      </c>
      <c r="E24887" s="0" t="s">
        <v>4161</v>
      </c>
      <c r="F24887" s="0" t="s">
        <v>4161</v>
      </c>
    </row>
    <row r="24888" customFormat="false" ht="12.8" hidden="false" customHeight="false" outlineLevel="0" collapsed="false">
      <c r="B24888" s="0" t="s">
        <v>14</v>
      </c>
      <c r="D24888" s="0" t="s">
        <v>9299</v>
      </c>
      <c r="E24888" s="0" t="s">
        <v>9299</v>
      </c>
      <c r="F24888" s="0" t="s">
        <v>9299</v>
      </c>
    </row>
    <row r="24890" customFormat="false" ht="12.8" hidden="false" customHeight="false" outlineLevel="0" collapsed="false">
      <c r="A24890" s="0" t="s">
        <v>9301</v>
      </c>
      <c r="B24890" s="0" t="str">
        <f aca="false">HYPERLINK("https://lindat.mff.cuni.cz/services/teitok/pdtc10/index.php?action=vallex&amp;frame=v-w10049f2", "otupět (v-w10049f2)")</f>
        <v>otupět (v-w10049f2)</v>
      </c>
    </row>
    <row r="24891" customFormat="false" ht="12.8" hidden="false" customHeight="false" outlineLevel="0" collapsed="false">
      <c r="B24891" s="0" t="s">
        <v>7</v>
      </c>
      <c r="C24891" s="0" t="s">
        <v>46</v>
      </c>
      <c r="D24891" s="0" t="s">
        <v>4161</v>
      </c>
      <c r="E24891" s="0" t="s">
        <v>4161</v>
      </c>
      <c r="F24891" s="0" t="s">
        <v>4161</v>
      </c>
    </row>
    <row r="24892" customFormat="false" ht="12.8" hidden="false" customHeight="false" outlineLevel="0" collapsed="false">
      <c r="B24892" s="0" t="s">
        <v>14</v>
      </c>
      <c r="C24892" s="0" t="s">
        <v>47</v>
      </c>
      <c r="D24892" s="0" t="s">
        <v>9299</v>
      </c>
      <c r="E24892" s="0" t="s">
        <v>9299</v>
      </c>
      <c r="F24892" s="0" t="s">
        <v>9299</v>
      </c>
    </row>
    <row r="24894" customFormat="false" ht="12.8" hidden="false" customHeight="false" outlineLevel="0" collapsed="false">
      <c r="A24894" s="0" t="s">
        <v>9302</v>
      </c>
      <c r="B24894" s="0" t="str">
        <f aca="false">HYPERLINK("https://lindat.mff.cuni.cz/services/teitok/pdtc10/index.php?action=vallex&amp;frame=v-w3286f1", "otužovat (v-w3286f1)")</f>
        <v>otužovat (v-w3286f1)</v>
      </c>
    </row>
    <row r="24895" customFormat="false" ht="12.8" hidden="false" customHeight="false" outlineLevel="0" collapsed="false">
      <c r="B24895" s="0" t="s">
        <v>7</v>
      </c>
    </row>
    <row r="24896" customFormat="false" ht="12.8" hidden="false" customHeight="false" outlineLevel="0" collapsed="false">
      <c r="B24896" s="0" t="s">
        <v>14</v>
      </c>
    </row>
    <row r="24898" customFormat="false" ht="12.8" hidden="false" customHeight="false" outlineLevel="0" collapsed="false">
      <c r="A24898" s="0" t="s">
        <v>9303</v>
      </c>
      <c r="B24898" s="0" t="str">
        <f aca="false">HYPERLINK("https://lindat.mff.cuni.cz/services/teitok/pdtc10/index.php?action=vallex&amp;frame=v-w3288f1", "otvírat (v-w3288f1)")</f>
        <v>otvírat (v-w3288f1)</v>
      </c>
    </row>
    <row r="24899" customFormat="false" ht="12.8" hidden="false" customHeight="false" outlineLevel="0" collapsed="false">
      <c r="B24899" s="0" t="s">
        <v>7</v>
      </c>
      <c r="C24899" s="0" t="s">
        <v>335</v>
      </c>
      <c r="D24899" s="0" t="s">
        <v>9304</v>
      </c>
      <c r="E24899" s="0" t="s">
        <v>9304</v>
      </c>
      <c r="F24899" s="0" t="s">
        <v>9304</v>
      </c>
    </row>
    <row r="24900" customFormat="false" ht="12.8" hidden="false" customHeight="false" outlineLevel="0" collapsed="false">
      <c r="B24900" s="0" t="s">
        <v>14</v>
      </c>
      <c r="C24900" s="0" t="s">
        <v>33</v>
      </c>
      <c r="D24900" s="0" t="s">
        <v>9305</v>
      </c>
      <c r="E24900" s="0" t="s">
        <v>9305</v>
      </c>
      <c r="F24900" s="0" t="s">
        <v>9305</v>
      </c>
    </row>
    <row r="24902" customFormat="false" ht="12.8" hidden="false" customHeight="false" outlineLevel="0" collapsed="false">
      <c r="A24902" s="0" t="s">
        <v>9306</v>
      </c>
      <c r="B24902" s="0" t="str">
        <f aca="false">HYPERLINK("https://lindat.mff.cuni.cz/services/teitok/pdtc10/index.php?action=vallex&amp;frame=v-w3288f3", "otvírat (v-w3288f3)")</f>
        <v>otvírat (v-w3288f3)</v>
      </c>
    </row>
    <row r="24903" customFormat="false" ht="12.8" hidden="false" customHeight="false" outlineLevel="0" collapsed="false">
      <c r="B24903" s="0" t="s">
        <v>7</v>
      </c>
      <c r="C24903" s="0" t="s">
        <v>200</v>
      </c>
      <c r="D24903" s="0" t="s">
        <v>69</v>
      </c>
      <c r="E24903" s="0" t="s">
        <v>69</v>
      </c>
      <c r="F24903" s="0" t="s">
        <v>69</v>
      </c>
    </row>
    <row r="24904" customFormat="false" ht="12.8" hidden="false" customHeight="false" outlineLevel="0" collapsed="false">
      <c r="B24904" s="0" t="s">
        <v>14</v>
      </c>
      <c r="D24904" s="0" t="s">
        <v>71</v>
      </c>
      <c r="E24904" s="0" t="s">
        <v>71</v>
      </c>
      <c r="F24904" s="0" t="s">
        <v>71</v>
      </c>
    </row>
    <row r="24906" customFormat="false" ht="12.8" hidden="false" customHeight="false" outlineLevel="0" collapsed="false">
      <c r="A24906" s="0" t="s">
        <v>9307</v>
      </c>
      <c r="B24906" s="0" t="str">
        <f aca="false">HYPERLINK("https://lindat.mff.cuni.cz/services/teitok/pdtc10/index.php?action=vallex&amp;frame=v-w3288f5_ZU", "otvírat (v-w3288f5_ZU)")</f>
        <v>otvírat (v-w3288f5_ZU)</v>
      </c>
    </row>
    <row r="24907" customFormat="false" ht="12.8" hidden="false" customHeight="false" outlineLevel="0" collapsed="false">
      <c r="B24907" s="0" t="s">
        <v>7</v>
      </c>
      <c r="C24907" s="0" t="s">
        <v>8512</v>
      </c>
    </row>
    <row r="24908" customFormat="false" ht="12.8" hidden="false" customHeight="false" outlineLevel="0" collapsed="false">
      <c r="B24908" s="0" t="s">
        <v>1059</v>
      </c>
      <c r="C24908" s="0" t="s">
        <v>9215</v>
      </c>
    </row>
    <row r="24910" customFormat="false" ht="12.8" hidden="false" customHeight="false" outlineLevel="0" collapsed="false">
      <c r="A24910" s="0" t="s">
        <v>9308</v>
      </c>
      <c r="B24910" s="0" t="str">
        <f aca="false">HYPERLINK("https://lindat.mff.cuni.cz/services/teitok/pdtc10/index.php?action=vallex&amp;frame=v-w3288f4", "otvírat (v-w3288f4)")</f>
        <v>otvírat (v-w3288f4)</v>
      </c>
    </row>
    <row r="24911" customFormat="false" ht="12.8" hidden="false" customHeight="false" outlineLevel="0" collapsed="false">
      <c r="B24911" s="0" t="s">
        <v>7</v>
      </c>
    </row>
    <row r="24913" customFormat="false" ht="12.8" hidden="false" customHeight="false" outlineLevel="0" collapsed="false">
      <c r="A24913" s="0" t="s">
        <v>9309</v>
      </c>
      <c r="B24913" s="0" t="str">
        <f aca="false">HYPERLINK("https://lindat.mff.cuni.cz/services/teitok/pdtc10/index.php?action=vallex&amp;frame=v-w3288f2", "otvírat (v-w3288f2)")</f>
        <v>otvírat (v-w3288f2)</v>
      </c>
    </row>
    <row r="24914" customFormat="false" ht="12.8" hidden="false" customHeight="false" outlineLevel="0" collapsed="false">
      <c r="B24914" s="0" t="s">
        <v>7</v>
      </c>
    </row>
    <row r="24915" customFormat="false" ht="12.8" hidden="false" customHeight="false" outlineLevel="0" collapsed="false">
      <c r="B24915" s="0" t="s">
        <v>9310</v>
      </c>
    </row>
    <row r="24916" customFormat="false" ht="12.8" hidden="false" customHeight="false" outlineLevel="0" collapsed="false">
      <c r="B24916" s="0" t="s">
        <v>3012</v>
      </c>
    </row>
    <row r="24918" customFormat="false" ht="12.8" hidden="false" customHeight="false" outlineLevel="0" collapsed="false">
      <c r="A24918" s="0" t="s">
        <v>9311</v>
      </c>
      <c r="B24918" s="0" t="str">
        <f aca="false">HYPERLINK("https://lindat.mff.cuni.cz/services/teitok/pdtc10/index.php?action=vallex&amp;frame=v-w3288f6_ZU", "otvírat (v-w3288f6_ZU)")</f>
        <v>otvírat (v-w3288f6_ZU)</v>
      </c>
    </row>
    <row r="24919" customFormat="false" ht="12.8" hidden="false" customHeight="false" outlineLevel="0" collapsed="false">
      <c r="B24919" s="0" t="s">
        <v>7</v>
      </c>
    </row>
    <row r="24920" customFormat="false" ht="12.8" hidden="false" customHeight="false" outlineLevel="0" collapsed="false">
      <c r="B24920" s="0" t="s">
        <v>9217</v>
      </c>
    </row>
    <row r="24921" customFormat="false" ht="12.8" hidden="false" customHeight="false" outlineLevel="0" collapsed="false">
      <c r="B24921" s="0" t="s">
        <v>48</v>
      </c>
    </row>
    <row r="24922" customFormat="false" ht="12.8" hidden="false" customHeight="false" outlineLevel="0" collapsed="false">
      <c r="B24922" s="0" t="s">
        <v>9254</v>
      </c>
    </row>
    <row r="24924" customFormat="false" ht="12.8" hidden="false" customHeight="false" outlineLevel="0" collapsed="false">
      <c r="A24924" s="0" t="s">
        <v>9312</v>
      </c>
      <c r="B24924" s="0" t="str">
        <f aca="false">HYPERLINK("https://lindat.mff.cuni.cz/services/teitok/pdtc10/index.php?action=vallex&amp;frame=v-w3289f2", "otvírat se (v-w3289f2)")</f>
        <v>otvírat se (v-w3289f2)</v>
      </c>
    </row>
    <row r="24925" customFormat="false" ht="12.8" hidden="false" customHeight="false" outlineLevel="0" collapsed="false">
      <c r="B24925" s="0" t="s">
        <v>7</v>
      </c>
      <c r="C24925" s="0" t="s">
        <v>200</v>
      </c>
      <c r="D24925" s="0" t="s">
        <v>396</v>
      </c>
      <c r="E24925" s="0" t="s">
        <v>396</v>
      </c>
      <c r="F24925" s="0" t="s">
        <v>396</v>
      </c>
    </row>
    <row r="24926" customFormat="false" ht="12.8" hidden="false" customHeight="false" outlineLevel="0" collapsed="false">
      <c r="B24926" s="0" t="s">
        <v>142</v>
      </c>
      <c r="D24926" s="0" t="s">
        <v>9221</v>
      </c>
      <c r="E24926" s="0" t="s">
        <v>9221</v>
      </c>
      <c r="F24926" s="0" t="s">
        <v>9221</v>
      </c>
    </row>
    <row r="24928" customFormat="false" ht="12.8" hidden="false" customHeight="false" outlineLevel="0" collapsed="false">
      <c r="A24928" s="0" t="s">
        <v>9313</v>
      </c>
      <c r="B24928" s="0" t="str">
        <f aca="false">HYPERLINK("https://lindat.mff.cuni.cz/services/teitok/pdtc10/index.php?action=vallex&amp;frame=v-w3289f1", "otvírat se (v-w3289f1)")</f>
        <v>otvírat se (v-w3289f1)</v>
      </c>
    </row>
    <row r="24929" customFormat="false" ht="12.8" hidden="false" customHeight="false" outlineLevel="0" collapsed="false">
      <c r="B24929" s="0" t="s">
        <v>7</v>
      </c>
    </row>
    <row r="24931" customFormat="false" ht="12.8" hidden="false" customHeight="false" outlineLevel="0" collapsed="false">
      <c r="A24931" s="0" t="s">
        <v>9314</v>
      </c>
      <c r="B24931" s="0" t="str">
        <f aca="false">HYPERLINK("https://lindat.mff.cuni.cz/services/teitok/pdtc10/index.php?action=vallex&amp;frame=v-w3247f1", "otálet (v-w3247f1)")</f>
        <v>otálet (v-w3247f1)</v>
      </c>
    </row>
    <row r="24932" customFormat="false" ht="12.8" hidden="false" customHeight="false" outlineLevel="0" collapsed="false">
      <c r="B24932" s="0" t="s">
        <v>7</v>
      </c>
    </row>
    <row r="24933" customFormat="false" ht="12.8" hidden="false" customHeight="false" outlineLevel="0" collapsed="false">
      <c r="B24933" s="0" t="s">
        <v>2871</v>
      </c>
    </row>
    <row r="24935" customFormat="false" ht="12.8" hidden="false" customHeight="false" outlineLevel="0" collapsed="false">
      <c r="A24935" s="0" t="s">
        <v>9315</v>
      </c>
      <c r="B24935" s="0" t="str">
        <f aca="false">HYPERLINK("https://lindat.mff.cuni.cz/services/teitok/pdtc10/index.php?action=vallex&amp;frame=v-w3248f1", "otázat se (v-w3248f1)")</f>
        <v>otázat se (v-w3248f1)</v>
      </c>
    </row>
    <row r="24936" customFormat="false" ht="12.8" hidden="false" customHeight="false" outlineLevel="0" collapsed="false">
      <c r="B24936" s="0" t="s">
        <v>7</v>
      </c>
      <c r="E24936" s="0" t="s">
        <v>2534</v>
      </c>
      <c r="F24936" s="0" t="s">
        <v>2534</v>
      </c>
    </row>
    <row r="24937" customFormat="false" ht="12.8" hidden="false" customHeight="false" outlineLevel="0" collapsed="false">
      <c r="B24937" s="0" t="s">
        <v>9316</v>
      </c>
      <c r="E24937" s="0" t="s">
        <v>2537</v>
      </c>
      <c r="F24937" s="0" t="s">
        <v>2537</v>
      </c>
    </row>
    <row r="24938" customFormat="false" ht="12.8" hidden="false" customHeight="false" outlineLevel="0" collapsed="false">
      <c r="B24938" s="0" t="s">
        <v>2538</v>
      </c>
      <c r="E24938" s="0" t="s">
        <v>2540</v>
      </c>
      <c r="F24938" s="0" t="s">
        <v>2540</v>
      </c>
    </row>
    <row r="24940" customFormat="false" ht="12.8" hidden="false" customHeight="false" outlineLevel="0" collapsed="false">
      <c r="A24940" s="0" t="s">
        <v>9317</v>
      </c>
      <c r="B24940" s="0" t="str">
        <f aca="false">HYPERLINK("https://lindat.mff.cuni.cz/services/teitok/pdtc10/index.php?action=vallex&amp;frame=v-w11042hsa_640", "otáčet (v-w11042hsa_640)")</f>
        <v>otáčet (v-w11042hsa_640)</v>
      </c>
    </row>
    <row r="24941" customFormat="false" ht="12.8" hidden="false" customHeight="false" outlineLevel="0" collapsed="false">
      <c r="B24941" s="0" t="s">
        <v>7</v>
      </c>
      <c r="C24941" s="0" t="s">
        <v>191</v>
      </c>
      <c r="D24941" s="0" t="s">
        <v>191</v>
      </c>
      <c r="E24941" s="0" t="s">
        <v>191</v>
      </c>
      <c r="F24941" s="0" t="s">
        <v>191</v>
      </c>
    </row>
    <row r="24942" customFormat="false" ht="12.8" hidden="false" customHeight="false" outlineLevel="0" collapsed="false">
      <c r="B24942" s="0" t="s">
        <v>9318</v>
      </c>
      <c r="C24942" s="0" t="s">
        <v>155</v>
      </c>
      <c r="D24942" s="0" t="s">
        <v>155</v>
      </c>
      <c r="E24942" s="0" t="s">
        <v>155</v>
      </c>
      <c r="F24942" s="0" t="s">
        <v>155</v>
      </c>
    </row>
    <row r="24944" customFormat="false" ht="12.8" hidden="false" customHeight="false" outlineLevel="0" collapsed="false">
      <c r="A24944" s="0" t="s">
        <v>9317</v>
      </c>
      <c r="B24944" s="0" t="str">
        <f aca="false">HYPERLINK("https://lindat.mff.cuni.cz/services/teitok/pdtc10/index.php?action=vallex&amp;frame=v-w11042f2", "otáčet (v-w11042f2) - substituted with v-w11042hsa_640")</f>
        <v>otáčet (v-w11042f2) - substituted with v-w11042hsa_640</v>
      </c>
    </row>
    <row r="24945" customFormat="false" ht="12.8" hidden="false" customHeight="false" outlineLevel="0" collapsed="false">
      <c r="B24945" s="0" t="s">
        <v>7</v>
      </c>
    </row>
    <row r="24946" customFormat="false" ht="12.8" hidden="false" customHeight="false" outlineLevel="0" collapsed="false">
      <c r="B24946" s="0" t="s">
        <v>9318</v>
      </c>
    </row>
    <row r="24948" customFormat="false" ht="12.8" hidden="false" customHeight="false" outlineLevel="0" collapsed="false">
      <c r="A24948" s="0" t="s">
        <v>9319</v>
      </c>
      <c r="B24948" s="0" t="str">
        <f aca="false">HYPERLINK("https://lindat.mff.cuni.cz/services/teitok/pdtc10/index.php?action=vallex&amp;frame=v-whsa_1974hsa_1975", "otáčet se (v-whsa_1974hsa_1975)")</f>
        <v>otáčet se (v-whsa_1974hsa_1975)</v>
      </c>
    </row>
    <row r="24949" customFormat="false" ht="12.8" hidden="false" customHeight="false" outlineLevel="0" collapsed="false">
      <c r="B24949" s="0" t="s">
        <v>7</v>
      </c>
    </row>
    <row r="24951" customFormat="false" ht="12.8" hidden="false" customHeight="false" outlineLevel="0" collapsed="false">
      <c r="A24951" s="0" t="s">
        <v>9320</v>
      </c>
      <c r="B24951" s="0" t="str">
        <f aca="false">HYPERLINK("https://lindat.mff.cuni.cz/services/teitok/pdtc10/index.php?action=vallex&amp;frame=v-whsa_1974hsa_1976", "otáčet se (v-whsa_1974hsa_1976)")</f>
        <v>otáčet se (v-whsa_1974hsa_1976)</v>
      </c>
    </row>
    <row r="24952" customFormat="false" ht="12.8" hidden="false" customHeight="false" outlineLevel="0" collapsed="false">
      <c r="B24952" s="0" t="s">
        <v>7</v>
      </c>
    </row>
    <row r="24954" customFormat="false" ht="12.8" hidden="false" customHeight="false" outlineLevel="0" collapsed="false">
      <c r="A24954" s="0" t="s">
        <v>9321</v>
      </c>
      <c r="B24954" s="0" t="str">
        <f aca="false">HYPERLINK("https://lindat.mff.cuni.cz/services/teitok/pdtc10/index.php?action=vallex&amp;frame=v-w3251f1", "otéci (v-w3251f1)")</f>
        <v>otéci (v-w3251f1)</v>
      </c>
    </row>
    <row r="24955" customFormat="false" ht="12.8" hidden="false" customHeight="false" outlineLevel="0" collapsed="false">
      <c r="B24955" s="0" t="s">
        <v>7</v>
      </c>
    </row>
    <row r="24957" customFormat="false" ht="12.8" hidden="false" customHeight="false" outlineLevel="0" collapsed="false">
      <c r="A24957" s="0" t="s">
        <v>9322</v>
      </c>
      <c r="B24957" s="0" t="str">
        <f aca="false">HYPERLINK("https://lindat.mff.cuni.cz/services/teitok/pdtc10/index.php?action=vallex&amp;frame=v-whsa_810hsa_811", "otékat (v-whsa_810hsa_811)")</f>
        <v>otékat (v-whsa_810hsa_811)</v>
      </c>
    </row>
    <row r="24958" customFormat="false" ht="12.8" hidden="false" customHeight="false" outlineLevel="0" collapsed="false">
      <c r="B24958" s="0" t="s">
        <v>7</v>
      </c>
    </row>
    <row r="24960" customFormat="false" ht="12.8" hidden="false" customHeight="false" outlineLevel="0" collapsed="false">
      <c r="A24960" s="0" t="s">
        <v>9323</v>
      </c>
      <c r="B24960" s="0" t="str">
        <f aca="false">HYPERLINK("https://lindat.mff.cuni.cz/services/teitok/pdtc10/index.php?action=vallex&amp;frame=v-w3253f1", "otěhotnět (v-w3253f1)")</f>
        <v>otěhotnět (v-w3253f1)</v>
      </c>
    </row>
    <row r="24961" customFormat="false" ht="12.8" hidden="false" customHeight="false" outlineLevel="0" collapsed="false">
      <c r="B24961" s="0" t="s">
        <v>7</v>
      </c>
      <c r="D24961" s="0" t="s">
        <v>1378</v>
      </c>
      <c r="E24961" s="0" t="s">
        <v>1378</v>
      </c>
      <c r="F24961" s="0" t="s">
        <v>1378</v>
      </c>
    </row>
    <row r="24963" customFormat="false" ht="12.8" hidden="false" customHeight="false" outlineLevel="0" collapsed="false">
      <c r="A24963" s="0" t="s">
        <v>9324</v>
      </c>
      <c r="B24963" s="0" t="str">
        <f aca="false">HYPERLINK("https://lindat.mff.cuni.cz/services/teitok/pdtc10/index.php?action=vallex&amp;frame=v-w11427f1", "otřepávat se (v-w11427f1)")</f>
        <v>otřepávat se (v-w11427f1)</v>
      </c>
    </row>
    <row r="24964" customFormat="false" ht="12.8" hidden="false" customHeight="false" outlineLevel="0" collapsed="false">
      <c r="B24964" s="0" t="s">
        <v>7</v>
      </c>
      <c r="C24964" s="0" t="s">
        <v>5375</v>
      </c>
      <c r="D24964" s="0" t="s">
        <v>1319</v>
      </c>
      <c r="E24964" s="0" t="s">
        <v>1319</v>
      </c>
      <c r="F24964" s="0" t="s">
        <v>1319</v>
      </c>
    </row>
    <row r="24965" customFormat="false" ht="12.8" hidden="false" customHeight="false" outlineLevel="0" collapsed="false">
      <c r="B24965" s="0" t="s">
        <v>581</v>
      </c>
    </row>
    <row r="24967" customFormat="false" ht="12.8" hidden="false" customHeight="false" outlineLevel="0" collapsed="false">
      <c r="A24967" s="0" t="s">
        <v>9325</v>
      </c>
      <c r="B24967" s="0" t="str">
        <f aca="false">HYPERLINK("https://lindat.mff.cuni.cz/services/teitok/pdtc10/index.php?action=vallex&amp;frame=v-w3280f3", "otřásat (v-w3280f3)")</f>
        <v>otřásat (v-w3280f3)</v>
      </c>
    </row>
    <row r="24968" customFormat="false" ht="12.8" hidden="false" customHeight="false" outlineLevel="0" collapsed="false">
      <c r="B24968" s="0" t="s">
        <v>7</v>
      </c>
    </row>
    <row r="24969" customFormat="false" ht="12.8" hidden="false" customHeight="false" outlineLevel="0" collapsed="false">
      <c r="B24969" s="0" t="s">
        <v>14</v>
      </c>
    </row>
    <row r="24970" customFormat="false" ht="12.8" hidden="false" customHeight="false" outlineLevel="0" collapsed="false">
      <c r="B24970" s="0" t="s">
        <v>459</v>
      </c>
    </row>
    <row r="24972" customFormat="false" ht="12.8" hidden="false" customHeight="false" outlineLevel="0" collapsed="false">
      <c r="A24972" s="0" t="s">
        <v>9326</v>
      </c>
      <c r="B24972" s="0" t="str">
        <f aca="false">HYPERLINK("https://lindat.mff.cuni.cz/services/teitok/pdtc10/index.php?action=vallex&amp;frame=v-w3280f1", "otřásat (v-w3280f1)")</f>
        <v>otřásat (v-w3280f1)</v>
      </c>
    </row>
    <row r="24973" customFormat="false" ht="12.8" hidden="false" customHeight="false" outlineLevel="0" collapsed="false">
      <c r="B24973" s="0" t="s">
        <v>7</v>
      </c>
      <c r="C24973" s="0" t="s">
        <v>1142</v>
      </c>
      <c r="D24973" s="0" t="s">
        <v>9327</v>
      </c>
      <c r="E24973" s="0" t="s">
        <v>9327</v>
      </c>
      <c r="F24973" s="0" t="s">
        <v>9327</v>
      </c>
    </row>
    <row r="24974" customFormat="false" ht="12.8" hidden="false" customHeight="false" outlineLevel="0" collapsed="false">
      <c r="B24974" s="0" t="s">
        <v>216</v>
      </c>
      <c r="C24974" s="0" t="s">
        <v>2788</v>
      </c>
      <c r="D24974" s="0" t="s">
        <v>9328</v>
      </c>
      <c r="E24974" s="0" t="s">
        <v>9328</v>
      </c>
      <c r="F24974" s="0" t="s">
        <v>9328</v>
      </c>
    </row>
    <row r="24976" customFormat="false" ht="12.8" hidden="false" customHeight="false" outlineLevel="0" collapsed="false">
      <c r="A24976" s="0" t="s">
        <v>9329</v>
      </c>
      <c r="B24976" s="0" t="str">
        <f aca="false">HYPERLINK("https://lindat.mff.cuni.cz/services/teitok/pdtc10/index.php?action=vallex&amp;frame=v-w3280f2", "otřásat (v-w3280f2)")</f>
        <v>otřásat (v-w3280f2)</v>
      </c>
    </row>
    <row r="24977" customFormat="false" ht="12.8" hidden="false" customHeight="false" outlineLevel="0" collapsed="false">
      <c r="B24977" s="0" t="s">
        <v>7</v>
      </c>
      <c r="C24977" s="0" t="s">
        <v>126</v>
      </c>
      <c r="D24977" s="0" t="s">
        <v>2797</v>
      </c>
      <c r="E24977" s="0" t="s">
        <v>2797</v>
      </c>
      <c r="F24977" s="0" t="s">
        <v>2797</v>
      </c>
    </row>
    <row r="24978" customFormat="false" ht="12.8" hidden="false" customHeight="false" outlineLevel="0" collapsed="false">
      <c r="B24978" s="0" t="s">
        <v>216</v>
      </c>
      <c r="C24978" s="0" t="s">
        <v>2666</v>
      </c>
      <c r="D24978" s="0" t="s">
        <v>5091</v>
      </c>
      <c r="E24978" s="0" t="s">
        <v>5091</v>
      </c>
      <c r="F24978" s="0" t="s">
        <v>5091</v>
      </c>
    </row>
    <row r="24980" customFormat="false" ht="12.8" hidden="false" customHeight="false" outlineLevel="0" collapsed="false">
      <c r="A24980" s="0" t="s">
        <v>9330</v>
      </c>
      <c r="B24980" s="0" t="str">
        <f aca="false">HYPERLINK("https://lindat.mff.cuni.cz/services/teitok/pdtc10/index.php?action=vallex&amp;frame=v-w11327f1", "otřásat se (v-w11327f1)")</f>
        <v>otřásat se (v-w11327f1)</v>
      </c>
    </row>
    <row r="24981" customFormat="false" ht="12.8" hidden="false" customHeight="false" outlineLevel="0" collapsed="false">
      <c r="B24981" s="0" t="s">
        <v>7</v>
      </c>
      <c r="C24981" s="0" t="s">
        <v>9331</v>
      </c>
      <c r="D24981" s="0" t="s">
        <v>9332</v>
      </c>
      <c r="E24981" s="0" t="s">
        <v>9332</v>
      </c>
      <c r="F24981" s="0" t="s">
        <v>9332</v>
      </c>
    </row>
    <row r="24983" customFormat="false" ht="12.8" hidden="false" customHeight="false" outlineLevel="0" collapsed="false">
      <c r="A24983" s="0" t="s">
        <v>9333</v>
      </c>
      <c r="B24983" s="0" t="str">
        <f aca="false">HYPERLINK("https://lindat.mff.cuni.cz/services/teitok/pdtc10/index.php?action=vallex&amp;frame=v-w3281f3", "otřást (v-w3281f3)")</f>
        <v>otřást (v-w3281f3)</v>
      </c>
    </row>
    <row r="24984" customFormat="false" ht="12.8" hidden="false" customHeight="false" outlineLevel="0" collapsed="false">
      <c r="B24984" s="0" t="s">
        <v>7</v>
      </c>
    </row>
    <row r="24985" customFormat="false" ht="12.8" hidden="false" customHeight="false" outlineLevel="0" collapsed="false">
      <c r="B24985" s="0" t="s">
        <v>14</v>
      </c>
    </row>
    <row r="24986" customFormat="false" ht="12.8" hidden="false" customHeight="false" outlineLevel="0" collapsed="false">
      <c r="B24986" s="0" t="s">
        <v>459</v>
      </c>
    </row>
    <row r="24988" customFormat="false" ht="12.8" hidden="false" customHeight="false" outlineLevel="0" collapsed="false">
      <c r="A24988" s="0" t="s">
        <v>9334</v>
      </c>
      <c r="B24988" s="0" t="str">
        <f aca="false">HYPERLINK("https://lindat.mff.cuni.cz/services/teitok/pdtc10/index.php?action=vallex&amp;frame=v-w3281f1", "otřást (v-w3281f1)")</f>
        <v>otřást (v-w3281f1)</v>
      </c>
    </row>
    <row r="24989" customFormat="false" ht="12.8" hidden="false" customHeight="false" outlineLevel="0" collapsed="false">
      <c r="B24989" s="0" t="s">
        <v>7</v>
      </c>
      <c r="C24989" s="0" t="s">
        <v>3028</v>
      </c>
      <c r="D24989" s="0" t="s">
        <v>9327</v>
      </c>
      <c r="E24989" s="0" t="s">
        <v>9327</v>
      </c>
      <c r="F24989" s="0" t="s">
        <v>9327</v>
      </c>
    </row>
    <row r="24990" customFormat="false" ht="12.8" hidden="false" customHeight="false" outlineLevel="0" collapsed="false">
      <c r="B24990" s="0" t="s">
        <v>216</v>
      </c>
      <c r="C24990" s="0" t="s">
        <v>128</v>
      </c>
      <c r="D24990" s="0" t="s">
        <v>9328</v>
      </c>
      <c r="E24990" s="0" t="s">
        <v>9328</v>
      </c>
      <c r="F24990" s="0" t="s">
        <v>9328</v>
      </c>
    </row>
    <row r="24992" customFormat="false" ht="12.8" hidden="false" customHeight="false" outlineLevel="0" collapsed="false">
      <c r="A24992" s="0" t="s">
        <v>9335</v>
      </c>
      <c r="B24992" s="0" t="str">
        <f aca="false">HYPERLINK("https://lindat.mff.cuni.cz/services/teitok/pdtc10/index.php?action=vallex&amp;frame=v-w3281f2", "otřást (v-w3281f2)")</f>
        <v>otřást (v-w3281f2)</v>
      </c>
    </row>
    <row r="24993" customFormat="false" ht="12.8" hidden="false" customHeight="false" outlineLevel="0" collapsed="false">
      <c r="B24993" s="0" t="s">
        <v>7</v>
      </c>
      <c r="C24993" s="0" t="s">
        <v>9336</v>
      </c>
      <c r="D24993" s="0" t="s">
        <v>2797</v>
      </c>
      <c r="E24993" s="0" t="s">
        <v>2797</v>
      </c>
      <c r="F24993" s="0" t="s">
        <v>2797</v>
      </c>
    </row>
    <row r="24994" customFormat="false" ht="12.8" hidden="false" customHeight="false" outlineLevel="0" collapsed="false">
      <c r="B24994" s="0" t="s">
        <v>216</v>
      </c>
      <c r="C24994" s="0" t="s">
        <v>1210</v>
      </c>
      <c r="D24994" s="0" t="s">
        <v>5091</v>
      </c>
      <c r="E24994" s="0" t="s">
        <v>5091</v>
      </c>
      <c r="F24994" s="0" t="s">
        <v>5091</v>
      </c>
    </row>
    <row r="24996" customFormat="false" ht="12.8" hidden="false" customHeight="false" outlineLevel="0" collapsed="false">
      <c r="A24996" s="0" t="s">
        <v>9337</v>
      </c>
      <c r="B24996" s="0" t="str">
        <f aca="false">HYPERLINK("https://lindat.mff.cuni.cz/services/teitok/pdtc10/index.php?action=vallex&amp;frame=v-w3281f5_ZU", "otřást (v-w3281f5_ZU)")</f>
        <v>otřást (v-w3281f5_ZU)</v>
      </c>
    </row>
    <row r="24997" customFormat="false" ht="12.8" hidden="false" customHeight="false" outlineLevel="0" collapsed="false">
      <c r="B24997" s="0" t="s">
        <v>7</v>
      </c>
      <c r="C24997" s="0" t="s">
        <v>3664</v>
      </c>
    </row>
    <row r="24998" customFormat="false" ht="12.8" hidden="false" customHeight="false" outlineLevel="0" collapsed="false">
      <c r="B24998" s="0" t="s">
        <v>216</v>
      </c>
      <c r="C24998" s="0" t="s">
        <v>466</v>
      </c>
    </row>
    <row r="25000" customFormat="false" ht="12.8" hidden="false" customHeight="false" outlineLevel="0" collapsed="false">
      <c r="A25000" s="0" t="s">
        <v>9337</v>
      </c>
      <c r="B25000" s="0" t="str">
        <f aca="false">HYPERLINK("https://lindat.mff.cuni.cz/services/teitok/pdtc10/index.php?action=vallex&amp;frame=v-w3281f4_ZU", "otřást (v-w3281f4_ZU) - substituted with v-w3281f5_ZU")</f>
        <v>otřást (v-w3281f4_ZU) - substituted with v-w3281f5_ZU</v>
      </c>
    </row>
    <row r="25001" customFormat="false" ht="12.8" hidden="false" customHeight="false" outlineLevel="0" collapsed="false">
      <c r="B25001" s="0" t="s">
        <v>7</v>
      </c>
    </row>
    <row r="25002" customFormat="false" ht="12.8" hidden="false" customHeight="false" outlineLevel="0" collapsed="false">
      <c r="B25002" s="0" t="s">
        <v>216</v>
      </c>
    </row>
    <row r="25004" customFormat="false" ht="12.8" hidden="false" customHeight="false" outlineLevel="0" collapsed="false">
      <c r="A25004" s="0" t="s">
        <v>9338</v>
      </c>
      <c r="B25004" s="0" t="str">
        <f aca="false">HYPERLINK("https://lindat.mff.cuni.cz/services/teitok/pdtc10/index.php?action=vallex&amp;frame=v-w11544_ZUf1_ZU", "otřást se (v-w11544_ZUf1_ZU)")</f>
        <v>otřást se (v-w11544_ZUf1_ZU)</v>
      </c>
    </row>
    <row r="25005" customFormat="false" ht="12.8" hidden="false" customHeight="false" outlineLevel="0" collapsed="false">
      <c r="B25005" s="0" t="s">
        <v>7</v>
      </c>
      <c r="C25005" s="0" t="s">
        <v>3768</v>
      </c>
      <c r="D25005" s="0" t="s">
        <v>9332</v>
      </c>
      <c r="E25005" s="0" t="s">
        <v>9332</v>
      </c>
      <c r="F25005" s="0" t="s">
        <v>9332</v>
      </c>
    </row>
    <row r="25007" customFormat="false" ht="12.8" hidden="false" customHeight="false" outlineLevel="0" collapsed="false">
      <c r="A25007" s="0" t="s">
        <v>9339</v>
      </c>
      <c r="B25007" s="0" t="str">
        <f aca="false">HYPERLINK("https://lindat.mff.cuni.cz/services/teitok/pdtc10/index.php?action=vallex&amp;frame=v-w11115f2", "otřít (v-w11115f2)")</f>
        <v>otřít (v-w11115f2)</v>
      </c>
    </row>
    <row r="25008" customFormat="false" ht="12.8" hidden="false" customHeight="false" outlineLevel="0" collapsed="false">
      <c r="B25008" s="0" t="s">
        <v>7</v>
      </c>
      <c r="D25008" s="0" t="s">
        <v>108</v>
      </c>
      <c r="E25008" s="0" t="s">
        <v>108</v>
      </c>
      <c r="F25008" s="0" t="s">
        <v>108</v>
      </c>
    </row>
    <row r="25009" customFormat="false" ht="12.8" hidden="false" customHeight="false" outlineLevel="0" collapsed="false">
      <c r="B25009" s="0" t="s">
        <v>14</v>
      </c>
      <c r="D25009" s="0" t="s">
        <v>5146</v>
      </c>
      <c r="E25009" s="0" t="s">
        <v>5146</v>
      </c>
      <c r="F25009" s="0" t="s">
        <v>5146</v>
      </c>
    </row>
    <row r="25011" customFormat="false" ht="12.8" hidden="false" customHeight="false" outlineLevel="0" collapsed="false">
      <c r="A25011" s="0" t="s">
        <v>9340</v>
      </c>
      <c r="B25011" s="0" t="str">
        <f aca="false">HYPERLINK("https://lindat.mff.cuni.cz/services/teitok/pdtc10/index.php?action=vallex&amp;frame=v-w11332f1", "ovdovět (v-w11332f1)")</f>
        <v>ovdovět (v-w11332f1)</v>
      </c>
    </row>
    <row r="25012" customFormat="false" ht="12.8" hidden="false" customHeight="false" outlineLevel="0" collapsed="false">
      <c r="B25012" s="0" t="s">
        <v>7</v>
      </c>
    </row>
    <row r="25014" customFormat="false" ht="12.8" hidden="false" customHeight="false" outlineLevel="0" collapsed="false">
      <c r="A25014" s="0" t="s">
        <v>9341</v>
      </c>
      <c r="B25014" s="0" t="str">
        <f aca="false">HYPERLINK("https://lindat.mff.cuni.cz/services/teitok/pdtc10/index.php?action=vallex&amp;frame=v-w3305f1", "ovlivnit (v-w3305f1)")</f>
        <v>ovlivnit (v-w3305f1)</v>
      </c>
    </row>
    <row r="25015" customFormat="false" ht="12.8" hidden="false" customHeight="false" outlineLevel="0" collapsed="false">
      <c r="B25015" s="0" t="s">
        <v>7</v>
      </c>
      <c r="C25015" s="0" t="s">
        <v>9342</v>
      </c>
      <c r="D25015" s="0" t="s">
        <v>1637</v>
      </c>
      <c r="E25015" s="0" t="s">
        <v>9343</v>
      </c>
      <c r="F25015" s="0" t="s">
        <v>9344</v>
      </c>
    </row>
    <row r="25016" customFormat="false" ht="12.8" hidden="false" customHeight="false" outlineLevel="0" collapsed="false">
      <c r="B25016" s="0" t="s">
        <v>9345</v>
      </c>
      <c r="C25016" s="0" t="s">
        <v>9346</v>
      </c>
      <c r="D25016" s="0" t="s">
        <v>462</v>
      </c>
      <c r="E25016" s="0" t="s">
        <v>9347</v>
      </c>
      <c r="F25016" s="0" t="s">
        <v>9348</v>
      </c>
    </row>
    <row r="25018" customFormat="false" ht="12.8" hidden="false" customHeight="false" outlineLevel="0" collapsed="false">
      <c r="A25018" s="0" t="s">
        <v>9349</v>
      </c>
      <c r="B25018" s="0" t="str">
        <f aca="false">HYPERLINK("https://lindat.mff.cuni.cz/services/teitok/pdtc10/index.php?action=vallex&amp;frame=v-w3309f1", "ovlivňovat (v-w3309f1)")</f>
        <v>ovlivňovat (v-w3309f1)</v>
      </c>
    </row>
    <row r="25019" customFormat="false" ht="12.8" hidden="false" customHeight="false" outlineLevel="0" collapsed="false">
      <c r="B25019" s="0" t="s">
        <v>7</v>
      </c>
      <c r="C25019" s="0" t="s">
        <v>9350</v>
      </c>
      <c r="D25019" s="0" t="s">
        <v>1637</v>
      </c>
      <c r="E25019" s="0" t="s">
        <v>1637</v>
      </c>
      <c r="F25019" s="0" t="s">
        <v>9351</v>
      </c>
    </row>
    <row r="25020" customFormat="false" ht="12.8" hidden="false" customHeight="false" outlineLevel="0" collapsed="false">
      <c r="B25020" s="0" t="s">
        <v>9345</v>
      </c>
      <c r="C25020" s="0" t="s">
        <v>9352</v>
      </c>
      <c r="D25020" s="0" t="s">
        <v>462</v>
      </c>
      <c r="E25020" s="0" t="s">
        <v>462</v>
      </c>
      <c r="F25020" s="0" t="s">
        <v>9353</v>
      </c>
    </row>
    <row r="25022" customFormat="false" ht="12.8" hidden="false" customHeight="false" outlineLevel="0" collapsed="false">
      <c r="A25022" s="0" t="s">
        <v>9354</v>
      </c>
      <c r="B25022" s="0" t="str">
        <f aca="false">HYPERLINK("https://lindat.mff.cuni.cz/services/teitok/pdtc10/index.php?action=vallex&amp;frame=v-w3299f1", "ovládat (v-w3299f1)")</f>
        <v>ovládat (v-w3299f1)</v>
      </c>
    </row>
    <row r="25023" customFormat="false" ht="12.8" hidden="false" customHeight="false" outlineLevel="0" collapsed="false">
      <c r="B25023" s="0" t="s">
        <v>7</v>
      </c>
      <c r="C25023" s="0" t="s">
        <v>9355</v>
      </c>
      <c r="D25023" s="0" t="s">
        <v>714</v>
      </c>
      <c r="E25023" s="0" t="s">
        <v>714</v>
      </c>
      <c r="F25023" s="0" t="s">
        <v>714</v>
      </c>
    </row>
    <row r="25024" customFormat="false" ht="12.8" hidden="false" customHeight="false" outlineLevel="0" collapsed="false">
      <c r="B25024" s="0" t="s">
        <v>14</v>
      </c>
      <c r="C25024" s="0" t="s">
        <v>4884</v>
      </c>
      <c r="D25024" s="0" t="s">
        <v>716</v>
      </c>
      <c r="E25024" s="0" t="s">
        <v>716</v>
      </c>
      <c r="F25024" s="0" t="s">
        <v>716</v>
      </c>
    </row>
    <row r="25026" customFormat="false" ht="12.8" hidden="false" customHeight="false" outlineLevel="0" collapsed="false">
      <c r="A25026" s="0" t="s">
        <v>9356</v>
      </c>
      <c r="B25026" s="0" t="str">
        <f aca="false">HYPERLINK("https://lindat.mff.cuni.cz/services/teitok/pdtc10/index.php?action=vallex&amp;frame=v-w3299f2", "ovládat (v-w3299f2)")</f>
        <v>ovládat (v-w3299f2)</v>
      </c>
    </row>
    <row r="25027" customFormat="false" ht="12.8" hidden="false" customHeight="false" outlineLevel="0" collapsed="false">
      <c r="B25027" s="0" t="s">
        <v>7</v>
      </c>
      <c r="C25027" s="0" t="s">
        <v>9357</v>
      </c>
      <c r="D25027" s="0" t="s">
        <v>1604</v>
      </c>
      <c r="E25027" s="0" t="s">
        <v>1604</v>
      </c>
      <c r="F25027" s="0" t="s">
        <v>1604</v>
      </c>
    </row>
    <row r="25028" customFormat="false" ht="12.8" hidden="false" customHeight="false" outlineLevel="0" collapsed="false">
      <c r="B25028" s="0" t="s">
        <v>14</v>
      </c>
      <c r="C25028" s="0" t="s">
        <v>4218</v>
      </c>
      <c r="D25028" s="0" t="s">
        <v>1606</v>
      </c>
      <c r="E25028" s="0" t="s">
        <v>1606</v>
      </c>
      <c r="F25028" s="0" t="s">
        <v>1606</v>
      </c>
    </row>
    <row r="25030" customFormat="false" ht="12.8" hidden="false" customHeight="false" outlineLevel="0" collapsed="false">
      <c r="A25030" s="0" t="s">
        <v>9358</v>
      </c>
      <c r="B25030" s="0" t="str">
        <f aca="false">HYPERLINK("https://lindat.mff.cuni.cz/services/teitok/pdtc10/index.php?action=vallex&amp;frame=v-w3299f3", "ovládat (v-w3299f3)")</f>
        <v>ovládat (v-w3299f3)</v>
      </c>
    </row>
    <row r="25031" customFormat="false" ht="12.8" hidden="false" customHeight="false" outlineLevel="0" collapsed="false">
      <c r="B25031" s="0" t="s">
        <v>7</v>
      </c>
      <c r="C25031" s="0" t="s">
        <v>9359</v>
      </c>
      <c r="D25031" s="0" t="s">
        <v>1604</v>
      </c>
      <c r="E25031" s="0" t="s">
        <v>1604</v>
      </c>
      <c r="F25031" s="0" t="s">
        <v>1604</v>
      </c>
    </row>
    <row r="25032" customFormat="false" ht="12.8" hidden="false" customHeight="false" outlineLevel="0" collapsed="false">
      <c r="B25032" s="0" t="s">
        <v>14</v>
      </c>
      <c r="C25032" s="0" t="s">
        <v>9360</v>
      </c>
      <c r="D25032" s="0" t="s">
        <v>1606</v>
      </c>
      <c r="E25032" s="0" t="s">
        <v>1606</v>
      </c>
      <c r="F25032" s="0" t="s">
        <v>1606</v>
      </c>
    </row>
    <row r="25034" customFormat="false" ht="12.8" hidden="false" customHeight="false" outlineLevel="0" collapsed="false">
      <c r="A25034" s="0" t="s">
        <v>9361</v>
      </c>
      <c r="B25034" s="0" t="str">
        <f aca="false">HYPERLINK("https://lindat.mff.cuni.cz/services/teitok/pdtc10/index.php?action=vallex&amp;frame=v-w3301f1", "ovládnout (v-w3301f1)")</f>
        <v>ovládnout (v-w3301f1)</v>
      </c>
    </row>
    <row r="25035" customFormat="false" ht="12.8" hidden="false" customHeight="false" outlineLevel="0" collapsed="false">
      <c r="B25035" s="0" t="s">
        <v>7</v>
      </c>
      <c r="C25035" s="0" t="s">
        <v>9362</v>
      </c>
      <c r="D25035" s="0" t="s">
        <v>623</v>
      </c>
      <c r="E25035" s="0" t="s">
        <v>623</v>
      </c>
      <c r="F25035" s="0" t="s">
        <v>623</v>
      </c>
    </row>
    <row r="25036" customFormat="false" ht="12.8" hidden="false" customHeight="false" outlineLevel="0" collapsed="false">
      <c r="B25036" s="0" t="s">
        <v>14</v>
      </c>
      <c r="C25036" s="0" t="s">
        <v>9363</v>
      </c>
      <c r="D25036" s="0" t="s">
        <v>461</v>
      </c>
      <c r="E25036" s="0" t="s">
        <v>461</v>
      </c>
      <c r="F25036" s="0" t="s">
        <v>461</v>
      </c>
    </row>
    <row r="25038" customFormat="false" ht="12.8" hidden="false" customHeight="false" outlineLevel="0" collapsed="false">
      <c r="A25038" s="0" t="s">
        <v>9364</v>
      </c>
      <c r="B25038" s="0" t="str">
        <f aca="false">HYPERLINK("https://lindat.mff.cuni.cz/services/teitok/pdtc10/index.php?action=vallex&amp;frame=v-w3301f3", "ovládnout (v-w3301f3)")</f>
        <v>ovládnout (v-w3301f3)</v>
      </c>
    </row>
    <row r="25039" customFormat="false" ht="12.8" hidden="false" customHeight="false" outlineLevel="0" collapsed="false">
      <c r="B25039" s="0" t="s">
        <v>7</v>
      </c>
    </row>
    <row r="25040" customFormat="false" ht="12.8" hidden="false" customHeight="false" outlineLevel="0" collapsed="false">
      <c r="B25040" s="0" t="s">
        <v>14</v>
      </c>
    </row>
    <row r="25042" customFormat="false" ht="12.8" hidden="false" customHeight="false" outlineLevel="0" collapsed="false">
      <c r="A25042" s="0" t="s">
        <v>9365</v>
      </c>
      <c r="B25042" s="0" t="str">
        <f aca="false">HYPERLINK("https://lindat.mff.cuni.cz/services/teitok/pdtc10/index.php?action=vallex&amp;frame=v-w3301f2", "ovládnout (v-w3301f2)")</f>
        <v>ovládnout (v-w3301f2)</v>
      </c>
    </row>
    <row r="25043" customFormat="false" ht="12.8" hidden="false" customHeight="false" outlineLevel="0" collapsed="false">
      <c r="B25043" s="0" t="s">
        <v>7</v>
      </c>
      <c r="C25043" s="0" t="s">
        <v>9366</v>
      </c>
      <c r="D25043" s="0" t="s">
        <v>1604</v>
      </c>
      <c r="E25043" s="0" t="s">
        <v>1604</v>
      </c>
      <c r="F25043" s="0" t="s">
        <v>1604</v>
      </c>
    </row>
    <row r="25044" customFormat="false" ht="12.8" hidden="false" customHeight="false" outlineLevel="0" collapsed="false">
      <c r="B25044" s="0" t="s">
        <v>14</v>
      </c>
      <c r="C25044" s="0" t="s">
        <v>9367</v>
      </c>
      <c r="D25044" s="0" t="s">
        <v>1606</v>
      </c>
      <c r="E25044" s="0" t="s">
        <v>1606</v>
      </c>
      <c r="F25044" s="0" t="s">
        <v>1606</v>
      </c>
    </row>
    <row r="25046" customFormat="false" ht="12.8" hidden="false" customHeight="false" outlineLevel="0" collapsed="false">
      <c r="A25046" s="0" t="s">
        <v>9368</v>
      </c>
      <c r="B25046" s="0" t="str">
        <f aca="false">HYPERLINK("https://lindat.mff.cuni.cz/services/teitok/pdtc10/index.php?action=vallex&amp;frame=v-w3295f1", "ověsit (v-w3295f1)")</f>
        <v>ověsit (v-w3295f1)</v>
      </c>
    </row>
    <row r="25047" customFormat="false" ht="12.8" hidden="false" customHeight="false" outlineLevel="0" collapsed="false">
      <c r="B25047" s="0" t="s">
        <v>7</v>
      </c>
    </row>
    <row r="25048" customFormat="false" ht="12.8" hidden="false" customHeight="false" outlineLevel="0" collapsed="false">
      <c r="B25048" s="0" t="s">
        <v>14</v>
      </c>
    </row>
    <row r="25050" customFormat="false" ht="12.8" hidden="false" customHeight="false" outlineLevel="0" collapsed="false">
      <c r="A25050" s="0" t="s">
        <v>9369</v>
      </c>
      <c r="B25050" s="0" t="str">
        <f aca="false">HYPERLINK("https://lindat.mff.cuni.cz/services/teitok/pdtc10/index.php?action=vallex&amp;frame=v-w3291f1", "ověřit (v-w3291f1)")</f>
        <v>ověřit (v-w3291f1)</v>
      </c>
    </row>
    <row r="25051" customFormat="false" ht="12.8" hidden="false" customHeight="false" outlineLevel="0" collapsed="false">
      <c r="B25051" s="0" t="s">
        <v>7</v>
      </c>
      <c r="C25051" s="0" t="s">
        <v>9370</v>
      </c>
      <c r="D25051" s="0" t="s">
        <v>9371</v>
      </c>
      <c r="E25051" s="0" t="s">
        <v>9371</v>
      </c>
      <c r="F25051" s="0" t="s">
        <v>9371</v>
      </c>
    </row>
    <row r="25052" customFormat="false" ht="12.8" hidden="false" customHeight="false" outlineLevel="0" collapsed="false">
      <c r="B25052" s="0" t="s">
        <v>9372</v>
      </c>
      <c r="C25052" s="0" t="s">
        <v>8036</v>
      </c>
      <c r="D25052" s="0" t="s">
        <v>9373</v>
      </c>
      <c r="E25052" s="0" t="s">
        <v>9373</v>
      </c>
      <c r="F25052" s="0" t="s">
        <v>9373</v>
      </c>
    </row>
    <row r="25054" customFormat="false" ht="12.8" hidden="false" customHeight="false" outlineLevel="0" collapsed="false">
      <c r="A25054" s="0" t="s">
        <v>9374</v>
      </c>
      <c r="B25054" s="0" t="str">
        <f aca="false">HYPERLINK("https://lindat.mff.cuni.cz/services/teitok/pdtc10/index.php?action=vallex&amp;frame=v-w3293f1", "ověřovat (v-w3293f1)")</f>
        <v>ověřovat (v-w3293f1)</v>
      </c>
    </row>
    <row r="25055" customFormat="false" ht="12.8" hidden="false" customHeight="false" outlineLevel="0" collapsed="false">
      <c r="B25055" s="0" t="s">
        <v>7</v>
      </c>
      <c r="C25055" s="0" t="s">
        <v>191</v>
      </c>
      <c r="D25055" s="0" t="s">
        <v>9371</v>
      </c>
      <c r="E25055" s="0" t="s">
        <v>9371</v>
      </c>
      <c r="F25055" s="0" t="s">
        <v>9371</v>
      </c>
    </row>
    <row r="25056" customFormat="false" ht="12.8" hidden="false" customHeight="false" outlineLevel="0" collapsed="false">
      <c r="B25056" s="0" t="s">
        <v>9372</v>
      </c>
      <c r="C25056" s="0" t="s">
        <v>567</v>
      </c>
      <c r="D25056" s="0" t="s">
        <v>9373</v>
      </c>
      <c r="E25056" s="0" t="s">
        <v>9373</v>
      </c>
      <c r="F25056" s="0" t="s">
        <v>9373</v>
      </c>
    </row>
    <row r="25058" customFormat="false" ht="12.8" hidden="false" customHeight="false" outlineLevel="0" collapsed="false">
      <c r="A25058" s="0" t="s">
        <v>9375</v>
      </c>
      <c r="B25058" s="0" t="str">
        <f aca="false">HYPERLINK("https://lindat.mff.cuni.cz/services/teitok/pdtc10/index.php?action=vallex&amp;frame=v-w12368_MMf1_MM", "oxeroxovat (v-w12368_MMf1_MM)")</f>
        <v>oxeroxovat (v-w12368_MMf1_MM)</v>
      </c>
    </row>
    <row r="25059" customFormat="false" ht="12.8" hidden="false" customHeight="false" outlineLevel="0" collapsed="false">
      <c r="B25059" s="0" t="s">
        <v>7</v>
      </c>
    </row>
    <row r="25060" customFormat="false" ht="12.8" hidden="false" customHeight="false" outlineLevel="0" collapsed="false">
      <c r="B25060" s="0" t="s">
        <v>14</v>
      </c>
    </row>
    <row r="25062" customFormat="false" ht="12.8" hidden="false" customHeight="false" outlineLevel="0" collapsed="false">
      <c r="A25062" s="0" t="s">
        <v>9376</v>
      </c>
      <c r="B25062" s="0" t="str">
        <f aca="false">HYPERLINK("https://lindat.mff.cuni.cz/services/teitok/pdtc10/index.php?action=vallex&amp;frame=v-w3313f1", "ozbrojit (v-w3313f1)")</f>
        <v>ozbrojit (v-w3313f1)</v>
      </c>
    </row>
    <row r="25063" customFormat="false" ht="12.8" hidden="false" customHeight="false" outlineLevel="0" collapsed="false">
      <c r="B25063" s="0" t="s">
        <v>7</v>
      </c>
    </row>
    <row r="25064" customFormat="false" ht="12.8" hidden="false" customHeight="false" outlineLevel="0" collapsed="false">
      <c r="B25064" s="0" t="s">
        <v>14</v>
      </c>
    </row>
    <row r="25065" customFormat="false" ht="12.8" hidden="false" customHeight="false" outlineLevel="0" collapsed="false">
      <c r="B25065" s="0" t="s">
        <v>6292</v>
      </c>
    </row>
    <row r="25067" customFormat="false" ht="12.8" hidden="false" customHeight="false" outlineLevel="0" collapsed="false">
      <c r="A25067" s="0" t="s">
        <v>9377</v>
      </c>
      <c r="B25067" s="0" t="str">
        <f aca="false">HYPERLINK("https://lindat.mff.cuni.cz/services/teitok/pdtc10/index.php?action=vallex&amp;frame=v-w3316f1", "ozdobit (v-w3316f1)")</f>
        <v>ozdobit (v-w3316f1)</v>
      </c>
    </row>
    <row r="25068" customFormat="false" ht="12.8" hidden="false" customHeight="false" outlineLevel="0" collapsed="false">
      <c r="B25068" s="0" t="s">
        <v>7</v>
      </c>
      <c r="C25068" s="0" t="s">
        <v>191</v>
      </c>
      <c r="D25068" s="0" t="s">
        <v>623</v>
      </c>
      <c r="E25068" s="0" t="s">
        <v>623</v>
      </c>
      <c r="F25068" s="0" t="s">
        <v>623</v>
      </c>
    </row>
    <row r="25069" customFormat="false" ht="12.8" hidden="false" customHeight="false" outlineLevel="0" collapsed="false">
      <c r="B25069" s="0" t="s">
        <v>14</v>
      </c>
      <c r="C25069" s="0" t="s">
        <v>155</v>
      </c>
      <c r="D25069" s="0" t="s">
        <v>487</v>
      </c>
      <c r="E25069" s="0" t="s">
        <v>487</v>
      </c>
      <c r="F25069" s="0" t="s">
        <v>487</v>
      </c>
    </row>
    <row r="25071" customFormat="false" ht="12.8" hidden="false" customHeight="false" outlineLevel="0" collapsed="false">
      <c r="A25071" s="0" t="s">
        <v>9378</v>
      </c>
      <c r="B25071" s="0" t="str">
        <f aca="false">HYPERLINK("https://lindat.mff.cuni.cz/services/teitok/pdtc10/index.php?action=vallex&amp;frame=v-whsa_563hsa_564", "ozdravět (v-whsa_563hsa_564)")</f>
        <v>ozdravět (v-whsa_563hsa_564)</v>
      </c>
    </row>
    <row r="25072" customFormat="false" ht="12.8" hidden="false" customHeight="false" outlineLevel="0" collapsed="false">
      <c r="B25072" s="0" t="s">
        <v>7</v>
      </c>
    </row>
    <row r="25074" customFormat="false" ht="12.8" hidden="false" customHeight="false" outlineLevel="0" collapsed="false">
      <c r="A25074" s="0" t="s">
        <v>9379</v>
      </c>
      <c r="B25074" s="0" t="str">
        <f aca="false">HYPERLINK("https://lindat.mff.cuni.cz/services/teitok/pdtc10/index.php?action=vallex&amp;frame=v-w10841f2", "ozkoušet (v-w10841f2)")</f>
        <v>ozkoušet (v-w10841f2)</v>
      </c>
    </row>
    <row r="25075" customFormat="false" ht="12.8" hidden="false" customHeight="false" outlineLevel="0" collapsed="false">
      <c r="B25075" s="0" t="s">
        <v>7</v>
      </c>
    </row>
    <row r="25076" customFormat="false" ht="12.8" hidden="false" customHeight="false" outlineLevel="0" collapsed="false">
      <c r="B25076" s="0" t="s">
        <v>1520</v>
      </c>
    </row>
    <row r="25078" customFormat="false" ht="12.8" hidden="false" customHeight="false" outlineLevel="0" collapsed="false">
      <c r="A25078" s="0" t="s">
        <v>9380</v>
      </c>
      <c r="B25078" s="0" t="str">
        <f aca="false">HYPERLINK("https://lindat.mff.cuni.cz/services/teitok/pdtc10/index.php?action=vallex&amp;frame=v-w3330f2", "oznamovat (v-w3330f2)")</f>
        <v>oznamovat (v-w3330f2)</v>
      </c>
    </row>
    <row r="25079" customFormat="false" ht="12.8" hidden="false" customHeight="false" outlineLevel="0" collapsed="false">
      <c r="B25079" s="0" t="s">
        <v>7</v>
      </c>
      <c r="C25079" s="0" t="s">
        <v>9381</v>
      </c>
      <c r="D25079" s="0" t="s">
        <v>164</v>
      </c>
      <c r="E25079" s="0" t="s">
        <v>164</v>
      </c>
      <c r="F25079" s="0" t="s">
        <v>164</v>
      </c>
    </row>
    <row r="25080" customFormat="false" ht="12.8" hidden="false" customHeight="false" outlineLevel="0" collapsed="false">
      <c r="B25080" s="0" t="s">
        <v>165</v>
      </c>
      <c r="C25080" s="0" t="s">
        <v>9382</v>
      </c>
      <c r="D25080" s="0" t="s">
        <v>167</v>
      </c>
      <c r="E25080" s="0" t="s">
        <v>167</v>
      </c>
      <c r="F25080" s="0" t="s">
        <v>167</v>
      </c>
    </row>
    <row r="25081" customFormat="false" ht="12.8" hidden="false" customHeight="false" outlineLevel="0" collapsed="false">
      <c r="B25081" s="0" t="s">
        <v>106</v>
      </c>
      <c r="C25081" s="0" t="s">
        <v>8104</v>
      </c>
      <c r="D25081" s="0" t="s">
        <v>168</v>
      </c>
      <c r="E25081" s="0" t="s">
        <v>168</v>
      </c>
      <c r="F25081" s="0" t="s">
        <v>168</v>
      </c>
    </row>
    <row r="25083" customFormat="false" ht="12.8" hidden="false" customHeight="false" outlineLevel="0" collapsed="false">
      <c r="A25083" s="0" t="s">
        <v>9383</v>
      </c>
      <c r="B25083" s="0" t="str">
        <f aca="false">HYPERLINK("https://lindat.mff.cuni.cz/services/teitok/pdtc10/index.php?action=vallex&amp;frame=v-w3330f1", "oznamovat (v-w3330f1)")</f>
        <v>oznamovat (v-w3330f1)</v>
      </c>
    </row>
    <row r="25084" customFormat="false" ht="12.8" hidden="false" customHeight="false" outlineLevel="0" collapsed="false">
      <c r="B25084" s="0" t="s">
        <v>7</v>
      </c>
      <c r="C25084" s="0" t="s">
        <v>9384</v>
      </c>
      <c r="D25084" s="0" t="s">
        <v>9385</v>
      </c>
      <c r="E25084" s="0" t="s">
        <v>164</v>
      </c>
      <c r="F25084" s="0" t="s">
        <v>164</v>
      </c>
    </row>
    <row r="25085" customFormat="false" ht="12.8" hidden="false" customHeight="false" outlineLevel="0" collapsed="false">
      <c r="B25085" s="0" t="s">
        <v>48</v>
      </c>
      <c r="C25085" s="0" t="s">
        <v>9386</v>
      </c>
      <c r="D25085" s="0" t="s">
        <v>9387</v>
      </c>
      <c r="E25085" s="0" t="s">
        <v>168</v>
      </c>
      <c r="F25085" s="0" t="s">
        <v>168</v>
      </c>
    </row>
    <row r="25086" customFormat="false" ht="12.8" hidden="false" customHeight="false" outlineLevel="0" collapsed="false">
      <c r="B25086" s="0" t="s">
        <v>5525</v>
      </c>
      <c r="C25086" s="0" t="s">
        <v>9388</v>
      </c>
      <c r="D25086" s="0" t="s">
        <v>9389</v>
      </c>
      <c r="E25086" s="0" t="s">
        <v>1766</v>
      </c>
      <c r="F25086" s="0" t="s">
        <v>1766</v>
      </c>
    </row>
    <row r="25087" customFormat="false" ht="12.8" hidden="false" customHeight="false" outlineLevel="0" collapsed="false">
      <c r="B25087" s="0" t="s">
        <v>363</v>
      </c>
      <c r="C25087" s="0" t="s">
        <v>1768</v>
      </c>
      <c r="D25087" s="0" t="s">
        <v>167</v>
      </c>
      <c r="E25087" s="0" t="s">
        <v>167</v>
      </c>
      <c r="F25087" s="0" t="s">
        <v>167</v>
      </c>
    </row>
    <row r="25089" customFormat="false" ht="12.8" hidden="false" customHeight="false" outlineLevel="0" collapsed="false">
      <c r="A25089" s="0" t="s">
        <v>9390</v>
      </c>
      <c r="B25089" s="0" t="str">
        <f aca="false">HYPERLINK("https://lindat.mff.cuni.cz/services/teitok/pdtc10/index.php?action=vallex&amp;frame=v-w3330f3", "oznamovat (v-w3330f3)")</f>
        <v>oznamovat (v-w3330f3)</v>
      </c>
    </row>
    <row r="25090" customFormat="false" ht="12.8" hidden="false" customHeight="false" outlineLevel="0" collapsed="false">
      <c r="B25090" s="0" t="s">
        <v>7</v>
      </c>
      <c r="D25090" s="0" t="s">
        <v>164</v>
      </c>
      <c r="E25090" s="0" t="s">
        <v>164</v>
      </c>
      <c r="F25090" s="0" t="s">
        <v>164</v>
      </c>
    </row>
    <row r="25091" customFormat="false" ht="12.8" hidden="false" customHeight="false" outlineLevel="0" collapsed="false">
      <c r="B25091" s="0" t="s">
        <v>48</v>
      </c>
      <c r="D25091" s="0" t="s">
        <v>168</v>
      </c>
      <c r="E25091" s="0" t="s">
        <v>168</v>
      </c>
      <c r="F25091" s="0" t="s">
        <v>168</v>
      </c>
    </row>
    <row r="25092" customFormat="false" ht="12.8" hidden="false" customHeight="false" outlineLevel="0" collapsed="false">
      <c r="B25092" s="0" t="s">
        <v>9391</v>
      </c>
      <c r="D25092" s="0" t="s">
        <v>1766</v>
      </c>
      <c r="E25092" s="0" t="s">
        <v>1766</v>
      </c>
      <c r="F25092" s="0" t="s">
        <v>1766</v>
      </c>
    </row>
    <row r="25093" customFormat="false" ht="12.8" hidden="false" customHeight="false" outlineLevel="0" collapsed="false">
      <c r="B25093" s="0" t="s">
        <v>63</v>
      </c>
      <c r="D25093" s="0" t="s">
        <v>167</v>
      </c>
      <c r="E25093" s="0" t="s">
        <v>167</v>
      </c>
      <c r="F25093" s="0" t="s">
        <v>167</v>
      </c>
    </row>
    <row r="25095" customFormat="false" ht="12.8" hidden="false" customHeight="false" outlineLevel="0" collapsed="false">
      <c r="A25095" s="0" t="s">
        <v>9392</v>
      </c>
      <c r="B25095" s="0" t="str">
        <f aca="false">HYPERLINK("https://lindat.mff.cuni.cz/services/teitok/pdtc10/index.php?action=vallex&amp;frame=v-w3330f4", "oznamovat (v-w3330f4)")</f>
        <v>oznamovat (v-w3330f4)</v>
      </c>
    </row>
    <row r="25096" customFormat="false" ht="12.8" hidden="false" customHeight="false" outlineLevel="0" collapsed="false">
      <c r="B25096" s="0" t="s">
        <v>7</v>
      </c>
      <c r="D25096" s="0" t="s">
        <v>164</v>
      </c>
      <c r="E25096" s="0" t="s">
        <v>164</v>
      </c>
      <c r="F25096" s="0" t="s">
        <v>164</v>
      </c>
    </row>
    <row r="25097" customFormat="false" ht="12.8" hidden="false" customHeight="false" outlineLevel="0" collapsed="false">
      <c r="B25097" s="0" t="s">
        <v>9391</v>
      </c>
      <c r="D25097" s="0" t="s">
        <v>1766</v>
      </c>
      <c r="E25097" s="0" t="s">
        <v>1766</v>
      </c>
      <c r="F25097" s="0" t="s">
        <v>1766</v>
      </c>
    </row>
    <row r="25098" customFormat="false" ht="12.8" hidden="false" customHeight="false" outlineLevel="0" collapsed="false">
      <c r="B25098" s="0" t="s">
        <v>11</v>
      </c>
      <c r="D25098" s="0" t="s">
        <v>9393</v>
      </c>
      <c r="E25098" s="0" t="s">
        <v>9393</v>
      </c>
      <c r="F25098" s="0" t="s">
        <v>9393</v>
      </c>
    </row>
    <row r="25099" customFormat="false" ht="12.8" hidden="false" customHeight="false" outlineLevel="0" collapsed="false">
      <c r="B25099" s="0" t="s">
        <v>63</v>
      </c>
      <c r="D25099" s="0" t="s">
        <v>167</v>
      </c>
      <c r="E25099" s="0" t="s">
        <v>167</v>
      </c>
      <c r="F25099" s="0" t="s">
        <v>167</v>
      </c>
    </row>
    <row r="25101" customFormat="false" ht="12.8" hidden="false" customHeight="false" outlineLevel="0" collapsed="false">
      <c r="A25101" s="0" t="s">
        <v>9394</v>
      </c>
      <c r="B25101" s="0" t="str">
        <f aca="false">HYPERLINK("https://lindat.mff.cuni.cz/services/teitok/pdtc10/index.php?action=vallex&amp;frame=v-w3321f1", "označit (v-w3321f1)")</f>
        <v>označit (v-w3321f1)</v>
      </c>
    </row>
    <row r="25102" customFormat="false" ht="12.8" hidden="false" customHeight="false" outlineLevel="0" collapsed="false">
      <c r="B25102" s="0" t="s">
        <v>7</v>
      </c>
      <c r="C25102" s="0" t="s">
        <v>9395</v>
      </c>
      <c r="D25102" s="0" t="s">
        <v>140</v>
      </c>
      <c r="E25102" s="0" t="s">
        <v>9396</v>
      </c>
      <c r="F25102" s="0" t="s">
        <v>9396</v>
      </c>
    </row>
    <row r="25103" customFormat="false" ht="12.8" hidden="false" customHeight="false" outlineLevel="0" collapsed="false">
      <c r="B25103" s="0" t="s">
        <v>306</v>
      </c>
      <c r="C25103" s="0" t="s">
        <v>9397</v>
      </c>
      <c r="D25103" s="0" t="s">
        <v>1155</v>
      </c>
      <c r="E25103" s="0" t="s">
        <v>7398</v>
      </c>
      <c r="F25103" s="0" t="s">
        <v>7398</v>
      </c>
    </row>
    <row r="25104" customFormat="false" ht="12.8" hidden="false" customHeight="false" outlineLevel="0" collapsed="false">
      <c r="B25104" s="0" t="s">
        <v>1127</v>
      </c>
      <c r="C25104" s="0" t="s">
        <v>9398</v>
      </c>
      <c r="D25104" s="0" t="s">
        <v>9399</v>
      </c>
      <c r="E25104" s="0" t="s">
        <v>9400</v>
      </c>
      <c r="F25104" s="0" t="s">
        <v>9400</v>
      </c>
    </row>
    <row r="25106" customFormat="false" ht="12.8" hidden="false" customHeight="false" outlineLevel="0" collapsed="false">
      <c r="A25106" s="0" t="s">
        <v>9401</v>
      </c>
      <c r="B25106" s="0" t="str">
        <f aca="false">HYPERLINK("https://lindat.mff.cuni.cz/services/teitok/pdtc10/index.php?action=vallex&amp;frame=v-w3321f3", "označit (v-w3321f3)")</f>
        <v>označit (v-w3321f3)</v>
      </c>
    </row>
    <row r="25107" customFormat="false" ht="12.8" hidden="false" customHeight="false" outlineLevel="0" collapsed="false">
      <c r="B25107" s="0" t="s">
        <v>7</v>
      </c>
      <c r="C25107" s="0" t="s">
        <v>9402</v>
      </c>
      <c r="D25107" s="0" t="s">
        <v>2998</v>
      </c>
      <c r="E25107" s="0" t="s">
        <v>2998</v>
      </c>
      <c r="F25107" s="0" t="s">
        <v>2998</v>
      </c>
    </row>
    <row r="25108" customFormat="false" ht="12.8" hidden="false" customHeight="false" outlineLevel="0" collapsed="false">
      <c r="B25108" s="0" t="s">
        <v>8144</v>
      </c>
      <c r="C25108" s="0" t="s">
        <v>2569</v>
      </c>
      <c r="D25108" s="0" t="s">
        <v>3001</v>
      </c>
      <c r="E25108" s="0" t="s">
        <v>3001</v>
      </c>
      <c r="F25108" s="0" t="s">
        <v>3001</v>
      </c>
    </row>
    <row r="25110" customFormat="false" ht="12.8" hidden="false" customHeight="false" outlineLevel="0" collapsed="false">
      <c r="A25110" s="0" t="s">
        <v>9403</v>
      </c>
      <c r="B25110" s="0" t="str">
        <f aca="false">HYPERLINK("https://lindat.mff.cuni.cz/services/teitok/pdtc10/index.php?action=vallex&amp;frame=v-w3321f2", "označit (v-w3321f2)")</f>
        <v>označit (v-w3321f2)</v>
      </c>
    </row>
    <row r="25111" customFormat="false" ht="12.8" hidden="false" customHeight="false" outlineLevel="0" collapsed="false">
      <c r="B25111" s="0" t="s">
        <v>7</v>
      </c>
      <c r="C25111" s="0" t="s">
        <v>46</v>
      </c>
      <c r="D25111" s="0" t="s">
        <v>46</v>
      </c>
      <c r="E25111" s="0" t="s">
        <v>46</v>
      </c>
      <c r="F25111" s="0" t="s">
        <v>46</v>
      </c>
    </row>
    <row r="25112" customFormat="false" ht="12.8" hidden="false" customHeight="false" outlineLevel="0" collapsed="false">
      <c r="B25112" s="0" t="s">
        <v>14</v>
      </c>
      <c r="C25112" s="0" t="s">
        <v>3615</v>
      </c>
      <c r="D25112" s="0" t="s">
        <v>6903</v>
      </c>
      <c r="E25112" s="0" t="s">
        <v>6903</v>
      </c>
      <c r="F25112" s="0" t="s">
        <v>6903</v>
      </c>
    </row>
    <row r="25114" customFormat="false" ht="12.8" hidden="false" customHeight="false" outlineLevel="0" collapsed="false">
      <c r="A25114" s="0" t="s">
        <v>9404</v>
      </c>
      <c r="B25114" s="0" t="str">
        <f aca="false">HYPERLINK("https://lindat.mff.cuni.cz/services/teitok/pdtc10/index.php?action=vallex&amp;frame=v-w3325f1", "označovat (v-w3325f1)")</f>
        <v>označovat (v-w3325f1)</v>
      </c>
    </row>
    <row r="25115" customFormat="false" ht="12.8" hidden="false" customHeight="false" outlineLevel="0" collapsed="false">
      <c r="B25115" s="0" t="s">
        <v>7</v>
      </c>
      <c r="C25115" s="0" t="s">
        <v>9405</v>
      </c>
      <c r="D25115" s="0" t="s">
        <v>140</v>
      </c>
      <c r="E25115" s="0" t="s">
        <v>140</v>
      </c>
      <c r="F25115" s="0" t="s">
        <v>140</v>
      </c>
    </row>
    <row r="25116" customFormat="false" ht="12.8" hidden="false" customHeight="false" outlineLevel="0" collapsed="false">
      <c r="B25116" s="0" t="s">
        <v>14</v>
      </c>
      <c r="C25116" s="0" t="s">
        <v>9406</v>
      </c>
      <c r="D25116" s="0" t="s">
        <v>1155</v>
      </c>
      <c r="E25116" s="0" t="s">
        <v>1155</v>
      </c>
      <c r="F25116" s="0" t="s">
        <v>1155</v>
      </c>
    </row>
    <row r="25117" customFormat="false" ht="12.8" hidden="false" customHeight="false" outlineLevel="0" collapsed="false">
      <c r="B25117" s="0" t="s">
        <v>1127</v>
      </c>
      <c r="C25117" s="0" t="s">
        <v>9407</v>
      </c>
      <c r="D25117" s="0" t="s">
        <v>9399</v>
      </c>
      <c r="E25117" s="0" t="s">
        <v>9399</v>
      </c>
      <c r="F25117" s="0" t="s">
        <v>9399</v>
      </c>
    </row>
    <row r="25119" customFormat="false" ht="12.8" hidden="false" customHeight="false" outlineLevel="0" collapsed="false">
      <c r="A25119" s="0" t="s">
        <v>9408</v>
      </c>
      <c r="B25119" s="0" t="str">
        <f aca="false">HYPERLINK("https://lindat.mff.cuni.cz/services/teitok/pdtc10/index.php?action=vallex&amp;frame=v-w3325f3", "označovat (v-w3325f3)")</f>
        <v>označovat (v-w3325f3)</v>
      </c>
    </row>
    <row r="25120" customFormat="false" ht="12.8" hidden="false" customHeight="false" outlineLevel="0" collapsed="false">
      <c r="B25120" s="0" t="s">
        <v>7</v>
      </c>
      <c r="C25120" s="0" t="s">
        <v>4178</v>
      </c>
      <c r="D25120" s="0" t="s">
        <v>2998</v>
      </c>
      <c r="E25120" s="0" t="s">
        <v>2998</v>
      </c>
      <c r="F25120" s="0" t="s">
        <v>2998</v>
      </c>
    </row>
    <row r="25121" customFormat="false" ht="12.8" hidden="false" customHeight="false" outlineLevel="0" collapsed="false">
      <c r="B25121" s="0" t="s">
        <v>8144</v>
      </c>
      <c r="C25121" s="0" t="s">
        <v>9409</v>
      </c>
      <c r="D25121" s="0" t="s">
        <v>3001</v>
      </c>
      <c r="E25121" s="0" t="s">
        <v>3001</v>
      </c>
      <c r="F25121" s="0" t="s">
        <v>3001</v>
      </c>
    </row>
    <row r="25123" customFormat="false" ht="12.8" hidden="false" customHeight="false" outlineLevel="0" collapsed="false">
      <c r="A25123" s="0" t="s">
        <v>9410</v>
      </c>
      <c r="B25123" s="0" t="str">
        <f aca="false">HYPERLINK("https://lindat.mff.cuni.cz/services/teitok/pdtc10/index.php?action=vallex&amp;frame=v-w3325f2", "označovat (v-w3325f2)")</f>
        <v>označovat (v-w3325f2)</v>
      </c>
    </row>
    <row r="25124" customFormat="false" ht="12.8" hidden="false" customHeight="false" outlineLevel="0" collapsed="false">
      <c r="B25124" s="0" t="s">
        <v>7</v>
      </c>
      <c r="C25124" s="0" t="s">
        <v>157</v>
      </c>
      <c r="D25124" s="0" t="s">
        <v>46</v>
      </c>
      <c r="E25124" s="0" t="s">
        <v>46</v>
      </c>
      <c r="F25124" s="0" t="s">
        <v>46</v>
      </c>
    </row>
    <row r="25125" customFormat="false" ht="12.8" hidden="false" customHeight="false" outlineLevel="0" collapsed="false">
      <c r="B25125" s="0" t="s">
        <v>14</v>
      </c>
      <c r="C25125" s="0" t="s">
        <v>342</v>
      </c>
      <c r="D25125" s="0" t="s">
        <v>6903</v>
      </c>
      <c r="E25125" s="0" t="s">
        <v>6903</v>
      </c>
      <c r="F25125" s="0" t="s">
        <v>6903</v>
      </c>
    </row>
    <row r="25127" customFormat="false" ht="12.8" hidden="false" customHeight="false" outlineLevel="0" collapsed="false">
      <c r="A25127" s="0" t="s">
        <v>9411</v>
      </c>
      <c r="B25127" s="0" t="str">
        <f aca="false">HYPERLINK("https://lindat.mff.cuni.cz/services/teitok/pdtc10/index.php?action=vallex&amp;frame=v-w3328f5_ZU", "oznámit (v-w3328f5_ZU)")</f>
        <v>oznámit (v-w3328f5_ZU)</v>
      </c>
    </row>
    <row r="25128" customFormat="false" ht="12.8" hidden="false" customHeight="false" outlineLevel="0" collapsed="false">
      <c r="B25128" s="0" t="s">
        <v>7</v>
      </c>
      <c r="C25128" s="0" t="s">
        <v>9412</v>
      </c>
      <c r="D25128" s="0" t="s">
        <v>164</v>
      </c>
      <c r="E25128" s="0" t="s">
        <v>164</v>
      </c>
      <c r="F25128" s="0" t="s">
        <v>164</v>
      </c>
    </row>
    <row r="25129" customFormat="false" ht="12.8" hidden="false" customHeight="false" outlineLevel="0" collapsed="false">
      <c r="B25129" s="0" t="s">
        <v>9413</v>
      </c>
      <c r="C25129" s="0" t="s">
        <v>9414</v>
      </c>
      <c r="D25129" s="0" t="s">
        <v>167</v>
      </c>
      <c r="E25129" s="0" t="s">
        <v>167</v>
      </c>
      <c r="F25129" s="0" t="s">
        <v>167</v>
      </c>
    </row>
    <row r="25130" customFormat="false" ht="12.8" hidden="false" customHeight="false" outlineLevel="0" collapsed="false">
      <c r="B25130" s="0" t="s">
        <v>106</v>
      </c>
      <c r="C25130" s="0" t="s">
        <v>9415</v>
      </c>
      <c r="D25130" s="0" t="s">
        <v>168</v>
      </c>
      <c r="E25130" s="0" t="s">
        <v>168</v>
      </c>
      <c r="F25130" s="0" t="s">
        <v>168</v>
      </c>
    </row>
    <row r="25132" customFormat="false" ht="12.8" hidden="false" customHeight="false" outlineLevel="0" collapsed="false">
      <c r="A25132" s="0" t="s">
        <v>9411</v>
      </c>
      <c r="B25132" s="0" t="str">
        <f aca="false">HYPERLINK("https://lindat.mff.cuni.cz/services/teitok/pdtc10/index.php?action=vallex&amp;frame=v-w3328f2", "oznámit (v-w3328f2) - substituted with v-w3328f5_ZU")</f>
        <v>oznámit (v-w3328f2) - substituted with v-w3328f5_ZU</v>
      </c>
    </row>
    <row r="25133" customFormat="false" ht="12.8" hidden="false" customHeight="false" outlineLevel="0" collapsed="false">
      <c r="B25133" s="0" t="s">
        <v>7</v>
      </c>
      <c r="C25133" s="0" t="s">
        <v>9416</v>
      </c>
    </row>
    <row r="25134" customFormat="false" ht="12.8" hidden="false" customHeight="false" outlineLevel="0" collapsed="false">
      <c r="B25134" s="0" t="s">
        <v>9413</v>
      </c>
      <c r="C25134" s="0" t="s">
        <v>9417</v>
      </c>
    </row>
    <row r="25135" customFormat="false" ht="12.8" hidden="false" customHeight="false" outlineLevel="0" collapsed="false">
      <c r="B25135" s="0" t="s">
        <v>106</v>
      </c>
      <c r="C25135" s="0" t="s">
        <v>9418</v>
      </c>
    </row>
    <row r="25137" customFormat="false" ht="12.8" hidden="false" customHeight="false" outlineLevel="0" collapsed="false">
      <c r="A25137" s="0" t="s">
        <v>9419</v>
      </c>
      <c r="B25137" s="0" t="str">
        <f aca="false">HYPERLINK("https://lindat.mff.cuni.cz/services/teitok/pdtc10/index.php?action=vallex&amp;frame=v-w3328f6_ZU", "oznámit (v-w3328f6_ZU)")</f>
        <v>oznámit (v-w3328f6_ZU)</v>
      </c>
    </row>
    <row r="25138" customFormat="false" ht="12.8" hidden="false" customHeight="false" outlineLevel="0" collapsed="false">
      <c r="B25138" s="0" t="s">
        <v>7</v>
      </c>
      <c r="C25138" s="0" t="s">
        <v>9420</v>
      </c>
      <c r="D25138" s="0" t="s">
        <v>164</v>
      </c>
      <c r="E25138" s="0" t="s">
        <v>164</v>
      </c>
      <c r="F25138" s="0" t="s">
        <v>164</v>
      </c>
    </row>
    <row r="25139" customFormat="false" ht="12.8" hidden="false" customHeight="false" outlineLevel="0" collapsed="false">
      <c r="B25139" s="0" t="s">
        <v>48</v>
      </c>
      <c r="C25139" s="0" t="s">
        <v>1165</v>
      </c>
      <c r="D25139" s="0" t="s">
        <v>168</v>
      </c>
      <c r="E25139" s="0" t="s">
        <v>168</v>
      </c>
      <c r="F25139" s="0" t="s">
        <v>168</v>
      </c>
    </row>
    <row r="25140" customFormat="false" ht="12.8" hidden="false" customHeight="false" outlineLevel="0" collapsed="false">
      <c r="B25140" s="0" t="s">
        <v>5518</v>
      </c>
      <c r="C25140" s="0" t="s">
        <v>9421</v>
      </c>
      <c r="D25140" s="0" t="s">
        <v>1766</v>
      </c>
      <c r="E25140" s="0" t="s">
        <v>1766</v>
      </c>
      <c r="F25140" s="0" t="s">
        <v>1766</v>
      </c>
    </row>
    <row r="25141" customFormat="false" ht="12.8" hidden="false" customHeight="false" outlineLevel="0" collapsed="false">
      <c r="B25141" s="0" t="s">
        <v>363</v>
      </c>
      <c r="D25141" s="0" t="s">
        <v>167</v>
      </c>
      <c r="E25141" s="0" t="s">
        <v>167</v>
      </c>
      <c r="F25141" s="0" t="s">
        <v>167</v>
      </c>
    </row>
    <row r="25143" customFormat="false" ht="12.8" hidden="false" customHeight="false" outlineLevel="0" collapsed="false">
      <c r="A25143" s="0" t="s">
        <v>9419</v>
      </c>
      <c r="B25143" s="0" t="str">
        <f aca="false">HYPERLINK("https://lindat.mff.cuni.cz/services/teitok/pdtc10/index.php?action=vallex&amp;frame=v-w3328f1", "oznámit (v-w3328f1) - substituted with v-w3328f6_ZU")</f>
        <v>oznámit (v-w3328f1) - substituted with v-w3328f6_ZU</v>
      </c>
    </row>
    <row r="25144" customFormat="false" ht="12.8" hidden="false" customHeight="false" outlineLevel="0" collapsed="false">
      <c r="B25144" s="0" t="s">
        <v>7</v>
      </c>
      <c r="C25144" s="0" t="s">
        <v>9422</v>
      </c>
    </row>
    <row r="25145" customFormat="false" ht="12.8" hidden="false" customHeight="false" outlineLevel="0" collapsed="false">
      <c r="B25145" s="0" t="s">
        <v>48</v>
      </c>
      <c r="C25145" s="0" t="s">
        <v>9423</v>
      </c>
    </row>
    <row r="25146" customFormat="false" ht="12.8" hidden="false" customHeight="false" outlineLevel="0" collapsed="false">
      <c r="B25146" s="0" t="s">
        <v>5518</v>
      </c>
      <c r="C25146" s="0" t="s">
        <v>9424</v>
      </c>
    </row>
    <row r="25147" customFormat="false" ht="12.8" hidden="false" customHeight="false" outlineLevel="0" collapsed="false">
      <c r="B25147" s="0" t="s">
        <v>363</v>
      </c>
      <c r="C25147" s="0" t="s">
        <v>9425</v>
      </c>
    </row>
    <row r="25149" customFormat="false" ht="12.8" hidden="false" customHeight="false" outlineLevel="0" collapsed="false">
      <c r="A25149" s="0" t="s">
        <v>9426</v>
      </c>
      <c r="B25149" s="0" t="str">
        <f aca="false">HYPERLINK("https://lindat.mff.cuni.cz/services/teitok/pdtc10/index.php?action=vallex&amp;frame=v-w3328f3", "oznámit (v-w3328f3)")</f>
        <v>oznámit (v-w3328f3)</v>
      </c>
    </row>
    <row r="25150" customFormat="false" ht="12.8" hidden="false" customHeight="false" outlineLevel="0" collapsed="false">
      <c r="B25150" s="0" t="s">
        <v>7</v>
      </c>
      <c r="D25150" s="0" t="s">
        <v>164</v>
      </c>
      <c r="E25150" s="0" t="s">
        <v>164</v>
      </c>
      <c r="F25150" s="0" t="s">
        <v>164</v>
      </c>
    </row>
    <row r="25151" customFormat="false" ht="12.8" hidden="false" customHeight="false" outlineLevel="0" collapsed="false">
      <c r="B25151" s="0" t="s">
        <v>48</v>
      </c>
      <c r="D25151" s="0" t="s">
        <v>168</v>
      </c>
      <c r="E25151" s="0" t="s">
        <v>168</v>
      </c>
      <c r="F25151" s="0" t="s">
        <v>168</v>
      </c>
    </row>
    <row r="25152" customFormat="false" ht="12.8" hidden="false" customHeight="false" outlineLevel="0" collapsed="false">
      <c r="B25152" s="0" t="s">
        <v>9391</v>
      </c>
      <c r="D25152" s="0" t="s">
        <v>1766</v>
      </c>
      <c r="E25152" s="0" t="s">
        <v>1766</v>
      </c>
      <c r="F25152" s="0" t="s">
        <v>1766</v>
      </c>
    </row>
    <row r="25153" customFormat="false" ht="12.8" hidden="false" customHeight="false" outlineLevel="0" collapsed="false">
      <c r="B25153" s="0" t="s">
        <v>63</v>
      </c>
      <c r="D25153" s="0" t="s">
        <v>167</v>
      </c>
      <c r="E25153" s="0" t="s">
        <v>167</v>
      </c>
      <c r="F25153" s="0" t="s">
        <v>167</v>
      </c>
    </row>
    <row r="25155" customFormat="false" ht="12.8" hidden="false" customHeight="false" outlineLevel="0" collapsed="false">
      <c r="A25155" s="0" t="s">
        <v>9427</v>
      </c>
      <c r="B25155" s="0" t="str">
        <f aca="false">HYPERLINK("https://lindat.mff.cuni.cz/services/teitok/pdtc10/index.php?action=vallex&amp;frame=v-w3328f4", "oznámit (v-w3328f4)")</f>
        <v>oznámit (v-w3328f4)</v>
      </c>
    </row>
    <row r="25156" customFormat="false" ht="12.8" hidden="false" customHeight="false" outlineLevel="0" collapsed="false">
      <c r="B25156" s="0" t="s">
        <v>7</v>
      </c>
      <c r="C25156" s="0" t="s">
        <v>3826</v>
      </c>
      <c r="D25156" s="0" t="s">
        <v>164</v>
      </c>
      <c r="E25156" s="0" t="s">
        <v>164</v>
      </c>
      <c r="F25156" s="0" t="s">
        <v>164</v>
      </c>
    </row>
    <row r="25157" customFormat="false" ht="12.8" hidden="false" customHeight="false" outlineLevel="0" collapsed="false">
      <c r="B25157" s="0" t="s">
        <v>9391</v>
      </c>
      <c r="C25157" s="0" t="s">
        <v>3828</v>
      </c>
      <c r="D25157" s="0" t="s">
        <v>1766</v>
      </c>
      <c r="E25157" s="0" t="s">
        <v>1766</v>
      </c>
      <c r="F25157" s="0" t="s">
        <v>1766</v>
      </c>
    </row>
    <row r="25158" customFormat="false" ht="12.8" hidden="false" customHeight="false" outlineLevel="0" collapsed="false">
      <c r="B25158" s="0" t="s">
        <v>11</v>
      </c>
      <c r="D25158" s="0" t="s">
        <v>9393</v>
      </c>
      <c r="E25158" s="0" t="s">
        <v>9393</v>
      </c>
      <c r="F25158" s="0" t="s">
        <v>9393</v>
      </c>
    </row>
    <row r="25159" customFormat="false" ht="12.8" hidden="false" customHeight="false" outlineLevel="0" collapsed="false">
      <c r="B25159" s="0" t="s">
        <v>63</v>
      </c>
      <c r="D25159" s="0" t="s">
        <v>167</v>
      </c>
      <c r="E25159" s="0" t="s">
        <v>167</v>
      </c>
      <c r="F25159" s="0" t="s">
        <v>167</v>
      </c>
    </row>
    <row r="25161" customFormat="false" ht="12.8" hidden="false" customHeight="false" outlineLevel="0" collapsed="false">
      <c r="A25161" s="0" t="s">
        <v>9428</v>
      </c>
      <c r="B25161" s="0" t="str">
        <f aca="false">HYPERLINK("https://lindat.mff.cuni.cz/services/teitok/pdtc10/index.php?action=vallex&amp;frame=v-w3333f2", "ozvat se (v-w3333f2)")</f>
        <v>ozvat se (v-w3333f2)</v>
      </c>
    </row>
    <row r="25162" customFormat="false" ht="12.8" hidden="false" customHeight="false" outlineLevel="0" collapsed="false">
      <c r="B25162" s="0" t="s">
        <v>7</v>
      </c>
      <c r="C25162" s="0" t="s">
        <v>9429</v>
      </c>
      <c r="D25162" s="0" t="s">
        <v>2797</v>
      </c>
      <c r="E25162" s="0" t="s">
        <v>2797</v>
      </c>
      <c r="F25162" s="0" t="s">
        <v>2797</v>
      </c>
    </row>
    <row r="25163" customFormat="false" ht="12.8" hidden="false" customHeight="false" outlineLevel="0" collapsed="false">
      <c r="B25163" s="0" t="s">
        <v>142</v>
      </c>
      <c r="C25163" s="0" t="s">
        <v>110</v>
      </c>
      <c r="D25163" s="0" t="s">
        <v>3860</v>
      </c>
      <c r="E25163" s="0" t="s">
        <v>3860</v>
      </c>
      <c r="F25163" s="0" t="s">
        <v>3860</v>
      </c>
    </row>
    <row r="25165" customFormat="false" ht="12.8" hidden="false" customHeight="false" outlineLevel="0" collapsed="false">
      <c r="A25165" s="0" t="s">
        <v>9430</v>
      </c>
      <c r="B25165" s="0" t="str">
        <f aca="false">HYPERLINK("https://lindat.mff.cuni.cz/services/teitok/pdtc10/index.php?action=vallex&amp;frame=v-w3333f3", "ozvat se (v-w3333f3)")</f>
        <v>ozvat se (v-w3333f3)</v>
      </c>
    </row>
    <row r="25166" customFormat="false" ht="12.8" hidden="false" customHeight="false" outlineLevel="0" collapsed="false">
      <c r="B25166" s="0" t="s">
        <v>7</v>
      </c>
    </row>
    <row r="25167" customFormat="false" ht="12.8" hidden="false" customHeight="false" outlineLevel="0" collapsed="false">
      <c r="B25167" s="0" t="s">
        <v>4406</v>
      </c>
    </row>
    <row r="25169" customFormat="false" ht="12.8" hidden="false" customHeight="false" outlineLevel="0" collapsed="false">
      <c r="A25169" s="0" t="s">
        <v>9431</v>
      </c>
      <c r="B25169" s="0" t="str">
        <f aca="false">HYPERLINK("https://lindat.mff.cuni.cz/services/teitok/pdtc10/index.php?action=vallex&amp;frame=v-w3333f4_ZU", "ozvat se (v-w3333f4_ZU)")</f>
        <v>ozvat se (v-w3333f4_ZU)</v>
      </c>
    </row>
    <row r="25170" customFormat="false" ht="12.8" hidden="false" customHeight="false" outlineLevel="0" collapsed="false">
      <c r="B25170" s="0" t="s">
        <v>9432</v>
      </c>
    </row>
    <row r="25172" customFormat="false" ht="12.8" hidden="false" customHeight="false" outlineLevel="0" collapsed="false">
      <c r="A25172" s="0" t="s">
        <v>9431</v>
      </c>
      <c r="B25172" s="0" t="str">
        <f aca="false">HYPERLINK("https://lindat.mff.cuni.cz/services/teitok/pdtc10/index.php?action=vallex&amp;frame=v-w3333f1", "ozvat se (v-w3333f1) - substituted with v-w3333f4_ZU")</f>
        <v>ozvat se (v-w3333f1) - substituted with v-w3333f4_ZU</v>
      </c>
    </row>
    <row r="25173" customFormat="false" ht="12.8" hidden="false" customHeight="false" outlineLevel="0" collapsed="false">
      <c r="B25173" s="0" t="s">
        <v>9432</v>
      </c>
      <c r="C25173" s="0" t="s">
        <v>191</v>
      </c>
      <c r="D25173" s="0" t="s">
        <v>200</v>
      </c>
      <c r="E25173" s="0" t="s">
        <v>200</v>
      </c>
      <c r="F25173" s="0" t="s">
        <v>200</v>
      </c>
    </row>
    <row r="25175" customFormat="false" ht="12.8" hidden="false" customHeight="false" outlineLevel="0" collapsed="false">
      <c r="A25175" s="0" t="s">
        <v>9433</v>
      </c>
      <c r="B25175" s="0" t="str">
        <f aca="false">HYPERLINK("https://lindat.mff.cuni.cz/services/teitok/pdtc10/index.php?action=vallex&amp;frame=v-w3312f1", "ozářit (v-w3312f1)")</f>
        <v>ozářit (v-w3312f1)</v>
      </c>
    </row>
    <row r="25176" customFormat="false" ht="12.8" hidden="false" customHeight="false" outlineLevel="0" collapsed="false">
      <c r="B25176" s="0" t="s">
        <v>7</v>
      </c>
    </row>
    <row r="25177" customFormat="false" ht="12.8" hidden="false" customHeight="false" outlineLevel="0" collapsed="false">
      <c r="B25177" s="0" t="s">
        <v>14</v>
      </c>
    </row>
    <row r="25179" customFormat="false" ht="12.8" hidden="false" customHeight="false" outlineLevel="0" collapsed="false">
      <c r="A25179" s="0" t="s">
        <v>9434</v>
      </c>
      <c r="B25179" s="0" t="str">
        <f aca="false">HYPERLINK("https://lindat.mff.cuni.cz/services/teitok/pdtc10/index.php?action=vallex&amp;frame=v-w3312f2", "ozářit (v-w3312f2)")</f>
        <v>ozářit (v-w3312f2)</v>
      </c>
    </row>
    <row r="25180" customFormat="false" ht="12.8" hidden="false" customHeight="false" outlineLevel="0" collapsed="false">
      <c r="B25180" s="0" t="s">
        <v>7</v>
      </c>
    </row>
    <row r="25181" customFormat="false" ht="12.8" hidden="false" customHeight="false" outlineLevel="0" collapsed="false">
      <c r="B25181" s="0" t="s">
        <v>14</v>
      </c>
    </row>
    <row r="25183" customFormat="false" ht="12.8" hidden="false" customHeight="false" outlineLevel="0" collapsed="false">
      <c r="A25183" s="0" t="s">
        <v>9435</v>
      </c>
      <c r="B25183" s="0" t="str">
        <f aca="false">HYPERLINK("https://lindat.mff.cuni.cz/services/teitok/pdtc10/index.php?action=vallex&amp;frame=v-w3336f3", "ozývat se (v-w3336f3)")</f>
        <v>ozývat se (v-w3336f3)</v>
      </c>
    </row>
    <row r="25184" customFormat="false" ht="12.8" hidden="false" customHeight="false" outlineLevel="0" collapsed="false">
      <c r="B25184" s="0" t="s">
        <v>7</v>
      </c>
    </row>
    <row r="25185" customFormat="false" ht="12.8" hidden="false" customHeight="false" outlineLevel="0" collapsed="false">
      <c r="B25185" s="0" t="s">
        <v>142</v>
      </c>
    </row>
    <row r="25187" customFormat="false" ht="12.8" hidden="false" customHeight="false" outlineLevel="0" collapsed="false">
      <c r="A25187" s="0" t="s">
        <v>9436</v>
      </c>
      <c r="B25187" s="0" t="str">
        <f aca="false">HYPERLINK("https://lindat.mff.cuni.cz/services/teitok/pdtc10/index.php?action=vallex&amp;frame=v-w3336f5_ZU", "ozývat se (v-w3336f5_ZU)")</f>
        <v>ozývat se (v-w3336f5_ZU)</v>
      </c>
    </row>
    <row r="25188" customFormat="false" ht="12.8" hidden="false" customHeight="false" outlineLevel="0" collapsed="false">
      <c r="B25188" s="0" t="s">
        <v>7</v>
      </c>
    </row>
    <row r="25189" customFormat="false" ht="12.8" hidden="false" customHeight="false" outlineLevel="0" collapsed="false">
      <c r="B25189" s="0" t="s">
        <v>8781</v>
      </c>
    </row>
    <row r="25191" customFormat="false" ht="12.8" hidden="false" customHeight="false" outlineLevel="0" collapsed="false">
      <c r="A25191" s="0" t="s">
        <v>9436</v>
      </c>
      <c r="B25191" s="0" t="str">
        <f aca="false">HYPERLINK("https://lindat.mff.cuni.cz/services/teitok/pdtc10/index.php?action=vallex&amp;frame=v-w3336f2", "ozývat se (v-w3336f2) - substituted with v-w3336f5_ZU")</f>
        <v>ozývat se (v-w3336f2) - substituted with v-w3336f5_ZU</v>
      </c>
    </row>
    <row r="25192" customFormat="false" ht="12.8" hidden="false" customHeight="false" outlineLevel="0" collapsed="false">
      <c r="B25192" s="0" t="s">
        <v>7</v>
      </c>
    </row>
    <row r="25193" customFormat="false" ht="12.8" hidden="false" customHeight="false" outlineLevel="0" collapsed="false">
      <c r="B25193" s="0" t="s">
        <v>8781</v>
      </c>
    </row>
    <row r="25195" customFormat="false" ht="12.8" hidden="false" customHeight="false" outlineLevel="0" collapsed="false">
      <c r="A25195" s="0" t="s">
        <v>9437</v>
      </c>
      <c r="B25195" s="0" t="str">
        <f aca="false">HYPERLINK("https://lindat.mff.cuni.cz/services/teitok/pdtc10/index.php?action=vallex&amp;frame=v-w3336f4_ZU", "ozývat se (v-w3336f4_ZU)")</f>
        <v>ozývat se (v-w3336f4_ZU)</v>
      </c>
    </row>
    <row r="25196" customFormat="false" ht="12.8" hidden="false" customHeight="false" outlineLevel="0" collapsed="false">
      <c r="B25196" s="0" t="s">
        <v>9432</v>
      </c>
      <c r="D25196" s="0" t="s">
        <v>200</v>
      </c>
      <c r="E25196" s="0" t="s">
        <v>200</v>
      </c>
      <c r="F25196" s="0" t="s">
        <v>200</v>
      </c>
    </row>
    <row r="25198" customFormat="false" ht="12.8" hidden="false" customHeight="false" outlineLevel="0" collapsed="false">
      <c r="A25198" s="0" t="s">
        <v>9437</v>
      </c>
      <c r="B25198" s="0" t="str">
        <f aca="false">HYPERLINK("https://lindat.mff.cuni.cz/services/teitok/pdtc10/index.php?action=vallex&amp;frame=v-w3336f1", "ozývat se (v-w3336f1) - substituted with v-w3336f4_ZU")</f>
        <v>ozývat se (v-w3336f1) - substituted with v-w3336f4_ZU</v>
      </c>
    </row>
    <row r="25199" customFormat="false" ht="12.8" hidden="false" customHeight="false" outlineLevel="0" collapsed="false">
      <c r="B25199" s="0" t="s">
        <v>9432</v>
      </c>
      <c r="C25199" s="0" t="s">
        <v>9438</v>
      </c>
    </row>
    <row r="25201" customFormat="false" ht="12.8" hidden="false" customHeight="false" outlineLevel="0" collapsed="false">
      <c r="A25201" s="0" t="s">
        <v>9439</v>
      </c>
      <c r="B25201" s="0" t="str">
        <f aca="false">HYPERLINK("https://lindat.mff.cuni.cz/services/teitok/pdtc10/index.php?action=vallex&amp;frame=v-w3332f1", "ozřejmit (v-w3332f1)")</f>
        <v>ozřejmit (v-w3332f1)</v>
      </c>
    </row>
    <row r="25202" customFormat="false" ht="12.8" hidden="false" customHeight="false" outlineLevel="0" collapsed="false">
      <c r="B25202" s="0" t="s">
        <v>7</v>
      </c>
    </row>
    <row r="25203" customFormat="false" ht="12.8" hidden="false" customHeight="false" outlineLevel="0" collapsed="false">
      <c r="B25203" s="0" t="s">
        <v>9440</v>
      </c>
    </row>
    <row r="25204" customFormat="false" ht="12.8" hidden="false" customHeight="false" outlineLevel="0" collapsed="false">
      <c r="B25204" s="0" t="s">
        <v>48</v>
      </c>
    </row>
    <row r="25206" customFormat="false" ht="12.8" hidden="false" customHeight="false" outlineLevel="0" collapsed="false">
      <c r="A25206" s="0" t="s">
        <v>9441</v>
      </c>
      <c r="B25206" s="0" t="str">
        <f aca="false">HYPERLINK("https://lindat.mff.cuni.cz/services/teitok/pdtc10/index.php?action=vallex&amp;frame=v-w10669f2", "ozřejmovat (v-w10669f2)")</f>
        <v>ozřejmovat (v-w10669f2)</v>
      </c>
    </row>
    <row r="25207" customFormat="false" ht="12.8" hidden="false" customHeight="false" outlineLevel="0" collapsed="false">
      <c r="B25207" s="0" t="s">
        <v>7</v>
      </c>
    </row>
    <row r="25208" customFormat="false" ht="12.8" hidden="false" customHeight="false" outlineLevel="0" collapsed="false">
      <c r="B25208" s="0" t="s">
        <v>9440</v>
      </c>
    </row>
    <row r="25209" customFormat="false" ht="12.8" hidden="false" customHeight="false" outlineLevel="0" collapsed="false">
      <c r="B25209" s="0" t="s">
        <v>48</v>
      </c>
    </row>
    <row r="25211" customFormat="false" ht="12.8" hidden="false" customHeight="false" outlineLevel="0" collapsed="false">
      <c r="A25211" s="0" t="s">
        <v>9442</v>
      </c>
      <c r="B25211" s="0" t="str">
        <f aca="false">HYPERLINK("https://lindat.mff.cuni.cz/services/teitok/pdtc10/index.php?action=vallex&amp;frame=v-w10304f2", "očarovávat (v-w10304f2)")</f>
        <v>očarovávat (v-w10304f2)</v>
      </c>
    </row>
    <row r="25212" customFormat="false" ht="12.8" hidden="false" customHeight="false" outlineLevel="0" collapsed="false">
      <c r="B25212" s="0" t="s">
        <v>7</v>
      </c>
    </row>
    <row r="25213" customFormat="false" ht="12.8" hidden="false" customHeight="false" outlineLevel="0" collapsed="false">
      <c r="B25213" s="0" t="s">
        <v>14</v>
      </c>
    </row>
    <row r="25215" customFormat="false" ht="12.8" hidden="false" customHeight="false" outlineLevel="0" collapsed="false">
      <c r="A25215" s="0" t="s">
        <v>9443</v>
      </c>
      <c r="B25215" s="0" t="str">
        <f aca="false">HYPERLINK("https://lindat.mff.cuni.cz/services/teitok/pdtc10/index.php?action=vallex&amp;frame=v-w2608f1", "očekávat (v-w2608f1)")</f>
        <v>očekávat (v-w2608f1)</v>
      </c>
    </row>
    <row r="25216" customFormat="false" ht="12.8" hidden="false" customHeight="false" outlineLevel="0" collapsed="false">
      <c r="B25216" s="0" t="s">
        <v>7</v>
      </c>
      <c r="C25216" s="0" t="s">
        <v>9444</v>
      </c>
      <c r="D25216" s="0" t="s">
        <v>113</v>
      </c>
      <c r="E25216" s="0" t="s">
        <v>113</v>
      </c>
      <c r="F25216" s="0" t="s">
        <v>113</v>
      </c>
    </row>
    <row r="25217" customFormat="false" ht="12.8" hidden="false" customHeight="false" outlineLevel="0" collapsed="false">
      <c r="B25217" s="0" t="s">
        <v>8144</v>
      </c>
      <c r="C25217" s="0" t="s">
        <v>9445</v>
      </c>
      <c r="D25217" s="0" t="s">
        <v>74</v>
      </c>
      <c r="E25217" s="0" t="s">
        <v>74</v>
      </c>
      <c r="F25217" s="0" t="s">
        <v>74</v>
      </c>
    </row>
    <row r="25218" customFormat="false" ht="12.8" hidden="false" customHeight="false" outlineLevel="0" collapsed="false">
      <c r="B25218" s="0" t="s">
        <v>441</v>
      </c>
      <c r="C25218" s="0" t="s">
        <v>9446</v>
      </c>
      <c r="D25218" s="0" t="s">
        <v>9447</v>
      </c>
      <c r="E25218" s="0" t="s">
        <v>9447</v>
      </c>
      <c r="F25218" s="0" t="s">
        <v>9447</v>
      </c>
    </row>
    <row r="25220" customFormat="false" ht="12.8" hidden="false" customHeight="false" outlineLevel="0" collapsed="false">
      <c r="A25220" s="0" t="s">
        <v>9448</v>
      </c>
      <c r="B25220" s="0" t="str">
        <f aca="false">HYPERLINK("https://lindat.mff.cuni.cz/services/teitok/pdtc10/index.php?action=vallex&amp;frame=v-w2608f2", "očekávat (v-w2608f2)")</f>
        <v>očekávat (v-w2608f2)</v>
      </c>
    </row>
    <row r="25221" customFormat="false" ht="12.8" hidden="false" customHeight="false" outlineLevel="0" collapsed="false">
      <c r="B25221" s="0" t="s">
        <v>7</v>
      </c>
      <c r="C25221" s="0" t="s">
        <v>9449</v>
      </c>
      <c r="D25221" s="0" t="s">
        <v>9450</v>
      </c>
      <c r="E25221" s="0" t="s">
        <v>9450</v>
      </c>
      <c r="F25221" s="0" t="s">
        <v>9450</v>
      </c>
    </row>
    <row r="25222" customFormat="false" ht="12.8" hidden="false" customHeight="false" outlineLevel="0" collapsed="false">
      <c r="B25222" s="0" t="s">
        <v>9451</v>
      </c>
      <c r="C25222" s="0" t="s">
        <v>9452</v>
      </c>
      <c r="D25222" s="0" t="s">
        <v>9453</v>
      </c>
      <c r="E25222" s="0" t="s">
        <v>9453</v>
      </c>
      <c r="F25222" s="0" t="s">
        <v>9453</v>
      </c>
    </row>
    <row r="25224" customFormat="false" ht="12.8" hidden="false" customHeight="false" outlineLevel="0" collapsed="false">
      <c r="A25224" s="0" t="s">
        <v>9454</v>
      </c>
      <c r="B25224" s="0" t="str">
        <f aca="false">HYPERLINK("https://lindat.mff.cuni.cz/services/teitok/pdtc10/index.php?action=vallex&amp;frame=v-w2608hsa_1088", "očekávat (v-w2608hsa_1088)")</f>
        <v>očekávat (v-w2608hsa_1088)</v>
      </c>
    </row>
    <row r="25225" customFormat="false" ht="12.8" hidden="false" customHeight="false" outlineLevel="0" collapsed="false">
      <c r="B25225" s="0" t="s">
        <v>7</v>
      </c>
      <c r="C25225" s="0" t="s">
        <v>9455</v>
      </c>
    </row>
    <row r="25226" customFormat="false" ht="12.8" hidden="false" customHeight="false" outlineLevel="0" collapsed="false">
      <c r="B25226" s="0" t="s">
        <v>2607</v>
      </c>
    </row>
    <row r="25227" customFormat="false" ht="12.8" hidden="false" customHeight="false" outlineLevel="0" collapsed="false">
      <c r="B25227" s="0" t="s">
        <v>363</v>
      </c>
      <c r="C25227" s="0" t="s">
        <v>9456</v>
      </c>
    </row>
    <row r="25229" customFormat="false" ht="12.8" hidden="false" customHeight="false" outlineLevel="0" collapsed="false">
      <c r="A25229" s="0" t="s">
        <v>9457</v>
      </c>
      <c r="B25229" s="0" t="str">
        <f aca="false">HYPERLINK("https://lindat.mff.cuni.cz/services/teitok/pdtc10/index.php?action=vallex&amp;frame=v-w2608f3_ZU", "očekávat (v-w2608f3_ZU)")</f>
        <v>očekávat (v-w2608f3_ZU)</v>
      </c>
    </row>
    <row r="25230" customFormat="false" ht="12.8" hidden="false" customHeight="false" outlineLevel="0" collapsed="false">
      <c r="B25230" s="0" t="s">
        <v>7</v>
      </c>
    </row>
    <row r="25231" customFormat="false" ht="12.8" hidden="false" customHeight="false" outlineLevel="0" collapsed="false">
      <c r="B25231" s="0" t="s">
        <v>14</v>
      </c>
    </row>
    <row r="25233" customFormat="false" ht="12.8" hidden="false" customHeight="false" outlineLevel="0" collapsed="false">
      <c r="A25233" s="0" t="s">
        <v>9458</v>
      </c>
      <c r="B25233" s="0" t="str">
        <f aca="false">HYPERLINK("https://lindat.mff.cuni.cz/services/teitok/pdtc10/index.php?action=vallex&amp;frame=v-w10762f2", "očernit (v-w10762f2)")</f>
        <v>očernit (v-w10762f2)</v>
      </c>
    </row>
    <row r="25234" customFormat="false" ht="12.8" hidden="false" customHeight="false" outlineLevel="0" collapsed="false">
      <c r="B25234" s="0" t="s">
        <v>7</v>
      </c>
      <c r="D25234" s="0" t="s">
        <v>4960</v>
      </c>
      <c r="E25234" s="0" t="s">
        <v>4960</v>
      </c>
      <c r="F25234" s="0" t="s">
        <v>4960</v>
      </c>
    </row>
    <row r="25235" customFormat="false" ht="12.8" hidden="false" customHeight="false" outlineLevel="0" collapsed="false">
      <c r="B25235" s="0" t="s">
        <v>14</v>
      </c>
      <c r="D25235" s="0" t="s">
        <v>1631</v>
      </c>
      <c r="E25235" s="0" t="s">
        <v>1631</v>
      </c>
      <c r="F25235" s="0" t="s">
        <v>1631</v>
      </c>
    </row>
    <row r="25237" customFormat="false" ht="12.8" hidden="false" customHeight="false" outlineLevel="0" collapsed="false">
      <c r="A25237" s="0" t="s">
        <v>9459</v>
      </c>
      <c r="B25237" s="0" t="str">
        <f aca="false">HYPERLINK("https://lindat.mff.cuni.cz/services/teitok/pdtc10/index.php?action=vallex&amp;frame=v-w11529_ZUf1_ZU", "očerňovat (v-w11529_ZUf1_ZU)")</f>
        <v>očerňovat (v-w11529_ZUf1_ZU)</v>
      </c>
    </row>
    <row r="25238" customFormat="false" ht="12.8" hidden="false" customHeight="false" outlineLevel="0" collapsed="false">
      <c r="B25238" s="0" t="s">
        <v>7</v>
      </c>
      <c r="D25238" s="0" t="s">
        <v>4960</v>
      </c>
      <c r="E25238" s="0" t="s">
        <v>4960</v>
      </c>
      <c r="F25238" s="0" t="s">
        <v>4960</v>
      </c>
    </row>
    <row r="25239" customFormat="false" ht="12.8" hidden="false" customHeight="false" outlineLevel="0" collapsed="false">
      <c r="B25239" s="0" t="s">
        <v>14</v>
      </c>
      <c r="D25239" s="0" t="s">
        <v>1631</v>
      </c>
      <c r="E25239" s="0" t="s">
        <v>1631</v>
      </c>
      <c r="F25239" s="0" t="s">
        <v>1631</v>
      </c>
    </row>
    <row r="25241" customFormat="false" ht="12.8" hidden="false" customHeight="false" outlineLevel="0" collapsed="false">
      <c r="A25241" s="0" t="s">
        <v>9460</v>
      </c>
      <c r="B25241" s="0" t="str">
        <f aca="false">HYPERLINK("https://lindat.mff.cuni.cz/services/teitok/pdtc10/index.php?action=vallex&amp;frame=v-w11530_ZUf1_ZU", "očesat (v-w11530_ZUf1_ZU)")</f>
        <v>očesat (v-w11530_ZUf1_ZU)</v>
      </c>
    </row>
    <row r="25242" customFormat="false" ht="12.8" hidden="false" customHeight="false" outlineLevel="0" collapsed="false">
      <c r="B25242" s="0" t="s">
        <v>7</v>
      </c>
      <c r="C25242" s="0" t="s">
        <v>46</v>
      </c>
      <c r="D25242" s="0" t="s">
        <v>184</v>
      </c>
      <c r="E25242" s="0" t="s">
        <v>184</v>
      </c>
      <c r="F25242" s="0" t="s">
        <v>113</v>
      </c>
    </row>
    <row r="25243" customFormat="false" ht="12.8" hidden="false" customHeight="false" outlineLevel="0" collapsed="false">
      <c r="B25243" s="0" t="s">
        <v>14</v>
      </c>
      <c r="C25243" s="0" t="s">
        <v>9461</v>
      </c>
      <c r="D25243" s="0" t="s">
        <v>9462</v>
      </c>
      <c r="E25243" s="0" t="s">
        <v>9462</v>
      </c>
      <c r="F25243" s="0" t="s">
        <v>9463</v>
      </c>
    </row>
    <row r="25245" customFormat="false" ht="12.8" hidden="false" customHeight="false" outlineLevel="0" collapsed="false">
      <c r="A25245" s="0" t="s">
        <v>9464</v>
      </c>
      <c r="B25245" s="0" t="str">
        <f aca="false">HYPERLINK("https://lindat.mff.cuni.cz/services/teitok/pdtc10/index.php?action=vallex&amp;frame=v-w10761f2", "očesávat (v-w10761f2)")</f>
        <v>očesávat (v-w10761f2)</v>
      </c>
    </row>
    <row r="25246" customFormat="false" ht="12.8" hidden="false" customHeight="false" outlineLevel="0" collapsed="false">
      <c r="B25246" s="0" t="s">
        <v>7</v>
      </c>
      <c r="D25246" s="0" t="s">
        <v>184</v>
      </c>
      <c r="E25246" s="0" t="s">
        <v>184</v>
      </c>
      <c r="F25246" s="0" t="s">
        <v>184</v>
      </c>
    </row>
    <row r="25247" customFormat="false" ht="12.8" hidden="false" customHeight="false" outlineLevel="0" collapsed="false">
      <c r="B25247" s="0" t="s">
        <v>14</v>
      </c>
      <c r="D25247" s="0" t="s">
        <v>9462</v>
      </c>
      <c r="E25247" s="0" t="s">
        <v>9462</v>
      </c>
      <c r="F25247" s="0" t="s">
        <v>9462</v>
      </c>
    </row>
    <row r="25249" customFormat="false" ht="12.8" hidden="false" customHeight="false" outlineLevel="0" collapsed="false">
      <c r="A25249" s="0" t="s">
        <v>9465</v>
      </c>
      <c r="B25249" s="0" t="str">
        <f aca="false">HYPERLINK("https://lindat.mff.cuni.cz/services/teitok/pdtc10/index.php?action=vallex&amp;frame=v-w10761f3_ZU", "očesávat (v-w10761f3_ZU)")</f>
        <v>očesávat (v-w10761f3_ZU)</v>
      </c>
    </row>
    <row r="25250" customFormat="false" ht="12.8" hidden="false" customHeight="false" outlineLevel="0" collapsed="false">
      <c r="B25250" s="0" t="s">
        <v>7</v>
      </c>
    </row>
    <row r="25251" customFormat="false" ht="12.8" hidden="false" customHeight="false" outlineLevel="0" collapsed="false">
      <c r="B25251" s="0" t="s">
        <v>14</v>
      </c>
    </row>
    <row r="25253" customFormat="false" ht="12.8" hidden="false" customHeight="false" outlineLevel="0" collapsed="false">
      <c r="A25253" s="0" t="s">
        <v>9466</v>
      </c>
      <c r="B25253" s="0" t="str">
        <f aca="false">HYPERLINK("https://lindat.mff.cuni.cz/services/teitok/pdtc10/index.php?action=vallex&amp;frame=v-w2612f3_ZU", "očistit (v-w2612f3_ZU)")</f>
        <v>očistit (v-w2612f3_ZU)</v>
      </c>
    </row>
    <row r="25254" customFormat="false" ht="12.8" hidden="false" customHeight="false" outlineLevel="0" collapsed="false">
      <c r="B25254" s="0" t="s">
        <v>7</v>
      </c>
    </row>
    <row r="25255" customFormat="false" ht="12.8" hidden="false" customHeight="false" outlineLevel="0" collapsed="false">
      <c r="B25255" s="0" t="s">
        <v>14</v>
      </c>
    </row>
    <row r="25256" customFormat="false" ht="12.8" hidden="false" customHeight="false" outlineLevel="0" collapsed="false">
      <c r="B25256" s="0" t="s">
        <v>441</v>
      </c>
    </row>
    <row r="25258" customFormat="false" ht="12.8" hidden="false" customHeight="false" outlineLevel="0" collapsed="false">
      <c r="A25258" s="0" t="s">
        <v>9466</v>
      </c>
      <c r="B25258" s="0" t="str">
        <f aca="false">HYPERLINK("https://lindat.mff.cuni.cz/services/teitok/pdtc10/index.php?action=vallex&amp;frame=v-w2612f1", "očistit (v-w2612f1) - substituted with v-w2612f3_ZU")</f>
        <v>očistit (v-w2612f1) - substituted with v-w2612f3_ZU</v>
      </c>
    </row>
    <row r="25259" customFormat="false" ht="12.8" hidden="false" customHeight="false" outlineLevel="0" collapsed="false">
      <c r="B25259" s="0" t="s">
        <v>7</v>
      </c>
      <c r="C25259" s="0" t="s">
        <v>569</v>
      </c>
      <c r="D25259" s="0" t="s">
        <v>4783</v>
      </c>
      <c r="E25259" s="0" t="s">
        <v>4783</v>
      </c>
      <c r="F25259" s="0" t="s">
        <v>4783</v>
      </c>
    </row>
    <row r="25260" customFormat="false" ht="12.8" hidden="false" customHeight="false" outlineLevel="0" collapsed="false">
      <c r="B25260" s="0" t="s">
        <v>14</v>
      </c>
      <c r="C25260" s="0" t="s">
        <v>9467</v>
      </c>
      <c r="D25260" s="0" t="s">
        <v>9468</v>
      </c>
      <c r="E25260" s="0" t="s">
        <v>9468</v>
      </c>
      <c r="F25260" s="0" t="s">
        <v>9468</v>
      </c>
    </row>
    <row r="25261" customFormat="false" ht="12.8" hidden="false" customHeight="false" outlineLevel="0" collapsed="false">
      <c r="B25261" s="0" t="s">
        <v>441</v>
      </c>
      <c r="C25261" s="0" t="s">
        <v>9469</v>
      </c>
      <c r="D25261" s="0" t="s">
        <v>9470</v>
      </c>
      <c r="E25261" s="0" t="s">
        <v>9470</v>
      </c>
      <c r="F25261" s="0" t="s">
        <v>9470</v>
      </c>
    </row>
    <row r="25263" customFormat="false" ht="12.8" hidden="false" customHeight="false" outlineLevel="0" collapsed="false">
      <c r="A25263" s="0" t="s">
        <v>9471</v>
      </c>
      <c r="B25263" s="0" t="str">
        <f aca="false">HYPERLINK("https://lindat.mff.cuni.cz/services/teitok/pdtc10/index.php?action=vallex&amp;frame=v-w2612f2_ZU", "očistit (v-w2612f2_ZU)")</f>
        <v>očistit (v-w2612f2_ZU)</v>
      </c>
    </row>
    <row r="25264" customFormat="false" ht="12.8" hidden="false" customHeight="false" outlineLevel="0" collapsed="false">
      <c r="B25264" s="0" t="s">
        <v>7</v>
      </c>
      <c r="C25264" s="0" t="s">
        <v>113</v>
      </c>
      <c r="D25264" s="0" t="s">
        <v>2736</v>
      </c>
      <c r="E25264" s="0" t="s">
        <v>2736</v>
      </c>
      <c r="F25264" s="0" t="s">
        <v>2736</v>
      </c>
    </row>
    <row r="25265" customFormat="false" ht="12.8" hidden="false" customHeight="false" outlineLevel="0" collapsed="false">
      <c r="B25265" s="0" t="s">
        <v>14</v>
      </c>
      <c r="C25265" s="0" t="s">
        <v>4865</v>
      </c>
      <c r="D25265" s="0" t="s">
        <v>9013</v>
      </c>
      <c r="E25265" s="0" t="s">
        <v>9013</v>
      </c>
      <c r="F25265" s="0" t="s">
        <v>9013</v>
      </c>
    </row>
    <row r="25266" customFormat="false" ht="12.8" hidden="false" customHeight="false" outlineLevel="0" collapsed="false">
      <c r="B25266" s="0" t="s">
        <v>441</v>
      </c>
      <c r="C25266" s="0" t="s">
        <v>9472</v>
      </c>
      <c r="D25266" s="0" t="s">
        <v>9014</v>
      </c>
      <c r="E25266" s="0" t="s">
        <v>9014</v>
      </c>
      <c r="F25266" s="0" t="s">
        <v>9014</v>
      </c>
    </row>
    <row r="25268" customFormat="false" ht="12.8" hidden="false" customHeight="false" outlineLevel="0" collapsed="false">
      <c r="A25268" s="0" t="s">
        <v>9473</v>
      </c>
      <c r="B25268" s="0" t="str">
        <f aca="false">HYPERLINK("https://lindat.mff.cuni.cz/services/teitok/pdtc10/index.php?action=vallex&amp;frame=v-w2612hsa_891", "očistit (v-w2612hsa_891)")</f>
        <v>očistit (v-w2612hsa_891)</v>
      </c>
    </row>
    <row r="25269" customFormat="false" ht="12.8" hidden="false" customHeight="false" outlineLevel="0" collapsed="false">
      <c r="B25269" s="0" t="s">
        <v>7</v>
      </c>
    </row>
    <row r="25270" customFormat="false" ht="12.8" hidden="false" customHeight="false" outlineLevel="0" collapsed="false">
      <c r="B25270" s="0" t="s">
        <v>14</v>
      </c>
    </row>
    <row r="25272" customFormat="false" ht="12.8" hidden="false" customHeight="false" outlineLevel="0" collapsed="false">
      <c r="A25272" s="0" t="s">
        <v>9474</v>
      </c>
      <c r="B25272" s="0" t="str">
        <f aca="false">HYPERLINK("https://lindat.mff.cuni.cz/services/teitok/pdtc10/index.php?action=vallex&amp;frame=v-w2612hsa_892", "očistit (v-w2612hsa_892)")</f>
        <v>očistit (v-w2612hsa_892)</v>
      </c>
    </row>
    <row r="25273" customFormat="false" ht="12.8" hidden="false" customHeight="false" outlineLevel="0" collapsed="false">
      <c r="B25273" s="0" t="s">
        <v>7</v>
      </c>
    </row>
    <row r="25274" customFormat="false" ht="12.8" hidden="false" customHeight="false" outlineLevel="0" collapsed="false">
      <c r="B25274" s="0" t="s">
        <v>14</v>
      </c>
    </row>
    <row r="25276" customFormat="false" ht="12.8" hidden="false" customHeight="false" outlineLevel="0" collapsed="false">
      <c r="A25276" s="0" t="s">
        <v>9475</v>
      </c>
      <c r="B25276" s="0" t="str">
        <f aca="false">HYPERLINK("https://lindat.mff.cuni.cz/services/teitok/pdtc10/index.php?action=vallex&amp;frame=v-w11531_ZUf1_ZU", "očišťovat (v-w11531_ZUf1_ZU)")</f>
        <v>očišťovat (v-w11531_ZUf1_ZU)</v>
      </c>
    </row>
    <row r="25277" customFormat="false" ht="12.8" hidden="false" customHeight="false" outlineLevel="0" collapsed="false">
      <c r="B25277" s="0" t="s">
        <v>7</v>
      </c>
      <c r="C25277" s="0" t="s">
        <v>108</v>
      </c>
      <c r="D25277" s="0" t="s">
        <v>194</v>
      </c>
      <c r="E25277" s="0" t="s">
        <v>194</v>
      </c>
      <c r="F25277" s="0" t="s">
        <v>194</v>
      </c>
    </row>
    <row r="25278" customFormat="false" ht="12.8" hidden="false" customHeight="false" outlineLevel="0" collapsed="false">
      <c r="B25278" s="0" t="s">
        <v>14</v>
      </c>
      <c r="C25278" s="0" t="s">
        <v>110</v>
      </c>
      <c r="D25278" s="0" t="s">
        <v>9476</v>
      </c>
      <c r="E25278" s="0" t="s">
        <v>9476</v>
      </c>
      <c r="F25278" s="0" t="s">
        <v>9476</v>
      </c>
    </row>
    <row r="25279" customFormat="false" ht="12.8" hidden="false" customHeight="false" outlineLevel="0" collapsed="false">
      <c r="B25279" s="0" t="s">
        <v>441</v>
      </c>
      <c r="C25279" s="0" t="s">
        <v>4253</v>
      </c>
      <c r="D25279" s="0" t="s">
        <v>9470</v>
      </c>
      <c r="E25279" s="0" t="s">
        <v>9470</v>
      </c>
      <c r="F25279" s="0" t="s">
        <v>9470</v>
      </c>
    </row>
    <row r="25281" customFormat="false" ht="12.8" hidden="false" customHeight="false" outlineLevel="0" collapsed="false">
      <c r="A25281" s="0" t="s">
        <v>9477</v>
      </c>
      <c r="B25281" s="0" t="str">
        <f aca="false">HYPERLINK("https://lindat.mff.cuni.cz/services/teitok/pdtc10/index.php?action=vallex&amp;frame=v-w2615f1", "očkovat (v-w2615f1)")</f>
        <v>očkovat (v-w2615f1)</v>
      </c>
    </row>
    <row r="25282" customFormat="false" ht="12.8" hidden="false" customHeight="false" outlineLevel="0" collapsed="false">
      <c r="B25282" s="0" t="s">
        <v>7</v>
      </c>
    </row>
    <row r="25283" customFormat="false" ht="12.8" hidden="false" customHeight="false" outlineLevel="0" collapsed="false">
      <c r="B25283" s="0" t="s">
        <v>14</v>
      </c>
    </row>
    <row r="25285" customFormat="false" ht="12.8" hidden="false" customHeight="false" outlineLevel="0" collapsed="false">
      <c r="A25285" s="0" t="s">
        <v>9478</v>
      </c>
      <c r="B25285" s="0" t="str">
        <f aca="false">HYPERLINK("https://lindat.mff.cuni.cz/services/teitok/pdtc10/index.php?action=vallex&amp;frame=v-w11777_ZUf1_ZU", "očuchávat (v-w11777_ZUf1_ZU)")</f>
        <v>očuchávat (v-w11777_ZUf1_ZU)</v>
      </c>
    </row>
    <row r="25286" customFormat="false" ht="12.8" hidden="false" customHeight="false" outlineLevel="0" collapsed="false">
      <c r="B25286" s="0" t="s">
        <v>7</v>
      </c>
    </row>
    <row r="25287" customFormat="false" ht="12.8" hidden="false" customHeight="false" outlineLevel="0" collapsed="false">
      <c r="B25287" s="0" t="s">
        <v>14</v>
      </c>
    </row>
    <row r="25289" customFormat="false" ht="12.8" hidden="false" customHeight="false" outlineLevel="0" collapsed="false">
      <c r="A25289" s="0" t="s">
        <v>9479</v>
      </c>
      <c r="B25289" s="0" t="str">
        <f aca="false">HYPERLINK("https://lindat.mff.cuni.cz/services/teitok/pdtc10/index.php?action=vallex&amp;frame=v-w2610f1", "očíslovat (v-w2610f1)")</f>
        <v>očíslovat (v-w2610f1)</v>
      </c>
    </row>
    <row r="25290" customFormat="false" ht="12.8" hidden="false" customHeight="false" outlineLevel="0" collapsed="false">
      <c r="B25290" s="0" t="s">
        <v>7</v>
      </c>
    </row>
    <row r="25291" customFormat="false" ht="12.8" hidden="false" customHeight="false" outlineLevel="0" collapsed="false">
      <c r="B25291" s="0" t="s">
        <v>14</v>
      </c>
    </row>
    <row r="25293" customFormat="false" ht="12.8" hidden="false" customHeight="false" outlineLevel="0" collapsed="false">
      <c r="A25293" s="0" t="s">
        <v>9480</v>
      </c>
      <c r="B25293" s="0" t="str">
        <f aca="false">HYPERLINK("https://lindat.mff.cuni.cz/services/teitok/pdtc10/index.php?action=vallex&amp;frame=v-w10292f3", "ořezat (v-w10292f3)")</f>
        <v>ořezat (v-w10292f3)</v>
      </c>
    </row>
    <row r="25294" customFormat="false" ht="12.8" hidden="false" customHeight="false" outlineLevel="0" collapsed="false">
      <c r="B25294" s="0" t="s">
        <v>7</v>
      </c>
    </row>
    <row r="25295" customFormat="false" ht="12.8" hidden="false" customHeight="false" outlineLevel="0" collapsed="false">
      <c r="B25295" s="0" t="s">
        <v>615</v>
      </c>
    </row>
    <row r="25296" customFormat="false" ht="12.8" hidden="false" customHeight="false" outlineLevel="0" collapsed="false">
      <c r="B25296" s="0" t="s">
        <v>81</v>
      </c>
    </row>
    <row r="25298" customFormat="false" ht="12.8" hidden="false" customHeight="false" outlineLevel="0" collapsed="false">
      <c r="A25298" s="0" t="s">
        <v>9481</v>
      </c>
      <c r="B25298" s="0" t="str">
        <f aca="false">HYPERLINK("https://lindat.mff.cuni.cz/services/teitok/pdtc10/index.php?action=vallex&amp;frame=v-w10292f6", "ořezat (v-w10292f6)")</f>
        <v>ořezat (v-w10292f6)</v>
      </c>
    </row>
    <row r="25299" customFormat="false" ht="12.8" hidden="false" customHeight="false" outlineLevel="0" collapsed="false">
      <c r="B25299" s="0" t="s">
        <v>7</v>
      </c>
      <c r="C25299" s="0" t="s">
        <v>184</v>
      </c>
      <c r="D25299" s="0" t="s">
        <v>8822</v>
      </c>
      <c r="E25299" s="0" t="s">
        <v>8822</v>
      </c>
      <c r="F25299" s="0" t="s">
        <v>8822</v>
      </c>
    </row>
    <row r="25300" customFormat="false" ht="12.8" hidden="false" customHeight="false" outlineLevel="0" collapsed="false">
      <c r="B25300" s="0" t="s">
        <v>14</v>
      </c>
      <c r="C25300" s="0" t="s">
        <v>384</v>
      </c>
      <c r="D25300" s="0" t="s">
        <v>8824</v>
      </c>
      <c r="E25300" s="0" t="s">
        <v>8824</v>
      </c>
      <c r="F25300" s="0" t="s">
        <v>8824</v>
      </c>
    </row>
    <row r="25301" customFormat="false" ht="12.8" hidden="false" customHeight="false" outlineLevel="0" collapsed="false">
      <c r="B25301" s="0" t="s">
        <v>35</v>
      </c>
      <c r="C25301" s="0" t="s">
        <v>1526</v>
      </c>
      <c r="D25301" s="0" t="s">
        <v>9482</v>
      </c>
      <c r="E25301" s="0" t="s">
        <v>9482</v>
      </c>
      <c r="F25301" s="0" t="s">
        <v>9482</v>
      </c>
    </row>
    <row r="25302" customFormat="false" ht="12.8" hidden="false" customHeight="false" outlineLevel="0" collapsed="false">
      <c r="B25302" s="0" t="s">
        <v>9483</v>
      </c>
      <c r="C25302" s="0" t="s">
        <v>9484</v>
      </c>
      <c r="D25302" s="0" t="s">
        <v>9485</v>
      </c>
      <c r="E25302" s="0" t="s">
        <v>9485</v>
      </c>
      <c r="F25302" s="0" t="s">
        <v>9485</v>
      </c>
    </row>
    <row r="25304" customFormat="false" ht="12.8" hidden="false" customHeight="false" outlineLevel="0" collapsed="false">
      <c r="A25304" s="0" t="s">
        <v>9486</v>
      </c>
      <c r="B25304" s="0" t="str">
        <f aca="false">HYPERLINK("https://lindat.mff.cuni.cz/services/teitok/pdtc10/index.php?action=vallex&amp;frame=v-w10292f5", "ořezat (v-w10292f5)")</f>
        <v>ořezat (v-w10292f5)</v>
      </c>
    </row>
    <row r="25305" customFormat="false" ht="12.8" hidden="false" customHeight="false" outlineLevel="0" collapsed="false">
      <c r="B25305" s="0" t="s">
        <v>7</v>
      </c>
    </row>
    <row r="25306" customFormat="false" ht="12.8" hidden="false" customHeight="false" outlineLevel="0" collapsed="false">
      <c r="B25306" s="0" t="s">
        <v>14</v>
      </c>
    </row>
    <row r="25308" customFormat="false" ht="12.8" hidden="false" customHeight="false" outlineLevel="0" collapsed="false">
      <c r="A25308" s="0" t="s">
        <v>9487</v>
      </c>
      <c r="B25308" s="0" t="str">
        <f aca="false">HYPERLINK("https://lindat.mff.cuni.cz/services/teitok/pdtc10/index.php?action=vallex&amp;frame=v-whsa_1162hsa_1163", "ořezávat (v-whsa_1162hsa_1163)")</f>
        <v>ořezávat (v-whsa_1162hsa_1163)</v>
      </c>
    </row>
    <row r="25309" customFormat="false" ht="12.8" hidden="false" customHeight="false" outlineLevel="0" collapsed="false">
      <c r="B25309" s="0" t="s">
        <v>7</v>
      </c>
      <c r="C25309" s="0" t="s">
        <v>46</v>
      </c>
      <c r="D25309" s="0" t="s">
        <v>8822</v>
      </c>
      <c r="E25309" s="0" t="s">
        <v>8822</v>
      </c>
      <c r="F25309" s="0" t="s">
        <v>8822</v>
      </c>
    </row>
    <row r="25310" customFormat="false" ht="12.8" hidden="false" customHeight="false" outlineLevel="0" collapsed="false">
      <c r="B25310" s="0" t="s">
        <v>14</v>
      </c>
      <c r="C25310" s="0" t="s">
        <v>115</v>
      </c>
      <c r="D25310" s="0" t="s">
        <v>8824</v>
      </c>
      <c r="E25310" s="0" t="s">
        <v>8824</v>
      </c>
      <c r="F25310" s="0" t="s">
        <v>8824</v>
      </c>
    </row>
    <row r="25312" customFormat="false" ht="12.8" hidden="false" customHeight="false" outlineLevel="0" collapsed="false">
      <c r="A25312" s="0" t="s">
        <v>9488</v>
      </c>
      <c r="B25312" s="0" t="str">
        <f aca="false">HYPERLINK("https://lindat.mff.cuni.cz/services/teitok/pdtc10/index.php?action=vallex&amp;frame=v-w11153f2", "oříznout (v-w11153f2)")</f>
        <v>oříznout (v-w11153f2)</v>
      </c>
    </row>
    <row r="25313" customFormat="false" ht="12.8" hidden="false" customHeight="false" outlineLevel="0" collapsed="false">
      <c r="B25313" s="0" t="s">
        <v>7</v>
      </c>
    </row>
    <row r="25314" customFormat="false" ht="12.8" hidden="false" customHeight="false" outlineLevel="0" collapsed="false">
      <c r="B25314" s="0" t="s">
        <v>14</v>
      </c>
    </row>
    <row r="25315" customFormat="false" ht="12.8" hidden="false" customHeight="false" outlineLevel="0" collapsed="false">
      <c r="B25315" s="0" t="s">
        <v>84</v>
      </c>
    </row>
    <row r="25317" customFormat="false" ht="12.8" hidden="false" customHeight="false" outlineLevel="0" collapsed="false">
      <c r="A25317" s="0" t="s">
        <v>9489</v>
      </c>
      <c r="B25317" s="0" t="str">
        <f aca="false">HYPERLINK("https://lindat.mff.cuni.cz/services/teitok/pdtc10/index.php?action=vallex&amp;frame=v-w3238f2_ZU", "ošetřit (v-w3238f2_ZU)")</f>
        <v>ošetřit (v-w3238f2_ZU)</v>
      </c>
    </row>
    <row r="25318" customFormat="false" ht="12.8" hidden="false" customHeight="false" outlineLevel="0" collapsed="false">
      <c r="B25318" s="0" t="s">
        <v>7</v>
      </c>
    </row>
    <row r="25319" customFormat="false" ht="12.8" hidden="false" customHeight="false" outlineLevel="0" collapsed="false">
      <c r="B25319" s="0" t="s">
        <v>14</v>
      </c>
    </row>
    <row r="25321" customFormat="false" ht="12.8" hidden="false" customHeight="false" outlineLevel="0" collapsed="false">
      <c r="A25321" s="0" t="s">
        <v>9489</v>
      </c>
      <c r="B25321" s="0" t="str">
        <f aca="false">HYPERLINK("https://lindat.mff.cuni.cz/services/teitok/pdtc10/index.php?action=vallex&amp;frame=v-w3238f1", "ošetřit (v-w3238f1) - substituted with v-w3238f2_ZU")</f>
        <v>ošetřit (v-w3238f1) - substituted with v-w3238f2_ZU</v>
      </c>
    </row>
    <row r="25322" customFormat="false" ht="12.8" hidden="false" customHeight="false" outlineLevel="0" collapsed="false">
      <c r="B25322" s="0" t="s">
        <v>7</v>
      </c>
      <c r="C25322" s="0" t="s">
        <v>46</v>
      </c>
      <c r="D25322" s="0" t="s">
        <v>46</v>
      </c>
      <c r="E25322" s="0" t="s">
        <v>46</v>
      </c>
      <c r="F25322" s="0" t="s">
        <v>46</v>
      </c>
    </row>
    <row r="25323" customFormat="false" ht="12.8" hidden="false" customHeight="false" outlineLevel="0" collapsed="false">
      <c r="B25323" s="0" t="s">
        <v>14</v>
      </c>
      <c r="C25323" s="0" t="s">
        <v>6903</v>
      </c>
      <c r="D25323" s="0" t="s">
        <v>6903</v>
      </c>
      <c r="E25323" s="0" t="s">
        <v>6903</v>
      </c>
      <c r="F25323" s="0" t="s">
        <v>6903</v>
      </c>
    </row>
    <row r="25325" customFormat="false" ht="12.8" hidden="false" customHeight="false" outlineLevel="0" collapsed="false">
      <c r="A25325" s="0" t="s">
        <v>9490</v>
      </c>
      <c r="B25325" s="0" t="str">
        <f aca="false">HYPERLINK("https://lindat.mff.cuni.cz/services/teitok/pdtc10/index.php?action=vallex&amp;frame=v-w3238hsa_941", "ošetřit (v-w3238hsa_941)")</f>
        <v>ošetřit (v-w3238hsa_941)</v>
      </c>
    </row>
    <row r="25326" customFormat="false" ht="12.8" hidden="false" customHeight="false" outlineLevel="0" collapsed="false">
      <c r="B25326" s="0" t="s">
        <v>7</v>
      </c>
      <c r="C25326" s="0" t="s">
        <v>1154</v>
      </c>
      <c r="D25326" s="0" t="s">
        <v>9491</v>
      </c>
      <c r="E25326" s="0" t="s">
        <v>9491</v>
      </c>
      <c r="F25326" s="0" t="s">
        <v>9491</v>
      </c>
    </row>
    <row r="25327" customFormat="false" ht="12.8" hidden="false" customHeight="false" outlineLevel="0" collapsed="false">
      <c r="B25327" s="0" t="s">
        <v>14</v>
      </c>
      <c r="C25327" s="0" t="s">
        <v>413</v>
      </c>
      <c r="D25327" s="0" t="s">
        <v>9492</v>
      </c>
      <c r="E25327" s="0" t="s">
        <v>9492</v>
      </c>
      <c r="F25327" s="0" t="s">
        <v>9492</v>
      </c>
    </row>
    <row r="25329" customFormat="false" ht="12.8" hidden="false" customHeight="false" outlineLevel="0" collapsed="false">
      <c r="A25329" s="0" t="s">
        <v>9493</v>
      </c>
      <c r="B25329" s="0" t="str">
        <f aca="false">HYPERLINK("https://lindat.mff.cuni.cz/services/teitok/pdtc10/index.php?action=vallex&amp;frame=v-w3240f1", "ošetřovat (v-w3240f1)")</f>
        <v>ošetřovat (v-w3240f1)</v>
      </c>
    </row>
    <row r="25330" customFormat="false" ht="12.8" hidden="false" customHeight="false" outlineLevel="0" collapsed="false">
      <c r="B25330" s="0" t="s">
        <v>7</v>
      </c>
      <c r="C25330" s="0" t="s">
        <v>46</v>
      </c>
      <c r="D25330" s="0" t="s">
        <v>46</v>
      </c>
      <c r="E25330" s="0" t="s">
        <v>46</v>
      </c>
      <c r="F25330" s="0" t="s">
        <v>46</v>
      </c>
    </row>
    <row r="25331" customFormat="false" ht="12.8" hidden="false" customHeight="false" outlineLevel="0" collapsed="false">
      <c r="B25331" s="0" t="s">
        <v>14</v>
      </c>
      <c r="C25331" s="0" t="s">
        <v>9494</v>
      </c>
      <c r="D25331" s="0" t="s">
        <v>6903</v>
      </c>
      <c r="E25331" s="0" t="s">
        <v>6903</v>
      </c>
      <c r="F25331" s="0" t="s">
        <v>6903</v>
      </c>
    </row>
    <row r="25333" customFormat="false" ht="12.8" hidden="false" customHeight="false" outlineLevel="0" collapsed="false">
      <c r="A25333" s="0" t="s">
        <v>9495</v>
      </c>
      <c r="B25333" s="0" t="str">
        <f aca="false">HYPERLINK("https://lindat.mff.cuni.cz/services/teitok/pdtc10/index.php?action=vallex&amp;frame=v-w3242f2_ZU", "ošidit (v-w3242f2_ZU)")</f>
        <v>ošidit (v-w3242f2_ZU)</v>
      </c>
    </row>
    <row r="25334" customFormat="false" ht="12.8" hidden="false" customHeight="false" outlineLevel="0" collapsed="false">
      <c r="B25334" s="0" t="s">
        <v>7</v>
      </c>
    </row>
    <row r="25335" customFormat="false" ht="12.8" hidden="false" customHeight="false" outlineLevel="0" collapsed="false">
      <c r="B25335" s="0" t="s">
        <v>14</v>
      </c>
    </row>
    <row r="25337" customFormat="false" ht="12.8" hidden="false" customHeight="false" outlineLevel="0" collapsed="false">
      <c r="A25337" s="0" t="s">
        <v>9495</v>
      </c>
      <c r="B25337" s="0" t="str">
        <f aca="false">HYPERLINK("https://lindat.mff.cuni.cz/services/teitok/pdtc10/index.php?action=vallex&amp;frame=v-w3242f1", "ošidit (v-w3242f1) - substituted with v-w3242f2_ZU")</f>
        <v>ošidit (v-w3242f1) - substituted with v-w3242f2_ZU</v>
      </c>
    </row>
    <row r="25338" customFormat="false" ht="12.8" hidden="false" customHeight="false" outlineLevel="0" collapsed="false">
      <c r="B25338" s="0" t="s">
        <v>7</v>
      </c>
      <c r="C25338" s="0" t="s">
        <v>184</v>
      </c>
      <c r="D25338" s="0" t="s">
        <v>191</v>
      </c>
      <c r="E25338" s="0" t="s">
        <v>46</v>
      </c>
      <c r="F25338" s="0" t="s">
        <v>46</v>
      </c>
    </row>
    <row r="25339" customFormat="false" ht="12.8" hidden="false" customHeight="false" outlineLevel="0" collapsed="false">
      <c r="B25339" s="0" t="s">
        <v>14</v>
      </c>
      <c r="C25339" s="0" t="s">
        <v>8609</v>
      </c>
      <c r="D25339" s="0" t="s">
        <v>1588</v>
      </c>
      <c r="E25339" s="0" t="s">
        <v>1588</v>
      </c>
      <c r="F25339" s="0" t="s">
        <v>1588</v>
      </c>
    </row>
    <row r="25341" customFormat="false" ht="12.8" hidden="false" customHeight="false" outlineLevel="0" collapsed="false">
      <c r="A25341" s="0" t="s">
        <v>9496</v>
      </c>
      <c r="B25341" s="0" t="str">
        <f aca="false">HYPERLINK("https://lindat.mff.cuni.cz/services/teitok/pdtc10/index.php?action=vallex&amp;frame=v-whsa_1591hsa_1592", "ošklíbat se (v-whsa_1591hsa_1592)")</f>
        <v>ošklíbat se (v-whsa_1591hsa_1592)</v>
      </c>
    </row>
    <row r="25342" customFormat="false" ht="12.8" hidden="false" customHeight="false" outlineLevel="0" collapsed="false">
      <c r="B25342" s="0" t="s">
        <v>7</v>
      </c>
    </row>
    <row r="25343" customFormat="false" ht="12.8" hidden="false" customHeight="false" outlineLevel="0" collapsed="false">
      <c r="B25343" s="0" t="s">
        <v>9497</v>
      </c>
    </row>
    <row r="25345" customFormat="false" ht="12.8" hidden="false" customHeight="false" outlineLevel="0" collapsed="false">
      <c r="A25345" s="0" t="s">
        <v>9498</v>
      </c>
      <c r="B25345" s="0" t="str">
        <f aca="false">HYPERLINK("https://lindat.mff.cuni.cz/services/teitok/pdtc10/index.php?action=vallex&amp;frame=v-whsa_96hsa_97", "oškrábat (v-whsa_96hsa_97)")</f>
        <v>oškrábat (v-whsa_96hsa_97)</v>
      </c>
    </row>
    <row r="25346" customFormat="false" ht="12.8" hidden="false" customHeight="false" outlineLevel="0" collapsed="false">
      <c r="B25346" s="0" t="s">
        <v>7</v>
      </c>
    </row>
    <row r="25347" customFormat="false" ht="12.8" hidden="false" customHeight="false" outlineLevel="0" collapsed="false">
      <c r="B25347" s="0" t="s">
        <v>14</v>
      </c>
    </row>
    <row r="25349" customFormat="false" ht="12.8" hidden="false" customHeight="false" outlineLevel="0" collapsed="false">
      <c r="A25349" s="0" t="s">
        <v>9499</v>
      </c>
      <c r="B25349" s="0" t="str">
        <f aca="false">HYPERLINK("https://lindat.mff.cuni.cz/services/teitok/pdtc10/index.php?action=vallex&amp;frame=v-w11129f2", "oškubat (v-w11129f2)")</f>
        <v>oškubat (v-w11129f2)</v>
      </c>
    </row>
    <row r="25350" customFormat="false" ht="12.8" hidden="false" customHeight="false" outlineLevel="0" collapsed="false">
      <c r="B25350" s="0" t="s">
        <v>7</v>
      </c>
    </row>
    <row r="25351" customFormat="false" ht="12.8" hidden="false" customHeight="false" outlineLevel="0" collapsed="false">
      <c r="B25351" s="0" t="s">
        <v>81</v>
      </c>
      <c r="E25351" s="0" t="s">
        <v>4656</v>
      </c>
      <c r="F25351" s="0" t="s">
        <v>4656</v>
      </c>
    </row>
    <row r="25352" customFormat="false" ht="12.8" hidden="false" customHeight="false" outlineLevel="0" collapsed="false">
      <c r="B25352" s="0" t="s">
        <v>2721</v>
      </c>
    </row>
    <row r="25354" customFormat="false" ht="12.8" hidden="false" customHeight="false" outlineLevel="0" collapsed="false">
      <c r="A25354" s="0" t="s">
        <v>9500</v>
      </c>
      <c r="B25354" s="0" t="str">
        <f aca="false">HYPERLINK("https://lindat.mff.cuni.cz/services/teitok/pdtc10/index.php?action=vallex&amp;frame=v-w3243f1", "ošlapat (v-w3243f1)")</f>
        <v>ošlapat (v-w3243f1)</v>
      </c>
    </row>
    <row r="25355" customFormat="false" ht="12.8" hidden="false" customHeight="false" outlineLevel="0" collapsed="false">
      <c r="B25355" s="0" t="s">
        <v>7</v>
      </c>
    </row>
    <row r="25356" customFormat="false" ht="12.8" hidden="false" customHeight="false" outlineLevel="0" collapsed="false">
      <c r="B25356" s="0" t="s">
        <v>14</v>
      </c>
    </row>
    <row r="25358" customFormat="false" ht="12.8" hidden="false" customHeight="false" outlineLevel="0" collapsed="false">
      <c r="A25358" s="0" t="s">
        <v>9501</v>
      </c>
      <c r="B25358" s="0" t="str">
        <f aca="false">HYPERLINK("https://lindat.mff.cuni.cz/services/teitok/pdtc10/index.php?action=vallex&amp;frame=v-w3244f1", "ošoustat (v-w3244f1)")</f>
        <v>ošoustat (v-w3244f1)</v>
      </c>
    </row>
    <row r="25359" customFormat="false" ht="12.8" hidden="false" customHeight="false" outlineLevel="0" collapsed="false">
      <c r="B25359" s="0" t="s">
        <v>7</v>
      </c>
    </row>
    <row r="25360" customFormat="false" ht="12.8" hidden="false" customHeight="false" outlineLevel="0" collapsed="false">
      <c r="B25360" s="0" t="s">
        <v>14</v>
      </c>
    </row>
    <row r="25362" customFormat="false" ht="12.8" hidden="false" customHeight="false" outlineLevel="0" collapsed="false">
      <c r="A25362" s="0" t="s">
        <v>9502</v>
      </c>
      <c r="B25362" s="0" t="str">
        <f aca="false">HYPERLINK("https://lindat.mff.cuni.cz/services/teitok/pdtc10/index.php?action=vallex&amp;frame=v-w12192_ZUf1_ZU", "ošplouchnout (v-w12192_ZUf1_ZU)")</f>
        <v>ošplouchnout (v-w12192_ZUf1_ZU)</v>
      </c>
    </row>
    <row r="25363" customFormat="false" ht="12.8" hidden="false" customHeight="false" outlineLevel="0" collapsed="false">
      <c r="B25363" s="0" t="s">
        <v>7</v>
      </c>
    </row>
    <row r="25364" customFormat="false" ht="12.8" hidden="false" customHeight="false" outlineLevel="0" collapsed="false">
      <c r="B25364" s="0" t="s">
        <v>14</v>
      </c>
    </row>
    <row r="25366" customFormat="false" ht="12.8" hidden="false" customHeight="false" outlineLevel="0" collapsed="false">
      <c r="A25366" s="0" t="s">
        <v>9503</v>
      </c>
      <c r="B25366" s="0" t="str">
        <f aca="false">HYPERLINK("https://lindat.mff.cuni.cz/services/teitok/pdtc10/index.php?action=vallex&amp;frame=v-w11795_ZUf1_ZU", "oštipovat (v-w11795_ZUf1_ZU)")</f>
        <v>oštipovat (v-w11795_ZUf1_ZU)</v>
      </c>
    </row>
    <row r="25367" customFormat="false" ht="12.8" hidden="false" customHeight="false" outlineLevel="0" collapsed="false">
      <c r="B25367" s="0" t="s">
        <v>7</v>
      </c>
    </row>
    <row r="25368" customFormat="false" ht="12.8" hidden="false" customHeight="false" outlineLevel="0" collapsed="false">
      <c r="B25368" s="0" t="s">
        <v>14</v>
      </c>
    </row>
    <row r="25370" customFormat="false" ht="12.8" hidden="false" customHeight="false" outlineLevel="0" collapsed="false">
      <c r="A25370" s="0" t="s">
        <v>9504</v>
      </c>
      <c r="B25370" s="0" t="str">
        <f aca="false">HYPERLINK("https://lindat.mff.cuni.cz/services/teitok/pdtc10/index.php?action=vallex&amp;frame=v-whsa_1456hsa_1457", "ošukat (v-whsa_1456hsa_1457)")</f>
        <v>ošukat (v-whsa_1456hsa_1457)</v>
      </c>
    </row>
    <row r="25371" customFormat="false" ht="12.8" hidden="false" customHeight="false" outlineLevel="0" collapsed="false">
      <c r="B25371" s="0" t="s">
        <v>7</v>
      </c>
    </row>
    <row r="25372" customFormat="false" ht="12.8" hidden="false" customHeight="false" outlineLevel="0" collapsed="false">
      <c r="B25372" s="0" t="s">
        <v>14</v>
      </c>
    </row>
    <row r="25374" customFormat="false" ht="12.8" hidden="false" customHeight="false" outlineLevel="0" collapsed="false">
      <c r="A25374" s="0" t="s">
        <v>9505</v>
      </c>
      <c r="B25374" s="0" t="str">
        <f aca="false">HYPERLINK("https://lindat.mff.cuni.cz/services/teitok/pdtc10/index.php?action=vallex&amp;frame=v-w11185f2", "ošálit (v-w11185f2)")</f>
        <v>ošálit (v-w11185f2)</v>
      </c>
    </row>
    <row r="25375" customFormat="false" ht="12.8" hidden="false" customHeight="false" outlineLevel="0" collapsed="false">
      <c r="B25375" s="0" t="s">
        <v>7</v>
      </c>
      <c r="C25375" s="0" t="s">
        <v>46</v>
      </c>
      <c r="D25375" s="0" t="s">
        <v>191</v>
      </c>
      <c r="E25375" s="0" t="s">
        <v>191</v>
      </c>
      <c r="F25375" s="0" t="s">
        <v>191</v>
      </c>
    </row>
    <row r="25376" customFormat="false" ht="12.8" hidden="false" customHeight="false" outlineLevel="0" collapsed="false">
      <c r="B25376" s="0" t="s">
        <v>14</v>
      </c>
      <c r="C25376" s="0" t="s">
        <v>115</v>
      </c>
      <c r="D25376" s="0" t="s">
        <v>567</v>
      </c>
      <c r="E25376" s="0" t="s">
        <v>567</v>
      </c>
      <c r="F25376" s="0" t="s">
        <v>567</v>
      </c>
    </row>
    <row r="25378" customFormat="false" ht="12.8" hidden="false" customHeight="false" outlineLevel="0" collapsed="false">
      <c r="A25378" s="0" t="s">
        <v>9506</v>
      </c>
      <c r="B25378" s="0" t="str">
        <f aca="false">HYPERLINK("https://lindat.mff.cuni.cz/services/teitok/pdtc10/index.php?action=vallex&amp;frame=v-w3283f1", "oťukat (v-w3283f1)")</f>
        <v>oťukat (v-w3283f1)</v>
      </c>
    </row>
    <row r="25379" customFormat="false" ht="12.8" hidden="false" customHeight="false" outlineLevel="0" collapsed="false">
      <c r="B25379" s="0" t="s">
        <v>7</v>
      </c>
    </row>
    <row r="25380" customFormat="false" ht="12.8" hidden="false" customHeight="false" outlineLevel="0" collapsed="false">
      <c r="B25380" s="0" t="s">
        <v>9507</v>
      </c>
    </row>
    <row r="25382" customFormat="false" ht="12.8" hidden="false" customHeight="false" outlineLevel="0" collapsed="false">
      <c r="A25382" s="0" t="s">
        <v>9508</v>
      </c>
      <c r="B25382" s="0" t="str">
        <f aca="false">HYPERLINK("https://lindat.mff.cuni.cz/services/teitok/pdtc10/index.php?action=vallex&amp;frame=v-w11663_ZUf2_ZU", "ožebračit (v-w11663_ZUf2_ZU)")</f>
        <v>ožebračit (v-w11663_ZUf2_ZU)</v>
      </c>
    </row>
    <row r="25383" customFormat="false" ht="12.8" hidden="false" customHeight="false" outlineLevel="0" collapsed="false">
      <c r="B25383" s="0" t="s">
        <v>7</v>
      </c>
    </row>
    <row r="25384" customFormat="false" ht="12.8" hidden="false" customHeight="false" outlineLevel="0" collapsed="false">
      <c r="B25384" s="0" t="s">
        <v>615</v>
      </c>
    </row>
    <row r="25385" customFormat="false" ht="12.8" hidden="false" customHeight="false" outlineLevel="0" collapsed="false">
      <c r="B25385" s="0" t="s">
        <v>81</v>
      </c>
    </row>
    <row r="25387" customFormat="false" ht="12.8" hidden="false" customHeight="false" outlineLevel="0" collapsed="false">
      <c r="A25387" s="0" t="s">
        <v>9508</v>
      </c>
      <c r="B25387" s="0" t="str">
        <f aca="false">HYPERLINK("https://lindat.mff.cuni.cz/services/teitok/pdtc10/index.php?action=vallex&amp;frame=v-w11663_ZUf1_ZU", "ožebračit (v-w11663_ZUf1_ZU) - substituted with v-w11663_ZUf2_ZU")</f>
        <v>ožebračit (v-w11663_ZUf1_ZU) - substituted with v-w11663_ZUf2_ZU</v>
      </c>
    </row>
    <row r="25388" customFormat="false" ht="12.8" hidden="false" customHeight="false" outlineLevel="0" collapsed="false">
      <c r="B25388" s="0" t="s">
        <v>7</v>
      </c>
    </row>
    <row r="25389" customFormat="false" ht="12.8" hidden="false" customHeight="false" outlineLevel="0" collapsed="false">
      <c r="B25389" s="0" t="s">
        <v>615</v>
      </c>
    </row>
    <row r="25390" customFormat="false" ht="12.8" hidden="false" customHeight="false" outlineLevel="0" collapsed="false">
      <c r="B25390" s="0" t="s">
        <v>81</v>
      </c>
      <c r="E25390" s="0" t="s">
        <v>4656</v>
      </c>
      <c r="F25390" s="0" t="s">
        <v>4656</v>
      </c>
    </row>
    <row r="25392" customFormat="false" ht="12.8" hidden="false" customHeight="false" outlineLevel="0" collapsed="false">
      <c r="A25392" s="0" t="s">
        <v>9509</v>
      </c>
      <c r="B25392" s="0" t="str">
        <f aca="false">HYPERLINK("https://lindat.mff.cuni.cz/services/teitok/pdtc10/index.php?action=vallex&amp;frame=v-w3337f1", "ožebračovat (v-w3337f1)")</f>
        <v>ožebračovat (v-w3337f1)</v>
      </c>
    </row>
    <row r="25393" customFormat="false" ht="12.8" hidden="false" customHeight="false" outlineLevel="0" collapsed="false">
      <c r="B25393" s="0" t="s">
        <v>7</v>
      </c>
    </row>
    <row r="25394" customFormat="false" ht="12.8" hidden="false" customHeight="false" outlineLevel="0" collapsed="false">
      <c r="B25394" s="0" t="s">
        <v>615</v>
      </c>
    </row>
    <row r="25395" customFormat="false" ht="12.8" hidden="false" customHeight="false" outlineLevel="0" collapsed="false">
      <c r="B25395" s="0" t="s">
        <v>81</v>
      </c>
    </row>
    <row r="25397" customFormat="false" ht="12.8" hidden="false" customHeight="false" outlineLevel="0" collapsed="false">
      <c r="A25397" s="0" t="s">
        <v>9510</v>
      </c>
      <c r="B25397" s="0" t="str">
        <f aca="false">HYPERLINK("https://lindat.mff.cuni.cz/services/teitok/pdtc10/index.php?action=vallex&amp;frame=v-w3338f1", "oženit (v-w3338f1)")</f>
        <v>oženit (v-w3338f1)</v>
      </c>
    </row>
    <row r="25398" customFormat="false" ht="12.8" hidden="false" customHeight="false" outlineLevel="0" collapsed="false">
      <c r="B25398" s="0" t="s">
        <v>7</v>
      </c>
    </row>
    <row r="25399" customFormat="false" ht="12.8" hidden="false" customHeight="false" outlineLevel="0" collapsed="false">
      <c r="B25399" s="0" t="s">
        <v>14</v>
      </c>
    </row>
    <row r="25400" customFormat="false" ht="12.8" hidden="false" customHeight="false" outlineLevel="0" collapsed="false">
      <c r="B25400" s="0" t="s">
        <v>2767</v>
      </c>
    </row>
    <row r="25402" customFormat="false" ht="12.8" hidden="false" customHeight="false" outlineLevel="0" collapsed="false">
      <c r="A25402" s="0" t="s">
        <v>9511</v>
      </c>
      <c r="B25402" s="0" t="str">
        <f aca="false">HYPERLINK("https://lindat.mff.cuni.cz/services/teitok/pdtc10/index.php?action=vallex&amp;frame=v-w3339f1", "oženit se (v-w3339f1)")</f>
        <v>oženit se (v-w3339f1)</v>
      </c>
    </row>
    <row r="25403" customFormat="false" ht="12.8" hidden="false" customHeight="false" outlineLevel="0" collapsed="false">
      <c r="B25403" s="0" t="s">
        <v>7</v>
      </c>
      <c r="C25403" s="0" t="s">
        <v>9512</v>
      </c>
      <c r="D25403" s="0" t="s">
        <v>4651</v>
      </c>
      <c r="E25403" s="0" t="s">
        <v>4651</v>
      </c>
      <c r="F25403" s="0" t="s">
        <v>4651</v>
      </c>
    </row>
    <row r="25404" customFormat="false" ht="12.8" hidden="false" customHeight="false" outlineLevel="0" collapsed="false">
      <c r="B25404" s="0" t="s">
        <v>2871</v>
      </c>
      <c r="C25404" s="0" t="s">
        <v>9513</v>
      </c>
      <c r="D25404" s="0" t="s">
        <v>3694</v>
      </c>
      <c r="E25404" s="0" t="s">
        <v>3694</v>
      </c>
      <c r="F25404" s="0" t="s">
        <v>3694</v>
      </c>
    </row>
    <row r="25406" customFormat="false" ht="12.8" hidden="false" customHeight="false" outlineLevel="0" collapsed="false">
      <c r="A25406" s="0" t="s">
        <v>9514</v>
      </c>
      <c r="B25406" s="0" t="str">
        <f aca="false">HYPERLINK("https://lindat.mff.cuni.cz/services/teitok/pdtc10/index.php?action=vallex&amp;frame=v-w3344f1", "oživit (v-w3344f1)")</f>
        <v>oživit (v-w3344f1)</v>
      </c>
    </row>
    <row r="25407" customFormat="false" ht="12.8" hidden="false" customHeight="false" outlineLevel="0" collapsed="false">
      <c r="B25407" s="0" t="s">
        <v>7</v>
      </c>
      <c r="C25407" s="0" t="s">
        <v>9515</v>
      </c>
      <c r="D25407" s="0" t="s">
        <v>9516</v>
      </c>
      <c r="E25407" s="0" t="s">
        <v>9516</v>
      </c>
      <c r="F25407" s="0" t="s">
        <v>9516</v>
      </c>
    </row>
    <row r="25408" customFormat="false" ht="12.8" hidden="false" customHeight="false" outlineLevel="0" collapsed="false">
      <c r="B25408" s="0" t="s">
        <v>14</v>
      </c>
      <c r="C25408" s="0" t="s">
        <v>9517</v>
      </c>
      <c r="D25408" s="0" t="s">
        <v>9518</v>
      </c>
      <c r="E25408" s="0" t="s">
        <v>9518</v>
      </c>
      <c r="F25408" s="0" t="s">
        <v>9518</v>
      </c>
    </row>
    <row r="25410" customFormat="false" ht="12.8" hidden="false" customHeight="false" outlineLevel="0" collapsed="false">
      <c r="A25410" s="0" t="s">
        <v>9519</v>
      </c>
      <c r="B25410" s="0" t="str">
        <f aca="false">HYPERLINK("https://lindat.mff.cuni.cz/services/teitok/pdtc10/index.php?action=vallex&amp;frame=v-w3344f2_ZU", "oživit (v-w3344f2_ZU)")</f>
        <v>oživit (v-w3344f2_ZU)</v>
      </c>
    </row>
    <row r="25411" customFormat="false" ht="12.8" hidden="false" customHeight="false" outlineLevel="0" collapsed="false">
      <c r="B25411" s="0" t="s">
        <v>7</v>
      </c>
    </row>
    <row r="25413" customFormat="false" ht="12.8" hidden="false" customHeight="false" outlineLevel="0" collapsed="false">
      <c r="A25413" s="0" t="s">
        <v>9520</v>
      </c>
      <c r="B25413" s="0" t="str">
        <f aca="false">HYPERLINK("https://lindat.mff.cuni.cz/services/teitok/pdtc10/index.php?action=vallex&amp;frame=v-w3344f3_ZU", "oživit (v-w3344f3_ZU)")</f>
        <v>oživit (v-w3344f3_ZU)</v>
      </c>
    </row>
    <row r="25414" customFormat="false" ht="12.8" hidden="false" customHeight="false" outlineLevel="0" collapsed="false">
      <c r="B25414" s="0" t="s">
        <v>7</v>
      </c>
    </row>
    <row r="25415" customFormat="false" ht="12.8" hidden="false" customHeight="false" outlineLevel="0" collapsed="false">
      <c r="B25415" s="0" t="s">
        <v>14</v>
      </c>
    </row>
    <row r="25417" customFormat="false" ht="12.8" hidden="false" customHeight="false" outlineLevel="0" collapsed="false">
      <c r="A25417" s="0" t="s">
        <v>9521</v>
      </c>
      <c r="B25417" s="0" t="str">
        <f aca="false">HYPERLINK("https://lindat.mff.cuni.cz/services/teitok/pdtc10/index.php?action=vallex&amp;frame=v-whsa_267hsa_268", "oživnout (v-whsa_267hsa_268)")</f>
        <v>oživnout (v-whsa_267hsa_268)</v>
      </c>
    </row>
    <row r="25418" customFormat="false" ht="12.8" hidden="false" customHeight="false" outlineLevel="0" collapsed="false">
      <c r="B25418" s="0" t="s">
        <v>7</v>
      </c>
      <c r="C25418" s="0" t="s">
        <v>7654</v>
      </c>
    </row>
    <row r="25420" customFormat="false" ht="12.8" hidden="false" customHeight="false" outlineLevel="0" collapsed="false">
      <c r="A25420" s="0" t="s">
        <v>9522</v>
      </c>
      <c r="B25420" s="0" t="str">
        <f aca="false">HYPERLINK("https://lindat.mff.cuni.cz/services/teitok/pdtc10/index.php?action=vallex&amp;frame=v-w3346f1", "oživovat (v-w3346f1)")</f>
        <v>oživovat (v-w3346f1)</v>
      </c>
    </row>
    <row r="25421" customFormat="false" ht="12.8" hidden="false" customHeight="false" outlineLevel="0" collapsed="false">
      <c r="B25421" s="0" t="s">
        <v>7</v>
      </c>
      <c r="C25421" s="0" t="s">
        <v>9523</v>
      </c>
      <c r="D25421" s="0" t="s">
        <v>7701</v>
      </c>
      <c r="E25421" s="0" t="s">
        <v>7701</v>
      </c>
      <c r="F25421" s="0" t="s">
        <v>7701</v>
      </c>
    </row>
    <row r="25422" customFormat="false" ht="12.8" hidden="false" customHeight="false" outlineLevel="0" collapsed="false">
      <c r="B25422" s="0" t="s">
        <v>14</v>
      </c>
      <c r="C25422" s="0" t="s">
        <v>4163</v>
      </c>
      <c r="D25422" s="0" t="s">
        <v>7703</v>
      </c>
      <c r="E25422" s="0" t="s">
        <v>7703</v>
      </c>
      <c r="F25422" s="0" t="s">
        <v>7703</v>
      </c>
    </row>
    <row r="25424" customFormat="false" ht="12.8" hidden="false" customHeight="false" outlineLevel="0" collapsed="false">
      <c r="A25424" s="0" t="s">
        <v>9524</v>
      </c>
      <c r="B25424" s="0" t="str">
        <f aca="false">HYPERLINK("https://lindat.mff.cuni.cz/services/teitok/pdtc10/index.php?action=vallex&amp;frame=v-w3346f2", "oživovat (v-w3346f2)")</f>
        <v>oživovat (v-w3346f2)</v>
      </c>
    </row>
    <row r="25425" customFormat="false" ht="12.8" hidden="false" customHeight="false" outlineLevel="0" collapsed="false">
      <c r="B25425" s="0" t="s">
        <v>7</v>
      </c>
      <c r="C25425" s="0" t="s">
        <v>623</v>
      </c>
    </row>
    <row r="25426" customFormat="false" ht="12.8" hidden="false" customHeight="false" outlineLevel="0" collapsed="false">
      <c r="B25426" s="0" t="s">
        <v>14</v>
      </c>
      <c r="C25426" s="0" t="s">
        <v>1571</v>
      </c>
    </row>
    <row r="25428" customFormat="false" ht="12.8" hidden="false" customHeight="false" outlineLevel="0" collapsed="false">
      <c r="A25428" s="0" t="s">
        <v>9525</v>
      </c>
      <c r="B25428" s="0" t="str">
        <f aca="false">HYPERLINK("https://lindat.mff.cuni.cz/services/teitok/pdtc10/index.php?action=vallex&amp;frame=v-w3346hsa_1933", "oživovat (v-w3346hsa_1933)")</f>
        <v>oživovat (v-w3346hsa_1933)</v>
      </c>
    </row>
    <row r="25429" customFormat="false" ht="12.8" hidden="false" customHeight="false" outlineLevel="0" collapsed="false">
      <c r="B25429" s="0" t="s">
        <v>7</v>
      </c>
    </row>
    <row r="25430" customFormat="false" ht="12.8" hidden="false" customHeight="false" outlineLevel="0" collapsed="false">
      <c r="B25430" s="0" t="s">
        <v>14</v>
      </c>
    </row>
    <row r="25432" customFormat="false" ht="12.8" hidden="false" customHeight="false" outlineLevel="0" collapsed="false">
      <c r="A25432" s="0" t="s">
        <v>9526</v>
      </c>
      <c r="B25432" s="0" t="str">
        <f aca="false">HYPERLINK("https://lindat.mff.cuni.cz/services/teitok/pdtc10/index.php?action=vallex&amp;frame=v-w12198_ZUf1_ZU", "ožrat (v-w12198_ZUf1_ZU)")</f>
        <v>ožrat (v-w12198_ZUf1_ZU)</v>
      </c>
    </row>
    <row r="25433" customFormat="false" ht="12.8" hidden="false" customHeight="false" outlineLevel="0" collapsed="false">
      <c r="B25433" s="0" t="s">
        <v>7</v>
      </c>
    </row>
    <row r="25434" customFormat="false" ht="12.8" hidden="false" customHeight="false" outlineLevel="0" collapsed="false">
      <c r="B25434" s="0" t="s">
        <v>14</v>
      </c>
    </row>
    <row r="25436" customFormat="false" ht="12.8" hidden="false" customHeight="false" outlineLevel="0" collapsed="false">
      <c r="A25436" s="0" t="s">
        <v>9527</v>
      </c>
      <c r="B25436" s="0" t="str">
        <f aca="false">HYPERLINK("https://lindat.mff.cuni.cz/services/teitok/pdtc10/index.php?action=vallex&amp;frame=v-w12199_ZUf1_ZU", "ožírat (v-w12199_ZUf1_ZU)")</f>
        <v>ožírat (v-w12199_ZUf1_ZU)</v>
      </c>
    </row>
    <row r="25437" customFormat="false" ht="12.8" hidden="false" customHeight="false" outlineLevel="0" collapsed="false">
      <c r="B25437" s="0" t="s">
        <v>7</v>
      </c>
    </row>
    <row r="25438" customFormat="false" ht="12.8" hidden="false" customHeight="false" outlineLevel="0" collapsed="false">
      <c r="B25438" s="0" t="s">
        <v>14</v>
      </c>
    </row>
    <row r="25440" customFormat="false" ht="12.8" hidden="false" customHeight="false" outlineLevel="0" collapsed="false">
      <c r="A25440" s="0" t="s">
        <v>9528</v>
      </c>
      <c r="B25440" s="0" t="str">
        <f aca="false">HYPERLINK("https://lindat.mff.cuni.cz/services/teitok/pdtc10/index.php?action=vallex&amp;frame=v-w3341f1", "ožít (v-w3341f1)")</f>
        <v>ožít (v-w3341f1)</v>
      </c>
    </row>
    <row r="25441" customFormat="false" ht="12.8" hidden="false" customHeight="false" outlineLevel="0" collapsed="false">
      <c r="B25441" s="0" t="s">
        <v>7</v>
      </c>
      <c r="C25441" s="0" t="s">
        <v>2074</v>
      </c>
      <c r="D25441" s="0" t="s">
        <v>5047</v>
      </c>
      <c r="E25441" s="0" t="s">
        <v>5047</v>
      </c>
      <c r="F25441" s="0" t="s">
        <v>5047</v>
      </c>
    </row>
    <row r="25443" customFormat="false" ht="12.8" hidden="false" customHeight="false" outlineLevel="0" collapsed="false">
      <c r="A25443" s="0" t="s">
        <v>9529</v>
      </c>
      <c r="B25443" s="0" t="str">
        <f aca="false">HYPERLINK("https://lindat.mff.cuni.cz/services/teitok/pdtc10/index.php?action=vallex&amp;frame=v-w3341hsa_163", "ožít (v-w3341hsa_163)")</f>
        <v>ožít (v-w3341hsa_163)</v>
      </c>
    </row>
    <row r="25444" customFormat="false" ht="12.8" hidden="false" customHeight="false" outlineLevel="0" collapsed="false">
      <c r="B25444" s="0" t="s">
        <v>7</v>
      </c>
    </row>
    <row r="25446" customFormat="false" ht="12.8" hidden="false" customHeight="false" outlineLevel="0" collapsed="false">
      <c r="A25446" s="0" t="s">
        <v>9530</v>
      </c>
      <c r="B25446" s="0" t="str">
        <f aca="false">HYPERLINK("https://lindat.mff.cuni.cz/services/teitok/pdtc10/index.php?action=vallex&amp;frame=v-w3342f1", "ožívat (v-w3342f1)")</f>
        <v>ožívat (v-w3342f1)</v>
      </c>
    </row>
    <row r="25447" customFormat="false" ht="12.8" hidden="false" customHeight="false" outlineLevel="0" collapsed="false">
      <c r="B25447" s="0" t="s">
        <v>7</v>
      </c>
      <c r="C25447" s="0" t="s">
        <v>708</v>
      </c>
    </row>
    <row r="25449" customFormat="false" ht="12.8" hidden="false" customHeight="false" outlineLevel="0" collapsed="false">
      <c r="A25449" s="0" t="s">
        <v>9531</v>
      </c>
      <c r="B25449" s="0" t="str">
        <f aca="false">HYPERLINK("https://lindat.mff.cuni.cz/services/teitok/pdtc10/index.php?action=vallex&amp;frame=v-w3342f2", "ožívat (v-w3342f2)")</f>
        <v>ožívat (v-w3342f2)</v>
      </c>
    </row>
    <row r="25450" customFormat="false" ht="12.8" hidden="false" customHeight="false" outlineLevel="0" collapsed="false">
      <c r="B25450" s="0" t="s">
        <v>7</v>
      </c>
      <c r="D25450" s="0" t="s">
        <v>1319</v>
      </c>
      <c r="E25450" s="0" t="s">
        <v>1319</v>
      </c>
      <c r="F25450" s="0" t="s">
        <v>1319</v>
      </c>
    </row>
    <row r="25452" customFormat="false" ht="12.8" hidden="false" customHeight="false" outlineLevel="0" collapsed="false">
      <c r="A25452" s="0" t="s">
        <v>9532</v>
      </c>
      <c r="B25452" s="0" t="str">
        <f aca="false">HYPERLINK("https://lindat.mff.cuni.cz/services/teitok/pdtc10/index.php?action=vallex&amp;frame=v-w11355f3_ZU", "pachtit se (v-w11355f3_ZU)")</f>
        <v>pachtit se (v-w11355f3_ZU)</v>
      </c>
    </row>
    <row r="25453" customFormat="false" ht="12.8" hidden="false" customHeight="false" outlineLevel="0" collapsed="false">
      <c r="B25453" s="0" t="s">
        <v>7</v>
      </c>
    </row>
    <row r="25454" customFormat="false" ht="12.8" hidden="false" customHeight="false" outlineLevel="0" collapsed="false">
      <c r="B25454" s="0" t="s">
        <v>3928</v>
      </c>
    </row>
    <row r="25456" customFormat="false" ht="12.8" hidden="false" customHeight="false" outlineLevel="0" collapsed="false">
      <c r="A25456" s="0" t="s">
        <v>9532</v>
      </c>
      <c r="B25456" s="0" t="str">
        <f aca="false">HYPERLINK("https://lindat.mff.cuni.cz/services/teitok/pdtc10/index.php?action=vallex&amp;frame=v-w11355f2_ZU", "pachtit se (v-w11355f2_ZU) - substituted with v-w11355f3_ZU")</f>
        <v>pachtit se (v-w11355f2_ZU) - substituted with v-w11355f3_ZU</v>
      </c>
    </row>
    <row r="25457" customFormat="false" ht="12.8" hidden="false" customHeight="false" outlineLevel="0" collapsed="false">
      <c r="B25457" s="0" t="s">
        <v>7</v>
      </c>
    </row>
    <row r="25458" customFormat="false" ht="12.8" hidden="false" customHeight="false" outlineLevel="0" collapsed="false">
      <c r="B25458" s="0" t="s">
        <v>3928</v>
      </c>
    </row>
    <row r="25460" customFormat="false" ht="12.8" hidden="false" customHeight="false" outlineLevel="0" collapsed="false">
      <c r="A25460" s="0" t="s">
        <v>9533</v>
      </c>
      <c r="B25460" s="0" t="str">
        <f aca="false">HYPERLINK("https://lindat.mff.cuni.cz/services/teitok/pdtc10/index.php?action=vallex&amp;frame=v-w11355f1", "pachtit se (v-w11355f1)")</f>
        <v>pachtit se (v-w11355f1)</v>
      </c>
    </row>
    <row r="25461" customFormat="false" ht="12.8" hidden="false" customHeight="false" outlineLevel="0" collapsed="false">
      <c r="B25461" s="0" t="s">
        <v>7</v>
      </c>
      <c r="C25461" s="0" t="s">
        <v>184</v>
      </c>
      <c r="D25461" s="0" t="s">
        <v>3585</v>
      </c>
      <c r="E25461" s="0" t="s">
        <v>3585</v>
      </c>
      <c r="F25461" s="0" t="s">
        <v>3585</v>
      </c>
    </row>
    <row r="25463" customFormat="false" ht="12.8" hidden="false" customHeight="false" outlineLevel="0" collapsed="false">
      <c r="A25463" s="0" t="s">
        <v>9534</v>
      </c>
      <c r="B25463" s="0" t="str">
        <f aca="false">HYPERLINK("https://lindat.mff.cuni.cz/services/teitok/pdtc10/index.php?action=vallex&amp;frame=v-w3348f1", "pacifikovat (v-w3348f1)")</f>
        <v>pacifikovat (v-w3348f1)</v>
      </c>
    </row>
    <row r="25464" customFormat="false" ht="12.8" hidden="false" customHeight="false" outlineLevel="0" collapsed="false">
      <c r="B25464" s="0" t="s">
        <v>7</v>
      </c>
      <c r="D25464" s="0" t="s">
        <v>1167</v>
      </c>
      <c r="E25464" s="0" t="s">
        <v>1167</v>
      </c>
      <c r="F25464" s="0" t="s">
        <v>1167</v>
      </c>
    </row>
    <row r="25465" customFormat="false" ht="12.8" hidden="false" customHeight="false" outlineLevel="0" collapsed="false">
      <c r="B25465" s="0" t="s">
        <v>14</v>
      </c>
      <c r="D25465" s="0" t="s">
        <v>1168</v>
      </c>
      <c r="E25465" s="0" t="s">
        <v>1168</v>
      </c>
      <c r="F25465" s="0" t="s">
        <v>1168</v>
      </c>
    </row>
    <row r="25467" customFormat="false" ht="12.8" hidden="false" customHeight="false" outlineLevel="0" collapsed="false">
      <c r="A25467" s="0" t="s">
        <v>9535</v>
      </c>
      <c r="B25467" s="0" t="str">
        <f aca="false">HYPERLINK("https://lindat.mff.cuni.cz/services/teitok/pdtc10/index.php?action=vallex&amp;frame=v-w3351f3", "padat (v-w3351f3)")</f>
        <v>padat (v-w3351f3)</v>
      </c>
    </row>
    <row r="25468" customFormat="false" ht="12.8" hidden="false" customHeight="false" outlineLevel="0" collapsed="false">
      <c r="B25468" s="0" t="s">
        <v>7</v>
      </c>
      <c r="C25468" s="0" t="s">
        <v>9536</v>
      </c>
      <c r="D25468" s="0" t="s">
        <v>9114</v>
      </c>
      <c r="E25468" s="0" t="s">
        <v>9114</v>
      </c>
      <c r="F25468" s="0" t="s">
        <v>9114</v>
      </c>
    </row>
    <row r="25469" customFormat="false" ht="12.8" hidden="false" customHeight="false" outlineLevel="0" collapsed="false">
      <c r="B25469" s="0" t="s">
        <v>63</v>
      </c>
      <c r="C25469" s="0" t="s">
        <v>9537</v>
      </c>
      <c r="D25469" s="0" t="s">
        <v>9116</v>
      </c>
      <c r="E25469" s="0" t="s">
        <v>9116</v>
      </c>
      <c r="F25469" s="0" t="s">
        <v>9116</v>
      </c>
    </row>
    <row r="25470" customFormat="false" ht="12.8" hidden="false" customHeight="false" outlineLevel="0" collapsed="false">
      <c r="B25470" s="0" t="s">
        <v>35</v>
      </c>
      <c r="C25470" s="0" t="s">
        <v>9538</v>
      </c>
      <c r="D25470" s="0" t="s">
        <v>9118</v>
      </c>
      <c r="E25470" s="0" t="s">
        <v>9118</v>
      </c>
      <c r="F25470" s="0" t="s">
        <v>9118</v>
      </c>
    </row>
    <row r="25472" customFormat="false" ht="12.8" hidden="false" customHeight="false" outlineLevel="0" collapsed="false">
      <c r="A25472" s="0" t="s">
        <v>9539</v>
      </c>
      <c r="B25472" s="0" t="str">
        <f aca="false">HYPERLINK("https://lindat.mff.cuni.cz/services/teitok/pdtc10/index.php?action=vallex&amp;frame=v-w3351f4", "padat (v-w3351f4)")</f>
        <v>padat (v-w3351f4)</v>
      </c>
    </row>
    <row r="25473" customFormat="false" ht="12.8" hidden="false" customHeight="false" outlineLevel="0" collapsed="false">
      <c r="B25473" s="0" t="s">
        <v>7</v>
      </c>
    </row>
    <row r="25474" customFormat="false" ht="12.8" hidden="false" customHeight="false" outlineLevel="0" collapsed="false">
      <c r="B25474" s="0" t="s">
        <v>548</v>
      </c>
    </row>
    <row r="25476" customFormat="false" ht="12.8" hidden="false" customHeight="false" outlineLevel="0" collapsed="false">
      <c r="A25476" s="0" t="s">
        <v>9540</v>
      </c>
      <c r="B25476" s="0" t="str">
        <f aca="false">HYPERLINK("https://lindat.mff.cuni.cz/services/teitok/pdtc10/index.php?action=vallex&amp;frame=v-w3351f5_ZU", "padat (v-w3351f5_ZU)")</f>
        <v>padat (v-w3351f5_ZU)</v>
      </c>
    </row>
    <row r="25477" customFormat="false" ht="12.8" hidden="false" customHeight="false" outlineLevel="0" collapsed="false">
      <c r="B25477" s="0" t="s">
        <v>7</v>
      </c>
      <c r="F25477" s="0" t="s">
        <v>5026</v>
      </c>
    </row>
    <row r="25478" customFormat="false" ht="12.8" hidden="false" customHeight="false" outlineLevel="0" collapsed="false">
      <c r="B25478" s="0" t="s">
        <v>338</v>
      </c>
    </row>
    <row r="25480" customFormat="false" ht="12.8" hidden="false" customHeight="false" outlineLevel="0" collapsed="false">
      <c r="A25480" s="0" t="s">
        <v>9541</v>
      </c>
      <c r="B25480" s="0" t="str">
        <f aca="false">HYPERLINK("https://lindat.mff.cuni.cz/services/teitok/pdtc10/index.php?action=vallex&amp;frame=v-w3351f1", "padat (v-w3351f1)")</f>
        <v>padat (v-w3351f1)</v>
      </c>
    </row>
    <row r="25481" customFormat="false" ht="12.8" hidden="false" customHeight="false" outlineLevel="0" collapsed="false">
      <c r="B25481" s="0" t="s">
        <v>7</v>
      </c>
      <c r="C25481" s="0" t="s">
        <v>9542</v>
      </c>
      <c r="D25481" s="0" t="s">
        <v>2074</v>
      </c>
      <c r="E25481" s="0" t="s">
        <v>2074</v>
      </c>
      <c r="F25481" s="0" t="s">
        <v>9543</v>
      </c>
    </row>
    <row r="25483" customFormat="false" ht="12.8" hidden="false" customHeight="false" outlineLevel="0" collapsed="false">
      <c r="A25483" s="0" t="s">
        <v>9544</v>
      </c>
      <c r="B25483" s="0" t="str">
        <f aca="false">HYPERLINK("https://lindat.mff.cuni.cz/services/teitok/pdtc10/index.php?action=vallex&amp;frame=v-w3351f2", "padat (v-w3351f2)")</f>
        <v>padat (v-w3351f2)</v>
      </c>
    </row>
    <row r="25484" customFormat="false" ht="12.8" hidden="false" customHeight="false" outlineLevel="0" collapsed="false">
      <c r="B25484" s="0" t="s">
        <v>7</v>
      </c>
    </row>
    <row r="25486" customFormat="false" ht="12.8" hidden="false" customHeight="false" outlineLevel="0" collapsed="false">
      <c r="A25486" s="0" t="s">
        <v>9545</v>
      </c>
      <c r="B25486" s="0" t="str">
        <f aca="false">HYPERLINK("https://lindat.mff.cuni.cz/services/teitok/pdtc10/index.php?action=vallex&amp;frame=v-w3351f6_ZU", "padat (v-w3351f6_ZU)")</f>
        <v>padat (v-w3351f6_ZU)</v>
      </c>
    </row>
    <row r="25487" customFormat="false" ht="12.8" hidden="false" customHeight="false" outlineLevel="0" collapsed="false">
      <c r="B25487" s="0" t="s">
        <v>9546</v>
      </c>
      <c r="C25487" s="0" t="s">
        <v>9547</v>
      </c>
    </row>
    <row r="25489" customFormat="false" ht="12.8" hidden="false" customHeight="false" outlineLevel="0" collapsed="false">
      <c r="A25489" s="0" t="s">
        <v>9548</v>
      </c>
      <c r="B25489" s="0" t="str">
        <f aca="false">HYPERLINK("https://lindat.mff.cuni.cz/services/teitok/pdtc10/index.php?action=vallex&amp;frame=v-w3351f7_ZU", "padat (v-w3351f7_ZU)")</f>
        <v>padat (v-w3351f7_ZU)</v>
      </c>
    </row>
    <row r="25490" customFormat="false" ht="12.8" hidden="false" customHeight="false" outlineLevel="0" collapsed="false">
      <c r="B25490" s="0" t="s">
        <v>7</v>
      </c>
    </row>
    <row r="25492" customFormat="false" ht="12.8" hidden="false" customHeight="false" outlineLevel="0" collapsed="false">
      <c r="A25492" s="0" t="s">
        <v>9549</v>
      </c>
      <c r="B25492" s="0" t="str">
        <f aca="false">HYPERLINK("https://lindat.mff.cuni.cz/services/teitok/pdtc10/index.php?action=vallex&amp;frame=v-w3351f8_ZU", "padat (v-w3351f8_ZU)")</f>
        <v>padat (v-w3351f8_ZU)</v>
      </c>
    </row>
    <row r="25493" customFormat="false" ht="12.8" hidden="false" customHeight="false" outlineLevel="0" collapsed="false">
      <c r="B25493" s="0" t="s">
        <v>7</v>
      </c>
    </row>
    <row r="25495" customFormat="false" ht="12.8" hidden="false" customHeight="false" outlineLevel="0" collapsed="false">
      <c r="A25495" s="0" t="s">
        <v>9550</v>
      </c>
      <c r="B25495" s="0" t="str">
        <f aca="false">HYPERLINK("https://lindat.mff.cuni.cz/services/teitok/pdtc10/index.php?action=vallex&amp;frame=v-w3356f20", "padnout (v-w3356f20)")</f>
        <v>padnout (v-w3356f20)</v>
      </c>
    </row>
    <row r="25496" customFormat="false" ht="12.8" hidden="false" customHeight="false" outlineLevel="0" collapsed="false">
      <c r="B25496" s="0" t="s">
        <v>7</v>
      </c>
      <c r="C25496" s="0" t="s">
        <v>4630</v>
      </c>
      <c r="D25496" s="0" t="s">
        <v>9114</v>
      </c>
      <c r="E25496" s="0" t="s">
        <v>9114</v>
      </c>
      <c r="F25496" s="0" t="s">
        <v>9114</v>
      </c>
    </row>
    <row r="25497" customFormat="false" ht="12.8" hidden="false" customHeight="false" outlineLevel="0" collapsed="false">
      <c r="B25497" s="0" t="s">
        <v>63</v>
      </c>
      <c r="C25497" s="0" t="s">
        <v>4631</v>
      </c>
      <c r="D25497" s="0" t="s">
        <v>9116</v>
      </c>
      <c r="E25497" s="0" t="s">
        <v>9116</v>
      </c>
      <c r="F25497" s="0" t="s">
        <v>9116</v>
      </c>
    </row>
    <row r="25498" customFormat="false" ht="12.8" hidden="false" customHeight="false" outlineLevel="0" collapsed="false">
      <c r="B25498" s="0" t="s">
        <v>35</v>
      </c>
      <c r="C25498" s="0" t="s">
        <v>4632</v>
      </c>
      <c r="D25498" s="0" t="s">
        <v>9118</v>
      </c>
      <c r="E25498" s="0" t="s">
        <v>9118</v>
      </c>
      <c r="F25498" s="0" t="s">
        <v>9118</v>
      </c>
    </row>
    <row r="25500" customFormat="false" ht="12.8" hidden="false" customHeight="false" outlineLevel="0" collapsed="false">
      <c r="A25500" s="0" t="s">
        <v>9551</v>
      </c>
      <c r="B25500" s="0" t="str">
        <f aca="false">HYPERLINK("https://lindat.mff.cuni.cz/services/teitok/pdtc10/index.php?action=vallex&amp;frame=v-w3356f16", "padnout (v-w3356f16)")</f>
        <v>padnout (v-w3356f16)</v>
      </c>
    </row>
    <row r="25501" customFormat="false" ht="12.8" hidden="false" customHeight="false" outlineLevel="0" collapsed="false">
      <c r="B25501" s="0" t="s">
        <v>6802</v>
      </c>
    </row>
    <row r="25502" customFormat="false" ht="12.8" hidden="false" customHeight="false" outlineLevel="0" collapsed="false">
      <c r="B25502" s="0" t="s">
        <v>142</v>
      </c>
    </row>
    <row r="25504" customFormat="false" ht="12.8" hidden="false" customHeight="false" outlineLevel="0" collapsed="false">
      <c r="A25504" s="0" t="s">
        <v>9552</v>
      </c>
      <c r="B25504" s="0" t="str">
        <f aca="false">HYPERLINK("https://lindat.mff.cuni.cz/services/teitok/pdtc10/index.php?action=vallex&amp;frame=v-w3356f7", "padnout (v-w3356f7)")</f>
        <v>padnout (v-w3356f7)</v>
      </c>
    </row>
    <row r="25505" customFormat="false" ht="12.8" hidden="false" customHeight="false" outlineLevel="0" collapsed="false">
      <c r="B25505" s="0" t="s">
        <v>7</v>
      </c>
      <c r="C25505" s="0" t="s">
        <v>7802</v>
      </c>
      <c r="D25505" s="0" t="s">
        <v>2062</v>
      </c>
      <c r="E25505" s="0" t="s">
        <v>2062</v>
      </c>
      <c r="F25505" s="0" t="s">
        <v>2062</v>
      </c>
    </row>
    <row r="25506" customFormat="false" ht="12.8" hidden="false" customHeight="false" outlineLevel="0" collapsed="false">
      <c r="B25506" s="0" t="s">
        <v>41</v>
      </c>
      <c r="C25506" s="0" t="s">
        <v>8881</v>
      </c>
      <c r="D25506" s="0" t="s">
        <v>2065</v>
      </c>
      <c r="E25506" s="0" t="s">
        <v>2065</v>
      </c>
      <c r="F25506" s="0" t="s">
        <v>2065</v>
      </c>
    </row>
    <row r="25508" customFormat="false" ht="12.8" hidden="false" customHeight="false" outlineLevel="0" collapsed="false">
      <c r="A25508" s="0" t="s">
        <v>9553</v>
      </c>
      <c r="B25508" s="0" t="str">
        <f aca="false">HYPERLINK("https://lindat.mff.cuni.cz/services/teitok/pdtc10/index.php?action=vallex&amp;frame=v-w3356f10", "padnout (v-w3356f10)")</f>
        <v>padnout (v-w3356f10)</v>
      </c>
    </row>
    <row r="25509" customFormat="false" ht="12.8" hidden="false" customHeight="false" outlineLevel="0" collapsed="false">
      <c r="B25509" s="0" t="s">
        <v>7</v>
      </c>
    </row>
    <row r="25510" customFormat="false" ht="12.8" hidden="false" customHeight="false" outlineLevel="0" collapsed="false">
      <c r="B25510" s="0" t="s">
        <v>41</v>
      </c>
    </row>
    <row r="25512" customFormat="false" ht="12.8" hidden="false" customHeight="false" outlineLevel="0" collapsed="false">
      <c r="A25512" s="0" t="s">
        <v>9554</v>
      </c>
      <c r="B25512" s="0" t="str">
        <f aca="false">HYPERLINK("https://lindat.mff.cuni.cz/services/teitok/pdtc10/index.php?action=vallex&amp;frame=v-w3356f18", "padnout (v-w3356f18)")</f>
        <v>padnout (v-w3356f18)</v>
      </c>
    </row>
    <row r="25513" customFormat="false" ht="12.8" hidden="false" customHeight="false" outlineLevel="0" collapsed="false">
      <c r="B25513" s="0" t="s">
        <v>7</v>
      </c>
    </row>
    <row r="25514" customFormat="false" ht="12.8" hidden="false" customHeight="false" outlineLevel="0" collapsed="false">
      <c r="B25514" s="0" t="s">
        <v>41</v>
      </c>
    </row>
    <row r="25516" customFormat="false" ht="12.8" hidden="false" customHeight="false" outlineLevel="0" collapsed="false">
      <c r="A25516" s="0" t="s">
        <v>9555</v>
      </c>
      <c r="B25516" s="0" t="str">
        <f aca="false">HYPERLINK("https://lindat.mff.cuni.cz/services/teitok/pdtc10/index.php?action=vallex&amp;frame=v-w3356f17", "padnout (v-w3356f17)")</f>
        <v>padnout (v-w3356f17)</v>
      </c>
    </row>
    <row r="25517" customFormat="false" ht="12.8" hidden="false" customHeight="false" outlineLevel="0" collapsed="false">
      <c r="B25517" s="0" t="s">
        <v>7</v>
      </c>
    </row>
    <row r="25518" customFormat="false" ht="12.8" hidden="false" customHeight="false" outlineLevel="0" collapsed="false">
      <c r="B25518" s="0" t="s">
        <v>41</v>
      </c>
    </row>
    <row r="25520" customFormat="false" ht="12.8" hidden="false" customHeight="false" outlineLevel="0" collapsed="false">
      <c r="A25520" s="0" t="s">
        <v>9556</v>
      </c>
      <c r="B25520" s="0" t="str">
        <f aca="false">HYPERLINK("https://lindat.mff.cuni.cz/services/teitok/pdtc10/index.php?action=vallex&amp;frame=v-w3356f8", "padnout (v-w3356f8)")</f>
        <v>padnout (v-w3356f8)</v>
      </c>
    </row>
    <row r="25521" customFormat="false" ht="12.8" hidden="false" customHeight="false" outlineLevel="0" collapsed="false">
      <c r="B25521" s="0" t="s">
        <v>7</v>
      </c>
      <c r="C25521" s="0" t="s">
        <v>723</v>
      </c>
    </row>
    <row r="25522" customFormat="false" ht="12.8" hidden="false" customHeight="false" outlineLevel="0" collapsed="false">
      <c r="B25522" s="0" t="s">
        <v>279</v>
      </c>
    </row>
    <row r="25524" customFormat="false" ht="12.8" hidden="false" customHeight="false" outlineLevel="0" collapsed="false">
      <c r="A25524" s="0" t="s">
        <v>9557</v>
      </c>
      <c r="B25524" s="0" t="str">
        <f aca="false">HYPERLINK("https://lindat.mff.cuni.cz/services/teitok/pdtc10/index.php?action=vallex&amp;frame=v-w3356f2", "padnout (v-w3356f2)")</f>
        <v>padnout (v-w3356f2)</v>
      </c>
    </row>
    <row r="25525" customFormat="false" ht="12.8" hidden="false" customHeight="false" outlineLevel="0" collapsed="false">
      <c r="B25525" s="0" t="s">
        <v>7</v>
      </c>
      <c r="C25525" s="0" t="s">
        <v>7802</v>
      </c>
    </row>
    <row r="25527" customFormat="false" ht="12.8" hidden="false" customHeight="false" outlineLevel="0" collapsed="false">
      <c r="A25527" s="0" t="s">
        <v>9558</v>
      </c>
      <c r="B25527" s="0" t="str">
        <f aca="false">HYPERLINK("https://lindat.mff.cuni.cz/services/teitok/pdtc10/index.php?action=vallex&amp;frame=v-w3356f3", "padnout (v-w3356f3)")</f>
        <v>padnout (v-w3356f3)</v>
      </c>
    </row>
    <row r="25528" customFormat="false" ht="12.8" hidden="false" customHeight="false" outlineLevel="0" collapsed="false">
      <c r="B25528" s="0" t="s">
        <v>7</v>
      </c>
      <c r="C25528" s="0" t="s">
        <v>9559</v>
      </c>
      <c r="D25528" s="0" t="s">
        <v>9560</v>
      </c>
      <c r="E25528" s="0" t="s">
        <v>9561</v>
      </c>
      <c r="F25528" s="0" t="s">
        <v>9561</v>
      </c>
    </row>
    <row r="25530" customFormat="false" ht="12.8" hidden="false" customHeight="false" outlineLevel="0" collapsed="false">
      <c r="A25530" s="0" t="s">
        <v>9562</v>
      </c>
      <c r="B25530" s="0" t="str">
        <f aca="false">HYPERLINK("https://lindat.mff.cuni.cz/services/teitok/pdtc10/index.php?action=vallex&amp;frame=v-w3356f4", "padnout (v-w3356f4)")</f>
        <v>padnout (v-w3356f4)</v>
      </c>
    </row>
    <row r="25531" customFormat="false" ht="12.8" hidden="false" customHeight="false" outlineLevel="0" collapsed="false">
      <c r="B25531" s="0" t="s">
        <v>7</v>
      </c>
      <c r="C25531" s="0" t="s">
        <v>708</v>
      </c>
      <c r="D25531" s="0" t="s">
        <v>1902</v>
      </c>
      <c r="E25531" s="0" t="s">
        <v>1902</v>
      </c>
      <c r="F25531" s="0" t="s">
        <v>1902</v>
      </c>
    </row>
    <row r="25533" customFormat="false" ht="12.8" hidden="false" customHeight="false" outlineLevel="0" collapsed="false">
      <c r="A25533" s="0" t="s">
        <v>9563</v>
      </c>
      <c r="B25533" s="0" t="str">
        <f aca="false">HYPERLINK("https://lindat.mff.cuni.cz/services/teitok/pdtc10/index.php?action=vallex&amp;frame=v-w3356f5", "padnout (v-w3356f5)")</f>
        <v>padnout (v-w3356f5)</v>
      </c>
    </row>
    <row r="25534" customFormat="false" ht="12.8" hidden="false" customHeight="false" outlineLevel="0" collapsed="false">
      <c r="B25534" s="0" t="s">
        <v>7</v>
      </c>
    </row>
    <row r="25536" customFormat="false" ht="12.8" hidden="false" customHeight="false" outlineLevel="0" collapsed="false">
      <c r="A25536" s="0" t="s">
        <v>9564</v>
      </c>
      <c r="B25536" s="0" t="str">
        <f aca="false">HYPERLINK("https://lindat.mff.cuni.cz/services/teitok/pdtc10/index.php?action=vallex&amp;frame=v-w3356f6", "padnout (v-w3356f6)")</f>
        <v>padnout (v-w3356f6)</v>
      </c>
    </row>
    <row r="25537" customFormat="false" ht="12.8" hidden="false" customHeight="false" outlineLevel="0" collapsed="false">
      <c r="B25537" s="0" t="s">
        <v>7</v>
      </c>
      <c r="F25537" s="0" t="s">
        <v>5026</v>
      </c>
    </row>
    <row r="25539" customFormat="false" ht="12.8" hidden="false" customHeight="false" outlineLevel="0" collapsed="false">
      <c r="A25539" s="0" t="s">
        <v>9565</v>
      </c>
      <c r="B25539" s="0" t="str">
        <f aca="false">HYPERLINK("https://lindat.mff.cuni.cz/services/teitok/pdtc10/index.php?action=vallex&amp;frame=v-w3356f9", "padnout (v-w3356f9)")</f>
        <v>padnout (v-w3356f9)</v>
      </c>
    </row>
    <row r="25540" customFormat="false" ht="12.8" hidden="false" customHeight="false" outlineLevel="0" collapsed="false">
      <c r="B25540" s="0" t="s">
        <v>7</v>
      </c>
      <c r="C25540" s="0" t="s">
        <v>272</v>
      </c>
      <c r="D25540" s="0" t="s">
        <v>8602</v>
      </c>
      <c r="E25540" s="0" t="s">
        <v>8602</v>
      </c>
      <c r="F25540" s="0" t="s">
        <v>8602</v>
      </c>
    </row>
    <row r="25542" customFormat="false" ht="12.8" hidden="false" customHeight="false" outlineLevel="0" collapsed="false">
      <c r="A25542" s="0" t="s">
        <v>9566</v>
      </c>
      <c r="B25542" s="0" t="str">
        <f aca="false">HYPERLINK("https://lindat.mff.cuni.cz/services/teitok/pdtc10/index.php?action=vallex&amp;frame=v-w3356f14", "padnout (v-w3356f14)")</f>
        <v>padnout (v-w3356f14)</v>
      </c>
    </row>
    <row r="25543" customFormat="false" ht="12.8" hidden="false" customHeight="false" outlineLevel="0" collapsed="false">
      <c r="B25543" s="0" t="s">
        <v>7</v>
      </c>
    </row>
    <row r="25545" customFormat="false" ht="12.8" hidden="false" customHeight="false" outlineLevel="0" collapsed="false">
      <c r="A25545" s="0" t="s">
        <v>9567</v>
      </c>
      <c r="B25545" s="0" t="str">
        <f aca="false">HYPERLINK("https://lindat.mff.cuni.cz/services/teitok/pdtc10/index.php?action=vallex&amp;frame=v-w3356f1", "padnout (v-w3356f1)")</f>
        <v>padnout (v-w3356f1)</v>
      </c>
    </row>
    <row r="25546" customFormat="false" ht="12.8" hidden="false" customHeight="false" outlineLevel="0" collapsed="false">
      <c r="B25546" s="0" t="s">
        <v>9568</v>
      </c>
    </row>
    <row r="25548" customFormat="false" ht="12.8" hidden="false" customHeight="false" outlineLevel="0" collapsed="false">
      <c r="A25548" s="0" t="s">
        <v>9569</v>
      </c>
      <c r="B25548" s="0" t="str">
        <f aca="false">HYPERLINK("https://lindat.mff.cuni.cz/services/teitok/pdtc10/index.php?action=vallex&amp;frame=v-w3356f12", "padnout (v-w3356f12)")</f>
        <v>padnout (v-w3356f12)</v>
      </c>
    </row>
    <row r="25549" customFormat="false" ht="12.8" hidden="false" customHeight="false" outlineLevel="0" collapsed="false">
      <c r="B25549" s="0" t="s">
        <v>641</v>
      </c>
    </row>
    <row r="25550" customFormat="false" ht="12.8" hidden="false" customHeight="false" outlineLevel="0" collapsed="false">
      <c r="B25550" s="0" t="s">
        <v>9570</v>
      </c>
    </row>
    <row r="25551" customFormat="false" ht="12.8" hidden="false" customHeight="false" outlineLevel="0" collapsed="false">
      <c r="B25551" s="0" t="s">
        <v>142</v>
      </c>
    </row>
    <row r="25553" customFormat="false" ht="12.8" hidden="false" customHeight="false" outlineLevel="0" collapsed="false">
      <c r="A25553" s="0" t="s">
        <v>9571</v>
      </c>
      <c r="B25553" s="0" t="str">
        <f aca="false">HYPERLINK("https://lindat.mff.cuni.cz/services/teitok/pdtc10/index.php?action=vallex&amp;frame=v-w3356f19", "padnout (v-w3356f19)")</f>
        <v>padnout (v-w3356f19)</v>
      </c>
    </row>
    <row r="25554" customFormat="false" ht="12.8" hidden="false" customHeight="false" outlineLevel="0" collapsed="false">
      <c r="B25554" s="0" t="s">
        <v>7</v>
      </c>
    </row>
    <row r="25555" customFormat="false" ht="12.8" hidden="false" customHeight="false" outlineLevel="0" collapsed="false">
      <c r="B25555" s="0" t="s">
        <v>4051</v>
      </c>
    </row>
    <row r="25556" customFormat="false" ht="12.8" hidden="false" customHeight="false" outlineLevel="0" collapsed="false">
      <c r="B25556" s="0" t="s">
        <v>142</v>
      </c>
    </row>
    <row r="25558" customFormat="false" ht="12.8" hidden="false" customHeight="false" outlineLevel="0" collapsed="false">
      <c r="A25558" s="0" t="s">
        <v>9572</v>
      </c>
      <c r="B25558" s="0" t="str">
        <f aca="false">HYPERLINK("https://lindat.mff.cuni.cz/services/teitok/pdtc10/index.php?action=vallex&amp;frame=v-w3356f15", "padnout (v-w3356f15)")</f>
        <v>padnout (v-w3356f15)</v>
      </c>
    </row>
    <row r="25559" customFormat="false" ht="12.8" hidden="false" customHeight="false" outlineLevel="0" collapsed="false">
      <c r="B25559" s="0" t="s">
        <v>7</v>
      </c>
    </row>
    <row r="25560" customFormat="false" ht="12.8" hidden="false" customHeight="false" outlineLevel="0" collapsed="false">
      <c r="B25560" s="0" t="s">
        <v>9573</v>
      </c>
    </row>
    <row r="25561" customFormat="false" ht="12.8" hidden="false" customHeight="false" outlineLevel="0" collapsed="false">
      <c r="B25561" s="0" t="s">
        <v>9574</v>
      </c>
    </row>
    <row r="25563" customFormat="false" ht="12.8" hidden="false" customHeight="false" outlineLevel="0" collapsed="false">
      <c r="A25563" s="0" t="s">
        <v>9575</v>
      </c>
      <c r="B25563" s="0" t="str">
        <f aca="false">HYPERLINK("https://lindat.mff.cuni.cz/services/teitok/pdtc10/index.php?action=vallex&amp;frame=v-w3356f11", "padnout (v-w3356f11)")</f>
        <v>padnout (v-w3356f11)</v>
      </c>
    </row>
    <row r="25564" customFormat="false" ht="12.8" hidden="false" customHeight="false" outlineLevel="0" collapsed="false">
      <c r="B25564" s="0" t="s">
        <v>7</v>
      </c>
      <c r="C25564" s="0" t="s">
        <v>200</v>
      </c>
      <c r="D25564" s="0" t="s">
        <v>191</v>
      </c>
      <c r="E25564" s="0" t="s">
        <v>191</v>
      </c>
      <c r="F25564" s="0" t="s">
        <v>191</v>
      </c>
    </row>
    <row r="25565" customFormat="false" ht="12.8" hidden="false" customHeight="false" outlineLevel="0" collapsed="false">
      <c r="B25565" s="0" t="s">
        <v>9576</v>
      </c>
      <c r="C25565" s="0" t="s">
        <v>9577</v>
      </c>
    </row>
    <row r="25566" customFormat="false" ht="12.8" hidden="false" customHeight="false" outlineLevel="0" collapsed="false">
      <c r="B25566" s="0" t="s">
        <v>142</v>
      </c>
      <c r="C25566" s="0" t="s">
        <v>9578</v>
      </c>
      <c r="D25566" s="0" t="s">
        <v>155</v>
      </c>
      <c r="E25566" s="0" t="s">
        <v>155</v>
      </c>
      <c r="F25566" s="0" t="s">
        <v>155</v>
      </c>
    </row>
    <row r="25568" customFormat="false" ht="12.8" hidden="false" customHeight="false" outlineLevel="0" collapsed="false">
      <c r="A25568" s="0" t="s">
        <v>9579</v>
      </c>
      <c r="B25568" s="0" t="str">
        <f aca="false">HYPERLINK("https://lindat.mff.cuni.cz/services/teitok/pdtc10/index.php?action=vallex&amp;frame=v-w3356f13", "padnout (v-w3356f13)")</f>
        <v>padnout (v-w3356f13)</v>
      </c>
    </row>
    <row r="25569" customFormat="false" ht="12.8" hidden="false" customHeight="false" outlineLevel="0" collapsed="false">
      <c r="B25569" s="0" t="s">
        <v>9580</v>
      </c>
    </row>
    <row r="25571" customFormat="false" ht="12.8" hidden="false" customHeight="false" outlineLevel="0" collapsed="false">
      <c r="A25571" s="0" t="s">
        <v>9581</v>
      </c>
      <c r="B25571" s="0" t="str">
        <f aca="false">HYPERLINK("https://lindat.mff.cuni.cz/services/teitok/pdtc10/index.php?action=vallex&amp;frame=v-w3356f21_ZU", "padnout (v-w3356f21_ZU)")</f>
        <v>padnout (v-w3356f21_ZU)</v>
      </c>
    </row>
    <row r="25572" customFormat="false" ht="12.8" hidden="false" customHeight="false" outlineLevel="0" collapsed="false">
      <c r="B25572" s="0" t="s">
        <v>7</v>
      </c>
    </row>
    <row r="25573" customFormat="false" ht="12.8" hidden="false" customHeight="false" outlineLevel="0" collapsed="false">
      <c r="B25573" s="0" t="s">
        <v>9582</v>
      </c>
    </row>
    <row r="25574" customFormat="false" ht="12.8" hidden="false" customHeight="false" outlineLevel="0" collapsed="false">
      <c r="B25574" s="0" t="s">
        <v>142</v>
      </c>
    </row>
    <row r="25576" customFormat="false" ht="12.8" hidden="false" customHeight="false" outlineLevel="0" collapsed="false">
      <c r="A25576" s="0" t="s">
        <v>9581</v>
      </c>
      <c r="B25576" s="0" t="str">
        <f aca="false">HYPERLINK("https://lindat.mff.cuni.cz/services/teitok/pdtc10/index.php?action=vallex&amp;frame=v-w3356hsa_1100", "padnout (v-w3356hsa_1100) - substituted with v-w3356f21_ZU")</f>
        <v>padnout (v-w3356hsa_1100) - substituted with v-w3356f21_ZU</v>
      </c>
    </row>
    <row r="25577" customFormat="false" ht="12.8" hidden="false" customHeight="false" outlineLevel="0" collapsed="false">
      <c r="B25577" s="0" t="s">
        <v>7</v>
      </c>
    </row>
    <row r="25578" customFormat="false" ht="12.8" hidden="false" customHeight="false" outlineLevel="0" collapsed="false">
      <c r="B25578" s="0" t="s">
        <v>9582</v>
      </c>
    </row>
    <row r="25579" customFormat="false" ht="12.8" hidden="false" customHeight="false" outlineLevel="0" collapsed="false">
      <c r="B25579" s="0" t="s">
        <v>142</v>
      </c>
    </row>
    <row r="25581" customFormat="false" ht="12.8" hidden="false" customHeight="false" outlineLevel="0" collapsed="false">
      <c r="A25581" s="0" t="s">
        <v>9583</v>
      </c>
      <c r="B25581" s="0" t="str">
        <f aca="false">HYPERLINK("https://lindat.mff.cuni.cz/services/teitok/pdtc10/index.php?action=vallex&amp;frame=v-w3356f22_ZU", "padnout (v-w3356f22_ZU)")</f>
        <v>padnout (v-w3356f22_ZU)</v>
      </c>
    </row>
    <row r="25582" customFormat="false" ht="12.8" hidden="false" customHeight="false" outlineLevel="0" collapsed="false">
      <c r="B25582" s="0" t="s">
        <v>7</v>
      </c>
    </row>
    <row r="25584" customFormat="false" ht="12.8" hidden="false" customHeight="false" outlineLevel="0" collapsed="false">
      <c r="A25584" s="0" t="s">
        <v>9584</v>
      </c>
      <c r="B25584" s="0" t="str">
        <f aca="false">HYPERLINK("https://lindat.mff.cuni.cz/services/teitok/pdtc10/index.php?action=vallex&amp;frame=v-whsa_1630f1_ZU", "padnout si (v-whsa_1630f1_ZU)")</f>
        <v>padnout si (v-whsa_1630f1_ZU)</v>
      </c>
    </row>
    <row r="25585" customFormat="false" ht="12.8" hidden="false" customHeight="false" outlineLevel="0" collapsed="false">
      <c r="B25585" s="0" t="s">
        <v>7</v>
      </c>
    </row>
    <row r="25586" customFormat="false" ht="12.8" hidden="false" customHeight="false" outlineLevel="0" collapsed="false">
      <c r="B25586" s="0" t="s">
        <v>9570</v>
      </c>
    </row>
    <row r="25587" customFormat="false" ht="12.8" hidden="false" customHeight="false" outlineLevel="0" collapsed="false">
      <c r="B25587" s="0" t="s">
        <v>548</v>
      </c>
    </row>
    <row r="25589" customFormat="false" ht="12.8" hidden="false" customHeight="false" outlineLevel="0" collapsed="false">
      <c r="A25589" s="0" t="s">
        <v>9584</v>
      </c>
      <c r="B25589" s="0" t="str">
        <f aca="false">HYPERLINK("https://lindat.mff.cuni.cz/services/teitok/pdtc10/index.php?action=vallex&amp;frame=v-whsa_1630hsa_1631", "padnout si (v-whsa_1630hsa_1631) - substituted with v-whsa_1630f1_ZU")</f>
        <v>padnout si (v-whsa_1630hsa_1631) - substituted with v-whsa_1630f1_ZU</v>
      </c>
    </row>
    <row r="25590" customFormat="false" ht="12.8" hidden="false" customHeight="false" outlineLevel="0" collapsed="false">
      <c r="B25590" s="0" t="s">
        <v>7</v>
      </c>
    </row>
    <row r="25591" customFormat="false" ht="12.8" hidden="false" customHeight="false" outlineLevel="0" collapsed="false">
      <c r="B25591" s="0" t="s">
        <v>9570</v>
      </c>
    </row>
    <row r="25592" customFormat="false" ht="12.8" hidden="false" customHeight="false" outlineLevel="0" collapsed="false">
      <c r="B25592" s="0" t="s">
        <v>548</v>
      </c>
    </row>
    <row r="25594" customFormat="false" ht="12.8" hidden="false" customHeight="false" outlineLevel="0" collapsed="false">
      <c r="A25594" s="0" t="s">
        <v>9585</v>
      </c>
      <c r="B25594" s="0" t="str">
        <f aca="false">HYPERLINK("https://lindat.mff.cuni.cz/services/teitok/pdtc10/index.php?action=vallex&amp;frame=v-w3353f1", "padělat (v-w3353f1)")</f>
        <v>padělat (v-w3353f1)</v>
      </c>
    </row>
    <row r="25595" customFormat="false" ht="12.8" hidden="false" customHeight="false" outlineLevel="0" collapsed="false">
      <c r="B25595" s="0" t="s">
        <v>7</v>
      </c>
      <c r="D25595" s="0" t="s">
        <v>108</v>
      </c>
      <c r="E25595" s="0" t="s">
        <v>108</v>
      </c>
      <c r="F25595" s="0" t="s">
        <v>108</v>
      </c>
    </row>
    <row r="25596" customFormat="false" ht="12.8" hidden="false" customHeight="false" outlineLevel="0" collapsed="false">
      <c r="B25596" s="0" t="s">
        <v>14</v>
      </c>
      <c r="D25596" s="0" t="s">
        <v>1264</v>
      </c>
      <c r="E25596" s="0" t="s">
        <v>1264</v>
      </c>
      <c r="F25596" s="0" t="s">
        <v>1264</v>
      </c>
    </row>
    <row r="25598" customFormat="false" ht="12.8" hidden="false" customHeight="false" outlineLevel="0" collapsed="false">
      <c r="A25598" s="0" t="s">
        <v>9586</v>
      </c>
      <c r="B25598" s="0" t="str">
        <f aca="false">HYPERLINK("https://lindat.mff.cuni.cz/services/teitok/pdtc10/index.php?action=vallex&amp;frame=v-whsa_1518hsa_1519", "pakovat (v-whsa_1518hsa_1519)")</f>
        <v>pakovat (v-whsa_1518hsa_1519)</v>
      </c>
    </row>
    <row r="25599" customFormat="false" ht="12.8" hidden="false" customHeight="false" outlineLevel="0" collapsed="false">
      <c r="B25599" s="0" t="s">
        <v>7</v>
      </c>
    </row>
    <row r="25600" customFormat="false" ht="12.8" hidden="false" customHeight="false" outlineLevel="0" collapsed="false">
      <c r="B25600" s="0" t="s">
        <v>14</v>
      </c>
    </row>
    <row r="25602" customFormat="false" ht="12.8" hidden="false" customHeight="false" outlineLevel="0" collapsed="false">
      <c r="A25602" s="0" t="s">
        <v>9587</v>
      </c>
      <c r="B25602" s="0" t="str">
        <f aca="false">HYPERLINK("https://lindat.mff.cuni.cz/services/teitok/pdtc10/index.php?action=vallex&amp;frame=v-whsa_1514hsa_1515", "pakovat se (v-whsa_1514hsa_1515)")</f>
        <v>pakovat se (v-whsa_1514hsa_1515)</v>
      </c>
    </row>
    <row r="25603" customFormat="false" ht="12.8" hidden="false" customHeight="false" outlineLevel="0" collapsed="false">
      <c r="B25603" s="0" t="s">
        <v>7</v>
      </c>
    </row>
    <row r="25605" customFormat="false" ht="12.8" hidden="false" customHeight="false" outlineLevel="0" collapsed="false">
      <c r="A25605" s="0" t="s">
        <v>9588</v>
      </c>
      <c r="B25605" s="0" t="str">
        <f aca="false">HYPERLINK("https://lindat.mff.cuni.cz/services/teitok/pdtc10/index.php?action=vallex&amp;frame=v-w12079_ZUf1_ZU", "paličkovat (v-w12079_ZUf1_ZU)")</f>
        <v>paličkovat (v-w12079_ZUf1_ZU)</v>
      </c>
    </row>
    <row r="25606" customFormat="false" ht="12.8" hidden="false" customHeight="false" outlineLevel="0" collapsed="false">
      <c r="B25606" s="0" t="s">
        <v>7</v>
      </c>
    </row>
    <row r="25607" customFormat="false" ht="12.8" hidden="false" customHeight="false" outlineLevel="0" collapsed="false">
      <c r="B25607" s="0" t="s">
        <v>14</v>
      </c>
    </row>
    <row r="25608" customFormat="false" ht="12.8" hidden="false" customHeight="false" outlineLevel="0" collapsed="false">
      <c r="B25608" s="0" t="s">
        <v>35</v>
      </c>
    </row>
    <row r="25610" customFormat="false" ht="12.8" hidden="false" customHeight="false" outlineLevel="0" collapsed="false">
      <c r="A25610" s="0" t="s">
        <v>9589</v>
      </c>
      <c r="B25610" s="0" t="str">
        <f aca="false">HYPERLINK("https://lindat.mff.cuni.cz/services/teitok/pdtc10/index.php?action=vallex&amp;frame=v-w3367f5_ZU", "pamatovat (v-w3367f5_ZU)")</f>
        <v>pamatovat (v-w3367f5_ZU)</v>
      </c>
    </row>
    <row r="25611" customFormat="false" ht="12.8" hidden="false" customHeight="false" outlineLevel="0" collapsed="false">
      <c r="B25611" s="0" t="s">
        <v>7</v>
      </c>
    </row>
    <row r="25612" customFormat="false" ht="12.8" hidden="false" customHeight="false" outlineLevel="0" collapsed="false">
      <c r="B25612" s="0" t="s">
        <v>9590</v>
      </c>
    </row>
    <row r="25614" customFormat="false" ht="12.8" hidden="false" customHeight="false" outlineLevel="0" collapsed="false">
      <c r="A25614" s="0" t="s">
        <v>9589</v>
      </c>
      <c r="B25614" s="0" t="str">
        <f aca="false">HYPERLINK("https://lindat.mff.cuni.cz/services/teitok/pdtc10/index.php?action=vallex&amp;frame=v-w3367f1", "pamatovat (v-w3367f1) - substituted with v-w3367f5_ZU")</f>
        <v>pamatovat (v-w3367f1) - substituted with v-w3367f5_ZU</v>
      </c>
    </row>
    <row r="25615" customFormat="false" ht="12.8" hidden="false" customHeight="false" outlineLevel="0" collapsed="false">
      <c r="B25615" s="0" t="s">
        <v>7</v>
      </c>
      <c r="C25615" s="0" t="s">
        <v>2170</v>
      </c>
    </row>
    <row r="25616" customFormat="false" ht="12.8" hidden="false" customHeight="false" outlineLevel="0" collapsed="false">
      <c r="B25616" s="0" t="s">
        <v>9590</v>
      </c>
      <c r="C25616" s="0" t="s">
        <v>25</v>
      </c>
    </row>
    <row r="25618" customFormat="false" ht="12.8" hidden="false" customHeight="false" outlineLevel="0" collapsed="false">
      <c r="A25618" s="0" t="s">
        <v>9589</v>
      </c>
      <c r="B25618" s="0" t="str">
        <f aca="false">HYPERLINK("https://lindat.mff.cuni.cz/services/teitok/pdtc10/index.php?action=vallex&amp;frame=v-w3367f2_ZU", "pamatovat (v-w3367f2_ZU) - substituted with v-w3367f5_ZU")</f>
        <v>pamatovat (v-w3367f2_ZU) - substituted with v-w3367f5_ZU</v>
      </c>
    </row>
    <row r="25619" customFormat="false" ht="12.8" hidden="false" customHeight="false" outlineLevel="0" collapsed="false">
      <c r="B25619" s="0" t="s">
        <v>7</v>
      </c>
      <c r="C25619" s="0" t="s">
        <v>2170</v>
      </c>
      <c r="D25619" s="0" t="s">
        <v>5057</v>
      </c>
      <c r="E25619" s="0" t="s">
        <v>5057</v>
      </c>
      <c r="F25619" s="0" t="s">
        <v>5057</v>
      </c>
    </row>
    <row r="25620" customFormat="false" ht="12.8" hidden="false" customHeight="false" outlineLevel="0" collapsed="false">
      <c r="B25620" s="0" t="s">
        <v>9590</v>
      </c>
      <c r="C25620" s="0" t="s">
        <v>25</v>
      </c>
      <c r="D25620" s="0" t="s">
        <v>9591</v>
      </c>
      <c r="E25620" s="0" t="s">
        <v>9591</v>
      </c>
      <c r="F25620" s="0" t="s">
        <v>9591</v>
      </c>
    </row>
    <row r="25622" customFormat="false" ht="12.8" hidden="false" customHeight="false" outlineLevel="0" collapsed="false">
      <c r="A25622" s="0" t="s">
        <v>9589</v>
      </c>
      <c r="B25622" s="0" t="str">
        <f aca="false">HYPERLINK("https://lindat.mff.cuni.cz/services/teitok/pdtc10/index.php?action=vallex&amp;frame=v-w3367f3_ZU", "pamatovat (v-w3367f3_ZU) - substituted with v-w3367f5_ZU")</f>
        <v>pamatovat (v-w3367f3_ZU) - substituted with v-w3367f5_ZU</v>
      </c>
    </row>
    <row r="25623" customFormat="false" ht="12.8" hidden="false" customHeight="false" outlineLevel="0" collapsed="false">
      <c r="B25623" s="0" t="s">
        <v>7</v>
      </c>
    </row>
    <row r="25624" customFormat="false" ht="12.8" hidden="false" customHeight="false" outlineLevel="0" collapsed="false">
      <c r="B25624" s="0" t="s">
        <v>9590</v>
      </c>
    </row>
    <row r="25626" customFormat="false" ht="12.8" hidden="false" customHeight="false" outlineLevel="0" collapsed="false">
      <c r="A25626" s="0" t="s">
        <v>9589</v>
      </c>
      <c r="B25626" s="0" t="str">
        <f aca="false">HYPERLINK("https://lindat.mff.cuni.cz/services/teitok/pdtc10/index.php?action=vallex&amp;frame=v-w3367f4_ZU", "pamatovat (v-w3367f4_ZU) - substituted with v-w3367f5_ZU")</f>
        <v>pamatovat (v-w3367f4_ZU) - substituted with v-w3367f5_ZU</v>
      </c>
    </row>
    <row r="25627" customFormat="false" ht="12.8" hidden="false" customHeight="false" outlineLevel="0" collapsed="false">
      <c r="B25627" s="0" t="s">
        <v>7</v>
      </c>
    </row>
    <row r="25628" customFormat="false" ht="12.8" hidden="false" customHeight="false" outlineLevel="0" collapsed="false">
      <c r="B25628" s="0" t="s">
        <v>9590</v>
      </c>
    </row>
    <row r="25630" customFormat="false" ht="12.8" hidden="false" customHeight="false" outlineLevel="0" collapsed="false">
      <c r="A25630" s="0" t="s">
        <v>9592</v>
      </c>
      <c r="B25630" s="0" t="str">
        <f aca="false">HYPERLINK("https://lindat.mff.cuni.cz/services/teitok/pdtc10/index.php?action=vallex&amp;frame=v-w3367hsa_326", "pamatovat (v-w3367hsa_326)")</f>
        <v>pamatovat (v-w3367hsa_326)</v>
      </c>
    </row>
    <row r="25631" customFormat="false" ht="12.8" hidden="false" customHeight="false" outlineLevel="0" collapsed="false">
      <c r="B25631" s="0" t="s">
        <v>7</v>
      </c>
    </row>
    <row r="25632" customFormat="false" ht="12.8" hidden="false" customHeight="false" outlineLevel="0" collapsed="false">
      <c r="B25632" s="0" t="s">
        <v>122</v>
      </c>
      <c r="C25632" s="0" t="s">
        <v>3323</v>
      </c>
    </row>
    <row r="25633" customFormat="false" ht="12.8" hidden="false" customHeight="false" outlineLevel="0" collapsed="false">
      <c r="B25633" s="0" t="s">
        <v>2871</v>
      </c>
      <c r="C25633" s="0" t="s">
        <v>1544</v>
      </c>
    </row>
    <row r="25635" customFormat="false" ht="12.8" hidden="false" customHeight="false" outlineLevel="0" collapsed="false">
      <c r="A25635" s="0" t="s">
        <v>9593</v>
      </c>
      <c r="B25635" s="0" t="str">
        <f aca="false">HYPERLINK("https://lindat.mff.cuni.cz/services/teitok/pdtc10/index.php?action=vallex&amp;frame=v-w3368f2_ZU", "pamatovat se (v-w3368f2_ZU)")</f>
        <v>pamatovat se (v-w3368f2_ZU)</v>
      </c>
    </row>
    <row r="25636" customFormat="false" ht="12.8" hidden="false" customHeight="false" outlineLevel="0" collapsed="false">
      <c r="B25636" s="0" t="s">
        <v>7</v>
      </c>
    </row>
    <row r="25637" customFormat="false" ht="12.8" hidden="false" customHeight="false" outlineLevel="0" collapsed="false">
      <c r="B25637" s="0" t="s">
        <v>9594</v>
      </c>
    </row>
    <row r="25639" customFormat="false" ht="12.8" hidden="false" customHeight="false" outlineLevel="0" collapsed="false">
      <c r="A25639" s="0" t="s">
        <v>9593</v>
      </c>
      <c r="B25639" s="0" t="str">
        <f aca="false">HYPERLINK("https://lindat.mff.cuni.cz/services/teitok/pdtc10/index.php?action=vallex&amp;frame=v-w3368f1", "pamatovat se (v-w3368f1) - substituted with v-w3368f2_ZU")</f>
        <v>pamatovat se (v-w3368f1) - substituted with v-w3368f2_ZU</v>
      </c>
    </row>
    <row r="25640" customFormat="false" ht="12.8" hidden="false" customHeight="false" outlineLevel="0" collapsed="false">
      <c r="B25640" s="0" t="s">
        <v>7</v>
      </c>
      <c r="C25640" s="0" t="s">
        <v>2170</v>
      </c>
      <c r="D25640" s="0" t="s">
        <v>5057</v>
      </c>
      <c r="E25640" s="0" t="s">
        <v>5057</v>
      </c>
      <c r="F25640" s="0" t="s">
        <v>5057</v>
      </c>
    </row>
    <row r="25641" customFormat="false" ht="12.8" hidden="false" customHeight="false" outlineLevel="0" collapsed="false">
      <c r="B25641" s="0" t="s">
        <v>9594</v>
      </c>
      <c r="C25641" s="0" t="s">
        <v>25</v>
      </c>
      <c r="D25641" s="0" t="s">
        <v>9591</v>
      </c>
      <c r="E25641" s="0" t="s">
        <v>9591</v>
      </c>
      <c r="F25641" s="0" t="s">
        <v>9591</v>
      </c>
    </row>
    <row r="25643" customFormat="false" ht="12.8" hidden="false" customHeight="false" outlineLevel="0" collapsed="false">
      <c r="A25643" s="0" t="s">
        <v>9593</v>
      </c>
      <c r="B25643" s="0" t="str">
        <f aca="false">HYPERLINK("https://lindat.mff.cuni.cz/services/teitok/pdtc10/index.php?action=vallex&amp;frame=v-w3368hsa_1899", "pamatovat se (v-w3368hsa_1899) - substituted with v-w3368f2_ZU")</f>
        <v>pamatovat se (v-w3368hsa_1899) - substituted with v-w3368f2_ZU</v>
      </c>
    </row>
    <row r="25644" customFormat="false" ht="12.8" hidden="false" customHeight="false" outlineLevel="0" collapsed="false">
      <c r="B25644" s="0" t="s">
        <v>7</v>
      </c>
    </row>
    <row r="25645" customFormat="false" ht="12.8" hidden="false" customHeight="false" outlineLevel="0" collapsed="false">
      <c r="B25645" s="0" t="s">
        <v>9594</v>
      </c>
    </row>
    <row r="25647" customFormat="false" ht="12.8" hidden="false" customHeight="false" outlineLevel="0" collapsed="false">
      <c r="A25647" s="0" t="s">
        <v>9595</v>
      </c>
      <c r="B25647" s="0" t="str">
        <f aca="false">HYPERLINK("https://lindat.mff.cuni.cz/services/teitok/pdtc10/index.php?action=vallex&amp;frame=v-w3369f4_MM", "pamatovat si (v-w3369f4_MM)")</f>
        <v>pamatovat si (v-w3369f4_MM)</v>
      </c>
    </row>
    <row r="25648" customFormat="false" ht="12.8" hidden="false" customHeight="false" outlineLevel="0" collapsed="false">
      <c r="B25648" s="0" t="s">
        <v>7</v>
      </c>
    </row>
    <row r="25649" customFormat="false" ht="12.8" hidden="false" customHeight="false" outlineLevel="0" collapsed="false">
      <c r="B25649" s="0" t="s">
        <v>9596</v>
      </c>
    </row>
    <row r="25651" customFormat="false" ht="12.8" hidden="false" customHeight="false" outlineLevel="0" collapsed="false">
      <c r="A25651" s="0" t="s">
        <v>9595</v>
      </c>
      <c r="B25651" s="0" t="str">
        <f aca="false">HYPERLINK("https://lindat.mff.cuni.cz/services/teitok/pdtc10/index.php?action=vallex&amp;frame=v-w3369f1", "pamatovat si (v-w3369f1) - substituted with v-w3369f4_MM")</f>
        <v>pamatovat si (v-w3369f1) - substituted with v-w3369f4_MM</v>
      </c>
    </row>
    <row r="25652" customFormat="false" ht="12.8" hidden="false" customHeight="false" outlineLevel="0" collapsed="false">
      <c r="B25652" s="0" t="s">
        <v>7</v>
      </c>
      <c r="C25652" s="0" t="s">
        <v>7173</v>
      </c>
      <c r="D25652" s="0" t="s">
        <v>5057</v>
      </c>
      <c r="E25652" s="0" t="s">
        <v>5057</v>
      </c>
      <c r="F25652" s="0" t="s">
        <v>5057</v>
      </c>
    </row>
    <row r="25653" customFormat="false" ht="12.8" hidden="false" customHeight="false" outlineLevel="0" collapsed="false">
      <c r="B25653" s="0" t="s">
        <v>9596</v>
      </c>
      <c r="C25653" s="0" t="s">
        <v>1467</v>
      </c>
      <c r="D25653" s="0" t="s">
        <v>9591</v>
      </c>
      <c r="E25653" s="0" t="s">
        <v>9591</v>
      </c>
      <c r="F25653" s="0" t="s">
        <v>9591</v>
      </c>
    </row>
    <row r="25655" customFormat="false" ht="12.8" hidden="false" customHeight="false" outlineLevel="0" collapsed="false">
      <c r="A25655" s="0" t="s">
        <v>9595</v>
      </c>
      <c r="B25655" s="0" t="str">
        <f aca="false">HYPERLINK("https://lindat.mff.cuni.cz/services/teitok/pdtc10/index.php?action=vallex&amp;frame=v-w3369f3_MM", "pamatovat si (v-w3369f3_MM) - substituted with v-w3369f4_MM")</f>
        <v>pamatovat si (v-w3369f3_MM) - substituted with v-w3369f4_MM</v>
      </c>
    </row>
    <row r="25656" customFormat="false" ht="12.8" hidden="false" customHeight="false" outlineLevel="0" collapsed="false">
      <c r="B25656" s="0" t="s">
        <v>7</v>
      </c>
    </row>
    <row r="25657" customFormat="false" ht="12.8" hidden="false" customHeight="false" outlineLevel="0" collapsed="false">
      <c r="B25657" s="0" t="s">
        <v>9596</v>
      </c>
    </row>
    <row r="25659" customFormat="false" ht="12.8" hidden="false" customHeight="false" outlineLevel="0" collapsed="false">
      <c r="A25659" s="0" t="s">
        <v>9597</v>
      </c>
      <c r="B25659" s="0" t="str">
        <f aca="false">HYPERLINK("https://lindat.mff.cuni.cz/services/teitok/pdtc10/index.php?action=vallex&amp;frame=v-w3369f2", "pamatovat si (v-w3369f2)")</f>
        <v>pamatovat si (v-w3369f2)</v>
      </c>
    </row>
    <row r="25660" customFormat="false" ht="12.8" hidden="false" customHeight="false" outlineLevel="0" collapsed="false">
      <c r="B25660" s="0" t="s">
        <v>7</v>
      </c>
    </row>
    <row r="25661" customFormat="false" ht="12.8" hidden="false" customHeight="false" outlineLevel="0" collapsed="false">
      <c r="B25661" s="0" t="s">
        <v>5518</v>
      </c>
    </row>
    <row r="25662" customFormat="false" ht="12.8" hidden="false" customHeight="false" outlineLevel="0" collapsed="false">
      <c r="B25662" s="0" t="s">
        <v>363</v>
      </c>
    </row>
    <row r="25664" customFormat="false" ht="12.8" hidden="false" customHeight="false" outlineLevel="0" collapsed="false">
      <c r="A25664" s="0" t="s">
        <v>9598</v>
      </c>
      <c r="B25664" s="0" t="str">
        <f aca="false">HYPERLINK("https://lindat.mff.cuni.cz/services/teitok/pdtc10/index.php?action=vallex&amp;frame=v-w11139f2", "panikařit (v-w11139f2)")</f>
        <v>panikařit (v-w11139f2)</v>
      </c>
    </row>
    <row r="25665" customFormat="false" ht="12.8" hidden="false" customHeight="false" outlineLevel="0" collapsed="false">
      <c r="B25665" s="0" t="s">
        <v>7</v>
      </c>
      <c r="C25665" s="0" t="s">
        <v>9599</v>
      </c>
      <c r="D25665" s="0" t="s">
        <v>5375</v>
      </c>
      <c r="E25665" s="0" t="s">
        <v>5375</v>
      </c>
      <c r="F25665" s="0" t="s">
        <v>5375</v>
      </c>
    </row>
    <row r="25667" customFormat="false" ht="12.8" hidden="false" customHeight="false" outlineLevel="0" collapsed="false">
      <c r="A25667" s="0" t="s">
        <v>9600</v>
      </c>
      <c r="B25667" s="0" t="str">
        <f aca="false">HYPERLINK("https://lindat.mff.cuni.cz/services/teitok/pdtc10/index.php?action=vallex&amp;frame=v-w3374f1", "panovat (v-w3374f1)")</f>
        <v>panovat (v-w3374f1)</v>
      </c>
    </row>
    <row r="25668" customFormat="false" ht="12.8" hidden="false" customHeight="false" outlineLevel="0" collapsed="false">
      <c r="B25668" s="0" t="s">
        <v>7</v>
      </c>
      <c r="C25668" s="0" t="s">
        <v>9601</v>
      </c>
      <c r="D25668" s="0" t="s">
        <v>776</v>
      </c>
      <c r="E25668" s="0" t="s">
        <v>776</v>
      </c>
      <c r="F25668" s="0" t="s">
        <v>776</v>
      </c>
    </row>
    <row r="25670" customFormat="false" ht="12.8" hidden="false" customHeight="false" outlineLevel="0" collapsed="false">
      <c r="A25670" s="0" t="s">
        <v>9602</v>
      </c>
      <c r="B25670" s="0" t="str">
        <f aca="false">HYPERLINK("https://lindat.mff.cuni.cz/services/teitok/pdtc10/index.php?action=vallex&amp;frame=v-w3378f1", "parafovat (v-w3378f1)")</f>
        <v>parafovat (v-w3378f1)</v>
      </c>
    </row>
    <row r="25671" customFormat="false" ht="12.8" hidden="false" customHeight="false" outlineLevel="0" collapsed="false">
      <c r="B25671" s="0" t="s">
        <v>7</v>
      </c>
    </row>
    <row r="25672" customFormat="false" ht="12.8" hidden="false" customHeight="false" outlineLevel="0" collapsed="false">
      <c r="B25672" s="0" t="s">
        <v>172</v>
      </c>
    </row>
    <row r="25674" customFormat="false" ht="12.8" hidden="false" customHeight="false" outlineLevel="0" collapsed="false">
      <c r="A25674" s="0" t="s">
        <v>9603</v>
      </c>
      <c r="B25674" s="0" t="str">
        <f aca="false">HYPERLINK("https://lindat.mff.cuni.cz/services/teitok/pdtc10/index.php?action=vallex&amp;frame=v-w3381f1", "paralyzovat (v-w3381f1)")</f>
        <v>paralyzovat (v-w3381f1)</v>
      </c>
    </row>
    <row r="25675" customFormat="false" ht="12.8" hidden="false" customHeight="false" outlineLevel="0" collapsed="false">
      <c r="B25675" s="0" t="s">
        <v>7</v>
      </c>
      <c r="D25675" s="0" t="s">
        <v>9604</v>
      </c>
      <c r="E25675" s="0" t="s">
        <v>9491</v>
      </c>
      <c r="F25675" s="0" t="s">
        <v>9491</v>
      </c>
    </row>
    <row r="25676" customFormat="false" ht="12.8" hidden="false" customHeight="false" outlineLevel="0" collapsed="false">
      <c r="B25676" s="0" t="s">
        <v>14</v>
      </c>
      <c r="C25676" s="0" t="s">
        <v>115</v>
      </c>
      <c r="D25676" s="0" t="s">
        <v>9605</v>
      </c>
      <c r="E25676" s="0" t="s">
        <v>1432</v>
      </c>
      <c r="F25676" s="0" t="s">
        <v>1432</v>
      </c>
    </row>
    <row r="25678" customFormat="false" ht="12.8" hidden="false" customHeight="false" outlineLevel="0" collapsed="false">
      <c r="A25678" s="0" t="s">
        <v>9606</v>
      </c>
      <c r="B25678" s="0" t="str">
        <f aca="false">HYPERLINK("https://lindat.mff.cuni.cz/services/teitok/pdtc10/index.php?action=vallex&amp;frame=v-w3382f2", "parazitovat (v-w3382f2)")</f>
        <v>parazitovat (v-w3382f2)</v>
      </c>
    </row>
    <row r="25679" customFormat="false" ht="12.8" hidden="false" customHeight="false" outlineLevel="0" collapsed="false">
      <c r="B25679" s="0" t="s">
        <v>7</v>
      </c>
    </row>
    <row r="25680" customFormat="false" ht="12.8" hidden="false" customHeight="false" outlineLevel="0" collapsed="false">
      <c r="B25680" s="0" t="s">
        <v>227</v>
      </c>
    </row>
    <row r="25682" customFormat="false" ht="12.8" hidden="false" customHeight="false" outlineLevel="0" collapsed="false">
      <c r="A25682" s="0" t="s">
        <v>9607</v>
      </c>
      <c r="B25682" s="0" t="str">
        <f aca="false">HYPERLINK("https://lindat.mff.cuni.cz/services/teitok/pdtc10/index.php?action=vallex&amp;frame=v-w3382f1", "parazitovat (v-w3382f1)")</f>
        <v>parazitovat (v-w3382f1)</v>
      </c>
    </row>
    <row r="25683" customFormat="false" ht="12.8" hidden="false" customHeight="false" outlineLevel="0" collapsed="false">
      <c r="B25683" s="0" t="s">
        <v>7</v>
      </c>
    </row>
    <row r="25685" customFormat="false" ht="12.8" hidden="false" customHeight="false" outlineLevel="0" collapsed="false">
      <c r="A25685" s="0" t="s">
        <v>9608</v>
      </c>
      <c r="B25685" s="0" t="str">
        <f aca="false">HYPERLINK("https://lindat.mff.cuni.cz/services/teitok/pdtc10/index.php?action=vallex&amp;frame=v-w3384f1", "parkovat (v-w3384f1)")</f>
        <v>parkovat (v-w3384f1)</v>
      </c>
    </row>
    <row r="25686" customFormat="false" ht="12.8" hidden="false" customHeight="false" outlineLevel="0" collapsed="false">
      <c r="B25686" s="0" t="s">
        <v>7</v>
      </c>
    </row>
    <row r="25687" customFormat="false" ht="12.8" hidden="false" customHeight="false" outlineLevel="0" collapsed="false">
      <c r="B25687" s="0" t="s">
        <v>14</v>
      </c>
    </row>
    <row r="25689" customFormat="false" ht="12.8" hidden="false" customHeight="false" outlineLevel="0" collapsed="false">
      <c r="A25689" s="0" t="s">
        <v>9609</v>
      </c>
      <c r="B25689" s="0" t="str">
        <f aca="false">HYPERLINK("https://lindat.mff.cuni.cz/services/teitok/pdtc10/index.php?action=vallex&amp;frame=v-w3384f2", "parkovat (v-w3384f2)")</f>
        <v>parkovat (v-w3384f2)</v>
      </c>
    </row>
    <row r="25690" customFormat="false" ht="12.8" hidden="false" customHeight="false" outlineLevel="0" collapsed="false">
      <c r="B25690" s="0" t="s">
        <v>7</v>
      </c>
    </row>
    <row r="25692" customFormat="false" ht="12.8" hidden="false" customHeight="false" outlineLevel="0" collapsed="false">
      <c r="A25692" s="0" t="s">
        <v>9610</v>
      </c>
      <c r="B25692" s="0" t="str">
        <f aca="false">HYPERLINK("https://lindat.mff.cuni.cz/services/teitok/pdtc10/index.php?action=vallex&amp;frame=v-w3386f1", "parodovat (v-w3386f1)")</f>
        <v>parodovat (v-w3386f1)</v>
      </c>
    </row>
    <row r="25693" customFormat="false" ht="12.8" hidden="false" customHeight="false" outlineLevel="0" collapsed="false">
      <c r="B25693" s="0" t="s">
        <v>7</v>
      </c>
    </row>
    <row r="25694" customFormat="false" ht="12.8" hidden="false" customHeight="false" outlineLevel="0" collapsed="false">
      <c r="B25694" s="0" t="s">
        <v>14</v>
      </c>
    </row>
    <row r="25696" customFormat="false" ht="12.8" hidden="false" customHeight="false" outlineLevel="0" collapsed="false">
      <c r="A25696" s="0" t="s">
        <v>9611</v>
      </c>
      <c r="B25696" s="0" t="str">
        <f aca="false">HYPERLINK("https://lindat.mff.cuni.cz/services/teitok/pdtc10/index.php?action=vallex&amp;frame=v-w3389f1", "participovat (v-w3389f1)")</f>
        <v>participovat (v-w3389f1)</v>
      </c>
    </row>
    <row r="25697" customFormat="false" ht="12.8" hidden="false" customHeight="false" outlineLevel="0" collapsed="false">
      <c r="B25697" s="0" t="s">
        <v>7</v>
      </c>
    </row>
    <row r="25698" customFormat="false" ht="12.8" hidden="false" customHeight="false" outlineLevel="0" collapsed="false">
      <c r="B25698" s="0" t="s">
        <v>220</v>
      </c>
    </row>
    <row r="25700" customFormat="false" ht="12.8" hidden="false" customHeight="false" outlineLevel="0" collapsed="false">
      <c r="A25700" s="0" t="s">
        <v>9612</v>
      </c>
      <c r="B25700" s="0" t="str">
        <f aca="false">HYPERLINK("https://lindat.mff.cuni.cz/services/teitok/pdtc10/index.php?action=vallex&amp;frame=v-w3397f1", "pasovat (v-w3397f1)")</f>
        <v>pasovat (v-w3397f1)</v>
      </c>
    </row>
    <row r="25701" customFormat="false" ht="12.8" hidden="false" customHeight="false" outlineLevel="0" collapsed="false">
      <c r="B25701" s="0" t="s">
        <v>7</v>
      </c>
    </row>
    <row r="25702" customFormat="false" ht="12.8" hidden="false" customHeight="false" outlineLevel="0" collapsed="false">
      <c r="B25702" s="0" t="s">
        <v>14</v>
      </c>
    </row>
    <row r="25703" customFormat="false" ht="12.8" hidden="false" customHeight="false" outlineLevel="0" collapsed="false">
      <c r="B25703" s="0" t="s">
        <v>9613</v>
      </c>
    </row>
    <row r="25705" customFormat="false" ht="12.8" hidden="false" customHeight="false" outlineLevel="0" collapsed="false">
      <c r="A25705" s="0" t="s">
        <v>9614</v>
      </c>
      <c r="B25705" s="0" t="str">
        <f aca="false">HYPERLINK("https://lindat.mff.cuni.cz/services/teitok/pdtc10/index.php?action=vallex&amp;frame=v-w3397f3", "pasovat (v-w3397f3)")</f>
        <v>pasovat (v-w3397f3)</v>
      </c>
    </row>
    <row r="25706" customFormat="false" ht="12.8" hidden="false" customHeight="false" outlineLevel="0" collapsed="false">
      <c r="B25706" s="0" t="s">
        <v>265</v>
      </c>
    </row>
    <row r="25707" customFormat="false" ht="12.8" hidden="false" customHeight="false" outlineLevel="0" collapsed="false">
      <c r="B25707" s="0" t="s">
        <v>142</v>
      </c>
    </row>
    <row r="25709" customFormat="false" ht="12.8" hidden="false" customHeight="false" outlineLevel="0" collapsed="false">
      <c r="A25709" s="0" t="s">
        <v>9615</v>
      </c>
      <c r="B25709" s="0" t="str">
        <f aca="false">HYPERLINK("https://lindat.mff.cuni.cz/services/teitok/pdtc10/index.php?action=vallex&amp;frame=v-w3397f2", "pasovat (v-w3397f2)")</f>
        <v>pasovat (v-w3397f2)</v>
      </c>
    </row>
    <row r="25710" customFormat="false" ht="12.8" hidden="false" customHeight="false" outlineLevel="0" collapsed="false">
      <c r="B25710" s="0" t="s">
        <v>7</v>
      </c>
      <c r="C25710" s="0" t="s">
        <v>16</v>
      </c>
      <c r="E25710" s="0" t="s">
        <v>3899</v>
      </c>
      <c r="F25710" s="0" t="s">
        <v>3899</v>
      </c>
    </row>
    <row r="25711" customFormat="false" ht="12.8" hidden="false" customHeight="false" outlineLevel="0" collapsed="false">
      <c r="B25711" s="0" t="s">
        <v>124</v>
      </c>
      <c r="E25711" s="0" t="s">
        <v>3900</v>
      </c>
      <c r="F25711" s="0" t="s">
        <v>3900</v>
      </c>
    </row>
    <row r="25713" customFormat="false" ht="12.8" hidden="false" customHeight="false" outlineLevel="0" collapsed="false">
      <c r="A25713" s="0" t="s">
        <v>9616</v>
      </c>
      <c r="B25713" s="0" t="str">
        <f aca="false">HYPERLINK("https://lindat.mff.cuni.cz/services/teitok/pdtc10/index.php?action=vallex&amp;frame=v-w3397f4_ZU", "pasovat (v-w3397f4_ZU)")</f>
        <v>pasovat (v-w3397f4_ZU)</v>
      </c>
    </row>
    <row r="25714" customFormat="false" ht="12.8" hidden="false" customHeight="false" outlineLevel="0" collapsed="false">
      <c r="B25714" s="0" t="s">
        <v>7</v>
      </c>
    </row>
    <row r="25716" customFormat="false" ht="12.8" hidden="false" customHeight="false" outlineLevel="0" collapsed="false">
      <c r="A25716" s="0" t="s">
        <v>9617</v>
      </c>
      <c r="B25716" s="0" t="str">
        <f aca="false">HYPERLINK("https://lindat.mff.cuni.cz/services/teitok/pdtc10/index.php?action=vallex&amp;frame=v-w3397hsa_1357", "pasovat (v-w3397hsa_1357)")</f>
        <v>pasovat (v-w3397hsa_1357)</v>
      </c>
    </row>
    <row r="25717" customFormat="false" ht="12.8" hidden="false" customHeight="false" outlineLevel="0" collapsed="false">
      <c r="B25717" s="0" t="s">
        <v>7</v>
      </c>
    </row>
    <row r="25718" customFormat="false" ht="12.8" hidden="false" customHeight="false" outlineLevel="0" collapsed="false">
      <c r="B25718" s="0" t="s">
        <v>14</v>
      </c>
    </row>
    <row r="25719" customFormat="false" ht="12.8" hidden="false" customHeight="false" outlineLevel="0" collapsed="false">
      <c r="B25719" s="0" t="s">
        <v>124</v>
      </c>
    </row>
    <row r="25721" customFormat="false" ht="12.8" hidden="false" customHeight="false" outlineLevel="0" collapsed="false">
      <c r="A25721" s="0" t="s">
        <v>9618</v>
      </c>
      <c r="B25721" s="0" t="str">
        <f aca="false">HYPERLINK("https://lindat.mff.cuni.cz/services/teitok/pdtc10/index.php?action=vallex&amp;frame=v-w10221f2", "patentovat (v-w10221f2)")</f>
        <v>patentovat (v-w10221f2)</v>
      </c>
    </row>
    <row r="25722" customFormat="false" ht="12.8" hidden="false" customHeight="false" outlineLevel="0" collapsed="false">
      <c r="B25722" s="0" t="s">
        <v>7</v>
      </c>
      <c r="C25722" s="0" t="s">
        <v>191</v>
      </c>
      <c r="D25722" s="0" t="s">
        <v>5180</v>
      </c>
      <c r="E25722" s="0" t="s">
        <v>5180</v>
      </c>
      <c r="F25722" s="0" t="s">
        <v>5180</v>
      </c>
    </row>
    <row r="25723" customFormat="false" ht="12.8" hidden="false" customHeight="false" outlineLevel="0" collapsed="false">
      <c r="B25723" s="0" t="s">
        <v>14</v>
      </c>
      <c r="C25723" s="0" t="s">
        <v>47</v>
      </c>
      <c r="D25723" s="0" t="s">
        <v>624</v>
      </c>
      <c r="E25723" s="0" t="s">
        <v>624</v>
      </c>
      <c r="F25723" s="0" t="s">
        <v>624</v>
      </c>
    </row>
    <row r="25725" customFormat="false" ht="12.8" hidden="false" customHeight="false" outlineLevel="0" collapsed="false">
      <c r="A25725" s="0" t="s">
        <v>9619</v>
      </c>
      <c r="B25725" s="0" t="str">
        <f aca="false">HYPERLINK("https://lindat.mff.cuni.cz/services/teitok/pdtc10/index.php?action=vallex&amp;frame=v-w3411f6_ZU", "patřit (v-w3411f6_ZU)")</f>
        <v>patřit (v-w3411f6_ZU)</v>
      </c>
    </row>
    <row r="25726" customFormat="false" ht="12.8" hidden="false" customHeight="false" outlineLevel="0" collapsed="false">
      <c r="B25726" s="0" t="s">
        <v>7</v>
      </c>
    </row>
    <row r="25727" customFormat="false" ht="12.8" hidden="false" customHeight="false" outlineLevel="0" collapsed="false">
      <c r="B25727" s="0" t="s">
        <v>9620</v>
      </c>
    </row>
    <row r="25729" customFormat="false" ht="12.8" hidden="false" customHeight="false" outlineLevel="0" collapsed="false">
      <c r="A25729" s="0" t="s">
        <v>9619</v>
      </c>
      <c r="B25729" s="0" t="str">
        <f aca="false">HYPERLINK("https://lindat.mff.cuni.cz/services/teitok/pdtc10/index.php?action=vallex&amp;frame=v-w3411f2", "patřit (v-w3411f2) - substituted with v-w3411f6_ZU")</f>
        <v>patřit (v-w3411f2) - substituted with v-w3411f6_ZU</v>
      </c>
    </row>
    <row r="25730" customFormat="false" ht="12.8" hidden="false" customHeight="false" outlineLevel="0" collapsed="false">
      <c r="B25730" s="0" t="s">
        <v>7</v>
      </c>
      <c r="C25730" s="0" t="s">
        <v>9621</v>
      </c>
      <c r="D25730" s="0" t="s">
        <v>9622</v>
      </c>
      <c r="E25730" s="0" t="s">
        <v>9622</v>
      </c>
      <c r="F25730" s="0" t="s">
        <v>9622</v>
      </c>
    </row>
    <row r="25731" customFormat="false" ht="12.8" hidden="false" customHeight="false" outlineLevel="0" collapsed="false">
      <c r="B25731" s="0" t="s">
        <v>9620</v>
      </c>
      <c r="C25731" s="0" t="s">
        <v>9623</v>
      </c>
      <c r="D25731" s="0" t="s">
        <v>9624</v>
      </c>
      <c r="E25731" s="0" t="s">
        <v>9624</v>
      </c>
      <c r="F25731" s="0" t="s">
        <v>9624</v>
      </c>
    </row>
    <row r="25733" customFormat="false" ht="12.8" hidden="false" customHeight="false" outlineLevel="0" collapsed="false">
      <c r="A25733" s="0" t="s">
        <v>9619</v>
      </c>
      <c r="B25733" s="0" t="str">
        <f aca="false">HYPERLINK("https://lindat.mff.cuni.cz/services/teitok/pdtc10/index.php?action=vallex&amp;frame=v-w3411f5_ZU", "patřit (v-w3411f5_ZU) - substituted with v-w3411f6_ZU")</f>
        <v>patřit (v-w3411f5_ZU) - substituted with v-w3411f6_ZU</v>
      </c>
    </row>
    <row r="25734" customFormat="false" ht="12.8" hidden="false" customHeight="false" outlineLevel="0" collapsed="false">
      <c r="B25734" s="0" t="s">
        <v>7</v>
      </c>
    </row>
    <row r="25735" customFormat="false" ht="12.8" hidden="false" customHeight="false" outlineLevel="0" collapsed="false">
      <c r="B25735" s="0" t="s">
        <v>9620</v>
      </c>
    </row>
    <row r="25737" customFormat="false" ht="12.8" hidden="false" customHeight="false" outlineLevel="0" collapsed="false">
      <c r="A25737" s="0" t="s">
        <v>9625</v>
      </c>
      <c r="B25737" s="0" t="str">
        <f aca="false">HYPERLINK("https://lindat.mff.cuni.cz/services/teitok/pdtc10/index.php?action=vallex&amp;frame=v-w3411f3", "patřit (v-w3411f3)")</f>
        <v>patřit (v-w3411f3)</v>
      </c>
    </row>
    <row r="25738" customFormat="false" ht="12.8" hidden="false" customHeight="false" outlineLevel="0" collapsed="false">
      <c r="B25738" s="0" t="s">
        <v>7</v>
      </c>
    </row>
    <row r="25739" customFormat="false" ht="12.8" hidden="false" customHeight="false" outlineLevel="0" collapsed="false">
      <c r="B25739" s="0" t="s">
        <v>142</v>
      </c>
    </row>
    <row r="25741" customFormat="false" ht="12.8" hidden="false" customHeight="false" outlineLevel="0" collapsed="false">
      <c r="A25741" s="0" t="s">
        <v>9626</v>
      </c>
      <c r="B25741" s="0" t="str">
        <f aca="false">HYPERLINK("https://lindat.mff.cuni.cz/services/teitok/pdtc10/index.php?action=vallex&amp;frame=v-w3411f1", "patřit (v-w3411f1)")</f>
        <v>patřit (v-w3411f1)</v>
      </c>
    </row>
    <row r="25742" customFormat="false" ht="12.8" hidden="false" customHeight="false" outlineLevel="0" collapsed="false">
      <c r="B25742" s="0" t="s">
        <v>768</v>
      </c>
      <c r="C25742" s="0" t="s">
        <v>9627</v>
      </c>
      <c r="D25742" s="0" t="s">
        <v>7508</v>
      </c>
      <c r="E25742" s="0" t="s">
        <v>7508</v>
      </c>
      <c r="F25742" s="0" t="s">
        <v>7508</v>
      </c>
    </row>
    <row r="25743" customFormat="false" ht="12.8" hidden="false" customHeight="false" outlineLevel="0" collapsed="false">
      <c r="B25743" s="0" t="s">
        <v>124</v>
      </c>
      <c r="C25743" s="0" t="s">
        <v>9628</v>
      </c>
      <c r="D25743" s="0" t="s">
        <v>7509</v>
      </c>
      <c r="E25743" s="0" t="s">
        <v>7509</v>
      </c>
      <c r="F25743" s="0" t="s">
        <v>7509</v>
      </c>
    </row>
    <row r="25745" customFormat="false" ht="12.8" hidden="false" customHeight="false" outlineLevel="0" collapsed="false">
      <c r="A25745" s="0" t="s">
        <v>9629</v>
      </c>
      <c r="B25745" s="0" t="str">
        <f aca="false">HYPERLINK("https://lindat.mff.cuni.cz/services/teitok/pdtc10/index.php?action=vallex&amp;frame=v-w3411f4", "patřit (v-w3411f4)")</f>
        <v>patřit (v-w3411f4)</v>
      </c>
    </row>
    <row r="25746" customFormat="false" ht="12.8" hidden="false" customHeight="false" outlineLevel="0" collapsed="false">
      <c r="B25746" s="0" t="s">
        <v>7</v>
      </c>
      <c r="C25746" s="0" t="s">
        <v>498</v>
      </c>
    </row>
    <row r="25747" customFormat="false" ht="12.8" hidden="false" customHeight="false" outlineLevel="0" collapsed="false">
      <c r="B25747" s="0" t="s">
        <v>124</v>
      </c>
      <c r="C25747" s="0" t="s">
        <v>9630</v>
      </c>
    </row>
    <row r="25749" customFormat="false" ht="12.8" hidden="false" customHeight="false" outlineLevel="0" collapsed="false">
      <c r="A25749" s="0" t="s">
        <v>9631</v>
      </c>
      <c r="B25749" s="0" t="str">
        <f aca="false">HYPERLINK("https://lindat.mff.cuni.cz/services/teitok/pdtc10/index.php?action=vallex&amp;frame=v-w3411f7_ZU", "patřit (v-w3411f7_ZU)")</f>
        <v>patřit (v-w3411f7_ZU)</v>
      </c>
    </row>
    <row r="25750" customFormat="false" ht="12.8" hidden="false" customHeight="false" outlineLevel="0" collapsed="false">
      <c r="B25750" s="0" t="s">
        <v>7</v>
      </c>
    </row>
    <row r="25751" customFormat="false" ht="12.8" hidden="false" customHeight="false" outlineLevel="0" collapsed="false">
      <c r="B25751" s="0" t="s">
        <v>41</v>
      </c>
    </row>
    <row r="25753" customFormat="false" ht="12.8" hidden="false" customHeight="false" outlineLevel="0" collapsed="false">
      <c r="A25753" s="0" t="s">
        <v>9632</v>
      </c>
      <c r="B25753" s="0" t="str">
        <f aca="false">HYPERLINK("https://lindat.mff.cuni.cz/services/teitok/pdtc10/index.php?action=vallex&amp;frame=v-w3412f1", "patřit se (v-w3412f1)")</f>
        <v>patřit se (v-w3412f1)</v>
      </c>
    </row>
    <row r="25754" customFormat="false" ht="12.8" hidden="false" customHeight="false" outlineLevel="0" collapsed="false">
      <c r="B25754" s="0" t="s">
        <v>5651</v>
      </c>
      <c r="D25754" s="0" t="s">
        <v>3899</v>
      </c>
      <c r="E25754" s="0" t="s">
        <v>3899</v>
      </c>
      <c r="F25754" s="0" t="s">
        <v>3899</v>
      </c>
    </row>
    <row r="25755" customFormat="false" ht="12.8" hidden="false" customHeight="false" outlineLevel="0" collapsed="false">
      <c r="B25755" s="0" t="s">
        <v>9633</v>
      </c>
      <c r="D25755" s="0" t="s">
        <v>5092</v>
      </c>
      <c r="E25755" s="0" t="s">
        <v>5092</v>
      </c>
      <c r="F25755" s="0" t="s">
        <v>5092</v>
      </c>
    </row>
    <row r="25757" customFormat="false" ht="12.8" hidden="false" customHeight="false" outlineLevel="0" collapsed="false">
      <c r="A25757" s="0" t="s">
        <v>9634</v>
      </c>
      <c r="B25757" s="0" t="str">
        <f aca="false">HYPERLINK("https://lindat.mff.cuni.cz/services/teitok/pdtc10/index.php?action=vallex&amp;frame=v-w3402f1", "pašovat (v-w3402f1)")</f>
        <v>pašovat (v-w3402f1)</v>
      </c>
    </row>
    <row r="25758" customFormat="false" ht="12.8" hidden="false" customHeight="false" outlineLevel="0" collapsed="false">
      <c r="B25758" s="0" t="s">
        <v>7</v>
      </c>
      <c r="C25758" s="0" t="s">
        <v>191</v>
      </c>
      <c r="D25758" s="0" t="s">
        <v>194</v>
      </c>
      <c r="E25758" s="0" t="s">
        <v>194</v>
      </c>
      <c r="F25758" s="0" t="s">
        <v>194</v>
      </c>
    </row>
    <row r="25759" customFormat="false" ht="12.8" hidden="false" customHeight="false" outlineLevel="0" collapsed="false">
      <c r="B25759" s="0" t="s">
        <v>14</v>
      </c>
      <c r="C25759" s="0" t="s">
        <v>9635</v>
      </c>
      <c r="D25759" s="0" t="s">
        <v>9636</v>
      </c>
      <c r="E25759" s="0" t="s">
        <v>9636</v>
      </c>
      <c r="F25759" s="0" t="s">
        <v>9636</v>
      </c>
    </row>
    <row r="25761" customFormat="false" ht="12.8" hidden="false" customHeight="false" outlineLevel="0" collapsed="false">
      <c r="A25761" s="0" t="s">
        <v>9637</v>
      </c>
      <c r="B25761" s="0" t="str">
        <f aca="false">HYPERLINK("https://lindat.mff.cuni.cz/services/teitok/pdtc10/index.php?action=vallex&amp;frame=v-w10122f2", "pelášit (v-w10122f2)")</f>
        <v>pelášit (v-w10122f2)</v>
      </c>
    </row>
    <row r="25762" customFormat="false" ht="12.8" hidden="false" customHeight="false" outlineLevel="0" collapsed="false">
      <c r="B25762" s="0" t="s">
        <v>7</v>
      </c>
      <c r="C25762" s="0" t="s">
        <v>4445</v>
      </c>
      <c r="D25762" s="0" t="s">
        <v>1582</v>
      </c>
      <c r="E25762" s="0" t="s">
        <v>1582</v>
      </c>
      <c r="F25762" s="0" t="s">
        <v>1582</v>
      </c>
    </row>
    <row r="25764" customFormat="false" ht="12.8" hidden="false" customHeight="false" outlineLevel="0" collapsed="false">
      <c r="A25764" s="0" t="s">
        <v>9638</v>
      </c>
      <c r="B25764" s="0" t="str">
        <f aca="false">HYPERLINK("https://lindat.mff.cuni.cz/services/teitok/pdtc10/index.php?action=vallex&amp;frame=v-w3419f1", "penalizovat (v-w3419f1)")</f>
        <v>penalizovat (v-w3419f1)</v>
      </c>
    </row>
    <row r="25765" customFormat="false" ht="12.8" hidden="false" customHeight="false" outlineLevel="0" collapsed="false">
      <c r="B25765" s="0" t="s">
        <v>7</v>
      </c>
      <c r="C25765" s="0" t="s">
        <v>46</v>
      </c>
      <c r="D25765" s="0" t="s">
        <v>126</v>
      </c>
      <c r="E25765" s="0" t="s">
        <v>126</v>
      </c>
      <c r="F25765" s="0" t="s">
        <v>126</v>
      </c>
    </row>
    <row r="25766" customFormat="false" ht="12.8" hidden="false" customHeight="false" outlineLevel="0" collapsed="false">
      <c r="B25766" s="0" t="s">
        <v>14</v>
      </c>
      <c r="C25766" s="0" t="s">
        <v>115</v>
      </c>
      <c r="D25766" s="0" t="s">
        <v>452</v>
      </c>
      <c r="E25766" s="0" t="s">
        <v>452</v>
      </c>
      <c r="F25766" s="0" t="s">
        <v>452</v>
      </c>
    </row>
    <row r="25768" customFormat="false" ht="12.8" hidden="false" customHeight="false" outlineLevel="0" collapsed="false">
      <c r="A25768" s="0" t="s">
        <v>9639</v>
      </c>
      <c r="B25768" s="0" t="str">
        <f aca="false">HYPERLINK("https://lindat.mff.cuni.cz/services/teitok/pdtc10/index.php?action=vallex&amp;frame=v-w11969_ZUf1_ZU", "pendlovat (v-w11969_ZUf1_ZU)")</f>
        <v>pendlovat (v-w11969_ZUf1_ZU)</v>
      </c>
    </row>
    <row r="25769" customFormat="false" ht="12.8" hidden="false" customHeight="false" outlineLevel="0" collapsed="false">
      <c r="B25769" s="0" t="s">
        <v>7</v>
      </c>
    </row>
    <row r="25771" customFormat="false" ht="12.8" hidden="false" customHeight="false" outlineLevel="0" collapsed="false">
      <c r="A25771" s="0" t="s">
        <v>9640</v>
      </c>
      <c r="B25771" s="0" t="str">
        <f aca="false">HYPERLINK("https://lindat.mff.cuni.cz/services/teitok/pdtc10/index.php?action=vallex&amp;frame=v-w3422f1", "penzionovat (v-w3422f1)")</f>
        <v>penzionovat (v-w3422f1)</v>
      </c>
    </row>
    <row r="25772" customFormat="false" ht="12.8" hidden="false" customHeight="false" outlineLevel="0" collapsed="false">
      <c r="B25772" s="0" t="s">
        <v>7</v>
      </c>
    </row>
    <row r="25773" customFormat="false" ht="12.8" hidden="false" customHeight="false" outlineLevel="0" collapsed="false">
      <c r="B25773" s="0" t="s">
        <v>14</v>
      </c>
    </row>
    <row r="25775" customFormat="false" ht="12.8" hidden="false" customHeight="false" outlineLevel="0" collapsed="false">
      <c r="A25775" s="0" t="s">
        <v>9641</v>
      </c>
      <c r="B25775" s="0" t="str">
        <f aca="false">HYPERLINK("https://lindat.mff.cuni.cz/services/teitok/pdtc10/index.php?action=vallex&amp;frame=v-w11913_ZUf1_ZU", "persekuovat (v-w11913_ZUf1_ZU)")</f>
        <v>persekuovat (v-w11913_ZUf1_ZU)</v>
      </c>
    </row>
    <row r="25776" customFormat="false" ht="12.8" hidden="false" customHeight="false" outlineLevel="0" collapsed="false">
      <c r="B25776" s="0" t="s">
        <v>7</v>
      </c>
    </row>
    <row r="25777" customFormat="false" ht="12.8" hidden="false" customHeight="false" outlineLevel="0" collapsed="false">
      <c r="B25777" s="0" t="s">
        <v>14</v>
      </c>
    </row>
    <row r="25779" customFormat="false" ht="12.8" hidden="false" customHeight="false" outlineLevel="0" collapsed="false">
      <c r="A25779" s="0" t="s">
        <v>9642</v>
      </c>
      <c r="B25779" s="0" t="str">
        <f aca="false">HYPERLINK("https://lindat.mff.cuni.cz/services/teitok/pdtc10/index.php?action=vallex&amp;frame=v-w3426f1", "perzekuovat (v-w3426f1)")</f>
        <v>perzekuovat (v-w3426f1)</v>
      </c>
    </row>
    <row r="25780" customFormat="false" ht="12.8" hidden="false" customHeight="false" outlineLevel="0" collapsed="false">
      <c r="B25780" s="0" t="s">
        <v>7</v>
      </c>
    </row>
    <row r="25781" customFormat="false" ht="12.8" hidden="false" customHeight="false" outlineLevel="0" collapsed="false">
      <c r="B25781" s="0" t="s">
        <v>14</v>
      </c>
    </row>
    <row r="25783" customFormat="false" ht="12.8" hidden="false" customHeight="false" outlineLevel="0" collapsed="false">
      <c r="A25783" s="0" t="s">
        <v>9643</v>
      </c>
      <c r="B25783" s="0" t="str">
        <f aca="false">HYPERLINK("https://lindat.mff.cuni.cz/services/teitok/pdtc10/index.php?action=vallex&amp;frame=v-w3427f1", "perzekvovat (v-w3427f1)")</f>
        <v>perzekvovat (v-w3427f1)</v>
      </c>
    </row>
    <row r="25784" customFormat="false" ht="12.8" hidden="false" customHeight="false" outlineLevel="0" collapsed="false">
      <c r="B25784" s="0" t="s">
        <v>7</v>
      </c>
    </row>
    <row r="25785" customFormat="false" ht="12.8" hidden="false" customHeight="false" outlineLevel="0" collapsed="false">
      <c r="B25785" s="0" t="s">
        <v>14</v>
      </c>
    </row>
    <row r="25787" customFormat="false" ht="12.8" hidden="false" customHeight="false" outlineLevel="0" collapsed="false">
      <c r="A25787" s="0" t="s">
        <v>9644</v>
      </c>
      <c r="B25787" s="0" t="str">
        <f aca="false">HYPERLINK("https://lindat.mff.cuni.cz/services/teitok/pdtc10/index.php?action=vallex&amp;frame=v-w3428f1", "peskovat (v-w3428f1)")</f>
        <v>peskovat (v-w3428f1)</v>
      </c>
    </row>
    <row r="25788" customFormat="false" ht="12.8" hidden="false" customHeight="false" outlineLevel="0" collapsed="false">
      <c r="B25788" s="0" t="s">
        <v>7</v>
      </c>
    </row>
    <row r="25789" customFormat="false" ht="12.8" hidden="false" customHeight="false" outlineLevel="0" collapsed="false">
      <c r="B25789" s="0" t="s">
        <v>14</v>
      </c>
    </row>
    <row r="25791" customFormat="false" ht="12.8" hidden="false" customHeight="false" outlineLevel="0" collapsed="false">
      <c r="A25791" s="0" t="s">
        <v>9645</v>
      </c>
      <c r="B25791" s="0" t="str">
        <f aca="false">HYPERLINK("https://lindat.mff.cuni.cz/services/teitok/pdtc10/index.php?action=vallex&amp;frame=v-w3416f1", "pečovat (v-w3416f1)")</f>
        <v>pečovat (v-w3416f1)</v>
      </c>
    </row>
    <row r="25792" customFormat="false" ht="12.8" hidden="false" customHeight="false" outlineLevel="0" collapsed="false">
      <c r="B25792" s="0" t="s">
        <v>7</v>
      </c>
      <c r="C25792" s="0" t="s">
        <v>309</v>
      </c>
      <c r="E25792" s="0" t="s">
        <v>465</v>
      </c>
      <c r="F25792" s="0" t="s">
        <v>465</v>
      </c>
    </row>
    <row r="25793" customFormat="false" ht="12.8" hidden="false" customHeight="false" outlineLevel="0" collapsed="false">
      <c r="B25793" s="0" t="s">
        <v>615</v>
      </c>
      <c r="C25793" s="0" t="s">
        <v>9646</v>
      </c>
      <c r="E25793" s="0" t="s">
        <v>7837</v>
      </c>
      <c r="F25793" s="0" t="s">
        <v>7837</v>
      </c>
    </row>
    <row r="25795" customFormat="false" ht="12.8" hidden="false" customHeight="false" outlineLevel="0" collapsed="false">
      <c r="A25795" s="0" t="s">
        <v>9647</v>
      </c>
      <c r="B25795" s="0" t="str">
        <f aca="false">HYPERLINK("https://lindat.mff.cuni.cz/services/teitok/pdtc10/index.php?action=vallex&amp;frame=v-w11827_ZUf1_ZU", "pilovat (v-w11827_ZUf1_ZU)")</f>
        <v>pilovat (v-w11827_ZUf1_ZU)</v>
      </c>
    </row>
    <row r="25796" customFormat="false" ht="12.8" hidden="false" customHeight="false" outlineLevel="0" collapsed="false">
      <c r="B25796" s="0" t="s">
        <v>7</v>
      </c>
    </row>
    <row r="25797" customFormat="false" ht="12.8" hidden="false" customHeight="false" outlineLevel="0" collapsed="false">
      <c r="B25797" s="0" t="s">
        <v>14</v>
      </c>
    </row>
    <row r="25799" customFormat="false" ht="12.8" hidden="false" customHeight="false" outlineLevel="0" collapsed="false">
      <c r="A25799" s="0" t="s">
        <v>9648</v>
      </c>
      <c r="B25799" s="0" t="str">
        <f aca="false">HYPERLINK("https://lindat.mff.cuni.cz/services/teitok/pdtc10/index.php?action=vallex&amp;frame=v-w11827_ZUf2_MM", "pilovat (v-w11827_ZUf2_MM)")</f>
        <v>pilovat (v-w11827_ZUf2_MM)</v>
      </c>
    </row>
    <row r="25800" customFormat="false" ht="12.8" hidden="false" customHeight="false" outlineLevel="0" collapsed="false">
      <c r="B25800" s="0" t="s">
        <v>7</v>
      </c>
    </row>
    <row r="25801" customFormat="false" ht="12.8" hidden="false" customHeight="false" outlineLevel="0" collapsed="false">
      <c r="B25801" s="0" t="s">
        <v>14</v>
      </c>
    </row>
    <row r="25803" customFormat="false" ht="12.8" hidden="false" customHeight="false" outlineLevel="0" collapsed="false">
      <c r="A25803" s="0" t="s">
        <v>9649</v>
      </c>
      <c r="B25803" s="0" t="str">
        <f aca="false">HYPERLINK("https://lindat.mff.cuni.cz/services/teitok/pdtc10/index.php?action=vallex&amp;frame=v-w3442f1", "pinkat si (v-w3442f1)")</f>
        <v>pinkat si (v-w3442f1)</v>
      </c>
    </row>
    <row r="25804" customFormat="false" ht="12.8" hidden="false" customHeight="false" outlineLevel="0" collapsed="false">
      <c r="B25804" s="0" t="s">
        <v>7</v>
      </c>
    </row>
    <row r="25805" customFormat="false" ht="12.8" hidden="false" customHeight="false" outlineLevel="0" collapsed="false">
      <c r="B25805" s="0" t="s">
        <v>2871</v>
      </c>
    </row>
    <row r="25807" customFormat="false" ht="12.8" hidden="false" customHeight="false" outlineLevel="0" collapsed="false">
      <c r="A25807" s="0" t="s">
        <v>9650</v>
      </c>
      <c r="B25807" s="0" t="str">
        <f aca="false">HYPERLINK("https://lindat.mff.cuni.cz/services/teitok/pdtc10/index.php?action=vallex&amp;frame=v-w3443f1", "piplat (v-w3443f1)")</f>
        <v>piplat (v-w3443f1)</v>
      </c>
    </row>
    <row r="25808" customFormat="false" ht="12.8" hidden="false" customHeight="false" outlineLevel="0" collapsed="false">
      <c r="B25808" s="0" t="s">
        <v>7</v>
      </c>
    </row>
    <row r="25809" customFormat="false" ht="12.8" hidden="false" customHeight="false" outlineLevel="0" collapsed="false">
      <c r="B25809" s="0" t="s">
        <v>14</v>
      </c>
    </row>
    <row r="25811" customFormat="false" ht="12.8" hidden="false" customHeight="false" outlineLevel="0" collapsed="false">
      <c r="A25811" s="0" t="s">
        <v>9651</v>
      </c>
      <c r="B25811" s="0" t="str">
        <f aca="false">HYPERLINK("https://lindat.mff.cuni.cz/services/teitok/pdtc10/index.php?action=vallex&amp;frame=v-whsa_760hsa_761", "pitvat (v-whsa_760hsa_761)")</f>
        <v>pitvat (v-whsa_760hsa_761)</v>
      </c>
    </row>
    <row r="25812" customFormat="false" ht="12.8" hidden="false" customHeight="false" outlineLevel="0" collapsed="false">
      <c r="B25812" s="0" t="s">
        <v>7</v>
      </c>
      <c r="D25812" s="0" t="s">
        <v>92</v>
      </c>
      <c r="E25812" s="0" t="s">
        <v>92</v>
      </c>
      <c r="F25812" s="0" t="s">
        <v>92</v>
      </c>
    </row>
    <row r="25813" customFormat="false" ht="12.8" hidden="false" customHeight="false" outlineLevel="0" collapsed="false">
      <c r="B25813" s="0" t="s">
        <v>14</v>
      </c>
      <c r="C25813" s="0" t="s">
        <v>155</v>
      </c>
      <c r="D25813" s="0" t="s">
        <v>95</v>
      </c>
      <c r="E25813" s="0" t="s">
        <v>95</v>
      </c>
      <c r="F25813" s="0" t="s">
        <v>95</v>
      </c>
    </row>
    <row r="25815" customFormat="false" ht="12.8" hidden="false" customHeight="false" outlineLevel="0" collapsed="false">
      <c r="A25815" s="0" t="s">
        <v>9652</v>
      </c>
      <c r="B25815" s="0" t="str">
        <f aca="false">HYPERLINK("https://lindat.mff.cuni.cz/services/teitok/pdtc10/index.php?action=vallex&amp;frame=v-whsa_760f1_ZU", "pitvat (v-whsa_760f1_ZU)")</f>
        <v>pitvat (v-whsa_760f1_ZU)</v>
      </c>
    </row>
    <row r="25816" customFormat="false" ht="12.8" hidden="false" customHeight="false" outlineLevel="0" collapsed="false">
      <c r="B25816" s="0" t="s">
        <v>7</v>
      </c>
    </row>
    <row r="25817" customFormat="false" ht="12.8" hidden="false" customHeight="false" outlineLevel="0" collapsed="false">
      <c r="B25817" s="0" t="s">
        <v>14</v>
      </c>
    </row>
    <row r="25819" customFormat="false" ht="12.8" hidden="false" customHeight="false" outlineLevel="0" collapsed="false">
      <c r="A25819" s="0" t="s">
        <v>9653</v>
      </c>
      <c r="B25819" s="0" t="str">
        <f aca="false">HYPERLINK("https://lindat.mff.cuni.cz/services/teitok/pdtc10/index.php?action=vallex&amp;frame=v-w11487f1", "pitvořit se (v-w11487f1)")</f>
        <v>pitvořit se (v-w11487f1)</v>
      </c>
    </row>
    <row r="25820" customFormat="false" ht="12.8" hidden="false" customHeight="false" outlineLevel="0" collapsed="false">
      <c r="B25820" s="0" t="s">
        <v>7</v>
      </c>
      <c r="C25820" s="0" t="s">
        <v>46</v>
      </c>
      <c r="D25820" s="0" t="s">
        <v>46</v>
      </c>
      <c r="E25820" s="0" t="s">
        <v>46</v>
      </c>
      <c r="F25820" s="0" t="s">
        <v>335</v>
      </c>
    </row>
    <row r="25821" customFormat="false" ht="12.8" hidden="false" customHeight="false" outlineLevel="0" collapsed="false">
      <c r="B25821" s="0" t="s">
        <v>63</v>
      </c>
      <c r="D25821" s="0" t="s">
        <v>155</v>
      </c>
      <c r="E25821" s="0" t="s">
        <v>155</v>
      </c>
      <c r="F25821" s="0" t="s">
        <v>155</v>
      </c>
    </row>
    <row r="25823" customFormat="false" ht="12.8" hidden="false" customHeight="false" outlineLevel="0" collapsed="false">
      <c r="A25823" s="0" t="s">
        <v>9654</v>
      </c>
      <c r="B25823" s="0" t="str">
        <f aca="false">HYPERLINK("https://lindat.mff.cuni.cz/services/teitok/pdtc10/index.php?action=vallex&amp;frame=v-w10986f2", "plachtit (v-w10986f2)")</f>
        <v>plachtit (v-w10986f2)</v>
      </c>
    </row>
    <row r="25824" customFormat="false" ht="12.8" hidden="false" customHeight="false" outlineLevel="0" collapsed="false">
      <c r="B25824" s="0" t="s">
        <v>7</v>
      </c>
    </row>
    <row r="25826" customFormat="false" ht="12.8" hidden="false" customHeight="false" outlineLevel="0" collapsed="false">
      <c r="A25826" s="0" t="s">
        <v>9655</v>
      </c>
      <c r="B25826" s="0" t="str">
        <f aca="false">HYPERLINK("https://lindat.mff.cuni.cz/services/teitok/pdtc10/index.php?action=vallex&amp;frame=v-w10986hsa_379", "plachtit (v-w10986hsa_379)")</f>
        <v>plachtit (v-w10986hsa_379)</v>
      </c>
    </row>
    <row r="25827" customFormat="false" ht="12.8" hidden="false" customHeight="false" outlineLevel="0" collapsed="false">
      <c r="B25827" s="0" t="s">
        <v>7</v>
      </c>
    </row>
    <row r="25829" customFormat="false" ht="12.8" hidden="false" customHeight="false" outlineLevel="0" collapsed="false">
      <c r="A25829" s="0" t="s">
        <v>9656</v>
      </c>
      <c r="B25829" s="0" t="str">
        <f aca="false">HYPERLINK("https://lindat.mff.cuni.cz/services/teitok/pdtc10/index.php?action=vallex&amp;frame=v-w12221_ZUf1_ZU", "plahočit se (v-w12221_ZUf1_ZU)")</f>
        <v>plahočit se (v-w12221_ZUf1_ZU)</v>
      </c>
    </row>
    <row r="25830" customFormat="false" ht="12.8" hidden="false" customHeight="false" outlineLevel="0" collapsed="false">
      <c r="B25830" s="0" t="s">
        <v>7</v>
      </c>
    </row>
    <row r="25832" customFormat="false" ht="12.8" hidden="false" customHeight="false" outlineLevel="0" collapsed="false">
      <c r="A25832" s="0" t="s">
        <v>9657</v>
      </c>
      <c r="B25832" s="0" t="str">
        <f aca="false">HYPERLINK("https://lindat.mff.cuni.cz/services/teitok/pdtc10/index.php?action=vallex&amp;frame=v-w3457f1", "plakat (v-w3457f1)")</f>
        <v>plakat (v-w3457f1)</v>
      </c>
    </row>
    <row r="25833" customFormat="false" ht="12.8" hidden="false" customHeight="false" outlineLevel="0" collapsed="false">
      <c r="B25833" s="0" t="s">
        <v>7</v>
      </c>
      <c r="C25833" s="0" t="s">
        <v>46</v>
      </c>
      <c r="D25833" s="0" t="s">
        <v>8962</v>
      </c>
      <c r="E25833" s="0" t="s">
        <v>8962</v>
      </c>
      <c r="F25833" s="0" t="s">
        <v>8962</v>
      </c>
    </row>
    <row r="25835" customFormat="false" ht="12.8" hidden="false" customHeight="false" outlineLevel="0" collapsed="false">
      <c r="A25835" s="0" t="s">
        <v>9658</v>
      </c>
      <c r="B25835" s="0" t="str">
        <f aca="false">HYPERLINK("https://lindat.mff.cuni.cz/services/teitok/pdtc10/index.php?action=vallex&amp;frame=v-w3457f2_ZU", "plakat (v-w3457f2_ZU)")</f>
        <v>plakat (v-w3457f2_ZU)</v>
      </c>
    </row>
    <row r="25836" customFormat="false" ht="12.8" hidden="false" customHeight="false" outlineLevel="0" collapsed="false">
      <c r="B25836" s="0" t="s">
        <v>7</v>
      </c>
      <c r="C25836" s="0" t="s">
        <v>191</v>
      </c>
    </row>
    <row r="25837" customFormat="false" ht="12.8" hidden="false" customHeight="false" outlineLevel="0" collapsed="false">
      <c r="B25837" s="0" t="s">
        <v>9659</v>
      </c>
    </row>
    <row r="25839" customFormat="false" ht="12.8" hidden="false" customHeight="false" outlineLevel="0" collapsed="false">
      <c r="A25839" s="0" t="s">
        <v>9658</v>
      </c>
      <c r="B25839" s="0" t="str">
        <f aca="false">HYPERLINK("https://lindat.mff.cuni.cz/services/teitok/pdtc10/index.php?action=vallex&amp;frame=v-w3457hsa_228", "plakat (v-w3457hsa_228) - substituted with v-w3457f2_ZU")</f>
        <v>plakat (v-w3457hsa_228) - substituted with v-w3457f2_ZU</v>
      </c>
    </row>
    <row r="25840" customFormat="false" ht="12.8" hidden="false" customHeight="false" outlineLevel="0" collapsed="false">
      <c r="B25840" s="0" t="s">
        <v>7</v>
      </c>
    </row>
    <row r="25841" customFormat="false" ht="12.8" hidden="false" customHeight="false" outlineLevel="0" collapsed="false">
      <c r="B25841" s="0" t="s">
        <v>9659</v>
      </c>
    </row>
    <row r="25843" customFormat="false" ht="12.8" hidden="false" customHeight="false" outlineLevel="0" collapsed="false">
      <c r="A25843" s="0" t="s">
        <v>9660</v>
      </c>
      <c r="B25843" s="0" t="str">
        <f aca="false">HYPERLINK("https://lindat.mff.cuni.cz/services/teitok/pdtc10/index.php?action=vallex&amp;frame=v-w12134_ZUf1_ZU", "plandat (v-w12134_ZUf1_ZU)")</f>
        <v>plandat (v-w12134_ZUf1_ZU)</v>
      </c>
    </row>
    <row r="25844" customFormat="false" ht="12.8" hidden="false" customHeight="false" outlineLevel="0" collapsed="false">
      <c r="B25844" s="0" t="s">
        <v>7</v>
      </c>
    </row>
    <row r="25846" customFormat="false" ht="12.8" hidden="false" customHeight="false" outlineLevel="0" collapsed="false">
      <c r="A25846" s="0" t="s">
        <v>9661</v>
      </c>
      <c r="B25846" s="0" t="str">
        <f aca="false">HYPERLINK("https://lindat.mff.cuni.cz/services/teitok/pdtc10/index.php?action=vallex&amp;frame=v-w3459f1", "planout (v-w3459f1)")</f>
        <v>planout (v-w3459f1)</v>
      </c>
    </row>
    <row r="25847" customFormat="false" ht="12.8" hidden="false" customHeight="false" outlineLevel="0" collapsed="false">
      <c r="B25847" s="0" t="s">
        <v>7</v>
      </c>
      <c r="E25847" s="0" t="s">
        <v>200</v>
      </c>
      <c r="F25847" s="0" t="s">
        <v>9662</v>
      </c>
    </row>
    <row r="25849" customFormat="false" ht="12.8" hidden="false" customHeight="false" outlineLevel="0" collapsed="false">
      <c r="A25849" s="0" t="s">
        <v>9663</v>
      </c>
      <c r="B25849" s="0" t="str">
        <f aca="false">HYPERLINK("https://lindat.mff.cuni.cz/services/teitok/pdtc10/index.php?action=vallex&amp;frame=v-w3459f2", "planout (v-w3459f2)")</f>
        <v>planout (v-w3459f2)</v>
      </c>
    </row>
    <row r="25850" customFormat="false" ht="12.8" hidden="false" customHeight="false" outlineLevel="0" collapsed="false">
      <c r="B25850" s="0" t="s">
        <v>7</v>
      </c>
    </row>
    <row r="25851" customFormat="false" ht="12.8" hidden="false" customHeight="false" outlineLevel="0" collapsed="false">
      <c r="B25851" s="0" t="s">
        <v>3991</v>
      </c>
    </row>
    <row r="25853" customFormat="false" ht="12.8" hidden="false" customHeight="false" outlineLevel="0" collapsed="false">
      <c r="A25853" s="0" t="s">
        <v>9664</v>
      </c>
      <c r="B25853" s="0" t="str">
        <f aca="false">HYPERLINK("https://lindat.mff.cuni.cz/services/teitok/pdtc10/index.php?action=vallex&amp;frame=v-w3468f1", "platit (v-w3468f1)")</f>
        <v>platit (v-w3468f1)</v>
      </c>
    </row>
    <row r="25854" customFormat="false" ht="12.8" hidden="false" customHeight="false" outlineLevel="0" collapsed="false">
      <c r="B25854" s="0" t="s">
        <v>7</v>
      </c>
      <c r="C25854" s="0" t="s">
        <v>9665</v>
      </c>
      <c r="D25854" s="0" t="s">
        <v>4000</v>
      </c>
      <c r="E25854" s="0" t="s">
        <v>4000</v>
      </c>
      <c r="F25854" s="0" t="s">
        <v>4000</v>
      </c>
    </row>
    <row r="25855" customFormat="false" ht="12.8" hidden="false" customHeight="false" outlineLevel="0" collapsed="false">
      <c r="B25855" s="0" t="s">
        <v>14</v>
      </c>
      <c r="C25855" s="0" t="s">
        <v>9666</v>
      </c>
      <c r="D25855" s="0" t="s">
        <v>4002</v>
      </c>
      <c r="E25855" s="0" t="s">
        <v>4002</v>
      </c>
      <c r="F25855" s="0" t="s">
        <v>4002</v>
      </c>
    </row>
    <row r="25856" customFormat="false" ht="12.8" hidden="false" customHeight="false" outlineLevel="0" collapsed="false">
      <c r="B25856" s="0" t="s">
        <v>106</v>
      </c>
      <c r="C25856" s="0" t="s">
        <v>9667</v>
      </c>
      <c r="D25856" s="0" t="s">
        <v>4004</v>
      </c>
      <c r="E25856" s="0" t="s">
        <v>4004</v>
      </c>
      <c r="F25856" s="0" t="s">
        <v>4004</v>
      </c>
    </row>
    <row r="25857" customFormat="false" ht="12.8" hidden="false" customHeight="false" outlineLevel="0" collapsed="false">
      <c r="B25857" s="0" t="s">
        <v>550</v>
      </c>
      <c r="C25857" s="0" t="s">
        <v>9668</v>
      </c>
    </row>
    <row r="25859" customFormat="false" ht="12.8" hidden="false" customHeight="false" outlineLevel="0" collapsed="false">
      <c r="A25859" s="0" t="s">
        <v>9669</v>
      </c>
      <c r="B25859" s="0" t="str">
        <f aca="false">HYPERLINK("https://lindat.mff.cuni.cz/services/teitok/pdtc10/index.php?action=vallex&amp;frame=v-w3468f5", "platit (v-w3468f5)")</f>
        <v>platit (v-w3468f5)</v>
      </c>
    </row>
    <row r="25860" customFormat="false" ht="12.8" hidden="false" customHeight="false" outlineLevel="0" collapsed="false">
      <c r="B25860" s="0" t="s">
        <v>641</v>
      </c>
    </row>
    <row r="25861" customFormat="false" ht="12.8" hidden="false" customHeight="false" outlineLevel="0" collapsed="false">
      <c r="B25861" s="0" t="s">
        <v>244</v>
      </c>
    </row>
    <row r="25863" customFormat="false" ht="12.8" hidden="false" customHeight="false" outlineLevel="0" collapsed="false">
      <c r="A25863" s="0" t="s">
        <v>9670</v>
      </c>
      <c r="B25863" s="0" t="str">
        <f aca="false">HYPERLINK("https://lindat.mff.cuni.cz/services/teitok/pdtc10/index.php?action=vallex&amp;frame=v-w3468f8", "platit (v-w3468f8)")</f>
        <v>platit (v-w3468f8)</v>
      </c>
    </row>
    <row r="25864" customFormat="false" ht="12.8" hidden="false" customHeight="false" outlineLevel="0" collapsed="false">
      <c r="B25864" s="0" t="s">
        <v>7</v>
      </c>
    </row>
    <row r="25865" customFormat="false" ht="12.8" hidden="false" customHeight="false" outlineLevel="0" collapsed="false">
      <c r="B25865" s="0" t="s">
        <v>142</v>
      </c>
    </row>
    <row r="25867" customFormat="false" ht="12.8" hidden="false" customHeight="false" outlineLevel="0" collapsed="false">
      <c r="A25867" s="0" t="s">
        <v>9671</v>
      </c>
      <c r="B25867" s="0" t="str">
        <f aca="false">HYPERLINK("https://lindat.mff.cuni.cz/services/teitok/pdtc10/index.php?action=vallex&amp;frame=v-w3468f4", "platit (v-w3468f4)")</f>
        <v>platit (v-w3468f4)</v>
      </c>
    </row>
    <row r="25868" customFormat="false" ht="12.8" hidden="false" customHeight="false" outlineLevel="0" collapsed="false">
      <c r="B25868" s="0" t="s">
        <v>7</v>
      </c>
      <c r="C25868" s="0" t="s">
        <v>9672</v>
      </c>
      <c r="D25868" s="0" t="s">
        <v>9673</v>
      </c>
      <c r="E25868" s="0" t="s">
        <v>9673</v>
      </c>
      <c r="F25868" s="0" t="s">
        <v>9673</v>
      </c>
    </row>
    <row r="25869" customFormat="false" ht="12.8" hidden="false" customHeight="false" outlineLevel="0" collapsed="false">
      <c r="B25869" s="0" t="s">
        <v>14</v>
      </c>
      <c r="C25869" s="0" t="s">
        <v>9674</v>
      </c>
      <c r="D25869" s="0" t="s">
        <v>9675</v>
      </c>
      <c r="E25869" s="0" t="s">
        <v>9675</v>
      </c>
      <c r="F25869" s="0" t="s">
        <v>9675</v>
      </c>
    </row>
    <row r="25871" customFormat="false" ht="12.8" hidden="false" customHeight="false" outlineLevel="0" collapsed="false">
      <c r="A25871" s="0" t="s">
        <v>9676</v>
      </c>
      <c r="B25871" s="0" t="str">
        <f aca="false">HYPERLINK("https://lindat.mff.cuni.cz/services/teitok/pdtc10/index.php?action=vallex&amp;frame=v-w3468f9", "platit (v-w3468f9)")</f>
        <v>platit (v-w3468f9)</v>
      </c>
    </row>
    <row r="25872" customFormat="false" ht="12.8" hidden="false" customHeight="false" outlineLevel="0" collapsed="false">
      <c r="B25872" s="0" t="s">
        <v>7</v>
      </c>
    </row>
    <row r="25873" customFormat="false" ht="12.8" hidden="false" customHeight="false" outlineLevel="0" collapsed="false">
      <c r="B25873" s="0" t="s">
        <v>41</v>
      </c>
    </row>
    <row r="25875" customFormat="false" ht="12.8" hidden="false" customHeight="false" outlineLevel="0" collapsed="false">
      <c r="A25875" s="0" t="s">
        <v>9677</v>
      </c>
      <c r="B25875" s="0" t="str">
        <f aca="false">HYPERLINK("https://lindat.mff.cuni.cz/services/teitok/pdtc10/index.php?action=vallex&amp;frame=v-w3468f6", "platit (v-w3468f6)")</f>
        <v>platit (v-w3468f6)</v>
      </c>
    </row>
    <row r="25876" customFormat="false" ht="12.8" hidden="false" customHeight="false" outlineLevel="0" collapsed="false">
      <c r="B25876" s="0" t="s">
        <v>7</v>
      </c>
    </row>
    <row r="25877" customFormat="false" ht="12.8" hidden="false" customHeight="false" outlineLevel="0" collapsed="false">
      <c r="B25877" s="0" t="s">
        <v>491</v>
      </c>
    </row>
    <row r="25879" customFormat="false" ht="12.8" hidden="false" customHeight="false" outlineLevel="0" collapsed="false">
      <c r="A25879" s="0" t="s">
        <v>9678</v>
      </c>
      <c r="B25879" s="0" t="str">
        <f aca="false">HYPERLINK("https://lindat.mff.cuni.cz/services/teitok/pdtc10/index.php?action=vallex&amp;frame=v-w3468f10_ZU", "platit (v-w3468f10_ZU)")</f>
        <v>platit (v-w3468f10_ZU)</v>
      </c>
    </row>
    <row r="25880" customFormat="false" ht="12.8" hidden="false" customHeight="false" outlineLevel="0" collapsed="false">
      <c r="B25880" s="0" t="s">
        <v>7</v>
      </c>
    </row>
    <row r="25881" customFormat="false" ht="12.8" hidden="false" customHeight="false" outlineLevel="0" collapsed="false">
      <c r="B25881" s="0" t="s">
        <v>1175</v>
      </c>
    </row>
    <row r="25883" customFormat="false" ht="12.8" hidden="false" customHeight="false" outlineLevel="0" collapsed="false">
      <c r="A25883" s="0" t="s">
        <v>9678</v>
      </c>
      <c r="B25883" s="0" t="str">
        <f aca="false">HYPERLINK("https://lindat.mff.cuni.cz/services/teitok/pdtc10/index.php?action=vallex&amp;frame=v-w3468f7", "platit (v-w3468f7) - substituted with v-w3468f10_ZU")</f>
        <v>platit (v-w3468f7) - substituted with v-w3468f10_ZU</v>
      </c>
    </row>
    <row r="25884" customFormat="false" ht="12.8" hidden="false" customHeight="false" outlineLevel="0" collapsed="false">
      <c r="B25884" s="0" t="s">
        <v>7</v>
      </c>
    </row>
    <row r="25885" customFormat="false" ht="12.8" hidden="false" customHeight="false" outlineLevel="0" collapsed="false">
      <c r="B25885" s="0" t="s">
        <v>1175</v>
      </c>
    </row>
    <row r="25887" customFormat="false" ht="12.8" hidden="false" customHeight="false" outlineLevel="0" collapsed="false">
      <c r="A25887" s="0" t="s">
        <v>9679</v>
      </c>
      <c r="B25887" s="0" t="str">
        <f aca="false">HYPERLINK("https://lindat.mff.cuni.cz/services/teitok/pdtc10/index.php?action=vallex&amp;frame=v-w3468f3", "platit (v-w3468f3)")</f>
        <v>platit (v-w3468f3)</v>
      </c>
    </row>
    <row r="25888" customFormat="false" ht="12.8" hidden="false" customHeight="false" outlineLevel="0" collapsed="false">
      <c r="B25888" s="0" t="s">
        <v>7</v>
      </c>
      <c r="C25888" s="0" t="s">
        <v>9680</v>
      </c>
      <c r="D25888" s="0" t="s">
        <v>4000</v>
      </c>
      <c r="E25888" s="0" t="s">
        <v>4000</v>
      </c>
      <c r="F25888" s="0" t="s">
        <v>4000</v>
      </c>
    </row>
    <row r="25889" customFormat="false" ht="12.8" hidden="false" customHeight="false" outlineLevel="0" collapsed="false">
      <c r="B25889" s="0" t="s">
        <v>679</v>
      </c>
      <c r="C25889" s="0" t="s">
        <v>9681</v>
      </c>
      <c r="D25889" s="0" t="s">
        <v>9682</v>
      </c>
      <c r="E25889" s="0" t="s">
        <v>9682</v>
      </c>
      <c r="F25889" s="0" t="s">
        <v>9682</v>
      </c>
    </row>
    <row r="25890" customFormat="false" ht="12.8" hidden="false" customHeight="false" outlineLevel="0" collapsed="false">
      <c r="B25890" s="0" t="s">
        <v>1654</v>
      </c>
      <c r="C25890" s="0" t="s">
        <v>9683</v>
      </c>
    </row>
    <row r="25891" customFormat="false" ht="12.8" hidden="false" customHeight="false" outlineLevel="0" collapsed="false">
      <c r="B25891" s="0" t="s">
        <v>106</v>
      </c>
      <c r="C25891" s="0" t="s">
        <v>9684</v>
      </c>
      <c r="D25891" s="0" t="s">
        <v>4004</v>
      </c>
      <c r="E25891" s="0" t="s">
        <v>4004</v>
      </c>
      <c r="F25891" s="0" t="s">
        <v>4004</v>
      </c>
    </row>
    <row r="25893" customFormat="false" ht="12.8" hidden="false" customHeight="false" outlineLevel="0" collapsed="false">
      <c r="A25893" s="0" t="s">
        <v>9685</v>
      </c>
      <c r="B25893" s="0" t="str">
        <f aca="false">HYPERLINK("https://lindat.mff.cuni.cz/services/teitok/pdtc10/index.php?action=vallex&amp;frame=v-w3468f11_ZU", "platit (v-w3468f11_ZU)")</f>
        <v>platit (v-w3468f11_ZU)</v>
      </c>
    </row>
    <row r="25894" customFormat="false" ht="12.8" hidden="false" customHeight="false" outlineLevel="0" collapsed="false">
      <c r="B25894" s="0" t="s">
        <v>641</v>
      </c>
    </row>
    <row r="25896" customFormat="false" ht="12.8" hidden="false" customHeight="false" outlineLevel="0" collapsed="false">
      <c r="A25896" s="0" t="s">
        <v>9685</v>
      </c>
      <c r="B25896" s="0" t="str">
        <f aca="false">HYPERLINK("https://lindat.mff.cuni.cz/services/teitok/pdtc10/index.php?action=vallex&amp;frame=v-w3468f2", "platit (v-w3468f2) - substituted with v-w3468f11_ZU")</f>
        <v>platit (v-w3468f2) - substituted with v-w3468f11_ZU</v>
      </c>
    </row>
    <row r="25897" customFormat="false" ht="12.8" hidden="false" customHeight="false" outlineLevel="0" collapsed="false">
      <c r="B25897" s="0" t="s">
        <v>641</v>
      </c>
      <c r="C25897" s="0" t="s">
        <v>9686</v>
      </c>
      <c r="D25897" s="0" t="s">
        <v>3282</v>
      </c>
      <c r="E25897" s="0" t="s">
        <v>3282</v>
      </c>
      <c r="F25897" s="0" t="s">
        <v>3282</v>
      </c>
    </row>
    <row r="25899" customFormat="false" ht="12.8" hidden="false" customHeight="false" outlineLevel="0" collapsed="false">
      <c r="A25899" s="0" t="s">
        <v>9687</v>
      </c>
      <c r="B25899" s="0" t="str">
        <f aca="false">HYPERLINK("https://lindat.mff.cuni.cz/services/teitok/pdtc10/index.php?action=vallex&amp;frame=v-w10506f3", "platívat (v-w10506f3)")</f>
        <v>platívat (v-w10506f3)</v>
      </c>
    </row>
    <row r="25900" customFormat="false" ht="12.8" hidden="false" customHeight="false" outlineLevel="0" collapsed="false">
      <c r="B25900" s="0" t="s">
        <v>7</v>
      </c>
      <c r="C25900" s="0" t="s">
        <v>9680</v>
      </c>
      <c r="D25900" s="0" t="s">
        <v>4000</v>
      </c>
      <c r="E25900" s="0" t="s">
        <v>4000</v>
      </c>
      <c r="F25900" s="0" t="s">
        <v>4000</v>
      </c>
    </row>
    <row r="25901" customFormat="false" ht="12.8" hidden="false" customHeight="false" outlineLevel="0" collapsed="false">
      <c r="B25901" s="0" t="s">
        <v>679</v>
      </c>
      <c r="C25901" s="0" t="s">
        <v>9681</v>
      </c>
      <c r="D25901" s="0" t="s">
        <v>9682</v>
      </c>
      <c r="E25901" s="0" t="s">
        <v>9682</v>
      </c>
      <c r="F25901" s="0" t="s">
        <v>9682</v>
      </c>
    </row>
    <row r="25902" customFormat="false" ht="12.8" hidden="false" customHeight="false" outlineLevel="0" collapsed="false">
      <c r="B25902" s="0" t="s">
        <v>1654</v>
      </c>
      <c r="C25902" s="0" t="s">
        <v>9683</v>
      </c>
    </row>
    <row r="25903" customFormat="false" ht="12.8" hidden="false" customHeight="false" outlineLevel="0" collapsed="false">
      <c r="B25903" s="0" t="s">
        <v>106</v>
      </c>
      <c r="C25903" s="0" t="s">
        <v>9684</v>
      </c>
      <c r="D25903" s="0" t="s">
        <v>4004</v>
      </c>
      <c r="E25903" s="0" t="s">
        <v>4004</v>
      </c>
      <c r="F25903" s="0" t="s">
        <v>4004</v>
      </c>
    </row>
    <row r="25905" customFormat="false" ht="12.8" hidden="false" customHeight="false" outlineLevel="0" collapsed="false">
      <c r="A25905" s="0" t="s">
        <v>9688</v>
      </c>
      <c r="B25905" s="0" t="str">
        <f aca="false">HYPERLINK("https://lindat.mff.cuni.cz/services/teitok/pdtc10/index.php?action=vallex&amp;frame=v-w3471f1", "plavat (v-w3471f1)")</f>
        <v>plavat (v-w3471f1)</v>
      </c>
    </row>
    <row r="25906" customFormat="false" ht="12.8" hidden="false" customHeight="false" outlineLevel="0" collapsed="false">
      <c r="B25906" s="0" t="s">
        <v>7</v>
      </c>
    </row>
    <row r="25907" customFormat="false" ht="12.8" hidden="false" customHeight="false" outlineLevel="0" collapsed="false">
      <c r="B25907" s="0" t="s">
        <v>14</v>
      </c>
    </row>
    <row r="25909" customFormat="false" ht="12.8" hidden="false" customHeight="false" outlineLevel="0" collapsed="false">
      <c r="A25909" s="0" t="s">
        <v>9689</v>
      </c>
      <c r="B25909" s="0" t="str">
        <f aca="false">HYPERLINK("https://lindat.mff.cuni.cz/services/teitok/pdtc10/index.php?action=vallex&amp;frame=v-w3471f2", "plavat (v-w3471f2)")</f>
        <v>plavat (v-w3471f2)</v>
      </c>
    </row>
    <row r="25910" customFormat="false" ht="12.8" hidden="false" customHeight="false" outlineLevel="0" collapsed="false">
      <c r="B25910" s="0" t="s">
        <v>7</v>
      </c>
      <c r="C25910" s="0" t="s">
        <v>46</v>
      </c>
      <c r="D25910" s="0" t="s">
        <v>46</v>
      </c>
      <c r="E25910" s="0" t="s">
        <v>46</v>
      </c>
      <c r="F25910" s="0" t="s">
        <v>46</v>
      </c>
    </row>
    <row r="25912" customFormat="false" ht="12.8" hidden="false" customHeight="false" outlineLevel="0" collapsed="false">
      <c r="A25912" s="0" t="s">
        <v>9690</v>
      </c>
      <c r="B25912" s="0" t="str">
        <f aca="false">HYPERLINK("https://lindat.mff.cuni.cz/services/teitok/pdtc10/index.php?action=vallex&amp;frame=v-w3471f3_ZU", "plavat (v-w3471f3_ZU)")</f>
        <v>plavat (v-w3471f3_ZU)</v>
      </c>
    </row>
    <row r="25913" customFormat="false" ht="12.8" hidden="false" customHeight="false" outlineLevel="0" collapsed="false">
      <c r="B25913" s="0" t="s">
        <v>7</v>
      </c>
    </row>
    <row r="25914" customFormat="false" ht="12.8" hidden="false" customHeight="false" outlineLevel="0" collapsed="false">
      <c r="B25914" s="0" t="s">
        <v>387</v>
      </c>
    </row>
    <row r="25916" customFormat="false" ht="12.8" hidden="false" customHeight="false" outlineLevel="0" collapsed="false">
      <c r="A25916" s="0" t="s">
        <v>9691</v>
      </c>
      <c r="B25916" s="0" t="str">
        <f aca="false">HYPERLINK("https://lindat.mff.cuni.cz/services/teitok/pdtc10/index.php?action=vallex&amp;frame=v-w3471hsa_133", "plavat (v-w3471hsa_133)")</f>
        <v>plavat (v-w3471hsa_133)</v>
      </c>
    </row>
    <row r="25917" customFormat="false" ht="12.8" hidden="false" customHeight="false" outlineLevel="0" collapsed="false">
      <c r="B25917" s="0" t="s">
        <v>7</v>
      </c>
    </row>
    <row r="25918" customFormat="false" ht="12.8" hidden="false" customHeight="false" outlineLevel="0" collapsed="false">
      <c r="B25918" s="0" t="s">
        <v>14</v>
      </c>
    </row>
    <row r="25920" customFormat="false" ht="12.8" hidden="false" customHeight="false" outlineLevel="0" collapsed="false">
      <c r="A25920" s="0" t="s">
        <v>9692</v>
      </c>
      <c r="B25920" s="0" t="str">
        <f aca="false">HYPERLINK("https://lindat.mff.cuni.cz/services/teitok/pdtc10/index.php?action=vallex&amp;frame=v-w3473f1", "plavit se (v-w3473f1)")</f>
        <v>plavit se (v-w3473f1)</v>
      </c>
    </row>
    <row r="25921" customFormat="false" ht="12.8" hidden="false" customHeight="false" outlineLevel="0" collapsed="false">
      <c r="B25921" s="0" t="s">
        <v>7</v>
      </c>
      <c r="D25921" s="0" t="s">
        <v>623</v>
      </c>
      <c r="E25921" s="0" t="s">
        <v>623</v>
      </c>
      <c r="F25921" s="0" t="s">
        <v>623</v>
      </c>
    </row>
    <row r="25923" customFormat="false" ht="12.8" hidden="false" customHeight="false" outlineLevel="0" collapsed="false">
      <c r="A25923" s="0" t="s">
        <v>9693</v>
      </c>
      <c r="B25923" s="0" t="str">
        <f aca="false">HYPERLINK("https://lindat.mff.cuni.cz/services/teitok/pdtc10/index.php?action=vallex&amp;frame=v-w3475f1", "plazit se (v-w3475f1)")</f>
        <v>plazit se (v-w3475f1)</v>
      </c>
    </row>
    <row r="25924" customFormat="false" ht="12.8" hidden="false" customHeight="false" outlineLevel="0" collapsed="false">
      <c r="B25924" s="0" t="s">
        <v>7</v>
      </c>
      <c r="C25924" s="0" t="s">
        <v>460</v>
      </c>
      <c r="D25924" s="0" t="s">
        <v>2736</v>
      </c>
      <c r="E25924" s="0" t="s">
        <v>2736</v>
      </c>
      <c r="F25924" s="0" t="s">
        <v>2736</v>
      </c>
    </row>
    <row r="25926" customFormat="false" ht="12.8" hidden="false" customHeight="false" outlineLevel="0" collapsed="false">
      <c r="A25926" s="0" t="s">
        <v>9694</v>
      </c>
      <c r="B25926" s="0" t="str">
        <f aca="false">HYPERLINK("https://lindat.mff.cuni.cz/services/teitok/pdtc10/index.php?action=vallex&amp;frame=v-whsa_504hsa_505", "plašit (v-whsa_504hsa_505)")</f>
        <v>plašit (v-whsa_504hsa_505)</v>
      </c>
    </row>
    <row r="25927" customFormat="false" ht="12.8" hidden="false" customHeight="false" outlineLevel="0" collapsed="false">
      <c r="B25927" s="0" t="s">
        <v>7</v>
      </c>
    </row>
    <row r="25928" customFormat="false" ht="12.8" hidden="false" customHeight="false" outlineLevel="0" collapsed="false">
      <c r="B25928" s="0" t="s">
        <v>14</v>
      </c>
    </row>
    <row r="25930" customFormat="false" ht="12.8" hidden="false" customHeight="false" outlineLevel="0" collapsed="false">
      <c r="A25930" s="0" t="s">
        <v>9695</v>
      </c>
      <c r="B25930" s="0" t="str">
        <f aca="false">HYPERLINK("https://lindat.mff.cuni.cz/services/teitok/pdtc10/index.php?action=vallex&amp;frame=v-w3465f1", "plašit se (v-w3465f1)")</f>
        <v>plašit se (v-w3465f1)</v>
      </c>
    </row>
    <row r="25931" customFormat="false" ht="12.8" hidden="false" customHeight="false" outlineLevel="0" collapsed="false">
      <c r="B25931" s="0" t="s">
        <v>7</v>
      </c>
    </row>
    <row r="25933" customFormat="false" ht="12.8" hidden="false" customHeight="false" outlineLevel="0" collapsed="false">
      <c r="A25933" s="0" t="s">
        <v>9696</v>
      </c>
      <c r="B25933" s="0" t="str">
        <f aca="false">HYPERLINK("https://lindat.mff.cuni.cz/services/teitok/pdtc10/index.php?action=vallex&amp;frame=v-w11546_ZUf1_ZU", "plenit (v-w11546_ZUf1_ZU)")</f>
        <v>plenit (v-w11546_ZUf1_ZU)</v>
      </c>
    </row>
    <row r="25934" customFormat="false" ht="12.8" hidden="false" customHeight="false" outlineLevel="0" collapsed="false">
      <c r="B25934" s="0" t="s">
        <v>7</v>
      </c>
      <c r="C25934" s="0" t="s">
        <v>113</v>
      </c>
    </row>
    <row r="25935" customFormat="false" ht="12.8" hidden="false" customHeight="false" outlineLevel="0" collapsed="false">
      <c r="B25935" s="0" t="s">
        <v>14</v>
      </c>
      <c r="C25935" s="0" t="s">
        <v>33</v>
      </c>
    </row>
    <row r="25937" customFormat="false" ht="12.8" hidden="false" customHeight="false" outlineLevel="0" collapsed="false">
      <c r="A25937" s="0" t="s">
        <v>9697</v>
      </c>
      <c r="B25937" s="0" t="str">
        <f aca="false">HYPERLINK("https://lindat.mff.cuni.cz/services/teitok/pdtc10/index.php?action=vallex&amp;frame=v-w12098_ZUf1_ZU", "plesknout (v-w12098_ZUf1_ZU)")</f>
        <v>plesknout (v-w12098_ZUf1_ZU)</v>
      </c>
    </row>
    <row r="25938" customFormat="false" ht="12.8" hidden="false" customHeight="false" outlineLevel="0" collapsed="false">
      <c r="B25938" s="0" t="s">
        <v>7</v>
      </c>
    </row>
    <row r="25939" customFormat="false" ht="12.8" hidden="false" customHeight="false" outlineLevel="0" collapsed="false">
      <c r="B25939" s="0" t="s">
        <v>48</v>
      </c>
    </row>
    <row r="25940" customFormat="false" ht="12.8" hidden="false" customHeight="false" outlineLevel="0" collapsed="false">
      <c r="B25940" s="0" t="s">
        <v>14</v>
      </c>
    </row>
    <row r="25942" customFormat="false" ht="12.8" hidden="false" customHeight="false" outlineLevel="0" collapsed="false">
      <c r="A25942" s="0" t="s">
        <v>9698</v>
      </c>
      <c r="B25942" s="0" t="str">
        <f aca="false">HYPERLINK("https://lindat.mff.cuni.cz/services/teitok/pdtc10/index.php?action=vallex&amp;frame=v-w3482f1", "plešatět (v-w3482f1)")</f>
        <v>plešatět (v-w3482f1)</v>
      </c>
    </row>
    <row r="25943" customFormat="false" ht="12.8" hidden="false" customHeight="false" outlineLevel="0" collapsed="false">
      <c r="B25943" s="0" t="s">
        <v>7</v>
      </c>
    </row>
    <row r="25945" customFormat="false" ht="12.8" hidden="false" customHeight="false" outlineLevel="0" collapsed="false">
      <c r="A25945" s="0" t="s">
        <v>9699</v>
      </c>
      <c r="B25945" s="0" t="str">
        <f aca="false">HYPERLINK("https://lindat.mff.cuni.cz/services/teitok/pdtc10/index.php?action=vallex&amp;frame=v-w3483f1", "plivat (v-w3483f1)")</f>
        <v>plivat (v-w3483f1)</v>
      </c>
    </row>
    <row r="25946" customFormat="false" ht="12.8" hidden="false" customHeight="false" outlineLevel="0" collapsed="false">
      <c r="B25946" s="0" t="s">
        <v>7</v>
      </c>
    </row>
    <row r="25948" customFormat="false" ht="12.8" hidden="false" customHeight="false" outlineLevel="0" collapsed="false">
      <c r="A25948" s="0" t="s">
        <v>9700</v>
      </c>
      <c r="B25948" s="0" t="str">
        <f aca="false">HYPERLINK("https://lindat.mff.cuni.cz/services/teitok/pdtc10/index.php?action=vallex&amp;frame=v-w11868_ZUf1_ZU", "plivnout (v-w11868_ZUf1_ZU)")</f>
        <v>plivnout (v-w11868_ZUf1_ZU)</v>
      </c>
    </row>
    <row r="25949" customFormat="false" ht="12.8" hidden="false" customHeight="false" outlineLevel="0" collapsed="false">
      <c r="B25949" s="0" t="s">
        <v>7</v>
      </c>
    </row>
    <row r="25951" customFormat="false" ht="12.8" hidden="false" customHeight="false" outlineLevel="0" collapsed="false">
      <c r="A25951" s="0" t="s">
        <v>9701</v>
      </c>
      <c r="B25951" s="0" t="str">
        <f aca="false">HYPERLINK("https://lindat.mff.cuni.cz/services/teitok/pdtc10/index.php?action=vallex&amp;frame=v-w3486f2", "plnit (v-w3486f2)")</f>
        <v>plnit (v-w3486f2)</v>
      </c>
    </row>
    <row r="25952" customFormat="false" ht="12.8" hidden="false" customHeight="false" outlineLevel="0" collapsed="false">
      <c r="B25952" s="0" t="s">
        <v>7</v>
      </c>
      <c r="C25952" s="0" t="s">
        <v>113</v>
      </c>
      <c r="D25952" s="0" t="s">
        <v>6737</v>
      </c>
      <c r="E25952" s="0" t="s">
        <v>6737</v>
      </c>
      <c r="F25952" s="0" t="s">
        <v>6737</v>
      </c>
    </row>
    <row r="25953" customFormat="false" ht="12.8" hidden="false" customHeight="false" outlineLevel="0" collapsed="false">
      <c r="B25953" s="0" t="s">
        <v>14</v>
      </c>
      <c r="D25953" s="0" t="s">
        <v>6739</v>
      </c>
      <c r="E25953" s="0" t="s">
        <v>6739</v>
      </c>
      <c r="F25953" s="0" t="s">
        <v>6739</v>
      </c>
    </row>
    <row r="25954" customFormat="false" ht="12.8" hidden="false" customHeight="false" outlineLevel="0" collapsed="false">
      <c r="B25954" s="0" t="s">
        <v>1408</v>
      </c>
      <c r="D25954" s="0" t="s">
        <v>6741</v>
      </c>
      <c r="E25954" s="0" t="s">
        <v>6741</v>
      </c>
      <c r="F25954" s="0" t="s">
        <v>6741</v>
      </c>
    </row>
    <row r="25956" customFormat="false" ht="12.8" hidden="false" customHeight="false" outlineLevel="0" collapsed="false">
      <c r="A25956" s="0" t="s">
        <v>9702</v>
      </c>
      <c r="B25956" s="0" t="str">
        <f aca="false">HYPERLINK("https://lindat.mff.cuni.cz/services/teitok/pdtc10/index.php?action=vallex&amp;frame=v-w3486f1", "plnit (v-w3486f1)")</f>
        <v>plnit (v-w3486f1)</v>
      </c>
    </row>
    <row r="25957" customFormat="false" ht="12.8" hidden="false" customHeight="false" outlineLevel="0" collapsed="false">
      <c r="B25957" s="0" t="s">
        <v>7</v>
      </c>
      <c r="C25957" s="0" t="s">
        <v>9703</v>
      </c>
      <c r="D25957" s="0" t="s">
        <v>9704</v>
      </c>
      <c r="E25957" s="0" t="s">
        <v>9704</v>
      </c>
      <c r="F25957" s="0" t="s">
        <v>9704</v>
      </c>
    </row>
    <row r="25958" customFormat="false" ht="12.8" hidden="false" customHeight="false" outlineLevel="0" collapsed="false">
      <c r="B25958" s="0" t="s">
        <v>232</v>
      </c>
      <c r="C25958" s="0" t="s">
        <v>9705</v>
      </c>
      <c r="D25958" s="0" t="s">
        <v>9706</v>
      </c>
      <c r="E25958" s="0" t="s">
        <v>9706</v>
      </c>
      <c r="F25958" s="0" t="s">
        <v>9706</v>
      </c>
    </row>
    <row r="25960" customFormat="false" ht="12.8" hidden="false" customHeight="false" outlineLevel="0" collapsed="false">
      <c r="A25960" s="0" t="s">
        <v>9707</v>
      </c>
      <c r="B25960" s="0" t="str">
        <f aca="false">HYPERLINK("https://lindat.mff.cuni.cz/services/teitok/pdtc10/index.php?action=vallex&amp;frame=v-w3487f1", "plnit si (v-w3487f1)")</f>
        <v>plnit si (v-w3487f1)</v>
      </c>
    </row>
    <row r="25961" customFormat="false" ht="12.8" hidden="false" customHeight="false" outlineLevel="0" collapsed="false">
      <c r="B25961" s="0" t="s">
        <v>7</v>
      </c>
    </row>
    <row r="25962" customFormat="false" ht="12.8" hidden="false" customHeight="false" outlineLevel="0" collapsed="false">
      <c r="B25962" s="0" t="s">
        <v>14</v>
      </c>
    </row>
    <row r="25964" customFormat="false" ht="12.8" hidden="false" customHeight="false" outlineLevel="0" collapsed="false">
      <c r="A25964" s="0" t="s">
        <v>9708</v>
      </c>
      <c r="B25964" s="0" t="str">
        <f aca="false">HYPERLINK("https://lindat.mff.cuni.cz/services/teitok/pdtc10/index.php?action=vallex&amp;frame=v-w3489f1", "plodit (v-w3489f1)")</f>
        <v>plodit (v-w3489f1)</v>
      </c>
    </row>
    <row r="25965" customFormat="false" ht="12.8" hidden="false" customHeight="false" outlineLevel="0" collapsed="false">
      <c r="B25965" s="0" t="s">
        <v>7</v>
      </c>
      <c r="C25965" s="0" t="s">
        <v>2940</v>
      </c>
    </row>
    <row r="25966" customFormat="false" ht="12.8" hidden="false" customHeight="false" outlineLevel="0" collapsed="false">
      <c r="B25966" s="0" t="s">
        <v>14</v>
      </c>
      <c r="C25966" s="0" t="s">
        <v>3105</v>
      </c>
    </row>
    <row r="25968" customFormat="false" ht="12.8" hidden="false" customHeight="false" outlineLevel="0" collapsed="false">
      <c r="A25968" s="0" t="s">
        <v>9709</v>
      </c>
      <c r="B25968" s="0" t="str">
        <f aca="false">HYPERLINK("https://lindat.mff.cuni.cz/services/teitok/pdtc10/index.php?action=vallex&amp;frame=v-w3489f3", "plodit (v-w3489f3)")</f>
        <v>plodit (v-w3489f3)</v>
      </c>
    </row>
    <row r="25969" customFormat="false" ht="12.8" hidden="false" customHeight="false" outlineLevel="0" collapsed="false">
      <c r="B25969" s="0" t="s">
        <v>7</v>
      </c>
    </row>
    <row r="25970" customFormat="false" ht="12.8" hidden="false" customHeight="false" outlineLevel="0" collapsed="false">
      <c r="B25970" s="0" t="s">
        <v>14</v>
      </c>
    </row>
    <row r="25972" customFormat="false" ht="12.8" hidden="false" customHeight="false" outlineLevel="0" collapsed="false">
      <c r="A25972" s="0" t="s">
        <v>9710</v>
      </c>
      <c r="B25972" s="0" t="str">
        <f aca="false">HYPERLINK("https://lindat.mff.cuni.cz/services/teitok/pdtc10/index.php?action=vallex&amp;frame=v-w3489f2", "plodit (v-w3489f2)")</f>
        <v>plodit (v-w3489f2)</v>
      </c>
    </row>
    <row r="25973" customFormat="false" ht="12.8" hidden="false" customHeight="false" outlineLevel="0" collapsed="false">
      <c r="B25973" s="0" t="s">
        <v>7</v>
      </c>
    </row>
    <row r="25974" customFormat="false" ht="12.8" hidden="false" customHeight="false" outlineLevel="0" collapsed="false">
      <c r="B25974" s="0" t="s">
        <v>14</v>
      </c>
    </row>
    <row r="25976" customFormat="false" ht="12.8" hidden="false" customHeight="false" outlineLevel="0" collapsed="false">
      <c r="A25976" s="0" t="s">
        <v>9711</v>
      </c>
      <c r="B25976" s="0" t="str">
        <f aca="false">HYPERLINK("https://lindat.mff.cuni.cz/services/teitok/pdtc10/index.php?action=vallex&amp;frame=v-w3490f1", "plout (v-w3490f1)")</f>
        <v>plout (v-w3490f1)</v>
      </c>
    </row>
    <row r="25977" customFormat="false" ht="12.8" hidden="false" customHeight="false" outlineLevel="0" collapsed="false">
      <c r="B25977" s="0" t="s">
        <v>7</v>
      </c>
      <c r="C25977" s="0" t="s">
        <v>623</v>
      </c>
      <c r="D25977" s="0" t="s">
        <v>623</v>
      </c>
      <c r="E25977" s="0" t="s">
        <v>623</v>
      </c>
      <c r="F25977" s="0" t="s">
        <v>623</v>
      </c>
    </row>
    <row r="25979" customFormat="false" ht="12.8" hidden="false" customHeight="false" outlineLevel="0" collapsed="false">
      <c r="A25979" s="0" t="s">
        <v>9712</v>
      </c>
      <c r="B25979" s="0" t="str">
        <f aca="false">HYPERLINK("https://lindat.mff.cuni.cz/services/teitok/pdtc10/index.php?action=vallex&amp;frame=v-w3490f4_ZU", "plout (v-w3490f4_ZU)")</f>
        <v>plout (v-w3490f4_ZU)</v>
      </c>
    </row>
    <row r="25980" customFormat="false" ht="12.8" hidden="false" customHeight="false" outlineLevel="0" collapsed="false">
      <c r="B25980" s="0" t="s">
        <v>7</v>
      </c>
    </row>
    <row r="25982" customFormat="false" ht="12.8" hidden="false" customHeight="false" outlineLevel="0" collapsed="false">
      <c r="A25982" s="0" t="s">
        <v>9712</v>
      </c>
      <c r="B25982" s="0" t="str">
        <f aca="false">HYPERLINK("https://lindat.mff.cuni.cz/services/teitok/pdtc10/index.php?action=vallex&amp;frame=v-w3490f2_ZU", "plout (v-w3490f2_ZU) - substituted with v-w3490f4_ZU")</f>
        <v>plout (v-w3490f2_ZU) - substituted with v-w3490f4_ZU</v>
      </c>
    </row>
    <row r="25983" customFormat="false" ht="12.8" hidden="false" customHeight="false" outlineLevel="0" collapsed="false">
      <c r="B25983" s="0" t="s">
        <v>7</v>
      </c>
    </row>
    <row r="25985" customFormat="false" ht="12.8" hidden="false" customHeight="false" outlineLevel="0" collapsed="false">
      <c r="A25985" s="0" t="s">
        <v>9712</v>
      </c>
      <c r="B25985" s="0" t="str">
        <f aca="false">HYPERLINK("https://lindat.mff.cuni.cz/services/teitok/pdtc10/index.php?action=vallex&amp;frame=v-w3490f3_ZU", "plout (v-w3490f3_ZU) - substituted with v-w3490f4_ZU")</f>
        <v>plout (v-w3490f3_ZU) - substituted with v-w3490f4_ZU</v>
      </c>
    </row>
    <row r="25986" customFormat="false" ht="12.8" hidden="false" customHeight="false" outlineLevel="0" collapsed="false">
      <c r="B25986" s="0" t="s">
        <v>7</v>
      </c>
    </row>
    <row r="25988" customFormat="false" ht="12.8" hidden="false" customHeight="false" outlineLevel="0" collapsed="false">
      <c r="A25988" s="0" t="s">
        <v>9713</v>
      </c>
      <c r="B25988" s="0" t="str">
        <f aca="false">HYPERLINK("https://lindat.mff.cuni.cz/services/teitok/pdtc10/index.php?action=vallex&amp;frame=v-whsa_1960hsa_1961", "ploužit se (v-whsa_1960hsa_1961)")</f>
        <v>ploužit se (v-whsa_1960hsa_1961)</v>
      </c>
    </row>
    <row r="25989" customFormat="false" ht="12.8" hidden="false" customHeight="false" outlineLevel="0" collapsed="false">
      <c r="B25989" s="0" t="s">
        <v>7</v>
      </c>
    </row>
    <row r="25991" customFormat="false" ht="12.8" hidden="false" customHeight="false" outlineLevel="0" collapsed="false">
      <c r="A25991" s="0" t="s">
        <v>9714</v>
      </c>
      <c r="B25991" s="0" t="str">
        <f aca="false">HYPERLINK("https://lindat.mff.cuni.cz/services/teitok/pdtc10/index.php?action=vallex&amp;frame=v-w10426f2", "plužit (v-w10426f2)")</f>
        <v>plužit (v-w10426f2)</v>
      </c>
    </row>
    <row r="25992" customFormat="false" ht="12.8" hidden="false" customHeight="false" outlineLevel="0" collapsed="false">
      <c r="B25992" s="0" t="s">
        <v>7</v>
      </c>
    </row>
    <row r="25994" customFormat="false" ht="12.8" hidden="false" customHeight="false" outlineLevel="0" collapsed="false">
      <c r="A25994" s="0" t="s">
        <v>9715</v>
      </c>
      <c r="B25994" s="0" t="str">
        <f aca="false">HYPERLINK("https://lindat.mff.cuni.cz/services/teitok/pdtc10/index.php?action=vallex&amp;frame=v-w3493f1", "plynout (v-w3493f1)")</f>
        <v>plynout (v-w3493f1)</v>
      </c>
    </row>
    <row r="25995" customFormat="false" ht="12.8" hidden="false" customHeight="false" outlineLevel="0" collapsed="false">
      <c r="B25995" s="0" t="s">
        <v>765</v>
      </c>
      <c r="C25995" s="0" t="s">
        <v>6910</v>
      </c>
    </row>
    <row r="25996" customFormat="false" ht="12.8" hidden="false" customHeight="false" outlineLevel="0" collapsed="false">
      <c r="B25996" s="0" t="s">
        <v>227</v>
      </c>
      <c r="C25996" s="0" t="s">
        <v>9716</v>
      </c>
    </row>
    <row r="25998" customFormat="false" ht="12.8" hidden="false" customHeight="false" outlineLevel="0" collapsed="false">
      <c r="A25998" s="0" t="s">
        <v>9717</v>
      </c>
      <c r="B25998" s="0" t="str">
        <f aca="false">HYPERLINK("https://lindat.mff.cuni.cz/services/teitok/pdtc10/index.php?action=vallex&amp;frame=v-w3493f2", "plynout (v-w3493f2)")</f>
        <v>plynout (v-w3493f2)</v>
      </c>
    </row>
    <row r="25999" customFormat="false" ht="12.8" hidden="false" customHeight="false" outlineLevel="0" collapsed="false">
      <c r="B25999" s="0" t="s">
        <v>7</v>
      </c>
      <c r="F25999" s="0" t="s">
        <v>5375</v>
      </c>
    </row>
    <row r="26001" customFormat="false" ht="12.8" hidden="false" customHeight="false" outlineLevel="0" collapsed="false">
      <c r="A26001" s="0" t="s">
        <v>9718</v>
      </c>
      <c r="B26001" s="0" t="str">
        <f aca="false">HYPERLINK("https://lindat.mff.cuni.cz/services/teitok/pdtc10/index.php?action=vallex&amp;frame=v-w3493f3", "plynout (v-w3493f3)")</f>
        <v>plynout (v-w3493f3)</v>
      </c>
    </row>
    <row r="26002" customFormat="false" ht="12.8" hidden="false" customHeight="false" outlineLevel="0" collapsed="false">
      <c r="B26002" s="0" t="s">
        <v>7</v>
      </c>
      <c r="C26002" s="0" t="s">
        <v>9719</v>
      </c>
    </row>
    <row r="26004" customFormat="false" ht="12.8" hidden="false" customHeight="false" outlineLevel="0" collapsed="false">
      <c r="A26004" s="0" t="s">
        <v>9720</v>
      </c>
      <c r="B26004" s="0" t="str">
        <f aca="false">HYPERLINK("https://lindat.mff.cuni.cz/services/teitok/pdtc10/index.php?action=vallex&amp;frame=v-w11697_ZUf2_ZU", "plynovat (v-w11697_ZUf2_ZU)")</f>
        <v>plynovat (v-w11697_ZUf2_ZU)</v>
      </c>
    </row>
    <row r="26005" customFormat="false" ht="12.8" hidden="false" customHeight="false" outlineLevel="0" collapsed="false">
      <c r="B26005" s="0" t="s">
        <v>7</v>
      </c>
    </row>
    <row r="26006" customFormat="false" ht="12.8" hidden="false" customHeight="false" outlineLevel="0" collapsed="false">
      <c r="B26006" s="0" t="s">
        <v>14</v>
      </c>
    </row>
    <row r="26008" customFormat="false" ht="12.8" hidden="false" customHeight="false" outlineLevel="0" collapsed="false">
      <c r="A26008" s="0" t="s">
        <v>9720</v>
      </c>
      <c r="B26008" s="0" t="str">
        <f aca="false">HYPERLINK("https://lindat.mff.cuni.cz/services/teitok/pdtc10/index.php?action=vallex&amp;frame=v-w11697_ZUf1_ZU", "plynovat (v-w11697_ZUf1_ZU) - substituted with v-w11697_ZUf2_ZU")</f>
        <v>plynovat (v-w11697_ZUf1_ZU) - substituted with v-w11697_ZUf2_ZU</v>
      </c>
    </row>
    <row r="26009" customFormat="false" ht="12.8" hidden="false" customHeight="false" outlineLevel="0" collapsed="false">
      <c r="B26009" s="0" t="s">
        <v>7</v>
      </c>
    </row>
    <row r="26010" customFormat="false" ht="12.8" hidden="false" customHeight="false" outlineLevel="0" collapsed="false">
      <c r="B26010" s="0" t="s">
        <v>14</v>
      </c>
    </row>
    <row r="26012" customFormat="false" ht="12.8" hidden="false" customHeight="false" outlineLevel="0" collapsed="false">
      <c r="A26012" s="0" t="s">
        <v>9721</v>
      </c>
      <c r="B26012" s="0" t="str">
        <f aca="false">HYPERLINK("https://lindat.mff.cuni.cz/services/teitok/pdtc10/index.php?action=vallex&amp;frame=v-whsb_1142f2_MM", "plácat (v-whsb_1142f2_MM)")</f>
        <v>plácat (v-whsb_1142f2_MM)</v>
      </c>
    </row>
    <row r="26013" customFormat="false" ht="12.8" hidden="false" customHeight="false" outlineLevel="0" collapsed="false">
      <c r="B26013" s="0" t="s">
        <v>7</v>
      </c>
    </row>
    <row r="26014" customFormat="false" ht="12.8" hidden="false" customHeight="false" outlineLevel="0" collapsed="false">
      <c r="B26014" s="0" t="s">
        <v>9722</v>
      </c>
    </row>
    <row r="26016" customFormat="false" ht="12.8" hidden="false" customHeight="false" outlineLevel="0" collapsed="false">
      <c r="A26016" s="0" t="s">
        <v>9721</v>
      </c>
      <c r="B26016" s="0" t="str">
        <f aca="false">HYPERLINK("https://lindat.mff.cuni.cz/services/teitok/pdtc10/index.php?action=vallex&amp;frame=v-whsa_1142f1_ZU", "plácat (v-whsa_1142f1_ZU) - substituted with v-whsb_1142f2_MM")</f>
        <v>plácat (v-whsa_1142f1_ZU) - substituted with v-whsb_1142f2_MM</v>
      </c>
    </row>
    <row r="26017" customFormat="false" ht="12.8" hidden="false" customHeight="false" outlineLevel="0" collapsed="false">
      <c r="B26017" s="0" t="s">
        <v>7</v>
      </c>
    </row>
    <row r="26018" customFormat="false" ht="12.8" hidden="false" customHeight="false" outlineLevel="0" collapsed="false">
      <c r="B26018" s="0" t="s">
        <v>9722</v>
      </c>
    </row>
    <row r="26020" customFormat="false" ht="12.8" hidden="false" customHeight="false" outlineLevel="0" collapsed="false">
      <c r="A26020" s="0" t="s">
        <v>9721</v>
      </c>
      <c r="B26020" s="0" t="str">
        <f aca="false">HYPERLINK("https://lindat.mff.cuni.cz/services/teitok/pdtc10/index.php?action=vallex&amp;frame=v-whsa_1142hsa_1143", "plácat (v-whsa_1142hsa_1143) - substituted with v-whsb_1142f2_MM")</f>
        <v>plácat (v-whsa_1142hsa_1143) - substituted with v-whsb_1142f2_MM</v>
      </c>
    </row>
    <row r="26021" customFormat="false" ht="12.8" hidden="false" customHeight="false" outlineLevel="0" collapsed="false">
      <c r="B26021" s="0" t="s">
        <v>7</v>
      </c>
    </row>
    <row r="26022" customFormat="false" ht="12.8" hidden="false" customHeight="false" outlineLevel="0" collapsed="false">
      <c r="B26022" s="0" t="s">
        <v>9722</v>
      </c>
    </row>
    <row r="26024" customFormat="false" ht="12.8" hidden="false" customHeight="false" outlineLevel="0" collapsed="false">
      <c r="A26024" s="0" t="s">
        <v>9723</v>
      </c>
      <c r="B26024" s="0" t="str">
        <f aca="false">HYPERLINK("https://lindat.mff.cuni.cz/services/teitok/pdtc10/index.php?action=vallex&amp;frame=v-w3452f1", "plácat se (v-w3452f1)")</f>
        <v>plácat se (v-w3452f1)</v>
      </c>
    </row>
    <row r="26025" customFormat="false" ht="12.8" hidden="false" customHeight="false" outlineLevel="0" collapsed="false">
      <c r="B26025" s="0" t="s">
        <v>7</v>
      </c>
      <c r="F26025" s="0" t="s">
        <v>191</v>
      </c>
    </row>
    <row r="26026" customFormat="false" ht="12.8" hidden="false" customHeight="false" outlineLevel="0" collapsed="false">
      <c r="B26026" s="0" t="s">
        <v>11</v>
      </c>
    </row>
    <row r="26028" customFormat="false" ht="12.8" hidden="false" customHeight="false" outlineLevel="0" collapsed="false">
      <c r="A26028" s="0" t="s">
        <v>9724</v>
      </c>
      <c r="B26028" s="0" t="str">
        <f aca="false">HYPERLINK("https://lindat.mff.cuni.cz/services/teitok/pdtc10/index.php?action=vallex&amp;frame=v-w3455f3", "plácnout (v-w3455f3)")</f>
        <v>plácnout (v-w3455f3)</v>
      </c>
    </row>
    <row r="26029" customFormat="false" ht="12.8" hidden="false" customHeight="false" outlineLevel="0" collapsed="false">
      <c r="B26029" s="0" t="s">
        <v>7</v>
      </c>
      <c r="C26029" s="0" t="s">
        <v>184</v>
      </c>
      <c r="D26029" s="0" t="s">
        <v>184</v>
      </c>
      <c r="E26029" s="0" t="s">
        <v>184</v>
      </c>
      <c r="F26029" s="0" t="s">
        <v>184</v>
      </c>
    </row>
    <row r="26030" customFormat="false" ht="12.8" hidden="false" customHeight="false" outlineLevel="0" collapsed="false">
      <c r="B26030" s="0" t="s">
        <v>14</v>
      </c>
      <c r="C26030" s="0" t="s">
        <v>384</v>
      </c>
      <c r="D26030" s="0" t="s">
        <v>33</v>
      </c>
      <c r="E26030" s="0" t="s">
        <v>33</v>
      </c>
      <c r="F26030" s="0" t="s">
        <v>33</v>
      </c>
    </row>
    <row r="26032" customFormat="false" ht="12.8" hidden="false" customHeight="false" outlineLevel="0" collapsed="false">
      <c r="A26032" s="0" t="s">
        <v>9725</v>
      </c>
      <c r="B26032" s="0" t="str">
        <f aca="false">HYPERLINK("https://lindat.mff.cuni.cz/services/teitok/pdtc10/index.php?action=vallex&amp;frame=v-w3455f1", "plácnout (v-w3455f1)")</f>
        <v>plácnout (v-w3455f1)</v>
      </c>
    </row>
    <row r="26033" customFormat="false" ht="12.8" hidden="false" customHeight="false" outlineLevel="0" collapsed="false">
      <c r="B26033" s="0" t="s">
        <v>7</v>
      </c>
    </row>
    <row r="26034" customFormat="false" ht="12.8" hidden="false" customHeight="false" outlineLevel="0" collapsed="false">
      <c r="B26034" s="0" t="s">
        <v>5525</v>
      </c>
    </row>
    <row r="26035" customFormat="false" ht="12.8" hidden="false" customHeight="false" outlineLevel="0" collapsed="false">
      <c r="B26035" s="0" t="s">
        <v>363</v>
      </c>
    </row>
    <row r="26037" customFormat="false" ht="12.8" hidden="false" customHeight="false" outlineLevel="0" collapsed="false">
      <c r="A26037" s="0" t="s">
        <v>9726</v>
      </c>
      <c r="B26037" s="0" t="str">
        <f aca="false">HYPERLINK("https://lindat.mff.cuni.cz/services/teitok/pdtc10/index.php?action=vallex&amp;frame=v-w3455hsa_1581", "plácnout (v-w3455hsa_1581)")</f>
        <v>plácnout (v-w3455hsa_1581)</v>
      </c>
    </row>
    <row r="26038" customFormat="false" ht="12.8" hidden="false" customHeight="false" outlineLevel="0" collapsed="false">
      <c r="B26038" s="0" t="s">
        <v>7</v>
      </c>
    </row>
    <row r="26039" customFormat="false" ht="12.8" hidden="false" customHeight="false" outlineLevel="0" collapsed="false">
      <c r="B26039" s="0" t="s">
        <v>216</v>
      </c>
    </row>
    <row r="26041" customFormat="false" ht="12.8" hidden="false" customHeight="false" outlineLevel="0" collapsed="false">
      <c r="A26041" s="0" t="s">
        <v>9727</v>
      </c>
      <c r="B26041" s="0" t="str">
        <f aca="false">HYPERLINK("https://lindat.mff.cuni.cz/services/teitok/pdtc10/index.php?action=vallex&amp;frame=v-w3462f1", "plánovat (v-w3462f1)")</f>
        <v>plánovat (v-w3462f1)</v>
      </c>
    </row>
    <row r="26042" customFormat="false" ht="12.8" hidden="false" customHeight="false" outlineLevel="0" collapsed="false">
      <c r="B26042" s="0" t="s">
        <v>7</v>
      </c>
      <c r="C26042" s="0" t="s">
        <v>9728</v>
      </c>
      <c r="D26042" s="0" t="s">
        <v>5583</v>
      </c>
      <c r="E26042" s="0" t="s">
        <v>5583</v>
      </c>
      <c r="F26042" s="0" t="s">
        <v>5583</v>
      </c>
    </row>
    <row r="26043" customFormat="false" ht="12.8" hidden="false" customHeight="false" outlineLevel="0" collapsed="false">
      <c r="B26043" s="0" t="s">
        <v>9729</v>
      </c>
      <c r="C26043" s="0" t="s">
        <v>9730</v>
      </c>
      <c r="D26043" s="0" t="s">
        <v>5585</v>
      </c>
      <c r="E26043" s="0" t="s">
        <v>5585</v>
      </c>
      <c r="F26043" s="0" t="s">
        <v>5585</v>
      </c>
    </row>
    <row r="26045" customFormat="false" ht="12.8" hidden="false" customHeight="false" outlineLevel="0" collapsed="false">
      <c r="A26045" s="0" t="s">
        <v>9731</v>
      </c>
      <c r="B26045" s="0" t="str">
        <f aca="false">HYPERLINK("https://lindat.mff.cuni.cz/services/teitok/pdtc10/index.php?action=vallex&amp;frame=v-w3477f1", "plédovat (v-w3477f1)")</f>
        <v>plédovat (v-w3477f1)</v>
      </c>
    </row>
    <row r="26046" customFormat="false" ht="12.8" hidden="false" customHeight="false" outlineLevel="0" collapsed="false">
      <c r="B26046" s="0" t="s">
        <v>457</v>
      </c>
    </row>
    <row r="26047" customFormat="false" ht="12.8" hidden="false" customHeight="false" outlineLevel="0" collapsed="false">
      <c r="B26047" s="0" t="s">
        <v>1685</v>
      </c>
    </row>
    <row r="26049" customFormat="false" ht="12.8" hidden="false" customHeight="false" outlineLevel="0" collapsed="false">
      <c r="A26049" s="0" t="s">
        <v>9732</v>
      </c>
      <c r="B26049" s="0" t="str">
        <f aca="false">HYPERLINK("https://lindat.mff.cuni.cz/services/teitok/pdtc10/index.php?action=vallex&amp;frame=v-w3479f2", "plést (v-w3479f2)")</f>
        <v>plést (v-w3479f2)</v>
      </c>
    </row>
    <row r="26050" customFormat="false" ht="12.8" hidden="false" customHeight="false" outlineLevel="0" collapsed="false">
      <c r="B26050" s="0" t="s">
        <v>7</v>
      </c>
    </row>
    <row r="26051" customFormat="false" ht="12.8" hidden="false" customHeight="false" outlineLevel="0" collapsed="false">
      <c r="B26051" s="0" t="s">
        <v>14</v>
      </c>
    </row>
    <row r="26052" customFormat="false" ht="12.8" hidden="false" customHeight="false" outlineLevel="0" collapsed="false">
      <c r="B26052" s="0" t="s">
        <v>9733</v>
      </c>
    </row>
    <row r="26054" customFormat="false" ht="12.8" hidden="false" customHeight="false" outlineLevel="0" collapsed="false">
      <c r="A26054" s="0" t="s">
        <v>9734</v>
      </c>
      <c r="B26054" s="0" t="str">
        <f aca="false">HYPERLINK("https://lindat.mff.cuni.cz/services/teitok/pdtc10/index.php?action=vallex&amp;frame=v-w3479f1", "plést (v-w3479f1)")</f>
        <v>plést (v-w3479f1)</v>
      </c>
    </row>
    <row r="26055" customFormat="false" ht="12.8" hidden="false" customHeight="false" outlineLevel="0" collapsed="false">
      <c r="B26055" s="0" t="s">
        <v>641</v>
      </c>
      <c r="C26055" s="0" t="s">
        <v>191</v>
      </c>
    </row>
    <row r="26056" customFormat="false" ht="12.8" hidden="false" customHeight="false" outlineLevel="0" collapsed="false">
      <c r="B26056" s="0" t="s">
        <v>14</v>
      </c>
      <c r="C26056" s="0" t="s">
        <v>155</v>
      </c>
    </row>
    <row r="26058" customFormat="false" ht="12.8" hidden="false" customHeight="false" outlineLevel="0" collapsed="false">
      <c r="A26058" s="0" t="s">
        <v>9735</v>
      </c>
      <c r="B26058" s="0" t="str">
        <f aca="false">HYPERLINK("https://lindat.mff.cuni.cz/services/teitok/pdtc10/index.php?action=vallex&amp;frame=v-w3479f3_ZU", "plést (v-w3479f3_ZU)")</f>
        <v>plést (v-w3479f3_ZU)</v>
      </c>
    </row>
    <row r="26059" customFormat="false" ht="12.8" hidden="false" customHeight="false" outlineLevel="0" collapsed="false">
      <c r="B26059" s="0" t="s">
        <v>7</v>
      </c>
    </row>
    <row r="26060" customFormat="false" ht="12.8" hidden="false" customHeight="false" outlineLevel="0" collapsed="false">
      <c r="B26060" s="0" t="s">
        <v>14</v>
      </c>
    </row>
    <row r="26061" customFormat="false" ht="12.8" hidden="false" customHeight="false" outlineLevel="0" collapsed="false">
      <c r="B26061" s="0" t="s">
        <v>338</v>
      </c>
    </row>
    <row r="26063" customFormat="false" ht="12.8" hidden="false" customHeight="false" outlineLevel="0" collapsed="false">
      <c r="A26063" s="0" t="s">
        <v>9736</v>
      </c>
      <c r="B26063" s="0" t="str">
        <f aca="false">HYPERLINK("https://lindat.mff.cuni.cz/services/teitok/pdtc10/index.php?action=vallex&amp;frame=v-w3479hsa_537", "plést (v-w3479hsa_537)")</f>
        <v>plést (v-w3479hsa_537)</v>
      </c>
    </row>
    <row r="26064" customFormat="false" ht="12.8" hidden="false" customHeight="false" outlineLevel="0" collapsed="false">
      <c r="B26064" s="0" t="s">
        <v>7</v>
      </c>
    </row>
    <row r="26065" customFormat="false" ht="12.8" hidden="false" customHeight="false" outlineLevel="0" collapsed="false">
      <c r="B26065" s="0" t="s">
        <v>14</v>
      </c>
    </row>
    <row r="26066" customFormat="false" ht="12.8" hidden="false" customHeight="false" outlineLevel="0" collapsed="false">
      <c r="B26066" s="0" t="s">
        <v>35</v>
      </c>
    </row>
    <row r="26068" customFormat="false" ht="12.8" hidden="false" customHeight="false" outlineLevel="0" collapsed="false">
      <c r="A26068" s="0" t="s">
        <v>9737</v>
      </c>
      <c r="B26068" s="0" t="str">
        <f aca="false">HYPERLINK("https://lindat.mff.cuni.cz/services/teitok/pdtc10/index.php?action=vallex&amp;frame=v-w3480f1", "plést se (v-w3480f1)")</f>
        <v>plést se (v-w3480f1)</v>
      </c>
    </row>
    <row r="26069" customFormat="false" ht="12.8" hidden="false" customHeight="false" outlineLevel="0" collapsed="false">
      <c r="B26069" s="0" t="s">
        <v>7</v>
      </c>
    </row>
    <row r="26070" customFormat="false" ht="12.8" hidden="false" customHeight="false" outlineLevel="0" collapsed="false">
      <c r="B26070" s="0" t="s">
        <v>548</v>
      </c>
    </row>
    <row r="26071" customFormat="false" ht="12.8" hidden="false" customHeight="false" outlineLevel="0" collapsed="false">
      <c r="B26071" s="0" t="s">
        <v>2571</v>
      </c>
    </row>
    <row r="26073" customFormat="false" ht="12.8" hidden="false" customHeight="false" outlineLevel="0" collapsed="false">
      <c r="A26073" s="0" t="s">
        <v>9738</v>
      </c>
      <c r="B26073" s="0" t="str">
        <f aca="false">HYPERLINK("https://lindat.mff.cuni.cz/services/teitok/pdtc10/index.php?action=vallex&amp;frame=v-w3480f2", "plést se (v-w3480f2)")</f>
        <v>plést se (v-w3480f2)</v>
      </c>
    </row>
    <row r="26074" customFormat="false" ht="12.8" hidden="false" customHeight="false" outlineLevel="0" collapsed="false">
      <c r="B26074" s="0" t="s">
        <v>7</v>
      </c>
      <c r="C26074" s="0" t="s">
        <v>108</v>
      </c>
      <c r="D26074" s="0" t="s">
        <v>5834</v>
      </c>
      <c r="E26074" s="0" t="s">
        <v>5834</v>
      </c>
      <c r="F26074" s="0" t="s">
        <v>5834</v>
      </c>
    </row>
    <row r="26075" customFormat="false" ht="12.8" hidden="false" customHeight="false" outlineLevel="0" collapsed="false">
      <c r="B26075" s="0" t="s">
        <v>985</v>
      </c>
      <c r="C26075" s="0" t="s">
        <v>624</v>
      </c>
      <c r="D26075" s="0" t="s">
        <v>5837</v>
      </c>
      <c r="E26075" s="0" t="s">
        <v>5837</v>
      </c>
      <c r="F26075" s="0" t="s">
        <v>5837</v>
      </c>
    </row>
    <row r="26077" customFormat="false" ht="12.8" hidden="false" customHeight="false" outlineLevel="0" collapsed="false">
      <c r="A26077" s="0" t="s">
        <v>9739</v>
      </c>
      <c r="B26077" s="0" t="str">
        <f aca="false">HYPERLINK("https://lindat.mff.cuni.cz/services/teitok/pdtc10/index.php?action=vallex&amp;frame=v-w3480f3", "plést se (v-w3480f3)")</f>
        <v>plést se (v-w3480f3)</v>
      </c>
    </row>
    <row r="26078" customFormat="false" ht="12.8" hidden="false" customHeight="false" outlineLevel="0" collapsed="false">
      <c r="B26078" s="0" t="s">
        <v>7</v>
      </c>
    </row>
    <row r="26080" customFormat="false" ht="12.8" hidden="false" customHeight="false" outlineLevel="0" collapsed="false">
      <c r="A26080" s="0" t="s">
        <v>9740</v>
      </c>
      <c r="B26080" s="0" t="str">
        <f aca="false">HYPERLINK("https://lindat.mff.cuni.cz/services/teitok/pdtc10/index.php?action=vallex&amp;frame=v-w3480f4_ZU", "plést se (v-w3480f4_ZU)")</f>
        <v>plést se (v-w3480f4_ZU)</v>
      </c>
    </row>
    <row r="26081" customFormat="false" ht="12.8" hidden="false" customHeight="false" outlineLevel="0" collapsed="false">
      <c r="B26081" s="0" t="s">
        <v>7</v>
      </c>
    </row>
    <row r="26082" customFormat="false" ht="12.8" hidden="false" customHeight="false" outlineLevel="0" collapsed="false">
      <c r="B26082" s="0" t="s">
        <v>119</v>
      </c>
    </row>
    <row r="26084" customFormat="false" ht="12.8" hidden="false" customHeight="false" outlineLevel="0" collapsed="false">
      <c r="A26084" s="0" t="s">
        <v>9741</v>
      </c>
      <c r="B26084" s="0" t="str">
        <f aca="false">HYPERLINK("https://lindat.mff.cuni.cz/services/teitok/pdtc10/index.php?action=vallex&amp;frame=v-w3481f1", "plést si (v-w3481f1)")</f>
        <v>plést si (v-w3481f1)</v>
      </c>
    </row>
    <row r="26085" customFormat="false" ht="12.8" hidden="false" customHeight="false" outlineLevel="0" collapsed="false">
      <c r="B26085" s="0" t="s">
        <v>7</v>
      </c>
      <c r="C26085" s="0" t="s">
        <v>200</v>
      </c>
      <c r="D26085" s="0" t="s">
        <v>200</v>
      </c>
      <c r="E26085" s="0" t="s">
        <v>200</v>
      </c>
      <c r="F26085" s="0" t="s">
        <v>200</v>
      </c>
    </row>
    <row r="26086" customFormat="false" ht="12.8" hidden="false" customHeight="false" outlineLevel="0" collapsed="false">
      <c r="B26086" s="0" t="s">
        <v>14</v>
      </c>
      <c r="C26086" s="0" t="s">
        <v>8609</v>
      </c>
      <c r="D26086" s="0" t="s">
        <v>8609</v>
      </c>
      <c r="E26086" s="0" t="s">
        <v>8609</v>
      </c>
      <c r="F26086" s="0" t="s">
        <v>8609</v>
      </c>
    </row>
    <row r="26087" customFormat="false" ht="12.8" hidden="false" customHeight="false" outlineLevel="0" collapsed="false">
      <c r="B26087" s="0" t="s">
        <v>3086</v>
      </c>
      <c r="C26087" s="0" t="s">
        <v>4597</v>
      </c>
      <c r="D26087" s="0" t="s">
        <v>4597</v>
      </c>
      <c r="E26087" s="0" t="s">
        <v>4597</v>
      </c>
      <c r="F26087" s="0" t="s">
        <v>4597</v>
      </c>
    </row>
    <row r="26089" customFormat="false" ht="12.8" hidden="false" customHeight="false" outlineLevel="0" collapsed="false">
      <c r="A26089" s="0" t="s">
        <v>9742</v>
      </c>
      <c r="B26089" s="0" t="str">
        <f aca="false">HYPERLINK("https://lindat.mff.cuni.cz/services/teitok/pdtc10/index.php?action=vallex&amp;frame=v-w3481f2", "plést si (v-w3481f2)")</f>
        <v>plést si (v-w3481f2)</v>
      </c>
    </row>
    <row r="26090" customFormat="false" ht="12.8" hidden="false" customHeight="false" outlineLevel="0" collapsed="false">
      <c r="B26090" s="0" t="s">
        <v>7</v>
      </c>
      <c r="C26090" s="0" t="s">
        <v>200</v>
      </c>
    </row>
    <row r="26091" customFormat="false" ht="12.8" hidden="false" customHeight="false" outlineLevel="0" collapsed="false">
      <c r="B26091" s="0" t="s">
        <v>232</v>
      </c>
      <c r="C26091" s="0" t="s">
        <v>8609</v>
      </c>
    </row>
    <row r="26093" customFormat="false" ht="12.8" hidden="false" customHeight="false" outlineLevel="0" collapsed="false">
      <c r="A26093" s="0" t="s">
        <v>9743</v>
      </c>
      <c r="B26093" s="0" t="str">
        <f aca="false">HYPERLINK("https://lindat.mff.cuni.cz/services/teitok/pdtc10/index.php?action=vallex&amp;frame=v-w11030f2", "plísnit (v-w11030f2)")</f>
        <v>plísnit (v-w11030f2)</v>
      </c>
    </row>
    <row r="26094" customFormat="false" ht="12.8" hidden="false" customHeight="false" outlineLevel="0" collapsed="false">
      <c r="B26094" s="0" t="s">
        <v>7</v>
      </c>
    </row>
    <row r="26095" customFormat="false" ht="12.8" hidden="false" customHeight="false" outlineLevel="0" collapsed="false">
      <c r="B26095" s="0" t="s">
        <v>14</v>
      </c>
    </row>
    <row r="26097" customFormat="false" ht="12.8" hidden="false" customHeight="false" outlineLevel="0" collapsed="false">
      <c r="A26097" s="0" t="s">
        <v>9744</v>
      </c>
      <c r="B26097" s="0" t="str">
        <f aca="false">HYPERLINK("https://lindat.mff.cuni.cz/services/teitok/pdtc10/index.php?action=vallex&amp;frame=v-whsa_1668hsa_1669", "plít (v-whsa_1668hsa_1669)")</f>
        <v>plít (v-whsa_1668hsa_1669)</v>
      </c>
    </row>
    <row r="26098" customFormat="false" ht="12.8" hidden="false" customHeight="false" outlineLevel="0" collapsed="false">
      <c r="B26098" s="0" t="s">
        <v>7</v>
      </c>
    </row>
    <row r="26099" customFormat="false" ht="12.8" hidden="false" customHeight="false" outlineLevel="0" collapsed="false">
      <c r="B26099" s="0" t="s">
        <v>14</v>
      </c>
    </row>
    <row r="26101" customFormat="false" ht="12.8" hidden="false" customHeight="false" outlineLevel="0" collapsed="false">
      <c r="A26101" s="0" t="s">
        <v>9745</v>
      </c>
      <c r="B26101" s="0" t="str">
        <f aca="false">HYPERLINK("https://lindat.mff.cuni.cz/services/teitok/pdtc10/index.php?action=vallex&amp;frame=v-w11312f1", "plížit se (v-w11312f1)")</f>
        <v>plížit se (v-w11312f1)</v>
      </c>
    </row>
    <row r="26102" customFormat="false" ht="12.8" hidden="false" customHeight="false" outlineLevel="0" collapsed="false">
      <c r="B26102" s="0" t="s">
        <v>7</v>
      </c>
      <c r="C26102" s="0" t="s">
        <v>184</v>
      </c>
      <c r="D26102" s="0" t="s">
        <v>2736</v>
      </c>
      <c r="E26102" s="0" t="s">
        <v>2736</v>
      </c>
      <c r="F26102" s="0" t="s">
        <v>2736</v>
      </c>
    </row>
    <row r="26104" customFormat="false" ht="12.8" hidden="false" customHeight="false" outlineLevel="0" collapsed="false">
      <c r="A26104" s="0" t="s">
        <v>9746</v>
      </c>
      <c r="B26104" s="0" t="str">
        <f aca="false">HYPERLINK("https://lindat.mff.cuni.cz/services/teitok/pdtc10/index.php?action=vallex&amp;frame=v-w3495f2_ZU", "plýtvat (v-w3495f2_ZU)")</f>
        <v>plýtvat (v-w3495f2_ZU)</v>
      </c>
    </row>
    <row r="26105" customFormat="false" ht="12.8" hidden="false" customHeight="false" outlineLevel="0" collapsed="false">
      <c r="B26105" s="0" t="s">
        <v>7</v>
      </c>
      <c r="C26105" s="0" t="s">
        <v>113</v>
      </c>
      <c r="D26105" s="0" t="s">
        <v>1263</v>
      </c>
      <c r="E26105" s="0" t="s">
        <v>1263</v>
      </c>
      <c r="F26105" s="0" t="s">
        <v>1263</v>
      </c>
    </row>
    <row r="26106" customFormat="false" ht="12.8" hidden="false" customHeight="false" outlineLevel="0" collapsed="false">
      <c r="B26106" s="0" t="s">
        <v>5557</v>
      </c>
      <c r="C26106" s="0" t="s">
        <v>74</v>
      </c>
      <c r="D26106" s="0" t="s">
        <v>159</v>
      </c>
      <c r="E26106" s="0" t="s">
        <v>159</v>
      </c>
      <c r="F26106" s="0" t="s">
        <v>159</v>
      </c>
    </row>
    <row r="26108" customFormat="false" ht="12.8" hidden="false" customHeight="false" outlineLevel="0" collapsed="false">
      <c r="A26108" s="0" t="s">
        <v>9746</v>
      </c>
      <c r="B26108" s="0" t="str">
        <f aca="false">HYPERLINK("https://lindat.mff.cuni.cz/services/teitok/pdtc10/index.php?action=vallex&amp;frame=v-w3495f1", "plýtvat (v-w3495f1) - substituted with v-w3495f2_ZU")</f>
        <v>plýtvat (v-w3495f1) - substituted with v-w3495f2_ZU</v>
      </c>
    </row>
    <row r="26109" customFormat="false" ht="12.8" hidden="false" customHeight="false" outlineLevel="0" collapsed="false">
      <c r="B26109" s="0" t="s">
        <v>7</v>
      </c>
      <c r="C26109" s="0" t="s">
        <v>569</v>
      </c>
    </row>
    <row r="26110" customFormat="false" ht="12.8" hidden="false" customHeight="false" outlineLevel="0" collapsed="false">
      <c r="B26110" s="0" t="s">
        <v>5557</v>
      </c>
      <c r="C26110" s="0" t="s">
        <v>1209</v>
      </c>
    </row>
    <row r="26112" customFormat="false" ht="12.8" hidden="false" customHeight="false" outlineLevel="0" collapsed="false">
      <c r="A26112" s="0" t="s">
        <v>9747</v>
      </c>
      <c r="B26112" s="0" t="str">
        <f aca="false">HYPERLINK("https://lindat.mff.cuni.cz/services/teitok/pdtc10/index.php?action=vallex&amp;frame=v-whsa_1205hsa_1206", "pobabit se (v-whsa_1205hsa_1206)")</f>
        <v>pobabit se (v-whsa_1205hsa_1206)</v>
      </c>
    </row>
    <row r="26113" customFormat="false" ht="12.8" hidden="false" customHeight="false" outlineLevel="0" collapsed="false">
      <c r="B26113" s="0" t="s">
        <v>7</v>
      </c>
    </row>
    <row r="26115" customFormat="false" ht="12.8" hidden="false" customHeight="false" outlineLevel="0" collapsed="false">
      <c r="A26115" s="0" t="s">
        <v>9748</v>
      </c>
      <c r="B26115" s="0" t="str">
        <f aca="false">HYPERLINK("https://lindat.mff.cuni.cz/services/teitok/pdtc10/index.php?action=vallex&amp;frame=v-w11865_ZUf1_ZU", "pobalit (v-w11865_ZUf1_ZU)")</f>
        <v>pobalit (v-w11865_ZUf1_ZU)</v>
      </c>
    </row>
    <row r="26116" customFormat="false" ht="12.8" hidden="false" customHeight="false" outlineLevel="0" collapsed="false">
      <c r="B26116" s="0" t="s">
        <v>7</v>
      </c>
    </row>
    <row r="26117" customFormat="false" ht="12.8" hidden="false" customHeight="false" outlineLevel="0" collapsed="false">
      <c r="B26117" s="0" t="s">
        <v>14</v>
      </c>
    </row>
    <row r="26118" customFormat="false" ht="12.8" hidden="false" customHeight="false" outlineLevel="0" collapsed="false">
      <c r="B26118" s="0" t="s">
        <v>181</v>
      </c>
    </row>
    <row r="26120" customFormat="false" ht="12.8" hidden="false" customHeight="false" outlineLevel="0" collapsed="false">
      <c r="A26120" s="0" t="s">
        <v>9749</v>
      </c>
      <c r="B26120" s="0" t="str">
        <f aca="false">HYPERLINK("https://lindat.mff.cuni.cz/services/teitok/pdtc10/index.php?action=vallex&amp;frame=v-w3498hsa_1539", "pobavit (v-w3498hsa_1539)")</f>
        <v>pobavit (v-w3498hsa_1539)</v>
      </c>
    </row>
    <row r="26121" customFormat="false" ht="12.8" hidden="false" customHeight="false" outlineLevel="0" collapsed="false">
      <c r="B26121" s="0" t="s">
        <v>641</v>
      </c>
    </row>
    <row r="26122" customFormat="false" ht="12.8" hidden="false" customHeight="false" outlineLevel="0" collapsed="false">
      <c r="B26122" s="0" t="s">
        <v>14</v>
      </c>
    </row>
    <row r="26124" customFormat="false" ht="12.8" hidden="false" customHeight="false" outlineLevel="0" collapsed="false">
      <c r="A26124" s="0" t="s">
        <v>9749</v>
      </c>
      <c r="B26124" s="0" t="str">
        <f aca="false">HYPERLINK("https://lindat.mff.cuni.cz/services/teitok/pdtc10/index.php?action=vallex&amp;frame=v-w3498f1", "pobavit (v-w3498f1) - substituted with v-w3498hsa_1539")</f>
        <v>pobavit (v-w3498f1) - substituted with v-w3498hsa_1539</v>
      </c>
    </row>
    <row r="26125" customFormat="false" ht="12.8" hidden="false" customHeight="false" outlineLevel="0" collapsed="false">
      <c r="B26125" s="0" t="s">
        <v>641</v>
      </c>
      <c r="C26125" s="0" t="s">
        <v>46</v>
      </c>
      <c r="D26125" s="0" t="s">
        <v>46</v>
      </c>
      <c r="E26125" s="0" t="s">
        <v>46</v>
      </c>
      <c r="F26125" s="0" t="s">
        <v>3904</v>
      </c>
    </row>
    <row r="26126" customFormat="false" ht="12.8" hidden="false" customHeight="false" outlineLevel="0" collapsed="false">
      <c r="B26126" s="0" t="s">
        <v>14</v>
      </c>
      <c r="C26126" s="0" t="s">
        <v>155</v>
      </c>
      <c r="D26126" s="0" t="s">
        <v>155</v>
      </c>
      <c r="E26126" s="0" t="s">
        <v>155</v>
      </c>
      <c r="F26126" s="0" t="s">
        <v>9750</v>
      </c>
    </row>
    <row r="26128" customFormat="false" ht="12.8" hidden="false" customHeight="false" outlineLevel="0" collapsed="false">
      <c r="A26128" s="0" t="s">
        <v>9751</v>
      </c>
      <c r="B26128" s="0" t="str">
        <f aca="false">HYPERLINK("https://lindat.mff.cuni.cz/services/teitok/pdtc10/index.php?action=vallex&amp;frame=v-w3499f1", "pobavit se (v-w3499f1)")</f>
        <v>pobavit se (v-w3499f1)</v>
      </c>
    </row>
    <row r="26129" customFormat="false" ht="12.8" hidden="false" customHeight="false" outlineLevel="0" collapsed="false">
      <c r="B26129" s="0" t="s">
        <v>7</v>
      </c>
      <c r="F26129" s="0" t="s">
        <v>8129</v>
      </c>
    </row>
    <row r="26131" customFormat="false" ht="12.8" hidden="false" customHeight="false" outlineLevel="0" collapsed="false">
      <c r="A26131" s="0" t="s">
        <v>9752</v>
      </c>
      <c r="B26131" s="0" t="str">
        <f aca="false">HYPERLINK("https://lindat.mff.cuni.cz/services/teitok/pdtc10/index.php?action=vallex&amp;frame=v-w11963_ZUf1_ZU", "poblahopřát (v-w11963_ZUf1_ZU)")</f>
        <v>poblahopřát (v-w11963_ZUf1_ZU)</v>
      </c>
    </row>
    <row r="26132" customFormat="false" ht="12.8" hidden="false" customHeight="false" outlineLevel="0" collapsed="false">
      <c r="B26132" s="0" t="s">
        <v>7</v>
      </c>
    </row>
    <row r="26133" customFormat="false" ht="12.8" hidden="false" customHeight="false" outlineLevel="0" collapsed="false">
      <c r="B26133" s="0" t="s">
        <v>237</v>
      </c>
    </row>
    <row r="26134" customFormat="false" ht="12.8" hidden="false" customHeight="false" outlineLevel="0" collapsed="false">
      <c r="B26134" s="0" t="s">
        <v>48</v>
      </c>
    </row>
    <row r="26136" customFormat="false" ht="12.8" hidden="false" customHeight="false" outlineLevel="0" collapsed="false">
      <c r="A26136" s="0" t="s">
        <v>9753</v>
      </c>
      <c r="B26136" s="0" t="str">
        <f aca="false">HYPERLINK("https://lindat.mff.cuni.cz/services/teitok/pdtc10/index.php?action=vallex&amp;frame=v-w10390f2", "pobláznit (v-w10390f2)")</f>
        <v>pobláznit (v-w10390f2)</v>
      </c>
    </row>
    <row r="26137" customFormat="false" ht="12.8" hidden="false" customHeight="false" outlineLevel="0" collapsed="false">
      <c r="B26137" s="0" t="s">
        <v>7</v>
      </c>
      <c r="C26137" s="0" t="s">
        <v>191</v>
      </c>
      <c r="D26137" s="0" t="s">
        <v>9144</v>
      </c>
      <c r="E26137" s="0" t="s">
        <v>9144</v>
      </c>
      <c r="F26137" s="0" t="s">
        <v>9144</v>
      </c>
    </row>
    <row r="26138" customFormat="false" ht="12.8" hidden="false" customHeight="false" outlineLevel="0" collapsed="false">
      <c r="B26138" s="0" t="s">
        <v>14</v>
      </c>
      <c r="C26138" s="0" t="s">
        <v>47</v>
      </c>
      <c r="D26138" s="0" t="s">
        <v>78</v>
      </c>
      <c r="E26138" s="0" t="s">
        <v>78</v>
      </c>
      <c r="F26138" s="0" t="s">
        <v>78</v>
      </c>
    </row>
    <row r="26140" customFormat="false" ht="12.8" hidden="false" customHeight="false" outlineLevel="0" collapsed="false">
      <c r="A26140" s="0" t="s">
        <v>9754</v>
      </c>
      <c r="B26140" s="0" t="str">
        <f aca="false">HYPERLINK("https://lindat.mff.cuni.cz/services/teitok/pdtc10/index.php?action=vallex&amp;frame=v-w3505f1", "pobodat (v-w3505f1)")</f>
        <v>pobodat (v-w3505f1)</v>
      </c>
    </row>
    <row r="26141" customFormat="false" ht="12.8" hidden="false" customHeight="false" outlineLevel="0" collapsed="false">
      <c r="B26141" s="0" t="s">
        <v>7</v>
      </c>
      <c r="C26141" s="0" t="s">
        <v>184</v>
      </c>
      <c r="D26141" s="0" t="s">
        <v>5057</v>
      </c>
      <c r="E26141" s="0" t="s">
        <v>5057</v>
      </c>
      <c r="F26141" s="0" t="s">
        <v>5057</v>
      </c>
    </row>
    <row r="26142" customFormat="false" ht="12.8" hidden="false" customHeight="false" outlineLevel="0" collapsed="false">
      <c r="B26142" s="0" t="s">
        <v>14</v>
      </c>
      <c r="C26142" s="0" t="s">
        <v>115</v>
      </c>
      <c r="D26142" s="0" t="s">
        <v>8042</v>
      </c>
      <c r="E26142" s="0" t="s">
        <v>8042</v>
      </c>
      <c r="F26142" s="0" t="s">
        <v>8042</v>
      </c>
    </row>
    <row r="26144" customFormat="false" ht="12.8" hidden="false" customHeight="false" outlineLevel="0" collapsed="false">
      <c r="A26144" s="0" t="s">
        <v>9755</v>
      </c>
      <c r="B26144" s="0" t="str">
        <f aca="false">HYPERLINK("https://lindat.mff.cuni.cz/services/teitok/pdtc10/index.php?action=vallex&amp;frame=v-w11017f2", "pobouřit (v-w11017f2)")</f>
        <v>pobouřit (v-w11017f2)</v>
      </c>
    </row>
    <row r="26145" customFormat="false" ht="12.8" hidden="false" customHeight="false" outlineLevel="0" collapsed="false">
      <c r="B26145" s="0" t="s">
        <v>7</v>
      </c>
      <c r="C26145" s="0" t="s">
        <v>460</v>
      </c>
      <c r="D26145" s="0" t="s">
        <v>46</v>
      </c>
      <c r="E26145" s="0" t="s">
        <v>46</v>
      </c>
      <c r="F26145" s="0" t="s">
        <v>46</v>
      </c>
    </row>
    <row r="26146" customFormat="false" ht="12.8" hidden="false" customHeight="false" outlineLevel="0" collapsed="false">
      <c r="B26146" s="0" t="s">
        <v>14</v>
      </c>
      <c r="C26146" s="0" t="s">
        <v>120</v>
      </c>
      <c r="D26146" s="0" t="s">
        <v>567</v>
      </c>
      <c r="E26146" s="0" t="s">
        <v>567</v>
      </c>
      <c r="F26146" s="0" t="s">
        <v>567</v>
      </c>
    </row>
    <row r="26148" customFormat="false" ht="12.8" hidden="false" customHeight="false" outlineLevel="0" collapsed="false">
      <c r="A26148" s="0" t="s">
        <v>9756</v>
      </c>
      <c r="B26148" s="0" t="str">
        <f aca="false">HYPERLINK("https://lindat.mff.cuni.cz/services/teitok/pdtc10/index.php?action=vallex&amp;frame=v-w3507f1", "pobrat (v-w3507f1)")</f>
        <v>pobrat (v-w3507f1)</v>
      </c>
    </row>
    <row r="26149" customFormat="false" ht="12.8" hidden="false" customHeight="false" outlineLevel="0" collapsed="false">
      <c r="B26149" s="0" t="s">
        <v>7</v>
      </c>
    </row>
    <row r="26150" customFormat="false" ht="12.8" hidden="false" customHeight="false" outlineLevel="0" collapsed="false">
      <c r="B26150" s="0" t="s">
        <v>14</v>
      </c>
    </row>
    <row r="26152" customFormat="false" ht="12.8" hidden="false" customHeight="false" outlineLevel="0" collapsed="false">
      <c r="A26152" s="0" t="s">
        <v>9757</v>
      </c>
      <c r="B26152" s="0" t="str">
        <f aca="false">HYPERLINK("https://lindat.mff.cuni.cz/services/teitok/pdtc10/index.php?action=vallex&amp;frame=v-w3507f2", "pobrat (v-w3507f2)")</f>
        <v>pobrat (v-w3507f2)</v>
      </c>
    </row>
    <row r="26153" customFormat="false" ht="12.8" hidden="false" customHeight="false" outlineLevel="0" collapsed="false">
      <c r="B26153" s="0" t="s">
        <v>7</v>
      </c>
    </row>
    <row r="26154" customFormat="false" ht="12.8" hidden="false" customHeight="false" outlineLevel="0" collapsed="false">
      <c r="B26154" s="0" t="s">
        <v>14</v>
      </c>
    </row>
    <row r="26156" customFormat="false" ht="12.8" hidden="false" customHeight="false" outlineLevel="0" collapsed="false">
      <c r="A26156" s="0" t="s">
        <v>9758</v>
      </c>
      <c r="B26156" s="0" t="str">
        <f aca="false">HYPERLINK("https://lindat.mff.cuni.cz/services/teitok/pdtc10/index.php?action=vallex&amp;frame=v-w3507f4_MM", "pobrat (v-w3507f4_MM)")</f>
        <v>pobrat (v-w3507f4_MM)</v>
      </c>
    </row>
    <row r="26157" customFormat="false" ht="12.8" hidden="false" customHeight="false" outlineLevel="0" collapsed="false">
      <c r="B26157" s="0" t="s">
        <v>7</v>
      </c>
    </row>
    <row r="26158" customFormat="false" ht="12.8" hidden="false" customHeight="false" outlineLevel="0" collapsed="false">
      <c r="B26158" s="0" t="s">
        <v>14</v>
      </c>
    </row>
    <row r="26160" customFormat="false" ht="12.8" hidden="false" customHeight="false" outlineLevel="0" collapsed="false">
      <c r="A26160" s="0" t="s">
        <v>9758</v>
      </c>
      <c r="B26160" s="0" t="str">
        <f aca="false">HYPERLINK("https://lindat.mff.cuni.cz/services/teitok/pdtc10/index.php?action=vallex&amp;frame=v-w3507f3_MM", "pobrat (v-w3507f3_MM) - substituted with v-w3507f4_MM")</f>
        <v>pobrat (v-w3507f3_MM) - substituted with v-w3507f4_MM</v>
      </c>
    </row>
    <row r="26161" customFormat="false" ht="12.8" hidden="false" customHeight="false" outlineLevel="0" collapsed="false">
      <c r="B26161" s="0" t="s">
        <v>7</v>
      </c>
    </row>
    <row r="26162" customFormat="false" ht="12.8" hidden="false" customHeight="false" outlineLevel="0" collapsed="false">
      <c r="B26162" s="0" t="s">
        <v>14</v>
      </c>
    </row>
    <row r="26164" customFormat="false" ht="12.8" hidden="false" customHeight="false" outlineLevel="0" collapsed="false">
      <c r="A26164" s="0" t="s">
        <v>9759</v>
      </c>
      <c r="B26164" s="0" t="str">
        <f aca="false">HYPERLINK("https://lindat.mff.cuni.cz/services/teitok/pdtc10/index.php?action=vallex&amp;frame=v-w3507hsa_734", "pobrat (v-w3507hsa_734)")</f>
        <v>pobrat (v-w3507hsa_734)</v>
      </c>
    </row>
    <row r="26165" customFormat="false" ht="12.8" hidden="false" customHeight="false" outlineLevel="0" collapsed="false">
      <c r="B26165" s="0" t="s">
        <v>7</v>
      </c>
    </row>
    <row r="26166" customFormat="false" ht="12.8" hidden="false" customHeight="false" outlineLevel="0" collapsed="false">
      <c r="B26166" s="0" t="s">
        <v>14</v>
      </c>
    </row>
    <row r="26168" customFormat="false" ht="12.8" hidden="false" customHeight="false" outlineLevel="0" collapsed="false">
      <c r="A26168" s="0" t="s">
        <v>9760</v>
      </c>
      <c r="B26168" s="0" t="str">
        <f aca="false">HYPERLINK("https://lindat.mff.cuni.cz/services/teitok/pdtc10/index.php?action=vallex&amp;frame=v-w3508f1", "pobrukovat si (v-w3508f1)")</f>
        <v>pobrukovat si (v-w3508f1)</v>
      </c>
    </row>
    <row r="26169" customFormat="false" ht="12.8" hidden="false" customHeight="false" outlineLevel="0" collapsed="false">
      <c r="B26169" s="0" t="s">
        <v>7</v>
      </c>
      <c r="C26169" s="0" t="s">
        <v>46</v>
      </c>
      <c r="D26169" s="0" t="s">
        <v>157</v>
      </c>
      <c r="E26169" s="0" t="s">
        <v>157</v>
      </c>
      <c r="F26169" s="0" t="s">
        <v>157</v>
      </c>
    </row>
    <row r="26170" customFormat="false" ht="12.8" hidden="false" customHeight="false" outlineLevel="0" collapsed="false">
      <c r="B26170" s="0" t="s">
        <v>5518</v>
      </c>
      <c r="C26170" s="0" t="s">
        <v>9761</v>
      </c>
      <c r="D26170" s="0" t="s">
        <v>9762</v>
      </c>
      <c r="E26170" s="0" t="s">
        <v>9762</v>
      </c>
      <c r="F26170" s="0" t="s">
        <v>9762</v>
      </c>
    </row>
    <row r="26171" customFormat="false" ht="12.8" hidden="false" customHeight="false" outlineLevel="0" collapsed="false">
      <c r="B26171" s="0" t="s">
        <v>363</v>
      </c>
      <c r="D26171" s="0" t="s">
        <v>120</v>
      </c>
      <c r="E26171" s="0" t="s">
        <v>120</v>
      </c>
      <c r="F26171" s="0" t="s">
        <v>120</v>
      </c>
    </row>
    <row r="26173" customFormat="false" ht="12.8" hidden="false" customHeight="false" outlineLevel="0" collapsed="false">
      <c r="A26173" s="0" t="s">
        <v>9763</v>
      </c>
      <c r="B26173" s="0" t="str">
        <f aca="false">HYPERLINK("https://lindat.mff.cuni.cz/services/teitok/pdtc10/index.php?action=vallex&amp;frame=v-w3509f1", "pobuřovat (v-w3509f1)")</f>
        <v>pobuřovat (v-w3509f1)</v>
      </c>
    </row>
    <row r="26174" customFormat="false" ht="12.8" hidden="false" customHeight="false" outlineLevel="0" collapsed="false">
      <c r="B26174" s="0" t="s">
        <v>7</v>
      </c>
      <c r="C26174" s="0" t="s">
        <v>335</v>
      </c>
      <c r="D26174" s="0" t="s">
        <v>46</v>
      </c>
      <c r="E26174" s="0" t="s">
        <v>46</v>
      </c>
      <c r="F26174" s="0" t="s">
        <v>46</v>
      </c>
    </row>
    <row r="26175" customFormat="false" ht="12.8" hidden="false" customHeight="false" outlineLevel="0" collapsed="false">
      <c r="B26175" s="0" t="s">
        <v>14</v>
      </c>
      <c r="C26175" s="0" t="s">
        <v>461</v>
      </c>
      <c r="D26175" s="0" t="s">
        <v>567</v>
      </c>
      <c r="E26175" s="0" t="s">
        <v>567</v>
      </c>
      <c r="F26175" s="0" t="s">
        <v>567</v>
      </c>
    </row>
    <row r="26177" customFormat="false" ht="12.8" hidden="false" customHeight="false" outlineLevel="0" collapsed="false">
      <c r="A26177" s="0" t="s">
        <v>9764</v>
      </c>
      <c r="B26177" s="0" t="str">
        <f aca="false">HYPERLINK("https://lindat.mff.cuni.cz/services/teitok/pdtc10/index.php?action=vallex&amp;frame=v-w11505_ZUf3_ZU", "pobídnout (v-w11505_ZUf3_ZU)")</f>
        <v>pobídnout (v-w11505_ZUf3_ZU)</v>
      </c>
    </row>
    <row r="26178" customFormat="false" ht="12.8" hidden="false" customHeight="false" outlineLevel="0" collapsed="false">
      <c r="B26178" s="0" t="s">
        <v>7</v>
      </c>
      <c r="C26178" s="0" t="s">
        <v>9765</v>
      </c>
      <c r="D26178" s="0" t="s">
        <v>3051</v>
      </c>
      <c r="E26178" s="0" t="s">
        <v>3051</v>
      </c>
      <c r="F26178" s="0" t="s">
        <v>3051</v>
      </c>
    </row>
    <row r="26179" customFormat="false" ht="12.8" hidden="false" customHeight="false" outlineLevel="0" collapsed="false">
      <c r="B26179" s="0" t="s">
        <v>9766</v>
      </c>
      <c r="C26179" s="0" t="s">
        <v>8721</v>
      </c>
      <c r="D26179" s="0" t="s">
        <v>9767</v>
      </c>
      <c r="E26179" s="0" t="s">
        <v>9768</v>
      </c>
      <c r="F26179" s="0" t="s">
        <v>9768</v>
      </c>
    </row>
    <row r="26180" customFormat="false" ht="12.8" hidden="false" customHeight="false" outlineLevel="0" collapsed="false">
      <c r="B26180" s="0" t="s">
        <v>81</v>
      </c>
      <c r="C26180" s="0" t="s">
        <v>9769</v>
      </c>
      <c r="D26180" s="0" t="s">
        <v>9770</v>
      </c>
      <c r="E26180" s="0" t="s">
        <v>9771</v>
      </c>
      <c r="F26180" s="0" t="s">
        <v>9771</v>
      </c>
    </row>
    <row r="26182" customFormat="false" ht="12.8" hidden="false" customHeight="false" outlineLevel="0" collapsed="false">
      <c r="A26182" s="0" t="s">
        <v>9764</v>
      </c>
      <c r="B26182" s="0" t="str">
        <f aca="false">HYPERLINK("https://lindat.mff.cuni.cz/services/teitok/pdtc10/index.php?action=vallex&amp;frame=v-w11505_ZUf1_ZU", "pobídnout (v-w11505_ZUf1_ZU) - substituted with v-w11505_ZUf3_ZU")</f>
        <v>pobídnout (v-w11505_ZUf1_ZU) - substituted with v-w11505_ZUf3_ZU</v>
      </c>
    </row>
    <row r="26183" customFormat="false" ht="12.8" hidden="false" customHeight="false" outlineLevel="0" collapsed="false">
      <c r="B26183" s="0" t="s">
        <v>7</v>
      </c>
    </row>
    <row r="26184" customFormat="false" ht="12.8" hidden="false" customHeight="false" outlineLevel="0" collapsed="false">
      <c r="B26184" s="0" t="s">
        <v>9766</v>
      </c>
    </row>
    <row r="26185" customFormat="false" ht="12.8" hidden="false" customHeight="false" outlineLevel="0" collapsed="false">
      <c r="B26185" s="0" t="s">
        <v>81</v>
      </c>
    </row>
    <row r="26187" customFormat="false" ht="12.8" hidden="false" customHeight="false" outlineLevel="0" collapsed="false">
      <c r="A26187" s="0" t="s">
        <v>9764</v>
      </c>
      <c r="B26187" s="0" t="str">
        <f aca="false">HYPERLINK("https://lindat.mff.cuni.cz/services/teitok/pdtc10/index.php?action=vallex&amp;frame=v-w11505_ZUf2_ZU", "pobídnout (v-w11505_ZUf2_ZU) - substituted with v-w11505_ZUf3_ZU")</f>
        <v>pobídnout (v-w11505_ZUf2_ZU) - substituted with v-w11505_ZUf3_ZU</v>
      </c>
    </row>
    <row r="26188" customFormat="false" ht="12.8" hidden="false" customHeight="false" outlineLevel="0" collapsed="false">
      <c r="B26188" s="0" t="s">
        <v>7</v>
      </c>
      <c r="C26188" s="0" t="s">
        <v>1287</v>
      </c>
    </row>
    <row r="26189" customFormat="false" ht="12.8" hidden="false" customHeight="false" outlineLevel="0" collapsed="false">
      <c r="B26189" s="0" t="s">
        <v>9766</v>
      </c>
      <c r="C26189" s="0" t="s">
        <v>9772</v>
      </c>
    </row>
    <row r="26190" customFormat="false" ht="12.8" hidden="false" customHeight="false" outlineLevel="0" collapsed="false">
      <c r="B26190" s="0" t="s">
        <v>81</v>
      </c>
      <c r="C26190" s="0" t="s">
        <v>9773</v>
      </c>
    </row>
    <row r="26192" customFormat="false" ht="12.8" hidden="false" customHeight="false" outlineLevel="0" collapsed="false">
      <c r="A26192" s="0" t="s">
        <v>9774</v>
      </c>
      <c r="B26192" s="0" t="str">
        <f aca="false">HYPERLINK("https://lindat.mff.cuni.cz/services/teitok/pdtc10/index.php?action=vallex&amp;frame=v-w3501f1", "pobíhat (v-w3501f1)")</f>
        <v>pobíhat (v-w3501f1)</v>
      </c>
    </row>
    <row r="26193" customFormat="false" ht="12.8" hidden="false" customHeight="false" outlineLevel="0" collapsed="false">
      <c r="B26193" s="0" t="s">
        <v>7</v>
      </c>
      <c r="C26193" s="0" t="s">
        <v>3190</v>
      </c>
      <c r="D26193" s="0" t="s">
        <v>1111</v>
      </c>
      <c r="E26193" s="0" t="s">
        <v>1111</v>
      </c>
      <c r="F26193" s="0" t="s">
        <v>9775</v>
      </c>
    </row>
    <row r="26195" customFormat="false" ht="12.8" hidden="false" customHeight="false" outlineLevel="0" collapsed="false">
      <c r="A26195" s="0" t="s">
        <v>9776</v>
      </c>
      <c r="B26195" s="0" t="str">
        <f aca="false">HYPERLINK("https://lindat.mff.cuni.cz/services/teitok/pdtc10/index.php?action=vallex&amp;frame=v-w3503f1", "pobírat (v-w3503f1)")</f>
        <v>pobírat (v-w3503f1)</v>
      </c>
    </row>
    <row r="26196" customFormat="false" ht="12.8" hidden="false" customHeight="false" outlineLevel="0" collapsed="false">
      <c r="B26196" s="0" t="s">
        <v>7</v>
      </c>
      <c r="C26196" s="0" t="s">
        <v>2344</v>
      </c>
      <c r="E26196" s="0" t="s">
        <v>2361</v>
      </c>
      <c r="F26196" s="0" t="s">
        <v>2361</v>
      </c>
    </row>
    <row r="26197" customFormat="false" ht="12.8" hidden="false" customHeight="false" outlineLevel="0" collapsed="false">
      <c r="B26197" s="0" t="s">
        <v>14</v>
      </c>
      <c r="C26197" s="0" t="s">
        <v>9777</v>
      </c>
      <c r="E26197" s="0" t="s">
        <v>2363</v>
      </c>
      <c r="F26197" s="0" t="s">
        <v>2363</v>
      </c>
    </row>
    <row r="26198" customFormat="false" ht="12.8" hidden="false" customHeight="false" outlineLevel="0" collapsed="false">
      <c r="B26198" s="0" t="s">
        <v>441</v>
      </c>
      <c r="E26198" s="0" t="s">
        <v>3654</v>
      </c>
      <c r="F26198" s="0" t="s">
        <v>3654</v>
      </c>
    </row>
    <row r="26200" customFormat="false" ht="12.8" hidden="false" customHeight="false" outlineLevel="0" collapsed="false">
      <c r="A26200" s="0" t="s">
        <v>9778</v>
      </c>
      <c r="B26200" s="0" t="str">
        <f aca="false">HYPERLINK("https://lindat.mff.cuni.cz/services/teitok/pdtc10/index.php?action=vallex&amp;frame=v-w10651f2", "pobít (v-w10651f2)")</f>
        <v>pobít (v-w10651f2)</v>
      </c>
    </row>
    <row r="26201" customFormat="false" ht="12.8" hidden="false" customHeight="false" outlineLevel="0" collapsed="false">
      <c r="B26201" s="0" t="s">
        <v>7</v>
      </c>
    </row>
    <row r="26202" customFormat="false" ht="12.8" hidden="false" customHeight="false" outlineLevel="0" collapsed="false">
      <c r="B26202" s="0" t="s">
        <v>14</v>
      </c>
    </row>
    <row r="26204" customFormat="false" ht="12.8" hidden="false" customHeight="false" outlineLevel="0" collapsed="false">
      <c r="A26204" s="0" t="s">
        <v>9779</v>
      </c>
      <c r="B26204" s="0" t="str">
        <f aca="false">HYPERLINK("https://lindat.mff.cuni.cz/services/teitok/pdtc10/index.php?action=vallex&amp;frame=v-w10651f3_ZU", "pobít (v-w10651f3_ZU)")</f>
        <v>pobít (v-w10651f3_ZU)</v>
      </c>
    </row>
    <row r="26205" customFormat="false" ht="12.8" hidden="false" customHeight="false" outlineLevel="0" collapsed="false">
      <c r="B26205" s="0" t="s">
        <v>7</v>
      </c>
    </row>
    <row r="26206" customFormat="false" ht="12.8" hidden="false" customHeight="false" outlineLevel="0" collapsed="false">
      <c r="B26206" s="0" t="s">
        <v>14</v>
      </c>
    </row>
    <row r="26208" customFormat="false" ht="12.8" hidden="false" customHeight="false" outlineLevel="0" collapsed="false">
      <c r="A26208" s="0" t="s">
        <v>9780</v>
      </c>
      <c r="B26208" s="0" t="str">
        <f aca="false">HYPERLINK("https://lindat.mff.cuni.cz/services/teitok/pdtc10/index.php?action=vallex&amp;frame=v-w10651f4_ZU", "pobít (v-w10651f4_ZU)")</f>
        <v>pobít (v-w10651f4_ZU)</v>
      </c>
    </row>
    <row r="26209" customFormat="false" ht="12.8" hidden="false" customHeight="false" outlineLevel="0" collapsed="false">
      <c r="B26209" s="0" t="s">
        <v>7</v>
      </c>
    </row>
    <row r="26210" customFormat="false" ht="12.8" hidden="false" customHeight="false" outlineLevel="0" collapsed="false">
      <c r="B26210" s="0" t="s">
        <v>14</v>
      </c>
    </row>
    <row r="26212" customFormat="false" ht="12.8" hidden="false" customHeight="false" outlineLevel="0" collapsed="false">
      <c r="A26212" s="0" t="s">
        <v>9780</v>
      </c>
      <c r="B26212" s="0" t="str">
        <f aca="false">HYPERLINK("https://lindat.mff.cuni.cz/services/teitok/pdtc10/index.php?action=vallex&amp;frame=v-w10651hsa_11", "pobít (v-w10651hsa_11) - substituted with v-w10651f4_ZU")</f>
        <v>pobít (v-w10651hsa_11) - substituted with v-w10651f4_ZU</v>
      </c>
    </row>
    <row r="26213" customFormat="false" ht="12.8" hidden="false" customHeight="false" outlineLevel="0" collapsed="false">
      <c r="B26213" s="0" t="s">
        <v>7</v>
      </c>
    </row>
    <row r="26214" customFormat="false" ht="12.8" hidden="false" customHeight="false" outlineLevel="0" collapsed="false">
      <c r="B26214" s="0" t="s">
        <v>14</v>
      </c>
    </row>
    <row r="26216" customFormat="false" ht="12.8" hidden="false" customHeight="false" outlineLevel="0" collapsed="false">
      <c r="A26216" s="0" t="s">
        <v>9781</v>
      </c>
      <c r="B26216" s="0" t="str">
        <f aca="false">HYPERLINK("https://lindat.mff.cuni.cz/services/teitok/pdtc10/index.php?action=vallex&amp;frame=v-w10704f2", "pobízet (v-w10704f2)")</f>
        <v>pobízet (v-w10704f2)</v>
      </c>
    </row>
    <row r="26217" customFormat="false" ht="12.8" hidden="false" customHeight="false" outlineLevel="0" collapsed="false">
      <c r="B26217" s="0" t="s">
        <v>7</v>
      </c>
      <c r="C26217" s="0" t="s">
        <v>623</v>
      </c>
      <c r="D26217" s="0" t="s">
        <v>3051</v>
      </c>
      <c r="E26217" s="0" t="s">
        <v>3051</v>
      </c>
      <c r="F26217" s="0" t="s">
        <v>3051</v>
      </c>
    </row>
    <row r="26218" customFormat="false" ht="12.8" hidden="false" customHeight="false" outlineLevel="0" collapsed="false">
      <c r="B26218" s="0" t="s">
        <v>9782</v>
      </c>
      <c r="C26218" s="0" t="s">
        <v>8721</v>
      </c>
      <c r="D26218" s="0" t="s">
        <v>9767</v>
      </c>
      <c r="E26218" s="0" t="s">
        <v>9768</v>
      </c>
      <c r="F26218" s="0" t="s">
        <v>9768</v>
      </c>
    </row>
    <row r="26219" customFormat="false" ht="12.8" hidden="false" customHeight="false" outlineLevel="0" collapsed="false">
      <c r="B26219" s="0" t="s">
        <v>81</v>
      </c>
      <c r="C26219" s="0" t="s">
        <v>9783</v>
      </c>
      <c r="D26219" s="0" t="s">
        <v>9770</v>
      </c>
      <c r="E26219" s="0" t="s">
        <v>9771</v>
      </c>
      <c r="F26219" s="0" t="s">
        <v>9771</v>
      </c>
    </row>
    <row r="26221" customFormat="false" ht="12.8" hidden="false" customHeight="false" outlineLevel="0" collapsed="false">
      <c r="A26221" s="0" t="s">
        <v>9784</v>
      </c>
      <c r="B26221" s="0" t="str">
        <f aca="false">HYPERLINK("https://lindat.mff.cuni.cz/services/teitok/pdtc10/index.php?action=vallex&amp;frame=v-w3511f2", "pobýt (v-w3511f2)")</f>
        <v>pobýt (v-w3511f2)</v>
      </c>
    </row>
    <row r="26222" customFormat="false" ht="12.8" hidden="false" customHeight="false" outlineLevel="0" collapsed="false">
      <c r="B26222" s="0" t="s">
        <v>7</v>
      </c>
    </row>
    <row r="26223" customFormat="false" ht="12.8" hidden="false" customHeight="false" outlineLevel="0" collapsed="false">
      <c r="B26223" s="0" t="s">
        <v>2804</v>
      </c>
    </row>
    <row r="26225" customFormat="false" ht="12.8" hidden="false" customHeight="false" outlineLevel="0" collapsed="false">
      <c r="A26225" s="0" t="s">
        <v>9785</v>
      </c>
      <c r="B26225" s="0" t="str">
        <f aca="false">HYPERLINK("https://lindat.mff.cuni.cz/services/teitok/pdtc10/index.php?action=vallex&amp;frame=v-w3511f1", "pobýt (v-w3511f1)")</f>
        <v>pobýt (v-w3511f1)</v>
      </c>
    </row>
    <row r="26226" customFormat="false" ht="12.8" hidden="false" customHeight="false" outlineLevel="0" collapsed="false">
      <c r="B26226" s="0" t="s">
        <v>7</v>
      </c>
    </row>
    <row r="26227" customFormat="false" ht="12.8" hidden="false" customHeight="false" outlineLevel="0" collapsed="false">
      <c r="B26227" s="0" t="s">
        <v>11</v>
      </c>
    </row>
    <row r="26229" customFormat="false" ht="12.8" hidden="false" customHeight="false" outlineLevel="0" collapsed="false">
      <c r="A26229" s="0" t="s">
        <v>9786</v>
      </c>
      <c r="B26229" s="0" t="str">
        <f aca="false">HYPERLINK("https://lindat.mff.cuni.cz/services/teitok/pdtc10/index.php?action=vallex&amp;frame=v-w3513f1", "pobývat (v-w3513f1)")</f>
        <v>pobývat (v-w3513f1)</v>
      </c>
    </row>
    <row r="26230" customFormat="false" ht="12.8" hidden="false" customHeight="false" outlineLevel="0" collapsed="false">
      <c r="B26230" s="0" t="s">
        <v>7</v>
      </c>
    </row>
    <row r="26231" customFormat="false" ht="12.8" hidden="false" customHeight="false" outlineLevel="0" collapsed="false">
      <c r="B26231" s="0" t="s">
        <v>11</v>
      </c>
    </row>
    <row r="26233" customFormat="false" ht="12.8" hidden="false" customHeight="false" outlineLevel="0" collapsed="false">
      <c r="A26233" s="0" t="s">
        <v>9787</v>
      </c>
      <c r="B26233" s="0" t="str">
        <f aca="false">HYPERLINK("https://lindat.mff.cuni.cz/services/teitok/pdtc10/index.php?action=vallex&amp;frame=v-w3704hsa_1318", "pochlubit se (v-w3704hsa_1318)")</f>
        <v>pochlubit se (v-w3704hsa_1318)</v>
      </c>
    </row>
    <row r="26234" customFormat="false" ht="12.8" hidden="false" customHeight="false" outlineLevel="0" collapsed="false">
      <c r="B26234" s="0" t="s">
        <v>7</v>
      </c>
    </row>
    <row r="26235" customFormat="false" ht="12.8" hidden="false" customHeight="false" outlineLevel="0" collapsed="false">
      <c r="B26235" s="0" t="s">
        <v>9788</v>
      </c>
    </row>
    <row r="26236" customFormat="false" ht="12.8" hidden="false" customHeight="false" outlineLevel="0" collapsed="false">
      <c r="B26236" s="0" t="s">
        <v>293</v>
      </c>
    </row>
    <row r="26238" customFormat="false" ht="12.8" hidden="false" customHeight="false" outlineLevel="0" collapsed="false">
      <c r="A26238" s="0" t="s">
        <v>9787</v>
      </c>
      <c r="B26238" s="0" t="str">
        <f aca="false">HYPERLINK("https://lindat.mff.cuni.cz/services/teitok/pdtc10/index.php?action=vallex&amp;frame=v-w3704f1", "pochlubit se (v-w3704f1) - substituted with v-w3704hsa_1318")</f>
        <v>pochlubit se (v-w3704f1) - substituted with v-w3704hsa_1318</v>
      </c>
    </row>
    <row r="26239" customFormat="false" ht="12.8" hidden="false" customHeight="false" outlineLevel="0" collapsed="false">
      <c r="B26239" s="0" t="s">
        <v>7</v>
      </c>
      <c r="C26239" s="0" t="s">
        <v>3918</v>
      </c>
    </row>
    <row r="26240" customFormat="false" ht="12.8" hidden="false" customHeight="false" outlineLevel="0" collapsed="false">
      <c r="B26240" s="0" t="s">
        <v>9788</v>
      </c>
      <c r="C26240" s="0" t="s">
        <v>1315</v>
      </c>
    </row>
    <row r="26241" customFormat="false" ht="12.8" hidden="false" customHeight="false" outlineLevel="0" collapsed="false">
      <c r="B26241" s="0" t="s">
        <v>293</v>
      </c>
      <c r="C26241" s="0" t="s">
        <v>1165</v>
      </c>
    </row>
    <row r="26243" customFormat="false" ht="12.8" hidden="false" customHeight="false" outlineLevel="0" collapsed="false">
      <c r="A26243" s="0" t="s">
        <v>9787</v>
      </c>
      <c r="B26243" s="0" t="str">
        <f aca="false">HYPERLINK("https://lindat.mff.cuni.cz/services/teitok/pdtc10/index.php?action=vallex&amp;frame=v-w3704f2_ZU", "pochlubit se (v-w3704f2_ZU) - substituted with v-w3704hsa_1318")</f>
        <v>pochlubit se (v-w3704f2_ZU) - substituted with v-w3704hsa_1318</v>
      </c>
    </row>
    <row r="26244" customFormat="false" ht="12.8" hidden="false" customHeight="false" outlineLevel="0" collapsed="false">
      <c r="B26244" s="0" t="s">
        <v>7</v>
      </c>
      <c r="D26244" s="0" t="s">
        <v>194</v>
      </c>
      <c r="E26244" s="0" t="s">
        <v>194</v>
      </c>
      <c r="F26244" s="0" t="s">
        <v>194</v>
      </c>
    </row>
    <row r="26245" customFormat="false" ht="12.8" hidden="false" customHeight="false" outlineLevel="0" collapsed="false">
      <c r="B26245" s="0" t="s">
        <v>9788</v>
      </c>
      <c r="D26245" s="0" t="s">
        <v>24</v>
      </c>
      <c r="E26245" s="0" t="s">
        <v>24</v>
      </c>
      <c r="F26245" s="0" t="s">
        <v>24</v>
      </c>
    </row>
    <row r="26246" customFormat="false" ht="12.8" hidden="false" customHeight="false" outlineLevel="0" collapsed="false">
      <c r="B26246" s="0" t="s">
        <v>293</v>
      </c>
      <c r="D26246" s="0" t="s">
        <v>1165</v>
      </c>
      <c r="E26246" s="0" t="s">
        <v>1165</v>
      </c>
      <c r="F26246" s="0" t="s">
        <v>1165</v>
      </c>
    </row>
    <row r="26248" customFormat="false" ht="12.8" hidden="false" customHeight="false" outlineLevel="0" collapsed="false">
      <c r="A26248" s="0" t="s">
        <v>9789</v>
      </c>
      <c r="B26248" s="0" t="str">
        <f aca="false">HYPERLINK("https://lindat.mff.cuni.cz/services/teitok/pdtc10/index.php?action=vallex&amp;frame=v-w3706f2", "pochodit (v-w3706f2)")</f>
        <v>pochodit (v-w3706f2)</v>
      </c>
    </row>
    <row r="26249" customFormat="false" ht="12.8" hidden="false" customHeight="false" outlineLevel="0" collapsed="false">
      <c r="B26249" s="0" t="s">
        <v>7</v>
      </c>
    </row>
    <row r="26250" customFormat="false" ht="12.8" hidden="false" customHeight="false" outlineLevel="0" collapsed="false">
      <c r="B26250" s="0" t="s">
        <v>548</v>
      </c>
    </row>
    <row r="26252" customFormat="false" ht="12.8" hidden="false" customHeight="false" outlineLevel="0" collapsed="false">
      <c r="A26252" s="0" t="s">
        <v>9790</v>
      </c>
      <c r="B26252" s="0" t="str">
        <f aca="false">HYPERLINK("https://lindat.mff.cuni.cz/services/teitok/pdtc10/index.php?action=vallex&amp;frame=v-w3706f1", "pochodit (v-w3706f1)")</f>
        <v>pochodit (v-w3706f1)</v>
      </c>
    </row>
    <row r="26253" customFormat="false" ht="12.8" hidden="false" customHeight="false" outlineLevel="0" collapsed="false">
      <c r="B26253" s="0" t="s">
        <v>7</v>
      </c>
    </row>
    <row r="26254" customFormat="false" ht="12.8" hidden="false" customHeight="false" outlineLevel="0" collapsed="false">
      <c r="B26254" s="0" t="s">
        <v>227</v>
      </c>
    </row>
    <row r="26256" customFormat="false" ht="12.8" hidden="false" customHeight="false" outlineLevel="0" collapsed="false">
      <c r="A26256" s="0" t="s">
        <v>9791</v>
      </c>
      <c r="B26256" s="0" t="str">
        <f aca="false">HYPERLINK("https://lindat.mff.cuni.cz/services/teitok/pdtc10/index.php?action=vallex&amp;frame=v-w3706f3_ZU", "pochodit (v-w3706f3_ZU)")</f>
        <v>pochodit (v-w3706f3_ZU)</v>
      </c>
    </row>
    <row r="26257" customFormat="false" ht="12.8" hidden="false" customHeight="false" outlineLevel="0" collapsed="false">
      <c r="B26257" s="0" t="s">
        <v>7</v>
      </c>
      <c r="C26257" s="0" t="s">
        <v>9792</v>
      </c>
      <c r="D26257" s="0" t="s">
        <v>2078</v>
      </c>
      <c r="E26257" s="0" t="s">
        <v>2078</v>
      </c>
      <c r="F26257" s="0" t="s">
        <v>2078</v>
      </c>
    </row>
    <row r="26258" customFormat="false" ht="12.8" hidden="false" customHeight="false" outlineLevel="0" collapsed="false">
      <c r="B26258" s="0" t="s">
        <v>552</v>
      </c>
      <c r="D26258" s="0" t="s">
        <v>2079</v>
      </c>
      <c r="E26258" s="0" t="s">
        <v>2079</v>
      </c>
      <c r="F26258" s="0" t="s">
        <v>2079</v>
      </c>
    </row>
    <row r="26259" customFormat="false" ht="12.8" hidden="false" customHeight="false" outlineLevel="0" collapsed="false">
      <c r="B26259" s="0" t="s">
        <v>474</v>
      </c>
      <c r="C26259" s="0" t="s">
        <v>9793</v>
      </c>
      <c r="D26259" s="0" t="s">
        <v>2081</v>
      </c>
      <c r="E26259" s="0" t="s">
        <v>2081</v>
      </c>
      <c r="F26259" s="0" t="s">
        <v>2081</v>
      </c>
    </row>
    <row r="26260" customFormat="false" ht="12.8" hidden="false" customHeight="false" outlineLevel="0" collapsed="false">
      <c r="B26260" s="0" t="s">
        <v>479</v>
      </c>
      <c r="D26260" s="0" t="s">
        <v>2083</v>
      </c>
      <c r="E26260" s="0" t="s">
        <v>2083</v>
      </c>
      <c r="F26260" s="0" t="s">
        <v>2083</v>
      </c>
    </row>
    <row r="26261" customFormat="false" ht="12.8" hidden="false" customHeight="false" outlineLevel="0" collapsed="false">
      <c r="B26261" s="0" t="s">
        <v>481</v>
      </c>
      <c r="D26261" s="0" t="s">
        <v>2084</v>
      </c>
      <c r="E26261" s="0" t="s">
        <v>2084</v>
      </c>
      <c r="F26261" s="0" t="s">
        <v>2084</v>
      </c>
    </row>
    <row r="26263" customFormat="false" ht="12.8" hidden="false" customHeight="false" outlineLevel="0" collapsed="false">
      <c r="A26263" s="0" t="s">
        <v>9791</v>
      </c>
      <c r="B26263" s="0" t="str">
        <f aca="false">HYPERLINK("https://lindat.mff.cuni.cz/services/teitok/pdtc10/index.php?action=vallex&amp;frame=v-w3706hsa_271", "pochodit (v-w3706hsa_271) - substituted with v-w3706f3_ZU")</f>
        <v>pochodit (v-w3706hsa_271) - substituted with v-w3706f3_ZU</v>
      </c>
    </row>
    <row r="26264" customFormat="false" ht="12.8" hidden="false" customHeight="false" outlineLevel="0" collapsed="false">
      <c r="B26264" s="0" t="s">
        <v>7</v>
      </c>
    </row>
    <row r="26265" customFormat="false" ht="12.8" hidden="false" customHeight="false" outlineLevel="0" collapsed="false">
      <c r="B26265" s="0" t="s">
        <v>552</v>
      </c>
    </row>
    <row r="26266" customFormat="false" ht="12.8" hidden="false" customHeight="false" outlineLevel="0" collapsed="false">
      <c r="B26266" s="0" t="s">
        <v>474</v>
      </c>
    </row>
    <row r="26267" customFormat="false" ht="12.8" hidden="false" customHeight="false" outlineLevel="0" collapsed="false">
      <c r="B26267" s="0" t="s">
        <v>479</v>
      </c>
    </row>
    <row r="26268" customFormat="false" ht="12.8" hidden="false" customHeight="false" outlineLevel="0" collapsed="false">
      <c r="B26268" s="0" t="s">
        <v>481</v>
      </c>
    </row>
    <row r="26270" customFormat="false" ht="12.8" hidden="false" customHeight="false" outlineLevel="0" collapsed="false">
      <c r="A26270" s="0" t="s">
        <v>9794</v>
      </c>
      <c r="B26270" s="0" t="str">
        <f aca="false">HYPERLINK("https://lindat.mff.cuni.cz/services/teitok/pdtc10/index.php?action=vallex&amp;frame=v-w3707f1", "pochodovat (v-w3707f1)")</f>
        <v>pochodovat (v-w3707f1)</v>
      </c>
    </row>
    <row r="26271" customFormat="false" ht="12.8" hidden="false" customHeight="false" outlineLevel="0" collapsed="false">
      <c r="B26271" s="0" t="s">
        <v>7</v>
      </c>
      <c r="C26271" s="0" t="s">
        <v>2523</v>
      </c>
      <c r="D26271" s="0" t="s">
        <v>126</v>
      </c>
      <c r="E26271" s="0" t="s">
        <v>194</v>
      </c>
      <c r="F26271" s="0" t="s">
        <v>194</v>
      </c>
    </row>
    <row r="26273" customFormat="false" ht="12.8" hidden="false" customHeight="false" outlineLevel="0" collapsed="false">
      <c r="A26273" s="0" t="s">
        <v>9795</v>
      </c>
      <c r="B26273" s="0" t="str">
        <f aca="false">HYPERLINK("https://lindat.mff.cuni.cz/services/teitok/pdtc10/index.php?action=vallex&amp;frame=v-w3709f1", "pochopit (v-w3709f1)")</f>
        <v>pochopit (v-w3709f1)</v>
      </c>
    </row>
    <row r="26274" customFormat="false" ht="12.8" hidden="false" customHeight="false" outlineLevel="0" collapsed="false">
      <c r="B26274" s="0" t="s">
        <v>7</v>
      </c>
      <c r="C26274" s="0" t="s">
        <v>9796</v>
      </c>
      <c r="D26274" s="0" t="s">
        <v>1364</v>
      </c>
      <c r="E26274" s="0" t="s">
        <v>1364</v>
      </c>
      <c r="F26274" s="0" t="s">
        <v>1364</v>
      </c>
    </row>
    <row r="26275" customFormat="false" ht="12.8" hidden="false" customHeight="false" outlineLevel="0" collapsed="false">
      <c r="B26275" s="0" t="s">
        <v>9797</v>
      </c>
      <c r="C26275" s="0" t="s">
        <v>9798</v>
      </c>
      <c r="D26275" s="0" t="s">
        <v>1367</v>
      </c>
      <c r="E26275" s="0" t="s">
        <v>1367</v>
      </c>
      <c r="F26275" s="0" t="s">
        <v>1367</v>
      </c>
    </row>
    <row r="26277" customFormat="false" ht="12.8" hidden="false" customHeight="false" outlineLevel="0" collapsed="false">
      <c r="A26277" s="0" t="s">
        <v>9799</v>
      </c>
      <c r="B26277" s="0" t="str">
        <f aca="false">HYPERLINK("https://lindat.mff.cuni.cz/services/teitok/pdtc10/index.php?action=vallex&amp;frame=v-whsa_712hsa_713", "pochovat (v-whsa_712hsa_713)")</f>
        <v>pochovat (v-whsa_712hsa_713)</v>
      </c>
    </row>
    <row r="26278" customFormat="false" ht="12.8" hidden="false" customHeight="false" outlineLevel="0" collapsed="false">
      <c r="B26278" s="0" t="s">
        <v>7</v>
      </c>
    </row>
    <row r="26279" customFormat="false" ht="12.8" hidden="false" customHeight="false" outlineLevel="0" collapsed="false">
      <c r="B26279" s="0" t="s">
        <v>14</v>
      </c>
    </row>
    <row r="26281" customFormat="false" ht="12.8" hidden="false" customHeight="false" outlineLevel="0" collapsed="false">
      <c r="A26281" s="0" t="s">
        <v>9800</v>
      </c>
      <c r="B26281" s="0" t="str">
        <f aca="false">HYPERLINK("https://lindat.mff.cuni.cz/services/teitok/pdtc10/index.php?action=vallex&amp;frame=v-whsa_712hsa_714", "pochovat (v-whsa_712hsa_714)")</f>
        <v>pochovat (v-whsa_712hsa_714)</v>
      </c>
    </row>
    <row r="26282" customFormat="false" ht="12.8" hidden="false" customHeight="false" outlineLevel="0" collapsed="false">
      <c r="B26282" s="0" t="s">
        <v>7</v>
      </c>
    </row>
    <row r="26283" customFormat="false" ht="12.8" hidden="false" customHeight="false" outlineLevel="0" collapsed="false">
      <c r="B26283" s="0" t="s">
        <v>14</v>
      </c>
    </row>
    <row r="26285" customFormat="false" ht="12.8" hidden="false" customHeight="false" outlineLevel="0" collapsed="false">
      <c r="A26285" s="0" t="s">
        <v>9801</v>
      </c>
      <c r="B26285" s="0" t="str">
        <f aca="false">HYPERLINK("https://lindat.mff.cuni.cz/services/teitok/pdtc10/index.php?action=vallex&amp;frame=v-w12251_ZUf1_ZU", "pochovávat (v-w12251_ZUf1_ZU)")</f>
        <v>pochovávat (v-w12251_ZUf1_ZU)</v>
      </c>
    </row>
    <row r="26286" customFormat="false" ht="12.8" hidden="false" customHeight="false" outlineLevel="0" collapsed="false">
      <c r="B26286" s="0" t="s">
        <v>7</v>
      </c>
    </row>
    <row r="26287" customFormat="false" ht="12.8" hidden="false" customHeight="false" outlineLevel="0" collapsed="false">
      <c r="B26287" s="0" t="s">
        <v>14</v>
      </c>
    </row>
    <row r="26289" customFormat="false" ht="12.8" hidden="false" customHeight="false" outlineLevel="0" collapsed="false">
      <c r="A26289" s="0" t="s">
        <v>9802</v>
      </c>
      <c r="B26289" s="0" t="str">
        <f aca="false">HYPERLINK("https://lindat.mff.cuni.cz/services/teitok/pdtc10/index.php?action=vallex&amp;frame=v-w3711f1", "pochroumat (v-w3711f1)")</f>
        <v>pochroumat (v-w3711f1)</v>
      </c>
    </row>
    <row r="26290" customFormat="false" ht="12.8" hidden="false" customHeight="false" outlineLevel="0" collapsed="false">
      <c r="B26290" s="0" t="s">
        <v>7</v>
      </c>
    </row>
    <row r="26291" customFormat="false" ht="12.8" hidden="false" customHeight="false" outlineLevel="0" collapsed="false">
      <c r="B26291" s="0" t="s">
        <v>14</v>
      </c>
    </row>
    <row r="26293" customFormat="false" ht="12.8" hidden="false" customHeight="false" outlineLevel="0" collapsed="false">
      <c r="A26293" s="0" t="s">
        <v>9803</v>
      </c>
      <c r="B26293" s="0" t="str">
        <f aca="false">HYPERLINK("https://lindat.mff.cuni.cz/services/teitok/pdtc10/index.php?action=vallex&amp;frame=v-w3712f1", "pochutnat si (v-w3712f1)")</f>
        <v>pochutnat si (v-w3712f1)</v>
      </c>
    </row>
    <row r="26294" customFormat="false" ht="12.8" hidden="false" customHeight="false" outlineLevel="0" collapsed="false">
      <c r="B26294" s="0" t="s">
        <v>7</v>
      </c>
    </row>
    <row r="26295" customFormat="false" ht="12.8" hidden="false" customHeight="false" outlineLevel="0" collapsed="false">
      <c r="B26295" s="0" t="s">
        <v>3200</v>
      </c>
    </row>
    <row r="26297" customFormat="false" ht="12.8" hidden="false" customHeight="false" outlineLevel="0" collapsed="false">
      <c r="A26297" s="0" t="s">
        <v>9804</v>
      </c>
      <c r="B26297" s="0" t="str">
        <f aca="false">HYPERLINK("https://lindat.mff.cuni.cz/services/teitok/pdtc10/index.php?action=vallex&amp;frame=v-w11747_ZUf2_ZU", "pochutnávat si (v-w11747_ZUf2_ZU)")</f>
        <v>pochutnávat si (v-w11747_ZUf2_ZU)</v>
      </c>
    </row>
    <row r="26298" customFormat="false" ht="12.8" hidden="false" customHeight="false" outlineLevel="0" collapsed="false">
      <c r="B26298" s="0" t="s">
        <v>7</v>
      </c>
    </row>
    <row r="26299" customFormat="false" ht="12.8" hidden="false" customHeight="false" outlineLevel="0" collapsed="false">
      <c r="B26299" s="0" t="s">
        <v>3200</v>
      </c>
    </row>
    <row r="26301" customFormat="false" ht="12.8" hidden="false" customHeight="false" outlineLevel="0" collapsed="false">
      <c r="A26301" s="0" t="s">
        <v>9804</v>
      </c>
      <c r="B26301" s="0" t="str">
        <f aca="false">HYPERLINK("https://lindat.mff.cuni.cz/services/teitok/pdtc10/index.php?action=vallex&amp;frame=v-w11747_ZUf1_ZU", "pochutnávat si (v-w11747_ZUf1_ZU) - substituted with v-w11747_ZUf2_ZU")</f>
        <v>pochutnávat si (v-w11747_ZUf1_ZU) - substituted with v-w11747_ZUf2_ZU</v>
      </c>
    </row>
    <row r="26302" customFormat="false" ht="12.8" hidden="false" customHeight="false" outlineLevel="0" collapsed="false">
      <c r="B26302" s="0" t="s">
        <v>7</v>
      </c>
    </row>
    <row r="26303" customFormat="false" ht="12.8" hidden="false" customHeight="false" outlineLevel="0" collapsed="false">
      <c r="B26303" s="0" t="s">
        <v>3200</v>
      </c>
    </row>
    <row r="26305" customFormat="false" ht="12.8" hidden="false" customHeight="false" outlineLevel="0" collapsed="false">
      <c r="A26305" s="0" t="s">
        <v>9805</v>
      </c>
      <c r="B26305" s="0" t="str">
        <f aca="false">HYPERLINK("https://lindat.mff.cuni.cz/services/teitok/pdtc10/index.php?action=vallex&amp;frame=v-w3715f1", "pochvalovat si (v-w3715f1)")</f>
        <v>pochvalovat si (v-w3715f1)</v>
      </c>
    </row>
    <row r="26306" customFormat="false" ht="12.8" hidden="false" customHeight="false" outlineLevel="0" collapsed="false">
      <c r="B26306" s="0" t="s">
        <v>7</v>
      </c>
      <c r="C26306" s="0" t="s">
        <v>3918</v>
      </c>
    </row>
    <row r="26307" customFormat="false" ht="12.8" hidden="false" customHeight="false" outlineLevel="0" collapsed="false">
      <c r="B26307" s="0" t="s">
        <v>172</v>
      </c>
      <c r="C26307" s="0" t="s">
        <v>1315</v>
      </c>
    </row>
    <row r="26309" customFormat="false" ht="12.8" hidden="false" customHeight="false" outlineLevel="0" collapsed="false">
      <c r="A26309" s="0" t="s">
        <v>9806</v>
      </c>
      <c r="B26309" s="0" t="str">
        <f aca="false">HYPERLINK("https://lindat.mff.cuni.cz/services/teitok/pdtc10/index.php?action=vallex&amp;frame=v-w3714f1", "pochválit (v-w3714f1)")</f>
        <v>pochválit (v-w3714f1)</v>
      </c>
    </row>
    <row r="26310" customFormat="false" ht="12.8" hidden="false" customHeight="false" outlineLevel="0" collapsed="false">
      <c r="B26310" s="0" t="s">
        <v>7</v>
      </c>
      <c r="C26310" s="0" t="s">
        <v>1874</v>
      </c>
      <c r="D26310" s="0" t="s">
        <v>1261</v>
      </c>
      <c r="E26310" s="0" t="s">
        <v>1261</v>
      </c>
      <c r="F26310" s="0" t="s">
        <v>1261</v>
      </c>
    </row>
    <row r="26311" customFormat="false" ht="12.8" hidden="false" customHeight="false" outlineLevel="0" collapsed="false">
      <c r="B26311" s="0" t="s">
        <v>367</v>
      </c>
      <c r="C26311" s="0" t="s">
        <v>151</v>
      </c>
      <c r="D26311" s="0" t="s">
        <v>1262</v>
      </c>
      <c r="E26311" s="0" t="s">
        <v>1262</v>
      </c>
      <c r="F26311" s="0" t="s">
        <v>1262</v>
      </c>
    </row>
    <row r="26313" customFormat="false" ht="12.8" hidden="false" customHeight="false" outlineLevel="0" collapsed="false">
      <c r="A26313" s="0" t="s">
        <v>9807</v>
      </c>
      <c r="B26313" s="0" t="str">
        <f aca="false">HYPERLINK("https://lindat.mff.cuni.cz/services/teitok/pdtc10/index.php?action=vallex&amp;frame=v-w3718f1", "pochybit (v-w3718f1)")</f>
        <v>pochybit (v-w3718f1)</v>
      </c>
    </row>
    <row r="26314" customFormat="false" ht="12.8" hidden="false" customHeight="false" outlineLevel="0" collapsed="false">
      <c r="B26314" s="0" t="s">
        <v>7</v>
      </c>
      <c r="C26314" s="0" t="s">
        <v>194</v>
      </c>
      <c r="D26314" s="0" t="s">
        <v>113</v>
      </c>
      <c r="E26314" s="0" t="s">
        <v>113</v>
      </c>
      <c r="F26314" s="0" t="s">
        <v>113</v>
      </c>
    </row>
    <row r="26316" customFormat="false" ht="12.8" hidden="false" customHeight="false" outlineLevel="0" collapsed="false">
      <c r="A26316" s="0" t="s">
        <v>9808</v>
      </c>
      <c r="B26316" s="0" t="str">
        <f aca="false">HYPERLINK("https://lindat.mff.cuni.cz/services/teitok/pdtc10/index.php?action=vallex&amp;frame=v-w3721f1", "pochybovat (v-w3721f1)")</f>
        <v>pochybovat (v-w3721f1)</v>
      </c>
    </row>
    <row r="26317" customFormat="false" ht="12.8" hidden="false" customHeight="false" outlineLevel="0" collapsed="false">
      <c r="B26317" s="0" t="s">
        <v>7</v>
      </c>
      <c r="C26317" s="0" t="s">
        <v>9809</v>
      </c>
      <c r="D26317" s="0" t="s">
        <v>6728</v>
      </c>
      <c r="E26317" s="0" t="s">
        <v>6728</v>
      </c>
      <c r="F26317" s="0" t="s">
        <v>9810</v>
      </c>
    </row>
    <row r="26318" customFormat="false" ht="12.8" hidden="false" customHeight="false" outlineLevel="0" collapsed="false">
      <c r="B26318" s="0" t="s">
        <v>9811</v>
      </c>
      <c r="C26318" s="0" t="s">
        <v>452</v>
      </c>
      <c r="D26318" s="0" t="s">
        <v>6729</v>
      </c>
      <c r="E26318" s="0" t="s">
        <v>6729</v>
      </c>
      <c r="F26318" s="0" t="s">
        <v>9812</v>
      </c>
    </row>
    <row r="26320" customFormat="false" ht="12.8" hidden="false" customHeight="false" outlineLevel="0" collapsed="false">
      <c r="A26320" s="0" t="s">
        <v>9813</v>
      </c>
      <c r="B26320" s="0" t="str">
        <f aca="false">HYPERLINK("https://lindat.mff.cuni.cz/services/teitok/pdtc10/index.php?action=vallex&amp;frame=v-w3722f1", "pochytat (v-w3722f1)")</f>
        <v>pochytat (v-w3722f1)</v>
      </c>
    </row>
    <row r="26321" customFormat="false" ht="12.8" hidden="false" customHeight="false" outlineLevel="0" collapsed="false">
      <c r="B26321" s="0" t="s">
        <v>7</v>
      </c>
    </row>
    <row r="26322" customFormat="false" ht="12.8" hidden="false" customHeight="false" outlineLevel="0" collapsed="false">
      <c r="B26322" s="0" t="s">
        <v>14</v>
      </c>
    </row>
    <row r="26324" customFormat="false" ht="12.8" hidden="false" customHeight="false" outlineLevel="0" collapsed="false">
      <c r="A26324" s="0" t="s">
        <v>9814</v>
      </c>
      <c r="B26324" s="0" t="str">
        <f aca="false">HYPERLINK("https://lindat.mff.cuni.cz/services/teitok/pdtc10/index.php?action=vallex&amp;frame=v-w11212f2", "pochytit (v-w11212f2)")</f>
        <v>pochytit (v-w11212f2)</v>
      </c>
    </row>
    <row r="26325" customFormat="false" ht="12.8" hidden="false" customHeight="false" outlineLevel="0" collapsed="false">
      <c r="B26325" s="0" t="s">
        <v>7</v>
      </c>
    </row>
    <row r="26326" customFormat="false" ht="12.8" hidden="false" customHeight="false" outlineLevel="0" collapsed="false">
      <c r="B26326" s="0" t="s">
        <v>14</v>
      </c>
    </row>
    <row r="26328" customFormat="false" ht="12.8" hidden="false" customHeight="false" outlineLevel="0" collapsed="false">
      <c r="A26328" s="0" t="s">
        <v>9815</v>
      </c>
      <c r="B26328" s="0" t="str">
        <f aca="false">HYPERLINK("https://lindat.mff.cuni.cz/services/teitok/pdtc10/index.php?action=vallex&amp;frame=v-w11212f3_ZU", "pochytit (v-w11212f3_ZU)")</f>
        <v>pochytit (v-w11212f3_ZU)</v>
      </c>
    </row>
    <row r="26329" customFormat="false" ht="12.8" hidden="false" customHeight="false" outlineLevel="0" collapsed="false">
      <c r="B26329" s="0" t="s">
        <v>7</v>
      </c>
    </row>
    <row r="26330" customFormat="false" ht="12.8" hidden="false" customHeight="false" outlineLevel="0" collapsed="false">
      <c r="B26330" s="0" t="s">
        <v>14</v>
      </c>
    </row>
    <row r="26332" customFormat="false" ht="12.8" hidden="false" customHeight="false" outlineLevel="0" collapsed="false">
      <c r="A26332" s="0" t="s">
        <v>9816</v>
      </c>
      <c r="B26332" s="0" t="str">
        <f aca="false">HYPERLINK("https://lindat.mff.cuni.cz/services/teitok/pdtc10/index.php?action=vallex&amp;frame=v-w3703f2", "pocházet (v-w3703f2)")</f>
        <v>pocházet (v-w3703f2)</v>
      </c>
    </row>
    <row r="26333" customFormat="false" ht="12.8" hidden="false" customHeight="false" outlineLevel="0" collapsed="false">
      <c r="B26333" s="0" t="s">
        <v>7</v>
      </c>
      <c r="C26333" s="0" t="s">
        <v>9817</v>
      </c>
      <c r="D26333" s="0" t="s">
        <v>9818</v>
      </c>
      <c r="E26333" s="0" t="s">
        <v>9818</v>
      </c>
      <c r="F26333" s="0" t="s">
        <v>9818</v>
      </c>
    </row>
    <row r="26334" customFormat="false" ht="12.8" hidden="false" customHeight="false" outlineLevel="0" collapsed="false">
      <c r="B26334" s="0" t="s">
        <v>1490</v>
      </c>
      <c r="C26334" s="0" t="s">
        <v>9819</v>
      </c>
      <c r="D26334" s="0" t="s">
        <v>9820</v>
      </c>
      <c r="E26334" s="0" t="s">
        <v>9820</v>
      </c>
      <c r="F26334" s="0" t="s">
        <v>9820</v>
      </c>
    </row>
    <row r="26336" customFormat="false" ht="12.8" hidden="false" customHeight="false" outlineLevel="0" collapsed="false">
      <c r="A26336" s="0" t="s">
        <v>9821</v>
      </c>
      <c r="B26336" s="0" t="str">
        <f aca="false">HYPERLINK("https://lindat.mff.cuni.cz/services/teitok/pdtc10/index.php?action=vallex&amp;frame=v-w3703f1", "pocházet (v-w3703f1)")</f>
        <v>pocházet (v-w3703f1)</v>
      </c>
    </row>
    <row r="26337" customFormat="false" ht="12.8" hidden="false" customHeight="false" outlineLevel="0" collapsed="false">
      <c r="B26337" s="0" t="s">
        <v>7</v>
      </c>
      <c r="C26337" s="0" t="s">
        <v>9822</v>
      </c>
      <c r="D26337" s="0" t="s">
        <v>9823</v>
      </c>
      <c r="E26337" s="0" t="s">
        <v>9823</v>
      </c>
      <c r="F26337" s="0" t="s">
        <v>9823</v>
      </c>
    </row>
    <row r="26338" customFormat="false" ht="12.8" hidden="false" customHeight="false" outlineLevel="0" collapsed="false">
      <c r="B26338" s="0" t="s">
        <v>459</v>
      </c>
      <c r="C26338" s="0" t="s">
        <v>9824</v>
      </c>
    </row>
    <row r="26340" customFormat="false" ht="12.8" hidden="false" customHeight="false" outlineLevel="0" collapsed="false">
      <c r="A26340" s="0" t="s">
        <v>9825</v>
      </c>
      <c r="B26340" s="0" t="str">
        <f aca="false">HYPERLINK("https://lindat.mff.cuni.cz/services/teitok/pdtc10/index.php?action=vallex&amp;frame=v-w3703f3", "pocházet (v-w3703f3)")</f>
        <v>pocházet (v-w3703f3)</v>
      </c>
    </row>
    <row r="26341" customFormat="false" ht="12.8" hidden="false" customHeight="false" outlineLevel="0" collapsed="false">
      <c r="B26341" s="0" t="s">
        <v>7</v>
      </c>
      <c r="C26341" s="0" t="s">
        <v>16</v>
      </c>
      <c r="D26341" s="0" t="s">
        <v>16</v>
      </c>
      <c r="E26341" s="0" t="s">
        <v>16</v>
      </c>
      <c r="F26341" s="0" t="s">
        <v>16</v>
      </c>
    </row>
    <row r="26342" customFormat="false" ht="12.8" hidden="false" customHeight="false" outlineLevel="0" collapsed="false">
      <c r="B26342" s="0" t="s">
        <v>9826</v>
      </c>
      <c r="C26342" s="0" t="s">
        <v>9827</v>
      </c>
      <c r="D26342" s="0" t="s">
        <v>9827</v>
      </c>
      <c r="E26342" s="0" t="s">
        <v>9827</v>
      </c>
      <c r="F26342" s="0" t="s">
        <v>9827</v>
      </c>
    </row>
    <row r="26344" customFormat="false" ht="12.8" hidden="false" customHeight="false" outlineLevel="0" collapsed="false">
      <c r="A26344" s="0" t="s">
        <v>9828</v>
      </c>
      <c r="B26344" s="0" t="str">
        <f aca="false">HYPERLINK("https://lindat.mff.cuni.cz/services/teitok/pdtc10/index.php?action=vallex&amp;frame=v-w3516f5_ZU", "pociťovat (v-w3516f5_ZU)")</f>
        <v>pociťovat (v-w3516f5_ZU)</v>
      </c>
    </row>
    <row r="26345" customFormat="false" ht="12.8" hidden="false" customHeight="false" outlineLevel="0" collapsed="false">
      <c r="B26345" s="0" t="s">
        <v>7</v>
      </c>
    </row>
    <row r="26346" customFormat="false" ht="12.8" hidden="false" customHeight="false" outlineLevel="0" collapsed="false">
      <c r="B26346" s="0" t="s">
        <v>1444</v>
      </c>
    </row>
    <row r="26347" customFormat="false" ht="12.8" hidden="false" customHeight="false" outlineLevel="0" collapsed="false">
      <c r="B26347" s="0" t="s">
        <v>9829</v>
      </c>
    </row>
    <row r="26349" customFormat="false" ht="12.8" hidden="false" customHeight="false" outlineLevel="0" collapsed="false">
      <c r="A26349" s="0" t="s">
        <v>9828</v>
      </c>
      <c r="B26349" s="0" t="str">
        <f aca="false">HYPERLINK("https://lindat.mff.cuni.cz/services/teitok/pdtc10/index.php?action=vallex&amp;frame=v-w3516f2", "pociťovat (v-w3516f2) - substituted with v-w3516f5_ZU")</f>
        <v>pociťovat (v-w3516f2) - substituted with v-w3516f5_ZU</v>
      </c>
    </row>
    <row r="26350" customFormat="false" ht="12.8" hidden="false" customHeight="false" outlineLevel="0" collapsed="false">
      <c r="B26350" s="0" t="s">
        <v>7</v>
      </c>
    </row>
    <row r="26351" customFormat="false" ht="12.8" hidden="false" customHeight="false" outlineLevel="0" collapsed="false">
      <c r="B26351" s="0" t="s">
        <v>1444</v>
      </c>
    </row>
    <row r="26352" customFormat="false" ht="12.8" hidden="false" customHeight="false" outlineLevel="0" collapsed="false">
      <c r="B26352" s="0" t="s">
        <v>9829</v>
      </c>
    </row>
    <row r="26354" customFormat="false" ht="12.8" hidden="false" customHeight="false" outlineLevel="0" collapsed="false">
      <c r="A26354" s="0" t="s">
        <v>9830</v>
      </c>
      <c r="B26354" s="0" t="str">
        <f aca="false">HYPERLINK("https://lindat.mff.cuni.cz/services/teitok/pdtc10/index.php?action=vallex&amp;frame=v-w3516f4", "pociťovat (v-w3516f4)")</f>
        <v>pociťovat (v-w3516f4)</v>
      </c>
    </row>
    <row r="26355" customFormat="false" ht="12.8" hidden="false" customHeight="false" outlineLevel="0" collapsed="false">
      <c r="B26355" s="0" t="s">
        <v>7</v>
      </c>
    </row>
    <row r="26356" customFormat="false" ht="12.8" hidden="false" customHeight="false" outlineLevel="0" collapsed="false">
      <c r="B26356" s="0" t="s">
        <v>7585</v>
      </c>
    </row>
    <row r="26358" customFormat="false" ht="12.8" hidden="false" customHeight="false" outlineLevel="0" collapsed="false">
      <c r="A26358" s="0" t="s">
        <v>9831</v>
      </c>
      <c r="B26358" s="0" t="str">
        <f aca="false">HYPERLINK("https://lindat.mff.cuni.cz/services/teitok/pdtc10/index.php?action=vallex&amp;frame=v-w3516f1", "pociťovat (v-w3516f1)")</f>
        <v>pociťovat (v-w3516f1)</v>
      </c>
    </row>
    <row r="26359" customFormat="false" ht="12.8" hidden="false" customHeight="false" outlineLevel="0" collapsed="false">
      <c r="B26359" s="0" t="s">
        <v>7</v>
      </c>
      <c r="C26359" s="0" t="s">
        <v>9832</v>
      </c>
      <c r="D26359" s="0" t="s">
        <v>1448</v>
      </c>
      <c r="E26359" s="0" t="s">
        <v>1448</v>
      </c>
      <c r="F26359" s="0" t="s">
        <v>1448</v>
      </c>
    </row>
    <row r="26360" customFormat="false" ht="12.8" hidden="false" customHeight="false" outlineLevel="0" collapsed="false">
      <c r="B26360" s="0" t="s">
        <v>54</v>
      </c>
      <c r="C26360" s="0" t="s">
        <v>9833</v>
      </c>
      <c r="D26360" s="0" t="s">
        <v>26</v>
      </c>
      <c r="E26360" s="0" t="s">
        <v>26</v>
      </c>
      <c r="F26360" s="0" t="s">
        <v>26</v>
      </c>
    </row>
    <row r="26362" customFormat="false" ht="12.8" hidden="false" customHeight="false" outlineLevel="0" collapsed="false">
      <c r="A26362" s="0" t="s">
        <v>9834</v>
      </c>
      <c r="B26362" s="0" t="str">
        <f aca="false">HYPERLINK("https://lindat.mff.cuni.cz/services/teitok/pdtc10/index.php?action=vallex&amp;frame=v-w3516hsa_1155", "pociťovat (v-w3516hsa_1155)")</f>
        <v>pociťovat (v-w3516hsa_1155)</v>
      </c>
    </row>
    <row r="26363" customFormat="false" ht="12.8" hidden="false" customHeight="false" outlineLevel="0" collapsed="false">
      <c r="B26363" s="0" t="s">
        <v>7</v>
      </c>
      <c r="C26363" s="0" t="s">
        <v>6524</v>
      </c>
      <c r="D26363" s="0" t="s">
        <v>1448</v>
      </c>
      <c r="E26363" s="0" t="s">
        <v>1448</v>
      </c>
      <c r="F26363" s="0" t="s">
        <v>1448</v>
      </c>
    </row>
    <row r="26364" customFormat="false" ht="12.8" hidden="false" customHeight="false" outlineLevel="0" collapsed="false">
      <c r="B26364" s="0" t="s">
        <v>9835</v>
      </c>
      <c r="C26364" s="0" t="s">
        <v>9836</v>
      </c>
      <c r="D26364" s="0" t="s">
        <v>1462</v>
      </c>
      <c r="E26364" s="0" t="s">
        <v>1462</v>
      </c>
      <c r="F26364" s="0" t="s">
        <v>1462</v>
      </c>
    </row>
    <row r="26366" customFormat="false" ht="12.8" hidden="false" customHeight="false" outlineLevel="0" collapsed="false">
      <c r="A26366" s="0" t="s">
        <v>9834</v>
      </c>
      <c r="B26366" s="0" t="str">
        <f aca="false">HYPERLINK("https://lindat.mff.cuni.cz/services/teitok/pdtc10/index.php?action=vallex&amp;frame=v-w3516f3", "pociťovat (v-w3516f3) - substituted with v-w3516hsa_1155")</f>
        <v>pociťovat (v-w3516f3) - substituted with v-w3516hsa_1155</v>
      </c>
    </row>
    <row r="26367" customFormat="false" ht="12.8" hidden="false" customHeight="false" outlineLevel="0" collapsed="false">
      <c r="B26367" s="0" t="s">
        <v>7</v>
      </c>
      <c r="C26367" s="0" t="s">
        <v>1458</v>
      </c>
    </row>
    <row r="26368" customFormat="false" ht="12.8" hidden="false" customHeight="false" outlineLevel="0" collapsed="false">
      <c r="B26368" s="0" t="s">
        <v>9835</v>
      </c>
      <c r="C26368" s="0" t="s">
        <v>1459</v>
      </c>
    </row>
    <row r="26370" customFormat="false" ht="12.8" hidden="false" customHeight="false" outlineLevel="0" collapsed="false">
      <c r="A26370" s="0" t="s">
        <v>9837</v>
      </c>
      <c r="B26370" s="0" t="str">
        <f aca="false">HYPERLINK("https://lindat.mff.cuni.cz/services/teitok/pdtc10/index.php?action=vallex&amp;frame=v-w11028f2", "poctít (v-w11028f2)")</f>
        <v>poctít (v-w11028f2)</v>
      </c>
    </row>
    <row r="26371" customFormat="false" ht="12.8" hidden="false" customHeight="false" outlineLevel="0" collapsed="false">
      <c r="B26371" s="0" t="s">
        <v>7</v>
      </c>
    </row>
    <row r="26372" customFormat="false" ht="12.8" hidden="false" customHeight="false" outlineLevel="0" collapsed="false">
      <c r="B26372" s="0" t="s">
        <v>81</v>
      </c>
      <c r="C26372" s="0" t="s">
        <v>3323</v>
      </c>
    </row>
    <row r="26373" customFormat="false" ht="12.8" hidden="false" customHeight="false" outlineLevel="0" collapsed="false">
      <c r="B26373" s="0" t="s">
        <v>3771</v>
      </c>
      <c r="C26373" s="0" t="s">
        <v>1544</v>
      </c>
    </row>
    <row r="26375" customFormat="false" ht="12.8" hidden="false" customHeight="false" outlineLevel="0" collapsed="false">
      <c r="A26375" s="0" t="s">
        <v>9838</v>
      </c>
      <c r="B26375" s="0" t="str">
        <f aca="false">HYPERLINK("https://lindat.mff.cuni.cz/services/teitok/pdtc10/index.php?action=vallex&amp;frame=v-w3515f2", "pocítit (v-w3515f2)")</f>
        <v>pocítit (v-w3515f2)</v>
      </c>
    </row>
    <row r="26376" customFormat="false" ht="12.8" hidden="false" customHeight="false" outlineLevel="0" collapsed="false">
      <c r="B26376" s="0" t="s">
        <v>7</v>
      </c>
    </row>
    <row r="26377" customFormat="false" ht="12.8" hidden="false" customHeight="false" outlineLevel="0" collapsed="false">
      <c r="B26377" s="0" t="s">
        <v>172</v>
      </c>
    </row>
    <row r="26379" customFormat="false" ht="12.8" hidden="false" customHeight="false" outlineLevel="0" collapsed="false">
      <c r="A26379" s="0" t="s">
        <v>9839</v>
      </c>
      <c r="B26379" s="0" t="str">
        <f aca="false">HYPERLINK("https://lindat.mff.cuni.cz/services/teitok/pdtc10/index.php?action=vallex&amp;frame=v-w3515f5_ZU", "pocítit (v-w3515f5_ZU)")</f>
        <v>pocítit (v-w3515f5_ZU)</v>
      </c>
    </row>
    <row r="26380" customFormat="false" ht="12.8" hidden="false" customHeight="false" outlineLevel="0" collapsed="false">
      <c r="B26380" s="0" t="s">
        <v>7</v>
      </c>
    </row>
    <row r="26381" customFormat="false" ht="12.8" hidden="false" customHeight="false" outlineLevel="0" collapsed="false">
      <c r="B26381" s="0" t="s">
        <v>9840</v>
      </c>
    </row>
    <row r="26383" customFormat="false" ht="12.8" hidden="false" customHeight="false" outlineLevel="0" collapsed="false">
      <c r="A26383" s="0" t="s">
        <v>9839</v>
      </c>
      <c r="B26383" s="0" t="str">
        <f aca="false">HYPERLINK("https://lindat.mff.cuni.cz/services/teitok/pdtc10/index.php?action=vallex&amp;frame=v-w3515f3", "pocítit (v-w3515f3) - substituted with v-w3515f5_ZU")</f>
        <v>pocítit (v-w3515f3) - substituted with v-w3515f5_ZU</v>
      </c>
    </row>
    <row r="26384" customFormat="false" ht="12.8" hidden="false" customHeight="false" outlineLevel="0" collapsed="false">
      <c r="B26384" s="0" t="s">
        <v>7</v>
      </c>
      <c r="C26384" s="0" t="s">
        <v>1448</v>
      </c>
    </row>
    <row r="26385" customFormat="false" ht="12.8" hidden="false" customHeight="false" outlineLevel="0" collapsed="false">
      <c r="B26385" s="0" t="s">
        <v>9840</v>
      </c>
      <c r="C26385" s="0" t="s">
        <v>1462</v>
      </c>
    </row>
    <row r="26387" customFormat="false" ht="12.8" hidden="false" customHeight="false" outlineLevel="0" collapsed="false">
      <c r="A26387" s="0" t="s">
        <v>9839</v>
      </c>
      <c r="B26387" s="0" t="str">
        <f aca="false">HYPERLINK("https://lindat.mff.cuni.cz/services/teitok/pdtc10/index.php?action=vallex&amp;frame=v-w3515hsa_283", "pocítit (v-w3515hsa_283) - substituted with v-w3515f5_ZU")</f>
        <v>pocítit (v-w3515hsa_283) - substituted with v-w3515f5_ZU</v>
      </c>
    </row>
    <row r="26388" customFormat="false" ht="12.8" hidden="false" customHeight="false" outlineLevel="0" collapsed="false">
      <c r="B26388" s="0" t="s">
        <v>7</v>
      </c>
    </row>
    <row r="26389" customFormat="false" ht="12.8" hidden="false" customHeight="false" outlineLevel="0" collapsed="false">
      <c r="B26389" s="0" t="s">
        <v>9840</v>
      </c>
    </row>
    <row r="26391" customFormat="false" ht="12.8" hidden="false" customHeight="false" outlineLevel="0" collapsed="false">
      <c r="A26391" s="0" t="s">
        <v>9839</v>
      </c>
      <c r="B26391" s="0" t="str">
        <f aca="false">HYPERLINK("https://lindat.mff.cuni.cz/services/teitok/pdtc10/index.php?action=vallex&amp;frame=v-w3515hsa_284", "pocítit (v-w3515hsa_284) - substituted with v-w3515f5_ZU")</f>
        <v>pocítit (v-w3515hsa_284) - substituted with v-w3515f5_ZU</v>
      </c>
    </row>
    <row r="26392" customFormat="false" ht="12.8" hidden="false" customHeight="false" outlineLevel="0" collapsed="false">
      <c r="B26392" s="0" t="s">
        <v>7</v>
      </c>
      <c r="C26392" s="0" t="s">
        <v>1680</v>
      </c>
      <c r="D26392" s="0" t="s">
        <v>1448</v>
      </c>
      <c r="E26392" s="0" t="s">
        <v>1448</v>
      </c>
      <c r="F26392" s="0" t="s">
        <v>1448</v>
      </c>
    </row>
    <row r="26393" customFormat="false" ht="12.8" hidden="false" customHeight="false" outlineLevel="0" collapsed="false">
      <c r="B26393" s="0" t="s">
        <v>9840</v>
      </c>
      <c r="C26393" s="0" t="s">
        <v>9841</v>
      </c>
      <c r="D26393" s="0" t="s">
        <v>1462</v>
      </c>
      <c r="E26393" s="0" t="s">
        <v>1462</v>
      </c>
      <c r="F26393" s="0" t="s">
        <v>1462</v>
      </c>
    </row>
    <row r="26395" customFormat="false" ht="12.8" hidden="false" customHeight="false" outlineLevel="0" collapsed="false">
      <c r="A26395" s="0" t="s">
        <v>9842</v>
      </c>
      <c r="B26395" s="0" t="str">
        <f aca="false">HYPERLINK("https://lindat.mff.cuni.cz/services/teitok/pdtc10/index.php?action=vallex&amp;frame=v-w3515hsa_285", "pocítit (v-w3515hsa_285)")</f>
        <v>pocítit (v-w3515hsa_285)</v>
      </c>
    </row>
    <row r="26396" customFormat="false" ht="12.8" hidden="false" customHeight="false" outlineLevel="0" collapsed="false">
      <c r="B26396" s="0" t="s">
        <v>7</v>
      </c>
      <c r="C26396" s="0" t="s">
        <v>1456</v>
      </c>
      <c r="D26396" s="0" t="s">
        <v>1448</v>
      </c>
      <c r="E26396" s="0" t="s">
        <v>1448</v>
      </c>
      <c r="F26396" s="0" t="s">
        <v>1448</v>
      </c>
    </row>
    <row r="26397" customFormat="false" ht="12.8" hidden="false" customHeight="false" outlineLevel="0" collapsed="false">
      <c r="B26397" s="0" t="s">
        <v>9843</v>
      </c>
      <c r="C26397" s="0" t="s">
        <v>1457</v>
      </c>
      <c r="D26397" s="0" t="s">
        <v>1462</v>
      </c>
      <c r="E26397" s="0" t="s">
        <v>1462</v>
      </c>
      <c r="F26397" s="0" t="s">
        <v>1462</v>
      </c>
    </row>
    <row r="26399" customFormat="false" ht="12.8" hidden="false" customHeight="false" outlineLevel="0" collapsed="false">
      <c r="A26399" s="0" t="s">
        <v>9842</v>
      </c>
      <c r="B26399" s="0" t="str">
        <f aca="false">HYPERLINK("https://lindat.mff.cuni.cz/services/teitok/pdtc10/index.php?action=vallex&amp;frame=v-w3515f4_ZU", "pocítit (v-w3515f4_ZU) - substituted with v-w3515hsa_285")</f>
        <v>pocítit (v-w3515f4_ZU) - substituted with v-w3515hsa_285</v>
      </c>
    </row>
    <row r="26400" customFormat="false" ht="12.8" hidden="false" customHeight="false" outlineLevel="0" collapsed="false">
      <c r="B26400" s="0" t="s">
        <v>7</v>
      </c>
      <c r="C26400" s="0" t="s">
        <v>2240</v>
      </c>
    </row>
    <row r="26401" customFormat="false" ht="12.8" hidden="false" customHeight="false" outlineLevel="0" collapsed="false">
      <c r="B26401" s="0" t="s">
        <v>9843</v>
      </c>
      <c r="C26401" s="0" t="s">
        <v>2343</v>
      </c>
    </row>
    <row r="26403" customFormat="false" ht="12.8" hidden="false" customHeight="false" outlineLevel="0" collapsed="false">
      <c r="A26403" s="0" t="s">
        <v>9844</v>
      </c>
      <c r="B26403" s="0" t="str">
        <f aca="false">HYPERLINK("https://lindat.mff.cuni.cz/services/teitok/pdtc10/index.php?action=vallex&amp;frame=v-w3515f1", "pocítit (v-w3515f1)")</f>
        <v>pocítit (v-w3515f1)</v>
      </c>
    </row>
    <row r="26404" customFormat="false" ht="12.8" hidden="false" customHeight="false" outlineLevel="0" collapsed="false">
      <c r="B26404" s="0" t="s">
        <v>7</v>
      </c>
      <c r="C26404" s="0" t="s">
        <v>2560</v>
      </c>
    </row>
    <row r="26405" customFormat="false" ht="12.8" hidden="false" customHeight="false" outlineLevel="0" collapsed="false">
      <c r="B26405" s="0" t="s">
        <v>172</v>
      </c>
      <c r="C26405" s="0" t="s">
        <v>9845</v>
      </c>
    </row>
    <row r="26406" customFormat="false" ht="12.8" hidden="false" customHeight="false" outlineLevel="0" collapsed="false">
      <c r="B26406" s="0" t="s">
        <v>9846</v>
      </c>
    </row>
    <row r="26408" customFormat="false" ht="12.8" hidden="false" customHeight="false" outlineLevel="0" collapsed="false">
      <c r="A26408" s="0" t="s">
        <v>9847</v>
      </c>
      <c r="B26408" s="0" t="str">
        <f aca="false">HYPERLINK("https://lindat.mff.cuni.cz/services/teitok/pdtc10/index.php?action=vallex&amp;frame=v-w10548f2", "podarovat (v-w10548f2)")</f>
        <v>podarovat (v-w10548f2)</v>
      </c>
    </row>
    <row r="26409" customFormat="false" ht="12.8" hidden="false" customHeight="false" outlineLevel="0" collapsed="false">
      <c r="B26409" s="0" t="s">
        <v>7</v>
      </c>
    </row>
    <row r="26410" customFormat="false" ht="12.8" hidden="false" customHeight="false" outlineLevel="0" collapsed="false">
      <c r="B26410" s="0" t="s">
        <v>14</v>
      </c>
    </row>
    <row r="26412" customFormat="false" ht="12.8" hidden="false" customHeight="false" outlineLevel="0" collapsed="false">
      <c r="A26412" s="0" t="s">
        <v>9848</v>
      </c>
      <c r="B26412" s="0" t="str">
        <f aca="false">HYPERLINK("https://lindat.mff.cuni.cz/services/teitok/pdtc10/index.php?action=vallex&amp;frame=v-w3541f9", "podat (v-w3541f9)")</f>
        <v>podat (v-w3541f9)</v>
      </c>
    </row>
    <row r="26413" customFormat="false" ht="12.8" hidden="false" customHeight="false" outlineLevel="0" collapsed="false">
      <c r="B26413" s="0" t="s">
        <v>7</v>
      </c>
      <c r="C26413" s="0" t="s">
        <v>126</v>
      </c>
      <c r="D26413" s="0" t="s">
        <v>504</v>
      </c>
      <c r="E26413" s="0" t="s">
        <v>504</v>
      </c>
      <c r="F26413" s="0" t="s">
        <v>504</v>
      </c>
    </row>
    <row r="26414" customFormat="false" ht="12.8" hidden="false" customHeight="false" outlineLevel="0" collapsed="false">
      <c r="B26414" s="0" t="s">
        <v>367</v>
      </c>
      <c r="C26414" s="0" t="s">
        <v>625</v>
      </c>
      <c r="D26414" s="0" t="s">
        <v>466</v>
      </c>
      <c r="E26414" s="0" t="s">
        <v>466</v>
      </c>
      <c r="F26414" s="0" t="s">
        <v>466</v>
      </c>
    </row>
    <row r="26415" customFormat="false" ht="12.8" hidden="false" customHeight="false" outlineLevel="0" collapsed="false">
      <c r="B26415" s="0" t="s">
        <v>48</v>
      </c>
      <c r="D26415" s="0" t="s">
        <v>9849</v>
      </c>
      <c r="E26415" s="0" t="s">
        <v>9849</v>
      </c>
      <c r="F26415" s="0" t="s">
        <v>9849</v>
      </c>
    </row>
    <row r="26417" customFormat="false" ht="12.8" hidden="false" customHeight="false" outlineLevel="0" collapsed="false">
      <c r="A26417" s="0" t="s">
        <v>9850</v>
      </c>
      <c r="B26417" s="0" t="str">
        <f aca="false">HYPERLINK("https://lindat.mff.cuni.cz/services/teitok/pdtc10/index.php?action=vallex&amp;frame=v-w3541f2", "podat (v-w3541f2)")</f>
        <v>podat (v-w3541f2)</v>
      </c>
    </row>
    <row r="26418" customFormat="false" ht="12.8" hidden="false" customHeight="false" outlineLevel="0" collapsed="false">
      <c r="B26418" s="0" t="s">
        <v>7</v>
      </c>
      <c r="C26418" s="0" t="s">
        <v>9851</v>
      </c>
    </row>
    <row r="26419" customFormat="false" ht="12.8" hidden="false" customHeight="false" outlineLevel="0" collapsed="false">
      <c r="B26419" s="0" t="s">
        <v>14</v>
      </c>
      <c r="C26419" s="0" t="s">
        <v>9852</v>
      </c>
    </row>
    <row r="26420" customFormat="false" ht="12.8" hidden="false" customHeight="false" outlineLevel="0" collapsed="false">
      <c r="B26420" s="0" t="s">
        <v>48</v>
      </c>
      <c r="C26420" s="0" t="s">
        <v>9853</v>
      </c>
    </row>
    <row r="26422" customFormat="false" ht="12.8" hidden="false" customHeight="false" outlineLevel="0" collapsed="false">
      <c r="A26422" s="0" t="s">
        <v>9854</v>
      </c>
      <c r="B26422" s="0" t="str">
        <f aca="false">HYPERLINK("https://lindat.mff.cuni.cz/services/teitok/pdtc10/index.php?action=vallex&amp;frame=v-w3541f10", "podat (v-w3541f10)")</f>
        <v>podat (v-w3541f10)</v>
      </c>
    </row>
    <row r="26423" customFormat="false" ht="12.8" hidden="false" customHeight="false" outlineLevel="0" collapsed="false">
      <c r="B26423" s="0" t="s">
        <v>7</v>
      </c>
      <c r="C26423" s="0" t="s">
        <v>9420</v>
      </c>
      <c r="D26423" s="0" t="s">
        <v>3235</v>
      </c>
      <c r="E26423" s="0" t="s">
        <v>3235</v>
      </c>
      <c r="F26423" s="0" t="s">
        <v>3235</v>
      </c>
    </row>
    <row r="26424" customFormat="false" ht="12.8" hidden="false" customHeight="false" outlineLevel="0" collapsed="false">
      <c r="B26424" s="0" t="s">
        <v>14</v>
      </c>
      <c r="C26424" s="0" t="s">
        <v>9855</v>
      </c>
      <c r="D26424" s="0" t="s">
        <v>3237</v>
      </c>
      <c r="E26424" s="0" t="s">
        <v>3237</v>
      </c>
      <c r="F26424" s="0" t="s">
        <v>3237</v>
      </c>
    </row>
    <row r="26425" customFormat="false" ht="12.8" hidden="false" customHeight="false" outlineLevel="0" collapsed="false">
      <c r="B26425" s="0" t="s">
        <v>48</v>
      </c>
      <c r="C26425" s="0" t="s">
        <v>9856</v>
      </c>
      <c r="D26425" s="0" t="s">
        <v>3238</v>
      </c>
      <c r="E26425" s="0" t="s">
        <v>3238</v>
      </c>
      <c r="F26425" s="0" t="s">
        <v>3238</v>
      </c>
    </row>
    <row r="26427" customFormat="false" ht="12.8" hidden="false" customHeight="false" outlineLevel="0" collapsed="false">
      <c r="A26427" s="0" t="s">
        <v>9857</v>
      </c>
      <c r="B26427" s="0" t="str">
        <f aca="false">HYPERLINK("https://lindat.mff.cuni.cz/services/teitok/pdtc10/index.php?action=vallex&amp;frame=v-w3541f12", "podat (v-w3541f12)")</f>
        <v>podat (v-w3541f12)</v>
      </c>
    </row>
    <row r="26428" customFormat="false" ht="12.8" hidden="false" customHeight="false" outlineLevel="0" collapsed="false">
      <c r="B26428" s="0" t="s">
        <v>7</v>
      </c>
    </row>
    <row r="26429" customFormat="false" ht="12.8" hidden="false" customHeight="false" outlineLevel="0" collapsed="false">
      <c r="B26429" s="0" t="s">
        <v>14</v>
      </c>
    </row>
    <row r="26430" customFormat="false" ht="12.8" hidden="false" customHeight="false" outlineLevel="0" collapsed="false">
      <c r="B26430" s="0" t="s">
        <v>48</v>
      </c>
    </row>
    <row r="26432" customFormat="false" ht="12.8" hidden="false" customHeight="false" outlineLevel="0" collapsed="false">
      <c r="A26432" s="0" t="s">
        <v>9858</v>
      </c>
      <c r="B26432" s="0" t="str">
        <f aca="false">HYPERLINK("https://lindat.mff.cuni.cz/services/teitok/pdtc10/index.php?action=vallex&amp;frame=v-w3541f5", "podat (v-w3541f5)")</f>
        <v>podat (v-w3541f5)</v>
      </c>
    </row>
    <row r="26433" customFormat="false" ht="12.8" hidden="false" customHeight="false" outlineLevel="0" collapsed="false">
      <c r="B26433" s="0" t="s">
        <v>7</v>
      </c>
      <c r="C26433" s="0" t="s">
        <v>91</v>
      </c>
    </row>
    <row r="26434" customFormat="false" ht="12.8" hidden="false" customHeight="false" outlineLevel="0" collapsed="false">
      <c r="B26434" s="0" t="s">
        <v>14</v>
      </c>
      <c r="C26434" s="0" t="s">
        <v>210</v>
      </c>
    </row>
    <row r="26435" customFormat="false" ht="12.8" hidden="false" customHeight="false" outlineLevel="0" collapsed="false">
      <c r="B26435" s="0" t="s">
        <v>11</v>
      </c>
    </row>
    <row r="26437" customFormat="false" ht="12.8" hidden="false" customHeight="false" outlineLevel="0" collapsed="false">
      <c r="A26437" s="0" t="s">
        <v>9859</v>
      </c>
      <c r="B26437" s="0" t="str">
        <f aca="false">HYPERLINK("https://lindat.mff.cuni.cz/services/teitok/pdtc10/index.php?action=vallex&amp;frame=v-w3541f7", "podat (v-w3541f7)")</f>
        <v>podat (v-w3541f7)</v>
      </c>
    </row>
    <row r="26438" customFormat="false" ht="12.8" hidden="false" customHeight="false" outlineLevel="0" collapsed="false">
      <c r="B26438" s="0" t="s">
        <v>7</v>
      </c>
      <c r="C26438" s="0" t="s">
        <v>3610</v>
      </c>
    </row>
    <row r="26439" customFormat="false" ht="12.8" hidden="false" customHeight="false" outlineLevel="0" collapsed="false">
      <c r="B26439" s="0" t="s">
        <v>14</v>
      </c>
      <c r="C26439" s="0" t="s">
        <v>6202</v>
      </c>
    </row>
    <row r="26440" customFormat="false" ht="12.8" hidden="false" customHeight="false" outlineLevel="0" collapsed="false">
      <c r="B26440" s="0" t="s">
        <v>124</v>
      </c>
    </row>
    <row r="26442" customFormat="false" ht="12.8" hidden="false" customHeight="false" outlineLevel="0" collapsed="false">
      <c r="A26442" s="0" t="s">
        <v>9860</v>
      </c>
      <c r="B26442" s="0" t="str">
        <f aca="false">HYPERLINK("https://lindat.mff.cuni.cz/services/teitok/pdtc10/index.php?action=vallex&amp;frame=v-w3541f11", "podat (v-w3541f11)")</f>
        <v>podat (v-w3541f11)</v>
      </c>
    </row>
    <row r="26443" customFormat="false" ht="12.8" hidden="false" customHeight="false" outlineLevel="0" collapsed="false">
      <c r="B26443" s="0" t="s">
        <v>7</v>
      </c>
    </row>
    <row r="26445" customFormat="false" ht="12.8" hidden="false" customHeight="false" outlineLevel="0" collapsed="false">
      <c r="A26445" s="0" t="s">
        <v>9861</v>
      </c>
      <c r="B26445" s="0" t="str">
        <f aca="false">HYPERLINK("https://lindat.mff.cuni.cz/services/teitok/pdtc10/index.php?action=vallex&amp;frame=v-w3541f18_ZU", "podat (v-w3541f18_ZU)")</f>
        <v>podat (v-w3541f18_ZU)</v>
      </c>
    </row>
    <row r="26446" customFormat="false" ht="12.8" hidden="false" customHeight="false" outlineLevel="0" collapsed="false">
      <c r="B26446" s="0" t="s">
        <v>7</v>
      </c>
    </row>
    <row r="26447" customFormat="false" ht="12.8" hidden="false" customHeight="false" outlineLevel="0" collapsed="false">
      <c r="B26447" s="0" t="s">
        <v>9862</v>
      </c>
    </row>
    <row r="26448" customFormat="false" ht="12.8" hidden="false" customHeight="false" outlineLevel="0" collapsed="false">
      <c r="B26448" s="0" t="s">
        <v>48</v>
      </c>
    </row>
    <row r="26450" customFormat="false" ht="12.8" hidden="false" customHeight="false" outlineLevel="0" collapsed="false">
      <c r="A26450" s="0" t="s">
        <v>9861</v>
      </c>
      <c r="B26450" s="0" t="str">
        <f aca="false">HYPERLINK("https://lindat.mff.cuni.cz/services/teitok/pdtc10/index.php?action=vallex&amp;frame=v-w3541f1", "podat (v-w3541f1) - substituted with v-w3541f18_ZU")</f>
        <v>podat (v-w3541f1) - substituted with v-w3541f18_ZU</v>
      </c>
    </row>
    <row r="26451" customFormat="false" ht="12.8" hidden="false" customHeight="false" outlineLevel="0" collapsed="false">
      <c r="B26451" s="0" t="s">
        <v>7</v>
      </c>
      <c r="C26451" s="0" t="s">
        <v>9863</v>
      </c>
    </row>
    <row r="26452" customFormat="false" ht="12.8" hidden="false" customHeight="false" outlineLevel="0" collapsed="false">
      <c r="B26452" s="0" t="s">
        <v>9862</v>
      </c>
      <c r="C26452" s="0" t="s">
        <v>9864</v>
      </c>
    </row>
    <row r="26453" customFormat="false" ht="12.8" hidden="false" customHeight="false" outlineLevel="0" collapsed="false">
      <c r="B26453" s="0" t="s">
        <v>48</v>
      </c>
      <c r="C26453" s="0" t="s">
        <v>9865</v>
      </c>
    </row>
    <row r="26455" customFormat="false" ht="12.8" hidden="false" customHeight="false" outlineLevel="0" collapsed="false">
      <c r="A26455" s="0" t="s">
        <v>9861</v>
      </c>
      <c r="B26455" s="0" t="str">
        <f aca="false">HYPERLINK("https://lindat.mff.cuni.cz/services/teitok/pdtc10/index.php?action=vallex&amp;frame=v-w3541f13_ZU", "podat (v-w3541f13_ZU) - substituted with v-w3541f18_ZU")</f>
        <v>podat (v-w3541f13_ZU) - substituted with v-w3541f18_ZU</v>
      </c>
    </row>
    <row r="26456" customFormat="false" ht="12.8" hidden="false" customHeight="false" outlineLevel="0" collapsed="false">
      <c r="B26456" s="0" t="s">
        <v>7</v>
      </c>
    </row>
    <row r="26457" customFormat="false" ht="12.8" hidden="false" customHeight="false" outlineLevel="0" collapsed="false">
      <c r="B26457" s="0" t="s">
        <v>9862</v>
      </c>
    </row>
    <row r="26458" customFormat="false" ht="12.8" hidden="false" customHeight="false" outlineLevel="0" collapsed="false">
      <c r="B26458" s="0" t="s">
        <v>48</v>
      </c>
    </row>
    <row r="26460" customFormat="false" ht="12.8" hidden="false" customHeight="false" outlineLevel="0" collapsed="false">
      <c r="A26460" s="0" t="s">
        <v>9861</v>
      </c>
      <c r="B26460" s="0" t="str">
        <f aca="false">HYPERLINK("https://lindat.mff.cuni.cz/services/teitok/pdtc10/index.php?action=vallex&amp;frame=v-w3541f14_ZU", "podat (v-w3541f14_ZU) - substituted with v-w3541f18_ZU")</f>
        <v>podat (v-w3541f14_ZU) - substituted with v-w3541f18_ZU</v>
      </c>
    </row>
    <row r="26461" customFormat="false" ht="12.8" hidden="false" customHeight="false" outlineLevel="0" collapsed="false">
      <c r="B26461" s="0" t="s">
        <v>7</v>
      </c>
    </row>
    <row r="26462" customFormat="false" ht="12.8" hidden="false" customHeight="false" outlineLevel="0" collapsed="false">
      <c r="B26462" s="0" t="s">
        <v>9862</v>
      </c>
    </row>
    <row r="26463" customFormat="false" ht="12.8" hidden="false" customHeight="false" outlineLevel="0" collapsed="false">
      <c r="B26463" s="0" t="s">
        <v>48</v>
      </c>
    </row>
    <row r="26465" customFormat="false" ht="12.8" hidden="false" customHeight="false" outlineLevel="0" collapsed="false">
      <c r="A26465" s="0" t="s">
        <v>9861</v>
      </c>
      <c r="B26465" s="0" t="str">
        <f aca="false">HYPERLINK("https://lindat.mff.cuni.cz/services/teitok/pdtc10/index.php?action=vallex&amp;frame=v-w3541f15_ZU", "podat (v-w3541f15_ZU) - substituted with v-w3541f18_ZU")</f>
        <v>podat (v-w3541f15_ZU) - substituted with v-w3541f18_ZU</v>
      </c>
    </row>
    <row r="26466" customFormat="false" ht="12.8" hidden="false" customHeight="false" outlineLevel="0" collapsed="false">
      <c r="B26466" s="0" t="s">
        <v>7</v>
      </c>
      <c r="C26466" s="0" t="s">
        <v>113</v>
      </c>
    </row>
    <row r="26467" customFormat="false" ht="12.8" hidden="false" customHeight="false" outlineLevel="0" collapsed="false">
      <c r="B26467" s="0" t="s">
        <v>9862</v>
      </c>
      <c r="C26467" s="0" t="s">
        <v>6640</v>
      </c>
    </row>
    <row r="26468" customFormat="false" ht="12.8" hidden="false" customHeight="false" outlineLevel="0" collapsed="false">
      <c r="B26468" s="0" t="s">
        <v>48</v>
      </c>
    </row>
    <row r="26470" customFormat="false" ht="12.8" hidden="false" customHeight="false" outlineLevel="0" collapsed="false">
      <c r="A26470" s="0" t="s">
        <v>9861</v>
      </c>
      <c r="B26470" s="0" t="str">
        <f aca="false">HYPERLINK("https://lindat.mff.cuni.cz/services/teitok/pdtc10/index.php?action=vallex&amp;frame=v-w3541f16_ZU", "podat (v-w3541f16_ZU) - substituted with v-w3541f18_ZU")</f>
        <v>podat (v-w3541f16_ZU) - substituted with v-w3541f18_ZU</v>
      </c>
    </row>
    <row r="26471" customFormat="false" ht="12.8" hidden="false" customHeight="false" outlineLevel="0" collapsed="false">
      <c r="B26471" s="0" t="s">
        <v>7</v>
      </c>
      <c r="C26471" s="0" t="s">
        <v>9866</v>
      </c>
    </row>
    <row r="26472" customFormat="false" ht="12.8" hidden="false" customHeight="false" outlineLevel="0" collapsed="false">
      <c r="B26472" s="0" t="s">
        <v>9862</v>
      </c>
      <c r="C26472" s="0" t="s">
        <v>9867</v>
      </c>
    </row>
    <row r="26473" customFormat="false" ht="12.8" hidden="false" customHeight="false" outlineLevel="0" collapsed="false">
      <c r="B26473" s="0" t="s">
        <v>48</v>
      </c>
      <c r="C26473" s="0" t="s">
        <v>9868</v>
      </c>
    </row>
    <row r="26475" customFormat="false" ht="12.8" hidden="false" customHeight="false" outlineLevel="0" collapsed="false">
      <c r="A26475" s="0" t="s">
        <v>9861</v>
      </c>
      <c r="B26475" s="0" t="str">
        <f aca="false">HYPERLINK("https://lindat.mff.cuni.cz/services/teitok/pdtc10/index.php?action=vallex&amp;frame=v-w3541f17_ZU", "podat (v-w3541f17_ZU) - substituted with v-w3541f18_ZU")</f>
        <v>podat (v-w3541f17_ZU) - substituted with v-w3541f18_ZU</v>
      </c>
    </row>
    <row r="26476" customFormat="false" ht="12.8" hidden="false" customHeight="false" outlineLevel="0" collapsed="false">
      <c r="B26476" s="0" t="s">
        <v>7</v>
      </c>
    </row>
    <row r="26477" customFormat="false" ht="12.8" hidden="false" customHeight="false" outlineLevel="0" collapsed="false">
      <c r="B26477" s="0" t="s">
        <v>9862</v>
      </c>
    </row>
    <row r="26478" customFormat="false" ht="12.8" hidden="false" customHeight="false" outlineLevel="0" collapsed="false">
      <c r="B26478" s="0" t="s">
        <v>48</v>
      </c>
    </row>
    <row r="26480" customFormat="false" ht="12.8" hidden="false" customHeight="false" outlineLevel="0" collapsed="false">
      <c r="A26480" s="0" t="s">
        <v>9861</v>
      </c>
      <c r="B26480" s="0" t="str">
        <f aca="false">HYPERLINK("https://lindat.mff.cuni.cz/services/teitok/pdtc10/index.php?action=vallex&amp;frame=v-w3541hsa_1049", "podat (v-w3541hsa_1049) - substituted with v-w3541f18_ZU")</f>
        <v>podat (v-w3541hsa_1049) - substituted with v-w3541f18_ZU</v>
      </c>
    </row>
    <row r="26481" customFormat="false" ht="12.8" hidden="false" customHeight="false" outlineLevel="0" collapsed="false">
      <c r="B26481" s="0" t="s">
        <v>7</v>
      </c>
      <c r="C26481" s="0" t="s">
        <v>9869</v>
      </c>
      <c r="D26481" s="0" t="s">
        <v>9870</v>
      </c>
      <c r="E26481" s="0" t="s">
        <v>9870</v>
      </c>
      <c r="F26481" s="0" t="s">
        <v>9870</v>
      </c>
    </row>
    <row r="26482" customFormat="false" ht="12.8" hidden="false" customHeight="false" outlineLevel="0" collapsed="false">
      <c r="B26482" s="0" t="s">
        <v>9862</v>
      </c>
      <c r="C26482" s="0" t="s">
        <v>9871</v>
      </c>
      <c r="D26482" s="0" t="s">
        <v>9872</v>
      </c>
      <c r="E26482" s="0" t="s">
        <v>9872</v>
      </c>
      <c r="F26482" s="0" t="s">
        <v>9872</v>
      </c>
    </row>
    <row r="26483" customFormat="false" ht="12.8" hidden="false" customHeight="false" outlineLevel="0" collapsed="false">
      <c r="B26483" s="0" t="s">
        <v>48</v>
      </c>
      <c r="C26483" s="0" t="s">
        <v>3044</v>
      </c>
      <c r="D26483" s="0" t="s">
        <v>9873</v>
      </c>
      <c r="E26483" s="0" t="s">
        <v>9873</v>
      </c>
      <c r="F26483" s="0" t="s">
        <v>9873</v>
      </c>
    </row>
    <row r="26485" customFormat="false" ht="12.8" hidden="false" customHeight="false" outlineLevel="0" collapsed="false">
      <c r="A26485" s="0" t="s">
        <v>9874</v>
      </c>
      <c r="B26485" s="0" t="str">
        <f aca="false">HYPERLINK("https://lindat.mff.cuni.cz/services/teitok/pdtc10/index.php?action=vallex&amp;frame=v-w3541hsa_1052", "podat (v-w3541hsa_1052)")</f>
        <v>podat (v-w3541hsa_1052)</v>
      </c>
    </row>
    <row r="26486" customFormat="false" ht="12.8" hidden="false" customHeight="false" outlineLevel="0" collapsed="false">
      <c r="B26486" s="0" t="s">
        <v>7</v>
      </c>
      <c r="C26486" s="0" t="s">
        <v>9875</v>
      </c>
      <c r="D26486" s="0" t="s">
        <v>9870</v>
      </c>
      <c r="E26486" s="0" t="s">
        <v>9870</v>
      </c>
      <c r="F26486" s="0" t="s">
        <v>9870</v>
      </c>
    </row>
    <row r="26487" customFormat="false" ht="12.8" hidden="false" customHeight="false" outlineLevel="0" collapsed="false">
      <c r="B26487" s="0" t="s">
        <v>9876</v>
      </c>
      <c r="C26487" s="0" t="s">
        <v>9877</v>
      </c>
      <c r="D26487" s="0" t="s">
        <v>9872</v>
      </c>
      <c r="E26487" s="0" t="s">
        <v>9872</v>
      </c>
      <c r="F26487" s="0" t="s">
        <v>9872</v>
      </c>
    </row>
    <row r="26488" customFormat="false" ht="12.8" hidden="false" customHeight="false" outlineLevel="0" collapsed="false">
      <c r="B26488" s="0" t="s">
        <v>11</v>
      </c>
      <c r="D26488" s="0" t="s">
        <v>9878</v>
      </c>
      <c r="E26488" s="0" t="s">
        <v>9878</v>
      </c>
      <c r="F26488" s="0" t="s">
        <v>9878</v>
      </c>
    </row>
    <row r="26490" customFormat="false" ht="12.8" hidden="false" customHeight="false" outlineLevel="0" collapsed="false">
      <c r="A26490" s="0" t="s">
        <v>9874</v>
      </c>
      <c r="B26490" s="0" t="str">
        <f aca="false">HYPERLINK("https://lindat.mff.cuni.cz/services/teitok/pdtc10/index.php?action=vallex&amp;frame=v-w3541f8", "podat (v-w3541f8) - substituted with v-w3541hsa_1052")</f>
        <v>podat (v-w3541f8) - substituted with v-w3541hsa_1052</v>
      </c>
    </row>
    <row r="26491" customFormat="false" ht="12.8" hidden="false" customHeight="false" outlineLevel="0" collapsed="false">
      <c r="B26491" s="0" t="s">
        <v>7</v>
      </c>
      <c r="C26491" s="0" t="s">
        <v>9879</v>
      </c>
    </row>
    <row r="26492" customFormat="false" ht="12.8" hidden="false" customHeight="false" outlineLevel="0" collapsed="false">
      <c r="B26492" s="0" t="s">
        <v>9876</v>
      </c>
      <c r="C26492" s="0" t="s">
        <v>9880</v>
      </c>
    </row>
    <row r="26493" customFormat="false" ht="12.8" hidden="false" customHeight="false" outlineLevel="0" collapsed="false">
      <c r="B26493" s="0" t="s">
        <v>11</v>
      </c>
      <c r="C26493" s="0" t="s">
        <v>9881</v>
      </c>
    </row>
    <row r="26495" customFormat="false" ht="12.8" hidden="false" customHeight="false" outlineLevel="0" collapsed="false">
      <c r="A26495" s="0" t="s">
        <v>9874</v>
      </c>
      <c r="B26495" s="0" t="str">
        <f aca="false">HYPERLINK("https://lindat.mff.cuni.cz/services/teitok/pdtc10/index.php?action=vallex&amp;frame=v-w3541hsa_1050", "podat (v-w3541hsa_1050) - substituted with v-w3541hsa_1052")</f>
        <v>podat (v-w3541hsa_1050) - substituted with v-w3541hsa_1052</v>
      </c>
    </row>
    <row r="26496" customFormat="false" ht="12.8" hidden="false" customHeight="false" outlineLevel="0" collapsed="false">
      <c r="B26496" s="0" t="s">
        <v>7</v>
      </c>
    </row>
    <row r="26497" customFormat="false" ht="12.8" hidden="false" customHeight="false" outlineLevel="0" collapsed="false">
      <c r="B26497" s="0" t="s">
        <v>9876</v>
      </c>
    </row>
    <row r="26498" customFormat="false" ht="12.8" hidden="false" customHeight="false" outlineLevel="0" collapsed="false">
      <c r="B26498" s="0" t="s">
        <v>11</v>
      </c>
    </row>
    <row r="26500" customFormat="false" ht="12.8" hidden="false" customHeight="false" outlineLevel="0" collapsed="false">
      <c r="A26500" s="0" t="s">
        <v>9882</v>
      </c>
      <c r="B26500" s="0" t="str">
        <f aca="false">HYPERLINK("https://lindat.mff.cuni.cz/services/teitok/pdtc10/index.php?action=vallex&amp;frame=v-w3541hsa_1051", "podat (v-w3541hsa_1051)")</f>
        <v>podat (v-w3541hsa_1051)</v>
      </c>
    </row>
    <row r="26501" customFormat="false" ht="12.8" hidden="false" customHeight="false" outlineLevel="0" collapsed="false">
      <c r="B26501" s="0" t="s">
        <v>7</v>
      </c>
      <c r="C26501" s="0" t="s">
        <v>1505</v>
      </c>
    </row>
    <row r="26502" customFormat="false" ht="12.8" hidden="false" customHeight="false" outlineLevel="0" collapsed="false">
      <c r="B26502" s="0" t="s">
        <v>9883</v>
      </c>
      <c r="C26502" s="0" t="s">
        <v>9884</v>
      </c>
    </row>
    <row r="26503" customFormat="false" ht="12.8" hidden="false" customHeight="false" outlineLevel="0" collapsed="false">
      <c r="B26503" s="0" t="s">
        <v>124</v>
      </c>
    </row>
    <row r="26505" customFormat="false" ht="12.8" hidden="false" customHeight="false" outlineLevel="0" collapsed="false">
      <c r="A26505" s="0" t="s">
        <v>9882</v>
      </c>
      <c r="B26505" s="0" t="str">
        <f aca="false">HYPERLINK("https://lindat.mff.cuni.cz/services/teitok/pdtc10/index.php?action=vallex&amp;frame=v-w3541f6", "podat (v-w3541f6) - substituted with v-w3541hsa_1051")</f>
        <v>podat (v-w3541f6) - substituted with v-w3541hsa_1051</v>
      </c>
    </row>
    <row r="26506" customFormat="false" ht="12.8" hidden="false" customHeight="false" outlineLevel="0" collapsed="false">
      <c r="B26506" s="0" t="s">
        <v>7</v>
      </c>
      <c r="C26506" s="0" t="s">
        <v>9885</v>
      </c>
    </row>
    <row r="26507" customFormat="false" ht="12.8" hidden="false" customHeight="false" outlineLevel="0" collapsed="false">
      <c r="B26507" s="0" t="s">
        <v>9883</v>
      </c>
      <c r="C26507" s="0" t="s">
        <v>9886</v>
      </c>
    </row>
    <row r="26508" customFormat="false" ht="12.8" hidden="false" customHeight="false" outlineLevel="0" collapsed="false">
      <c r="B26508" s="0" t="s">
        <v>124</v>
      </c>
    </row>
    <row r="26510" customFormat="false" ht="12.8" hidden="false" customHeight="false" outlineLevel="0" collapsed="false">
      <c r="A26510" s="0" t="s">
        <v>9887</v>
      </c>
      <c r="B26510" s="0" t="str">
        <f aca="false">HYPERLINK("https://lindat.mff.cuni.cz/services/teitok/pdtc10/index.php?action=vallex&amp;frame=v-w3541f4", "podat (v-w3541f4)")</f>
        <v>podat (v-w3541f4)</v>
      </c>
    </row>
    <row r="26511" customFormat="false" ht="12.8" hidden="false" customHeight="false" outlineLevel="0" collapsed="false">
      <c r="B26511" s="0" t="s">
        <v>7</v>
      </c>
    </row>
    <row r="26512" customFormat="false" ht="12.8" hidden="false" customHeight="false" outlineLevel="0" collapsed="false">
      <c r="B26512" s="0" t="s">
        <v>9888</v>
      </c>
    </row>
    <row r="26514" customFormat="false" ht="12.8" hidden="false" customHeight="false" outlineLevel="0" collapsed="false">
      <c r="A26514" s="0" t="s">
        <v>9889</v>
      </c>
      <c r="B26514" s="0" t="str">
        <f aca="false">HYPERLINK("https://lindat.mff.cuni.cz/services/teitok/pdtc10/index.php?action=vallex&amp;frame=v-w3541f3", "podat (v-w3541f3)")</f>
        <v>podat (v-w3541f3)</v>
      </c>
    </row>
    <row r="26515" customFormat="false" ht="12.8" hidden="false" customHeight="false" outlineLevel="0" collapsed="false">
      <c r="B26515" s="0" t="s">
        <v>7</v>
      </c>
    </row>
    <row r="26516" customFormat="false" ht="12.8" hidden="false" customHeight="false" outlineLevel="0" collapsed="false">
      <c r="B26516" s="0" t="s">
        <v>9890</v>
      </c>
    </row>
    <row r="26518" customFormat="false" ht="12.8" hidden="false" customHeight="false" outlineLevel="0" collapsed="false">
      <c r="A26518" s="0" t="s">
        <v>9891</v>
      </c>
      <c r="B26518" s="0" t="str">
        <f aca="false">HYPERLINK("https://lindat.mff.cuni.cz/services/teitok/pdtc10/index.php?action=vallex&amp;frame=v-w3542f1", "podat si (v-w3542f1)")</f>
        <v>podat si (v-w3542f1)</v>
      </c>
    </row>
    <row r="26519" customFormat="false" ht="12.8" hidden="false" customHeight="false" outlineLevel="0" collapsed="false">
      <c r="B26519" s="0" t="s">
        <v>7</v>
      </c>
    </row>
    <row r="26520" customFormat="false" ht="12.8" hidden="false" customHeight="false" outlineLevel="0" collapsed="false">
      <c r="B26520" s="0" t="s">
        <v>14</v>
      </c>
    </row>
    <row r="26522" customFormat="false" ht="12.8" hidden="false" customHeight="false" outlineLevel="0" collapsed="false">
      <c r="A26522" s="0" t="s">
        <v>9892</v>
      </c>
      <c r="B26522" s="0" t="str">
        <f aca="false">HYPERLINK("https://lindat.mff.cuni.cz/services/teitok/pdtc10/index.php?action=vallex&amp;frame=v-w3542f3_ZU", "podat si (v-w3542f3_ZU)")</f>
        <v>podat si (v-w3542f3_ZU)</v>
      </c>
    </row>
    <row r="26523" customFormat="false" ht="12.8" hidden="false" customHeight="false" outlineLevel="0" collapsed="false">
      <c r="B26523" s="0" t="s">
        <v>7</v>
      </c>
    </row>
    <row r="26524" customFormat="false" ht="12.8" hidden="false" customHeight="false" outlineLevel="0" collapsed="false">
      <c r="B26524" s="0" t="s">
        <v>9893</v>
      </c>
    </row>
    <row r="26525" customFormat="false" ht="12.8" hidden="false" customHeight="false" outlineLevel="0" collapsed="false">
      <c r="B26525" s="0" t="s">
        <v>548</v>
      </c>
    </row>
    <row r="26527" customFormat="false" ht="12.8" hidden="false" customHeight="false" outlineLevel="0" collapsed="false">
      <c r="A26527" s="0" t="s">
        <v>9892</v>
      </c>
      <c r="B26527" s="0" t="str">
        <f aca="false">HYPERLINK("https://lindat.mff.cuni.cz/services/teitok/pdtc10/index.php?action=vallex&amp;frame=v-w3542f2_ZU", "podat si (v-w3542f2_ZU) - substituted with v-w3542f3_ZU")</f>
        <v>podat si (v-w3542f2_ZU) - substituted with v-w3542f3_ZU</v>
      </c>
    </row>
    <row r="26528" customFormat="false" ht="12.8" hidden="false" customHeight="false" outlineLevel="0" collapsed="false">
      <c r="B26528" s="0" t="s">
        <v>7</v>
      </c>
    </row>
    <row r="26529" customFormat="false" ht="12.8" hidden="false" customHeight="false" outlineLevel="0" collapsed="false">
      <c r="B26529" s="0" t="s">
        <v>9893</v>
      </c>
    </row>
    <row r="26530" customFormat="false" ht="12.8" hidden="false" customHeight="false" outlineLevel="0" collapsed="false">
      <c r="B26530" s="0" t="s">
        <v>548</v>
      </c>
    </row>
    <row r="26532" customFormat="false" ht="12.8" hidden="false" customHeight="false" outlineLevel="0" collapsed="false">
      <c r="A26532" s="0" t="s">
        <v>9894</v>
      </c>
      <c r="B26532" s="0" t="str">
        <f aca="false">HYPERLINK("https://lindat.mff.cuni.cz/services/teitok/pdtc10/index.php?action=vallex&amp;frame=v-w3540f1", "podařit se (v-w3540f1)")</f>
        <v>podařit se (v-w3540f1)</v>
      </c>
    </row>
    <row r="26533" customFormat="false" ht="12.8" hidden="false" customHeight="false" outlineLevel="0" collapsed="false">
      <c r="B26533" s="0" t="s">
        <v>603</v>
      </c>
      <c r="C26533" s="0" t="s">
        <v>9895</v>
      </c>
      <c r="D26533" s="0" t="s">
        <v>9896</v>
      </c>
      <c r="E26533" s="0" t="s">
        <v>9896</v>
      </c>
      <c r="F26533" s="0" t="s">
        <v>9896</v>
      </c>
    </row>
    <row r="26534" customFormat="false" ht="12.8" hidden="false" customHeight="false" outlineLevel="0" collapsed="false">
      <c r="B26534" s="0" t="s">
        <v>9897</v>
      </c>
      <c r="C26534" s="0" t="s">
        <v>9898</v>
      </c>
      <c r="D26534" s="0" t="s">
        <v>9899</v>
      </c>
      <c r="E26534" s="0" t="s">
        <v>9899</v>
      </c>
      <c r="F26534" s="0" t="s">
        <v>9899</v>
      </c>
    </row>
    <row r="26536" customFormat="false" ht="12.8" hidden="false" customHeight="false" outlineLevel="0" collapsed="false">
      <c r="A26536" s="0" t="s">
        <v>9900</v>
      </c>
      <c r="B26536" s="0" t="str">
        <f aca="false">HYPERLINK("https://lindat.mff.cuni.cz/services/teitok/pdtc10/index.php?action=vallex&amp;frame=v-w11172f2", "podbarvit (v-w11172f2)")</f>
        <v>podbarvit (v-w11172f2)</v>
      </c>
    </row>
    <row r="26537" customFormat="false" ht="12.8" hidden="false" customHeight="false" outlineLevel="0" collapsed="false">
      <c r="B26537" s="0" t="s">
        <v>7</v>
      </c>
    </row>
    <row r="26538" customFormat="false" ht="12.8" hidden="false" customHeight="false" outlineLevel="0" collapsed="false">
      <c r="B26538" s="0" t="s">
        <v>14</v>
      </c>
    </row>
    <row r="26540" customFormat="false" ht="12.8" hidden="false" customHeight="false" outlineLevel="0" collapsed="false">
      <c r="A26540" s="0" t="s">
        <v>9901</v>
      </c>
      <c r="B26540" s="0" t="str">
        <f aca="false">HYPERLINK("https://lindat.mff.cuni.cz/services/teitok/pdtc10/index.php?action=vallex&amp;frame=v-whsb_205f1_ZU", "podbíjet (v-whsb_205f1_ZU)")</f>
        <v>podbíjet (v-whsb_205f1_ZU)</v>
      </c>
    </row>
    <row r="26541" customFormat="false" ht="12.8" hidden="false" customHeight="false" outlineLevel="0" collapsed="false">
      <c r="B26541" s="0" t="s">
        <v>7</v>
      </c>
    </row>
    <row r="26542" customFormat="false" ht="12.8" hidden="false" customHeight="false" outlineLevel="0" collapsed="false">
      <c r="B26542" s="0" t="s">
        <v>14</v>
      </c>
    </row>
    <row r="26544" customFormat="false" ht="12.8" hidden="false" customHeight="false" outlineLevel="0" collapsed="false">
      <c r="A26544" s="0" t="s">
        <v>9901</v>
      </c>
      <c r="B26544" s="0" t="str">
        <f aca="false">HYPERLINK("https://lindat.mff.cuni.cz/services/teitok/pdtc10/index.php?action=vallex&amp;frame=v-whsb_205hsa_206", "podbíjet (v-whsb_205hsa_206) - substituted with v-whsb_205f1_ZU")</f>
        <v>podbíjet (v-whsb_205hsa_206) - substituted with v-whsb_205f1_ZU</v>
      </c>
    </row>
    <row r="26545" customFormat="false" ht="12.8" hidden="false" customHeight="false" outlineLevel="0" collapsed="false">
      <c r="B26545" s="0" t="s">
        <v>7</v>
      </c>
    </row>
    <row r="26546" customFormat="false" ht="12.8" hidden="false" customHeight="false" outlineLevel="0" collapsed="false">
      <c r="B26546" s="0" t="s">
        <v>14</v>
      </c>
    </row>
    <row r="26548" customFormat="false" ht="12.8" hidden="false" customHeight="false" outlineLevel="0" collapsed="false">
      <c r="A26548" s="0" t="s">
        <v>9902</v>
      </c>
      <c r="B26548" s="0" t="str">
        <f aca="false">HYPERLINK("https://lindat.mff.cuni.cz/services/teitok/pdtc10/index.php?action=vallex&amp;frame=v-w3547f1", "podbízet se (v-w3547f1)")</f>
        <v>podbízet se (v-w3547f1)</v>
      </c>
    </row>
    <row r="26549" customFormat="false" ht="12.8" hidden="false" customHeight="false" outlineLevel="0" collapsed="false">
      <c r="B26549" s="0" t="s">
        <v>7</v>
      </c>
      <c r="C26549" s="0" t="s">
        <v>623</v>
      </c>
    </row>
    <row r="26550" customFormat="false" ht="12.8" hidden="false" customHeight="false" outlineLevel="0" collapsed="false">
      <c r="B26550" s="0" t="s">
        <v>142</v>
      </c>
      <c r="C26550" s="0" t="s">
        <v>78</v>
      </c>
    </row>
    <row r="26552" customFormat="false" ht="12.8" hidden="false" customHeight="false" outlineLevel="0" collapsed="false">
      <c r="A26552" s="0" t="s">
        <v>9903</v>
      </c>
      <c r="B26552" s="0" t="str">
        <f aca="false">HYPERLINK("https://lindat.mff.cuni.cz/services/teitok/pdtc10/index.php?action=vallex&amp;frame=v-w3548f1", "podcenit (v-w3548f1)")</f>
        <v>podcenit (v-w3548f1)</v>
      </c>
    </row>
    <row r="26553" customFormat="false" ht="12.8" hidden="false" customHeight="false" outlineLevel="0" collapsed="false">
      <c r="B26553" s="0" t="s">
        <v>7</v>
      </c>
      <c r="C26553" s="0" t="s">
        <v>569</v>
      </c>
      <c r="D26553" s="0" t="s">
        <v>171</v>
      </c>
      <c r="E26553" s="0" t="s">
        <v>171</v>
      </c>
      <c r="F26553" s="0" t="s">
        <v>171</v>
      </c>
    </row>
    <row r="26554" customFormat="false" ht="12.8" hidden="false" customHeight="false" outlineLevel="0" collapsed="false">
      <c r="B26554" s="0" t="s">
        <v>172</v>
      </c>
      <c r="C26554" s="0" t="s">
        <v>461</v>
      </c>
      <c r="D26554" s="0" t="s">
        <v>174</v>
      </c>
      <c r="E26554" s="0" t="s">
        <v>174</v>
      </c>
      <c r="F26554" s="0" t="s">
        <v>174</v>
      </c>
    </row>
    <row r="26556" customFormat="false" ht="12.8" hidden="false" customHeight="false" outlineLevel="0" collapsed="false">
      <c r="A26556" s="0" t="s">
        <v>9904</v>
      </c>
      <c r="B26556" s="0" t="str">
        <f aca="false">HYPERLINK("https://lindat.mff.cuni.cz/services/teitok/pdtc10/index.php?action=vallex&amp;frame=v-w3550f1", "podceňovat (v-w3550f1)")</f>
        <v>podceňovat (v-w3550f1)</v>
      </c>
    </row>
    <row r="26557" customFormat="false" ht="12.8" hidden="false" customHeight="false" outlineLevel="0" collapsed="false">
      <c r="B26557" s="0" t="s">
        <v>7</v>
      </c>
      <c r="C26557" s="0" t="s">
        <v>569</v>
      </c>
      <c r="D26557" s="0" t="s">
        <v>171</v>
      </c>
      <c r="E26557" s="0" t="s">
        <v>171</v>
      </c>
      <c r="F26557" s="0" t="s">
        <v>171</v>
      </c>
    </row>
    <row r="26558" customFormat="false" ht="12.8" hidden="false" customHeight="false" outlineLevel="0" collapsed="false">
      <c r="B26558" s="0" t="s">
        <v>172</v>
      </c>
      <c r="C26558" s="0" t="s">
        <v>461</v>
      </c>
      <c r="D26558" s="0" t="s">
        <v>174</v>
      </c>
      <c r="E26558" s="0" t="s">
        <v>174</v>
      </c>
      <c r="F26558" s="0" t="s">
        <v>174</v>
      </c>
    </row>
    <row r="26560" customFormat="false" ht="12.8" hidden="false" customHeight="false" outlineLevel="0" collapsed="false">
      <c r="A26560" s="0" t="s">
        <v>9905</v>
      </c>
      <c r="B26560" s="0" t="str">
        <f aca="false">HYPERLINK("https://lindat.mff.cuni.cz/services/teitok/pdtc10/index.php?action=vallex&amp;frame=v-w10101f2", "podchytit (v-w10101f2)")</f>
        <v>podchytit (v-w10101f2)</v>
      </c>
    </row>
    <row r="26561" customFormat="false" ht="12.8" hidden="false" customHeight="false" outlineLevel="0" collapsed="false">
      <c r="B26561" s="0" t="s">
        <v>7</v>
      </c>
      <c r="C26561" s="0" t="s">
        <v>31</v>
      </c>
    </row>
    <row r="26562" customFormat="false" ht="12.8" hidden="false" customHeight="false" outlineLevel="0" collapsed="false">
      <c r="B26562" s="0" t="s">
        <v>14</v>
      </c>
      <c r="C26562" s="0" t="s">
        <v>1209</v>
      </c>
    </row>
    <row r="26564" customFormat="false" ht="12.8" hidden="false" customHeight="false" outlineLevel="0" collapsed="false">
      <c r="A26564" s="0" t="s">
        <v>9906</v>
      </c>
      <c r="B26564" s="0" t="str">
        <f aca="false">HYPERLINK("https://lindat.mff.cuni.cz/services/teitok/pdtc10/index.php?action=vallex&amp;frame=v-w11278f1", "poddat se (v-w11278f1)")</f>
        <v>poddat se (v-w11278f1)</v>
      </c>
    </row>
    <row r="26565" customFormat="false" ht="12.8" hidden="false" customHeight="false" outlineLevel="0" collapsed="false">
      <c r="B26565" s="0" t="s">
        <v>7</v>
      </c>
      <c r="C26565" s="0" t="s">
        <v>4783</v>
      </c>
      <c r="D26565" s="0" t="s">
        <v>4567</v>
      </c>
      <c r="E26565" s="0" t="s">
        <v>4567</v>
      </c>
      <c r="F26565" s="0" t="s">
        <v>4568</v>
      </c>
    </row>
    <row r="26566" customFormat="false" ht="12.8" hidden="false" customHeight="false" outlineLevel="0" collapsed="false">
      <c r="B26566" s="0" t="s">
        <v>142</v>
      </c>
      <c r="C26566" s="0" t="s">
        <v>9907</v>
      </c>
      <c r="D26566" s="0" t="s">
        <v>4569</v>
      </c>
      <c r="E26566" s="0" t="s">
        <v>4569</v>
      </c>
      <c r="F26566" s="0" t="s">
        <v>4570</v>
      </c>
    </row>
    <row r="26568" customFormat="false" ht="12.8" hidden="false" customHeight="false" outlineLevel="0" collapsed="false">
      <c r="A26568" s="0" t="s">
        <v>9908</v>
      </c>
      <c r="B26568" s="0" t="str">
        <f aca="false">HYPERLINK("https://lindat.mff.cuni.cz/services/teitok/pdtc10/index.php?action=vallex&amp;frame=v-w11244f2", "poddávat se (v-w11244f2)")</f>
        <v>poddávat se (v-w11244f2)</v>
      </c>
    </row>
    <row r="26569" customFormat="false" ht="12.8" hidden="false" customHeight="false" outlineLevel="0" collapsed="false">
      <c r="B26569" s="0" t="s">
        <v>7</v>
      </c>
      <c r="D26569" s="0" t="s">
        <v>4567</v>
      </c>
      <c r="E26569" s="0" t="s">
        <v>4567</v>
      </c>
      <c r="F26569" s="0" t="s">
        <v>4568</v>
      </c>
    </row>
    <row r="26570" customFormat="false" ht="12.8" hidden="false" customHeight="false" outlineLevel="0" collapsed="false">
      <c r="B26570" s="0" t="s">
        <v>142</v>
      </c>
      <c r="D26570" s="0" t="s">
        <v>4569</v>
      </c>
      <c r="E26570" s="0" t="s">
        <v>4569</v>
      </c>
      <c r="F26570" s="0" t="s">
        <v>4570</v>
      </c>
    </row>
    <row r="26572" customFormat="false" ht="12.8" hidden="false" customHeight="false" outlineLevel="0" collapsed="false">
      <c r="A26572" s="0" t="s">
        <v>9909</v>
      </c>
      <c r="B26572" s="0" t="str">
        <f aca="false">HYPERLINK("https://lindat.mff.cuni.cz/services/teitok/pdtc10/index.php?action=vallex&amp;frame=v-w11825_ZUf1_ZU", "podebatovat (v-w11825_ZUf1_ZU)")</f>
        <v>podebatovat (v-w11825_ZUf1_ZU)</v>
      </c>
    </row>
    <row r="26573" customFormat="false" ht="12.8" hidden="false" customHeight="false" outlineLevel="0" collapsed="false">
      <c r="B26573" s="0" t="s">
        <v>7</v>
      </c>
    </row>
    <row r="26574" customFormat="false" ht="12.8" hidden="false" customHeight="false" outlineLevel="0" collapsed="false">
      <c r="B26574" s="0" t="s">
        <v>1510</v>
      </c>
    </row>
    <row r="26575" customFormat="false" ht="12.8" hidden="false" customHeight="false" outlineLevel="0" collapsed="false">
      <c r="B26575" s="0" t="s">
        <v>207</v>
      </c>
    </row>
    <row r="26577" customFormat="false" ht="12.8" hidden="false" customHeight="false" outlineLevel="0" collapsed="false">
      <c r="A26577" s="0" t="s">
        <v>9910</v>
      </c>
      <c r="B26577" s="0" t="str">
        <f aca="false">HYPERLINK("https://lindat.mff.cuni.cz/services/teitok/pdtc10/index.php?action=vallex&amp;frame=v-w3554f1", "podepisovat (v-w3554f1)")</f>
        <v>podepisovat (v-w3554f1)</v>
      </c>
    </row>
    <row r="26578" customFormat="false" ht="12.8" hidden="false" customHeight="false" outlineLevel="0" collapsed="false">
      <c r="B26578" s="0" t="s">
        <v>7</v>
      </c>
      <c r="C26578" s="0" t="s">
        <v>8313</v>
      </c>
      <c r="D26578" s="0" t="s">
        <v>158</v>
      </c>
      <c r="E26578" s="0" t="s">
        <v>158</v>
      </c>
      <c r="F26578" s="0" t="s">
        <v>158</v>
      </c>
    </row>
    <row r="26579" customFormat="false" ht="12.8" hidden="false" customHeight="false" outlineLevel="0" collapsed="false">
      <c r="B26579" s="0" t="s">
        <v>14</v>
      </c>
      <c r="C26579" s="0" t="s">
        <v>2517</v>
      </c>
      <c r="D26579" s="0" t="s">
        <v>160</v>
      </c>
      <c r="E26579" s="0" t="s">
        <v>160</v>
      </c>
      <c r="F26579" s="0" t="s">
        <v>160</v>
      </c>
    </row>
    <row r="26581" customFormat="false" ht="12.8" hidden="false" customHeight="false" outlineLevel="0" collapsed="false">
      <c r="A26581" s="0" t="s">
        <v>9911</v>
      </c>
      <c r="B26581" s="0" t="str">
        <f aca="false">HYPERLINK("https://lindat.mff.cuni.cz/services/teitok/pdtc10/index.php?action=vallex&amp;frame=v-w3554f2", "podepisovat (v-w3554f2)")</f>
        <v>podepisovat (v-w3554f2)</v>
      </c>
    </row>
    <row r="26582" customFormat="false" ht="12.8" hidden="false" customHeight="false" outlineLevel="0" collapsed="false">
      <c r="B26582" s="0" t="s">
        <v>7</v>
      </c>
    </row>
    <row r="26583" customFormat="false" ht="12.8" hidden="false" customHeight="false" outlineLevel="0" collapsed="false">
      <c r="B26583" s="0" t="s">
        <v>14</v>
      </c>
    </row>
    <row r="26585" customFormat="false" ht="12.8" hidden="false" customHeight="false" outlineLevel="0" collapsed="false">
      <c r="A26585" s="0" t="s">
        <v>9912</v>
      </c>
      <c r="B26585" s="0" t="str">
        <f aca="false">HYPERLINK("https://lindat.mff.cuni.cz/services/teitok/pdtc10/index.php?action=vallex&amp;frame=v-w3555f1", "podepisovat se (v-w3555f1)")</f>
        <v>podepisovat se (v-w3555f1)</v>
      </c>
    </row>
    <row r="26586" customFormat="false" ht="12.8" hidden="false" customHeight="false" outlineLevel="0" collapsed="false">
      <c r="B26586" s="0" t="s">
        <v>7</v>
      </c>
      <c r="F26586" s="0" t="s">
        <v>5657</v>
      </c>
    </row>
    <row r="26587" customFormat="false" ht="12.8" hidden="false" customHeight="false" outlineLevel="0" collapsed="false">
      <c r="B26587" s="0" t="s">
        <v>220</v>
      </c>
      <c r="F26587" s="0" t="s">
        <v>9913</v>
      </c>
    </row>
    <row r="26589" customFormat="false" ht="12.8" hidden="false" customHeight="false" outlineLevel="0" collapsed="false">
      <c r="A26589" s="0" t="s">
        <v>9914</v>
      </c>
      <c r="B26589" s="0" t="str">
        <f aca="false">HYPERLINK("https://lindat.mff.cuni.cz/services/teitok/pdtc10/index.php?action=vallex&amp;frame=v-w3559hsa_301", "podepsat (v-w3559hsa_301)")</f>
        <v>podepsat (v-w3559hsa_301)</v>
      </c>
    </row>
    <row r="26590" customFormat="false" ht="12.8" hidden="false" customHeight="false" outlineLevel="0" collapsed="false">
      <c r="B26590" s="0" t="s">
        <v>7</v>
      </c>
    </row>
    <row r="26591" customFormat="false" ht="12.8" hidden="false" customHeight="false" outlineLevel="0" collapsed="false">
      <c r="B26591" s="0" t="s">
        <v>54</v>
      </c>
    </row>
    <row r="26593" customFormat="false" ht="12.8" hidden="false" customHeight="false" outlineLevel="0" collapsed="false">
      <c r="A26593" s="0" t="s">
        <v>9914</v>
      </c>
      <c r="B26593" s="0" t="str">
        <f aca="false">HYPERLINK("https://lindat.mff.cuni.cz/services/teitok/pdtc10/index.php?action=vallex&amp;frame=v-w3559f1", "podepsat (v-w3559f1) - substituted with v-w3559hsa_301")</f>
        <v>podepsat (v-w3559f1) - substituted with v-w3559hsa_301</v>
      </c>
    </row>
    <row r="26594" customFormat="false" ht="12.8" hidden="false" customHeight="false" outlineLevel="0" collapsed="false">
      <c r="B26594" s="0" t="s">
        <v>7</v>
      </c>
      <c r="C26594" s="0" t="s">
        <v>9915</v>
      </c>
      <c r="D26594" s="0" t="s">
        <v>158</v>
      </c>
      <c r="E26594" s="0" t="s">
        <v>158</v>
      </c>
      <c r="F26594" s="0" t="s">
        <v>158</v>
      </c>
    </row>
    <row r="26595" customFormat="false" ht="12.8" hidden="false" customHeight="false" outlineLevel="0" collapsed="false">
      <c r="B26595" s="0" t="s">
        <v>54</v>
      </c>
      <c r="C26595" s="0" t="s">
        <v>9916</v>
      </c>
      <c r="D26595" s="0" t="s">
        <v>160</v>
      </c>
      <c r="E26595" s="0" t="s">
        <v>160</v>
      </c>
      <c r="F26595" s="0" t="s">
        <v>160</v>
      </c>
    </row>
    <row r="26597" customFormat="false" ht="12.8" hidden="false" customHeight="false" outlineLevel="0" collapsed="false">
      <c r="A26597" s="0" t="s">
        <v>9917</v>
      </c>
      <c r="B26597" s="0" t="str">
        <f aca="false">HYPERLINK("https://lindat.mff.cuni.cz/services/teitok/pdtc10/index.php?action=vallex&amp;frame=v-w3559f2", "podepsat (v-w3559f2)")</f>
        <v>podepsat (v-w3559f2)</v>
      </c>
    </row>
    <row r="26598" customFormat="false" ht="12.8" hidden="false" customHeight="false" outlineLevel="0" collapsed="false">
      <c r="B26598" s="0" t="s">
        <v>7</v>
      </c>
      <c r="C26598" s="0" t="s">
        <v>194</v>
      </c>
      <c r="D26598" s="0" t="s">
        <v>9918</v>
      </c>
      <c r="E26598" s="0" t="s">
        <v>9918</v>
      </c>
      <c r="F26598" s="0" t="s">
        <v>9918</v>
      </c>
    </row>
    <row r="26599" customFormat="false" ht="12.8" hidden="false" customHeight="false" outlineLevel="0" collapsed="false">
      <c r="B26599" s="0" t="s">
        <v>14</v>
      </c>
      <c r="D26599" s="0" t="s">
        <v>9919</v>
      </c>
      <c r="E26599" s="0" t="s">
        <v>9919</v>
      </c>
      <c r="F26599" s="0" t="s">
        <v>9919</v>
      </c>
    </row>
    <row r="26601" customFormat="false" ht="12.8" hidden="false" customHeight="false" outlineLevel="0" collapsed="false">
      <c r="A26601" s="0" t="s">
        <v>9920</v>
      </c>
      <c r="B26601" s="0" t="str">
        <f aca="false">HYPERLINK("https://lindat.mff.cuni.cz/services/teitok/pdtc10/index.php?action=vallex&amp;frame=v-w3560f2_MM", "podepsat se (v-w3560f2_MM)")</f>
        <v>podepsat se (v-w3560f2_MM)</v>
      </c>
    </row>
    <row r="26602" customFormat="false" ht="12.8" hidden="false" customHeight="false" outlineLevel="0" collapsed="false">
      <c r="B26602" s="0" t="s">
        <v>641</v>
      </c>
    </row>
    <row r="26603" customFormat="false" ht="12.8" hidden="false" customHeight="false" outlineLevel="0" collapsed="false">
      <c r="B26603" s="0" t="s">
        <v>220</v>
      </c>
    </row>
    <row r="26605" customFormat="false" ht="12.8" hidden="false" customHeight="false" outlineLevel="0" collapsed="false">
      <c r="A26605" s="0" t="s">
        <v>9920</v>
      </c>
      <c r="B26605" s="0" t="str">
        <f aca="false">HYPERLINK("https://lindat.mff.cuni.cz/services/teitok/pdtc10/index.php?action=vallex&amp;frame=v-w3560f1", "podepsat se (v-w3560f1) - substituted with v-w3560f2_MM")</f>
        <v>podepsat se (v-w3560f1) - substituted with v-w3560f2_MM</v>
      </c>
    </row>
    <row r="26606" customFormat="false" ht="12.8" hidden="false" customHeight="false" outlineLevel="0" collapsed="false">
      <c r="B26606" s="0" t="s">
        <v>641</v>
      </c>
      <c r="F26606" s="0" t="s">
        <v>5657</v>
      </c>
    </row>
    <row r="26607" customFormat="false" ht="12.8" hidden="false" customHeight="false" outlineLevel="0" collapsed="false">
      <c r="B26607" s="0" t="s">
        <v>220</v>
      </c>
      <c r="F26607" s="0" t="s">
        <v>9913</v>
      </c>
    </row>
    <row r="26609" customFormat="false" ht="12.8" hidden="false" customHeight="false" outlineLevel="0" collapsed="false">
      <c r="A26609" s="0" t="s">
        <v>9921</v>
      </c>
      <c r="B26609" s="0" t="str">
        <f aca="false">HYPERLINK("https://lindat.mff.cuni.cz/services/teitok/pdtc10/index.php?action=vallex&amp;frame=v-w3556f1", "podepřít (v-w3556f1)")</f>
        <v>podepřít (v-w3556f1)</v>
      </c>
    </row>
    <row r="26610" customFormat="false" ht="12.8" hidden="false" customHeight="false" outlineLevel="0" collapsed="false">
      <c r="B26610" s="0" t="s">
        <v>7</v>
      </c>
      <c r="C26610" s="0" t="s">
        <v>3664</v>
      </c>
      <c r="D26610" s="0" t="s">
        <v>6781</v>
      </c>
      <c r="E26610" s="0" t="s">
        <v>6781</v>
      </c>
      <c r="F26610" s="0" t="s">
        <v>6781</v>
      </c>
    </row>
    <row r="26611" customFormat="false" ht="12.8" hidden="false" customHeight="false" outlineLevel="0" collapsed="false">
      <c r="B26611" s="0" t="s">
        <v>14</v>
      </c>
      <c r="C26611" s="0" t="s">
        <v>342</v>
      </c>
      <c r="D26611" s="0" t="s">
        <v>6783</v>
      </c>
      <c r="E26611" s="0" t="s">
        <v>6783</v>
      </c>
      <c r="F26611" s="0" t="s">
        <v>6783</v>
      </c>
    </row>
    <row r="26613" customFormat="false" ht="12.8" hidden="false" customHeight="false" outlineLevel="0" collapsed="false">
      <c r="A26613" s="0" t="s">
        <v>9922</v>
      </c>
      <c r="B26613" s="0" t="str">
        <f aca="false">HYPERLINK("https://lindat.mff.cuni.cz/services/teitok/pdtc10/index.php?action=vallex&amp;frame=v-w3556hsa_912", "podepřít (v-w3556hsa_912)")</f>
        <v>podepřít (v-w3556hsa_912)</v>
      </c>
    </row>
    <row r="26614" customFormat="false" ht="12.8" hidden="false" customHeight="false" outlineLevel="0" collapsed="false">
      <c r="B26614" s="0" t="s">
        <v>7</v>
      </c>
      <c r="F26614" s="0" t="s">
        <v>2557</v>
      </c>
    </row>
    <row r="26615" customFormat="false" ht="12.8" hidden="false" customHeight="false" outlineLevel="0" collapsed="false">
      <c r="B26615" s="0" t="s">
        <v>14</v>
      </c>
      <c r="C26615" s="0" t="s">
        <v>120</v>
      </c>
      <c r="F26615" s="0" t="s">
        <v>7533</v>
      </c>
    </row>
    <row r="26617" customFormat="false" ht="12.8" hidden="false" customHeight="false" outlineLevel="0" collapsed="false">
      <c r="A26617" s="0" t="s">
        <v>9923</v>
      </c>
      <c r="B26617" s="0" t="str">
        <f aca="false">HYPERLINK("https://lindat.mff.cuni.cz/services/teitok/pdtc10/index.php?action=vallex&amp;frame=v-whsa_463f1_ZU", "podestlat (v-whsa_463f1_ZU)")</f>
        <v>podestlat (v-whsa_463f1_ZU)</v>
      </c>
    </row>
    <row r="26618" customFormat="false" ht="12.8" hidden="false" customHeight="false" outlineLevel="0" collapsed="false">
      <c r="B26618" s="0" t="s">
        <v>7</v>
      </c>
    </row>
    <row r="26619" customFormat="false" ht="12.8" hidden="false" customHeight="false" outlineLevel="0" collapsed="false">
      <c r="B26619" s="0" t="s">
        <v>14</v>
      </c>
    </row>
    <row r="26621" customFormat="false" ht="12.8" hidden="false" customHeight="false" outlineLevel="0" collapsed="false">
      <c r="A26621" s="0" t="s">
        <v>9923</v>
      </c>
      <c r="B26621" s="0" t="str">
        <f aca="false">HYPERLINK("https://lindat.mff.cuni.cz/services/teitok/pdtc10/index.php?action=vallex&amp;frame=v-whsa_463hsa_464", "podestlat (v-whsa_463hsa_464) - substituted with v-whsa_463f1_ZU")</f>
        <v>podestlat (v-whsa_463hsa_464) - substituted with v-whsa_463f1_ZU</v>
      </c>
    </row>
    <row r="26622" customFormat="false" ht="12.8" hidden="false" customHeight="false" outlineLevel="0" collapsed="false">
      <c r="B26622" s="0" t="s">
        <v>7</v>
      </c>
    </row>
    <row r="26623" customFormat="false" ht="12.8" hidden="false" customHeight="false" outlineLevel="0" collapsed="false">
      <c r="B26623" s="0" t="s">
        <v>14</v>
      </c>
    </row>
    <row r="26625" customFormat="false" ht="12.8" hidden="false" customHeight="false" outlineLevel="0" collapsed="false">
      <c r="A26625" s="0" t="s">
        <v>9924</v>
      </c>
      <c r="B26625" s="0" t="str">
        <f aca="false">HYPERLINK("https://lindat.mff.cuni.cz/services/teitok/pdtc10/index.php?action=vallex&amp;frame=v-whsa_463f2_ZU", "podestlat (v-whsa_463f2_ZU)")</f>
        <v>podestlat (v-whsa_463f2_ZU)</v>
      </c>
    </row>
    <row r="26626" customFormat="false" ht="12.8" hidden="false" customHeight="false" outlineLevel="0" collapsed="false">
      <c r="B26626" s="0" t="s">
        <v>7</v>
      </c>
    </row>
    <row r="26627" customFormat="false" ht="12.8" hidden="false" customHeight="false" outlineLevel="0" collapsed="false">
      <c r="B26627" s="0" t="s">
        <v>14</v>
      </c>
    </row>
    <row r="26629" customFormat="false" ht="12.8" hidden="false" customHeight="false" outlineLevel="0" collapsed="false">
      <c r="A26629" s="0" t="s">
        <v>9924</v>
      </c>
      <c r="B26629" s="0" t="str">
        <f aca="false">HYPERLINK("https://lindat.mff.cuni.cz/services/teitok/pdtc10/index.php?action=vallex&amp;frame=v-whsa_463hsa_465", "podestlat (v-whsa_463hsa_465) - substituted with v-whsa_463f2_ZU")</f>
        <v>podestlat (v-whsa_463hsa_465) - substituted with v-whsa_463f2_ZU</v>
      </c>
    </row>
    <row r="26630" customFormat="false" ht="12.8" hidden="false" customHeight="false" outlineLevel="0" collapsed="false">
      <c r="B26630" s="0" t="s">
        <v>7</v>
      </c>
    </row>
    <row r="26631" customFormat="false" ht="12.8" hidden="false" customHeight="false" outlineLevel="0" collapsed="false">
      <c r="B26631" s="0" t="s">
        <v>14</v>
      </c>
    </row>
    <row r="26633" customFormat="false" ht="12.8" hidden="false" customHeight="false" outlineLevel="0" collapsed="false">
      <c r="A26633" s="0" t="s">
        <v>9925</v>
      </c>
      <c r="B26633" s="0" t="str">
        <f aca="false">HYPERLINK("https://lindat.mff.cuni.cz/services/teitok/pdtc10/index.php?action=vallex&amp;frame=v-w3562f1", "podezírat (v-w3562f1)")</f>
        <v>podezírat (v-w3562f1)</v>
      </c>
    </row>
    <row r="26634" customFormat="false" ht="12.8" hidden="false" customHeight="false" outlineLevel="0" collapsed="false">
      <c r="B26634" s="0" t="s">
        <v>7</v>
      </c>
      <c r="C26634" s="0" t="s">
        <v>1142</v>
      </c>
      <c r="D26634" s="0" t="s">
        <v>3303</v>
      </c>
      <c r="E26634" s="0" t="s">
        <v>3303</v>
      </c>
      <c r="F26634" s="0" t="s">
        <v>3303</v>
      </c>
    </row>
    <row r="26635" customFormat="false" ht="12.8" hidden="false" customHeight="false" outlineLevel="0" collapsed="false">
      <c r="B26635" s="0" t="s">
        <v>81</v>
      </c>
      <c r="D26635" s="0" t="s">
        <v>3308</v>
      </c>
      <c r="E26635" s="0" t="s">
        <v>3308</v>
      </c>
      <c r="F26635" s="0" t="s">
        <v>3308</v>
      </c>
    </row>
    <row r="26636" customFormat="false" ht="12.8" hidden="false" customHeight="false" outlineLevel="0" collapsed="false">
      <c r="B26636" s="0" t="s">
        <v>7340</v>
      </c>
      <c r="C26636" s="0" t="s">
        <v>2788</v>
      </c>
      <c r="D26636" s="0" t="s">
        <v>3306</v>
      </c>
      <c r="E26636" s="0" t="s">
        <v>3306</v>
      </c>
      <c r="F26636" s="0" t="s">
        <v>3306</v>
      </c>
    </row>
    <row r="26638" customFormat="false" ht="12.8" hidden="false" customHeight="false" outlineLevel="0" collapsed="false">
      <c r="A26638" s="0" t="s">
        <v>9926</v>
      </c>
      <c r="B26638" s="0" t="str">
        <f aca="false">HYPERLINK("https://lindat.mff.cuni.cz/services/teitok/pdtc10/index.php?action=vallex&amp;frame=v-w3565f1", "podezřívat (v-w3565f1)")</f>
        <v>podezřívat (v-w3565f1)</v>
      </c>
    </row>
    <row r="26639" customFormat="false" ht="12.8" hidden="false" customHeight="false" outlineLevel="0" collapsed="false">
      <c r="B26639" s="0" t="s">
        <v>7</v>
      </c>
      <c r="D26639" s="0" t="s">
        <v>3303</v>
      </c>
      <c r="E26639" s="0" t="s">
        <v>3303</v>
      </c>
      <c r="F26639" s="0" t="s">
        <v>3303</v>
      </c>
    </row>
    <row r="26640" customFormat="false" ht="12.8" hidden="false" customHeight="false" outlineLevel="0" collapsed="false">
      <c r="B26640" s="0" t="s">
        <v>81</v>
      </c>
      <c r="C26640" s="0" t="s">
        <v>9927</v>
      </c>
      <c r="D26640" s="0" t="s">
        <v>3308</v>
      </c>
      <c r="E26640" s="0" t="s">
        <v>3308</v>
      </c>
      <c r="F26640" s="0" t="s">
        <v>3308</v>
      </c>
    </row>
    <row r="26641" customFormat="false" ht="12.8" hidden="false" customHeight="false" outlineLevel="0" collapsed="false">
      <c r="B26641" s="0" t="s">
        <v>7340</v>
      </c>
      <c r="C26641" s="0" t="s">
        <v>47</v>
      </c>
      <c r="D26641" s="0" t="s">
        <v>3306</v>
      </c>
      <c r="E26641" s="0" t="s">
        <v>3306</v>
      </c>
      <c r="F26641" s="0" t="s">
        <v>3306</v>
      </c>
    </row>
    <row r="26643" customFormat="false" ht="12.8" hidden="false" customHeight="false" outlineLevel="0" collapsed="false">
      <c r="A26643" s="0" t="s">
        <v>9928</v>
      </c>
      <c r="B26643" s="0" t="str">
        <f aca="false">HYPERLINK("https://lindat.mff.cuni.cz/services/teitok/pdtc10/index.php?action=vallex&amp;frame=v-whsa_1237hsa_1238", "podhlodat (v-whsa_1237hsa_1238)")</f>
        <v>podhlodat (v-whsa_1237hsa_1238)</v>
      </c>
    </row>
    <row r="26644" customFormat="false" ht="12.8" hidden="false" customHeight="false" outlineLevel="0" collapsed="false">
      <c r="B26644" s="0" t="s">
        <v>7</v>
      </c>
    </row>
    <row r="26645" customFormat="false" ht="12.8" hidden="false" customHeight="false" outlineLevel="0" collapsed="false">
      <c r="B26645" s="0" t="s">
        <v>14</v>
      </c>
    </row>
    <row r="26647" customFormat="false" ht="12.8" hidden="false" customHeight="false" outlineLevel="0" collapsed="false">
      <c r="A26647" s="0" t="s">
        <v>9929</v>
      </c>
      <c r="B26647" s="0" t="str">
        <f aca="false">HYPERLINK("https://lindat.mff.cuni.cz/services/teitok/pdtc10/index.php?action=vallex&amp;frame=v-whsa_567hsa_568", "podhodnocovat (v-whsa_567hsa_568)")</f>
        <v>podhodnocovat (v-whsa_567hsa_568)</v>
      </c>
    </row>
    <row r="26648" customFormat="false" ht="12.8" hidden="false" customHeight="false" outlineLevel="0" collapsed="false">
      <c r="B26648" s="0" t="s">
        <v>7</v>
      </c>
      <c r="C26648" s="0" t="s">
        <v>335</v>
      </c>
      <c r="D26648" s="0" t="s">
        <v>460</v>
      </c>
      <c r="E26648" s="0" t="s">
        <v>460</v>
      </c>
      <c r="F26648" s="0" t="s">
        <v>460</v>
      </c>
    </row>
    <row r="26649" customFormat="false" ht="12.8" hidden="false" customHeight="false" outlineLevel="0" collapsed="false">
      <c r="B26649" s="0" t="s">
        <v>14</v>
      </c>
      <c r="C26649" s="0" t="s">
        <v>461</v>
      </c>
      <c r="D26649" s="0" t="s">
        <v>173</v>
      </c>
      <c r="E26649" s="0" t="s">
        <v>173</v>
      </c>
      <c r="F26649" s="0" t="s">
        <v>173</v>
      </c>
    </row>
    <row r="26651" customFormat="false" ht="12.8" hidden="false" customHeight="false" outlineLevel="0" collapsed="false">
      <c r="A26651" s="0" t="s">
        <v>9930</v>
      </c>
      <c r="B26651" s="0" t="str">
        <f aca="false">HYPERLINK("https://lindat.mff.cuni.cz/services/teitok/pdtc10/index.php?action=vallex&amp;frame=v-w3567f1", "podhodnotit (v-w3567f1)")</f>
        <v>podhodnotit (v-w3567f1)</v>
      </c>
    </row>
    <row r="26652" customFormat="false" ht="12.8" hidden="false" customHeight="false" outlineLevel="0" collapsed="false">
      <c r="B26652" s="0" t="s">
        <v>7</v>
      </c>
      <c r="C26652" s="0" t="s">
        <v>460</v>
      </c>
      <c r="D26652" s="0" t="s">
        <v>460</v>
      </c>
      <c r="E26652" s="0" t="s">
        <v>460</v>
      </c>
      <c r="F26652" s="0" t="s">
        <v>460</v>
      </c>
    </row>
    <row r="26653" customFormat="false" ht="12.8" hidden="false" customHeight="false" outlineLevel="0" collapsed="false">
      <c r="B26653" s="0" t="s">
        <v>14</v>
      </c>
      <c r="C26653" s="0" t="s">
        <v>173</v>
      </c>
      <c r="D26653" s="0" t="s">
        <v>173</v>
      </c>
      <c r="E26653" s="0" t="s">
        <v>173</v>
      </c>
      <c r="F26653" s="0" t="s">
        <v>173</v>
      </c>
    </row>
    <row r="26655" customFormat="false" ht="12.8" hidden="false" customHeight="false" outlineLevel="0" collapsed="false">
      <c r="A26655" s="0" t="s">
        <v>9931</v>
      </c>
      <c r="B26655" s="0" t="str">
        <f aca="false">HYPERLINK("https://lindat.mff.cuni.cz/services/teitok/pdtc10/index.php?action=vallex&amp;frame=v-w3575f2", "podivit se (v-w3575f2)")</f>
        <v>podivit se (v-w3575f2)</v>
      </c>
    </row>
    <row r="26656" customFormat="false" ht="12.8" hidden="false" customHeight="false" outlineLevel="0" collapsed="false">
      <c r="B26656" s="0" t="s">
        <v>7</v>
      </c>
    </row>
    <row r="26657" customFormat="false" ht="12.8" hidden="false" customHeight="false" outlineLevel="0" collapsed="false">
      <c r="B26657" s="0" t="s">
        <v>9932</v>
      </c>
    </row>
    <row r="26659" customFormat="false" ht="12.8" hidden="false" customHeight="false" outlineLevel="0" collapsed="false">
      <c r="A26659" s="0" t="s">
        <v>9933</v>
      </c>
      <c r="B26659" s="0" t="str">
        <f aca="false">HYPERLINK("https://lindat.mff.cuni.cz/services/teitok/pdtc10/index.php?action=vallex&amp;frame=v-w3576f2", "podivovat se (v-w3576f2)")</f>
        <v>podivovat se (v-w3576f2)</v>
      </c>
    </row>
    <row r="26660" customFormat="false" ht="12.8" hidden="false" customHeight="false" outlineLevel="0" collapsed="false">
      <c r="B26660" s="0" t="s">
        <v>7</v>
      </c>
      <c r="C26660" s="0" t="s">
        <v>194</v>
      </c>
    </row>
    <row r="26661" customFormat="false" ht="12.8" hidden="false" customHeight="false" outlineLevel="0" collapsed="false">
      <c r="B26661" s="0" t="s">
        <v>9932</v>
      </c>
      <c r="C26661" s="0" t="s">
        <v>1833</v>
      </c>
    </row>
    <row r="26663" customFormat="false" ht="12.8" hidden="false" customHeight="false" outlineLevel="0" collapsed="false">
      <c r="A26663" s="0" t="s">
        <v>9933</v>
      </c>
      <c r="B26663" s="0" t="str">
        <f aca="false">HYPERLINK("https://lindat.mff.cuni.cz/services/teitok/pdtc10/index.php?action=vallex&amp;frame=v-w3576f1", "podivovat se (v-w3576f1) - substituted with v-w3576f2")</f>
        <v>podivovat se (v-w3576f1) - substituted with v-w3576f2</v>
      </c>
    </row>
    <row r="26664" customFormat="false" ht="12.8" hidden="false" customHeight="false" outlineLevel="0" collapsed="false">
      <c r="B26664" s="0" t="s">
        <v>7</v>
      </c>
    </row>
    <row r="26665" customFormat="false" ht="12.8" hidden="false" customHeight="false" outlineLevel="0" collapsed="false">
      <c r="B26665" s="0" t="s">
        <v>9932</v>
      </c>
    </row>
    <row r="26667" customFormat="false" ht="12.8" hidden="false" customHeight="false" outlineLevel="0" collapsed="false">
      <c r="A26667" s="0" t="s">
        <v>9934</v>
      </c>
      <c r="B26667" s="0" t="str">
        <f aca="false">HYPERLINK("https://lindat.mff.cuni.cz/services/teitok/pdtc10/index.php?action=vallex&amp;frame=v-w3577f2", "podjet (v-w3577f2)")</f>
        <v>podjet (v-w3577f2)</v>
      </c>
    </row>
    <row r="26668" customFormat="false" ht="12.8" hidden="false" customHeight="false" outlineLevel="0" collapsed="false">
      <c r="B26668" s="0" t="s">
        <v>7</v>
      </c>
    </row>
    <row r="26669" customFormat="false" ht="12.8" hidden="false" customHeight="false" outlineLevel="0" collapsed="false">
      <c r="B26669" s="0" t="s">
        <v>14</v>
      </c>
    </row>
    <row r="26671" customFormat="false" ht="12.8" hidden="false" customHeight="false" outlineLevel="0" collapsed="false">
      <c r="A26671" s="0" t="s">
        <v>9935</v>
      </c>
      <c r="B26671" s="0" t="str">
        <f aca="false">HYPERLINK("https://lindat.mff.cuni.cz/services/teitok/pdtc10/index.php?action=vallex&amp;frame=v-w3577f1", "podjet (v-w3577f1)")</f>
        <v>podjet (v-w3577f1)</v>
      </c>
    </row>
    <row r="26672" customFormat="false" ht="12.8" hidden="false" customHeight="false" outlineLevel="0" collapsed="false">
      <c r="B26672" s="0" t="s">
        <v>7</v>
      </c>
    </row>
    <row r="26674" customFormat="false" ht="12.8" hidden="false" customHeight="false" outlineLevel="0" collapsed="false">
      <c r="A26674" s="0" t="s">
        <v>9936</v>
      </c>
      <c r="B26674" s="0" t="str">
        <f aca="false">HYPERLINK("https://lindat.mff.cuni.cz/services/teitok/pdtc10/index.php?action=vallex&amp;frame=v-w11749_ZUf1_ZU", "podkluzovat (v-w11749_ZUf1_ZU)")</f>
        <v>podkluzovat (v-w11749_ZUf1_ZU)</v>
      </c>
    </row>
    <row r="26675" customFormat="false" ht="12.8" hidden="false" customHeight="false" outlineLevel="0" collapsed="false">
      <c r="B26675" s="0" t="s">
        <v>7</v>
      </c>
    </row>
    <row r="26677" customFormat="false" ht="12.8" hidden="false" customHeight="false" outlineLevel="0" collapsed="false">
      <c r="A26677" s="0" t="s">
        <v>9937</v>
      </c>
      <c r="B26677" s="0" t="str">
        <f aca="false">HYPERLINK("https://lindat.mff.cuni.cz/services/teitok/pdtc10/index.php?action=vallex&amp;frame=v-w3579f1", "podkládat (v-w3579f1)")</f>
        <v>podkládat (v-w3579f1)</v>
      </c>
    </row>
    <row r="26678" customFormat="false" ht="12.8" hidden="false" customHeight="false" outlineLevel="0" collapsed="false">
      <c r="B26678" s="0" t="s">
        <v>7</v>
      </c>
      <c r="D26678" s="0" t="s">
        <v>1801</v>
      </c>
      <c r="E26678" s="0" t="s">
        <v>1801</v>
      </c>
      <c r="F26678" s="0" t="s">
        <v>1801</v>
      </c>
    </row>
    <row r="26679" customFormat="false" ht="12.8" hidden="false" customHeight="false" outlineLevel="0" collapsed="false">
      <c r="B26679" s="0" t="s">
        <v>54</v>
      </c>
      <c r="D26679" s="0" t="s">
        <v>9938</v>
      </c>
      <c r="E26679" s="0" t="s">
        <v>9938</v>
      </c>
      <c r="F26679" s="0" t="s">
        <v>9938</v>
      </c>
    </row>
    <row r="26680" customFormat="false" ht="12.8" hidden="false" customHeight="false" outlineLevel="0" collapsed="false">
      <c r="B26680" s="0" t="s">
        <v>48</v>
      </c>
      <c r="D26680" s="0" t="s">
        <v>9939</v>
      </c>
      <c r="E26680" s="0" t="s">
        <v>9939</v>
      </c>
      <c r="F26680" s="0" t="s">
        <v>9939</v>
      </c>
    </row>
    <row r="26682" customFormat="false" ht="12.8" hidden="false" customHeight="false" outlineLevel="0" collapsed="false">
      <c r="A26682" s="0" t="s">
        <v>9940</v>
      </c>
      <c r="B26682" s="0" t="str">
        <f aca="false">HYPERLINK("https://lindat.mff.cuni.cz/services/teitok/pdtc10/index.php?action=vallex&amp;frame=v-w3579f2_ZU", "podkládat (v-w3579f2_ZU)")</f>
        <v>podkládat (v-w3579f2_ZU)</v>
      </c>
    </row>
    <row r="26683" customFormat="false" ht="12.8" hidden="false" customHeight="false" outlineLevel="0" collapsed="false">
      <c r="B26683" s="0" t="s">
        <v>7</v>
      </c>
    </row>
    <row r="26684" customFormat="false" ht="12.8" hidden="false" customHeight="false" outlineLevel="0" collapsed="false">
      <c r="B26684" s="0" t="s">
        <v>14</v>
      </c>
    </row>
    <row r="26686" customFormat="false" ht="12.8" hidden="false" customHeight="false" outlineLevel="0" collapsed="false">
      <c r="A26686" s="0" t="s">
        <v>9941</v>
      </c>
      <c r="B26686" s="0" t="str">
        <f aca="false">HYPERLINK("https://lindat.mff.cuni.cz/services/teitok/pdtc10/index.php?action=vallex&amp;frame=v-w3580f1", "podkopat (v-w3580f1)")</f>
        <v>podkopat (v-w3580f1)</v>
      </c>
    </row>
    <row r="26687" customFormat="false" ht="12.8" hidden="false" customHeight="false" outlineLevel="0" collapsed="false">
      <c r="B26687" s="0" t="s">
        <v>7</v>
      </c>
      <c r="C26687" s="0" t="s">
        <v>149</v>
      </c>
      <c r="D26687" s="0" t="s">
        <v>9942</v>
      </c>
      <c r="E26687" s="0" t="s">
        <v>9942</v>
      </c>
      <c r="F26687" s="0" t="s">
        <v>9942</v>
      </c>
    </row>
    <row r="26688" customFormat="false" ht="12.8" hidden="false" customHeight="false" outlineLevel="0" collapsed="false">
      <c r="B26688" s="0" t="s">
        <v>14</v>
      </c>
      <c r="C26688" s="0" t="s">
        <v>625</v>
      </c>
      <c r="D26688" s="0" t="s">
        <v>1632</v>
      </c>
      <c r="E26688" s="0" t="s">
        <v>1632</v>
      </c>
      <c r="F26688" s="0" t="s">
        <v>1632</v>
      </c>
    </row>
    <row r="26690" customFormat="false" ht="12.8" hidden="false" customHeight="false" outlineLevel="0" collapsed="false">
      <c r="A26690" s="0" t="s">
        <v>9943</v>
      </c>
      <c r="B26690" s="0" t="str">
        <f aca="false">HYPERLINK("https://lindat.mff.cuni.cz/services/teitok/pdtc10/index.php?action=vallex&amp;frame=v-w3581f1", "podkopávat (v-w3581f1)")</f>
        <v>podkopávat (v-w3581f1)</v>
      </c>
    </row>
    <row r="26691" customFormat="false" ht="12.8" hidden="false" customHeight="false" outlineLevel="0" collapsed="false">
      <c r="B26691" s="0" t="s">
        <v>7</v>
      </c>
      <c r="C26691" s="0" t="s">
        <v>504</v>
      </c>
      <c r="D26691" s="0" t="s">
        <v>9106</v>
      </c>
      <c r="E26691" s="0" t="s">
        <v>9106</v>
      </c>
      <c r="F26691" s="0" t="s">
        <v>9106</v>
      </c>
    </row>
    <row r="26692" customFormat="false" ht="12.8" hidden="false" customHeight="false" outlineLevel="0" collapsed="false">
      <c r="B26692" s="0" t="s">
        <v>14</v>
      </c>
      <c r="C26692" s="0" t="s">
        <v>2666</v>
      </c>
      <c r="D26692" s="0" t="s">
        <v>9107</v>
      </c>
      <c r="E26692" s="0" t="s">
        <v>9107</v>
      </c>
      <c r="F26692" s="0" t="s">
        <v>9107</v>
      </c>
    </row>
    <row r="26694" customFormat="false" ht="12.8" hidden="false" customHeight="false" outlineLevel="0" collapsed="false">
      <c r="A26694" s="0" t="s">
        <v>9944</v>
      </c>
      <c r="B26694" s="0" t="str">
        <f aca="false">HYPERLINK("https://lindat.mff.cuni.cz/services/teitok/pdtc10/index.php?action=vallex&amp;frame=v-w12070_ZUf1_ZU", "podlamovat se (v-w12070_ZUf1_ZU)")</f>
        <v>podlamovat se (v-w12070_ZUf1_ZU)</v>
      </c>
    </row>
    <row r="26695" customFormat="false" ht="12.8" hidden="false" customHeight="false" outlineLevel="0" collapsed="false">
      <c r="B26695" s="0" t="s">
        <v>7</v>
      </c>
    </row>
    <row r="26697" customFormat="false" ht="12.8" hidden="false" customHeight="false" outlineLevel="0" collapsed="false">
      <c r="A26697" s="0" t="s">
        <v>9945</v>
      </c>
      <c r="B26697" s="0" t="str">
        <f aca="false">HYPERLINK("https://lindat.mff.cuni.cz/services/teitok/pdtc10/index.php?action=vallex&amp;frame=v-w3583f1", "podlehnout (v-w3583f1)")</f>
        <v>podlehnout (v-w3583f1)</v>
      </c>
    </row>
    <row r="26698" customFormat="false" ht="12.8" hidden="false" customHeight="false" outlineLevel="0" collapsed="false">
      <c r="B26698" s="0" t="s">
        <v>7</v>
      </c>
      <c r="C26698" s="0" t="s">
        <v>191</v>
      </c>
      <c r="D26698" s="0" t="s">
        <v>191</v>
      </c>
      <c r="E26698" s="0" t="s">
        <v>191</v>
      </c>
      <c r="F26698" s="0" t="s">
        <v>191</v>
      </c>
    </row>
    <row r="26699" customFormat="false" ht="12.8" hidden="false" customHeight="false" outlineLevel="0" collapsed="false">
      <c r="B26699" s="0" t="s">
        <v>142</v>
      </c>
      <c r="C26699" s="0" t="s">
        <v>155</v>
      </c>
      <c r="D26699" s="0" t="s">
        <v>155</v>
      </c>
      <c r="E26699" s="0" t="s">
        <v>155</v>
      </c>
      <c r="F26699" s="0" t="s">
        <v>155</v>
      </c>
    </row>
    <row r="26701" customFormat="false" ht="12.8" hidden="false" customHeight="false" outlineLevel="0" collapsed="false">
      <c r="A26701" s="0" t="s">
        <v>9946</v>
      </c>
      <c r="B26701" s="0" t="str">
        <f aca="false">HYPERLINK("https://lindat.mff.cuni.cz/services/teitok/pdtc10/index.php?action=vallex&amp;frame=v-w3583f2", "podlehnout (v-w3583f2)")</f>
        <v>podlehnout (v-w3583f2)</v>
      </c>
    </row>
    <row r="26702" customFormat="false" ht="12.8" hidden="false" customHeight="false" outlineLevel="0" collapsed="false">
      <c r="B26702" s="0" t="s">
        <v>7</v>
      </c>
      <c r="C26702" s="0" t="s">
        <v>6550</v>
      </c>
    </row>
    <row r="26703" customFormat="false" ht="12.8" hidden="false" customHeight="false" outlineLevel="0" collapsed="false">
      <c r="B26703" s="0" t="s">
        <v>142</v>
      </c>
      <c r="C26703" s="0" t="s">
        <v>9947</v>
      </c>
    </row>
    <row r="26705" customFormat="false" ht="12.8" hidden="false" customHeight="false" outlineLevel="0" collapsed="false">
      <c r="A26705" s="0" t="s">
        <v>9948</v>
      </c>
      <c r="B26705" s="0" t="str">
        <f aca="false">HYPERLINK("https://lindat.mff.cuni.cz/services/teitok/pdtc10/index.php?action=vallex&amp;frame=v-w3584f1", "podlomit (v-w3584f1)")</f>
        <v>podlomit (v-w3584f1)</v>
      </c>
    </row>
    <row r="26706" customFormat="false" ht="12.8" hidden="false" customHeight="false" outlineLevel="0" collapsed="false">
      <c r="B26706" s="0" t="s">
        <v>7</v>
      </c>
      <c r="D26706" s="0" t="s">
        <v>9942</v>
      </c>
      <c r="E26706" s="0" t="s">
        <v>9942</v>
      </c>
      <c r="F26706" s="0" t="s">
        <v>9942</v>
      </c>
    </row>
    <row r="26707" customFormat="false" ht="12.8" hidden="false" customHeight="false" outlineLevel="0" collapsed="false">
      <c r="B26707" s="0" t="s">
        <v>14</v>
      </c>
      <c r="D26707" s="0" t="s">
        <v>1632</v>
      </c>
      <c r="E26707" s="0" t="s">
        <v>1632</v>
      </c>
      <c r="F26707" s="0" t="s">
        <v>1632</v>
      </c>
    </row>
    <row r="26709" customFormat="false" ht="12.8" hidden="false" customHeight="false" outlineLevel="0" collapsed="false">
      <c r="A26709" s="0" t="s">
        <v>9949</v>
      </c>
      <c r="B26709" s="0" t="str">
        <f aca="false">HYPERLINK("https://lindat.mff.cuni.cz/services/teitok/pdtc10/index.php?action=vallex&amp;frame=v-w3586f2", "podložit (v-w3586f2)")</f>
        <v>podložit (v-w3586f2)</v>
      </c>
    </row>
    <row r="26710" customFormat="false" ht="12.8" hidden="false" customHeight="false" outlineLevel="0" collapsed="false">
      <c r="B26710" s="0" t="s">
        <v>7</v>
      </c>
      <c r="C26710" s="0" t="s">
        <v>31</v>
      </c>
      <c r="D26710" s="0" t="s">
        <v>1801</v>
      </c>
      <c r="E26710" s="0" t="s">
        <v>1801</v>
      </c>
      <c r="F26710" s="0" t="s">
        <v>1801</v>
      </c>
    </row>
    <row r="26711" customFormat="false" ht="12.8" hidden="false" customHeight="false" outlineLevel="0" collapsed="false">
      <c r="B26711" s="0" t="s">
        <v>54</v>
      </c>
      <c r="C26711" s="0" t="s">
        <v>625</v>
      </c>
      <c r="D26711" s="0" t="s">
        <v>9938</v>
      </c>
      <c r="E26711" s="0" t="s">
        <v>9938</v>
      </c>
      <c r="F26711" s="0" t="s">
        <v>9938</v>
      </c>
    </row>
    <row r="26712" customFormat="false" ht="12.8" hidden="false" customHeight="false" outlineLevel="0" collapsed="false">
      <c r="B26712" s="0" t="s">
        <v>48</v>
      </c>
      <c r="D26712" s="0" t="s">
        <v>9939</v>
      </c>
      <c r="E26712" s="0" t="s">
        <v>9939</v>
      </c>
      <c r="F26712" s="0" t="s">
        <v>9939</v>
      </c>
    </row>
    <row r="26714" customFormat="false" ht="12.8" hidden="false" customHeight="false" outlineLevel="0" collapsed="false">
      <c r="A26714" s="0" t="s">
        <v>9950</v>
      </c>
      <c r="B26714" s="0" t="str">
        <f aca="false">HYPERLINK("https://lindat.mff.cuni.cz/services/teitok/pdtc10/index.php?action=vallex&amp;frame=v-w3586f1", "podložit (v-w3586f1)")</f>
        <v>podložit (v-w3586f1)</v>
      </c>
    </row>
    <row r="26715" customFormat="false" ht="12.8" hidden="false" customHeight="false" outlineLevel="0" collapsed="false">
      <c r="B26715" s="0" t="s">
        <v>7</v>
      </c>
      <c r="C26715" s="0" t="s">
        <v>335</v>
      </c>
      <c r="F26715" s="0" t="s">
        <v>2557</v>
      </c>
    </row>
    <row r="26716" customFormat="false" ht="12.8" hidden="false" customHeight="false" outlineLevel="0" collapsed="false">
      <c r="B26716" s="0" t="s">
        <v>14</v>
      </c>
      <c r="C26716" s="0" t="s">
        <v>115</v>
      </c>
      <c r="F26716" s="0" t="s">
        <v>7533</v>
      </c>
    </row>
    <row r="26718" customFormat="false" ht="12.8" hidden="false" customHeight="false" outlineLevel="0" collapsed="false">
      <c r="A26718" s="0" t="s">
        <v>9951</v>
      </c>
      <c r="B26718" s="0" t="str">
        <f aca="false">HYPERLINK("https://lindat.mff.cuni.cz/services/teitok/pdtc10/index.php?action=vallex&amp;frame=v-w3582f1", "podléhat (v-w3582f1)")</f>
        <v>podléhat (v-w3582f1)</v>
      </c>
    </row>
    <row r="26719" customFormat="false" ht="12.8" hidden="false" customHeight="false" outlineLevel="0" collapsed="false">
      <c r="B26719" s="0" t="s">
        <v>7</v>
      </c>
      <c r="C26719" s="0" t="s">
        <v>9952</v>
      </c>
    </row>
    <row r="26720" customFormat="false" ht="12.8" hidden="false" customHeight="false" outlineLevel="0" collapsed="false">
      <c r="B26720" s="0" t="s">
        <v>142</v>
      </c>
      <c r="C26720" s="0" t="s">
        <v>9953</v>
      </c>
    </row>
    <row r="26722" customFormat="false" ht="12.8" hidden="false" customHeight="false" outlineLevel="0" collapsed="false">
      <c r="A26722" s="0" t="s">
        <v>9954</v>
      </c>
      <c r="B26722" s="0" t="str">
        <f aca="false">HYPERLINK("https://lindat.mff.cuni.cz/services/teitok/pdtc10/index.php?action=vallex&amp;frame=v-w3582f2_ZU", "podléhat (v-w3582f2_ZU)")</f>
        <v>podléhat (v-w3582f2_ZU)</v>
      </c>
    </row>
    <row r="26723" customFormat="false" ht="12.8" hidden="false" customHeight="false" outlineLevel="0" collapsed="false">
      <c r="B26723" s="0" t="s">
        <v>7</v>
      </c>
    </row>
    <row r="26724" customFormat="false" ht="12.8" hidden="false" customHeight="false" outlineLevel="0" collapsed="false">
      <c r="B26724" s="0" t="s">
        <v>142</v>
      </c>
    </row>
    <row r="26726" customFormat="false" ht="12.8" hidden="false" customHeight="false" outlineLevel="0" collapsed="false">
      <c r="A26726" s="0" t="s">
        <v>9955</v>
      </c>
      <c r="B26726" s="0" t="str">
        <f aca="false">HYPERLINK("https://lindat.mff.cuni.cz/services/teitok/pdtc10/index.php?action=vallex&amp;frame=v-w10367f2", "podlézat (v-w10367f2)")</f>
        <v>podlézat (v-w10367f2)</v>
      </c>
    </row>
    <row r="26727" customFormat="false" ht="12.8" hidden="false" customHeight="false" outlineLevel="0" collapsed="false">
      <c r="B26727" s="0" t="s">
        <v>7</v>
      </c>
      <c r="C26727" s="0" t="s">
        <v>191</v>
      </c>
      <c r="D26727" s="0" t="s">
        <v>2791</v>
      </c>
      <c r="E26727" s="0" t="s">
        <v>2791</v>
      </c>
      <c r="F26727" s="0" t="s">
        <v>2791</v>
      </c>
    </row>
    <row r="26728" customFormat="false" ht="12.8" hidden="false" customHeight="false" outlineLevel="0" collapsed="false">
      <c r="B26728" s="0" t="s">
        <v>142</v>
      </c>
      <c r="C26728" s="0" t="s">
        <v>8245</v>
      </c>
      <c r="D26728" s="0" t="s">
        <v>9956</v>
      </c>
      <c r="E26728" s="0" t="s">
        <v>9956</v>
      </c>
      <c r="F26728" s="0" t="s">
        <v>9956</v>
      </c>
    </row>
    <row r="26730" customFormat="false" ht="12.8" hidden="false" customHeight="false" outlineLevel="0" collapsed="false">
      <c r="A26730" s="0" t="s">
        <v>9957</v>
      </c>
      <c r="B26730" s="0" t="str">
        <f aca="false">HYPERLINK("https://lindat.mff.cuni.cz/services/teitok/pdtc10/index.php?action=vallex&amp;frame=v-whsb_1054hsa_1055", "podlézt (v-whsb_1054hsa_1055)")</f>
        <v>podlézt (v-whsb_1054hsa_1055)</v>
      </c>
    </row>
    <row r="26731" customFormat="false" ht="12.8" hidden="false" customHeight="false" outlineLevel="0" collapsed="false">
      <c r="B26731" s="0" t="s">
        <v>7</v>
      </c>
    </row>
    <row r="26732" customFormat="false" ht="12.8" hidden="false" customHeight="false" outlineLevel="0" collapsed="false">
      <c r="B26732" s="0" t="s">
        <v>14</v>
      </c>
    </row>
    <row r="26734" customFormat="false" ht="12.8" hidden="false" customHeight="false" outlineLevel="0" collapsed="false">
      <c r="A26734" s="0" t="s">
        <v>9958</v>
      </c>
      <c r="B26734" s="0" t="str">
        <f aca="false">HYPERLINK("https://lindat.mff.cuni.cz/services/teitok/pdtc10/index.php?action=vallex&amp;frame=v-w3587f1", "podmalovávat (v-w3587f1)")</f>
        <v>podmalovávat (v-w3587f1)</v>
      </c>
    </row>
    <row r="26735" customFormat="false" ht="12.8" hidden="false" customHeight="false" outlineLevel="0" collapsed="false">
      <c r="B26735" s="0" t="s">
        <v>7</v>
      </c>
    </row>
    <row r="26736" customFormat="false" ht="12.8" hidden="false" customHeight="false" outlineLevel="0" collapsed="false">
      <c r="B26736" s="0" t="s">
        <v>14</v>
      </c>
    </row>
    <row r="26738" customFormat="false" ht="12.8" hidden="false" customHeight="false" outlineLevel="0" collapsed="false">
      <c r="A26738" s="0" t="s">
        <v>9959</v>
      </c>
      <c r="B26738" s="0" t="str">
        <f aca="false">HYPERLINK("https://lindat.mff.cuni.cz/services/teitok/pdtc10/index.php?action=vallex&amp;frame=v-w3588f1", "podmanit si (v-w3588f1)")</f>
        <v>podmanit si (v-w3588f1)</v>
      </c>
    </row>
    <row r="26739" customFormat="false" ht="12.8" hidden="false" customHeight="false" outlineLevel="0" collapsed="false">
      <c r="B26739" s="0" t="s">
        <v>7</v>
      </c>
    </row>
    <row r="26740" customFormat="false" ht="12.8" hidden="false" customHeight="false" outlineLevel="0" collapsed="false">
      <c r="B26740" s="0" t="s">
        <v>14</v>
      </c>
    </row>
    <row r="26742" customFormat="false" ht="12.8" hidden="false" customHeight="false" outlineLevel="0" collapsed="false">
      <c r="A26742" s="0" t="s">
        <v>9960</v>
      </c>
      <c r="B26742" s="0" t="str">
        <f aca="false">HYPERLINK("https://lindat.mff.cuni.cz/services/teitok/pdtc10/index.php?action=vallex&amp;frame=v-w11411f1", "podmaňovat si (v-w11411f1)")</f>
        <v>podmaňovat si (v-w11411f1)</v>
      </c>
    </row>
    <row r="26743" customFormat="false" ht="12.8" hidden="false" customHeight="false" outlineLevel="0" collapsed="false">
      <c r="B26743" s="0" t="s">
        <v>7</v>
      </c>
      <c r="C26743" s="0" t="s">
        <v>46</v>
      </c>
    </row>
    <row r="26744" customFormat="false" ht="12.8" hidden="false" customHeight="false" outlineLevel="0" collapsed="false">
      <c r="B26744" s="0" t="s">
        <v>14</v>
      </c>
      <c r="C26744" s="0" t="s">
        <v>567</v>
      </c>
    </row>
    <row r="26746" customFormat="false" ht="12.8" hidden="false" customHeight="false" outlineLevel="0" collapsed="false">
      <c r="A26746" s="0" t="s">
        <v>9961</v>
      </c>
      <c r="B26746" s="0" t="str">
        <f aca="false">HYPERLINK("https://lindat.mff.cuni.cz/services/teitok/pdtc10/index.php?action=vallex&amp;frame=v-w3592f1", "podminovat (v-w3592f1)")</f>
        <v>podminovat (v-w3592f1)</v>
      </c>
    </row>
    <row r="26747" customFormat="false" ht="12.8" hidden="false" customHeight="false" outlineLevel="0" collapsed="false">
      <c r="B26747" s="0" t="s">
        <v>7</v>
      </c>
    </row>
    <row r="26748" customFormat="false" ht="12.8" hidden="false" customHeight="false" outlineLevel="0" collapsed="false">
      <c r="B26748" s="0" t="s">
        <v>14</v>
      </c>
    </row>
    <row r="26750" customFormat="false" ht="12.8" hidden="false" customHeight="false" outlineLevel="0" collapsed="false">
      <c r="A26750" s="0" t="s">
        <v>9962</v>
      </c>
      <c r="B26750" s="0" t="str">
        <f aca="false">HYPERLINK("https://lindat.mff.cuni.cz/services/teitok/pdtc10/index.php?action=vallex&amp;frame=v-w3593f1", "podmiňovat (v-w3593f1)")</f>
        <v>podmiňovat (v-w3593f1)</v>
      </c>
    </row>
    <row r="26751" customFormat="false" ht="12.8" hidden="false" customHeight="false" outlineLevel="0" collapsed="false">
      <c r="B26751" s="0" t="s">
        <v>7</v>
      </c>
    </row>
    <row r="26752" customFormat="false" ht="12.8" hidden="false" customHeight="false" outlineLevel="0" collapsed="false">
      <c r="B26752" s="0" t="s">
        <v>14</v>
      </c>
      <c r="D26752" s="0" t="s">
        <v>47</v>
      </c>
      <c r="E26752" s="0" t="s">
        <v>47</v>
      </c>
      <c r="F26752" s="0" t="s">
        <v>47</v>
      </c>
    </row>
    <row r="26753" customFormat="false" ht="12.8" hidden="false" customHeight="false" outlineLevel="0" collapsed="false">
      <c r="B26753" s="0" t="s">
        <v>1408</v>
      </c>
      <c r="D26753" s="0" t="s">
        <v>1527</v>
      </c>
      <c r="E26753" s="0" t="s">
        <v>1527</v>
      </c>
      <c r="F26753" s="0" t="s">
        <v>1527</v>
      </c>
    </row>
    <row r="26755" customFormat="false" ht="12.8" hidden="false" customHeight="false" outlineLevel="0" collapsed="false">
      <c r="A26755" s="0" t="s">
        <v>9963</v>
      </c>
      <c r="B26755" s="0" t="str">
        <f aca="false">HYPERLINK("https://lindat.mff.cuni.cz/services/teitok/pdtc10/index.php?action=vallex&amp;frame=v-w3593f2", "podmiňovat (v-w3593f2)")</f>
        <v>podmiňovat (v-w3593f2)</v>
      </c>
    </row>
    <row r="26756" customFormat="false" ht="12.8" hidden="false" customHeight="false" outlineLevel="0" collapsed="false">
      <c r="B26756" s="0" t="s">
        <v>641</v>
      </c>
    </row>
    <row r="26757" customFormat="false" ht="12.8" hidden="false" customHeight="false" outlineLevel="0" collapsed="false">
      <c r="B26757" s="0" t="s">
        <v>54</v>
      </c>
    </row>
    <row r="26759" customFormat="false" ht="12.8" hidden="false" customHeight="false" outlineLevel="0" collapsed="false">
      <c r="A26759" s="0" t="s">
        <v>9964</v>
      </c>
      <c r="B26759" s="0" t="str">
        <f aca="false">HYPERLINK("https://lindat.mff.cuni.cz/services/teitok/pdtc10/index.php?action=vallex&amp;frame=v-w3590f1", "podmínit (v-w3590f1)")</f>
        <v>podmínit (v-w3590f1)</v>
      </c>
    </row>
    <row r="26760" customFormat="false" ht="12.8" hidden="false" customHeight="false" outlineLevel="0" collapsed="false">
      <c r="B26760" s="0" t="s">
        <v>7</v>
      </c>
    </row>
    <row r="26761" customFormat="false" ht="12.8" hidden="false" customHeight="false" outlineLevel="0" collapsed="false">
      <c r="B26761" s="0" t="s">
        <v>14</v>
      </c>
      <c r="C26761" s="0" t="s">
        <v>47</v>
      </c>
      <c r="D26761" s="0" t="s">
        <v>47</v>
      </c>
      <c r="E26761" s="0" t="s">
        <v>47</v>
      </c>
      <c r="F26761" s="0" t="s">
        <v>47</v>
      </c>
    </row>
    <row r="26762" customFormat="false" ht="12.8" hidden="false" customHeight="false" outlineLevel="0" collapsed="false">
      <c r="B26762" s="0" t="s">
        <v>1408</v>
      </c>
      <c r="C26762" s="0" t="s">
        <v>1527</v>
      </c>
      <c r="D26762" s="0" t="s">
        <v>1527</v>
      </c>
      <c r="E26762" s="0" t="s">
        <v>1527</v>
      </c>
      <c r="F26762" s="0" t="s">
        <v>1527</v>
      </c>
    </row>
    <row r="26764" customFormat="false" ht="12.8" hidden="false" customHeight="false" outlineLevel="0" collapsed="false">
      <c r="A26764" s="0" t="s">
        <v>9965</v>
      </c>
      <c r="B26764" s="0" t="str">
        <f aca="false">HYPERLINK("https://lindat.mff.cuni.cz/services/teitok/pdtc10/index.php?action=vallex&amp;frame=v-w3590f2", "podmínit (v-w3590f2)")</f>
        <v>podmínit (v-w3590f2)</v>
      </c>
    </row>
    <row r="26765" customFormat="false" ht="12.8" hidden="false" customHeight="false" outlineLevel="0" collapsed="false">
      <c r="B26765" s="0" t="s">
        <v>641</v>
      </c>
    </row>
    <row r="26766" customFormat="false" ht="12.8" hidden="false" customHeight="false" outlineLevel="0" collapsed="false">
      <c r="B26766" s="0" t="s">
        <v>54</v>
      </c>
    </row>
    <row r="26768" customFormat="false" ht="12.8" hidden="false" customHeight="false" outlineLevel="0" collapsed="false">
      <c r="A26768" s="0" t="s">
        <v>9966</v>
      </c>
      <c r="B26768" s="0" t="str">
        <f aca="false">HYPERLINK("https://lindat.mff.cuni.cz/services/teitok/pdtc10/index.php?action=vallex&amp;frame=v-w3601f2", "podnikat (v-w3601f2)")</f>
        <v>podnikat (v-w3601f2)</v>
      </c>
    </row>
    <row r="26769" customFormat="false" ht="12.8" hidden="false" customHeight="false" outlineLevel="0" collapsed="false">
      <c r="B26769" s="0" t="s">
        <v>7</v>
      </c>
      <c r="C26769" s="0" t="s">
        <v>9967</v>
      </c>
    </row>
    <row r="26770" customFormat="false" ht="12.8" hidden="false" customHeight="false" outlineLevel="0" collapsed="false">
      <c r="B26770" s="0" t="s">
        <v>14</v>
      </c>
      <c r="C26770" s="0" t="s">
        <v>2278</v>
      </c>
    </row>
    <row r="26772" customFormat="false" ht="12.8" hidden="false" customHeight="false" outlineLevel="0" collapsed="false">
      <c r="A26772" s="0" t="s">
        <v>9968</v>
      </c>
      <c r="B26772" s="0" t="str">
        <f aca="false">HYPERLINK("https://lindat.mff.cuni.cz/services/teitok/pdtc10/index.php?action=vallex&amp;frame=v-w3601f1", "podnikat (v-w3601f1)")</f>
        <v>podnikat (v-w3601f1)</v>
      </c>
    </row>
    <row r="26773" customFormat="false" ht="12.8" hidden="false" customHeight="false" outlineLevel="0" collapsed="false">
      <c r="B26773" s="0" t="s">
        <v>7</v>
      </c>
      <c r="C26773" s="0" t="s">
        <v>3469</v>
      </c>
      <c r="D26773" s="0" t="s">
        <v>9969</v>
      </c>
      <c r="E26773" s="0" t="s">
        <v>9969</v>
      </c>
      <c r="F26773" s="0" t="s">
        <v>9969</v>
      </c>
    </row>
    <row r="26775" customFormat="false" ht="12.8" hidden="false" customHeight="false" outlineLevel="0" collapsed="false">
      <c r="A26775" s="0" t="s">
        <v>9970</v>
      </c>
      <c r="B26775" s="0" t="str">
        <f aca="false">HYPERLINK("https://lindat.mff.cuni.cz/services/teitok/pdtc10/index.php?action=vallex&amp;frame=v-w3601f3", "podnikat (v-w3601f3)")</f>
        <v>podnikat (v-w3601f3)</v>
      </c>
    </row>
    <row r="26776" customFormat="false" ht="12.8" hidden="false" customHeight="false" outlineLevel="0" collapsed="false">
      <c r="B26776" s="0" t="s">
        <v>7</v>
      </c>
      <c r="C26776" s="0" t="s">
        <v>9971</v>
      </c>
      <c r="D26776" s="0" t="s">
        <v>2156</v>
      </c>
      <c r="E26776" s="0" t="s">
        <v>2156</v>
      </c>
      <c r="F26776" s="0" t="s">
        <v>2156</v>
      </c>
    </row>
    <row r="26777" customFormat="false" ht="12.8" hidden="false" customHeight="false" outlineLevel="0" collapsed="false">
      <c r="B26777" s="0" t="s">
        <v>9972</v>
      </c>
      <c r="C26777" s="0" t="s">
        <v>9973</v>
      </c>
      <c r="D26777" s="0" t="s">
        <v>9974</v>
      </c>
      <c r="E26777" s="0" t="s">
        <v>9974</v>
      </c>
      <c r="F26777" s="0" t="s">
        <v>9974</v>
      </c>
    </row>
    <row r="26779" customFormat="false" ht="12.8" hidden="false" customHeight="false" outlineLevel="0" collapsed="false">
      <c r="A26779" s="0" t="s">
        <v>9975</v>
      </c>
      <c r="B26779" s="0" t="str">
        <f aca="false">HYPERLINK("https://lindat.mff.cuni.cz/services/teitok/pdtc10/index.php?action=vallex&amp;frame=v-w3601f4_ZU", "podnikat (v-w3601f4_ZU)")</f>
        <v>podnikat (v-w3601f4_ZU)</v>
      </c>
    </row>
    <row r="26780" customFormat="false" ht="12.8" hidden="false" customHeight="false" outlineLevel="0" collapsed="false">
      <c r="B26780" s="0" t="s">
        <v>7</v>
      </c>
    </row>
    <row r="26781" customFormat="false" ht="12.8" hidden="false" customHeight="false" outlineLevel="0" collapsed="false">
      <c r="B26781" s="0" t="s">
        <v>9976</v>
      </c>
    </row>
    <row r="26783" customFormat="false" ht="12.8" hidden="false" customHeight="false" outlineLevel="0" collapsed="false">
      <c r="A26783" s="0" t="s">
        <v>9975</v>
      </c>
      <c r="B26783" s="0" t="str">
        <f aca="false">HYPERLINK("https://lindat.mff.cuni.cz/services/teitok/pdtc10/index.php?action=vallex&amp;frame=v-w3601hsa_1618", "podnikat (v-w3601hsa_1618) - substituted with v-w3601f4_ZU")</f>
        <v>podnikat (v-w3601hsa_1618) - substituted with v-w3601f4_ZU</v>
      </c>
    </row>
    <row r="26784" customFormat="false" ht="12.8" hidden="false" customHeight="false" outlineLevel="0" collapsed="false">
      <c r="B26784" s="0" t="s">
        <v>7</v>
      </c>
    </row>
    <row r="26785" customFormat="false" ht="12.8" hidden="false" customHeight="false" outlineLevel="0" collapsed="false">
      <c r="B26785" s="0" t="s">
        <v>9976</v>
      </c>
    </row>
    <row r="26787" customFormat="false" ht="12.8" hidden="false" customHeight="false" outlineLevel="0" collapsed="false">
      <c r="A26787" s="0" t="s">
        <v>9977</v>
      </c>
      <c r="B26787" s="0" t="str">
        <f aca="false">HYPERLINK("https://lindat.mff.cuni.cz/services/teitok/pdtc10/index.php?action=vallex&amp;frame=v-w3603f3", "podniknout (v-w3603f3)")</f>
        <v>podniknout (v-w3603f3)</v>
      </c>
    </row>
    <row r="26788" customFormat="false" ht="12.8" hidden="false" customHeight="false" outlineLevel="0" collapsed="false">
      <c r="B26788" s="0" t="s">
        <v>7</v>
      </c>
      <c r="C26788" s="0" t="s">
        <v>9978</v>
      </c>
      <c r="D26788" s="0" t="s">
        <v>9979</v>
      </c>
      <c r="E26788" s="0" t="s">
        <v>9979</v>
      </c>
      <c r="F26788" s="0" t="s">
        <v>9979</v>
      </c>
    </row>
    <row r="26789" customFormat="false" ht="12.8" hidden="false" customHeight="false" outlineLevel="0" collapsed="false">
      <c r="B26789" s="0" t="s">
        <v>14</v>
      </c>
      <c r="C26789" s="0" t="s">
        <v>9980</v>
      </c>
      <c r="D26789" s="0" t="s">
        <v>9981</v>
      </c>
      <c r="E26789" s="0" t="s">
        <v>9981</v>
      </c>
      <c r="F26789" s="0" t="s">
        <v>9981</v>
      </c>
    </row>
    <row r="26791" customFormat="false" ht="12.8" hidden="false" customHeight="false" outlineLevel="0" collapsed="false">
      <c r="A26791" s="0" t="s">
        <v>9982</v>
      </c>
      <c r="B26791" s="0" t="str">
        <f aca="false">HYPERLINK("https://lindat.mff.cuni.cz/services/teitok/pdtc10/index.php?action=vallex&amp;frame=v-w3603hsa_1363", "podniknout (v-w3603hsa_1363)")</f>
        <v>podniknout (v-w3603hsa_1363)</v>
      </c>
    </row>
    <row r="26792" customFormat="false" ht="12.8" hidden="false" customHeight="false" outlineLevel="0" collapsed="false">
      <c r="B26792" s="0" t="s">
        <v>7</v>
      </c>
    </row>
    <row r="26793" customFormat="false" ht="12.8" hidden="false" customHeight="false" outlineLevel="0" collapsed="false">
      <c r="B26793" s="0" t="s">
        <v>9983</v>
      </c>
    </row>
    <row r="26795" customFormat="false" ht="12.8" hidden="false" customHeight="false" outlineLevel="0" collapsed="false">
      <c r="A26795" s="0" t="s">
        <v>9982</v>
      </c>
      <c r="B26795" s="0" t="str">
        <f aca="false">HYPERLINK("https://lindat.mff.cuni.cz/services/teitok/pdtc10/index.php?action=vallex&amp;frame=v-w3603f2", "podniknout (v-w3603f2) - substituted with v-w3603hsa_1363")</f>
        <v>podniknout (v-w3603f2) - substituted with v-w3603hsa_1363</v>
      </c>
    </row>
    <row r="26796" customFormat="false" ht="12.8" hidden="false" customHeight="false" outlineLevel="0" collapsed="false">
      <c r="B26796" s="0" t="s">
        <v>7</v>
      </c>
    </row>
    <row r="26797" customFormat="false" ht="12.8" hidden="false" customHeight="false" outlineLevel="0" collapsed="false">
      <c r="B26797" s="0" t="s">
        <v>9983</v>
      </c>
    </row>
    <row r="26799" customFormat="false" ht="12.8" hidden="false" customHeight="false" outlineLevel="0" collapsed="false">
      <c r="A26799" s="0" t="s">
        <v>9982</v>
      </c>
      <c r="B26799" s="0" t="str">
        <f aca="false">HYPERLINK("https://lindat.mff.cuni.cz/services/teitok/pdtc10/index.php?action=vallex&amp;frame=v-w3603hsa_350", "podniknout (v-w3603hsa_350) - substituted with v-w3603hsa_1363")</f>
        <v>podniknout (v-w3603hsa_350) - substituted with v-w3603hsa_1363</v>
      </c>
    </row>
    <row r="26800" customFormat="false" ht="12.8" hidden="false" customHeight="false" outlineLevel="0" collapsed="false">
      <c r="B26800" s="0" t="s">
        <v>7</v>
      </c>
      <c r="C26800" s="0" t="s">
        <v>9984</v>
      </c>
      <c r="D26800" s="0" t="s">
        <v>2156</v>
      </c>
      <c r="E26800" s="0" t="s">
        <v>2156</v>
      </c>
      <c r="F26800" s="0" t="s">
        <v>2156</v>
      </c>
    </row>
    <row r="26801" customFormat="false" ht="12.8" hidden="false" customHeight="false" outlineLevel="0" collapsed="false">
      <c r="B26801" s="0" t="s">
        <v>9983</v>
      </c>
      <c r="C26801" s="0" t="s">
        <v>9985</v>
      </c>
      <c r="D26801" s="0" t="s">
        <v>9974</v>
      </c>
      <c r="E26801" s="0" t="s">
        <v>9974</v>
      </c>
      <c r="F26801" s="0" t="s">
        <v>9974</v>
      </c>
    </row>
    <row r="26803" customFormat="false" ht="12.8" hidden="false" customHeight="false" outlineLevel="0" collapsed="false">
      <c r="A26803" s="0" t="s">
        <v>9986</v>
      </c>
      <c r="B26803" s="0" t="str">
        <f aca="false">HYPERLINK("https://lindat.mff.cuni.cz/services/teitok/pdtc10/index.php?action=vallex&amp;frame=v-w3603hsa_351", "podniknout (v-w3603hsa_351)")</f>
        <v>podniknout (v-w3603hsa_351)</v>
      </c>
    </row>
    <row r="26804" customFormat="false" ht="12.8" hidden="false" customHeight="false" outlineLevel="0" collapsed="false">
      <c r="B26804" s="0" t="s">
        <v>7</v>
      </c>
      <c r="C26804" s="0" t="s">
        <v>149</v>
      </c>
      <c r="D26804" s="0" t="s">
        <v>2156</v>
      </c>
      <c r="E26804" s="0" t="s">
        <v>2156</v>
      </c>
      <c r="F26804" s="0" t="s">
        <v>2156</v>
      </c>
    </row>
    <row r="26805" customFormat="false" ht="12.8" hidden="false" customHeight="false" outlineLevel="0" collapsed="false">
      <c r="B26805" s="0" t="s">
        <v>9987</v>
      </c>
      <c r="C26805" s="0" t="s">
        <v>9988</v>
      </c>
      <c r="D26805" s="0" t="s">
        <v>9974</v>
      </c>
      <c r="E26805" s="0" t="s">
        <v>9974</v>
      </c>
      <c r="F26805" s="0" t="s">
        <v>9974</v>
      </c>
    </row>
    <row r="26807" customFormat="false" ht="12.8" hidden="false" customHeight="false" outlineLevel="0" collapsed="false">
      <c r="A26807" s="0" t="s">
        <v>9986</v>
      </c>
      <c r="B26807" s="0" t="str">
        <f aca="false">HYPERLINK("https://lindat.mff.cuni.cz/services/teitok/pdtc10/index.php?action=vallex&amp;frame=v-w3603f1", "podniknout (v-w3603f1) - substituted with v-w3603hsa_351")</f>
        <v>podniknout (v-w3603f1) - substituted with v-w3603hsa_351</v>
      </c>
    </row>
    <row r="26808" customFormat="false" ht="12.8" hidden="false" customHeight="false" outlineLevel="0" collapsed="false">
      <c r="B26808" s="0" t="s">
        <v>7</v>
      </c>
      <c r="C26808" s="0" t="s">
        <v>9989</v>
      </c>
    </row>
    <row r="26809" customFormat="false" ht="12.8" hidden="false" customHeight="false" outlineLevel="0" collapsed="false">
      <c r="B26809" s="0" t="s">
        <v>9987</v>
      </c>
      <c r="C26809" s="0" t="s">
        <v>9990</v>
      </c>
    </row>
    <row r="26811" customFormat="false" ht="12.8" hidden="false" customHeight="false" outlineLevel="0" collapsed="false">
      <c r="A26811" s="0" t="s">
        <v>9986</v>
      </c>
      <c r="B26811" s="0" t="str">
        <f aca="false">HYPERLINK("https://lindat.mff.cuni.cz/services/teitok/pdtc10/index.php?action=vallex&amp;frame=v-w3603f4_ZU", "podniknout (v-w3603f4_ZU) - substituted with v-w3603hsa_351")</f>
        <v>podniknout (v-w3603f4_ZU) - substituted with v-w3603hsa_351</v>
      </c>
    </row>
    <row r="26812" customFormat="false" ht="12.8" hidden="false" customHeight="false" outlineLevel="0" collapsed="false">
      <c r="B26812" s="0" t="s">
        <v>7</v>
      </c>
      <c r="C26812" s="0" t="s">
        <v>9991</v>
      </c>
    </row>
    <row r="26813" customFormat="false" ht="12.8" hidden="false" customHeight="false" outlineLevel="0" collapsed="false">
      <c r="B26813" s="0" t="s">
        <v>9987</v>
      </c>
      <c r="C26813" s="0" t="s">
        <v>9992</v>
      </c>
    </row>
    <row r="26815" customFormat="false" ht="12.8" hidden="false" customHeight="false" outlineLevel="0" collapsed="false">
      <c r="A26815" s="0" t="s">
        <v>9993</v>
      </c>
      <c r="B26815" s="0" t="str">
        <f aca="false">HYPERLINK("https://lindat.mff.cuni.cz/services/teitok/pdtc10/index.php?action=vallex&amp;frame=v-w3604f2", "podnítit (v-w3604f2)")</f>
        <v>podnítit (v-w3604f2)</v>
      </c>
    </row>
    <row r="26816" customFormat="false" ht="12.8" hidden="false" customHeight="false" outlineLevel="0" collapsed="false">
      <c r="B26816" s="0" t="s">
        <v>7</v>
      </c>
      <c r="C26816" s="0" t="s">
        <v>9994</v>
      </c>
      <c r="D26816" s="0" t="s">
        <v>2041</v>
      </c>
      <c r="E26816" s="0" t="s">
        <v>2041</v>
      </c>
      <c r="F26816" s="0" t="s">
        <v>2041</v>
      </c>
    </row>
    <row r="26817" customFormat="false" ht="12.8" hidden="false" customHeight="false" outlineLevel="0" collapsed="false">
      <c r="B26817" s="0" t="s">
        <v>9995</v>
      </c>
      <c r="C26817" s="0" t="s">
        <v>9996</v>
      </c>
      <c r="D26817" s="0" t="s">
        <v>2043</v>
      </c>
      <c r="E26817" s="0" t="s">
        <v>2043</v>
      </c>
      <c r="F26817" s="0" t="s">
        <v>2043</v>
      </c>
    </row>
    <row r="26818" customFormat="false" ht="12.8" hidden="false" customHeight="false" outlineLevel="0" collapsed="false">
      <c r="B26818" s="0" t="s">
        <v>81</v>
      </c>
      <c r="C26818" s="0" t="s">
        <v>9997</v>
      </c>
      <c r="D26818" s="0" t="s">
        <v>2045</v>
      </c>
      <c r="E26818" s="0" t="s">
        <v>2045</v>
      </c>
      <c r="F26818" s="0" t="s">
        <v>2045</v>
      </c>
    </row>
    <row r="26820" customFormat="false" ht="12.8" hidden="false" customHeight="false" outlineLevel="0" collapsed="false">
      <c r="A26820" s="0" t="s">
        <v>9998</v>
      </c>
      <c r="B26820" s="0" t="str">
        <f aca="false">HYPERLINK("https://lindat.mff.cuni.cz/services/teitok/pdtc10/index.php?action=vallex&amp;frame=v-w3604f3", "podnítit (v-w3604f3)")</f>
        <v>podnítit (v-w3604f3)</v>
      </c>
    </row>
    <row r="26821" customFormat="false" ht="12.8" hidden="false" customHeight="false" outlineLevel="0" collapsed="false">
      <c r="B26821" s="0" t="s">
        <v>7</v>
      </c>
      <c r="C26821" s="0" t="s">
        <v>9999</v>
      </c>
      <c r="D26821" s="0" t="s">
        <v>69</v>
      </c>
      <c r="E26821" s="0" t="s">
        <v>69</v>
      </c>
      <c r="F26821" s="0" t="s">
        <v>69</v>
      </c>
    </row>
    <row r="26822" customFormat="false" ht="12.8" hidden="false" customHeight="false" outlineLevel="0" collapsed="false">
      <c r="B26822" s="0" t="s">
        <v>14</v>
      </c>
      <c r="C26822" s="0" t="s">
        <v>10000</v>
      </c>
      <c r="D26822" s="0" t="s">
        <v>71</v>
      </c>
      <c r="E26822" s="0" t="s">
        <v>71</v>
      </c>
      <c r="F26822" s="0" t="s">
        <v>71</v>
      </c>
    </row>
    <row r="26824" customFormat="false" ht="12.8" hidden="false" customHeight="false" outlineLevel="0" collapsed="false">
      <c r="A26824" s="0" t="s">
        <v>9998</v>
      </c>
      <c r="B26824" s="0" t="str">
        <f aca="false">HYPERLINK("https://lindat.mff.cuni.cz/services/teitok/pdtc10/index.php?action=vallex&amp;frame=v-w3604f1", "podnítit (v-w3604f1) - substituted with v-w3604f3")</f>
        <v>podnítit (v-w3604f1) - substituted with v-w3604f3</v>
      </c>
    </row>
    <row r="26825" customFormat="false" ht="12.8" hidden="false" customHeight="false" outlineLevel="0" collapsed="false">
      <c r="B26825" s="0" t="s">
        <v>7</v>
      </c>
    </row>
    <row r="26826" customFormat="false" ht="12.8" hidden="false" customHeight="false" outlineLevel="0" collapsed="false">
      <c r="B26826" s="0" t="s">
        <v>14</v>
      </c>
    </row>
    <row r="26828" customFormat="false" ht="12.8" hidden="false" customHeight="false" outlineLevel="0" collapsed="false">
      <c r="A26828" s="0" t="s">
        <v>10001</v>
      </c>
      <c r="B26828" s="0" t="str">
        <f aca="false">HYPERLINK("https://lindat.mff.cuni.cz/services/teitok/pdtc10/index.php?action=vallex&amp;frame=v-w3604hsa_452", "podnítit (v-w3604hsa_452)")</f>
        <v>podnítit (v-w3604hsa_452)</v>
      </c>
    </row>
    <row r="26829" customFormat="false" ht="12.8" hidden="false" customHeight="false" outlineLevel="0" collapsed="false">
      <c r="B26829" s="0" t="s">
        <v>7</v>
      </c>
      <c r="C26829" s="0" t="s">
        <v>6498</v>
      </c>
    </row>
    <row r="26830" customFormat="false" ht="12.8" hidden="false" customHeight="false" outlineLevel="0" collapsed="false">
      <c r="B26830" s="0" t="s">
        <v>14</v>
      </c>
      <c r="C26830" s="0" t="s">
        <v>7256</v>
      </c>
    </row>
    <row r="26831" customFormat="false" ht="12.8" hidden="false" customHeight="false" outlineLevel="0" collapsed="false">
      <c r="B26831" s="0" t="s">
        <v>84</v>
      </c>
      <c r="C26831" s="0" t="s">
        <v>10002</v>
      </c>
    </row>
    <row r="26833" customFormat="false" ht="12.8" hidden="false" customHeight="false" outlineLevel="0" collapsed="false">
      <c r="A26833" s="0" t="s">
        <v>10003</v>
      </c>
      <c r="B26833" s="0" t="str">
        <f aca="false">HYPERLINK("https://lindat.mff.cuni.cz/services/teitok/pdtc10/index.php?action=vallex&amp;frame=v-w3596f1", "podněcovat (v-w3596f1)")</f>
        <v>podněcovat (v-w3596f1)</v>
      </c>
    </row>
    <row r="26834" customFormat="false" ht="12.8" hidden="false" customHeight="false" outlineLevel="0" collapsed="false">
      <c r="B26834" s="0" t="s">
        <v>7</v>
      </c>
      <c r="C26834" s="0" t="s">
        <v>10004</v>
      </c>
      <c r="D26834" s="0" t="s">
        <v>2041</v>
      </c>
      <c r="E26834" s="0" t="s">
        <v>2041</v>
      </c>
      <c r="F26834" s="0" t="s">
        <v>2041</v>
      </c>
    </row>
    <row r="26835" customFormat="false" ht="12.8" hidden="false" customHeight="false" outlineLevel="0" collapsed="false">
      <c r="B26835" s="0" t="s">
        <v>10005</v>
      </c>
      <c r="C26835" s="0" t="s">
        <v>10006</v>
      </c>
      <c r="D26835" s="0" t="s">
        <v>2043</v>
      </c>
      <c r="E26835" s="0" t="s">
        <v>2043</v>
      </c>
      <c r="F26835" s="0" t="s">
        <v>2043</v>
      </c>
    </row>
    <row r="26836" customFormat="false" ht="12.8" hidden="false" customHeight="false" outlineLevel="0" collapsed="false">
      <c r="B26836" s="0" t="s">
        <v>81</v>
      </c>
      <c r="C26836" s="0" t="s">
        <v>10007</v>
      </c>
      <c r="D26836" s="0" t="s">
        <v>2045</v>
      </c>
      <c r="E26836" s="0" t="s">
        <v>2045</v>
      </c>
      <c r="F26836" s="0" t="s">
        <v>2045</v>
      </c>
    </row>
    <row r="26838" customFormat="false" ht="12.8" hidden="false" customHeight="false" outlineLevel="0" collapsed="false">
      <c r="A26838" s="0" t="s">
        <v>10008</v>
      </c>
      <c r="B26838" s="0" t="str">
        <f aca="false">HYPERLINK("https://lindat.mff.cuni.cz/services/teitok/pdtc10/index.php?action=vallex&amp;frame=v-w3596f2", "podněcovat (v-w3596f2)")</f>
        <v>podněcovat (v-w3596f2)</v>
      </c>
    </row>
    <row r="26839" customFormat="false" ht="12.8" hidden="false" customHeight="false" outlineLevel="0" collapsed="false">
      <c r="B26839" s="0" t="s">
        <v>7</v>
      </c>
      <c r="C26839" s="0" t="s">
        <v>10009</v>
      </c>
      <c r="D26839" s="0" t="s">
        <v>69</v>
      </c>
      <c r="E26839" s="0" t="s">
        <v>69</v>
      </c>
      <c r="F26839" s="0" t="s">
        <v>69</v>
      </c>
    </row>
    <row r="26840" customFormat="false" ht="12.8" hidden="false" customHeight="false" outlineLevel="0" collapsed="false">
      <c r="B26840" s="0" t="s">
        <v>14</v>
      </c>
      <c r="C26840" s="0" t="s">
        <v>10010</v>
      </c>
      <c r="D26840" s="0" t="s">
        <v>71</v>
      </c>
      <c r="E26840" s="0" t="s">
        <v>71</v>
      </c>
      <c r="F26840" s="0" t="s">
        <v>71</v>
      </c>
    </row>
    <row r="26842" customFormat="false" ht="12.8" hidden="false" customHeight="false" outlineLevel="0" collapsed="false">
      <c r="A26842" s="0" t="s">
        <v>10011</v>
      </c>
      <c r="B26842" s="0" t="str">
        <f aca="false">HYPERLINK("https://lindat.mff.cuni.cz/services/teitok/pdtc10/index.php?action=vallex&amp;frame=v-w3605f1", "podobat se (v-w3605f1)")</f>
        <v>podobat se (v-w3605f1)</v>
      </c>
    </row>
    <row r="26843" customFormat="false" ht="12.8" hidden="false" customHeight="false" outlineLevel="0" collapsed="false">
      <c r="B26843" s="0" t="s">
        <v>265</v>
      </c>
      <c r="C26843" s="0" t="s">
        <v>10012</v>
      </c>
      <c r="D26843" s="0" t="s">
        <v>4179</v>
      </c>
      <c r="E26843" s="0" t="s">
        <v>4179</v>
      </c>
      <c r="F26843" s="0" t="s">
        <v>4179</v>
      </c>
    </row>
    <row r="26844" customFormat="false" ht="12.8" hidden="false" customHeight="false" outlineLevel="0" collapsed="false">
      <c r="B26844" s="0" t="s">
        <v>142</v>
      </c>
      <c r="C26844" s="0" t="s">
        <v>10013</v>
      </c>
      <c r="D26844" s="0" t="s">
        <v>4181</v>
      </c>
      <c r="E26844" s="0" t="s">
        <v>4181</v>
      </c>
      <c r="F26844" s="0" t="s">
        <v>4181</v>
      </c>
    </row>
    <row r="26846" customFormat="false" ht="12.8" hidden="false" customHeight="false" outlineLevel="0" collapsed="false">
      <c r="A26846" s="0" t="s">
        <v>10014</v>
      </c>
      <c r="B26846" s="0" t="str">
        <f aca="false">HYPERLINK("https://lindat.mff.cuni.cz/services/teitok/pdtc10/index.php?action=vallex&amp;frame=v-whsa_1470hsa_1471", "podojit (v-whsa_1470hsa_1471)")</f>
        <v>podojit (v-whsa_1470hsa_1471)</v>
      </c>
    </row>
    <row r="26847" customFormat="false" ht="12.8" hidden="false" customHeight="false" outlineLevel="0" collapsed="false">
      <c r="B26847" s="0" t="s">
        <v>7</v>
      </c>
    </row>
    <row r="26848" customFormat="false" ht="12.8" hidden="false" customHeight="false" outlineLevel="0" collapsed="false">
      <c r="B26848" s="0" t="s">
        <v>14</v>
      </c>
    </row>
    <row r="26850" customFormat="false" ht="12.8" hidden="false" customHeight="false" outlineLevel="0" collapsed="false">
      <c r="A26850" s="0" t="s">
        <v>10015</v>
      </c>
      <c r="B26850" s="0" t="str">
        <f aca="false">HYPERLINK("https://lindat.mff.cuni.cz/services/teitok/pdtc10/index.php?action=vallex&amp;frame=v-w3610f1", "podotknout (v-w3610f1)")</f>
        <v>podotknout (v-w3610f1)</v>
      </c>
    </row>
    <row r="26851" customFormat="false" ht="12.8" hidden="false" customHeight="false" outlineLevel="0" collapsed="false">
      <c r="B26851" s="0" t="s">
        <v>7</v>
      </c>
      <c r="C26851" s="0" t="s">
        <v>10016</v>
      </c>
      <c r="D26851" s="0" t="s">
        <v>10017</v>
      </c>
      <c r="E26851" s="0" t="s">
        <v>10017</v>
      </c>
      <c r="F26851" s="0" t="s">
        <v>10017</v>
      </c>
    </row>
    <row r="26852" customFormat="false" ht="12.8" hidden="false" customHeight="false" outlineLevel="0" collapsed="false">
      <c r="B26852" s="0" t="s">
        <v>10018</v>
      </c>
      <c r="C26852" s="0" t="s">
        <v>10019</v>
      </c>
      <c r="D26852" s="0" t="s">
        <v>10020</v>
      </c>
      <c r="E26852" s="0" t="s">
        <v>10020</v>
      </c>
      <c r="F26852" s="0" t="s">
        <v>10020</v>
      </c>
    </row>
    <row r="26853" customFormat="false" ht="12.8" hidden="false" customHeight="false" outlineLevel="0" collapsed="false">
      <c r="B26853" s="0" t="s">
        <v>10021</v>
      </c>
      <c r="C26853" s="0" t="s">
        <v>10022</v>
      </c>
      <c r="D26853" s="0" t="s">
        <v>3440</v>
      </c>
      <c r="E26853" s="0" t="s">
        <v>3440</v>
      </c>
      <c r="F26853" s="0" t="s">
        <v>3440</v>
      </c>
    </row>
    <row r="26855" customFormat="false" ht="12.8" hidden="false" customHeight="false" outlineLevel="0" collapsed="false">
      <c r="A26855" s="0" t="s">
        <v>10023</v>
      </c>
      <c r="B26855" s="0" t="str">
        <f aca="false">HYPERLINK("https://lindat.mff.cuni.cz/services/teitok/pdtc10/index.php?action=vallex&amp;frame=v-w3611f1", "podotýkat (v-w3611f1)")</f>
        <v>podotýkat (v-w3611f1)</v>
      </c>
    </row>
    <row r="26856" customFormat="false" ht="12.8" hidden="false" customHeight="false" outlineLevel="0" collapsed="false">
      <c r="B26856" s="0" t="s">
        <v>7</v>
      </c>
      <c r="C26856" s="0" t="s">
        <v>10016</v>
      </c>
      <c r="D26856" s="0" t="s">
        <v>10017</v>
      </c>
      <c r="E26856" s="0" t="s">
        <v>10017</v>
      </c>
      <c r="F26856" s="0" t="s">
        <v>10017</v>
      </c>
    </row>
    <row r="26857" customFormat="false" ht="12.8" hidden="false" customHeight="false" outlineLevel="0" collapsed="false">
      <c r="B26857" s="0" t="s">
        <v>10018</v>
      </c>
      <c r="C26857" s="0" t="s">
        <v>10019</v>
      </c>
      <c r="D26857" s="0" t="s">
        <v>10020</v>
      </c>
      <c r="E26857" s="0" t="s">
        <v>10020</v>
      </c>
      <c r="F26857" s="0" t="s">
        <v>10020</v>
      </c>
    </row>
    <row r="26858" customFormat="false" ht="12.8" hidden="false" customHeight="false" outlineLevel="0" collapsed="false">
      <c r="B26858" s="0" t="s">
        <v>10021</v>
      </c>
      <c r="C26858" s="0" t="s">
        <v>10022</v>
      </c>
      <c r="D26858" s="0" t="s">
        <v>3440</v>
      </c>
      <c r="E26858" s="0" t="s">
        <v>3440</v>
      </c>
      <c r="F26858" s="0" t="s">
        <v>3440</v>
      </c>
    </row>
    <row r="26860" customFormat="false" ht="12.8" hidden="false" customHeight="false" outlineLevel="0" collapsed="false">
      <c r="A26860" s="0" t="s">
        <v>10024</v>
      </c>
      <c r="B26860" s="0" t="str">
        <f aca="false">HYPERLINK("https://lindat.mff.cuni.cz/services/teitok/pdtc10/index.php?action=vallex&amp;frame=v-w3613f1", "podpisovat (v-w3613f1)")</f>
        <v>podpisovat (v-w3613f1)</v>
      </c>
    </row>
    <row r="26861" customFormat="false" ht="12.8" hidden="false" customHeight="false" outlineLevel="0" collapsed="false">
      <c r="B26861" s="0" t="s">
        <v>7</v>
      </c>
      <c r="D26861" s="0" t="s">
        <v>158</v>
      </c>
      <c r="E26861" s="0" t="s">
        <v>158</v>
      </c>
      <c r="F26861" s="0" t="s">
        <v>158</v>
      </c>
    </row>
    <row r="26862" customFormat="false" ht="12.8" hidden="false" customHeight="false" outlineLevel="0" collapsed="false">
      <c r="B26862" s="0" t="s">
        <v>14</v>
      </c>
      <c r="D26862" s="0" t="s">
        <v>160</v>
      </c>
      <c r="E26862" s="0" t="s">
        <v>160</v>
      </c>
      <c r="F26862" s="0" t="s">
        <v>160</v>
      </c>
    </row>
    <row r="26864" customFormat="false" ht="12.8" hidden="false" customHeight="false" outlineLevel="0" collapsed="false">
      <c r="A26864" s="0" t="s">
        <v>10025</v>
      </c>
      <c r="B26864" s="0" t="str">
        <f aca="false">HYPERLINK("https://lindat.mff.cuni.cz/services/teitok/pdtc10/index.php?action=vallex&amp;frame=v-w3613f2", "podpisovat (v-w3613f2)")</f>
        <v>podpisovat (v-w3613f2)</v>
      </c>
    </row>
    <row r="26865" customFormat="false" ht="12.8" hidden="false" customHeight="false" outlineLevel="0" collapsed="false">
      <c r="B26865" s="0" t="s">
        <v>7</v>
      </c>
    </row>
    <row r="26866" customFormat="false" ht="12.8" hidden="false" customHeight="false" outlineLevel="0" collapsed="false">
      <c r="B26866" s="0" t="s">
        <v>14</v>
      </c>
    </row>
    <row r="26868" customFormat="false" ht="12.8" hidden="false" customHeight="false" outlineLevel="0" collapsed="false">
      <c r="A26868" s="0" t="s">
        <v>10026</v>
      </c>
      <c r="B26868" s="0" t="str">
        <f aca="false">HYPERLINK("https://lindat.mff.cuni.cz/services/teitok/pdtc10/index.php?action=vallex&amp;frame=v-w3614f1", "podpisovat se (v-w3614f1)")</f>
        <v>podpisovat se (v-w3614f1)</v>
      </c>
    </row>
    <row r="26869" customFormat="false" ht="12.8" hidden="false" customHeight="false" outlineLevel="0" collapsed="false">
      <c r="B26869" s="0" t="s">
        <v>7</v>
      </c>
      <c r="F26869" s="0" t="s">
        <v>5657</v>
      </c>
    </row>
    <row r="26870" customFormat="false" ht="12.8" hidden="false" customHeight="false" outlineLevel="0" collapsed="false">
      <c r="B26870" s="0" t="s">
        <v>220</v>
      </c>
      <c r="F26870" s="0" t="s">
        <v>9913</v>
      </c>
    </row>
    <row r="26872" customFormat="false" ht="12.8" hidden="false" customHeight="false" outlineLevel="0" collapsed="false">
      <c r="A26872" s="0" t="s">
        <v>10027</v>
      </c>
      <c r="B26872" s="0" t="str">
        <f aca="false">HYPERLINK("https://lindat.mff.cuni.cz/services/teitok/pdtc10/index.php?action=vallex&amp;frame=v-w3614f2", "podpisovat se (v-w3614f2)")</f>
        <v>podpisovat se (v-w3614f2)</v>
      </c>
    </row>
    <row r="26873" customFormat="false" ht="12.8" hidden="false" customHeight="false" outlineLevel="0" collapsed="false">
      <c r="B26873" s="0" t="s">
        <v>7</v>
      </c>
    </row>
    <row r="26875" customFormat="false" ht="12.8" hidden="false" customHeight="false" outlineLevel="0" collapsed="false">
      <c r="A26875" s="0" t="s">
        <v>10028</v>
      </c>
      <c r="B26875" s="0" t="str">
        <f aca="false">HYPERLINK("https://lindat.mff.cuni.cz/services/teitok/pdtc10/index.php?action=vallex&amp;frame=v-w3617f1", "podplatit (v-w3617f1)")</f>
        <v>podplatit (v-w3617f1)</v>
      </c>
    </row>
    <row r="26876" customFormat="false" ht="12.8" hidden="false" customHeight="false" outlineLevel="0" collapsed="false">
      <c r="B26876" s="0" t="s">
        <v>7</v>
      </c>
      <c r="C26876" s="0" t="s">
        <v>623</v>
      </c>
      <c r="D26876" s="0" t="s">
        <v>623</v>
      </c>
      <c r="E26876" s="0" t="s">
        <v>623</v>
      </c>
      <c r="F26876" s="0" t="s">
        <v>623</v>
      </c>
    </row>
    <row r="26877" customFormat="false" ht="12.8" hidden="false" customHeight="false" outlineLevel="0" collapsed="false">
      <c r="B26877" s="0" t="s">
        <v>14</v>
      </c>
      <c r="C26877" s="0" t="s">
        <v>1209</v>
      </c>
      <c r="D26877" s="0" t="s">
        <v>1209</v>
      </c>
      <c r="E26877" s="0" t="s">
        <v>1209</v>
      </c>
      <c r="F26877" s="0" t="s">
        <v>1209</v>
      </c>
    </row>
    <row r="26879" customFormat="false" ht="12.8" hidden="false" customHeight="false" outlineLevel="0" collapsed="false">
      <c r="A26879" s="0" t="s">
        <v>10029</v>
      </c>
      <c r="B26879" s="0" t="str">
        <f aca="false">HYPERLINK("https://lindat.mff.cuni.cz/services/teitok/pdtc10/index.php?action=vallex&amp;frame=v-w10804f2", "podplácet (v-w10804f2)")</f>
        <v>podplácet (v-w10804f2)</v>
      </c>
    </row>
    <row r="26880" customFormat="false" ht="12.8" hidden="false" customHeight="false" outlineLevel="0" collapsed="false">
      <c r="B26880" s="0" t="s">
        <v>7</v>
      </c>
      <c r="C26880" s="0" t="s">
        <v>623</v>
      </c>
      <c r="D26880" s="0" t="s">
        <v>623</v>
      </c>
      <c r="E26880" s="0" t="s">
        <v>623</v>
      </c>
      <c r="F26880" s="0" t="s">
        <v>623</v>
      </c>
    </row>
    <row r="26881" customFormat="false" ht="12.8" hidden="false" customHeight="false" outlineLevel="0" collapsed="false">
      <c r="B26881" s="0" t="s">
        <v>14</v>
      </c>
      <c r="C26881" s="0" t="s">
        <v>1209</v>
      </c>
      <c r="D26881" s="0" t="s">
        <v>1209</v>
      </c>
      <c r="E26881" s="0" t="s">
        <v>1209</v>
      </c>
      <c r="F26881" s="0" t="s">
        <v>1209</v>
      </c>
    </row>
    <row r="26883" customFormat="false" ht="12.8" hidden="false" customHeight="false" outlineLevel="0" collapsed="false">
      <c r="A26883" s="0" t="s">
        <v>10030</v>
      </c>
      <c r="B26883" s="0" t="str">
        <f aca="false">HYPERLINK("https://lindat.mff.cuni.cz/services/teitok/pdtc10/index.php?action=vallex&amp;frame=v-w3620f1", "podporovat (v-w3620f1)")</f>
        <v>podporovat (v-w3620f1)</v>
      </c>
    </row>
    <row r="26884" customFormat="false" ht="12.8" hidden="false" customHeight="false" outlineLevel="0" collapsed="false">
      <c r="B26884" s="0" t="s">
        <v>7</v>
      </c>
      <c r="C26884" s="0" t="s">
        <v>10031</v>
      </c>
      <c r="D26884" s="0" t="s">
        <v>6781</v>
      </c>
      <c r="E26884" s="0" t="s">
        <v>6781</v>
      </c>
      <c r="F26884" s="0" t="s">
        <v>10032</v>
      </c>
    </row>
    <row r="26885" customFormat="false" ht="12.8" hidden="false" customHeight="false" outlineLevel="0" collapsed="false">
      <c r="B26885" s="0" t="s">
        <v>14</v>
      </c>
      <c r="C26885" s="0" t="s">
        <v>10033</v>
      </c>
      <c r="D26885" s="0" t="s">
        <v>6783</v>
      </c>
      <c r="E26885" s="0" t="s">
        <v>6783</v>
      </c>
      <c r="F26885" s="0" t="s">
        <v>10034</v>
      </c>
    </row>
    <row r="26887" customFormat="false" ht="12.8" hidden="false" customHeight="false" outlineLevel="0" collapsed="false">
      <c r="A26887" s="0" t="s">
        <v>10035</v>
      </c>
      <c r="B26887" s="0" t="str">
        <f aca="false">HYPERLINK("https://lindat.mff.cuni.cz/services/teitok/pdtc10/index.php?action=vallex&amp;frame=v-w3620f2", "podporovat (v-w3620f2)")</f>
        <v>podporovat (v-w3620f2)</v>
      </c>
    </row>
    <row r="26888" customFormat="false" ht="12.8" hidden="false" customHeight="false" outlineLevel="0" collapsed="false">
      <c r="B26888" s="0" t="s">
        <v>7</v>
      </c>
      <c r="C26888" s="0" t="s">
        <v>7631</v>
      </c>
      <c r="D26888" s="0" t="s">
        <v>6786</v>
      </c>
      <c r="E26888" s="0" t="s">
        <v>6786</v>
      </c>
      <c r="F26888" s="0" t="s">
        <v>6786</v>
      </c>
    </row>
    <row r="26889" customFormat="false" ht="12.8" hidden="false" customHeight="false" outlineLevel="0" collapsed="false">
      <c r="B26889" s="0" t="s">
        <v>81</v>
      </c>
      <c r="C26889" s="0" t="s">
        <v>10036</v>
      </c>
      <c r="D26889" s="0" t="s">
        <v>6788</v>
      </c>
      <c r="E26889" s="0" t="s">
        <v>6788</v>
      </c>
      <c r="F26889" s="0" t="s">
        <v>6788</v>
      </c>
    </row>
    <row r="26890" customFormat="false" ht="12.8" hidden="false" customHeight="false" outlineLevel="0" collapsed="false">
      <c r="B26890" s="0" t="s">
        <v>706</v>
      </c>
      <c r="D26890" s="0" t="s">
        <v>6791</v>
      </c>
      <c r="E26890" s="0" t="s">
        <v>6791</v>
      </c>
      <c r="F26890" s="0" t="s">
        <v>6791</v>
      </c>
    </row>
    <row r="26892" customFormat="false" ht="12.8" hidden="false" customHeight="false" outlineLevel="0" collapsed="false">
      <c r="A26892" s="0" t="s">
        <v>10037</v>
      </c>
      <c r="B26892" s="0" t="str">
        <f aca="false">HYPERLINK("https://lindat.mff.cuni.cz/services/teitok/pdtc10/index.php?action=vallex&amp;frame=v-w3620hsa_1374", "podporovat (v-w3620hsa_1374)")</f>
        <v>podporovat (v-w3620hsa_1374)</v>
      </c>
    </row>
    <row r="26893" customFormat="false" ht="12.8" hidden="false" customHeight="false" outlineLevel="0" collapsed="false">
      <c r="B26893" s="0" t="s">
        <v>7</v>
      </c>
    </row>
    <row r="26894" customFormat="false" ht="12.8" hidden="false" customHeight="false" outlineLevel="0" collapsed="false">
      <c r="B26894" s="0" t="s">
        <v>14</v>
      </c>
    </row>
    <row r="26896" customFormat="false" ht="12.8" hidden="false" customHeight="false" outlineLevel="0" collapsed="false">
      <c r="A26896" s="0" t="s">
        <v>10038</v>
      </c>
      <c r="B26896" s="0" t="str">
        <f aca="false">HYPERLINK("https://lindat.mff.cuni.cz/services/teitok/pdtc10/index.php?action=vallex&amp;frame=v-w3623f1", "podpořit (v-w3623f1)")</f>
        <v>podpořit (v-w3623f1)</v>
      </c>
    </row>
    <row r="26897" customFormat="false" ht="12.8" hidden="false" customHeight="false" outlineLevel="0" collapsed="false">
      <c r="B26897" s="0" t="s">
        <v>7</v>
      </c>
      <c r="C26897" s="0" t="s">
        <v>10039</v>
      </c>
      <c r="D26897" s="0" t="s">
        <v>6781</v>
      </c>
      <c r="E26897" s="0" t="s">
        <v>6781</v>
      </c>
      <c r="F26897" s="0" t="s">
        <v>10032</v>
      </c>
    </row>
    <row r="26898" customFormat="false" ht="12.8" hidden="false" customHeight="false" outlineLevel="0" collapsed="false">
      <c r="B26898" s="0" t="s">
        <v>4100</v>
      </c>
      <c r="C26898" s="0" t="s">
        <v>10040</v>
      </c>
      <c r="D26898" s="0" t="s">
        <v>6783</v>
      </c>
      <c r="E26898" s="0" t="s">
        <v>6783</v>
      </c>
      <c r="F26898" s="0" t="s">
        <v>10034</v>
      </c>
    </row>
    <row r="26900" customFormat="false" ht="12.8" hidden="false" customHeight="false" outlineLevel="0" collapsed="false">
      <c r="A26900" s="0" t="s">
        <v>10041</v>
      </c>
      <c r="B26900" s="0" t="str">
        <f aca="false">HYPERLINK("https://lindat.mff.cuni.cz/services/teitok/pdtc10/index.php?action=vallex&amp;frame=v-w3623hsa_874", "podpořit (v-w3623hsa_874)")</f>
        <v>podpořit (v-w3623hsa_874)</v>
      </c>
    </row>
    <row r="26901" customFormat="false" ht="12.8" hidden="false" customHeight="false" outlineLevel="0" collapsed="false">
      <c r="B26901" s="0" t="s">
        <v>7</v>
      </c>
      <c r="C26901" s="0" t="s">
        <v>1287</v>
      </c>
      <c r="D26901" s="0" t="s">
        <v>6786</v>
      </c>
      <c r="E26901" s="0" t="s">
        <v>6786</v>
      </c>
      <c r="F26901" s="0" t="s">
        <v>6786</v>
      </c>
    </row>
    <row r="26902" customFormat="false" ht="12.8" hidden="false" customHeight="false" outlineLevel="0" collapsed="false">
      <c r="B26902" s="0" t="s">
        <v>81</v>
      </c>
      <c r="C26902" s="0" t="s">
        <v>10042</v>
      </c>
      <c r="D26902" s="0" t="s">
        <v>6788</v>
      </c>
      <c r="E26902" s="0" t="s">
        <v>6788</v>
      </c>
      <c r="F26902" s="0" t="s">
        <v>6788</v>
      </c>
    </row>
    <row r="26903" customFormat="false" ht="12.8" hidden="false" customHeight="false" outlineLevel="0" collapsed="false">
      <c r="B26903" s="0" t="s">
        <v>10043</v>
      </c>
      <c r="C26903" s="0" t="s">
        <v>1299</v>
      </c>
    </row>
    <row r="26905" customFormat="false" ht="12.8" hidden="false" customHeight="false" outlineLevel="0" collapsed="false">
      <c r="A26905" s="0" t="s">
        <v>10041</v>
      </c>
      <c r="B26905" s="0" t="str">
        <f aca="false">HYPERLINK("https://lindat.mff.cuni.cz/services/teitok/pdtc10/index.php?action=vallex&amp;frame=v-w3623f2", "podpořit (v-w3623f2) - substituted with v-w3623hsa_874")</f>
        <v>podpořit (v-w3623f2) - substituted with v-w3623hsa_874</v>
      </c>
    </row>
    <row r="26906" customFormat="false" ht="12.8" hidden="false" customHeight="false" outlineLevel="0" collapsed="false">
      <c r="B26906" s="0" t="s">
        <v>7</v>
      </c>
      <c r="C26906" s="0" t="s">
        <v>10044</v>
      </c>
    </row>
    <row r="26907" customFormat="false" ht="12.8" hidden="false" customHeight="false" outlineLevel="0" collapsed="false">
      <c r="B26907" s="0" t="s">
        <v>81</v>
      </c>
      <c r="C26907" s="0" t="s">
        <v>10045</v>
      </c>
    </row>
    <row r="26908" customFormat="false" ht="12.8" hidden="false" customHeight="false" outlineLevel="0" collapsed="false">
      <c r="B26908" s="0" t="s">
        <v>10043</v>
      </c>
      <c r="C26908" s="0" t="s">
        <v>10046</v>
      </c>
    </row>
    <row r="26910" customFormat="false" ht="12.8" hidden="false" customHeight="false" outlineLevel="0" collapsed="false">
      <c r="A26910" s="0" t="s">
        <v>10047</v>
      </c>
      <c r="B26910" s="0" t="str">
        <f aca="false">HYPERLINK("https://lindat.mff.cuni.cz/services/teitok/pdtc10/index.php?action=vallex&amp;frame=v-w11157f2", "podpírat (v-w11157f2)")</f>
        <v>podpírat (v-w11157f2)</v>
      </c>
    </row>
    <row r="26911" customFormat="false" ht="12.8" hidden="false" customHeight="false" outlineLevel="0" collapsed="false">
      <c r="B26911" s="0" t="s">
        <v>7</v>
      </c>
      <c r="C26911" s="0" t="s">
        <v>2557</v>
      </c>
      <c r="F26911" s="0" t="s">
        <v>2557</v>
      </c>
    </row>
    <row r="26912" customFormat="false" ht="12.8" hidden="false" customHeight="false" outlineLevel="0" collapsed="false">
      <c r="B26912" s="0" t="s">
        <v>14</v>
      </c>
      <c r="C26912" s="0" t="s">
        <v>1555</v>
      </c>
      <c r="F26912" s="0" t="s">
        <v>7533</v>
      </c>
    </row>
    <row r="26914" customFormat="false" ht="12.8" hidden="false" customHeight="false" outlineLevel="0" collapsed="false">
      <c r="A26914" s="0" t="s">
        <v>10048</v>
      </c>
      <c r="B26914" s="0" t="str">
        <f aca="false">HYPERLINK("https://lindat.mff.cuni.cz/services/teitok/pdtc10/index.php?action=vallex&amp;frame=v-w3625f1", "podrazit (v-w3625f1)")</f>
        <v>podrazit (v-w3625f1)</v>
      </c>
    </row>
    <row r="26915" customFormat="false" ht="12.8" hidden="false" customHeight="false" outlineLevel="0" collapsed="false">
      <c r="B26915" s="0" t="s">
        <v>7</v>
      </c>
    </row>
    <row r="26916" customFormat="false" ht="12.8" hidden="false" customHeight="false" outlineLevel="0" collapsed="false">
      <c r="B26916" s="0" t="s">
        <v>14</v>
      </c>
    </row>
    <row r="26918" customFormat="false" ht="12.8" hidden="false" customHeight="false" outlineLevel="0" collapsed="false">
      <c r="A26918" s="0" t="s">
        <v>10049</v>
      </c>
      <c r="B26918" s="0" t="str">
        <f aca="false">HYPERLINK("https://lindat.mff.cuni.cz/services/teitok/pdtc10/index.php?action=vallex&amp;frame=v-w3625f2", "podrazit (v-w3625f2)")</f>
        <v>podrazit (v-w3625f2)</v>
      </c>
    </row>
    <row r="26919" customFormat="false" ht="12.8" hidden="false" customHeight="false" outlineLevel="0" collapsed="false">
      <c r="B26919" s="0" t="s">
        <v>7</v>
      </c>
    </row>
    <row r="26920" customFormat="false" ht="12.8" hidden="false" customHeight="false" outlineLevel="0" collapsed="false">
      <c r="B26920" s="0" t="s">
        <v>14</v>
      </c>
    </row>
    <row r="26922" customFormat="false" ht="12.8" hidden="false" customHeight="false" outlineLevel="0" collapsed="false">
      <c r="A26922" s="0" t="s">
        <v>10050</v>
      </c>
      <c r="B26922" s="0" t="str">
        <f aca="false">HYPERLINK("https://lindat.mff.cuni.cz/services/teitok/pdtc10/index.php?action=vallex&amp;frame=v-w3628f1", "podražit (v-w3628f1)")</f>
        <v>podražit (v-w3628f1)</v>
      </c>
    </row>
    <row r="26923" customFormat="false" ht="12.8" hidden="false" customHeight="false" outlineLevel="0" collapsed="false">
      <c r="B26923" s="0" t="s">
        <v>7</v>
      </c>
    </row>
    <row r="26925" customFormat="false" ht="12.8" hidden="false" customHeight="false" outlineLevel="0" collapsed="false">
      <c r="A26925" s="0" t="s">
        <v>10051</v>
      </c>
      <c r="B26925" s="0" t="str">
        <f aca="false">HYPERLINK("https://lindat.mff.cuni.cz/services/teitok/pdtc10/index.php?action=vallex&amp;frame=v-w3629f1", "podrobit (v-w3629f1)")</f>
        <v>podrobit (v-w3629f1)</v>
      </c>
    </row>
    <row r="26926" customFormat="false" ht="12.8" hidden="false" customHeight="false" outlineLevel="0" collapsed="false">
      <c r="B26926" s="0" t="s">
        <v>7</v>
      </c>
      <c r="C26926" s="0" t="s">
        <v>184</v>
      </c>
      <c r="D26926" s="0" t="s">
        <v>108</v>
      </c>
      <c r="E26926" s="0" t="s">
        <v>108</v>
      </c>
      <c r="F26926" s="0" t="s">
        <v>108</v>
      </c>
    </row>
    <row r="26927" customFormat="false" ht="12.8" hidden="false" customHeight="false" outlineLevel="0" collapsed="false">
      <c r="B26927" s="0" t="s">
        <v>142</v>
      </c>
      <c r="C26927" s="0" t="s">
        <v>4706</v>
      </c>
      <c r="D26927" s="0" t="s">
        <v>10052</v>
      </c>
      <c r="E26927" s="0" t="s">
        <v>10052</v>
      </c>
      <c r="F26927" s="0" t="s">
        <v>10052</v>
      </c>
    </row>
    <row r="26928" customFormat="false" ht="12.8" hidden="false" customHeight="false" outlineLevel="0" collapsed="false">
      <c r="B26928" s="0" t="s">
        <v>81</v>
      </c>
      <c r="C26928" s="0" t="s">
        <v>3426</v>
      </c>
      <c r="D26928" s="0" t="s">
        <v>10053</v>
      </c>
      <c r="E26928" s="0" t="s">
        <v>10053</v>
      </c>
      <c r="F26928" s="0" t="s">
        <v>10053</v>
      </c>
    </row>
    <row r="26930" customFormat="false" ht="12.8" hidden="false" customHeight="false" outlineLevel="0" collapsed="false">
      <c r="A26930" s="0" t="s">
        <v>10054</v>
      </c>
      <c r="B26930" s="0" t="str">
        <f aca="false">HYPERLINK("https://lindat.mff.cuni.cz/services/teitok/pdtc10/index.php?action=vallex&amp;frame=v-w3630f1", "podrobit se (v-w3630f1)")</f>
        <v>podrobit se (v-w3630f1)</v>
      </c>
    </row>
    <row r="26931" customFormat="false" ht="12.8" hidden="false" customHeight="false" outlineLevel="0" collapsed="false">
      <c r="B26931" s="0" t="s">
        <v>7</v>
      </c>
      <c r="C26931" s="0" t="s">
        <v>623</v>
      </c>
      <c r="D26931" s="0" t="s">
        <v>4567</v>
      </c>
      <c r="E26931" s="0" t="s">
        <v>4567</v>
      </c>
      <c r="F26931" s="0" t="s">
        <v>4568</v>
      </c>
    </row>
    <row r="26932" customFormat="false" ht="12.8" hidden="false" customHeight="false" outlineLevel="0" collapsed="false">
      <c r="B26932" s="0" t="s">
        <v>142</v>
      </c>
      <c r="C26932" s="0" t="s">
        <v>1289</v>
      </c>
      <c r="D26932" s="0" t="s">
        <v>4569</v>
      </c>
      <c r="E26932" s="0" t="s">
        <v>4569</v>
      </c>
      <c r="F26932" s="0" t="s">
        <v>4570</v>
      </c>
    </row>
    <row r="26934" customFormat="false" ht="12.8" hidden="false" customHeight="false" outlineLevel="0" collapsed="false">
      <c r="A26934" s="0" t="s">
        <v>10055</v>
      </c>
      <c r="B26934" s="0" t="str">
        <f aca="false">HYPERLINK("https://lindat.mff.cuni.cz/services/teitok/pdtc10/index.php?action=vallex&amp;frame=v-w3632f1", "podrobovat (v-w3632f1)")</f>
        <v>podrobovat (v-w3632f1)</v>
      </c>
    </row>
    <row r="26935" customFormat="false" ht="12.8" hidden="false" customHeight="false" outlineLevel="0" collapsed="false">
      <c r="B26935" s="0" t="s">
        <v>7</v>
      </c>
      <c r="D26935" s="0" t="s">
        <v>108</v>
      </c>
      <c r="E26935" s="0" t="s">
        <v>108</v>
      </c>
      <c r="F26935" s="0" t="s">
        <v>108</v>
      </c>
    </row>
    <row r="26936" customFormat="false" ht="12.8" hidden="false" customHeight="false" outlineLevel="0" collapsed="false">
      <c r="B26936" s="0" t="s">
        <v>142</v>
      </c>
      <c r="D26936" s="0" t="s">
        <v>10052</v>
      </c>
      <c r="E26936" s="0" t="s">
        <v>10052</v>
      </c>
      <c r="F26936" s="0" t="s">
        <v>10052</v>
      </c>
    </row>
    <row r="26937" customFormat="false" ht="12.8" hidden="false" customHeight="false" outlineLevel="0" collapsed="false">
      <c r="B26937" s="0" t="s">
        <v>81</v>
      </c>
      <c r="D26937" s="0" t="s">
        <v>10053</v>
      </c>
      <c r="E26937" s="0" t="s">
        <v>10053</v>
      </c>
      <c r="F26937" s="0" t="s">
        <v>10053</v>
      </c>
    </row>
    <row r="26939" customFormat="false" ht="12.8" hidden="false" customHeight="false" outlineLevel="0" collapsed="false">
      <c r="A26939" s="0" t="s">
        <v>10056</v>
      </c>
      <c r="B26939" s="0" t="str">
        <f aca="false">HYPERLINK("https://lindat.mff.cuni.cz/services/teitok/pdtc10/index.php?action=vallex&amp;frame=v-w3633f1", "podrobovat se (v-w3633f1)")</f>
        <v>podrobovat se (v-w3633f1)</v>
      </c>
    </row>
    <row r="26940" customFormat="false" ht="12.8" hidden="false" customHeight="false" outlineLevel="0" collapsed="false">
      <c r="B26940" s="0" t="s">
        <v>7</v>
      </c>
      <c r="F26940" s="0" t="s">
        <v>10057</v>
      </c>
    </row>
    <row r="26941" customFormat="false" ht="12.8" hidden="false" customHeight="false" outlineLevel="0" collapsed="false">
      <c r="B26941" s="0" t="s">
        <v>142</v>
      </c>
      <c r="F26941" s="0" t="s">
        <v>8983</v>
      </c>
    </row>
    <row r="26943" customFormat="false" ht="12.8" hidden="false" customHeight="false" outlineLevel="0" collapsed="false">
      <c r="A26943" s="0" t="s">
        <v>10058</v>
      </c>
      <c r="B26943" s="0" t="str">
        <f aca="false">HYPERLINK("https://lindat.mff.cuni.cz/services/teitok/pdtc10/index.php?action=vallex&amp;frame=v-w3627f1", "podráždit (v-w3627f1)")</f>
        <v>podráždit (v-w3627f1)</v>
      </c>
    </row>
    <row r="26944" customFormat="false" ht="12.8" hidden="false" customHeight="false" outlineLevel="0" collapsed="false">
      <c r="B26944" s="0" t="s">
        <v>7</v>
      </c>
      <c r="C26944" s="0" t="s">
        <v>176</v>
      </c>
    </row>
    <row r="26945" customFormat="false" ht="12.8" hidden="false" customHeight="false" outlineLevel="0" collapsed="false">
      <c r="B26945" s="0" t="s">
        <v>14</v>
      </c>
      <c r="C26945" s="0" t="s">
        <v>10059</v>
      </c>
    </row>
    <row r="26947" customFormat="false" ht="12.8" hidden="false" customHeight="false" outlineLevel="0" collapsed="false">
      <c r="A26947" s="0" t="s">
        <v>10060</v>
      </c>
      <c r="B26947" s="0" t="str">
        <f aca="false">HYPERLINK("https://lindat.mff.cuni.cz/services/teitok/pdtc10/index.php?action=vallex&amp;frame=v-w10471f3", "podrýt (v-w10471f3)")</f>
        <v>podrýt (v-w10471f3)</v>
      </c>
    </row>
    <row r="26948" customFormat="false" ht="12.8" hidden="false" customHeight="false" outlineLevel="0" collapsed="false">
      <c r="B26948" s="0" t="s">
        <v>7</v>
      </c>
      <c r="C26948" s="0" t="s">
        <v>149</v>
      </c>
      <c r="D26948" s="0" t="s">
        <v>10061</v>
      </c>
      <c r="E26948" s="0" t="s">
        <v>10061</v>
      </c>
      <c r="F26948" s="0" t="s">
        <v>10061</v>
      </c>
    </row>
    <row r="26949" customFormat="false" ht="12.8" hidden="false" customHeight="false" outlineLevel="0" collapsed="false">
      <c r="B26949" s="0" t="s">
        <v>14</v>
      </c>
      <c r="C26949" s="0" t="s">
        <v>625</v>
      </c>
      <c r="D26949" s="0" t="s">
        <v>10062</v>
      </c>
      <c r="E26949" s="0" t="s">
        <v>10062</v>
      </c>
      <c r="F26949" s="0" t="s">
        <v>10062</v>
      </c>
    </row>
    <row r="26951" customFormat="false" ht="12.8" hidden="false" customHeight="false" outlineLevel="0" collapsed="false">
      <c r="A26951" s="0" t="s">
        <v>10063</v>
      </c>
      <c r="B26951" s="0" t="str">
        <f aca="false">HYPERLINK("https://lindat.mff.cuni.cz/services/teitok/pdtc10/index.php?action=vallex&amp;frame=v-w10809f2", "podrývat (v-w10809f2)")</f>
        <v>podrývat (v-w10809f2)</v>
      </c>
    </row>
    <row r="26952" customFormat="false" ht="12.8" hidden="false" customHeight="false" outlineLevel="0" collapsed="false">
      <c r="B26952" s="0" t="s">
        <v>7</v>
      </c>
      <c r="D26952" s="0" t="s">
        <v>10061</v>
      </c>
      <c r="E26952" s="0" t="s">
        <v>10061</v>
      </c>
      <c r="F26952" s="0" t="s">
        <v>10061</v>
      </c>
    </row>
    <row r="26953" customFormat="false" ht="12.8" hidden="false" customHeight="false" outlineLevel="0" collapsed="false">
      <c r="B26953" s="0" t="s">
        <v>14</v>
      </c>
      <c r="D26953" s="0" t="s">
        <v>10062</v>
      </c>
      <c r="E26953" s="0" t="s">
        <v>10062</v>
      </c>
      <c r="F26953" s="0" t="s">
        <v>10062</v>
      </c>
    </row>
    <row r="26955" customFormat="false" ht="12.8" hidden="false" customHeight="false" outlineLevel="0" collapsed="false">
      <c r="A26955" s="0" t="s">
        <v>10064</v>
      </c>
      <c r="B26955" s="0" t="str">
        <f aca="false">HYPERLINK("https://lindat.mff.cuni.cz/services/teitok/pdtc10/index.php?action=vallex&amp;frame=v-w3634f2", "podržet (v-w3634f2)")</f>
        <v>podržet (v-w3634f2)</v>
      </c>
    </row>
    <row r="26956" customFormat="false" ht="12.8" hidden="false" customHeight="false" outlineLevel="0" collapsed="false">
      <c r="B26956" s="0" t="s">
        <v>7</v>
      </c>
      <c r="C26956" s="0" t="s">
        <v>10065</v>
      </c>
      <c r="D26956" s="0" t="s">
        <v>10066</v>
      </c>
      <c r="E26956" s="0" t="s">
        <v>10066</v>
      </c>
      <c r="F26956" s="0" t="s">
        <v>10066</v>
      </c>
    </row>
    <row r="26957" customFormat="false" ht="12.8" hidden="false" customHeight="false" outlineLevel="0" collapsed="false">
      <c r="B26957" s="0" t="s">
        <v>14</v>
      </c>
      <c r="C26957" s="0" t="s">
        <v>10067</v>
      </c>
      <c r="D26957" s="0" t="s">
        <v>10068</v>
      </c>
      <c r="E26957" s="0" t="s">
        <v>10068</v>
      </c>
      <c r="F26957" s="0" t="s">
        <v>10068</v>
      </c>
    </row>
    <row r="26959" customFormat="false" ht="12.8" hidden="false" customHeight="false" outlineLevel="0" collapsed="false">
      <c r="A26959" s="0" t="s">
        <v>10069</v>
      </c>
      <c r="B26959" s="0" t="str">
        <f aca="false">HYPERLINK("https://lindat.mff.cuni.cz/services/teitok/pdtc10/index.php?action=vallex&amp;frame=v-w3634f1", "podržet (v-w3634f1)")</f>
        <v>podržet (v-w3634f1)</v>
      </c>
    </row>
    <row r="26960" customFormat="false" ht="12.8" hidden="false" customHeight="false" outlineLevel="0" collapsed="false">
      <c r="B26960" s="0" t="s">
        <v>7</v>
      </c>
      <c r="C26960" s="0" t="s">
        <v>2557</v>
      </c>
      <c r="D26960" s="0" t="s">
        <v>6786</v>
      </c>
      <c r="E26960" s="0" t="s">
        <v>6786</v>
      </c>
      <c r="F26960" s="0" t="s">
        <v>6786</v>
      </c>
    </row>
    <row r="26961" customFormat="false" ht="12.8" hidden="false" customHeight="false" outlineLevel="0" collapsed="false">
      <c r="B26961" s="0" t="s">
        <v>81</v>
      </c>
      <c r="C26961" s="0" t="s">
        <v>10070</v>
      </c>
      <c r="D26961" s="0" t="s">
        <v>6788</v>
      </c>
      <c r="E26961" s="0" t="s">
        <v>6788</v>
      </c>
      <c r="F26961" s="0" t="s">
        <v>6788</v>
      </c>
    </row>
    <row r="26962" customFormat="false" ht="12.8" hidden="false" customHeight="false" outlineLevel="0" collapsed="false">
      <c r="B26962" s="0" t="s">
        <v>706</v>
      </c>
    </row>
    <row r="26964" customFormat="false" ht="12.8" hidden="false" customHeight="false" outlineLevel="0" collapsed="false">
      <c r="A26964" s="0" t="s">
        <v>10071</v>
      </c>
      <c r="B26964" s="0" t="str">
        <f aca="false">HYPERLINK("https://lindat.mff.cuni.cz/services/teitok/pdtc10/index.php?action=vallex&amp;frame=v-w11097f2", "podsekat (v-w11097f2)")</f>
        <v>podsekat (v-w11097f2)</v>
      </c>
    </row>
    <row r="26965" customFormat="false" ht="12.8" hidden="false" customHeight="false" outlineLevel="0" collapsed="false">
      <c r="B26965" s="0" t="s">
        <v>7</v>
      </c>
      <c r="C26965" s="0" t="s">
        <v>623</v>
      </c>
      <c r="E26965" s="0" t="s">
        <v>9942</v>
      </c>
      <c r="F26965" s="0" t="s">
        <v>9942</v>
      </c>
    </row>
    <row r="26966" customFormat="false" ht="12.8" hidden="false" customHeight="false" outlineLevel="0" collapsed="false">
      <c r="B26966" s="0" t="s">
        <v>14</v>
      </c>
      <c r="C26966" s="0" t="s">
        <v>78</v>
      </c>
      <c r="E26966" s="0" t="s">
        <v>1632</v>
      </c>
      <c r="F26966" s="0" t="s">
        <v>1632</v>
      </c>
    </row>
    <row r="26968" customFormat="false" ht="12.8" hidden="false" customHeight="false" outlineLevel="0" collapsed="false">
      <c r="A26968" s="0" t="s">
        <v>10072</v>
      </c>
      <c r="B26968" s="0" t="str">
        <f aca="false">HYPERLINK("https://lindat.mff.cuni.cz/services/teitok/pdtc10/index.php?action=vallex&amp;frame=v-w3644f1", "podsouvat (v-w3644f1)")</f>
        <v>podsouvat (v-w3644f1)</v>
      </c>
    </row>
    <row r="26969" customFormat="false" ht="12.8" hidden="false" customHeight="false" outlineLevel="0" collapsed="false">
      <c r="B26969" s="0" t="s">
        <v>7</v>
      </c>
      <c r="D26969" s="0" t="s">
        <v>10073</v>
      </c>
      <c r="E26969" s="0" t="s">
        <v>10073</v>
      </c>
      <c r="F26969" s="0" t="s">
        <v>10073</v>
      </c>
    </row>
    <row r="26970" customFormat="false" ht="12.8" hidden="false" customHeight="false" outlineLevel="0" collapsed="false">
      <c r="B26970" s="0" t="s">
        <v>14</v>
      </c>
      <c r="D26970" s="0" t="s">
        <v>10074</v>
      </c>
      <c r="E26970" s="0" t="s">
        <v>10074</v>
      </c>
      <c r="F26970" s="0" t="s">
        <v>10074</v>
      </c>
    </row>
    <row r="26971" customFormat="false" ht="12.8" hidden="false" customHeight="false" outlineLevel="0" collapsed="false">
      <c r="B26971" s="0" t="s">
        <v>48</v>
      </c>
      <c r="D26971" s="0" t="s">
        <v>10075</v>
      </c>
      <c r="E26971" s="0" t="s">
        <v>10075</v>
      </c>
      <c r="F26971" s="0" t="s">
        <v>10075</v>
      </c>
    </row>
    <row r="26973" customFormat="false" ht="12.8" hidden="false" customHeight="false" outlineLevel="0" collapsed="false">
      <c r="A26973" s="0" t="s">
        <v>10076</v>
      </c>
      <c r="B26973" s="0" t="str">
        <f aca="false">HYPERLINK("https://lindat.mff.cuni.cz/services/teitok/pdtc10/index.php?action=vallex&amp;frame=v-w3646f1", "podstoupit (v-w3646f1)")</f>
        <v>podstoupit (v-w3646f1)</v>
      </c>
    </row>
    <row r="26974" customFormat="false" ht="12.8" hidden="false" customHeight="false" outlineLevel="0" collapsed="false">
      <c r="B26974" s="0" t="s">
        <v>7</v>
      </c>
      <c r="C26974" s="0" t="s">
        <v>10077</v>
      </c>
      <c r="D26974" s="0" t="s">
        <v>10078</v>
      </c>
      <c r="E26974" s="0" t="s">
        <v>10078</v>
      </c>
      <c r="F26974" s="0" t="s">
        <v>10078</v>
      </c>
    </row>
    <row r="26975" customFormat="false" ht="12.8" hidden="false" customHeight="false" outlineLevel="0" collapsed="false">
      <c r="B26975" s="0" t="s">
        <v>14</v>
      </c>
      <c r="C26975" s="0" t="s">
        <v>10079</v>
      </c>
      <c r="D26975" s="0" t="s">
        <v>10080</v>
      </c>
      <c r="E26975" s="0" t="s">
        <v>10080</v>
      </c>
      <c r="F26975" s="0" t="s">
        <v>10080</v>
      </c>
    </row>
    <row r="26977" customFormat="false" ht="12.8" hidden="false" customHeight="false" outlineLevel="0" collapsed="false">
      <c r="A26977" s="0" t="s">
        <v>10081</v>
      </c>
      <c r="B26977" s="0" t="str">
        <f aca="false">HYPERLINK("https://lindat.mff.cuni.cz/services/teitok/pdtc10/index.php?action=vallex&amp;frame=v-w3649f1", "podstrojovat (v-w3649f1)")</f>
        <v>podstrojovat (v-w3649f1)</v>
      </c>
    </row>
    <row r="26978" customFormat="false" ht="12.8" hidden="false" customHeight="false" outlineLevel="0" collapsed="false">
      <c r="B26978" s="0" t="s">
        <v>7</v>
      </c>
    </row>
    <row r="26979" customFormat="false" ht="12.8" hidden="false" customHeight="false" outlineLevel="0" collapsed="false">
      <c r="B26979" s="0" t="s">
        <v>142</v>
      </c>
    </row>
    <row r="26981" customFormat="false" ht="12.8" hidden="false" customHeight="false" outlineLevel="0" collapsed="false">
      <c r="A26981" s="0" t="s">
        <v>10082</v>
      </c>
      <c r="B26981" s="0" t="str">
        <f aca="false">HYPERLINK("https://lindat.mff.cuni.cz/services/teitok/pdtc10/index.php?action=vallex&amp;frame=v-w3647f1", "podstrčit (v-w3647f1)")</f>
        <v>podstrčit (v-w3647f1)</v>
      </c>
    </row>
    <row r="26982" customFormat="false" ht="12.8" hidden="false" customHeight="false" outlineLevel="0" collapsed="false">
      <c r="B26982" s="0" t="s">
        <v>7</v>
      </c>
    </row>
    <row r="26983" customFormat="false" ht="12.8" hidden="false" customHeight="false" outlineLevel="0" collapsed="false">
      <c r="B26983" s="0" t="s">
        <v>14</v>
      </c>
    </row>
    <row r="26984" customFormat="false" ht="12.8" hidden="false" customHeight="false" outlineLevel="0" collapsed="false">
      <c r="B26984" s="0" t="s">
        <v>48</v>
      </c>
    </row>
    <row r="26986" customFormat="false" ht="12.8" hidden="false" customHeight="false" outlineLevel="0" collapsed="false">
      <c r="A26986" s="0" t="s">
        <v>10083</v>
      </c>
      <c r="B26986" s="0" t="str">
        <f aca="false">HYPERLINK("https://lindat.mff.cuni.cz/services/teitok/pdtc10/index.php?action=vallex&amp;frame=v-w3650f1", "podstupovat (v-w3650f1)")</f>
        <v>podstupovat (v-w3650f1)</v>
      </c>
    </row>
    <row r="26987" customFormat="false" ht="12.8" hidden="false" customHeight="false" outlineLevel="0" collapsed="false">
      <c r="B26987" s="0" t="s">
        <v>7</v>
      </c>
      <c r="C26987" s="0" t="s">
        <v>10084</v>
      </c>
      <c r="D26987" s="0" t="s">
        <v>10078</v>
      </c>
      <c r="E26987" s="0" t="s">
        <v>10078</v>
      </c>
      <c r="F26987" s="0" t="s">
        <v>10078</v>
      </c>
    </row>
    <row r="26988" customFormat="false" ht="12.8" hidden="false" customHeight="false" outlineLevel="0" collapsed="false">
      <c r="B26988" s="0" t="s">
        <v>14</v>
      </c>
      <c r="C26988" s="0" t="s">
        <v>10085</v>
      </c>
      <c r="D26988" s="0" t="s">
        <v>10080</v>
      </c>
      <c r="E26988" s="0" t="s">
        <v>10080</v>
      </c>
      <c r="F26988" s="0" t="s">
        <v>10080</v>
      </c>
    </row>
    <row r="26990" customFormat="false" ht="12.8" hidden="false" customHeight="false" outlineLevel="0" collapsed="false">
      <c r="A26990" s="0" t="s">
        <v>10086</v>
      </c>
      <c r="B26990" s="0" t="str">
        <f aca="false">HYPERLINK("https://lindat.mff.cuni.cz/services/teitok/pdtc10/index.php?action=vallex&amp;frame=v-w3651f1", "podtrhnout (v-w3651f1)")</f>
        <v>podtrhnout (v-w3651f1)</v>
      </c>
    </row>
    <row r="26991" customFormat="false" ht="12.8" hidden="false" customHeight="false" outlineLevel="0" collapsed="false">
      <c r="B26991" s="0" t="s">
        <v>7</v>
      </c>
      <c r="C26991" s="0" t="s">
        <v>1874</v>
      </c>
      <c r="D26991" s="0" t="s">
        <v>4677</v>
      </c>
      <c r="E26991" s="0" t="s">
        <v>4677</v>
      </c>
      <c r="F26991" s="0" t="s">
        <v>4677</v>
      </c>
    </row>
    <row r="26992" customFormat="false" ht="12.8" hidden="false" customHeight="false" outlineLevel="0" collapsed="false">
      <c r="B26992" s="0" t="s">
        <v>10087</v>
      </c>
      <c r="C26992" s="0" t="s">
        <v>151</v>
      </c>
      <c r="D26992" s="0" t="s">
        <v>10088</v>
      </c>
      <c r="E26992" s="0" t="s">
        <v>10088</v>
      </c>
      <c r="F26992" s="0" t="s">
        <v>10088</v>
      </c>
    </row>
    <row r="26994" customFormat="false" ht="12.8" hidden="false" customHeight="false" outlineLevel="0" collapsed="false">
      <c r="A26994" s="0" t="s">
        <v>10089</v>
      </c>
      <c r="B26994" s="0" t="str">
        <f aca="false">HYPERLINK("https://lindat.mff.cuni.cz/services/teitok/pdtc10/index.php?action=vallex&amp;frame=v-w3651f2", "podtrhnout (v-w3651f2)")</f>
        <v>podtrhnout (v-w3651f2)</v>
      </c>
    </row>
    <row r="26995" customFormat="false" ht="12.8" hidden="false" customHeight="false" outlineLevel="0" collapsed="false">
      <c r="B26995" s="0" t="s">
        <v>7</v>
      </c>
    </row>
    <row r="26996" customFormat="false" ht="12.8" hidden="false" customHeight="false" outlineLevel="0" collapsed="false">
      <c r="B26996" s="0" t="s">
        <v>54</v>
      </c>
    </row>
    <row r="26998" customFormat="false" ht="12.8" hidden="false" customHeight="false" outlineLevel="0" collapsed="false">
      <c r="A26998" s="0" t="s">
        <v>10090</v>
      </c>
      <c r="B26998" s="0" t="str">
        <f aca="false">HYPERLINK("https://lindat.mff.cuni.cz/services/teitok/pdtc10/index.php?action=vallex&amp;frame=v-w3652f1", "podtrhovat (v-w3652f1)")</f>
        <v>podtrhovat (v-w3652f1)</v>
      </c>
    </row>
    <row r="26999" customFormat="false" ht="12.8" hidden="false" customHeight="false" outlineLevel="0" collapsed="false">
      <c r="B26999" s="0" t="s">
        <v>7</v>
      </c>
      <c r="C26999" s="0" t="s">
        <v>2170</v>
      </c>
      <c r="D26999" s="0" t="s">
        <v>4677</v>
      </c>
      <c r="E26999" s="0" t="s">
        <v>4677</v>
      </c>
      <c r="F26999" s="0" t="s">
        <v>4677</v>
      </c>
    </row>
    <row r="27000" customFormat="false" ht="12.8" hidden="false" customHeight="false" outlineLevel="0" collapsed="false">
      <c r="B27000" s="0" t="s">
        <v>54</v>
      </c>
      <c r="C27000" s="0" t="s">
        <v>10091</v>
      </c>
      <c r="D27000" s="0" t="s">
        <v>10088</v>
      </c>
      <c r="E27000" s="0" t="s">
        <v>10088</v>
      </c>
      <c r="F27000" s="0" t="s">
        <v>10088</v>
      </c>
    </row>
    <row r="27002" customFormat="false" ht="12.8" hidden="false" customHeight="false" outlineLevel="0" collapsed="false">
      <c r="A27002" s="0" t="s">
        <v>10092</v>
      </c>
      <c r="B27002" s="0" t="str">
        <f aca="false">HYPERLINK("https://lindat.mff.cuni.cz/services/teitok/pdtc10/index.php?action=vallex&amp;frame=v-whsa_939hsa_940", "podtrhávat (v-whsa_939hsa_940)")</f>
        <v>podtrhávat (v-whsa_939hsa_940)</v>
      </c>
    </row>
    <row r="27003" customFormat="false" ht="12.8" hidden="false" customHeight="false" outlineLevel="0" collapsed="false">
      <c r="B27003" s="0" t="s">
        <v>7</v>
      </c>
      <c r="D27003" s="0" t="s">
        <v>4677</v>
      </c>
      <c r="E27003" s="0" t="s">
        <v>4677</v>
      </c>
      <c r="F27003" s="0" t="s">
        <v>4677</v>
      </c>
    </row>
    <row r="27004" customFormat="false" ht="12.8" hidden="false" customHeight="false" outlineLevel="0" collapsed="false">
      <c r="B27004" s="0" t="s">
        <v>14</v>
      </c>
      <c r="C27004" s="0" t="s">
        <v>155</v>
      </c>
      <c r="D27004" s="0" t="s">
        <v>10088</v>
      </c>
      <c r="E27004" s="0" t="s">
        <v>10088</v>
      </c>
      <c r="F27004" s="0" t="s">
        <v>10088</v>
      </c>
    </row>
    <row r="27006" customFormat="false" ht="12.8" hidden="false" customHeight="false" outlineLevel="0" collapsed="false">
      <c r="A27006" s="0" t="s">
        <v>10093</v>
      </c>
      <c r="B27006" s="0" t="str">
        <f aca="false">HYPERLINK("https://lindat.mff.cuni.cz/services/teitok/pdtc10/index.php?action=vallex&amp;frame=v-whsa_939f1_MM", "podtrhávat (v-whsa_939f1_MM)")</f>
        <v>podtrhávat (v-whsa_939f1_MM)</v>
      </c>
    </row>
    <row r="27007" customFormat="false" ht="12.8" hidden="false" customHeight="false" outlineLevel="0" collapsed="false">
      <c r="B27007" s="0" t="s">
        <v>7</v>
      </c>
    </row>
    <row r="27008" customFormat="false" ht="12.8" hidden="false" customHeight="false" outlineLevel="0" collapsed="false">
      <c r="B27008" s="0" t="s">
        <v>14</v>
      </c>
    </row>
    <row r="27010" customFormat="false" ht="12.8" hidden="false" customHeight="false" outlineLevel="0" collapsed="false">
      <c r="A27010" s="0" t="s">
        <v>10094</v>
      </c>
      <c r="B27010" s="0" t="str">
        <f aca="false">HYPERLINK("https://lindat.mff.cuni.cz/services/teitok/pdtc10/index.php?action=vallex&amp;frame=v-w3654f1", "podupávat (v-w3654f1)")</f>
        <v>podupávat (v-w3654f1)</v>
      </c>
    </row>
    <row r="27011" customFormat="false" ht="12.8" hidden="false" customHeight="false" outlineLevel="0" collapsed="false">
      <c r="B27011" s="0" t="s">
        <v>7</v>
      </c>
    </row>
    <row r="27013" customFormat="false" ht="12.8" hidden="false" customHeight="false" outlineLevel="0" collapsed="false">
      <c r="A27013" s="0" t="s">
        <v>10095</v>
      </c>
      <c r="B27013" s="0" t="str">
        <f aca="false">HYPERLINK("https://lindat.mff.cuni.cz/services/teitok/pdtc10/index.php?action=vallex&amp;frame=v-w12047_ZUf1_ZU", "podupávat si (v-w12047_ZUf1_ZU)")</f>
        <v>podupávat si (v-w12047_ZUf1_ZU)</v>
      </c>
    </row>
    <row r="27014" customFormat="false" ht="12.8" hidden="false" customHeight="false" outlineLevel="0" collapsed="false">
      <c r="B27014" s="0" t="s">
        <v>7</v>
      </c>
    </row>
    <row r="27016" customFormat="false" ht="12.8" hidden="false" customHeight="false" outlineLevel="0" collapsed="false">
      <c r="A27016" s="0" t="s">
        <v>10096</v>
      </c>
      <c r="B27016" s="0" t="str">
        <f aca="false">HYPERLINK("https://lindat.mff.cuni.cz/services/teitok/pdtc10/index.php?action=vallex&amp;frame=v-w3656f1", "podvazovat (v-w3656f1)")</f>
        <v>podvazovat (v-w3656f1)</v>
      </c>
    </row>
    <row r="27017" customFormat="false" ht="12.8" hidden="false" customHeight="false" outlineLevel="0" collapsed="false">
      <c r="B27017" s="0" t="s">
        <v>7</v>
      </c>
    </row>
    <row r="27018" customFormat="false" ht="12.8" hidden="false" customHeight="false" outlineLevel="0" collapsed="false">
      <c r="B27018" s="0" t="s">
        <v>14</v>
      </c>
    </row>
    <row r="27020" customFormat="false" ht="12.8" hidden="false" customHeight="false" outlineLevel="0" collapsed="false">
      <c r="A27020" s="0" t="s">
        <v>10097</v>
      </c>
      <c r="B27020" s="0" t="str">
        <f aca="false">HYPERLINK("https://lindat.mff.cuni.cz/services/teitok/pdtc10/index.php?action=vallex&amp;frame=v-w3658f1", "podvolit se (v-w3658f1)")</f>
        <v>podvolit se (v-w3658f1)</v>
      </c>
    </row>
    <row r="27021" customFormat="false" ht="12.8" hidden="false" customHeight="false" outlineLevel="0" collapsed="false">
      <c r="B27021" s="0" t="s">
        <v>7</v>
      </c>
      <c r="C27021" s="0" t="s">
        <v>113</v>
      </c>
      <c r="D27021" s="0" t="s">
        <v>4567</v>
      </c>
      <c r="E27021" s="0" t="s">
        <v>4567</v>
      </c>
      <c r="F27021" s="0" t="s">
        <v>4568</v>
      </c>
    </row>
    <row r="27022" customFormat="false" ht="12.8" hidden="false" customHeight="false" outlineLevel="0" collapsed="false">
      <c r="B27022" s="0" t="s">
        <v>142</v>
      </c>
      <c r="C27022" s="0" t="s">
        <v>1170</v>
      </c>
      <c r="D27022" s="0" t="s">
        <v>4569</v>
      </c>
      <c r="E27022" s="0" t="s">
        <v>4569</v>
      </c>
      <c r="F27022" s="0" t="s">
        <v>4570</v>
      </c>
    </row>
    <row r="27024" customFormat="false" ht="12.8" hidden="false" customHeight="false" outlineLevel="0" collapsed="false">
      <c r="A27024" s="0" t="s">
        <v>10098</v>
      </c>
      <c r="B27024" s="0" t="str">
        <f aca="false">HYPERLINK("https://lindat.mff.cuni.cz/services/teitok/pdtc10/index.php?action=vallex&amp;frame=v-w3659f1", "podvolovat se (v-w3659f1)")</f>
        <v>podvolovat se (v-w3659f1)</v>
      </c>
    </row>
    <row r="27025" customFormat="false" ht="12.8" hidden="false" customHeight="false" outlineLevel="0" collapsed="false">
      <c r="B27025" s="0" t="s">
        <v>7</v>
      </c>
      <c r="C27025" s="0" t="s">
        <v>335</v>
      </c>
      <c r="D27025" s="0" t="s">
        <v>4567</v>
      </c>
      <c r="E27025" s="0" t="s">
        <v>4567</v>
      </c>
      <c r="F27025" s="0" t="s">
        <v>4568</v>
      </c>
    </row>
    <row r="27026" customFormat="false" ht="12.8" hidden="false" customHeight="false" outlineLevel="0" collapsed="false">
      <c r="B27026" s="0" t="s">
        <v>142</v>
      </c>
      <c r="C27026" s="0" t="s">
        <v>33</v>
      </c>
      <c r="D27026" s="0" t="s">
        <v>4569</v>
      </c>
      <c r="E27026" s="0" t="s">
        <v>4569</v>
      </c>
      <c r="F27026" s="0" t="s">
        <v>4570</v>
      </c>
    </row>
    <row r="27028" customFormat="false" ht="12.8" hidden="false" customHeight="false" outlineLevel="0" collapsed="false">
      <c r="A27028" s="0" t="s">
        <v>10099</v>
      </c>
      <c r="B27028" s="0" t="str">
        <f aca="false">HYPERLINK("https://lindat.mff.cuni.cz/services/teitok/pdtc10/index.php?action=vallex&amp;frame=v-w3660f1", "podvrhnout (v-w3660f1)")</f>
        <v>podvrhnout (v-w3660f1)</v>
      </c>
    </row>
    <row r="27029" customFormat="false" ht="12.8" hidden="false" customHeight="false" outlineLevel="0" collapsed="false">
      <c r="B27029" s="0" t="s">
        <v>7</v>
      </c>
    </row>
    <row r="27030" customFormat="false" ht="12.8" hidden="false" customHeight="false" outlineLevel="0" collapsed="false">
      <c r="B27030" s="0" t="s">
        <v>14</v>
      </c>
    </row>
    <row r="27032" customFormat="false" ht="12.8" hidden="false" customHeight="false" outlineLevel="0" collapsed="false">
      <c r="A27032" s="0" t="s">
        <v>10100</v>
      </c>
      <c r="B27032" s="0" t="str">
        <f aca="false">HYPERLINK("https://lindat.mff.cuni.cz/services/teitok/pdtc10/index.php?action=vallex&amp;frame=v-w3660f2", "podvrhnout (v-w3660f2)")</f>
        <v>podvrhnout (v-w3660f2)</v>
      </c>
    </row>
    <row r="27033" customFormat="false" ht="12.8" hidden="false" customHeight="false" outlineLevel="0" collapsed="false">
      <c r="B27033" s="0" t="s">
        <v>7</v>
      </c>
    </row>
    <row r="27034" customFormat="false" ht="12.8" hidden="false" customHeight="false" outlineLevel="0" collapsed="false">
      <c r="B27034" s="0" t="s">
        <v>14</v>
      </c>
    </row>
    <row r="27036" customFormat="false" ht="12.8" hidden="false" customHeight="false" outlineLevel="0" collapsed="false">
      <c r="A27036" s="0" t="s">
        <v>10101</v>
      </c>
      <c r="B27036" s="0" t="str">
        <f aca="false">HYPERLINK("https://lindat.mff.cuni.cz/services/teitok/pdtc10/index.php?action=vallex&amp;frame=v-w10784f2", "podvádět (v-w10784f2)")</f>
        <v>podvádět (v-w10784f2)</v>
      </c>
    </row>
    <row r="27037" customFormat="false" ht="12.8" hidden="false" customHeight="false" outlineLevel="0" collapsed="false">
      <c r="B27037" s="0" t="s">
        <v>7</v>
      </c>
      <c r="C27037" s="0" t="s">
        <v>335</v>
      </c>
      <c r="D27037" s="0" t="s">
        <v>191</v>
      </c>
      <c r="E27037" s="0" t="s">
        <v>46</v>
      </c>
      <c r="F27037" s="0" t="s">
        <v>46</v>
      </c>
    </row>
    <row r="27038" customFormat="false" ht="12.8" hidden="false" customHeight="false" outlineLevel="0" collapsed="false">
      <c r="B27038" s="0" t="s">
        <v>14</v>
      </c>
      <c r="C27038" s="0" t="s">
        <v>8609</v>
      </c>
      <c r="D27038" s="0" t="s">
        <v>1588</v>
      </c>
      <c r="E27038" s="0" t="s">
        <v>1588</v>
      </c>
      <c r="F27038" s="0" t="s">
        <v>1588</v>
      </c>
    </row>
    <row r="27040" customFormat="false" ht="12.8" hidden="false" customHeight="false" outlineLevel="0" collapsed="false">
      <c r="A27040" s="0" t="s">
        <v>10102</v>
      </c>
      <c r="B27040" s="0" t="str">
        <f aca="false">HYPERLINK("https://lindat.mff.cuni.cz/services/teitok/pdtc10/index.php?action=vallex&amp;frame=v-w11896_ZUf1_ZU", "podvázat (v-w11896_ZUf1_ZU)")</f>
        <v>podvázat (v-w11896_ZUf1_ZU)</v>
      </c>
    </row>
    <row r="27041" customFormat="false" ht="12.8" hidden="false" customHeight="false" outlineLevel="0" collapsed="false">
      <c r="B27041" s="0" t="s">
        <v>7</v>
      </c>
    </row>
    <row r="27042" customFormat="false" ht="12.8" hidden="false" customHeight="false" outlineLevel="0" collapsed="false">
      <c r="B27042" s="0" t="s">
        <v>14</v>
      </c>
    </row>
    <row r="27044" customFormat="false" ht="12.8" hidden="false" customHeight="false" outlineLevel="0" collapsed="false">
      <c r="A27044" s="0" t="s">
        <v>10103</v>
      </c>
      <c r="B27044" s="0" t="str">
        <f aca="false">HYPERLINK("https://lindat.mff.cuni.cz/services/teitok/pdtc10/index.php?action=vallex&amp;frame=v-w3657f1", "podvést (v-w3657f1)")</f>
        <v>podvést (v-w3657f1)</v>
      </c>
    </row>
    <row r="27045" customFormat="false" ht="12.8" hidden="false" customHeight="false" outlineLevel="0" collapsed="false">
      <c r="B27045" s="0" t="s">
        <v>7</v>
      </c>
      <c r="C27045" s="0" t="s">
        <v>46</v>
      </c>
      <c r="D27045" s="0" t="s">
        <v>191</v>
      </c>
      <c r="E27045" s="0" t="s">
        <v>46</v>
      </c>
      <c r="F27045" s="0" t="s">
        <v>46</v>
      </c>
    </row>
    <row r="27046" customFormat="false" ht="12.8" hidden="false" customHeight="false" outlineLevel="0" collapsed="false">
      <c r="B27046" s="0" t="s">
        <v>14</v>
      </c>
      <c r="C27046" s="0" t="s">
        <v>10104</v>
      </c>
      <c r="D27046" s="0" t="s">
        <v>1588</v>
      </c>
      <c r="E27046" s="0" t="s">
        <v>1588</v>
      </c>
      <c r="F27046" s="0" t="s">
        <v>1588</v>
      </c>
    </row>
    <row r="27048" customFormat="false" ht="12.8" hidden="false" customHeight="false" outlineLevel="0" collapsed="false">
      <c r="A27048" s="0" t="s">
        <v>10105</v>
      </c>
      <c r="B27048" s="0" t="str">
        <f aca="false">HYPERLINK("https://lindat.mff.cuni.cz/services/teitok/pdtc10/index.php?action=vallex&amp;frame=v-w3657hsa_1611", "podvést (v-w3657hsa_1611)")</f>
        <v>podvést (v-w3657hsa_1611)</v>
      </c>
    </row>
    <row r="27049" customFormat="false" ht="12.8" hidden="false" customHeight="false" outlineLevel="0" collapsed="false">
      <c r="B27049" s="0" t="s">
        <v>7</v>
      </c>
    </row>
    <row r="27050" customFormat="false" ht="12.8" hidden="false" customHeight="false" outlineLevel="0" collapsed="false">
      <c r="B27050" s="0" t="s">
        <v>14</v>
      </c>
    </row>
    <row r="27051" customFormat="false" ht="12.8" hidden="false" customHeight="false" outlineLevel="0" collapsed="false">
      <c r="B27051" s="0" t="s">
        <v>2767</v>
      </c>
    </row>
    <row r="27053" customFormat="false" ht="12.8" hidden="false" customHeight="false" outlineLevel="0" collapsed="false">
      <c r="A27053" s="0" t="s">
        <v>10106</v>
      </c>
      <c r="B27053" s="0" t="str">
        <f aca="false">HYPERLINK("https://lindat.mff.cuni.cz/services/teitok/pdtc10/index.php?action=vallex&amp;frame=v-w3546f7", "podávat (v-w3546f7)")</f>
        <v>podávat (v-w3546f7)</v>
      </c>
    </row>
    <row r="27054" customFormat="false" ht="12.8" hidden="false" customHeight="false" outlineLevel="0" collapsed="false">
      <c r="B27054" s="0" t="s">
        <v>7</v>
      </c>
      <c r="C27054" s="0" t="s">
        <v>113</v>
      </c>
      <c r="D27054" s="0" t="s">
        <v>504</v>
      </c>
      <c r="E27054" s="0" t="s">
        <v>504</v>
      </c>
      <c r="F27054" s="0" t="s">
        <v>504</v>
      </c>
    </row>
    <row r="27055" customFormat="false" ht="12.8" hidden="false" customHeight="false" outlineLevel="0" collapsed="false">
      <c r="B27055" s="0" t="s">
        <v>367</v>
      </c>
      <c r="C27055" s="0" t="s">
        <v>1146</v>
      </c>
      <c r="D27055" s="0" t="s">
        <v>466</v>
      </c>
      <c r="E27055" s="0" t="s">
        <v>466</v>
      </c>
      <c r="F27055" s="0" t="s">
        <v>466</v>
      </c>
    </row>
    <row r="27056" customFormat="false" ht="12.8" hidden="false" customHeight="false" outlineLevel="0" collapsed="false">
      <c r="B27056" s="0" t="s">
        <v>48</v>
      </c>
      <c r="D27056" s="0" t="s">
        <v>9849</v>
      </c>
      <c r="E27056" s="0" t="s">
        <v>9849</v>
      </c>
      <c r="F27056" s="0" t="s">
        <v>9849</v>
      </c>
    </row>
    <row r="27058" customFormat="false" ht="12.8" hidden="false" customHeight="false" outlineLevel="0" collapsed="false">
      <c r="A27058" s="0" t="s">
        <v>10107</v>
      </c>
      <c r="B27058" s="0" t="str">
        <f aca="false">HYPERLINK("https://lindat.mff.cuni.cz/services/teitok/pdtc10/index.php?action=vallex&amp;frame=v-w3546f18_ZU", "podávat (v-w3546f18_ZU)")</f>
        <v>podávat (v-w3546f18_ZU)</v>
      </c>
    </row>
    <row r="27059" customFormat="false" ht="12.8" hidden="false" customHeight="false" outlineLevel="0" collapsed="false">
      <c r="B27059" s="0" t="s">
        <v>7</v>
      </c>
    </row>
    <row r="27060" customFormat="false" ht="12.8" hidden="false" customHeight="false" outlineLevel="0" collapsed="false">
      <c r="B27060" s="0" t="s">
        <v>14</v>
      </c>
    </row>
    <row r="27061" customFormat="false" ht="12.8" hidden="false" customHeight="false" outlineLevel="0" collapsed="false">
      <c r="B27061" s="0" t="s">
        <v>48</v>
      </c>
    </row>
    <row r="27063" customFormat="false" ht="12.8" hidden="false" customHeight="false" outlineLevel="0" collapsed="false">
      <c r="A27063" s="0" t="s">
        <v>10107</v>
      </c>
      <c r="B27063" s="0" t="str">
        <f aca="false">HYPERLINK("https://lindat.mff.cuni.cz/services/teitok/pdtc10/index.php?action=vallex&amp;frame=v-w3546f2", "podávat (v-w3546f2) - substituted with v-w3546f18_ZU")</f>
        <v>podávat (v-w3546f2) - substituted with v-w3546f18_ZU</v>
      </c>
    </row>
    <row r="27064" customFormat="false" ht="12.8" hidden="false" customHeight="false" outlineLevel="0" collapsed="false">
      <c r="B27064" s="0" t="s">
        <v>7</v>
      </c>
      <c r="C27064" s="0" t="s">
        <v>10108</v>
      </c>
      <c r="D27064" s="0" t="s">
        <v>3235</v>
      </c>
      <c r="E27064" s="0" t="s">
        <v>3235</v>
      </c>
      <c r="F27064" s="0" t="s">
        <v>3235</v>
      </c>
    </row>
    <row r="27065" customFormat="false" ht="12.8" hidden="false" customHeight="false" outlineLevel="0" collapsed="false">
      <c r="B27065" s="0" t="s">
        <v>14</v>
      </c>
      <c r="C27065" s="0" t="s">
        <v>3615</v>
      </c>
      <c r="D27065" s="0" t="s">
        <v>3237</v>
      </c>
      <c r="E27065" s="0" t="s">
        <v>3237</v>
      </c>
      <c r="F27065" s="0" t="s">
        <v>3237</v>
      </c>
    </row>
    <row r="27066" customFormat="false" ht="12.8" hidden="false" customHeight="false" outlineLevel="0" collapsed="false">
      <c r="B27066" s="0" t="s">
        <v>48</v>
      </c>
      <c r="D27066" s="0" t="s">
        <v>3238</v>
      </c>
      <c r="E27066" s="0" t="s">
        <v>3238</v>
      </c>
      <c r="F27066" s="0" t="s">
        <v>3238</v>
      </c>
    </row>
    <row r="27068" customFormat="false" ht="12.8" hidden="false" customHeight="false" outlineLevel="0" collapsed="false">
      <c r="A27068" s="0" t="s">
        <v>10109</v>
      </c>
      <c r="B27068" s="0" t="str">
        <f aca="false">HYPERLINK("https://lindat.mff.cuni.cz/services/teitok/pdtc10/index.php?action=vallex&amp;frame=v-w3546f3", "podávat (v-w3546f3)")</f>
        <v>podávat (v-w3546f3)</v>
      </c>
    </row>
    <row r="27069" customFormat="false" ht="12.8" hidden="false" customHeight="false" outlineLevel="0" collapsed="false">
      <c r="B27069" s="0" t="s">
        <v>7</v>
      </c>
      <c r="C27069" s="0" t="s">
        <v>3610</v>
      </c>
    </row>
    <row r="27070" customFormat="false" ht="12.8" hidden="false" customHeight="false" outlineLevel="0" collapsed="false">
      <c r="B27070" s="0" t="s">
        <v>14</v>
      </c>
      <c r="C27070" s="0" t="s">
        <v>6202</v>
      </c>
    </row>
    <row r="27071" customFormat="false" ht="12.8" hidden="false" customHeight="false" outlineLevel="0" collapsed="false">
      <c r="B27071" s="0" t="s">
        <v>48</v>
      </c>
    </row>
    <row r="27073" customFormat="false" ht="12.8" hidden="false" customHeight="false" outlineLevel="0" collapsed="false">
      <c r="A27073" s="0" t="s">
        <v>10110</v>
      </c>
      <c r="B27073" s="0" t="str">
        <f aca="false">HYPERLINK("https://lindat.mff.cuni.cz/services/teitok/pdtc10/index.php?action=vallex&amp;frame=v-w3546f11", "podávat (v-w3546f11)")</f>
        <v>podávat (v-w3546f11)</v>
      </c>
    </row>
    <row r="27074" customFormat="false" ht="12.8" hidden="false" customHeight="false" outlineLevel="0" collapsed="false">
      <c r="B27074" s="0" t="s">
        <v>7</v>
      </c>
      <c r="C27074" s="0" t="s">
        <v>3610</v>
      </c>
    </row>
    <row r="27075" customFormat="false" ht="12.8" hidden="false" customHeight="false" outlineLevel="0" collapsed="false">
      <c r="B27075" s="0" t="s">
        <v>14</v>
      </c>
      <c r="C27075" s="0" t="s">
        <v>6202</v>
      </c>
    </row>
    <row r="27076" customFormat="false" ht="12.8" hidden="false" customHeight="false" outlineLevel="0" collapsed="false">
      <c r="B27076" s="0" t="s">
        <v>11</v>
      </c>
    </row>
    <row r="27078" customFormat="false" ht="12.8" hidden="false" customHeight="false" outlineLevel="0" collapsed="false">
      <c r="A27078" s="0" t="s">
        <v>10111</v>
      </c>
      <c r="B27078" s="0" t="str">
        <f aca="false">HYPERLINK("https://lindat.mff.cuni.cz/services/teitok/pdtc10/index.php?action=vallex&amp;frame=v-w3546f4", "podávat (v-w3546f4)")</f>
        <v>podávat (v-w3546f4)</v>
      </c>
    </row>
    <row r="27079" customFormat="false" ht="12.8" hidden="false" customHeight="false" outlineLevel="0" collapsed="false">
      <c r="B27079" s="0" t="s">
        <v>7</v>
      </c>
    </row>
    <row r="27080" customFormat="false" ht="12.8" hidden="false" customHeight="false" outlineLevel="0" collapsed="false">
      <c r="B27080" s="0" t="s">
        <v>14</v>
      </c>
    </row>
    <row r="27081" customFormat="false" ht="12.8" hidden="false" customHeight="false" outlineLevel="0" collapsed="false">
      <c r="B27081" s="0" t="s">
        <v>124</v>
      </c>
    </row>
    <row r="27083" customFormat="false" ht="12.8" hidden="false" customHeight="false" outlineLevel="0" collapsed="false">
      <c r="A27083" s="0" t="s">
        <v>10112</v>
      </c>
      <c r="B27083" s="0" t="str">
        <f aca="false">HYPERLINK("https://lindat.mff.cuni.cz/services/teitok/pdtc10/index.php?action=vallex&amp;frame=v-w3546f9", "podávat (v-w3546f9)")</f>
        <v>podávat (v-w3546f9)</v>
      </c>
    </row>
    <row r="27084" customFormat="false" ht="12.8" hidden="false" customHeight="false" outlineLevel="0" collapsed="false">
      <c r="B27084" s="0" t="s">
        <v>7</v>
      </c>
    </row>
    <row r="27085" customFormat="false" ht="12.8" hidden="false" customHeight="false" outlineLevel="0" collapsed="false">
      <c r="B27085" s="0" t="s">
        <v>14</v>
      </c>
    </row>
    <row r="27087" customFormat="false" ht="12.8" hidden="false" customHeight="false" outlineLevel="0" collapsed="false">
      <c r="A27087" s="0" t="s">
        <v>10113</v>
      </c>
      <c r="B27087" s="0" t="str">
        <f aca="false">HYPERLINK("https://lindat.mff.cuni.cz/services/teitok/pdtc10/index.php?action=vallex&amp;frame=v-w3546f6", "podávat (v-w3546f6)")</f>
        <v>podávat (v-w3546f6)</v>
      </c>
    </row>
    <row r="27088" customFormat="false" ht="12.8" hidden="false" customHeight="false" outlineLevel="0" collapsed="false">
      <c r="B27088" s="0" t="s">
        <v>7</v>
      </c>
    </row>
    <row r="27090" customFormat="false" ht="12.8" hidden="false" customHeight="false" outlineLevel="0" collapsed="false">
      <c r="A27090" s="0" t="s">
        <v>10114</v>
      </c>
      <c r="B27090" s="0" t="str">
        <f aca="false">HYPERLINK("https://lindat.mff.cuni.cz/services/teitok/pdtc10/index.php?action=vallex&amp;frame=v-w3546f15_ZU", "podávat (v-w3546f15_ZU)")</f>
        <v>podávat (v-w3546f15_ZU)</v>
      </c>
    </row>
    <row r="27091" customFormat="false" ht="12.8" hidden="false" customHeight="false" outlineLevel="0" collapsed="false">
      <c r="B27091" s="0" t="s">
        <v>7</v>
      </c>
      <c r="D27091" s="0" t="s">
        <v>10115</v>
      </c>
      <c r="E27091" s="0" t="s">
        <v>10115</v>
      </c>
      <c r="F27091" s="0" t="s">
        <v>10115</v>
      </c>
    </row>
    <row r="27092" customFormat="false" ht="12.8" hidden="false" customHeight="false" outlineLevel="0" collapsed="false">
      <c r="B27092" s="0" t="s">
        <v>10116</v>
      </c>
      <c r="D27092" s="0" t="s">
        <v>10117</v>
      </c>
      <c r="E27092" s="0" t="s">
        <v>10117</v>
      </c>
      <c r="F27092" s="0" t="s">
        <v>10117</v>
      </c>
    </row>
    <row r="27093" customFormat="false" ht="12.8" hidden="false" customHeight="false" outlineLevel="0" collapsed="false">
      <c r="B27093" s="0" t="s">
        <v>48</v>
      </c>
      <c r="D27093" s="0" t="s">
        <v>10118</v>
      </c>
      <c r="E27093" s="0" t="s">
        <v>10118</v>
      </c>
      <c r="F27093" s="0" t="s">
        <v>10118</v>
      </c>
    </row>
    <row r="27095" customFormat="false" ht="12.8" hidden="false" customHeight="false" outlineLevel="0" collapsed="false">
      <c r="A27095" s="0" t="s">
        <v>10114</v>
      </c>
      <c r="B27095" s="0" t="str">
        <f aca="false">HYPERLINK("https://lindat.mff.cuni.cz/services/teitok/pdtc10/index.php?action=vallex&amp;frame=v-w3546f1", "podávat (v-w3546f1) - substituted with v-w3546f15_ZU")</f>
        <v>podávat (v-w3546f1) - substituted with v-w3546f15_ZU</v>
      </c>
    </row>
    <row r="27096" customFormat="false" ht="12.8" hidden="false" customHeight="false" outlineLevel="0" collapsed="false">
      <c r="B27096" s="0" t="s">
        <v>7</v>
      </c>
      <c r="C27096" s="0" t="s">
        <v>10119</v>
      </c>
    </row>
    <row r="27097" customFormat="false" ht="12.8" hidden="false" customHeight="false" outlineLevel="0" collapsed="false">
      <c r="B27097" s="0" t="s">
        <v>10116</v>
      </c>
      <c r="C27097" s="0" t="s">
        <v>10120</v>
      </c>
    </row>
    <row r="27098" customFormat="false" ht="12.8" hidden="false" customHeight="false" outlineLevel="0" collapsed="false">
      <c r="B27098" s="0" t="s">
        <v>48</v>
      </c>
      <c r="C27098" s="0" t="s">
        <v>10121</v>
      </c>
    </row>
    <row r="27100" customFormat="false" ht="12.8" hidden="false" customHeight="false" outlineLevel="0" collapsed="false">
      <c r="A27100" s="0" t="s">
        <v>10114</v>
      </c>
      <c r="B27100" s="0" t="str">
        <f aca="false">HYPERLINK("https://lindat.mff.cuni.cz/services/teitok/pdtc10/index.php?action=vallex&amp;frame=v-w3546f12_ZU", "podávat (v-w3546f12_ZU) - substituted with v-w3546f15_ZU")</f>
        <v>podávat (v-w3546f12_ZU) - substituted with v-w3546f15_ZU</v>
      </c>
    </row>
    <row r="27101" customFormat="false" ht="12.8" hidden="false" customHeight="false" outlineLevel="0" collapsed="false">
      <c r="B27101" s="0" t="s">
        <v>7</v>
      </c>
    </row>
    <row r="27102" customFormat="false" ht="12.8" hidden="false" customHeight="false" outlineLevel="0" collapsed="false">
      <c r="B27102" s="0" t="s">
        <v>10116</v>
      </c>
    </row>
    <row r="27103" customFormat="false" ht="12.8" hidden="false" customHeight="false" outlineLevel="0" collapsed="false">
      <c r="B27103" s="0" t="s">
        <v>48</v>
      </c>
    </row>
    <row r="27105" customFormat="false" ht="12.8" hidden="false" customHeight="false" outlineLevel="0" collapsed="false">
      <c r="A27105" s="0" t="s">
        <v>10114</v>
      </c>
      <c r="B27105" s="0" t="str">
        <f aca="false">HYPERLINK("https://lindat.mff.cuni.cz/services/teitok/pdtc10/index.php?action=vallex&amp;frame=v-w3546f13_ZU", "podávat (v-w3546f13_ZU) - substituted with v-w3546f15_ZU")</f>
        <v>podávat (v-w3546f13_ZU) - substituted with v-w3546f15_ZU</v>
      </c>
    </row>
    <row r="27106" customFormat="false" ht="12.8" hidden="false" customHeight="false" outlineLevel="0" collapsed="false">
      <c r="B27106" s="0" t="s">
        <v>7</v>
      </c>
      <c r="C27106" s="0" t="s">
        <v>10122</v>
      </c>
    </row>
    <row r="27107" customFormat="false" ht="12.8" hidden="false" customHeight="false" outlineLevel="0" collapsed="false">
      <c r="B27107" s="0" t="s">
        <v>10116</v>
      </c>
      <c r="C27107" s="0" t="s">
        <v>10123</v>
      </c>
    </row>
    <row r="27108" customFormat="false" ht="12.8" hidden="false" customHeight="false" outlineLevel="0" collapsed="false">
      <c r="B27108" s="0" t="s">
        <v>48</v>
      </c>
      <c r="C27108" s="0" t="s">
        <v>10124</v>
      </c>
    </row>
    <row r="27110" customFormat="false" ht="12.8" hidden="false" customHeight="false" outlineLevel="0" collapsed="false">
      <c r="A27110" s="0" t="s">
        <v>10114</v>
      </c>
      <c r="B27110" s="0" t="str">
        <f aca="false">HYPERLINK("https://lindat.mff.cuni.cz/services/teitok/pdtc10/index.php?action=vallex&amp;frame=v-w3546f14_ZU", "podávat (v-w3546f14_ZU) - substituted with v-w3546f15_ZU")</f>
        <v>podávat (v-w3546f14_ZU) - substituted with v-w3546f15_ZU</v>
      </c>
    </row>
    <row r="27111" customFormat="false" ht="12.8" hidden="false" customHeight="false" outlineLevel="0" collapsed="false">
      <c r="B27111" s="0" t="s">
        <v>7</v>
      </c>
      <c r="C27111" s="0" t="s">
        <v>3042</v>
      </c>
    </row>
    <row r="27112" customFormat="false" ht="12.8" hidden="false" customHeight="false" outlineLevel="0" collapsed="false">
      <c r="B27112" s="0" t="s">
        <v>10116</v>
      </c>
      <c r="C27112" s="0" t="s">
        <v>3043</v>
      </c>
    </row>
    <row r="27113" customFormat="false" ht="12.8" hidden="false" customHeight="false" outlineLevel="0" collapsed="false">
      <c r="B27113" s="0" t="s">
        <v>48</v>
      </c>
      <c r="C27113" s="0" t="s">
        <v>3044</v>
      </c>
    </row>
    <row r="27115" customFormat="false" ht="12.8" hidden="false" customHeight="false" outlineLevel="0" collapsed="false">
      <c r="A27115" s="0" t="s">
        <v>10125</v>
      </c>
      <c r="B27115" s="0" t="str">
        <f aca="false">HYPERLINK("https://lindat.mff.cuni.cz/services/teitok/pdtc10/index.php?action=vallex&amp;frame=v-w3546f10", "podávat (v-w3546f10)")</f>
        <v>podávat (v-w3546f10)</v>
      </c>
    </row>
    <row r="27116" customFormat="false" ht="12.8" hidden="false" customHeight="false" outlineLevel="0" collapsed="false">
      <c r="B27116" s="0" t="s">
        <v>7</v>
      </c>
      <c r="C27116" s="0" t="s">
        <v>1531</v>
      </c>
    </row>
    <row r="27117" customFormat="false" ht="12.8" hidden="false" customHeight="false" outlineLevel="0" collapsed="false">
      <c r="B27117" s="0" t="s">
        <v>10126</v>
      </c>
      <c r="C27117" s="0" t="s">
        <v>10127</v>
      </c>
    </row>
    <row r="27118" customFormat="false" ht="12.8" hidden="false" customHeight="false" outlineLevel="0" collapsed="false">
      <c r="B27118" s="0" t="s">
        <v>11</v>
      </c>
    </row>
    <row r="27120" customFormat="false" ht="12.8" hidden="false" customHeight="false" outlineLevel="0" collapsed="false">
      <c r="A27120" s="0" t="s">
        <v>10128</v>
      </c>
      <c r="B27120" s="0" t="str">
        <f aca="false">HYPERLINK("https://lindat.mff.cuni.cz/services/teitok/pdtc10/index.php?action=vallex&amp;frame=v-w3546f8", "podávat (v-w3546f8)")</f>
        <v>podávat (v-w3546f8)</v>
      </c>
    </row>
    <row r="27121" customFormat="false" ht="12.8" hidden="false" customHeight="false" outlineLevel="0" collapsed="false">
      <c r="B27121" s="0" t="s">
        <v>7</v>
      </c>
      <c r="C27121" s="0" t="s">
        <v>10129</v>
      </c>
    </row>
    <row r="27122" customFormat="false" ht="12.8" hidden="false" customHeight="false" outlineLevel="0" collapsed="false">
      <c r="B27122" s="0" t="s">
        <v>10130</v>
      </c>
      <c r="C27122" s="0" t="s">
        <v>10131</v>
      </c>
    </row>
    <row r="27123" customFormat="false" ht="12.8" hidden="false" customHeight="false" outlineLevel="0" collapsed="false">
      <c r="B27123" s="0" t="s">
        <v>124</v>
      </c>
      <c r="C27123" s="0" t="s">
        <v>10132</v>
      </c>
    </row>
    <row r="27125" customFormat="false" ht="12.8" hidden="false" customHeight="false" outlineLevel="0" collapsed="false">
      <c r="A27125" s="0" t="s">
        <v>10133</v>
      </c>
      <c r="B27125" s="0" t="str">
        <f aca="false">HYPERLINK("https://lindat.mff.cuni.cz/services/teitok/pdtc10/index.php?action=vallex&amp;frame=v-w3546f5", "podávat (v-w3546f5)")</f>
        <v>podávat (v-w3546f5)</v>
      </c>
    </row>
    <row r="27126" customFormat="false" ht="12.8" hidden="false" customHeight="false" outlineLevel="0" collapsed="false">
      <c r="B27126" s="0" t="s">
        <v>7</v>
      </c>
      <c r="C27126" s="0" t="s">
        <v>194</v>
      </c>
    </row>
    <row r="27127" customFormat="false" ht="12.8" hidden="false" customHeight="false" outlineLevel="0" collapsed="false">
      <c r="B27127" s="0" t="s">
        <v>9890</v>
      </c>
    </row>
    <row r="27129" customFormat="false" ht="12.8" hidden="false" customHeight="false" outlineLevel="0" collapsed="false">
      <c r="A27129" s="0" t="s">
        <v>10134</v>
      </c>
      <c r="B27129" s="0" t="str">
        <f aca="false">HYPERLINK("https://lindat.mff.cuni.cz/services/teitok/pdtc10/index.php?action=vallex&amp;frame=v-w3546f16_ZU", "podávat (v-w3546f16_ZU)")</f>
        <v>podávat (v-w3546f16_ZU)</v>
      </c>
    </row>
    <row r="27130" customFormat="false" ht="12.8" hidden="false" customHeight="false" outlineLevel="0" collapsed="false">
      <c r="B27130" s="0" t="s">
        <v>7</v>
      </c>
    </row>
    <row r="27131" customFormat="false" ht="12.8" hidden="false" customHeight="false" outlineLevel="0" collapsed="false">
      <c r="B27131" s="0" t="s">
        <v>2868</v>
      </c>
    </row>
    <row r="27132" customFormat="false" ht="12.8" hidden="false" customHeight="false" outlineLevel="0" collapsed="false">
      <c r="B27132" s="0" t="s">
        <v>142</v>
      </c>
    </row>
    <row r="27134" customFormat="false" ht="12.8" hidden="false" customHeight="false" outlineLevel="0" collapsed="false">
      <c r="A27134" s="0" t="s">
        <v>10134</v>
      </c>
      <c r="B27134" s="0" t="str">
        <f aca="false">HYPERLINK("https://lindat.mff.cuni.cz/services/teitok/pdtc10/index.php?action=vallex&amp;frame=v-w3546hsa_1498", "podávat (v-w3546hsa_1498) - substituted with v-w3546f16_ZU")</f>
        <v>podávat (v-w3546hsa_1498) - substituted with v-w3546f16_ZU</v>
      </c>
    </row>
    <row r="27135" customFormat="false" ht="12.8" hidden="false" customHeight="false" outlineLevel="0" collapsed="false">
      <c r="B27135" s="0" t="s">
        <v>7</v>
      </c>
    </row>
    <row r="27136" customFormat="false" ht="12.8" hidden="false" customHeight="false" outlineLevel="0" collapsed="false">
      <c r="B27136" s="0" t="s">
        <v>2868</v>
      </c>
    </row>
    <row r="27137" customFormat="false" ht="12.8" hidden="false" customHeight="false" outlineLevel="0" collapsed="false">
      <c r="B27137" s="0" t="s">
        <v>142</v>
      </c>
    </row>
    <row r="27139" customFormat="false" ht="12.8" hidden="false" customHeight="false" outlineLevel="0" collapsed="false">
      <c r="A27139" s="0" t="s">
        <v>10135</v>
      </c>
      <c r="B27139" s="0" t="str">
        <f aca="false">HYPERLINK("https://lindat.mff.cuni.cz/services/teitok/pdtc10/index.php?action=vallex&amp;frame=v-w3546f17_ZU", "podávat (v-w3546f17_ZU)")</f>
        <v>podávat (v-w3546f17_ZU)</v>
      </c>
    </row>
    <row r="27140" customFormat="false" ht="12.8" hidden="false" customHeight="false" outlineLevel="0" collapsed="false">
      <c r="B27140" s="0" t="s">
        <v>7</v>
      </c>
    </row>
    <row r="27141" customFormat="false" ht="12.8" hidden="false" customHeight="false" outlineLevel="0" collapsed="false">
      <c r="B27141" s="0" t="s">
        <v>3012</v>
      </c>
    </row>
    <row r="27142" customFormat="false" ht="12.8" hidden="false" customHeight="false" outlineLevel="0" collapsed="false">
      <c r="B27142" s="0" t="s">
        <v>14</v>
      </c>
    </row>
    <row r="27144" customFormat="false" ht="12.8" hidden="false" customHeight="false" outlineLevel="0" collapsed="false">
      <c r="A27144" s="0" t="s">
        <v>10136</v>
      </c>
      <c r="B27144" s="0" t="str">
        <f aca="false">HYPERLINK("https://lindat.mff.cuni.cz/services/teitok/pdtc10/index.php?action=vallex&amp;frame=v-w3569f1", "podílet se (v-w3569f1)")</f>
        <v>podílet se (v-w3569f1)</v>
      </c>
    </row>
    <row r="27145" customFormat="false" ht="12.8" hidden="false" customHeight="false" outlineLevel="0" collapsed="false">
      <c r="B27145" s="0" t="s">
        <v>7</v>
      </c>
      <c r="C27145" s="0" t="s">
        <v>10137</v>
      </c>
      <c r="D27145" s="0" t="s">
        <v>10138</v>
      </c>
      <c r="E27145" s="0" t="s">
        <v>10138</v>
      </c>
      <c r="F27145" s="0" t="s">
        <v>10138</v>
      </c>
    </row>
    <row r="27146" customFormat="false" ht="12.8" hidden="false" customHeight="false" outlineLevel="0" collapsed="false">
      <c r="B27146" s="0" t="s">
        <v>220</v>
      </c>
      <c r="C27146" s="0" t="s">
        <v>10139</v>
      </c>
      <c r="D27146" s="0" t="s">
        <v>10140</v>
      </c>
      <c r="E27146" s="0" t="s">
        <v>10140</v>
      </c>
      <c r="F27146" s="0" t="s">
        <v>10140</v>
      </c>
    </row>
    <row r="27148" customFormat="false" ht="12.8" hidden="false" customHeight="false" outlineLevel="0" collapsed="false">
      <c r="A27148" s="0" t="s">
        <v>10141</v>
      </c>
      <c r="B27148" s="0" t="str">
        <f aca="false">HYPERLINK("https://lindat.mff.cuni.cz/services/teitok/pdtc10/index.php?action=vallex&amp;frame=v-w3571f1", "podít se (v-w3571f1)")</f>
        <v>podít se (v-w3571f1)</v>
      </c>
    </row>
    <row r="27149" customFormat="false" ht="12.8" hidden="false" customHeight="false" outlineLevel="0" collapsed="false">
      <c r="B27149" s="0" t="s">
        <v>7</v>
      </c>
      <c r="C27149" s="0" t="s">
        <v>10142</v>
      </c>
    </row>
    <row r="27150" customFormat="false" ht="12.8" hidden="false" customHeight="false" outlineLevel="0" collapsed="false">
      <c r="B27150" s="0" t="s">
        <v>124</v>
      </c>
      <c r="C27150" s="0" t="s">
        <v>4443</v>
      </c>
    </row>
    <row r="27152" customFormat="false" ht="12.8" hidden="false" customHeight="false" outlineLevel="0" collapsed="false">
      <c r="A27152" s="0" t="s">
        <v>10143</v>
      </c>
      <c r="B27152" s="0" t="str">
        <f aca="false">HYPERLINK("https://lindat.mff.cuni.cz/services/teitok/pdtc10/index.php?action=vallex&amp;frame=v-w12024_ZUf1_ZU", "podívat (v-w12024_ZUf1_ZU)")</f>
        <v>podívat (v-w12024_ZUf1_ZU)</v>
      </c>
    </row>
    <row r="27153" customFormat="false" ht="12.8" hidden="false" customHeight="false" outlineLevel="0" collapsed="false">
      <c r="B27153" s="0" t="s">
        <v>7</v>
      </c>
    </row>
    <row r="27154" customFormat="false" ht="12.8" hidden="false" customHeight="false" outlineLevel="0" collapsed="false">
      <c r="B27154" s="0" t="s">
        <v>14</v>
      </c>
    </row>
    <row r="27156" customFormat="false" ht="12.8" hidden="false" customHeight="false" outlineLevel="0" collapsed="false">
      <c r="A27156" s="0" t="s">
        <v>10144</v>
      </c>
      <c r="B27156" s="0" t="str">
        <f aca="false">HYPERLINK("https://lindat.mff.cuni.cz/services/teitok/pdtc10/index.php?action=vallex&amp;frame=v-w3574f2", "podívat se (v-w3574f2)")</f>
        <v>podívat se (v-w3574f2)</v>
      </c>
    </row>
    <row r="27157" customFormat="false" ht="12.8" hidden="false" customHeight="false" outlineLevel="0" collapsed="false">
      <c r="B27157" s="0" t="s">
        <v>7</v>
      </c>
      <c r="C27157" s="0" t="s">
        <v>3803</v>
      </c>
      <c r="D27157" s="0" t="s">
        <v>1448</v>
      </c>
      <c r="E27157" s="0" t="s">
        <v>1448</v>
      </c>
      <c r="F27157" s="0" t="s">
        <v>1448</v>
      </c>
    </row>
    <row r="27158" customFormat="false" ht="12.8" hidden="false" customHeight="false" outlineLevel="0" collapsed="false">
      <c r="B27158" s="0" t="s">
        <v>1391</v>
      </c>
      <c r="C27158" s="0" t="s">
        <v>3407</v>
      </c>
      <c r="D27158" s="0" t="s">
        <v>414</v>
      </c>
      <c r="E27158" s="0" t="s">
        <v>414</v>
      </c>
      <c r="F27158" s="0" t="s">
        <v>414</v>
      </c>
    </row>
    <row r="27160" customFormat="false" ht="12.8" hidden="false" customHeight="false" outlineLevel="0" collapsed="false">
      <c r="A27160" s="0" t="s">
        <v>10145</v>
      </c>
      <c r="B27160" s="0" t="str">
        <f aca="false">HYPERLINK("https://lindat.mff.cuni.cz/services/teitok/pdtc10/index.php?action=vallex&amp;frame=v-w3574f3", "podívat se (v-w3574f3)")</f>
        <v>podívat se (v-w3574f3)</v>
      </c>
    </row>
    <row r="27161" customFormat="false" ht="12.8" hidden="false" customHeight="false" outlineLevel="0" collapsed="false">
      <c r="B27161" s="0" t="s">
        <v>7</v>
      </c>
      <c r="C27161" s="0" t="s">
        <v>2530</v>
      </c>
      <c r="D27161" s="0" t="s">
        <v>451</v>
      </c>
      <c r="E27161" s="0" t="s">
        <v>451</v>
      </c>
      <c r="F27161" s="0" t="s">
        <v>451</v>
      </c>
    </row>
    <row r="27162" customFormat="false" ht="12.8" hidden="false" customHeight="false" outlineLevel="0" collapsed="false">
      <c r="B27162" s="0" t="s">
        <v>41</v>
      </c>
      <c r="C27162" s="0" t="s">
        <v>10146</v>
      </c>
      <c r="D27162" s="0" t="s">
        <v>453</v>
      </c>
      <c r="E27162" s="0" t="s">
        <v>453</v>
      </c>
      <c r="F27162" s="0" t="s">
        <v>453</v>
      </c>
    </row>
    <row r="27163" customFormat="false" ht="12.8" hidden="false" customHeight="false" outlineLevel="0" collapsed="false">
      <c r="B27163" s="0" t="s">
        <v>3398</v>
      </c>
      <c r="D27163" s="0" t="s">
        <v>3399</v>
      </c>
      <c r="E27163" s="0" t="s">
        <v>3399</v>
      </c>
      <c r="F27163" s="0" t="s">
        <v>3399</v>
      </c>
    </row>
    <row r="27164" customFormat="false" ht="12.8" hidden="false" customHeight="false" outlineLevel="0" collapsed="false">
      <c r="B27164" s="0" t="s">
        <v>474</v>
      </c>
      <c r="D27164" s="0" t="s">
        <v>3401</v>
      </c>
      <c r="E27164" s="0" t="s">
        <v>3401</v>
      </c>
      <c r="F27164" s="0" t="s">
        <v>3401</v>
      </c>
    </row>
    <row r="27165" customFormat="false" ht="12.8" hidden="false" customHeight="false" outlineLevel="0" collapsed="false">
      <c r="B27165" s="0" t="s">
        <v>479</v>
      </c>
      <c r="D27165" s="0" t="s">
        <v>3402</v>
      </c>
      <c r="E27165" s="0" t="s">
        <v>3402</v>
      </c>
      <c r="F27165" s="0" t="s">
        <v>3402</v>
      </c>
    </row>
    <row r="27166" customFormat="false" ht="12.8" hidden="false" customHeight="false" outlineLevel="0" collapsed="false">
      <c r="B27166" s="0" t="s">
        <v>481</v>
      </c>
      <c r="D27166" s="0" t="s">
        <v>3403</v>
      </c>
      <c r="E27166" s="0" t="s">
        <v>3403</v>
      </c>
      <c r="F27166" s="0" t="s">
        <v>3403</v>
      </c>
    </row>
    <row r="27167" customFormat="false" ht="12.8" hidden="false" customHeight="false" outlineLevel="0" collapsed="false">
      <c r="B27167" s="0" t="s">
        <v>483</v>
      </c>
      <c r="D27167" s="0" t="s">
        <v>3405</v>
      </c>
      <c r="E27167" s="0" t="s">
        <v>3405</v>
      </c>
      <c r="F27167" s="0" t="s">
        <v>3405</v>
      </c>
    </row>
    <row r="27169" customFormat="false" ht="12.8" hidden="false" customHeight="false" outlineLevel="0" collapsed="false">
      <c r="A27169" s="0" t="s">
        <v>10147</v>
      </c>
      <c r="B27169" s="0" t="str">
        <f aca="false">HYPERLINK("https://lindat.mff.cuni.cz/services/teitok/pdtc10/index.php?action=vallex&amp;frame=v-w3574f4", "podívat se (v-w3574f4)")</f>
        <v>podívat se (v-w3574f4)</v>
      </c>
    </row>
    <row r="27170" customFormat="false" ht="12.8" hidden="false" customHeight="false" outlineLevel="0" collapsed="false">
      <c r="B27170" s="0" t="s">
        <v>7</v>
      </c>
      <c r="C27170" s="0" t="s">
        <v>5572</v>
      </c>
      <c r="D27170" s="0" t="s">
        <v>1813</v>
      </c>
      <c r="E27170" s="0" t="s">
        <v>1813</v>
      </c>
      <c r="F27170" s="0" t="s">
        <v>1813</v>
      </c>
    </row>
    <row r="27171" customFormat="false" ht="12.8" hidden="false" customHeight="false" outlineLevel="0" collapsed="false">
      <c r="B27171" s="0" t="s">
        <v>1375</v>
      </c>
      <c r="C27171" s="0" t="s">
        <v>5232</v>
      </c>
      <c r="D27171" s="0" t="s">
        <v>1815</v>
      </c>
      <c r="E27171" s="0" t="s">
        <v>1815</v>
      </c>
      <c r="F27171" s="0" t="s">
        <v>1815</v>
      </c>
    </row>
    <row r="27173" customFormat="false" ht="12.8" hidden="false" customHeight="false" outlineLevel="0" collapsed="false">
      <c r="A27173" s="0" t="s">
        <v>10148</v>
      </c>
      <c r="B27173" s="0" t="str">
        <f aca="false">HYPERLINK("https://lindat.mff.cuni.cz/services/teitok/pdtc10/index.php?action=vallex&amp;frame=v-w3574f1", "podívat se (v-w3574f1)")</f>
        <v>podívat se (v-w3574f1)</v>
      </c>
    </row>
    <row r="27174" customFormat="false" ht="12.8" hidden="false" customHeight="false" outlineLevel="0" collapsed="false">
      <c r="B27174" s="0" t="s">
        <v>7</v>
      </c>
      <c r="C27174" s="0" t="s">
        <v>1613</v>
      </c>
      <c r="D27174" s="0" t="s">
        <v>428</v>
      </c>
      <c r="E27174" s="0" t="s">
        <v>3410</v>
      </c>
      <c r="F27174" s="0" t="s">
        <v>3410</v>
      </c>
    </row>
    <row r="27175" customFormat="false" ht="12.8" hidden="false" customHeight="false" outlineLevel="0" collapsed="false">
      <c r="B27175" s="0" t="s">
        <v>124</v>
      </c>
      <c r="C27175" s="0" t="s">
        <v>10149</v>
      </c>
      <c r="D27175" s="0" t="s">
        <v>3412</v>
      </c>
      <c r="E27175" s="0" t="s">
        <v>3413</v>
      </c>
      <c r="F27175" s="0" t="s">
        <v>3413</v>
      </c>
    </row>
    <row r="27177" customFormat="false" ht="12.8" hidden="false" customHeight="false" outlineLevel="0" collapsed="false">
      <c r="A27177" s="0" t="s">
        <v>10150</v>
      </c>
      <c r="B27177" s="0" t="str">
        <f aca="false">HYPERLINK("https://lindat.mff.cuni.cz/services/teitok/pdtc10/index.php?action=vallex&amp;frame=v-w3574f6_ZU", "podívat se (v-w3574f6_ZU)")</f>
        <v>podívat se (v-w3574f6_ZU)</v>
      </c>
    </row>
    <row r="27178" customFormat="false" ht="12.8" hidden="false" customHeight="false" outlineLevel="0" collapsed="false">
      <c r="B27178" s="0" t="s">
        <v>7</v>
      </c>
    </row>
    <row r="27179" customFormat="false" ht="12.8" hidden="false" customHeight="false" outlineLevel="0" collapsed="false">
      <c r="B27179" s="0" t="s">
        <v>41</v>
      </c>
    </row>
    <row r="27181" customFormat="false" ht="12.8" hidden="false" customHeight="false" outlineLevel="0" collapsed="false">
      <c r="A27181" s="0" t="s">
        <v>10151</v>
      </c>
      <c r="B27181" s="0" t="str">
        <f aca="false">HYPERLINK("https://lindat.mff.cuni.cz/services/teitok/pdtc10/index.php?action=vallex&amp;frame=v-w3574f7_ZU", "podívat se (v-w3574f7_ZU)")</f>
        <v>podívat se (v-w3574f7_ZU)</v>
      </c>
    </row>
    <row r="27182" customFormat="false" ht="12.8" hidden="false" customHeight="false" outlineLevel="0" collapsed="false">
      <c r="B27182" s="0" t="s">
        <v>7</v>
      </c>
    </row>
    <row r="27183" customFormat="false" ht="12.8" hidden="false" customHeight="false" outlineLevel="0" collapsed="false">
      <c r="B27183" s="0" t="s">
        <v>1059</v>
      </c>
    </row>
    <row r="27185" customFormat="false" ht="12.8" hidden="false" customHeight="false" outlineLevel="0" collapsed="false">
      <c r="A27185" s="0" t="s">
        <v>10151</v>
      </c>
      <c r="B27185" s="0" t="str">
        <f aca="false">HYPERLINK("https://lindat.mff.cuni.cz/services/teitok/pdtc10/index.php?action=vallex&amp;frame=v-w3574f5_ZU", "podívat se (v-w3574f5_ZU) - substituted with v-w3574f7_ZU")</f>
        <v>podívat se (v-w3574f5_ZU) - substituted with v-w3574f7_ZU</v>
      </c>
    </row>
    <row r="27186" customFormat="false" ht="12.8" hidden="false" customHeight="false" outlineLevel="0" collapsed="false">
      <c r="B27186" s="0" t="s">
        <v>7</v>
      </c>
    </row>
    <row r="27187" customFormat="false" ht="12.8" hidden="false" customHeight="false" outlineLevel="0" collapsed="false">
      <c r="B27187" s="0" t="s">
        <v>1059</v>
      </c>
    </row>
    <row r="27189" customFormat="false" ht="12.8" hidden="false" customHeight="false" outlineLevel="0" collapsed="false">
      <c r="A27189" s="0" t="s">
        <v>10152</v>
      </c>
      <c r="B27189" s="0" t="str">
        <f aca="false">HYPERLINK("https://lindat.mff.cuni.cz/services/teitok/pdtc10/index.php?action=vallex&amp;frame=v-w3574hsa_1021", "podívat se (v-w3574hsa_1021)")</f>
        <v>podívat se (v-w3574hsa_1021)</v>
      </c>
    </row>
    <row r="27190" customFormat="false" ht="12.8" hidden="false" customHeight="false" outlineLevel="0" collapsed="false">
      <c r="B27190" s="0" t="s">
        <v>7</v>
      </c>
    </row>
    <row r="27191" customFormat="false" ht="12.8" hidden="false" customHeight="false" outlineLevel="0" collapsed="false">
      <c r="B27191" s="0" t="s">
        <v>10153</v>
      </c>
    </row>
    <row r="27193" customFormat="false" ht="12.8" hidden="false" customHeight="false" outlineLevel="0" collapsed="false">
      <c r="A27193" s="0" t="s">
        <v>10154</v>
      </c>
      <c r="B27193" s="0" t="str">
        <f aca="false">HYPERLINK("https://lindat.mff.cuni.cz/services/teitok/pdtc10/index.php?action=vallex&amp;frame=v-w3574hsa_1022", "podívat se (v-w3574hsa_1022)")</f>
        <v>podívat se (v-w3574hsa_1022)</v>
      </c>
    </row>
    <row r="27194" customFormat="false" ht="12.8" hidden="false" customHeight="false" outlineLevel="0" collapsed="false">
      <c r="B27194" s="0" t="s">
        <v>7</v>
      </c>
    </row>
    <row r="27195" customFormat="false" ht="12.8" hidden="false" customHeight="false" outlineLevel="0" collapsed="false">
      <c r="B27195" s="0" t="s">
        <v>11</v>
      </c>
    </row>
    <row r="27197" customFormat="false" ht="12.8" hidden="false" customHeight="false" outlineLevel="0" collapsed="false">
      <c r="A27197" s="0" t="s">
        <v>10155</v>
      </c>
      <c r="B27197" s="0" t="str">
        <f aca="false">HYPERLINK("https://lindat.mff.cuni.cz/services/teitok/pdtc10/index.php?action=vallex&amp;frame=v-whsa_1128f1_ZU", "podědit (v-whsa_1128f1_ZU)")</f>
        <v>podědit (v-whsa_1128f1_ZU)</v>
      </c>
    </row>
    <row r="27198" customFormat="false" ht="12.8" hidden="false" customHeight="false" outlineLevel="0" collapsed="false">
      <c r="B27198" s="0" t="s">
        <v>7</v>
      </c>
    </row>
    <row r="27199" customFormat="false" ht="12.8" hidden="false" customHeight="false" outlineLevel="0" collapsed="false">
      <c r="B27199" s="0" t="s">
        <v>14</v>
      </c>
    </row>
    <row r="27201" customFormat="false" ht="12.8" hidden="false" customHeight="false" outlineLevel="0" collapsed="false">
      <c r="A27201" s="0" t="s">
        <v>10155</v>
      </c>
      <c r="B27201" s="0" t="str">
        <f aca="false">HYPERLINK("https://lindat.mff.cuni.cz/services/teitok/pdtc10/index.php?action=vallex&amp;frame=v-whsa_1128hsa_1129", "podědit (v-whsa_1128hsa_1129) - substituted with v-whsa_1128f1_ZU")</f>
        <v>podědit (v-whsa_1128hsa_1129) - substituted with v-whsa_1128f1_ZU</v>
      </c>
    </row>
    <row r="27202" customFormat="false" ht="12.8" hidden="false" customHeight="false" outlineLevel="0" collapsed="false">
      <c r="B27202" s="0" t="s">
        <v>7</v>
      </c>
    </row>
    <row r="27203" customFormat="false" ht="12.8" hidden="false" customHeight="false" outlineLevel="0" collapsed="false">
      <c r="B27203" s="0" t="s">
        <v>14</v>
      </c>
    </row>
    <row r="27205" customFormat="false" ht="12.8" hidden="false" customHeight="false" outlineLevel="0" collapsed="false">
      <c r="A27205" s="0" t="s">
        <v>10156</v>
      </c>
      <c r="B27205" s="0" t="str">
        <f aca="false">HYPERLINK("https://lindat.mff.cuni.cz/services/teitok/pdtc10/index.php?action=vallex&amp;frame=v-w3551f2_ZU", "poděkovat (v-w3551f2_ZU)")</f>
        <v>poděkovat (v-w3551f2_ZU)</v>
      </c>
    </row>
    <row r="27206" customFormat="false" ht="12.8" hidden="false" customHeight="false" outlineLevel="0" collapsed="false">
      <c r="B27206" s="0" t="s">
        <v>7</v>
      </c>
    </row>
    <row r="27207" customFormat="false" ht="12.8" hidden="false" customHeight="false" outlineLevel="0" collapsed="false">
      <c r="B27207" s="0" t="s">
        <v>48</v>
      </c>
    </row>
    <row r="27208" customFormat="false" ht="12.8" hidden="false" customHeight="false" outlineLevel="0" collapsed="false">
      <c r="B27208" s="0" t="s">
        <v>10157</v>
      </c>
    </row>
    <row r="27210" customFormat="false" ht="12.8" hidden="false" customHeight="false" outlineLevel="0" collapsed="false">
      <c r="A27210" s="0" t="s">
        <v>10156</v>
      </c>
      <c r="B27210" s="0" t="str">
        <f aca="false">HYPERLINK("https://lindat.mff.cuni.cz/services/teitok/pdtc10/index.php?action=vallex&amp;frame=v-w3551f1", "poděkovat (v-w3551f1) - substituted with v-w3551f2_ZU")</f>
        <v>poděkovat (v-w3551f1) - substituted with v-w3551f2_ZU</v>
      </c>
    </row>
    <row r="27211" customFormat="false" ht="12.8" hidden="false" customHeight="false" outlineLevel="0" collapsed="false">
      <c r="B27211" s="0" t="s">
        <v>7</v>
      </c>
      <c r="C27211" s="0" t="s">
        <v>184</v>
      </c>
      <c r="D27211" s="0" t="s">
        <v>184</v>
      </c>
      <c r="E27211" s="0" t="s">
        <v>184</v>
      </c>
      <c r="F27211" s="0" t="s">
        <v>184</v>
      </c>
    </row>
    <row r="27212" customFormat="false" ht="12.8" hidden="false" customHeight="false" outlineLevel="0" collapsed="false">
      <c r="B27212" s="0" t="s">
        <v>48</v>
      </c>
      <c r="C27212" s="0" t="s">
        <v>3426</v>
      </c>
      <c r="D27212" s="0" t="s">
        <v>3426</v>
      </c>
      <c r="E27212" s="0" t="s">
        <v>3426</v>
      </c>
      <c r="F27212" s="0" t="s">
        <v>3426</v>
      </c>
    </row>
    <row r="27213" customFormat="false" ht="12.8" hidden="false" customHeight="false" outlineLevel="0" collapsed="false">
      <c r="B27213" s="0" t="s">
        <v>10157</v>
      </c>
      <c r="C27213" s="0" t="s">
        <v>3427</v>
      </c>
      <c r="D27213" s="0" t="s">
        <v>3427</v>
      </c>
      <c r="E27213" s="0" t="s">
        <v>3427</v>
      </c>
      <c r="F27213" s="0" t="s">
        <v>3427</v>
      </c>
    </row>
    <row r="27215" customFormat="false" ht="12.8" hidden="false" customHeight="false" outlineLevel="0" collapsed="false">
      <c r="A27215" s="0" t="s">
        <v>10158</v>
      </c>
      <c r="B27215" s="0" t="str">
        <f aca="false">HYPERLINK("https://lindat.mff.cuni.cz/services/teitok/pdtc10/index.php?action=vallex&amp;frame=v-w3552f1", "poděkovat se (v-w3552f1)")</f>
        <v>poděkovat se (v-w3552f1)</v>
      </c>
    </row>
    <row r="27216" customFormat="false" ht="12.8" hidden="false" customHeight="false" outlineLevel="0" collapsed="false">
      <c r="B27216" s="0" t="s">
        <v>7</v>
      </c>
      <c r="D27216" s="0" t="s">
        <v>184</v>
      </c>
      <c r="E27216" s="0" t="s">
        <v>184</v>
      </c>
      <c r="F27216" s="0" t="s">
        <v>184</v>
      </c>
    </row>
    <row r="27217" customFormat="false" ht="12.8" hidden="false" customHeight="false" outlineLevel="0" collapsed="false">
      <c r="B27217" s="0" t="s">
        <v>48</v>
      </c>
      <c r="D27217" s="0" t="s">
        <v>3426</v>
      </c>
      <c r="E27217" s="0" t="s">
        <v>3426</v>
      </c>
      <c r="F27217" s="0" t="s">
        <v>3426</v>
      </c>
    </row>
    <row r="27218" customFormat="false" ht="12.8" hidden="false" customHeight="false" outlineLevel="0" collapsed="false">
      <c r="B27218" s="0" t="s">
        <v>1654</v>
      </c>
      <c r="D27218" s="0" t="s">
        <v>3427</v>
      </c>
      <c r="E27218" s="0" t="s">
        <v>3427</v>
      </c>
      <c r="F27218" s="0" t="s">
        <v>3427</v>
      </c>
    </row>
    <row r="27220" customFormat="false" ht="12.8" hidden="false" customHeight="false" outlineLevel="0" collapsed="false">
      <c r="A27220" s="0" t="s">
        <v>10159</v>
      </c>
      <c r="B27220" s="0" t="str">
        <f aca="false">HYPERLINK("https://lindat.mff.cuni.cz/services/teitok/pdtc10/index.php?action=vallex&amp;frame=v-w11762_ZUf1_ZU", "podělit (v-w11762_ZUf1_ZU)")</f>
        <v>podělit (v-w11762_ZUf1_ZU)</v>
      </c>
    </row>
    <row r="27221" customFormat="false" ht="12.8" hidden="false" customHeight="false" outlineLevel="0" collapsed="false">
      <c r="B27221" s="0" t="s">
        <v>7</v>
      </c>
    </row>
    <row r="27222" customFormat="false" ht="12.8" hidden="false" customHeight="false" outlineLevel="0" collapsed="false">
      <c r="B27222" s="0" t="s">
        <v>14</v>
      </c>
    </row>
    <row r="27224" customFormat="false" ht="12.8" hidden="false" customHeight="false" outlineLevel="0" collapsed="false">
      <c r="A27224" s="0" t="s">
        <v>10160</v>
      </c>
      <c r="B27224" s="0" t="str">
        <f aca="false">HYPERLINK("https://lindat.mff.cuni.cz/services/teitok/pdtc10/index.php?action=vallex&amp;frame=v-w11762_ZUf3_MM", "podělit (v-w11762_ZUf3_MM)")</f>
        <v>podělit (v-w11762_ZUf3_MM)</v>
      </c>
    </row>
    <row r="27225" customFormat="false" ht="12.8" hidden="false" customHeight="false" outlineLevel="0" collapsed="false">
      <c r="B27225" s="0" t="s">
        <v>7</v>
      </c>
    </row>
    <row r="27226" customFormat="false" ht="12.8" hidden="false" customHeight="false" outlineLevel="0" collapsed="false">
      <c r="B27226" s="0" t="s">
        <v>14</v>
      </c>
    </row>
    <row r="27227" customFormat="false" ht="12.8" hidden="false" customHeight="false" outlineLevel="0" collapsed="false">
      <c r="B27227" s="0" t="s">
        <v>1408</v>
      </c>
    </row>
    <row r="27229" customFormat="false" ht="12.8" hidden="false" customHeight="false" outlineLevel="0" collapsed="false">
      <c r="A27229" s="0" t="s">
        <v>10160</v>
      </c>
      <c r="B27229" s="0" t="str">
        <f aca="false">HYPERLINK("https://lindat.mff.cuni.cz/services/teitok/pdtc10/index.php?action=vallex&amp;frame=v-w11762_ZUf2_MM", "podělit (v-w11762_ZUf2_MM) - substituted with v-w11762_ZUf3_MM")</f>
        <v>podělit (v-w11762_ZUf2_MM) - substituted with v-w11762_ZUf3_MM</v>
      </c>
    </row>
    <row r="27230" customFormat="false" ht="12.8" hidden="false" customHeight="false" outlineLevel="0" collapsed="false">
      <c r="B27230" s="0" t="s">
        <v>7</v>
      </c>
    </row>
    <row r="27231" customFormat="false" ht="12.8" hidden="false" customHeight="false" outlineLevel="0" collapsed="false">
      <c r="B27231" s="0" t="s">
        <v>14</v>
      </c>
    </row>
    <row r="27232" customFormat="false" ht="12.8" hidden="false" customHeight="false" outlineLevel="0" collapsed="false">
      <c r="B27232" s="0" t="s">
        <v>1408</v>
      </c>
    </row>
    <row r="27234" customFormat="false" ht="12.8" hidden="false" customHeight="false" outlineLevel="0" collapsed="false">
      <c r="A27234" s="0" t="s">
        <v>10161</v>
      </c>
      <c r="B27234" s="0" t="str">
        <f aca="false">HYPERLINK("https://lindat.mff.cuni.cz/services/teitok/pdtc10/index.php?action=vallex&amp;frame=v-w3553f1", "podělit se (v-w3553f1)")</f>
        <v>podělit se (v-w3553f1)</v>
      </c>
    </row>
    <row r="27235" customFormat="false" ht="12.8" hidden="false" customHeight="false" outlineLevel="0" collapsed="false">
      <c r="B27235" s="0" t="s">
        <v>7</v>
      </c>
      <c r="C27235" s="0" t="s">
        <v>10162</v>
      </c>
      <c r="D27235" s="0" t="s">
        <v>23</v>
      </c>
      <c r="E27235" s="0" t="s">
        <v>23</v>
      </c>
      <c r="F27235" s="0" t="s">
        <v>23</v>
      </c>
    </row>
    <row r="27236" customFormat="false" ht="12.8" hidden="false" customHeight="false" outlineLevel="0" collapsed="false">
      <c r="B27236" s="0" t="s">
        <v>615</v>
      </c>
      <c r="C27236" s="0" t="s">
        <v>10163</v>
      </c>
      <c r="D27236" s="0" t="s">
        <v>3565</v>
      </c>
      <c r="E27236" s="0" t="s">
        <v>3565</v>
      </c>
      <c r="F27236" s="0" t="s">
        <v>3565</v>
      </c>
    </row>
    <row r="27237" customFormat="false" ht="12.8" hidden="false" customHeight="false" outlineLevel="0" collapsed="false">
      <c r="B27237" s="0" t="s">
        <v>207</v>
      </c>
      <c r="C27237" s="0" t="s">
        <v>10164</v>
      </c>
      <c r="D27237" s="0" t="s">
        <v>3566</v>
      </c>
      <c r="E27237" s="0" t="s">
        <v>3566</v>
      </c>
      <c r="F27237" s="0" t="s">
        <v>3566</v>
      </c>
    </row>
    <row r="27239" customFormat="false" ht="12.8" hidden="false" customHeight="false" outlineLevel="0" collapsed="false">
      <c r="A27239" s="0" t="s">
        <v>10165</v>
      </c>
      <c r="B27239" s="0" t="str">
        <f aca="false">HYPERLINK("https://lindat.mff.cuni.cz/services/teitok/pdtc10/index.php?action=vallex&amp;frame=v-whsa_294hsa_295", "poděsit (v-whsa_294hsa_295)")</f>
        <v>poděsit (v-whsa_294hsa_295)</v>
      </c>
    </row>
    <row r="27240" customFormat="false" ht="12.8" hidden="false" customHeight="false" outlineLevel="0" collapsed="false">
      <c r="B27240" s="0" t="s">
        <v>7</v>
      </c>
    </row>
    <row r="27241" customFormat="false" ht="12.8" hidden="false" customHeight="false" outlineLevel="0" collapsed="false">
      <c r="B27241" s="0" t="s">
        <v>14</v>
      </c>
    </row>
    <row r="27243" customFormat="false" ht="12.8" hidden="false" customHeight="false" outlineLevel="0" collapsed="false">
      <c r="A27243" s="0" t="s">
        <v>10166</v>
      </c>
      <c r="B27243" s="0" t="str">
        <f aca="false">HYPERLINK("https://lindat.mff.cuni.cz/services/teitok/pdtc10/index.php?action=vallex&amp;frame=v-w3635f1", "podřadit (v-w3635f1)")</f>
        <v>podřadit (v-w3635f1)</v>
      </c>
    </row>
    <row r="27244" customFormat="false" ht="12.8" hidden="false" customHeight="false" outlineLevel="0" collapsed="false">
      <c r="B27244" s="0" t="s">
        <v>7</v>
      </c>
    </row>
    <row r="27245" customFormat="false" ht="12.8" hidden="false" customHeight="false" outlineLevel="0" collapsed="false">
      <c r="B27245" s="0" t="s">
        <v>14</v>
      </c>
    </row>
    <row r="27246" customFormat="false" ht="12.8" hidden="false" customHeight="false" outlineLevel="0" collapsed="false">
      <c r="B27246" s="0" t="s">
        <v>124</v>
      </c>
    </row>
    <row r="27248" customFormat="false" ht="12.8" hidden="false" customHeight="false" outlineLevel="0" collapsed="false">
      <c r="A27248" s="0" t="s">
        <v>10167</v>
      </c>
      <c r="B27248" s="0" t="str">
        <f aca="false">HYPERLINK("https://lindat.mff.cuni.cz/services/teitok/pdtc10/index.php?action=vallex&amp;frame=v-whsa_184f2_ZU", "podřezat (v-whsa_184f2_ZU)")</f>
        <v>podřezat (v-whsa_184f2_ZU)</v>
      </c>
    </row>
    <row r="27249" customFormat="false" ht="12.8" hidden="false" customHeight="false" outlineLevel="0" collapsed="false">
      <c r="B27249" s="0" t="s">
        <v>7</v>
      </c>
    </row>
    <row r="27250" customFormat="false" ht="12.8" hidden="false" customHeight="false" outlineLevel="0" collapsed="false">
      <c r="B27250" s="0" t="s">
        <v>14</v>
      </c>
    </row>
    <row r="27252" customFormat="false" ht="12.8" hidden="false" customHeight="false" outlineLevel="0" collapsed="false">
      <c r="A27252" s="0" t="s">
        <v>10168</v>
      </c>
      <c r="B27252" s="0" t="str">
        <f aca="false">HYPERLINK("https://lindat.mff.cuni.cz/services/teitok/pdtc10/index.php?action=vallex&amp;frame=v-whsa_184f3_ZU", "podřezat (v-whsa_184f3_ZU)")</f>
        <v>podřezat (v-whsa_184f3_ZU)</v>
      </c>
    </row>
    <row r="27253" customFormat="false" ht="12.8" hidden="false" customHeight="false" outlineLevel="0" collapsed="false">
      <c r="B27253" s="0" t="s">
        <v>7</v>
      </c>
    </row>
    <row r="27254" customFormat="false" ht="12.8" hidden="false" customHeight="false" outlineLevel="0" collapsed="false">
      <c r="B27254" s="0" t="s">
        <v>10169</v>
      </c>
    </row>
    <row r="27256" customFormat="false" ht="12.8" hidden="false" customHeight="false" outlineLevel="0" collapsed="false">
      <c r="A27256" s="0" t="s">
        <v>10168</v>
      </c>
      <c r="B27256" s="0" t="str">
        <f aca="false">HYPERLINK("https://lindat.mff.cuni.cz/services/teitok/pdtc10/index.php?action=vallex&amp;frame=v-whsa_184f1_ZU", "podřezat (v-whsa_184f1_ZU) - substituted with v-whsa_184f3_ZU")</f>
        <v>podřezat (v-whsa_184f1_ZU) - substituted with v-whsa_184f3_ZU</v>
      </c>
    </row>
    <row r="27257" customFormat="false" ht="12.8" hidden="false" customHeight="false" outlineLevel="0" collapsed="false">
      <c r="B27257" s="0" t="s">
        <v>7</v>
      </c>
    </row>
    <row r="27258" customFormat="false" ht="12.8" hidden="false" customHeight="false" outlineLevel="0" collapsed="false">
      <c r="B27258" s="0" t="s">
        <v>10169</v>
      </c>
    </row>
    <row r="27260" customFormat="false" ht="12.8" hidden="false" customHeight="false" outlineLevel="0" collapsed="false">
      <c r="A27260" s="0" t="s">
        <v>10168</v>
      </c>
      <c r="B27260" s="0" t="str">
        <f aca="false">HYPERLINK("https://lindat.mff.cuni.cz/services/teitok/pdtc10/index.php?action=vallex&amp;frame=v-whsa_184hsa_185", "podřezat (v-whsa_184hsa_185) - substituted with v-whsa_184f3_ZU")</f>
        <v>podřezat (v-whsa_184hsa_185) - substituted with v-whsa_184f3_ZU</v>
      </c>
    </row>
    <row r="27261" customFormat="false" ht="12.8" hidden="false" customHeight="false" outlineLevel="0" collapsed="false">
      <c r="B27261" s="0" t="s">
        <v>7</v>
      </c>
    </row>
    <row r="27262" customFormat="false" ht="12.8" hidden="false" customHeight="false" outlineLevel="0" collapsed="false">
      <c r="B27262" s="0" t="s">
        <v>10169</v>
      </c>
    </row>
    <row r="27264" customFormat="false" ht="12.8" hidden="false" customHeight="false" outlineLevel="0" collapsed="false">
      <c r="A27264" s="0" t="s">
        <v>10170</v>
      </c>
      <c r="B27264" s="0" t="str">
        <f aca="false">HYPERLINK("https://lindat.mff.cuni.cz/services/teitok/pdtc10/index.php?action=vallex&amp;frame=v-w11664_ZUf1_ZU", "podřezávat (v-w11664_ZUf1_ZU)")</f>
        <v>podřezávat (v-w11664_ZUf1_ZU)</v>
      </c>
    </row>
    <row r="27265" customFormat="false" ht="12.8" hidden="false" customHeight="false" outlineLevel="0" collapsed="false">
      <c r="B27265" s="0" t="s">
        <v>7</v>
      </c>
    </row>
    <row r="27266" customFormat="false" ht="12.8" hidden="false" customHeight="false" outlineLevel="0" collapsed="false">
      <c r="B27266" s="0" t="s">
        <v>10169</v>
      </c>
      <c r="C27266" s="0" t="s">
        <v>532</v>
      </c>
    </row>
    <row r="27268" customFormat="false" ht="12.8" hidden="false" customHeight="false" outlineLevel="0" collapsed="false">
      <c r="A27268" s="0" t="s">
        <v>10171</v>
      </c>
      <c r="B27268" s="0" t="str">
        <f aca="false">HYPERLINK("https://lindat.mff.cuni.cz/services/teitok/pdtc10/index.php?action=vallex&amp;frame=v-w3638f1", "podřimovat (v-w3638f1)")</f>
        <v>podřimovat (v-w3638f1)</v>
      </c>
    </row>
    <row r="27269" customFormat="false" ht="12.8" hidden="false" customHeight="false" outlineLevel="0" collapsed="false">
      <c r="B27269" s="0" t="s">
        <v>7</v>
      </c>
    </row>
    <row r="27271" customFormat="false" ht="12.8" hidden="false" customHeight="false" outlineLevel="0" collapsed="false">
      <c r="A27271" s="0" t="s">
        <v>10172</v>
      </c>
      <c r="B27271" s="0" t="str">
        <f aca="false">HYPERLINK("https://lindat.mff.cuni.cz/services/teitok/pdtc10/index.php?action=vallex&amp;frame=v-w3642f1", "podřizovat (v-w3642f1)")</f>
        <v>podřizovat (v-w3642f1)</v>
      </c>
    </row>
    <row r="27272" customFormat="false" ht="12.8" hidden="false" customHeight="false" outlineLevel="0" collapsed="false">
      <c r="B27272" s="0" t="s">
        <v>7</v>
      </c>
      <c r="C27272" s="0" t="s">
        <v>208</v>
      </c>
      <c r="D27272" s="0" t="s">
        <v>191</v>
      </c>
      <c r="E27272" s="0" t="s">
        <v>191</v>
      </c>
      <c r="F27272" s="0" t="s">
        <v>191</v>
      </c>
    </row>
    <row r="27273" customFormat="false" ht="12.8" hidden="false" customHeight="false" outlineLevel="0" collapsed="false">
      <c r="B27273" s="0" t="s">
        <v>14</v>
      </c>
      <c r="C27273" s="0" t="s">
        <v>3883</v>
      </c>
      <c r="D27273" s="0" t="s">
        <v>47</v>
      </c>
      <c r="E27273" s="0" t="s">
        <v>47</v>
      </c>
      <c r="F27273" s="0" t="s">
        <v>47</v>
      </c>
    </row>
    <row r="27274" customFormat="false" ht="12.8" hidden="false" customHeight="false" outlineLevel="0" collapsed="false">
      <c r="B27274" s="0" t="s">
        <v>48</v>
      </c>
      <c r="C27274" s="0" t="s">
        <v>1843</v>
      </c>
      <c r="D27274" s="0" t="s">
        <v>1843</v>
      </c>
      <c r="E27274" s="0" t="s">
        <v>1843</v>
      </c>
      <c r="F27274" s="0" t="s">
        <v>1843</v>
      </c>
    </row>
    <row r="27276" customFormat="false" ht="12.8" hidden="false" customHeight="false" outlineLevel="0" collapsed="false">
      <c r="A27276" s="0" t="s">
        <v>10173</v>
      </c>
      <c r="B27276" s="0" t="str">
        <f aca="false">HYPERLINK("https://lindat.mff.cuni.cz/services/teitok/pdtc10/index.php?action=vallex&amp;frame=v-whsa_1144f1_ZU", "podřizovat se (v-whsa_1144f1_ZU)")</f>
        <v>podřizovat se (v-whsa_1144f1_ZU)</v>
      </c>
    </row>
    <row r="27277" customFormat="false" ht="12.8" hidden="false" customHeight="false" outlineLevel="0" collapsed="false">
      <c r="B27277" s="0" t="s">
        <v>7</v>
      </c>
      <c r="C27277" s="0" t="s">
        <v>335</v>
      </c>
      <c r="D27277" s="0" t="s">
        <v>4567</v>
      </c>
      <c r="E27277" s="0" t="s">
        <v>4567</v>
      </c>
      <c r="F27277" s="0" t="s">
        <v>4568</v>
      </c>
    </row>
    <row r="27278" customFormat="false" ht="12.8" hidden="false" customHeight="false" outlineLevel="0" collapsed="false">
      <c r="B27278" s="0" t="s">
        <v>142</v>
      </c>
      <c r="C27278" s="0" t="s">
        <v>33</v>
      </c>
      <c r="D27278" s="0" t="s">
        <v>4569</v>
      </c>
      <c r="E27278" s="0" t="s">
        <v>4569</v>
      </c>
      <c r="F27278" s="0" t="s">
        <v>4570</v>
      </c>
    </row>
    <row r="27280" customFormat="false" ht="12.8" hidden="false" customHeight="false" outlineLevel="0" collapsed="false">
      <c r="A27280" s="0" t="s">
        <v>10173</v>
      </c>
      <c r="B27280" s="0" t="str">
        <f aca="false">HYPERLINK("https://lindat.mff.cuni.cz/services/teitok/pdtc10/index.php?action=vallex&amp;frame=v-whsa_1144hsa_1145", "podřizovat se (v-whsa_1144hsa_1145) - substituted with v-whsa_1144f1_ZU")</f>
        <v>podřizovat se (v-whsa_1144hsa_1145) - substituted with v-whsa_1144f1_ZU</v>
      </c>
    </row>
    <row r="27281" customFormat="false" ht="12.8" hidden="false" customHeight="false" outlineLevel="0" collapsed="false">
      <c r="B27281" s="0" t="s">
        <v>7</v>
      </c>
    </row>
    <row r="27282" customFormat="false" ht="12.8" hidden="false" customHeight="false" outlineLevel="0" collapsed="false">
      <c r="B27282" s="0" t="s">
        <v>142</v>
      </c>
    </row>
    <row r="27284" customFormat="false" ht="12.8" hidden="false" customHeight="false" outlineLevel="0" collapsed="false">
      <c r="A27284" s="0" t="s">
        <v>10174</v>
      </c>
      <c r="B27284" s="0" t="str">
        <f aca="false">HYPERLINK("https://lindat.mff.cuni.cz/services/teitok/pdtc10/index.php?action=vallex&amp;frame=v-w3636f1", "podřídit (v-w3636f1)")</f>
        <v>podřídit (v-w3636f1)</v>
      </c>
    </row>
    <row r="27285" customFormat="false" ht="12.8" hidden="false" customHeight="false" outlineLevel="0" collapsed="false">
      <c r="B27285" s="0" t="s">
        <v>7</v>
      </c>
      <c r="C27285" s="0" t="s">
        <v>10175</v>
      </c>
      <c r="D27285" s="0" t="s">
        <v>191</v>
      </c>
      <c r="E27285" s="0" t="s">
        <v>191</v>
      </c>
      <c r="F27285" s="0" t="s">
        <v>191</v>
      </c>
    </row>
    <row r="27286" customFormat="false" ht="12.8" hidden="false" customHeight="false" outlineLevel="0" collapsed="false">
      <c r="B27286" s="0" t="s">
        <v>14</v>
      </c>
      <c r="C27286" s="0" t="s">
        <v>10176</v>
      </c>
      <c r="D27286" s="0" t="s">
        <v>47</v>
      </c>
      <c r="E27286" s="0" t="s">
        <v>47</v>
      </c>
      <c r="F27286" s="0" t="s">
        <v>47</v>
      </c>
    </row>
    <row r="27287" customFormat="false" ht="12.8" hidden="false" customHeight="false" outlineLevel="0" collapsed="false">
      <c r="B27287" s="0" t="s">
        <v>48</v>
      </c>
      <c r="C27287" s="0" t="s">
        <v>10177</v>
      </c>
      <c r="D27287" s="0" t="s">
        <v>1843</v>
      </c>
      <c r="E27287" s="0" t="s">
        <v>1843</v>
      </c>
      <c r="F27287" s="0" t="s">
        <v>1843</v>
      </c>
    </row>
    <row r="27289" customFormat="false" ht="12.8" hidden="false" customHeight="false" outlineLevel="0" collapsed="false">
      <c r="A27289" s="0" t="s">
        <v>10178</v>
      </c>
      <c r="B27289" s="0" t="str">
        <f aca="false">HYPERLINK("https://lindat.mff.cuni.cz/services/teitok/pdtc10/index.php?action=vallex&amp;frame=v-w3637f1", "podřídit se (v-w3637f1)")</f>
        <v>podřídit se (v-w3637f1)</v>
      </c>
    </row>
    <row r="27290" customFormat="false" ht="12.8" hidden="false" customHeight="false" outlineLevel="0" collapsed="false">
      <c r="B27290" s="0" t="s">
        <v>7</v>
      </c>
      <c r="C27290" s="0" t="s">
        <v>460</v>
      </c>
      <c r="D27290" s="0" t="s">
        <v>4567</v>
      </c>
      <c r="E27290" s="0" t="s">
        <v>4567</v>
      </c>
      <c r="F27290" s="0" t="s">
        <v>4568</v>
      </c>
    </row>
    <row r="27291" customFormat="false" ht="12.8" hidden="false" customHeight="false" outlineLevel="0" collapsed="false">
      <c r="B27291" s="0" t="s">
        <v>142</v>
      </c>
      <c r="C27291" s="0" t="s">
        <v>493</v>
      </c>
      <c r="D27291" s="0" t="s">
        <v>4569</v>
      </c>
      <c r="E27291" s="0" t="s">
        <v>4569</v>
      </c>
      <c r="F27291" s="0" t="s">
        <v>4570</v>
      </c>
    </row>
    <row r="27293" customFormat="false" ht="12.8" hidden="false" customHeight="false" outlineLevel="0" collapsed="false">
      <c r="A27293" s="0" t="s">
        <v>10179</v>
      </c>
      <c r="B27293" s="0" t="str">
        <f aca="false">HYPERLINK("https://lindat.mff.cuni.cz/services/teitok/pdtc10/index.php?action=vallex&amp;frame=v-w10550f2", "podříznout (v-w10550f2)")</f>
        <v>podříznout (v-w10550f2)</v>
      </c>
    </row>
    <row r="27294" customFormat="false" ht="12.8" hidden="false" customHeight="false" outlineLevel="0" collapsed="false">
      <c r="B27294" s="0" t="s">
        <v>7</v>
      </c>
      <c r="D27294" s="0" t="s">
        <v>5057</v>
      </c>
      <c r="E27294" s="0" t="s">
        <v>5057</v>
      </c>
      <c r="F27294" s="0" t="s">
        <v>5057</v>
      </c>
    </row>
    <row r="27295" customFormat="false" ht="12.8" hidden="false" customHeight="false" outlineLevel="0" collapsed="false">
      <c r="B27295" s="0" t="s">
        <v>14</v>
      </c>
      <c r="D27295" s="0" t="s">
        <v>8042</v>
      </c>
      <c r="E27295" s="0" t="s">
        <v>8042</v>
      </c>
      <c r="F27295" s="0" t="s">
        <v>8042</v>
      </c>
    </row>
    <row r="27297" customFormat="false" ht="12.8" hidden="false" customHeight="false" outlineLevel="0" collapsed="false">
      <c r="A27297" s="0" t="s">
        <v>10180</v>
      </c>
      <c r="B27297" s="0" t="str">
        <f aca="false">HYPERLINK("https://lindat.mff.cuni.cz/services/teitok/pdtc10/index.php?action=vallex&amp;frame=v-whsa_145hsa_146", "poflakovat se (v-whsa_145hsa_146)")</f>
        <v>poflakovat se (v-whsa_145hsa_146)</v>
      </c>
    </row>
    <row r="27298" customFormat="false" ht="12.8" hidden="false" customHeight="false" outlineLevel="0" collapsed="false">
      <c r="B27298" s="0" t="s">
        <v>7</v>
      </c>
    </row>
    <row r="27300" customFormat="false" ht="12.8" hidden="false" customHeight="false" outlineLevel="0" collapsed="false">
      <c r="A27300" s="0" t="s">
        <v>10181</v>
      </c>
      <c r="B27300" s="0" t="str">
        <f aca="false">HYPERLINK("https://lindat.mff.cuni.cz/services/teitok/pdtc10/index.php?action=vallex&amp;frame=v-w11974_ZUf1_ZU", "pofoukat (v-w11974_ZUf1_ZU)")</f>
        <v>pofoukat (v-w11974_ZUf1_ZU)</v>
      </c>
    </row>
    <row r="27301" customFormat="false" ht="12.8" hidden="false" customHeight="false" outlineLevel="0" collapsed="false">
      <c r="B27301" s="0" t="s">
        <v>7</v>
      </c>
    </row>
    <row r="27302" customFormat="false" ht="12.8" hidden="false" customHeight="false" outlineLevel="0" collapsed="false">
      <c r="B27302" s="0" t="s">
        <v>14</v>
      </c>
    </row>
    <row r="27304" customFormat="false" ht="12.8" hidden="false" customHeight="false" outlineLevel="0" collapsed="false">
      <c r="A27304" s="0" t="s">
        <v>10182</v>
      </c>
      <c r="B27304" s="0" t="str">
        <f aca="false">HYPERLINK("https://lindat.mff.cuni.cz/services/teitok/pdtc10/index.php?action=vallex&amp;frame=v-whsa_608hsa_609", "pogratulovat (v-whsa_608hsa_609)")</f>
        <v>pogratulovat (v-whsa_608hsa_609)</v>
      </c>
    </row>
    <row r="27305" customFormat="false" ht="12.8" hidden="false" customHeight="false" outlineLevel="0" collapsed="false">
      <c r="B27305" s="0" t="s">
        <v>7</v>
      </c>
    </row>
    <row r="27306" customFormat="false" ht="12.8" hidden="false" customHeight="false" outlineLevel="0" collapsed="false">
      <c r="B27306" s="0" t="s">
        <v>237</v>
      </c>
    </row>
    <row r="27307" customFormat="false" ht="12.8" hidden="false" customHeight="false" outlineLevel="0" collapsed="false">
      <c r="B27307" s="0" t="s">
        <v>48</v>
      </c>
    </row>
    <row r="27309" customFormat="false" ht="12.8" hidden="false" customHeight="false" outlineLevel="0" collapsed="false">
      <c r="A27309" s="0" t="s">
        <v>10183</v>
      </c>
      <c r="B27309" s="0" t="str">
        <f aca="false">HYPERLINK("https://lindat.mff.cuni.cz/services/teitok/pdtc10/index.php?action=vallex&amp;frame=v-w3666f1", "pohasnout (v-w3666f1)")</f>
        <v>pohasnout (v-w3666f1)</v>
      </c>
    </row>
    <row r="27310" customFormat="false" ht="12.8" hidden="false" customHeight="false" outlineLevel="0" collapsed="false">
      <c r="B27310" s="0" t="s">
        <v>7</v>
      </c>
      <c r="D27310" s="0" t="s">
        <v>10184</v>
      </c>
      <c r="E27310" s="0" t="s">
        <v>10184</v>
      </c>
      <c r="F27310" s="0" t="s">
        <v>10184</v>
      </c>
    </row>
    <row r="27312" customFormat="false" ht="12.8" hidden="false" customHeight="false" outlineLevel="0" collapsed="false">
      <c r="A27312" s="0" t="s">
        <v>10185</v>
      </c>
      <c r="B27312" s="0" t="str">
        <f aca="false">HYPERLINK("https://lindat.mff.cuni.cz/services/teitok/pdtc10/index.php?action=vallex&amp;frame=v-w3668f1", "pohladit (v-w3668f1)")</f>
        <v>pohladit (v-w3668f1)</v>
      </c>
    </row>
    <row r="27313" customFormat="false" ht="12.8" hidden="false" customHeight="false" outlineLevel="0" collapsed="false">
      <c r="B27313" s="0" t="s">
        <v>7</v>
      </c>
    </row>
    <row r="27314" customFormat="false" ht="12.8" hidden="false" customHeight="false" outlineLevel="0" collapsed="false">
      <c r="B27314" s="0" t="s">
        <v>14</v>
      </c>
    </row>
    <row r="27316" customFormat="false" ht="12.8" hidden="false" customHeight="false" outlineLevel="0" collapsed="false">
      <c r="A27316" s="0" t="s">
        <v>10186</v>
      </c>
      <c r="B27316" s="0" t="str">
        <f aca="false">HYPERLINK("https://lindat.mff.cuni.cz/services/teitok/pdtc10/index.php?action=vallex&amp;frame=v-w3669f1", "pohladit si (v-w3669f1)")</f>
        <v>pohladit si (v-w3669f1)</v>
      </c>
    </row>
    <row r="27317" customFormat="false" ht="12.8" hidden="false" customHeight="false" outlineLevel="0" collapsed="false">
      <c r="B27317" s="0" t="s">
        <v>7</v>
      </c>
    </row>
    <row r="27318" customFormat="false" ht="12.8" hidden="false" customHeight="false" outlineLevel="0" collapsed="false">
      <c r="B27318" s="0" t="s">
        <v>14</v>
      </c>
    </row>
    <row r="27320" customFormat="false" ht="12.8" hidden="false" customHeight="false" outlineLevel="0" collapsed="false">
      <c r="A27320" s="0" t="s">
        <v>10187</v>
      </c>
      <c r="B27320" s="0" t="str">
        <f aca="false">HYPERLINK("https://lindat.mff.cuni.cz/services/teitok/pdtc10/index.php?action=vallex&amp;frame=v-w3671f1", "pohlcovat (v-w3671f1)")</f>
        <v>pohlcovat (v-w3671f1)</v>
      </c>
    </row>
    <row r="27321" customFormat="false" ht="12.8" hidden="false" customHeight="false" outlineLevel="0" collapsed="false">
      <c r="B27321" s="0" t="s">
        <v>7</v>
      </c>
      <c r="C27321" s="0" t="s">
        <v>118</v>
      </c>
      <c r="D27321" s="0" t="s">
        <v>22</v>
      </c>
      <c r="E27321" s="0" t="s">
        <v>22</v>
      </c>
      <c r="F27321" s="0" t="s">
        <v>22</v>
      </c>
    </row>
    <row r="27322" customFormat="false" ht="12.8" hidden="false" customHeight="false" outlineLevel="0" collapsed="false">
      <c r="B27322" s="0" t="s">
        <v>14</v>
      </c>
      <c r="C27322" s="0" t="s">
        <v>173</v>
      </c>
      <c r="D27322" s="0" t="s">
        <v>25</v>
      </c>
      <c r="E27322" s="0" t="s">
        <v>25</v>
      </c>
      <c r="F27322" s="0" t="s">
        <v>25</v>
      </c>
    </row>
    <row r="27324" customFormat="false" ht="12.8" hidden="false" customHeight="false" outlineLevel="0" collapsed="false">
      <c r="A27324" s="0" t="s">
        <v>10188</v>
      </c>
      <c r="B27324" s="0" t="str">
        <f aca="false">HYPERLINK("https://lindat.mff.cuni.cz/services/teitok/pdtc10/index.php?action=vallex&amp;frame=v-w3673f1", "pohledávat (v-w3673f1)")</f>
        <v>pohledávat (v-w3673f1)</v>
      </c>
    </row>
    <row r="27325" customFormat="false" ht="12.8" hidden="false" customHeight="false" outlineLevel="0" collapsed="false">
      <c r="B27325" s="0" t="s">
        <v>7</v>
      </c>
    </row>
    <row r="27326" customFormat="false" ht="12.8" hidden="false" customHeight="false" outlineLevel="0" collapsed="false">
      <c r="B27326" s="0" t="s">
        <v>14</v>
      </c>
    </row>
    <row r="27328" customFormat="false" ht="12.8" hidden="false" customHeight="false" outlineLevel="0" collapsed="false">
      <c r="A27328" s="0" t="s">
        <v>10189</v>
      </c>
      <c r="B27328" s="0" t="str">
        <f aca="false">HYPERLINK("https://lindat.mff.cuni.cz/services/teitok/pdtc10/index.php?action=vallex&amp;frame=v-w3678f1", "pohltit (v-w3678f1)")</f>
        <v>pohltit (v-w3678f1)</v>
      </c>
    </row>
    <row r="27329" customFormat="false" ht="12.8" hidden="false" customHeight="false" outlineLevel="0" collapsed="false">
      <c r="B27329" s="0" t="s">
        <v>7</v>
      </c>
      <c r="C27329" s="0" t="s">
        <v>3844</v>
      </c>
      <c r="D27329" s="0" t="s">
        <v>10190</v>
      </c>
      <c r="E27329" s="0" t="s">
        <v>10190</v>
      </c>
      <c r="F27329" s="0" t="s">
        <v>10190</v>
      </c>
    </row>
    <row r="27330" customFormat="false" ht="12.8" hidden="false" customHeight="false" outlineLevel="0" collapsed="false">
      <c r="B27330" s="0" t="s">
        <v>14</v>
      </c>
      <c r="C27330" s="0" t="s">
        <v>10191</v>
      </c>
      <c r="D27330" s="0" t="s">
        <v>10192</v>
      </c>
      <c r="E27330" s="0" t="s">
        <v>10192</v>
      </c>
      <c r="F27330" s="0" t="s">
        <v>10192</v>
      </c>
    </row>
    <row r="27332" customFormat="false" ht="12.8" hidden="false" customHeight="false" outlineLevel="0" collapsed="false">
      <c r="A27332" s="0" t="s">
        <v>10193</v>
      </c>
      <c r="B27332" s="0" t="str">
        <f aca="false">HYPERLINK("https://lindat.mff.cuni.cz/services/teitok/pdtc10/index.php?action=vallex&amp;frame=v-w3675f2", "pohlédnout (v-w3675f2)")</f>
        <v>pohlédnout (v-w3675f2)</v>
      </c>
    </row>
    <row r="27333" customFormat="false" ht="12.8" hidden="false" customHeight="false" outlineLevel="0" collapsed="false">
      <c r="B27333" s="0" t="s">
        <v>7</v>
      </c>
    </row>
    <row r="27334" customFormat="false" ht="12.8" hidden="false" customHeight="false" outlineLevel="0" collapsed="false">
      <c r="B27334" s="0" t="s">
        <v>41</v>
      </c>
    </row>
    <row r="27335" customFormat="false" ht="12.8" hidden="false" customHeight="false" outlineLevel="0" collapsed="false">
      <c r="B27335" s="0" t="s">
        <v>474</v>
      </c>
    </row>
    <row r="27336" customFormat="false" ht="12.8" hidden="false" customHeight="false" outlineLevel="0" collapsed="false">
      <c r="B27336" s="0" t="s">
        <v>479</v>
      </c>
    </row>
    <row r="27337" customFormat="false" ht="12.8" hidden="false" customHeight="false" outlineLevel="0" collapsed="false">
      <c r="B27337" s="0" t="s">
        <v>481</v>
      </c>
    </row>
    <row r="27338" customFormat="false" ht="12.8" hidden="false" customHeight="false" outlineLevel="0" collapsed="false">
      <c r="B27338" s="0" t="s">
        <v>483</v>
      </c>
    </row>
    <row r="27340" customFormat="false" ht="12.8" hidden="false" customHeight="false" outlineLevel="0" collapsed="false">
      <c r="A27340" s="0" t="s">
        <v>10194</v>
      </c>
      <c r="B27340" s="0" t="str">
        <f aca="false">HYPERLINK("https://lindat.mff.cuni.cz/services/teitok/pdtc10/index.php?action=vallex&amp;frame=v-w3675f1", "pohlédnout (v-w3675f1)")</f>
        <v>pohlédnout (v-w3675f1)</v>
      </c>
    </row>
    <row r="27341" customFormat="false" ht="12.8" hidden="false" customHeight="false" outlineLevel="0" collapsed="false">
      <c r="B27341" s="0" t="s">
        <v>7</v>
      </c>
      <c r="E27341" s="0" t="s">
        <v>428</v>
      </c>
      <c r="F27341" s="0" t="s">
        <v>428</v>
      </c>
    </row>
    <row r="27342" customFormat="false" ht="12.8" hidden="false" customHeight="false" outlineLevel="0" collapsed="false">
      <c r="B27342" s="0" t="s">
        <v>124</v>
      </c>
      <c r="E27342" s="0" t="s">
        <v>3412</v>
      </c>
      <c r="F27342" s="0" t="s">
        <v>3412</v>
      </c>
    </row>
    <row r="27344" customFormat="false" ht="12.8" hidden="false" customHeight="false" outlineLevel="0" collapsed="false">
      <c r="A27344" s="0" t="s">
        <v>10195</v>
      </c>
      <c r="B27344" s="0" t="str">
        <f aca="false">HYPERLINK("https://lindat.mff.cuni.cz/services/teitok/pdtc10/index.php?action=vallex&amp;frame=v-w3676f1", "pohlídat (v-w3676f1)")</f>
        <v>pohlídat (v-w3676f1)</v>
      </c>
    </row>
    <row r="27345" customFormat="false" ht="12.8" hidden="false" customHeight="false" outlineLevel="0" collapsed="false">
      <c r="B27345" s="0" t="s">
        <v>7</v>
      </c>
    </row>
    <row r="27346" customFormat="false" ht="12.8" hidden="false" customHeight="false" outlineLevel="0" collapsed="false">
      <c r="B27346" s="0" t="s">
        <v>14</v>
      </c>
    </row>
    <row r="27348" customFormat="false" ht="12.8" hidden="false" customHeight="false" outlineLevel="0" collapsed="false">
      <c r="A27348" s="0" t="s">
        <v>10196</v>
      </c>
      <c r="B27348" s="0" t="str">
        <f aca="false">HYPERLINK("https://lindat.mff.cuni.cz/services/teitok/pdtc10/index.php?action=vallex&amp;frame=v-w3677f2", "pohlížet (v-w3677f2)")</f>
        <v>pohlížet (v-w3677f2)</v>
      </c>
    </row>
    <row r="27349" customFormat="false" ht="12.8" hidden="false" customHeight="false" outlineLevel="0" collapsed="false">
      <c r="B27349" s="0" t="s">
        <v>7</v>
      </c>
      <c r="C27349" s="0" t="s">
        <v>10197</v>
      </c>
      <c r="D27349" s="0" t="s">
        <v>451</v>
      </c>
      <c r="E27349" s="0" t="s">
        <v>451</v>
      </c>
      <c r="F27349" s="0" t="s">
        <v>451</v>
      </c>
    </row>
    <row r="27350" customFormat="false" ht="12.8" hidden="false" customHeight="false" outlineLevel="0" collapsed="false">
      <c r="B27350" s="0" t="s">
        <v>41</v>
      </c>
      <c r="C27350" s="0" t="s">
        <v>111</v>
      </c>
      <c r="D27350" s="0" t="s">
        <v>453</v>
      </c>
      <c r="E27350" s="0" t="s">
        <v>453</v>
      </c>
      <c r="F27350" s="0" t="s">
        <v>453</v>
      </c>
    </row>
    <row r="27351" customFormat="false" ht="12.8" hidden="false" customHeight="false" outlineLevel="0" collapsed="false">
      <c r="B27351" s="0" t="s">
        <v>10198</v>
      </c>
      <c r="C27351" s="0" t="s">
        <v>10199</v>
      </c>
      <c r="D27351" s="0" t="s">
        <v>455</v>
      </c>
      <c r="E27351" s="0" t="s">
        <v>455</v>
      </c>
      <c r="F27351" s="0" t="s">
        <v>455</v>
      </c>
    </row>
    <row r="27353" customFormat="false" ht="12.8" hidden="false" customHeight="false" outlineLevel="0" collapsed="false">
      <c r="A27353" s="0" t="s">
        <v>10200</v>
      </c>
      <c r="B27353" s="0" t="str">
        <f aca="false">HYPERLINK("https://lindat.mff.cuni.cz/services/teitok/pdtc10/index.php?action=vallex&amp;frame=v-w3677f1", "pohlížet (v-w3677f1)")</f>
        <v>pohlížet (v-w3677f1)</v>
      </c>
    </row>
    <row r="27354" customFormat="false" ht="12.8" hidden="false" customHeight="false" outlineLevel="0" collapsed="false">
      <c r="B27354" s="0" t="s">
        <v>7</v>
      </c>
      <c r="C27354" s="0" t="s">
        <v>10201</v>
      </c>
      <c r="D27354" s="0" t="s">
        <v>451</v>
      </c>
      <c r="E27354" s="0" t="s">
        <v>451</v>
      </c>
      <c r="F27354" s="0" t="s">
        <v>451</v>
      </c>
    </row>
    <row r="27355" customFormat="false" ht="12.8" hidden="false" customHeight="false" outlineLevel="0" collapsed="false">
      <c r="B27355" s="0" t="s">
        <v>41</v>
      </c>
      <c r="C27355" s="0" t="s">
        <v>10202</v>
      </c>
      <c r="D27355" s="0" t="s">
        <v>453</v>
      </c>
      <c r="E27355" s="0" t="s">
        <v>453</v>
      </c>
      <c r="F27355" s="0" t="s">
        <v>453</v>
      </c>
    </row>
    <row r="27356" customFormat="false" ht="12.8" hidden="false" customHeight="false" outlineLevel="0" collapsed="false">
      <c r="B27356" s="0" t="s">
        <v>474</v>
      </c>
      <c r="C27356" s="0" t="s">
        <v>10203</v>
      </c>
      <c r="D27356" s="0" t="s">
        <v>3401</v>
      </c>
      <c r="E27356" s="0" t="s">
        <v>3401</v>
      </c>
      <c r="F27356" s="0" t="s">
        <v>3401</v>
      </c>
    </row>
    <row r="27357" customFormat="false" ht="12.8" hidden="false" customHeight="false" outlineLevel="0" collapsed="false">
      <c r="B27357" s="0" t="s">
        <v>479</v>
      </c>
      <c r="D27357" s="0" t="s">
        <v>3402</v>
      </c>
      <c r="E27357" s="0" t="s">
        <v>3402</v>
      </c>
      <c r="F27357" s="0" t="s">
        <v>3402</v>
      </c>
    </row>
    <row r="27358" customFormat="false" ht="12.8" hidden="false" customHeight="false" outlineLevel="0" collapsed="false">
      <c r="B27358" s="0" t="s">
        <v>481</v>
      </c>
      <c r="D27358" s="0" t="s">
        <v>3403</v>
      </c>
      <c r="E27358" s="0" t="s">
        <v>3403</v>
      </c>
      <c r="F27358" s="0" t="s">
        <v>3403</v>
      </c>
    </row>
    <row r="27359" customFormat="false" ht="12.8" hidden="false" customHeight="false" outlineLevel="0" collapsed="false">
      <c r="B27359" s="0" t="s">
        <v>483</v>
      </c>
      <c r="D27359" s="0" t="s">
        <v>3405</v>
      </c>
      <c r="E27359" s="0" t="s">
        <v>3405</v>
      </c>
      <c r="F27359" s="0" t="s">
        <v>3405</v>
      </c>
    </row>
    <row r="27361" customFormat="false" ht="12.8" hidden="false" customHeight="false" outlineLevel="0" collapsed="false">
      <c r="A27361" s="0" t="s">
        <v>10204</v>
      </c>
      <c r="B27361" s="0" t="str">
        <f aca="false">HYPERLINK("https://lindat.mff.cuni.cz/services/teitok/pdtc10/index.php?action=vallex&amp;frame=v-w3677f3", "pohlížet (v-w3677f3)")</f>
        <v>pohlížet (v-w3677f3)</v>
      </c>
    </row>
    <row r="27362" customFormat="false" ht="12.8" hidden="false" customHeight="false" outlineLevel="0" collapsed="false">
      <c r="B27362" s="0" t="s">
        <v>7</v>
      </c>
    </row>
    <row r="27363" customFormat="false" ht="12.8" hidden="false" customHeight="false" outlineLevel="0" collapsed="false">
      <c r="B27363" s="0" t="s">
        <v>124</v>
      </c>
    </row>
    <row r="27365" customFormat="false" ht="12.8" hidden="false" customHeight="false" outlineLevel="0" collapsed="false">
      <c r="A27365" s="0" t="s">
        <v>10205</v>
      </c>
      <c r="B27365" s="0" t="str">
        <f aca="false">HYPERLINK("https://lindat.mff.cuni.cz/services/teitok/pdtc10/index.php?action=vallex&amp;frame=v-w3679f1", "pohnat (v-w3679f1)")</f>
        <v>pohnat (v-w3679f1)</v>
      </c>
    </row>
    <row r="27366" customFormat="false" ht="12.8" hidden="false" customHeight="false" outlineLevel="0" collapsed="false">
      <c r="B27366" s="0" t="s">
        <v>7</v>
      </c>
      <c r="C27366" s="0" t="s">
        <v>2170</v>
      </c>
    </row>
    <row r="27367" customFormat="false" ht="12.8" hidden="false" customHeight="false" outlineLevel="0" collapsed="false">
      <c r="B27367" s="0" t="s">
        <v>14</v>
      </c>
      <c r="C27367" s="0" t="s">
        <v>25</v>
      </c>
    </row>
    <row r="27368" customFormat="false" ht="12.8" hidden="false" customHeight="false" outlineLevel="0" collapsed="false">
      <c r="B27368" s="0" t="s">
        <v>124</v>
      </c>
      <c r="C27368" s="0" t="s">
        <v>10206</v>
      </c>
    </row>
    <row r="27370" customFormat="false" ht="12.8" hidden="false" customHeight="false" outlineLevel="0" collapsed="false">
      <c r="A27370" s="0" t="s">
        <v>10207</v>
      </c>
      <c r="B27370" s="0" t="str">
        <f aca="false">HYPERLINK("https://lindat.mff.cuni.cz/services/teitok/pdtc10/index.php?action=vallex&amp;frame=v-w3679f2_ZU", "pohnat (v-w3679f2_ZU)")</f>
        <v>pohnat (v-w3679f2_ZU)</v>
      </c>
    </row>
    <row r="27371" customFormat="false" ht="12.8" hidden="false" customHeight="false" outlineLevel="0" collapsed="false">
      <c r="B27371" s="0" t="s">
        <v>7</v>
      </c>
    </row>
    <row r="27372" customFormat="false" ht="12.8" hidden="false" customHeight="false" outlineLevel="0" collapsed="false">
      <c r="B27372" s="0" t="s">
        <v>14</v>
      </c>
    </row>
    <row r="27374" customFormat="false" ht="12.8" hidden="false" customHeight="false" outlineLevel="0" collapsed="false">
      <c r="A27374" s="0" t="s">
        <v>10208</v>
      </c>
      <c r="B27374" s="0" t="str">
        <f aca="false">HYPERLINK("https://lindat.mff.cuni.cz/services/teitok/pdtc10/index.php?action=vallex&amp;frame=v-w3680f1", "pohnout (v-w3680f1)")</f>
        <v>pohnout (v-w3680f1)</v>
      </c>
    </row>
    <row r="27375" customFormat="false" ht="12.8" hidden="false" customHeight="false" outlineLevel="0" collapsed="false">
      <c r="B27375" s="0" t="s">
        <v>7</v>
      </c>
      <c r="C27375" s="0" t="s">
        <v>10209</v>
      </c>
    </row>
    <row r="27376" customFormat="false" ht="12.8" hidden="false" customHeight="false" outlineLevel="0" collapsed="false">
      <c r="B27376" s="0" t="s">
        <v>3760</v>
      </c>
      <c r="C27376" s="0" t="s">
        <v>10210</v>
      </c>
    </row>
    <row r="27378" customFormat="false" ht="12.8" hidden="false" customHeight="false" outlineLevel="0" collapsed="false">
      <c r="A27378" s="0" t="s">
        <v>10211</v>
      </c>
      <c r="B27378" s="0" t="str">
        <f aca="false">HYPERLINK("https://lindat.mff.cuni.cz/services/teitok/pdtc10/index.php?action=vallex&amp;frame=v-w3681f1", "pohnout se (v-w3681f1)")</f>
        <v>pohnout se (v-w3681f1)</v>
      </c>
    </row>
    <row r="27379" customFormat="false" ht="12.8" hidden="false" customHeight="false" outlineLevel="0" collapsed="false">
      <c r="B27379" s="0" t="s">
        <v>7</v>
      </c>
      <c r="C27379" s="0" t="s">
        <v>10212</v>
      </c>
      <c r="D27379" s="0" t="s">
        <v>3856</v>
      </c>
      <c r="E27379" s="0" t="s">
        <v>3856</v>
      </c>
      <c r="F27379" s="0" t="s">
        <v>3856</v>
      </c>
    </row>
    <row r="27381" customFormat="false" ht="12.8" hidden="false" customHeight="false" outlineLevel="0" collapsed="false">
      <c r="A27381" s="0" t="s">
        <v>10213</v>
      </c>
      <c r="B27381" s="0" t="str">
        <f aca="false">HYPERLINK("https://lindat.mff.cuni.cz/services/teitok/pdtc10/index.php?action=vallex&amp;frame=v-w11547_ZUf1_ZU", "pohodit (v-w11547_ZUf1_ZU)")</f>
        <v>pohodit (v-w11547_ZUf1_ZU)</v>
      </c>
    </row>
    <row r="27382" customFormat="false" ht="12.8" hidden="false" customHeight="false" outlineLevel="0" collapsed="false">
      <c r="B27382" s="0" t="s">
        <v>7</v>
      </c>
      <c r="C27382" s="0" t="s">
        <v>126</v>
      </c>
      <c r="E27382" s="0" t="s">
        <v>2235</v>
      </c>
      <c r="F27382" s="0" t="s">
        <v>2235</v>
      </c>
    </row>
    <row r="27383" customFormat="false" ht="12.8" hidden="false" customHeight="false" outlineLevel="0" collapsed="false">
      <c r="B27383" s="0" t="s">
        <v>14</v>
      </c>
      <c r="C27383" s="0" t="s">
        <v>1146</v>
      </c>
      <c r="E27383" s="0" t="s">
        <v>2237</v>
      </c>
      <c r="F27383" s="0" t="s">
        <v>2237</v>
      </c>
    </row>
    <row r="27385" customFormat="false" ht="12.8" hidden="false" customHeight="false" outlineLevel="0" collapsed="false">
      <c r="A27385" s="0" t="s">
        <v>10214</v>
      </c>
      <c r="B27385" s="0" t="str">
        <f aca="false">HYPERLINK("https://lindat.mff.cuni.cz/services/teitok/pdtc10/index.php?action=vallex&amp;frame=v-whsa_1126f1_ZU", "pohodnout se (v-whsa_1126f1_ZU)")</f>
        <v>pohodnout se (v-whsa_1126f1_ZU)</v>
      </c>
    </row>
    <row r="27386" customFormat="false" ht="12.8" hidden="false" customHeight="false" outlineLevel="0" collapsed="false">
      <c r="B27386" s="0" t="s">
        <v>7</v>
      </c>
    </row>
    <row r="27387" customFormat="false" ht="12.8" hidden="false" customHeight="false" outlineLevel="0" collapsed="false">
      <c r="B27387" s="0" t="s">
        <v>548</v>
      </c>
    </row>
    <row r="27388" customFormat="false" ht="12.8" hidden="false" customHeight="false" outlineLevel="0" collapsed="false">
      <c r="B27388" s="0" t="s">
        <v>666</v>
      </c>
    </row>
    <row r="27390" customFormat="false" ht="12.8" hidden="false" customHeight="false" outlineLevel="0" collapsed="false">
      <c r="A27390" s="0" t="s">
        <v>10214</v>
      </c>
      <c r="B27390" s="0" t="str">
        <f aca="false">HYPERLINK("https://lindat.mff.cuni.cz/services/teitok/pdtc10/index.php?action=vallex&amp;frame=v-whsa_1126hsa_1127", "pohodnout se (v-whsa_1126hsa_1127) - substituted with v-whsa_1126f1_ZU")</f>
        <v>pohodnout se (v-whsa_1126hsa_1127) - substituted with v-whsa_1126f1_ZU</v>
      </c>
    </row>
    <row r="27391" customFormat="false" ht="12.8" hidden="false" customHeight="false" outlineLevel="0" collapsed="false">
      <c r="B27391" s="0" t="s">
        <v>7</v>
      </c>
    </row>
    <row r="27392" customFormat="false" ht="12.8" hidden="false" customHeight="false" outlineLevel="0" collapsed="false">
      <c r="B27392" s="0" t="s">
        <v>548</v>
      </c>
    </row>
    <row r="27393" customFormat="false" ht="12.8" hidden="false" customHeight="false" outlineLevel="0" collapsed="false">
      <c r="B27393" s="0" t="s">
        <v>666</v>
      </c>
    </row>
    <row r="27395" customFormat="false" ht="12.8" hidden="false" customHeight="false" outlineLevel="0" collapsed="false">
      <c r="A27395" s="0" t="s">
        <v>10215</v>
      </c>
      <c r="B27395" s="0" t="str">
        <f aca="false">HYPERLINK("https://lindat.mff.cuni.cz/services/teitok/pdtc10/index.php?action=vallex&amp;frame=v-w11253f1", "pohoršit (v-w11253f1)")</f>
        <v>pohoršit (v-w11253f1)</v>
      </c>
    </row>
    <row r="27396" customFormat="false" ht="12.8" hidden="false" customHeight="false" outlineLevel="0" collapsed="false">
      <c r="B27396" s="0" t="s">
        <v>7</v>
      </c>
    </row>
    <row r="27397" customFormat="false" ht="12.8" hidden="false" customHeight="false" outlineLevel="0" collapsed="false">
      <c r="B27397" s="0" t="s">
        <v>142</v>
      </c>
    </row>
    <row r="27399" customFormat="false" ht="12.8" hidden="false" customHeight="false" outlineLevel="0" collapsed="false">
      <c r="A27399" s="0" t="s">
        <v>10216</v>
      </c>
      <c r="B27399" s="0" t="str">
        <f aca="false">HYPERLINK("https://lindat.mff.cuni.cz/services/teitok/pdtc10/index.php?action=vallex&amp;frame=v-w11253f2", "pohoršit (v-w11253f2)")</f>
        <v>pohoršit (v-w11253f2)</v>
      </c>
    </row>
    <row r="27400" customFormat="false" ht="12.8" hidden="false" customHeight="false" outlineLevel="0" collapsed="false">
      <c r="B27400" s="0" t="s">
        <v>7</v>
      </c>
    </row>
    <row r="27401" customFormat="false" ht="12.8" hidden="false" customHeight="false" outlineLevel="0" collapsed="false">
      <c r="B27401" s="0" t="s">
        <v>14</v>
      </c>
    </row>
    <row r="27403" customFormat="false" ht="12.8" hidden="false" customHeight="false" outlineLevel="0" collapsed="false">
      <c r="A27403" s="0" t="s">
        <v>10217</v>
      </c>
      <c r="B27403" s="0" t="str">
        <f aca="false">HYPERLINK("https://lindat.mff.cuni.cz/services/teitok/pdtc10/index.php?action=vallex&amp;frame=v-w3684f1", "pohoršit si (v-w3684f1)")</f>
        <v>pohoršit si (v-w3684f1)</v>
      </c>
    </row>
    <row r="27404" customFormat="false" ht="12.8" hidden="false" customHeight="false" outlineLevel="0" collapsed="false">
      <c r="B27404" s="0" t="s">
        <v>7</v>
      </c>
      <c r="C27404" s="0" t="s">
        <v>5063</v>
      </c>
    </row>
    <row r="27406" customFormat="false" ht="12.8" hidden="false" customHeight="false" outlineLevel="0" collapsed="false">
      <c r="A27406" s="0" t="s">
        <v>10218</v>
      </c>
      <c r="B27406" s="0" t="str">
        <f aca="false">HYPERLINK("https://lindat.mff.cuni.cz/services/teitok/pdtc10/index.php?action=vallex&amp;frame=v-w3684hsa_120", "pohoršit si (v-w3684hsa_120)")</f>
        <v>pohoršit si (v-w3684hsa_120)</v>
      </c>
    </row>
    <row r="27407" customFormat="false" ht="12.8" hidden="false" customHeight="false" outlineLevel="0" collapsed="false">
      <c r="B27407" s="0" t="s">
        <v>7</v>
      </c>
    </row>
    <row r="27408" customFormat="false" ht="12.8" hidden="false" customHeight="false" outlineLevel="0" collapsed="false">
      <c r="B27408" s="0" t="s">
        <v>63</v>
      </c>
    </row>
    <row r="27409" customFormat="false" ht="12.8" hidden="false" customHeight="false" outlineLevel="0" collapsed="false">
      <c r="B27409" s="0" t="s">
        <v>35</v>
      </c>
    </row>
    <row r="27411" customFormat="false" ht="12.8" hidden="false" customHeight="false" outlineLevel="0" collapsed="false">
      <c r="A27411" s="0" t="s">
        <v>10219</v>
      </c>
      <c r="B27411" s="0" t="str">
        <f aca="false">HYPERLINK("https://lindat.mff.cuni.cz/services/teitok/pdtc10/index.php?action=vallex&amp;frame=v-w10699f2", "pohostit (v-w10699f2)")</f>
        <v>pohostit (v-w10699f2)</v>
      </c>
    </row>
    <row r="27412" customFormat="false" ht="12.8" hidden="false" customHeight="false" outlineLevel="0" collapsed="false">
      <c r="B27412" s="0" t="s">
        <v>7</v>
      </c>
      <c r="C27412" s="0" t="s">
        <v>46</v>
      </c>
      <c r="D27412" s="0" t="s">
        <v>113</v>
      </c>
      <c r="E27412" s="0" t="s">
        <v>113</v>
      </c>
      <c r="F27412" s="0" t="s">
        <v>113</v>
      </c>
    </row>
    <row r="27413" customFormat="false" ht="12.8" hidden="false" customHeight="false" outlineLevel="0" collapsed="false">
      <c r="B27413" s="0" t="s">
        <v>14</v>
      </c>
      <c r="C27413" s="0" t="s">
        <v>47</v>
      </c>
      <c r="D27413" s="0" t="s">
        <v>1170</v>
      </c>
      <c r="E27413" s="0" t="s">
        <v>1170</v>
      </c>
      <c r="F27413" s="0" t="s">
        <v>1170</v>
      </c>
    </row>
    <row r="27415" customFormat="false" ht="12.8" hidden="false" customHeight="false" outlineLevel="0" collapsed="false">
      <c r="A27415" s="0" t="s">
        <v>10220</v>
      </c>
      <c r="B27415" s="0" t="str">
        <f aca="false">HYPERLINK("https://lindat.mff.cuni.cz/services/teitok/pdtc10/index.php?action=vallex&amp;frame=v-w3687f2", "pohovořit (v-w3687f2)")</f>
        <v>pohovořit (v-w3687f2)</v>
      </c>
    </row>
    <row r="27416" customFormat="false" ht="12.8" hidden="false" customHeight="false" outlineLevel="0" collapsed="false">
      <c r="B27416" s="0" t="s">
        <v>7</v>
      </c>
      <c r="E27416" s="0" t="s">
        <v>209</v>
      </c>
      <c r="F27416" s="0" t="s">
        <v>209</v>
      </c>
    </row>
    <row r="27417" customFormat="false" ht="12.8" hidden="false" customHeight="false" outlineLevel="0" collapsed="false">
      <c r="B27417" s="0" t="s">
        <v>244</v>
      </c>
      <c r="E27417" s="0" t="s">
        <v>211</v>
      </c>
      <c r="F27417" s="0" t="s">
        <v>211</v>
      </c>
    </row>
    <row r="27418" customFormat="false" ht="12.8" hidden="false" customHeight="false" outlineLevel="0" collapsed="false">
      <c r="B27418" s="0" t="s">
        <v>10221</v>
      </c>
      <c r="E27418" s="0" t="s">
        <v>213</v>
      </c>
      <c r="F27418" s="0" t="s">
        <v>213</v>
      </c>
    </row>
    <row r="27420" customFormat="false" ht="12.8" hidden="false" customHeight="false" outlineLevel="0" collapsed="false">
      <c r="A27420" s="0" t="s">
        <v>10222</v>
      </c>
      <c r="B27420" s="0" t="str">
        <f aca="false">HYPERLINK("https://lindat.mff.cuni.cz/services/teitok/pdtc10/index.php?action=vallex&amp;frame=v-w3687f1", "pohovořit (v-w3687f1)")</f>
        <v>pohovořit (v-w3687f1)</v>
      </c>
    </row>
    <row r="27421" customFormat="false" ht="12.8" hidden="false" customHeight="false" outlineLevel="0" collapsed="false">
      <c r="B27421" s="0" t="s">
        <v>7</v>
      </c>
      <c r="E27421" s="0" t="s">
        <v>209</v>
      </c>
      <c r="F27421" s="0" t="s">
        <v>209</v>
      </c>
    </row>
    <row r="27422" customFormat="false" ht="12.8" hidden="false" customHeight="false" outlineLevel="0" collapsed="false">
      <c r="B27422" s="0" t="s">
        <v>244</v>
      </c>
      <c r="E27422" s="0" t="s">
        <v>211</v>
      </c>
      <c r="F27422" s="0" t="s">
        <v>211</v>
      </c>
    </row>
    <row r="27423" customFormat="false" ht="12.8" hidden="false" customHeight="false" outlineLevel="0" collapsed="false">
      <c r="B27423" s="0" t="s">
        <v>2767</v>
      </c>
      <c r="E27423" s="0" t="s">
        <v>213</v>
      </c>
      <c r="F27423" s="0" t="s">
        <v>213</v>
      </c>
    </row>
    <row r="27425" customFormat="false" ht="12.8" hidden="false" customHeight="false" outlineLevel="0" collapsed="false">
      <c r="A27425" s="0" t="s">
        <v>10223</v>
      </c>
      <c r="B27425" s="0" t="str">
        <f aca="false">HYPERLINK("https://lindat.mff.cuni.cz/services/teitok/pdtc10/index.php?action=vallex&amp;frame=v-w3685f2", "pohořet (v-w3685f2)")</f>
        <v>pohořet (v-w3685f2)</v>
      </c>
    </row>
    <row r="27426" customFormat="false" ht="12.8" hidden="false" customHeight="false" outlineLevel="0" collapsed="false">
      <c r="B27426" s="0" t="s">
        <v>7</v>
      </c>
    </row>
    <row r="27427" customFormat="false" ht="12.8" hidden="false" customHeight="false" outlineLevel="0" collapsed="false">
      <c r="B27427" s="0" t="s">
        <v>548</v>
      </c>
    </row>
    <row r="27429" customFormat="false" ht="12.8" hidden="false" customHeight="false" outlineLevel="0" collapsed="false">
      <c r="A27429" s="0" t="s">
        <v>10224</v>
      </c>
      <c r="B27429" s="0" t="str">
        <f aca="false">HYPERLINK("https://lindat.mff.cuni.cz/services/teitok/pdtc10/index.php?action=vallex&amp;frame=v-w3685f1", "pohořet (v-w3685f1)")</f>
        <v>pohořet (v-w3685f1)</v>
      </c>
    </row>
    <row r="27430" customFormat="false" ht="12.8" hidden="false" customHeight="false" outlineLevel="0" collapsed="false">
      <c r="B27430" s="0" t="s">
        <v>7</v>
      </c>
    </row>
    <row r="27432" customFormat="false" ht="12.8" hidden="false" customHeight="false" outlineLevel="0" collapsed="false">
      <c r="A27432" s="0" t="s">
        <v>10225</v>
      </c>
      <c r="B27432" s="0" t="str">
        <f aca="false">HYPERLINK("https://lindat.mff.cuni.cz/services/teitok/pdtc10/index.php?action=vallex&amp;frame=v-w12300_MMf1_MM", "pohrabovat (v-w12300_MMf1_MM)")</f>
        <v>pohrabovat (v-w12300_MMf1_MM)</v>
      </c>
    </row>
    <row r="27433" customFormat="false" ht="12.8" hidden="false" customHeight="false" outlineLevel="0" collapsed="false">
      <c r="B27433" s="0" t="s">
        <v>7</v>
      </c>
    </row>
    <row r="27434" customFormat="false" ht="12.8" hidden="false" customHeight="false" outlineLevel="0" collapsed="false">
      <c r="B27434" s="0" t="s">
        <v>14</v>
      </c>
    </row>
    <row r="27436" customFormat="false" ht="12.8" hidden="false" customHeight="false" outlineLevel="0" collapsed="false">
      <c r="A27436" s="0" t="s">
        <v>10226</v>
      </c>
      <c r="B27436" s="0" t="str">
        <f aca="false">HYPERLINK("https://lindat.mff.cuni.cz/services/teitok/pdtc10/index.php?action=vallex&amp;frame=v-w3690f1", "pohrdat (v-w3690f1)")</f>
        <v>pohrdat (v-w3690f1)</v>
      </c>
    </row>
    <row r="27437" customFormat="false" ht="12.8" hidden="false" customHeight="false" outlineLevel="0" collapsed="false">
      <c r="B27437" s="0" t="s">
        <v>7</v>
      </c>
      <c r="C27437" s="0" t="s">
        <v>184</v>
      </c>
      <c r="D27437" s="0" t="s">
        <v>88</v>
      </c>
      <c r="E27437" s="0" t="s">
        <v>88</v>
      </c>
      <c r="F27437" s="0" t="s">
        <v>88</v>
      </c>
    </row>
    <row r="27438" customFormat="false" ht="12.8" hidden="false" customHeight="false" outlineLevel="0" collapsed="false">
      <c r="B27438" s="0" t="s">
        <v>216</v>
      </c>
      <c r="C27438" s="0" t="s">
        <v>115</v>
      </c>
      <c r="D27438" s="0" t="s">
        <v>120</v>
      </c>
      <c r="E27438" s="0" t="s">
        <v>120</v>
      </c>
      <c r="F27438" s="0" t="s">
        <v>120</v>
      </c>
    </row>
    <row r="27440" customFormat="false" ht="12.8" hidden="false" customHeight="false" outlineLevel="0" collapsed="false">
      <c r="A27440" s="0" t="s">
        <v>10227</v>
      </c>
      <c r="B27440" s="0" t="str">
        <f aca="false">HYPERLINK("https://lindat.mff.cuni.cz/services/teitok/pdtc10/index.php?action=vallex&amp;frame=v-w10935f2", "pohrdnout (v-w10935f2)")</f>
        <v>pohrdnout (v-w10935f2)</v>
      </c>
    </row>
    <row r="27441" customFormat="false" ht="12.8" hidden="false" customHeight="false" outlineLevel="0" collapsed="false">
      <c r="B27441" s="0" t="s">
        <v>7</v>
      </c>
      <c r="D27441" s="0" t="s">
        <v>88</v>
      </c>
      <c r="E27441" s="0" t="s">
        <v>88</v>
      </c>
      <c r="F27441" s="0" t="s">
        <v>88</v>
      </c>
    </row>
    <row r="27442" customFormat="false" ht="12.8" hidden="false" customHeight="false" outlineLevel="0" collapsed="false">
      <c r="B27442" s="0" t="s">
        <v>216</v>
      </c>
      <c r="D27442" s="0" t="s">
        <v>120</v>
      </c>
      <c r="E27442" s="0" t="s">
        <v>120</v>
      </c>
      <c r="F27442" s="0" t="s">
        <v>120</v>
      </c>
    </row>
    <row r="27444" customFormat="false" ht="12.8" hidden="false" customHeight="false" outlineLevel="0" collapsed="false">
      <c r="A27444" s="0" t="s">
        <v>10228</v>
      </c>
      <c r="B27444" s="0" t="str">
        <f aca="false">HYPERLINK("https://lindat.mff.cuni.cz/services/teitok/pdtc10/index.php?action=vallex&amp;frame=v-w3691f2", "pohroužit se (v-w3691f2)")</f>
        <v>pohroužit se (v-w3691f2)</v>
      </c>
    </row>
    <row r="27445" customFormat="false" ht="12.8" hidden="false" customHeight="false" outlineLevel="0" collapsed="false">
      <c r="B27445" s="0" t="s">
        <v>7</v>
      </c>
    </row>
    <row r="27446" customFormat="false" ht="12.8" hidden="false" customHeight="false" outlineLevel="0" collapsed="false">
      <c r="B27446" s="0" t="s">
        <v>10229</v>
      </c>
    </row>
    <row r="27448" customFormat="false" ht="12.8" hidden="false" customHeight="false" outlineLevel="0" collapsed="false">
      <c r="A27448" s="0" t="s">
        <v>10228</v>
      </c>
      <c r="B27448" s="0" t="str">
        <f aca="false">HYPERLINK("https://lindat.mff.cuni.cz/services/teitok/pdtc10/index.php?action=vallex&amp;frame=v-w3691f1", "pohroužit se (v-w3691f1) - substituted with v-w3691f2")</f>
        <v>pohroužit se (v-w3691f1) - substituted with v-w3691f2</v>
      </c>
    </row>
    <row r="27449" customFormat="false" ht="12.8" hidden="false" customHeight="false" outlineLevel="0" collapsed="false">
      <c r="B27449" s="0" t="s">
        <v>7</v>
      </c>
      <c r="C27449" s="0" t="s">
        <v>46</v>
      </c>
    </row>
    <row r="27450" customFormat="false" ht="12.8" hidden="false" customHeight="false" outlineLevel="0" collapsed="false">
      <c r="B27450" s="0" t="s">
        <v>10229</v>
      </c>
    </row>
    <row r="27452" customFormat="false" ht="12.8" hidden="false" customHeight="false" outlineLevel="0" collapsed="false">
      <c r="A27452" s="0" t="s">
        <v>10230</v>
      </c>
      <c r="B27452" s="0" t="str">
        <f aca="false">HYPERLINK("https://lindat.mff.cuni.cz/services/teitok/pdtc10/index.php?action=vallex&amp;frame=v-w3692f1", "pohrozit (v-w3692f1)")</f>
        <v>pohrozit (v-w3692f1)</v>
      </c>
    </row>
    <row r="27453" customFormat="false" ht="12.8" hidden="false" customHeight="false" outlineLevel="0" collapsed="false">
      <c r="B27453" s="0" t="s">
        <v>7</v>
      </c>
      <c r="C27453" s="0" t="s">
        <v>2530</v>
      </c>
      <c r="D27453" s="0" t="s">
        <v>88</v>
      </c>
      <c r="E27453" s="0" t="s">
        <v>88</v>
      </c>
      <c r="F27453" s="0" t="s">
        <v>88</v>
      </c>
    </row>
    <row r="27454" customFormat="false" ht="12.8" hidden="false" customHeight="false" outlineLevel="0" collapsed="false">
      <c r="B27454" s="0" t="s">
        <v>10231</v>
      </c>
      <c r="C27454" s="0" t="s">
        <v>10232</v>
      </c>
      <c r="D27454" s="0" t="s">
        <v>4027</v>
      </c>
      <c r="E27454" s="0" t="s">
        <v>4027</v>
      </c>
      <c r="F27454" s="0" t="s">
        <v>4027</v>
      </c>
    </row>
    <row r="27455" customFormat="false" ht="12.8" hidden="false" customHeight="false" outlineLevel="0" collapsed="false">
      <c r="B27455" s="0" t="s">
        <v>48</v>
      </c>
      <c r="D27455" s="0" t="s">
        <v>1486</v>
      </c>
      <c r="E27455" s="0" t="s">
        <v>1486</v>
      </c>
      <c r="F27455" s="0" t="s">
        <v>1486</v>
      </c>
    </row>
    <row r="27457" customFormat="false" ht="12.8" hidden="false" customHeight="false" outlineLevel="0" collapsed="false">
      <c r="A27457" s="0" t="s">
        <v>10233</v>
      </c>
      <c r="B27457" s="0" t="str">
        <f aca="false">HYPERLINK("https://lindat.mff.cuni.cz/services/teitok/pdtc10/index.php?action=vallex&amp;frame=v-whsb_661hsa_662", "pohrát si (v-whsb_661hsa_662)")</f>
        <v>pohrát si (v-whsb_661hsa_662)</v>
      </c>
    </row>
    <row r="27458" customFormat="false" ht="12.8" hidden="false" customHeight="false" outlineLevel="0" collapsed="false">
      <c r="B27458" s="0" t="s">
        <v>7</v>
      </c>
    </row>
    <row r="27459" customFormat="false" ht="12.8" hidden="false" customHeight="false" outlineLevel="0" collapsed="false">
      <c r="B27459" s="0" t="s">
        <v>548</v>
      </c>
    </row>
    <row r="27461" customFormat="false" ht="12.8" hidden="false" customHeight="false" outlineLevel="0" collapsed="false">
      <c r="A27461" s="0" t="s">
        <v>10234</v>
      </c>
      <c r="B27461" s="0" t="str">
        <f aca="false">HYPERLINK("https://lindat.mff.cuni.cz/services/teitok/pdtc10/index.php?action=vallex&amp;frame=v-w3688f1", "pohrávat si (v-w3688f1)")</f>
        <v>pohrávat si (v-w3688f1)</v>
      </c>
    </row>
    <row r="27462" customFormat="false" ht="12.8" hidden="false" customHeight="false" outlineLevel="0" collapsed="false">
      <c r="B27462" s="0" t="s">
        <v>7</v>
      </c>
      <c r="C27462" s="0" t="s">
        <v>184</v>
      </c>
      <c r="D27462" s="0" t="s">
        <v>31</v>
      </c>
      <c r="E27462" s="0" t="s">
        <v>31</v>
      </c>
      <c r="F27462" s="0" t="s">
        <v>31</v>
      </c>
    </row>
    <row r="27463" customFormat="false" ht="12.8" hidden="false" customHeight="false" outlineLevel="0" collapsed="false">
      <c r="B27463" s="0" t="s">
        <v>548</v>
      </c>
      <c r="C27463" s="0" t="s">
        <v>47</v>
      </c>
      <c r="D27463" s="0" t="s">
        <v>33</v>
      </c>
      <c r="E27463" s="0" t="s">
        <v>33</v>
      </c>
      <c r="F27463" s="0" t="s">
        <v>33</v>
      </c>
    </row>
    <row r="27465" customFormat="false" ht="12.8" hidden="false" customHeight="false" outlineLevel="0" collapsed="false">
      <c r="A27465" s="0" t="s">
        <v>10235</v>
      </c>
      <c r="B27465" s="0" t="str">
        <f aca="false">HYPERLINK("https://lindat.mff.cuni.cz/services/teitok/pdtc10/index.php?action=vallex&amp;frame=v-w3698f1", "pohupovat (v-w3698f1)")</f>
        <v>pohupovat (v-w3698f1)</v>
      </c>
    </row>
    <row r="27466" customFormat="false" ht="12.8" hidden="false" customHeight="false" outlineLevel="0" collapsed="false">
      <c r="B27466" s="0" t="s">
        <v>7</v>
      </c>
    </row>
    <row r="27467" customFormat="false" ht="12.8" hidden="false" customHeight="false" outlineLevel="0" collapsed="false">
      <c r="B27467" s="0" t="s">
        <v>216</v>
      </c>
    </row>
    <row r="27469" customFormat="false" ht="12.8" hidden="false" customHeight="false" outlineLevel="0" collapsed="false">
      <c r="A27469" s="0" t="s">
        <v>10236</v>
      </c>
      <c r="B27469" s="0" t="str">
        <f aca="false">HYPERLINK("https://lindat.mff.cuni.cz/services/teitok/pdtc10/index.php?action=vallex&amp;frame=v-whsa_1415hsa_1416", "pohupovat se (v-whsa_1415hsa_1416)")</f>
        <v>pohupovat se (v-whsa_1415hsa_1416)</v>
      </c>
    </row>
    <row r="27470" customFormat="false" ht="12.8" hidden="false" customHeight="false" outlineLevel="0" collapsed="false">
      <c r="B27470" s="0" t="s">
        <v>7</v>
      </c>
    </row>
    <row r="27472" customFormat="false" ht="12.8" hidden="false" customHeight="false" outlineLevel="0" collapsed="false">
      <c r="A27472" s="0" t="s">
        <v>10237</v>
      </c>
      <c r="B27472" s="0" t="str">
        <f aca="false">HYPERLINK("https://lindat.mff.cuni.cz/services/teitok/pdtc10/index.php?action=vallex&amp;frame=v-w11548_ZUf2_ZU", "pohvizdovat si (v-w11548_ZUf2_ZU)")</f>
        <v>pohvizdovat si (v-w11548_ZUf2_ZU)</v>
      </c>
    </row>
    <row r="27473" customFormat="false" ht="12.8" hidden="false" customHeight="false" outlineLevel="0" collapsed="false">
      <c r="B27473" s="0" t="s">
        <v>7</v>
      </c>
      <c r="D27473" s="0" t="s">
        <v>191</v>
      </c>
      <c r="E27473" s="0" t="s">
        <v>191</v>
      </c>
      <c r="F27473" s="0" t="s">
        <v>191</v>
      </c>
    </row>
    <row r="27474" customFormat="false" ht="12.8" hidden="false" customHeight="false" outlineLevel="0" collapsed="false">
      <c r="B27474" s="0" t="s">
        <v>10238</v>
      </c>
      <c r="D27474" s="0" t="s">
        <v>567</v>
      </c>
      <c r="E27474" s="0" t="s">
        <v>567</v>
      </c>
      <c r="F27474" s="0" t="s">
        <v>567</v>
      </c>
    </row>
    <row r="27476" customFormat="false" ht="12.8" hidden="false" customHeight="false" outlineLevel="0" collapsed="false">
      <c r="A27476" s="0" t="s">
        <v>10237</v>
      </c>
      <c r="B27476" s="0" t="str">
        <f aca="false">HYPERLINK("https://lindat.mff.cuni.cz/services/teitok/pdtc10/index.php?action=vallex&amp;frame=v-w11548_ZUf1_ZU", "pohvizdovat si (v-w11548_ZUf1_ZU) - substituted with v-w11548_ZUf2_ZU")</f>
        <v>pohvizdovat si (v-w11548_ZUf1_ZU) - substituted with v-w11548_ZUf2_ZU</v>
      </c>
    </row>
    <row r="27477" customFormat="false" ht="12.8" hidden="false" customHeight="false" outlineLevel="0" collapsed="false">
      <c r="B27477" s="0" t="s">
        <v>7</v>
      </c>
    </row>
    <row r="27478" customFormat="false" ht="12.8" hidden="false" customHeight="false" outlineLevel="0" collapsed="false">
      <c r="B27478" s="0" t="s">
        <v>10238</v>
      </c>
    </row>
    <row r="27480" customFormat="false" ht="12.8" hidden="false" customHeight="false" outlineLevel="0" collapsed="false">
      <c r="A27480" s="0" t="s">
        <v>10239</v>
      </c>
      <c r="B27480" s="0" t="str">
        <f aca="false">HYPERLINK("https://lindat.mff.cuni.cz/services/teitok/pdtc10/index.php?action=vallex&amp;frame=v-w3700hsa_1880", "pohybovat (v-w3700hsa_1880)")</f>
        <v>pohybovat (v-w3700hsa_1880)</v>
      </c>
    </row>
    <row r="27481" customFormat="false" ht="12.8" hidden="false" customHeight="false" outlineLevel="0" collapsed="false">
      <c r="B27481" s="0" t="s">
        <v>7</v>
      </c>
    </row>
    <row r="27482" customFormat="false" ht="12.8" hidden="false" customHeight="false" outlineLevel="0" collapsed="false">
      <c r="B27482" s="0" t="s">
        <v>3760</v>
      </c>
    </row>
    <row r="27484" customFormat="false" ht="12.8" hidden="false" customHeight="false" outlineLevel="0" collapsed="false">
      <c r="A27484" s="0" t="s">
        <v>10239</v>
      </c>
      <c r="B27484" s="0" t="str">
        <f aca="false">HYPERLINK("https://lindat.mff.cuni.cz/services/teitok/pdtc10/index.php?action=vallex&amp;frame=v-w3700f1", "pohybovat (v-w3700f1) - substituted with v-w3700hsa_1880")</f>
        <v>pohybovat (v-w3700f1) - substituted with v-w3700hsa_1880</v>
      </c>
    </row>
    <row r="27485" customFormat="false" ht="12.8" hidden="false" customHeight="false" outlineLevel="0" collapsed="false">
      <c r="B27485" s="0" t="s">
        <v>7</v>
      </c>
    </row>
    <row r="27486" customFormat="false" ht="12.8" hidden="false" customHeight="false" outlineLevel="0" collapsed="false">
      <c r="B27486" s="0" t="s">
        <v>3760</v>
      </c>
    </row>
    <row r="27488" customFormat="false" ht="12.8" hidden="false" customHeight="false" outlineLevel="0" collapsed="false">
      <c r="A27488" s="0" t="s">
        <v>10240</v>
      </c>
      <c r="B27488" s="0" t="str">
        <f aca="false">HYPERLINK("https://lindat.mff.cuni.cz/services/teitok/pdtc10/index.php?action=vallex&amp;frame=v-w3701f1", "pohybovat se (v-w3701f1)")</f>
        <v>pohybovat se (v-w3701f1)</v>
      </c>
    </row>
    <row r="27489" customFormat="false" ht="12.8" hidden="false" customHeight="false" outlineLevel="0" collapsed="false">
      <c r="B27489" s="0" t="s">
        <v>7</v>
      </c>
      <c r="C27489" s="0" t="s">
        <v>10241</v>
      </c>
      <c r="D27489" s="0" t="s">
        <v>177</v>
      </c>
      <c r="E27489" s="0" t="s">
        <v>177</v>
      </c>
      <c r="F27489" s="0" t="s">
        <v>177</v>
      </c>
    </row>
    <row r="27490" customFormat="false" ht="12.8" hidden="false" customHeight="false" outlineLevel="0" collapsed="false">
      <c r="B27490" s="0" t="s">
        <v>11</v>
      </c>
      <c r="C27490" s="0" t="s">
        <v>10242</v>
      </c>
      <c r="D27490" s="0" t="s">
        <v>10243</v>
      </c>
      <c r="E27490" s="0" t="s">
        <v>10243</v>
      </c>
      <c r="F27490" s="0" t="s">
        <v>10243</v>
      </c>
    </row>
    <row r="27492" customFormat="false" ht="12.8" hidden="false" customHeight="false" outlineLevel="0" collapsed="false">
      <c r="A27492" s="0" t="s">
        <v>10244</v>
      </c>
      <c r="B27492" s="0" t="str">
        <f aca="false">HYPERLINK("https://lindat.mff.cuni.cz/services/teitok/pdtc10/index.php?action=vallex&amp;frame=v-w3701f2", "pohybovat se (v-w3701f2)")</f>
        <v>pohybovat se (v-w3701f2)</v>
      </c>
    </row>
    <row r="27493" customFormat="false" ht="12.8" hidden="false" customHeight="false" outlineLevel="0" collapsed="false">
      <c r="B27493" s="0" t="s">
        <v>7</v>
      </c>
      <c r="C27493" s="0" t="s">
        <v>10245</v>
      </c>
      <c r="D27493" s="0" t="s">
        <v>5335</v>
      </c>
      <c r="E27493" s="0" t="s">
        <v>5335</v>
      </c>
      <c r="F27493" s="0" t="s">
        <v>10246</v>
      </c>
    </row>
    <row r="27494" customFormat="false" ht="12.8" hidden="false" customHeight="false" outlineLevel="0" collapsed="false">
      <c r="B27494" s="0" t="s">
        <v>11</v>
      </c>
      <c r="C27494" s="0" t="s">
        <v>10247</v>
      </c>
      <c r="D27494" s="0" t="s">
        <v>5337</v>
      </c>
      <c r="E27494" s="0" t="s">
        <v>5337</v>
      </c>
      <c r="F27494" s="0" t="s">
        <v>5337</v>
      </c>
    </row>
    <row r="27496" customFormat="false" ht="12.8" hidden="false" customHeight="false" outlineLevel="0" collapsed="false">
      <c r="A27496" s="0" t="s">
        <v>10248</v>
      </c>
      <c r="B27496" s="0" t="str">
        <f aca="false">HYPERLINK("https://lindat.mff.cuni.cz/services/teitok/pdtc10/index.php?action=vallex&amp;frame=v-w3701f4_ZU", "pohybovat se (v-w3701f4_ZU)")</f>
        <v>pohybovat se (v-w3701f4_ZU)</v>
      </c>
    </row>
    <row r="27497" customFormat="false" ht="12.8" hidden="false" customHeight="false" outlineLevel="0" collapsed="false">
      <c r="B27497" s="0" t="s">
        <v>7</v>
      </c>
      <c r="F27497" s="0" t="s">
        <v>3768</v>
      </c>
    </row>
    <row r="27499" customFormat="false" ht="12.8" hidden="false" customHeight="false" outlineLevel="0" collapsed="false">
      <c r="A27499" s="0" t="s">
        <v>10248</v>
      </c>
      <c r="B27499" s="0" t="str">
        <f aca="false">HYPERLINK("https://lindat.mff.cuni.cz/services/teitok/pdtc10/index.php?action=vallex&amp;frame=v-w3701f3", "pohybovat se (v-w3701f3) - substituted with v-w3701f4_ZU")</f>
        <v>pohybovat se (v-w3701f3) - substituted with v-w3701f4_ZU</v>
      </c>
    </row>
    <row r="27500" customFormat="false" ht="12.8" hidden="false" customHeight="false" outlineLevel="0" collapsed="false">
      <c r="B27500" s="0" t="s">
        <v>7</v>
      </c>
      <c r="C27500" s="0" t="s">
        <v>10249</v>
      </c>
    </row>
    <row r="27502" customFormat="false" ht="12.8" hidden="false" customHeight="false" outlineLevel="0" collapsed="false">
      <c r="A27502" s="0" t="s">
        <v>10250</v>
      </c>
      <c r="B27502" s="0" t="str">
        <f aca="false">HYPERLINK("https://lindat.mff.cuni.cz/services/teitok/pdtc10/index.php?action=vallex&amp;frame=v-w3701hsa_532", "pohybovat se (v-w3701hsa_532)")</f>
        <v>pohybovat se (v-w3701hsa_532)</v>
      </c>
    </row>
    <row r="27503" customFormat="false" ht="12.8" hidden="false" customHeight="false" outlineLevel="0" collapsed="false">
      <c r="B27503" s="0" t="s">
        <v>7</v>
      </c>
      <c r="C27503" s="0" t="s">
        <v>10251</v>
      </c>
      <c r="D27503" s="0" t="s">
        <v>3856</v>
      </c>
      <c r="E27503" s="0" t="s">
        <v>3856</v>
      </c>
      <c r="F27503" s="0" t="s">
        <v>3856</v>
      </c>
    </row>
    <row r="27504" customFormat="false" ht="12.8" hidden="false" customHeight="false" outlineLevel="0" collapsed="false">
      <c r="B27504" s="0" t="s">
        <v>124</v>
      </c>
    </row>
    <row r="27506" customFormat="false" ht="12.8" hidden="false" customHeight="false" outlineLevel="0" collapsed="false">
      <c r="A27506" s="0" t="s">
        <v>10252</v>
      </c>
      <c r="B27506" s="0" t="str">
        <f aca="false">HYPERLINK("https://lindat.mff.cuni.cz/services/teitok/pdtc10/index.php?action=vallex&amp;frame=v-w11403f1", "pohádat se (v-w11403f1)")</f>
        <v>pohádat se (v-w11403f1)</v>
      </c>
    </row>
    <row r="27507" customFormat="false" ht="12.8" hidden="false" customHeight="false" outlineLevel="0" collapsed="false">
      <c r="B27507" s="0" t="s">
        <v>7</v>
      </c>
      <c r="C27507" s="0" t="s">
        <v>191</v>
      </c>
      <c r="D27507" s="0" t="s">
        <v>108</v>
      </c>
      <c r="E27507" s="0" t="s">
        <v>108</v>
      </c>
      <c r="F27507" s="0" t="s">
        <v>108</v>
      </c>
    </row>
    <row r="27508" customFormat="false" ht="12.8" hidden="false" customHeight="false" outlineLevel="0" collapsed="false">
      <c r="B27508" s="0" t="s">
        <v>207</v>
      </c>
    </row>
    <row r="27509" customFormat="false" ht="12.8" hidden="false" customHeight="false" outlineLevel="0" collapsed="false">
      <c r="B27509" s="0" t="s">
        <v>3748</v>
      </c>
      <c r="D27509" s="0" t="s">
        <v>1809</v>
      </c>
      <c r="E27509" s="0" t="s">
        <v>1809</v>
      </c>
      <c r="F27509" s="0" t="s">
        <v>1809</v>
      </c>
    </row>
    <row r="27511" customFormat="false" ht="12.8" hidden="false" customHeight="false" outlineLevel="0" collapsed="false">
      <c r="A27511" s="0" t="s">
        <v>10253</v>
      </c>
      <c r="B27511" s="0" t="str">
        <f aca="false">HYPERLINK("https://lindat.mff.cuni.cz/services/teitok/pdtc10/index.php?action=vallex&amp;frame=v-w3665f1", "pohánět (v-w3665f1)")</f>
        <v>pohánět (v-w3665f1)</v>
      </c>
    </row>
    <row r="27512" customFormat="false" ht="12.8" hidden="false" customHeight="false" outlineLevel="0" collapsed="false">
      <c r="B27512" s="0" t="s">
        <v>7</v>
      </c>
      <c r="C27512" s="0" t="s">
        <v>10254</v>
      </c>
      <c r="D27512" s="0" t="s">
        <v>6863</v>
      </c>
      <c r="E27512" s="0" t="s">
        <v>6863</v>
      </c>
      <c r="F27512" s="0" t="s">
        <v>6863</v>
      </c>
    </row>
    <row r="27513" customFormat="false" ht="12.8" hidden="false" customHeight="false" outlineLevel="0" collapsed="false">
      <c r="B27513" s="0" t="s">
        <v>14</v>
      </c>
      <c r="C27513" s="0" t="s">
        <v>7634</v>
      </c>
      <c r="D27513" s="0" t="s">
        <v>6202</v>
      </c>
      <c r="E27513" s="0" t="s">
        <v>6202</v>
      </c>
      <c r="F27513" s="0" t="s">
        <v>6202</v>
      </c>
    </row>
    <row r="27515" customFormat="false" ht="12.8" hidden="false" customHeight="false" outlineLevel="0" collapsed="false">
      <c r="A27515" s="0" t="s">
        <v>10255</v>
      </c>
      <c r="B27515" s="0" t="str">
        <f aca="false">HYPERLINK("https://lindat.mff.cuni.cz/services/teitok/pdtc10/index.php?action=vallex&amp;frame=v-w3665f2", "pohánět (v-w3665f2)")</f>
        <v>pohánět (v-w3665f2)</v>
      </c>
    </row>
    <row r="27516" customFormat="false" ht="12.8" hidden="false" customHeight="false" outlineLevel="0" collapsed="false">
      <c r="B27516" s="0" t="s">
        <v>7</v>
      </c>
      <c r="C27516" s="0" t="s">
        <v>10256</v>
      </c>
      <c r="D27516" s="0" t="s">
        <v>3051</v>
      </c>
      <c r="E27516" s="0" t="s">
        <v>3051</v>
      </c>
      <c r="F27516" s="0" t="s">
        <v>3051</v>
      </c>
    </row>
    <row r="27517" customFormat="false" ht="12.8" hidden="false" customHeight="false" outlineLevel="0" collapsed="false">
      <c r="B27517" s="0" t="s">
        <v>14</v>
      </c>
      <c r="C27517" s="0" t="s">
        <v>2739</v>
      </c>
      <c r="D27517" s="0" t="s">
        <v>10257</v>
      </c>
      <c r="E27517" s="0" t="s">
        <v>10258</v>
      </c>
      <c r="F27517" s="0" t="s">
        <v>10258</v>
      </c>
    </row>
    <row r="27519" customFormat="false" ht="12.8" hidden="false" customHeight="false" outlineLevel="0" collapsed="false">
      <c r="A27519" s="0" t="s">
        <v>10259</v>
      </c>
      <c r="B27519" s="0" t="str">
        <f aca="false">HYPERLINK("https://lindat.mff.cuni.cz/services/teitok/pdtc10/index.php?action=vallex&amp;frame=v-w3694f1", "pohřbít (v-w3694f1)")</f>
        <v>pohřbít (v-w3694f1)</v>
      </c>
    </row>
    <row r="27520" customFormat="false" ht="12.8" hidden="false" customHeight="false" outlineLevel="0" collapsed="false">
      <c r="B27520" s="0" t="s">
        <v>7</v>
      </c>
      <c r="C27520" s="0" t="s">
        <v>46</v>
      </c>
    </row>
    <row r="27521" customFormat="false" ht="12.8" hidden="false" customHeight="false" outlineLevel="0" collapsed="false">
      <c r="B27521" s="0" t="s">
        <v>14</v>
      </c>
      <c r="C27521" s="0" t="s">
        <v>1170</v>
      </c>
    </row>
    <row r="27523" customFormat="false" ht="12.8" hidden="false" customHeight="false" outlineLevel="0" collapsed="false">
      <c r="A27523" s="0" t="s">
        <v>10260</v>
      </c>
      <c r="B27523" s="0" t="str">
        <f aca="false">HYPERLINK("https://lindat.mff.cuni.cz/services/teitok/pdtc10/index.php?action=vallex&amp;frame=v-w3694f2", "pohřbít (v-w3694f2)")</f>
        <v>pohřbít (v-w3694f2)</v>
      </c>
    </row>
    <row r="27524" customFormat="false" ht="12.8" hidden="false" customHeight="false" outlineLevel="0" collapsed="false">
      <c r="B27524" s="0" t="s">
        <v>7</v>
      </c>
      <c r="C27524" s="0" t="s">
        <v>3844</v>
      </c>
      <c r="D27524" s="0" t="s">
        <v>1549</v>
      </c>
      <c r="E27524" s="0" t="s">
        <v>1550</v>
      </c>
      <c r="F27524" s="0" t="s">
        <v>1550</v>
      </c>
    </row>
    <row r="27525" customFormat="false" ht="12.8" hidden="false" customHeight="false" outlineLevel="0" collapsed="false">
      <c r="B27525" s="0" t="s">
        <v>14</v>
      </c>
      <c r="C27525" s="0" t="s">
        <v>210</v>
      </c>
      <c r="D27525" s="0" t="s">
        <v>1164</v>
      </c>
      <c r="E27525" s="0" t="s">
        <v>1551</v>
      </c>
      <c r="F27525" s="0" t="s">
        <v>1551</v>
      </c>
    </row>
    <row r="27527" customFormat="false" ht="12.8" hidden="false" customHeight="false" outlineLevel="0" collapsed="false">
      <c r="A27527" s="0" t="s">
        <v>10261</v>
      </c>
      <c r="B27527" s="0" t="str">
        <f aca="false">HYPERLINK("https://lindat.mff.cuni.cz/services/teitok/pdtc10/index.php?action=vallex&amp;frame=v-w3695f1", "pohřbívat (v-w3695f1)")</f>
        <v>pohřbívat (v-w3695f1)</v>
      </c>
    </row>
    <row r="27528" customFormat="false" ht="12.8" hidden="false" customHeight="false" outlineLevel="0" collapsed="false">
      <c r="B27528" s="0" t="s">
        <v>7</v>
      </c>
    </row>
    <row r="27529" customFormat="false" ht="12.8" hidden="false" customHeight="false" outlineLevel="0" collapsed="false">
      <c r="B27529" s="0" t="s">
        <v>14</v>
      </c>
    </row>
    <row r="27531" customFormat="false" ht="12.8" hidden="false" customHeight="false" outlineLevel="0" collapsed="false">
      <c r="A27531" s="0" t="s">
        <v>10262</v>
      </c>
      <c r="B27531" s="0" t="str">
        <f aca="false">HYPERLINK("https://lindat.mff.cuni.cz/services/teitok/pdtc10/index.php?action=vallex&amp;frame=v-w3697f1", "pohřešovat (v-w3697f1)")</f>
        <v>pohřešovat (v-w3697f1)</v>
      </c>
    </row>
    <row r="27532" customFormat="false" ht="12.8" hidden="false" customHeight="false" outlineLevel="0" collapsed="false">
      <c r="B27532" s="0" t="s">
        <v>7</v>
      </c>
    </row>
    <row r="27533" customFormat="false" ht="12.8" hidden="false" customHeight="false" outlineLevel="0" collapsed="false">
      <c r="B27533" s="0" t="s">
        <v>14</v>
      </c>
      <c r="C27533" s="0" t="s">
        <v>33</v>
      </c>
      <c r="D27533" s="0" t="s">
        <v>33</v>
      </c>
      <c r="E27533" s="0" t="s">
        <v>33</v>
      </c>
      <c r="F27533" s="0" t="s">
        <v>33</v>
      </c>
    </row>
    <row r="27535" customFormat="false" ht="12.8" hidden="false" customHeight="false" outlineLevel="0" collapsed="false">
      <c r="A27535" s="0" t="s">
        <v>10263</v>
      </c>
      <c r="B27535" s="0" t="str">
        <f aca="false">HYPERLINK("https://lindat.mff.cuni.cz/services/teitok/pdtc10/index.php?action=vallex&amp;frame=v-w3725f1", "pojednat (v-w3725f1)")</f>
        <v>pojednat (v-w3725f1)</v>
      </c>
    </row>
    <row r="27536" customFormat="false" ht="12.8" hidden="false" customHeight="false" outlineLevel="0" collapsed="false">
      <c r="B27536" s="0" t="s">
        <v>7</v>
      </c>
    </row>
    <row r="27537" customFormat="false" ht="12.8" hidden="false" customHeight="false" outlineLevel="0" collapsed="false">
      <c r="B27537" s="0" t="s">
        <v>14</v>
      </c>
    </row>
    <row r="27538" customFormat="false" ht="12.8" hidden="false" customHeight="false" outlineLevel="0" collapsed="false">
      <c r="B27538" s="0" t="s">
        <v>1358</v>
      </c>
    </row>
    <row r="27540" customFormat="false" ht="12.8" hidden="false" customHeight="false" outlineLevel="0" collapsed="false">
      <c r="A27540" s="0" t="s">
        <v>10264</v>
      </c>
      <c r="B27540" s="0" t="str">
        <f aca="false">HYPERLINK("https://lindat.mff.cuni.cz/services/teitok/pdtc10/index.php?action=vallex&amp;frame=v-w3725f4", "pojednat (v-w3725f4)")</f>
        <v>pojednat (v-w3725f4)</v>
      </c>
    </row>
    <row r="27541" customFormat="false" ht="12.8" hidden="false" customHeight="false" outlineLevel="0" collapsed="false">
      <c r="B27541" s="0" t="s">
        <v>7</v>
      </c>
    </row>
    <row r="27542" customFormat="false" ht="12.8" hidden="false" customHeight="false" outlineLevel="0" collapsed="false">
      <c r="B27542" s="0" t="s">
        <v>14</v>
      </c>
    </row>
    <row r="27544" customFormat="false" ht="12.8" hidden="false" customHeight="false" outlineLevel="0" collapsed="false">
      <c r="A27544" s="0" t="s">
        <v>10265</v>
      </c>
      <c r="B27544" s="0" t="str">
        <f aca="false">HYPERLINK("https://lindat.mff.cuni.cz/services/teitok/pdtc10/index.php?action=vallex&amp;frame=v-w3725f2", "pojednat (v-w3725f2)")</f>
        <v>pojednat (v-w3725f2)</v>
      </c>
    </row>
    <row r="27545" customFormat="false" ht="12.8" hidden="false" customHeight="false" outlineLevel="0" collapsed="false">
      <c r="B27545" s="0" t="s">
        <v>7</v>
      </c>
    </row>
    <row r="27546" customFormat="false" ht="12.8" hidden="false" customHeight="false" outlineLevel="0" collapsed="false">
      <c r="B27546" s="0" t="s">
        <v>14</v>
      </c>
    </row>
    <row r="27547" customFormat="false" ht="12.8" hidden="false" customHeight="false" outlineLevel="0" collapsed="false">
      <c r="B27547" s="0" t="s">
        <v>474</v>
      </c>
    </row>
    <row r="27548" customFormat="false" ht="12.8" hidden="false" customHeight="false" outlineLevel="0" collapsed="false">
      <c r="B27548" s="0" t="s">
        <v>479</v>
      </c>
    </row>
    <row r="27549" customFormat="false" ht="12.8" hidden="false" customHeight="false" outlineLevel="0" collapsed="false">
      <c r="B27549" s="0" t="s">
        <v>481</v>
      </c>
    </row>
    <row r="27550" customFormat="false" ht="12.8" hidden="false" customHeight="false" outlineLevel="0" collapsed="false">
      <c r="B27550" s="0" t="s">
        <v>483</v>
      </c>
    </row>
    <row r="27552" customFormat="false" ht="12.8" hidden="false" customHeight="false" outlineLevel="0" collapsed="false">
      <c r="A27552" s="0" t="s">
        <v>10266</v>
      </c>
      <c r="B27552" s="0" t="str">
        <f aca="false">HYPERLINK("https://lindat.mff.cuni.cz/services/teitok/pdtc10/index.php?action=vallex&amp;frame=v-w3725f3", "pojednat (v-w3725f3)")</f>
        <v>pojednat (v-w3725f3)</v>
      </c>
    </row>
    <row r="27553" customFormat="false" ht="12.8" hidden="false" customHeight="false" outlineLevel="0" collapsed="false">
      <c r="B27553" s="0" t="s">
        <v>7</v>
      </c>
    </row>
    <row r="27554" customFormat="false" ht="12.8" hidden="false" customHeight="false" outlineLevel="0" collapsed="false">
      <c r="B27554" s="0" t="s">
        <v>244</v>
      </c>
    </row>
    <row r="27556" customFormat="false" ht="12.8" hidden="false" customHeight="false" outlineLevel="0" collapsed="false">
      <c r="A27556" s="0" t="s">
        <v>10267</v>
      </c>
      <c r="B27556" s="0" t="str">
        <f aca="false">HYPERLINK("https://lindat.mff.cuni.cz/services/teitok/pdtc10/index.php?action=vallex&amp;frame=v-w3728f1", "pojednávat (v-w3728f1)")</f>
        <v>pojednávat (v-w3728f1)</v>
      </c>
    </row>
    <row r="27557" customFormat="false" ht="12.8" hidden="false" customHeight="false" outlineLevel="0" collapsed="false">
      <c r="B27557" s="0" t="s">
        <v>7</v>
      </c>
    </row>
    <row r="27558" customFormat="false" ht="12.8" hidden="false" customHeight="false" outlineLevel="0" collapsed="false">
      <c r="B27558" s="0" t="s">
        <v>244</v>
      </c>
    </row>
    <row r="27560" customFormat="false" ht="12.8" hidden="false" customHeight="false" outlineLevel="0" collapsed="false">
      <c r="A27560" s="0" t="s">
        <v>10268</v>
      </c>
      <c r="B27560" s="0" t="str">
        <f aca="false">HYPERLINK("https://lindat.mff.cuni.cz/services/teitok/pdtc10/index.php?action=vallex&amp;frame=v-w3734f1", "pojistit (v-w3734f1)")</f>
        <v>pojistit (v-w3734f1)</v>
      </c>
    </row>
    <row r="27561" customFormat="false" ht="12.8" hidden="false" customHeight="false" outlineLevel="0" collapsed="false">
      <c r="B27561" s="0" t="s">
        <v>7</v>
      </c>
      <c r="C27561" s="0" t="s">
        <v>10269</v>
      </c>
      <c r="D27561" s="0" t="s">
        <v>3994</v>
      </c>
      <c r="E27561" s="0" t="s">
        <v>3994</v>
      </c>
      <c r="F27561" s="0" t="s">
        <v>3994</v>
      </c>
    </row>
    <row r="27562" customFormat="false" ht="12.8" hidden="false" customHeight="false" outlineLevel="0" collapsed="false">
      <c r="B27562" s="0" t="s">
        <v>14</v>
      </c>
      <c r="C27562" s="0" t="s">
        <v>342</v>
      </c>
      <c r="D27562" s="0" t="s">
        <v>2641</v>
      </c>
      <c r="E27562" s="0" t="s">
        <v>2641</v>
      </c>
      <c r="F27562" s="0" t="s">
        <v>2641</v>
      </c>
    </row>
    <row r="27564" customFormat="false" ht="12.8" hidden="false" customHeight="false" outlineLevel="0" collapsed="false">
      <c r="A27564" s="0" t="s">
        <v>10270</v>
      </c>
      <c r="B27564" s="0" t="str">
        <f aca="false">HYPERLINK("https://lindat.mff.cuni.cz/services/teitok/pdtc10/index.php?action=vallex&amp;frame=v-w3739f2", "pojit (v-w3739f2)")</f>
        <v>pojit (v-w3739f2)</v>
      </c>
    </row>
    <row r="27565" customFormat="false" ht="12.8" hidden="false" customHeight="false" outlineLevel="0" collapsed="false">
      <c r="B27565" s="0" t="s">
        <v>7</v>
      </c>
    </row>
    <row r="27566" customFormat="false" ht="12.8" hidden="false" customHeight="false" outlineLevel="0" collapsed="false">
      <c r="B27566" s="0" t="s">
        <v>14</v>
      </c>
    </row>
    <row r="27567" customFormat="false" ht="12.8" hidden="false" customHeight="false" outlineLevel="0" collapsed="false">
      <c r="B27567" s="0" t="s">
        <v>4384</v>
      </c>
    </row>
    <row r="27569" customFormat="false" ht="12.8" hidden="false" customHeight="false" outlineLevel="0" collapsed="false">
      <c r="A27569" s="0" t="s">
        <v>10271</v>
      </c>
      <c r="B27569" s="0" t="str">
        <f aca="false">HYPERLINK("https://lindat.mff.cuni.cz/services/teitok/pdtc10/index.php?action=vallex&amp;frame=v-w3739f1", "pojit (v-w3739f1)")</f>
        <v>pojit (v-w3739f1)</v>
      </c>
    </row>
    <row r="27570" customFormat="false" ht="12.8" hidden="false" customHeight="false" outlineLevel="0" collapsed="false">
      <c r="B27570" s="0" t="s">
        <v>7</v>
      </c>
    </row>
    <row r="27571" customFormat="false" ht="12.8" hidden="false" customHeight="false" outlineLevel="0" collapsed="false">
      <c r="B27571" s="0" t="s">
        <v>14</v>
      </c>
    </row>
    <row r="27572" customFormat="false" ht="12.8" hidden="false" customHeight="false" outlineLevel="0" collapsed="false">
      <c r="B27572" s="0" t="s">
        <v>3086</v>
      </c>
    </row>
    <row r="27574" customFormat="false" ht="12.8" hidden="false" customHeight="false" outlineLevel="0" collapsed="false">
      <c r="A27574" s="0" t="s">
        <v>10272</v>
      </c>
      <c r="B27574" s="0" t="str">
        <f aca="false">HYPERLINK("https://lindat.mff.cuni.cz/services/teitok/pdtc10/index.php?action=vallex&amp;frame=v-w3740f1", "pojit se (v-w3740f1)")</f>
        <v>pojit se (v-w3740f1)</v>
      </c>
    </row>
    <row r="27575" customFormat="false" ht="12.8" hidden="false" customHeight="false" outlineLevel="0" collapsed="false">
      <c r="B27575" s="0" t="s">
        <v>7</v>
      </c>
      <c r="C27575" s="0" t="s">
        <v>200</v>
      </c>
      <c r="D27575" s="0" t="s">
        <v>2780</v>
      </c>
      <c r="E27575" s="0" t="s">
        <v>2780</v>
      </c>
      <c r="F27575" s="0" t="s">
        <v>2780</v>
      </c>
    </row>
    <row r="27576" customFormat="false" ht="12.8" hidden="false" customHeight="false" outlineLevel="0" collapsed="false">
      <c r="B27576" s="0" t="s">
        <v>548</v>
      </c>
      <c r="C27576" s="0" t="s">
        <v>400</v>
      </c>
      <c r="D27576" s="0" t="s">
        <v>2781</v>
      </c>
      <c r="E27576" s="0" t="s">
        <v>2781</v>
      </c>
      <c r="F27576" s="0" t="s">
        <v>2781</v>
      </c>
    </row>
    <row r="27577" customFormat="false" ht="12.8" hidden="false" customHeight="false" outlineLevel="0" collapsed="false">
      <c r="B27577" s="0" t="s">
        <v>2571</v>
      </c>
      <c r="D27577" s="0" t="s">
        <v>10273</v>
      </c>
      <c r="E27577" s="0" t="s">
        <v>10273</v>
      </c>
      <c r="F27577" s="0" t="s">
        <v>10273</v>
      </c>
    </row>
    <row r="27579" customFormat="false" ht="12.8" hidden="false" customHeight="false" outlineLevel="0" collapsed="false">
      <c r="A27579" s="0" t="s">
        <v>10274</v>
      </c>
      <c r="B27579" s="0" t="str">
        <f aca="false">HYPERLINK("https://lindat.mff.cuni.cz/services/teitok/pdtc10/index.php?action=vallex&amp;frame=v-w3738f1", "pojišťovat (v-w3738f1)")</f>
        <v>pojišťovat (v-w3738f1)</v>
      </c>
    </row>
    <row r="27580" customFormat="false" ht="12.8" hidden="false" customHeight="false" outlineLevel="0" collapsed="false">
      <c r="B27580" s="0" t="s">
        <v>7</v>
      </c>
      <c r="C27580" s="0" t="s">
        <v>4342</v>
      </c>
      <c r="D27580" s="0" t="s">
        <v>3994</v>
      </c>
      <c r="E27580" s="0" t="s">
        <v>3994</v>
      </c>
      <c r="F27580" s="0" t="s">
        <v>3994</v>
      </c>
    </row>
    <row r="27581" customFormat="false" ht="12.8" hidden="false" customHeight="false" outlineLevel="0" collapsed="false">
      <c r="B27581" s="0" t="s">
        <v>14</v>
      </c>
      <c r="C27581" s="0" t="s">
        <v>2788</v>
      </c>
      <c r="D27581" s="0" t="s">
        <v>2641</v>
      </c>
      <c r="E27581" s="0" t="s">
        <v>2641</v>
      </c>
      <c r="F27581" s="0" t="s">
        <v>2641</v>
      </c>
    </row>
    <row r="27583" customFormat="false" ht="12.8" hidden="false" customHeight="false" outlineLevel="0" collapsed="false">
      <c r="A27583" s="0" t="s">
        <v>10275</v>
      </c>
      <c r="B27583" s="0" t="str">
        <f aca="false">HYPERLINK("https://lindat.mff.cuni.cz/services/teitok/pdtc10/index.php?action=vallex&amp;frame=v-w3742hsa_1686", "pojmenovat (v-w3742hsa_1686)")</f>
        <v>pojmenovat (v-w3742hsa_1686)</v>
      </c>
    </row>
    <row r="27584" customFormat="false" ht="12.8" hidden="false" customHeight="false" outlineLevel="0" collapsed="false">
      <c r="B27584" s="0" t="s">
        <v>7</v>
      </c>
    </row>
    <row r="27585" customFormat="false" ht="12.8" hidden="false" customHeight="false" outlineLevel="0" collapsed="false">
      <c r="B27585" s="0" t="s">
        <v>14</v>
      </c>
    </row>
    <row r="27586" customFormat="false" ht="12.8" hidden="false" customHeight="false" outlineLevel="0" collapsed="false">
      <c r="B27586" s="0" t="s">
        <v>10276</v>
      </c>
    </row>
    <row r="27588" customFormat="false" ht="12.8" hidden="false" customHeight="false" outlineLevel="0" collapsed="false">
      <c r="A27588" s="0" t="s">
        <v>10275</v>
      </c>
      <c r="B27588" s="0" t="str">
        <f aca="false">HYPERLINK("https://lindat.mff.cuni.cz/services/teitok/pdtc10/index.php?action=vallex&amp;frame=v-w3742f1", "pojmenovat (v-w3742f1) - substituted with v-w3742hsa_1686")</f>
        <v>pojmenovat (v-w3742f1) - substituted with v-w3742hsa_1686</v>
      </c>
    </row>
    <row r="27589" customFormat="false" ht="12.8" hidden="false" customHeight="false" outlineLevel="0" collapsed="false">
      <c r="B27589" s="0" t="s">
        <v>7</v>
      </c>
      <c r="C27589" s="0" t="s">
        <v>10277</v>
      </c>
      <c r="D27589" s="0" t="s">
        <v>2266</v>
      </c>
      <c r="E27589" s="0" t="s">
        <v>2266</v>
      </c>
      <c r="F27589" s="0" t="s">
        <v>2266</v>
      </c>
    </row>
    <row r="27590" customFormat="false" ht="12.8" hidden="false" customHeight="false" outlineLevel="0" collapsed="false">
      <c r="B27590" s="0" t="s">
        <v>14</v>
      </c>
      <c r="C27590" s="0" t="s">
        <v>10278</v>
      </c>
      <c r="D27590" s="0" t="s">
        <v>7292</v>
      </c>
      <c r="E27590" s="0" t="s">
        <v>7292</v>
      </c>
      <c r="F27590" s="0" t="s">
        <v>7292</v>
      </c>
    </row>
    <row r="27591" customFormat="false" ht="12.8" hidden="false" customHeight="false" outlineLevel="0" collapsed="false">
      <c r="B27591" s="0" t="s">
        <v>10276</v>
      </c>
      <c r="C27591" s="0" t="s">
        <v>10279</v>
      </c>
      <c r="D27591" s="0" t="s">
        <v>7295</v>
      </c>
      <c r="E27591" s="0" t="s">
        <v>7295</v>
      </c>
      <c r="F27591" s="0" t="s">
        <v>7295</v>
      </c>
    </row>
    <row r="27593" customFormat="false" ht="12.8" hidden="false" customHeight="false" outlineLevel="0" collapsed="false">
      <c r="A27593" s="0" t="s">
        <v>10280</v>
      </c>
      <c r="B27593" s="0" t="str">
        <f aca="false">HYPERLINK("https://lindat.mff.cuni.cz/services/teitok/pdtc10/index.php?action=vallex&amp;frame=v-w3742f2", "pojmenovat (v-w3742f2)")</f>
        <v>pojmenovat (v-w3742f2)</v>
      </c>
    </row>
    <row r="27594" customFormat="false" ht="12.8" hidden="false" customHeight="false" outlineLevel="0" collapsed="false">
      <c r="B27594" s="0" t="s">
        <v>7</v>
      </c>
      <c r="C27594" s="0" t="s">
        <v>108</v>
      </c>
      <c r="D27594" s="0" t="s">
        <v>2266</v>
      </c>
      <c r="E27594" s="0" t="s">
        <v>2266</v>
      </c>
      <c r="F27594" s="0" t="s">
        <v>2266</v>
      </c>
    </row>
    <row r="27595" customFormat="false" ht="12.8" hidden="false" customHeight="false" outlineLevel="0" collapsed="false">
      <c r="B27595" s="0" t="s">
        <v>14</v>
      </c>
      <c r="C27595" s="0" t="s">
        <v>10281</v>
      </c>
      <c r="D27595" s="0" t="s">
        <v>7292</v>
      </c>
      <c r="E27595" s="0" t="s">
        <v>7292</v>
      </c>
      <c r="F27595" s="0" t="s">
        <v>7292</v>
      </c>
    </row>
    <row r="27596" customFormat="false" ht="12.8" hidden="false" customHeight="false" outlineLevel="0" collapsed="false">
      <c r="B27596" s="0" t="s">
        <v>662</v>
      </c>
      <c r="D27596" s="0" t="s">
        <v>7300</v>
      </c>
      <c r="E27596" s="0" t="s">
        <v>7300</v>
      </c>
      <c r="F27596" s="0" t="s">
        <v>7300</v>
      </c>
    </row>
    <row r="27598" customFormat="false" ht="12.8" hidden="false" customHeight="false" outlineLevel="0" collapsed="false">
      <c r="A27598" s="0" t="s">
        <v>10282</v>
      </c>
      <c r="B27598" s="0" t="str">
        <f aca="false">HYPERLINK("https://lindat.mff.cuni.cz/services/teitok/pdtc10/index.php?action=vallex&amp;frame=v-w3742f3", "pojmenovat (v-w3742f3)")</f>
        <v>pojmenovat (v-w3742f3)</v>
      </c>
    </row>
    <row r="27599" customFormat="false" ht="12.8" hidden="false" customHeight="false" outlineLevel="0" collapsed="false">
      <c r="B27599" s="0" t="s">
        <v>7</v>
      </c>
    </row>
    <row r="27600" customFormat="false" ht="12.8" hidden="false" customHeight="false" outlineLevel="0" collapsed="false">
      <c r="B27600" s="0" t="s">
        <v>232</v>
      </c>
    </row>
    <row r="27602" customFormat="false" ht="12.8" hidden="false" customHeight="false" outlineLevel="0" collapsed="false">
      <c r="A27602" s="0" t="s">
        <v>10283</v>
      </c>
      <c r="B27602" s="0" t="str">
        <f aca="false">HYPERLINK("https://lindat.mff.cuni.cz/services/teitok/pdtc10/index.php?action=vallex&amp;frame=v-w3743f2", "pojmenovávat (v-w3743f2)")</f>
        <v>pojmenovávat (v-w3743f2)</v>
      </c>
    </row>
    <row r="27603" customFormat="false" ht="12.8" hidden="false" customHeight="false" outlineLevel="0" collapsed="false">
      <c r="B27603" s="0" t="s">
        <v>7</v>
      </c>
      <c r="D27603" s="0" t="s">
        <v>2266</v>
      </c>
      <c r="E27603" s="0" t="s">
        <v>2266</v>
      </c>
      <c r="F27603" s="0" t="s">
        <v>2266</v>
      </c>
    </row>
    <row r="27604" customFormat="false" ht="12.8" hidden="false" customHeight="false" outlineLevel="0" collapsed="false">
      <c r="B27604" s="0" t="s">
        <v>14</v>
      </c>
      <c r="D27604" s="0" t="s">
        <v>7292</v>
      </c>
      <c r="E27604" s="0" t="s">
        <v>7292</v>
      </c>
      <c r="F27604" s="0" t="s">
        <v>7292</v>
      </c>
    </row>
    <row r="27605" customFormat="false" ht="12.8" hidden="false" customHeight="false" outlineLevel="0" collapsed="false">
      <c r="B27605" s="0" t="s">
        <v>7293</v>
      </c>
      <c r="D27605" s="0" t="s">
        <v>7295</v>
      </c>
      <c r="E27605" s="0" t="s">
        <v>7295</v>
      </c>
      <c r="F27605" s="0" t="s">
        <v>7295</v>
      </c>
    </row>
    <row r="27607" customFormat="false" ht="12.8" hidden="false" customHeight="false" outlineLevel="0" collapsed="false">
      <c r="A27607" s="0" t="s">
        <v>10284</v>
      </c>
      <c r="B27607" s="0" t="str">
        <f aca="false">HYPERLINK("https://lindat.mff.cuni.cz/services/teitok/pdtc10/index.php?action=vallex&amp;frame=v-w3743f3", "pojmenovávat (v-w3743f3)")</f>
        <v>pojmenovávat (v-w3743f3)</v>
      </c>
    </row>
    <row r="27608" customFormat="false" ht="12.8" hidden="false" customHeight="false" outlineLevel="0" collapsed="false">
      <c r="B27608" s="0" t="s">
        <v>7</v>
      </c>
    </row>
    <row r="27609" customFormat="false" ht="12.8" hidden="false" customHeight="false" outlineLevel="0" collapsed="false">
      <c r="B27609" s="0" t="s">
        <v>14</v>
      </c>
    </row>
    <row r="27610" customFormat="false" ht="12.8" hidden="false" customHeight="false" outlineLevel="0" collapsed="false">
      <c r="B27610" s="0" t="s">
        <v>662</v>
      </c>
    </row>
    <row r="27612" customFormat="false" ht="12.8" hidden="false" customHeight="false" outlineLevel="0" collapsed="false">
      <c r="A27612" s="0" t="s">
        <v>10285</v>
      </c>
      <c r="B27612" s="0" t="str">
        <f aca="false">HYPERLINK("https://lindat.mff.cuni.cz/services/teitok/pdtc10/index.php?action=vallex&amp;frame=v-w3743f1", "pojmenovávat (v-w3743f1)")</f>
        <v>pojmenovávat (v-w3743f1)</v>
      </c>
    </row>
    <row r="27613" customFormat="false" ht="12.8" hidden="false" customHeight="false" outlineLevel="0" collapsed="false">
      <c r="B27613" s="0" t="s">
        <v>7</v>
      </c>
    </row>
    <row r="27614" customFormat="false" ht="12.8" hidden="false" customHeight="false" outlineLevel="0" collapsed="false">
      <c r="B27614" s="0" t="s">
        <v>14</v>
      </c>
    </row>
    <row r="27616" customFormat="false" ht="12.8" hidden="false" customHeight="false" outlineLevel="0" collapsed="false">
      <c r="A27616" s="0" t="s">
        <v>10286</v>
      </c>
      <c r="B27616" s="0" t="str">
        <f aca="false">HYPERLINK("https://lindat.mff.cuni.cz/services/teitok/pdtc10/index.php?action=vallex&amp;frame=v-w3744f1", "pojmout (v-w3744f1)")</f>
        <v>pojmout (v-w3744f1)</v>
      </c>
    </row>
    <row r="27617" customFormat="false" ht="12.8" hidden="false" customHeight="false" outlineLevel="0" collapsed="false">
      <c r="B27617" s="0" t="s">
        <v>7</v>
      </c>
      <c r="C27617" s="0" t="s">
        <v>191</v>
      </c>
      <c r="D27617" s="0" t="s">
        <v>451</v>
      </c>
      <c r="E27617" s="0" t="s">
        <v>451</v>
      </c>
      <c r="F27617" s="0" t="s">
        <v>451</v>
      </c>
    </row>
    <row r="27618" customFormat="false" ht="12.8" hidden="false" customHeight="false" outlineLevel="0" collapsed="false">
      <c r="B27618" s="0" t="s">
        <v>14</v>
      </c>
      <c r="C27618" s="0" t="s">
        <v>47</v>
      </c>
      <c r="D27618" s="0" t="s">
        <v>453</v>
      </c>
      <c r="E27618" s="0" t="s">
        <v>453</v>
      </c>
      <c r="F27618" s="0" t="s">
        <v>453</v>
      </c>
    </row>
    <row r="27619" customFormat="false" ht="12.8" hidden="false" customHeight="false" outlineLevel="0" collapsed="false">
      <c r="B27619" s="0" t="s">
        <v>1358</v>
      </c>
      <c r="C27619" s="0" t="s">
        <v>38</v>
      </c>
      <c r="D27619" s="0" t="s">
        <v>455</v>
      </c>
      <c r="E27619" s="0" t="s">
        <v>455</v>
      </c>
      <c r="F27619" s="0" t="s">
        <v>455</v>
      </c>
    </row>
    <row r="27621" customFormat="false" ht="12.8" hidden="false" customHeight="false" outlineLevel="0" collapsed="false">
      <c r="A27621" s="0" t="s">
        <v>10287</v>
      </c>
      <c r="B27621" s="0" t="str">
        <f aca="false">HYPERLINK("https://lindat.mff.cuni.cz/services/teitok/pdtc10/index.php?action=vallex&amp;frame=v-w3744f2", "pojmout (v-w3744f2)")</f>
        <v>pojmout (v-w3744f2)</v>
      </c>
    </row>
    <row r="27622" customFormat="false" ht="12.8" hidden="false" customHeight="false" outlineLevel="0" collapsed="false">
      <c r="B27622" s="0" t="s">
        <v>7</v>
      </c>
      <c r="C27622" s="0" t="s">
        <v>10288</v>
      </c>
      <c r="D27622" s="0" t="s">
        <v>7828</v>
      </c>
      <c r="E27622" s="0" t="s">
        <v>7828</v>
      </c>
      <c r="F27622" s="0" t="s">
        <v>7828</v>
      </c>
    </row>
    <row r="27623" customFormat="false" ht="12.8" hidden="false" customHeight="false" outlineLevel="0" collapsed="false">
      <c r="B27623" s="0" t="s">
        <v>14</v>
      </c>
      <c r="C27623" s="0" t="s">
        <v>1631</v>
      </c>
      <c r="D27623" s="0" t="s">
        <v>7830</v>
      </c>
      <c r="E27623" s="0" t="s">
        <v>7830</v>
      </c>
      <c r="F27623" s="0" t="s">
        <v>7830</v>
      </c>
    </row>
    <row r="27625" customFormat="false" ht="12.8" hidden="false" customHeight="false" outlineLevel="0" collapsed="false">
      <c r="A27625" s="0" t="s">
        <v>10289</v>
      </c>
      <c r="B27625" s="0" t="str">
        <f aca="false">HYPERLINK("https://lindat.mff.cuni.cz/services/teitok/pdtc10/index.php?action=vallex&amp;frame=v-w3744f3", "pojmout (v-w3744f3)")</f>
        <v>pojmout (v-w3744f3)</v>
      </c>
    </row>
    <row r="27626" customFormat="false" ht="12.8" hidden="false" customHeight="false" outlineLevel="0" collapsed="false">
      <c r="B27626" s="0" t="s">
        <v>7</v>
      </c>
      <c r="C27626" s="0" t="s">
        <v>184</v>
      </c>
    </row>
    <row r="27627" customFormat="false" ht="12.8" hidden="false" customHeight="false" outlineLevel="0" collapsed="false">
      <c r="B27627" s="0" t="s">
        <v>14</v>
      </c>
      <c r="C27627" s="0" t="s">
        <v>33</v>
      </c>
    </row>
    <row r="27628" customFormat="false" ht="12.8" hidden="false" customHeight="false" outlineLevel="0" collapsed="false">
      <c r="B27628" s="0" t="s">
        <v>552</v>
      </c>
    </row>
    <row r="27629" customFormat="false" ht="12.8" hidden="false" customHeight="false" outlineLevel="0" collapsed="false">
      <c r="B27629" s="0" t="s">
        <v>5619</v>
      </c>
    </row>
    <row r="27630" customFormat="false" ht="12.8" hidden="false" customHeight="false" outlineLevel="0" collapsed="false">
      <c r="B27630" s="0" t="s">
        <v>474</v>
      </c>
    </row>
    <row r="27631" customFormat="false" ht="12.8" hidden="false" customHeight="false" outlineLevel="0" collapsed="false">
      <c r="B27631" s="0" t="s">
        <v>477</v>
      </c>
    </row>
    <row r="27632" customFormat="false" ht="12.8" hidden="false" customHeight="false" outlineLevel="0" collapsed="false">
      <c r="B27632" s="0" t="s">
        <v>479</v>
      </c>
    </row>
    <row r="27633" customFormat="false" ht="12.8" hidden="false" customHeight="false" outlineLevel="0" collapsed="false">
      <c r="B27633" s="0" t="s">
        <v>481</v>
      </c>
    </row>
    <row r="27634" customFormat="false" ht="12.8" hidden="false" customHeight="false" outlineLevel="0" collapsed="false">
      <c r="B27634" s="0" t="s">
        <v>483</v>
      </c>
    </row>
    <row r="27636" customFormat="false" ht="12.8" hidden="false" customHeight="false" outlineLevel="0" collapsed="false">
      <c r="A27636" s="0" t="s">
        <v>10290</v>
      </c>
      <c r="B27636" s="0" t="str">
        <f aca="false">HYPERLINK("https://lindat.mff.cuni.cz/services/teitok/pdtc10/index.php?action=vallex&amp;frame=v-w3744f4", "pojmout (v-w3744f4)")</f>
        <v>pojmout (v-w3744f4)</v>
      </c>
    </row>
    <row r="27637" customFormat="false" ht="12.8" hidden="false" customHeight="false" outlineLevel="0" collapsed="false">
      <c r="B27637" s="0" t="s">
        <v>7</v>
      </c>
      <c r="C27637" s="0" t="s">
        <v>2281</v>
      </c>
    </row>
    <row r="27638" customFormat="false" ht="12.8" hidden="false" customHeight="false" outlineLevel="0" collapsed="false">
      <c r="B27638" s="0" t="s">
        <v>5786</v>
      </c>
      <c r="C27638" s="0" t="s">
        <v>10291</v>
      </c>
    </row>
    <row r="27640" customFormat="false" ht="12.8" hidden="false" customHeight="false" outlineLevel="0" collapsed="false">
      <c r="A27640" s="0" t="s">
        <v>10292</v>
      </c>
      <c r="B27640" s="0" t="str">
        <f aca="false">HYPERLINK("https://lindat.mff.cuni.cz/services/teitok/pdtc10/index.php?action=vallex&amp;frame=v-w3731f1", "pojídat (v-w3731f1)")</f>
        <v>pojídat (v-w3731f1)</v>
      </c>
    </row>
    <row r="27641" customFormat="false" ht="12.8" hidden="false" customHeight="false" outlineLevel="0" collapsed="false">
      <c r="B27641" s="0" t="s">
        <v>7</v>
      </c>
    </row>
    <row r="27642" customFormat="false" ht="12.8" hidden="false" customHeight="false" outlineLevel="0" collapsed="false">
      <c r="B27642" s="0" t="s">
        <v>14</v>
      </c>
    </row>
    <row r="27644" customFormat="false" ht="12.8" hidden="false" customHeight="false" outlineLevel="0" collapsed="false">
      <c r="A27644" s="0" t="s">
        <v>10293</v>
      </c>
      <c r="B27644" s="0" t="str">
        <f aca="false">HYPERLINK("https://lindat.mff.cuni.cz/services/teitok/pdtc10/index.php?action=vallex&amp;frame=v-whsa_1174hsa_1175", "pojídat se (v-whsa_1174hsa_1175)")</f>
        <v>pojídat se (v-whsa_1174hsa_1175)</v>
      </c>
    </row>
    <row r="27645" customFormat="false" ht="12.8" hidden="false" customHeight="false" outlineLevel="0" collapsed="false">
      <c r="B27645" s="0" t="s">
        <v>7</v>
      </c>
      <c r="C27645" s="0" t="s">
        <v>4379</v>
      </c>
    </row>
    <row r="27646" customFormat="false" ht="12.8" hidden="false" customHeight="false" outlineLevel="0" collapsed="false">
      <c r="B27646" s="0" t="s">
        <v>548</v>
      </c>
      <c r="C27646" s="0" t="s">
        <v>1315</v>
      </c>
    </row>
    <row r="27648" customFormat="false" ht="12.8" hidden="false" customHeight="false" outlineLevel="0" collapsed="false">
      <c r="A27648" s="0" t="s">
        <v>10294</v>
      </c>
      <c r="B27648" s="0" t="str">
        <f aca="false">HYPERLINK("https://lindat.mff.cuni.cz/services/teitok/pdtc10/index.php?action=vallex&amp;frame=v-w3733f1", "pojímat (v-w3733f1)")</f>
        <v>pojímat (v-w3733f1)</v>
      </c>
    </row>
    <row r="27649" customFormat="false" ht="12.8" hidden="false" customHeight="false" outlineLevel="0" collapsed="false">
      <c r="B27649" s="0" t="s">
        <v>7</v>
      </c>
      <c r="D27649" s="0" t="s">
        <v>451</v>
      </c>
      <c r="E27649" s="0" t="s">
        <v>451</v>
      </c>
      <c r="F27649" s="0" t="s">
        <v>451</v>
      </c>
    </row>
    <row r="27650" customFormat="false" ht="12.8" hidden="false" customHeight="false" outlineLevel="0" collapsed="false">
      <c r="B27650" s="0" t="s">
        <v>14</v>
      </c>
      <c r="D27650" s="0" t="s">
        <v>453</v>
      </c>
      <c r="E27650" s="0" t="s">
        <v>453</v>
      </c>
      <c r="F27650" s="0" t="s">
        <v>453</v>
      </c>
    </row>
    <row r="27651" customFormat="false" ht="12.8" hidden="false" customHeight="false" outlineLevel="0" collapsed="false">
      <c r="B27651" s="0" t="s">
        <v>1358</v>
      </c>
      <c r="D27651" s="0" t="s">
        <v>455</v>
      </c>
      <c r="E27651" s="0" t="s">
        <v>455</v>
      </c>
      <c r="F27651" s="0" t="s">
        <v>455</v>
      </c>
    </row>
    <row r="27653" customFormat="false" ht="12.8" hidden="false" customHeight="false" outlineLevel="0" collapsed="false">
      <c r="A27653" s="0" t="s">
        <v>10295</v>
      </c>
      <c r="B27653" s="0" t="str">
        <f aca="false">HYPERLINK("https://lindat.mff.cuni.cz/services/teitok/pdtc10/index.php?action=vallex&amp;frame=v-w3733f2", "pojímat (v-w3733f2)")</f>
        <v>pojímat (v-w3733f2)</v>
      </c>
    </row>
    <row r="27654" customFormat="false" ht="12.8" hidden="false" customHeight="false" outlineLevel="0" collapsed="false">
      <c r="B27654" s="0" t="s">
        <v>7</v>
      </c>
    </row>
    <row r="27655" customFormat="false" ht="12.8" hidden="false" customHeight="false" outlineLevel="0" collapsed="false">
      <c r="B27655" s="0" t="s">
        <v>14</v>
      </c>
    </row>
    <row r="27656" customFormat="false" ht="12.8" hidden="false" customHeight="false" outlineLevel="0" collapsed="false">
      <c r="B27656" s="0" t="s">
        <v>5619</v>
      </c>
    </row>
    <row r="27657" customFormat="false" ht="12.8" hidden="false" customHeight="false" outlineLevel="0" collapsed="false">
      <c r="B27657" s="0" t="s">
        <v>474</v>
      </c>
    </row>
    <row r="27658" customFormat="false" ht="12.8" hidden="false" customHeight="false" outlineLevel="0" collapsed="false">
      <c r="B27658" s="0" t="s">
        <v>479</v>
      </c>
    </row>
    <row r="27659" customFormat="false" ht="12.8" hidden="false" customHeight="false" outlineLevel="0" collapsed="false">
      <c r="B27659" s="0" t="s">
        <v>481</v>
      </c>
    </row>
    <row r="27660" customFormat="false" ht="12.8" hidden="false" customHeight="false" outlineLevel="0" collapsed="false">
      <c r="B27660" s="0" t="s">
        <v>483</v>
      </c>
    </row>
    <row r="27662" customFormat="false" ht="12.8" hidden="false" customHeight="false" outlineLevel="0" collapsed="false">
      <c r="A27662" s="0" t="s">
        <v>10296</v>
      </c>
      <c r="B27662" s="0" t="str">
        <f aca="false">HYPERLINK("https://lindat.mff.cuni.cz/services/teitok/pdtc10/index.php?action=vallex&amp;frame=v-w3733f3_ZU", "pojímat (v-w3733f3_ZU)")</f>
        <v>pojímat (v-w3733f3_ZU)</v>
      </c>
    </row>
    <row r="27663" customFormat="false" ht="12.8" hidden="false" customHeight="false" outlineLevel="0" collapsed="false">
      <c r="B27663" s="0" t="s">
        <v>7</v>
      </c>
    </row>
    <row r="27664" customFormat="false" ht="12.8" hidden="false" customHeight="false" outlineLevel="0" collapsed="false">
      <c r="B27664" s="0" t="s">
        <v>14</v>
      </c>
    </row>
    <row r="27666" customFormat="false" ht="12.8" hidden="false" customHeight="false" outlineLevel="0" collapsed="false">
      <c r="A27666" s="0" t="s">
        <v>10297</v>
      </c>
      <c r="B27666" s="0" t="str">
        <f aca="false">HYPERLINK("https://lindat.mff.cuni.cz/services/teitok/pdtc10/index.php?action=vallex&amp;frame=v-whsa_1186hsa_1187", "pojíst (v-whsa_1186hsa_1187)")</f>
        <v>pojíst (v-whsa_1186hsa_1187)</v>
      </c>
    </row>
    <row r="27667" customFormat="false" ht="12.8" hidden="false" customHeight="false" outlineLevel="0" collapsed="false">
      <c r="B27667" s="0" t="s">
        <v>7</v>
      </c>
    </row>
    <row r="27668" customFormat="false" ht="12.8" hidden="false" customHeight="false" outlineLevel="0" collapsed="false">
      <c r="B27668" s="0" t="s">
        <v>4381</v>
      </c>
    </row>
    <row r="27670" customFormat="false" ht="12.8" hidden="false" customHeight="false" outlineLevel="0" collapsed="false">
      <c r="A27670" s="0" t="s">
        <v>10298</v>
      </c>
      <c r="B27670" s="0" t="str">
        <f aca="false">HYPERLINK("https://lindat.mff.cuni.cz/services/teitok/pdtc10/index.php?action=vallex&amp;frame=v-whsa_1461hsa_1462", "pojíst si (v-whsa_1461hsa_1462)")</f>
        <v>pojíst si (v-whsa_1461hsa_1462)</v>
      </c>
    </row>
    <row r="27671" customFormat="false" ht="12.8" hidden="false" customHeight="false" outlineLevel="0" collapsed="false">
      <c r="B27671" s="0" t="s">
        <v>7</v>
      </c>
    </row>
    <row r="27673" customFormat="false" ht="12.8" hidden="false" customHeight="false" outlineLevel="0" collapsed="false">
      <c r="A27673" s="0" t="s">
        <v>10299</v>
      </c>
      <c r="B27673" s="0" t="str">
        <f aca="false">HYPERLINK("https://lindat.mff.cuni.cz/services/teitok/pdtc10/index.php?action=vallex&amp;frame=v-whsa_1985hsa_1986", "pojít (v-whsa_1985hsa_1986)")</f>
        <v>pojít (v-whsa_1985hsa_1986)</v>
      </c>
    </row>
    <row r="27674" customFormat="false" ht="12.8" hidden="false" customHeight="false" outlineLevel="0" collapsed="false">
      <c r="B27674" s="0" t="s">
        <v>7</v>
      </c>
    </row>
    <row r="27676" customFormat="false" ht="12.8" hidden="false" customHeight="false" outlineLevel="0" collapsed="false">
      <c r="A27676" s="0" t="s">
        <v>10300</v>
      </c>
      <c r="B27676" s="0" t="str">
        <f aca="false">HYPERLINK("https://lindat.mff.cuni.cz/services/teitok/pdtc10/index.php?action=vallex&amp;frame=v-w3747f1", "pokazit (v-w3747f1)")</f>
        <v>pokazit (v-w3747f1)</v>
      </c>
    </row>
    <row r="27677" customFormat="false" ht="12.8" hidden="false" customHeight="false" outlineLevel="0" collapsed="false">
      <c r="B27677" s="0" t="s">
        <v>7</v>
      </c>
      <c r="C27677" s="0" t="s">
        <v>335</v>
      </c>
      <c r="D27677" s="0" t="s">
        <v>2062</v>
      </c>
      <c r="E27677" s="0" t="s">
        <v>2062</v>
      </c>
      <c r="F27677" s="0" t="s">
        <v>2063</v>
      </c>
    </row>
    <row r="27678" customFormat="false" ht="12.8" hidden="false" customHeight="false" outlineLevel="0" collapsed="false">
      <c r="B27678" s="0" t="s">
        <v>14</v>
      </c>
      <c r="C27678" s="0" t="s">
        <v>1170</v>
      </c>
      <c r="D27678" s="0" t="s">
        <v>2065</v>
      </c>
      <c r="E27678" s="0" t="s">
        <v>2065</v>
      </c>
      <c r="F27678" s="0" t="s">
        <v>2066</v>
      </c>
    </row>
    <row r="27680" customFormat="false" ht="12.8" hidden="false" customHeight="false" outlineLevel="0" collapsed="false">
      <c r="A27680" s="0" t="s">
        <v>10301</v>
      </c>
      <c r="B27680" s="0" t="str">
        <f aca="false">HYPERLINK("https://lindat.mff.cuni.cz/services/teitok/pdtc10/index.php?action=vallex&amp;frame=v-w3748f1", "pokazit se (v-w3748f1)")</f>
        <v>pokazit se (v-w3748f1)</v>
      </c>
    </row>
    <row r="27681" customFormat="false" ht="12.8" hidden="false" customHeight="false" outlineLevel="0" collapsed="false">
      <c r="B27681" s="0" t="s">
        <v>7</v>
      </c>
      <c r="C27681" s="0" t="s">
        <v>10302</v>
      </c>
    </row>
    <row r="27683" customFormat="false" ht="12.8" hidden="false" customHeight="false" outlineLevel="0" collapsed="false">
      <c r="A27683" s="0" t="s">
        <v>10303</v>
      </c>
      <c r="B27683" s="0" t="str">
        <f aca="false">HYPERLINK("https://lindat.mff.cuni.cz/services/teitok/pdtc10/index.php?action=vallex&amp;frame=v-w3746f1", "pokašlávat (v-w3746f1)")</f>
        <v>pokašlávat (v-w3746f1)</v>
      </c>
    </row>
    <row r="27684" customFormat="false" ht="12.8" hidden="false" customHeight="false" outlineLevel="0" collapsed="false">
      <c r="B27684" s="0" t="s">
        <v>7</v>
      </c>
    </row>
    <row r="27686" customFormat="false" ht="12.8" hidden="false" customHeight="false" outlineLevel="0" collapsed="false">
      <c r="A27686" s="0" t="s">
        <v>10304</v>
      </c>
      <c r="B27686" s="0" t="str">
        <f aca="false">HYPERLINK("https://lindat.mff.cuni.cz/services/teitok/pdtc10/index.php?action=vallex&amp;frame=v-whsa_261hsa_262", "pokecat (v-whsa_261hsa_262)")</f>
        <v>pokecat (v-whsa_261hsa_262)</v>
      </c>
    </row>
    <row r="27687" customFormat="false" ht="12.8" hidden="false" customHeight="false" outlineLevel="0" collapsed="false">
      <c r="B27687" s="0" t="s">
        <v>7</v>
      </c>
    </row>
    <row r="27688" customFormat="false" ht="12.8" hidden="false" customHeight="false" outlineLevel="0" collapsed="false">
      <c r="B27688" s="0" t="s">
        <v>244</v>
      </c>
    </row>
    <row r="27689" customFormat="false" ht="12.8" hidden="false" customHeight="false" outlineLevel="0" collapsed="false">
      <c r="B27689" s="0" t="s">
        <v>207</v>
      </c>
    </row>
    <row r="27691" customFormat="false" ht="12.8" hidden="false" customHeight="false" outlineLevel="0" collapsed="false">
      <c r="A27691" s="0" t="s">
        <v>10305</v>
      </c>
      <c r="B27691" s="0" t="str">
        <f aca="false">HYPERLINK("https://lindat.mff.cuni.cz/services/teitok/pdtc10/index.php?action=vallex&amp;frame=v-w11811_ZUf1_ZU", "pokleknout (v-w11811_ZUf1_ZU)")</f>
        <v>pokleknout (v-w11811_ZUf1_ZU)</v>
      </c>
    </row>
    <row r="27692" customFormat="false" ht="12.8" hidden="false" customHeight="false" outlineLevel="0" collapsed="false">
      <c r="B27692" s="0" t="s">
        <v>7</v>
      </c>
    </row>
    <row r="27694" customFormat="false" ht="12.8" hidden="false" customHeight="false" outlineLevel="0" collapsed="false">
      <c r="A27694" s="0" t="s">
        <v>10306</v>
      </c>
      <c r="B27694" s="0" t="str">
        <f aca="false">HYPERLINK("https://lindat.mff.cuni.cz/services/teitok/pdtc10/index.php?action=vallex&amp;frame=v-w3752f1", "poklepat (v-w3752f1)")</f>
        <v>poklepat (v-w3752f1)</v>
      </c>
    </row>
    <row r="27695" customFormat="false" ht="12.8" hidden="false" customHeight="false" outlineLevel="0" collapsed="false">
      <c r="B27695" s="0" t="s">
        <v>7</v>
      </c>
      <c r="D27695" s="0" t="s">
        <v>194</v>
      </c>
      <c r="E27695" s="0" t="s">
        <v>194</v>
      </c>
      <c r="F27695" s="0" t="s">
        <v>194</v>
      </c>
    </row>
    <row r="27696" customFormat="false" ht="12.8" hidden="false" customHeight="false" outlineLevel="0" collapsed="false">
      <c r="B27696" s="0" t="s">
        <v>124</v>
      </c>
      <c r="C27696" s="0" t="s">
        <v>2162</v>
      </c>
      <c r="D27696" s="0" t="s">
        <v>7058</v>
      </c>
      <c r="E27696" s="0" t="s">
        <v>7058</v>
      </c>
      <c r="F27696" s="0" t="s">
        <v>7058</v>
      </c>
    </row>
    <row r="27698" customFormat="false" ht="12.8" hidden="false" customHeight="false" outlineLevel="0" collapsed="false">
      <c r="A27698" s="0" t="s">
        <v>10307</v>
      </c>
      <c r="B27698" s="0" t="str">
        <f aca="false">HYPERLINK("https://lindat.mff.cuni.cz/services/teitok/pdtc10/index.php?action=vallex&amp;frame=v-w3754f1", "poklesnout (v-w3754f1)")</f>
        <v>poklesnout (v-w3754f1)</v>
      </c>
    </row>
    <row r="27699" customFormat="false" ht="12.8" hidden="false" customHeight="false" outlineLevel="0" collapsed="false">
      <c r="B27699" s="0" t="s">
        <v>7</v>
      </c>
      <c r="C27699" s="0" t="s">
        <v>10308</v>
      </c>
      <c r="D27699" s="0" t="s">
        <v>9114</v>
      </c>
      <c r="E27699" s="0" t="s">
        <v>9114</v>
      </c>
      <c r="F27699" s="0" t="s">
        <v>9114</v>
      </c>
    </row>
    <row r="27700" customFormat="false" ht="12.8" hidden="false" customHeight="false" outlineLevel="0" collapsed="false">
      <c r="B27700" s="0" t="s">
        <v>63</v>
      </c>
      <c r="C27700" s="0" t="s">
        <v>10309</v>
      </c>
      <c r="D27700" s="0" t="s">
        <v>9116</v>
      </c>
      <c r="E27700" s="0" t="s">
        <v>9116</v>
      </c>
      <c r="F27700" s="0" t="s">
        <v>9116</v>
      </c>
    </row>
    <row r="27701" customFormat="false" ht="12.8" hidden="false" customHeight="false" outlineLevel="0" collapsed="false">
      <c r="B27701" s="0" t="s">
        <v>35</v>
      </c>
      <c r="C27701" s="0" t="s">
        <v>10310</v>
      </c>
      <c r="D27701" s="0" t="s">
        <v>9118</v>
      </c>
      <c r="E27701" s="0" t="s">
        <v>9118</v>
      </c>
      <c r="F27701" s="0" t="s">
        <v>9118</v>
      </c>
    </row>
    <row r="27703" customFormat="false" ht="12.8" hidden="false" customHeight="false" outlineLevel="0" collapsed="false">
      <c r="A27703" s="0" t="s">
        <v>10311</v>
      </c>
      <c r="B27703" s="0" t="str">
        <f aca="false">HYPERLINK("https://lindat.mff.cuni.cz/services/teitok/pdtc10/index.php?action=vallex&amp;frame=v-w3754hsa_196", "poklesnout (v-w3754hsa_196)")</f>
        <v>poklesnout (v-w3754hsa_196)</v>
      </c>
    </row>
    <row r="27704" customFormat="false" ht="12.8" hidden="false" customHeight="false" outlineLevel="0" collapsed="false">
      <c r="B27704" s="0" t="s">
        <v>7</v>
      </c>
    </row>
    <row r="27705" customFormat="false" ht="12.8" hidden="false" customHeight="false" outlineLevel="0" collapsed="false">
      <c r="B27705" s="0" t="s">
        <v>124</v>
      </c>
    </row>
    <row r="27707" customFormat="false" ht="12.8" hidden="false" customHeight="false" outlineLevel="0" collapsed="false">
      <c r="A27707" s="0" t="s">
        <v>10312</v>
      </c>
      <c r="B27707" s="0" t="str">
        <f aca="false">HYPERLINK("https://lindat.mff.cuni.cz/services/teitok/pdtc10/index.php?action=vallex&amp;frame=v-whsa_1758hsa_1759", "poklidit (v-whsa_1758hsa_1759)")</f>
        <v>poklidit (v-whsa_1758hsa_1759)</v>
      </c>
    </row>
    <row r="27708" customFormat="false" ht="12.8" hidden="false" customHeight="false" outlineLevel="0" collapsed="false">
      <c r="B27708" s="0" t="s">
        <v>7</v>
      </c>
    </row>
    <row r="27709" customFormat="false" ht="12.8" hidden="false" customHeight="false" outlineLevel="0" collapsed="false">
      <c r="B27709" s="0" t="s">
        <v>14</v>
      </c>
    </row>
    <row r="27711" customFormat="false" ht="12.8" hidden="false" customHeight="false" outlineLevel="0" collapsed="false">
      <c r="A27711" s="0" t="s">
        <v>10313</v>
      </c>
      <c r="B27711" s="0" t="str">
        <f aca="false">HYPERLINK("https://lindat.mff.cuni.cz/services/teitok/pdtc10/index.php?action=vallex&amp;frame=v-w3756f1", "poklonit se (v-w3756f1)")</f>
        <v>poklonit se (v-w3756f1)</v>
      </c>
    </row>
    <row r="27712" customFormat="false" ht="12.8" hidden="false" customHeight="false" outlineLevel="0" collapsed="false">
      <c r="B27712" s="0" t="s">
        <v>7</v>
      </c>
    </row>
    <row r="27713" customFormat="false" ht="12.8" hidden="false" customHeight="false" outlineLevel="0" collapsed="false">
      <c r="B27713" s="0" t="s">
        <v>142</v>
      </c>
    </row>
    <row r="27715" customFormat="false" ht="12.8" hidden="false" customHeight="false" outlineLevel="0" collapsed="false">
      <c r="A27715" s="0" t="s">
        <v>10314</v>
      </c>
      <c r="B27715" s="0" t="str">
        <f aca="false">HYPERLINK("https://lindat.mff.cuni.cz/services/teitok/pdtc10/index.php?action=vallex&amp;frame=v-w3756f2", "poklonit se (v-w3756f2)")</f>
        <v>poklonit se (v-w3756f2)</v>
      </c>
    </row>
    <row r="27716" customFormat="false" ht="12.8" hidden="false" customHeight="false" outlineLevel="0" collapsed="false">
      <c r="B27716" s="0" t="s">
        <v>7</v>
      </c>
    </row>
    <row r="27717" customFormat="false" ht="12.8" hidden="false" customHeight="false" outlineLevel="0" collapsed="false">
      <c r="B27717" s="0" t="s">
        <v>119</v>
      </c>
    </row>
    <row r="27719" customFormat="false" ht="12.8" hidden="false" customHeight="false" outlineLevel="0" collapsed="false">
      <c r="A27719" s="0" t="s">
        <v>10315</v>
      </c>
      <c r="B27719" s="0" t="str">
        <f aca="false">HYPERLINK("https://lindat.mff.cuni.cz/services/teitok/pdtc10/index.php?action=vallex&amp;frame=v-w3751f5", "pokládat (v-w3751f5)")</f>
        <v>pokládat (v-w3751f5)</v>
      </c>
    </row>
    <row r="27720" customFormat="false" ht="12.8" hidden="false" customHeight="false" outlineLevel="0" collapsed="false">
      <c r="B27720" s="0" t="s">
        <v>7</v>
      </c>
      <c r="C27720" s="0" t="s">
        <v>2583</v>
      </c>
      <c r="D27720" s="0" t="s">
        <v>2534</v>
      </c>
      <c r="E27720" s="0" t="s">
        <v>2534</v>
      </c>
      <c r="F27720" s="0" t="s">
        <v>2534</v>
      </c>
    </row>
    <row r="27721" customFormat="false" ht="12.8" hidden="false" customHeight="false" outlineLevel="0" collapsed="false">
      <c r="B27721" s="0" t="s">
        <v>14</v>
      </c>
      <c r="C27721" s="0" t="s">
        <v>2584</v>
      </c>
      <c r="D27721" s="0" t="s">
        <v>2537</v>
      </c>
      <c r="E27721" s="0" t="s">
        <v>2537</v>
      </c>
      <c r="F27721" s="0" t="s">
        <v>2537</v>
      </c>
    </row>
    <row r="27722" customFormat="false" ht="12.8" hidden="false" customHeight="false" outlineLevel="0" collapsed="false">
      <c r="B27722" s="0" t="s">
        <v>48</v>
      </c>
      <c r="C27722" s="0" t="s">
        <v>2585</v>
      </c>
      <c r="D27722" s="0" t="s">
        <v>2540</v>
      </c>
      <c r="E27722" s="0" t="s">
        <v>2540</v>
      </c>
      <c r="F27722" s="0" t="s">
        <v>2540</v>
      </c>
    </row>
    <row r="27724" customFormat="false" ht="12.8" hidden="false" customHeight="false" outlineLevel="0" collapsed="false">
      <c r="A27724" s="0" t="s">
        <v>10316</v>
      </c>
      <c r="B27724" s="0" t="str">
        <f aca="false">HYPERLINK("https://lindat.mff.cuni.cz/services/teitok/pdtc10/index.php?action=vallex&amp;frame=v-w3751f1", "pokládat (v-w3751f1)")</f>
        <v>pokládat (v-w3751f1)</v>
      </c>
    </row>
    <row r="27725" customFormat="false" ht="12.8" hidden="false" customHeight="false" outlineLevel="0" collapsed="false">
      <c r="B27725" s="0" t="s">
        <v>7</v>
      </c>
      <c r="C27725" s="0" t="s">
        <v>10317</v>
      </c>
      <c r="D27725" s="0" t="s">
        <v>451</v>
      </c>
      <c r="E27725" s="0" t="s">
        <v>451</v>
      </c>
      <c r="F27725" s="0" t="s">
        <v>451</v>
      </c>
    </row>
    <row r="27726" customFormat="false" ht="12.8" hidden="false" customHeight="false" outlineLevel="0" collapsed="false">
      <c r="B27726" s="0" t="s">
        <v>10318</v>
      </c>
      <c r="C27726" s="0" t="s">
        <v>10319</v>
      </c>
      <c r="D27726" s="0" t="s">
        <v>453</v>
      </c>
      <c r="E27726" s="0" t="s">
        <v>453</v>
      </c>
      <c r="F27726" s="0" t="s">
        <v>453</v>
      </c>
    </row>
    <row r="27727" customFormat="false" ht="12.8" hidden="false" customHeight="false" outlineLevel="0" collapsed="false">
      <c r="B27727" s="0" t="s">
        <v>10320</v>
      </c>
      <c r="C27727" s="0" t="s">
        <v>10321</v>
      </c>
      <c r="D27727" s="0" t="s">
        <v>455</v>
      </c>
      <c r="E27727" s="0" t="s">
        <v>455</v>
      </c>
      <c r="F27727" s="0" t="s">
        <v>455</v>
      </c>
    </row>
    <row r="27729" customFormat="false" ht="12.8" hidden="false" customHeight="false" outlineLevel="0" collapsed="false">
      <c r="A27729" s="0" t="s">
        <v>10322</v>
      </c>
      <c r="B27729" s="0" t="str">
        <f aca="false">HYPERLINK("https://lindat.mff.cuni.cz/services/teitok/pdtc10/index.php?action=vallex&amp;frame=v-w3751f7_ZU", "pokládat (v-w3751f7_ZU)")</f>
        <v>pokládat (v-w3751f7_ZU)</v>
      </c>
    </row>
    <row r="27730" customFormat="false" ht="12.8" hidden="false" customHeight="false" outlineLevel="0" collapsed="false">
      <c r="B27730" s="0" t="s">
        <v>7</v>
      </c>
    </row>
    <row r="27731" customFormat="false" ht="12.8" hidden="false" customHeight="false" outlineLevel="0" collapsed="false">
      <c r="B27731" s="0" t="s">
        <v>14</v>
      </c>
    </row>
    <row r="27732" customFormat="false" ht="12.8" hidden="false" customHeight="false" outlineLevel="0" collapsed="false">
      <c r="B27732" s="0" t="s">
        <v>124</v>
      </c>
    </row>
    <row r="27734" customFormat="false" ht="12.8" hidden="false" customHeight="false" outlineLevel="0" collapsed="false">
      <c r="A27734" s="0" t="s">
        <v>10322</v>
      </c>
      <c r="B27734" s="0" t="str">
        <f aca="false">HYPERLINK("https://lindat.mff.cuni.cz/services/teitok/pdtc10/index.php?action=vallex&amp;frame=v-w3751f2", "pokládat (v-w3751f2) - substituted with v-w3751f7_ZU")</f>
        <v>pokládat (v-w3751f2) - substituted with v-w3751f7_ZU</v>
      </c>
    </row>
    <row r="27735" customFormat="false" ht="12.8" hidden="false" customHeight="false" outlineLevel="0" collapsed="false">
      <c r="B27735" s="0" t="s">
        <v>7</v>
      </c>
      <c r="D27735" s="0" t="s">
        <v>2235</v>
      </c>
      <c r="E27735" s="0" t="s">
        <v>2235</v>
      </c>
      <c r="F27735" s="0" t="s">
        <v>2235</v>
      </c>
    </row>
    <row r="27736" customFormat="false" ht="12.8" hidden="false" customHeight="false" outlineLevel="0" collapsed="false">
      <c r="B27736" s="0" t="s">
        <v>14</v>
      </c>
      <c r="D27736" s="0" t="s">
        <v>2237</v>
      </c>
      <c r="E27736" s="0" t="s">
        <v>2237</v>
      </c>
      <c r="F27736" s="0" t="s">
        <v>2237</v>
      </c>
    </row>
    <row r="27737" customFormat="false" ht="12.8" hidden="false" customHeight="false" outlineLevel="0" collapsed="false">
      <c r="B27737" s="0" t="s">
        <v>124</v>
      </c>
      <c r="D27737" s="0" t="s">
        <v>2238</v>
      </c>
      <c r="E27737" s="0" t="s">
        <v>2238</v>
      </c>
      <c r="F27737" s="0" t="s">
        <v>2238</v>
      </c>
    </row>
    <row r="27739" customFormat="false" ht="12.8" hidden="false" customHeight="false" outlineLevel="0" collapsed="false">
      <c r="A27739" s="0" t="s">
        <v>10323</v>
      </c>
      <c r="B27739" s="0" t="str">
        <f aca="false">HYPERLINK("https://lindat.mff.cuni.cz/services/teitok/pdtc10/index.php?action=vallex&amp;frame=v-w3751f4", "pokládat (v-w3751f4)")</f>
        <v>pokládat (v-w3751f4)</v>
      </c>
    </row>
    <row r="27740" customFormat="false" ht="12.8" hidden="false" customHeight="false" outlineLevel="0" collapsed="false">
      <c r="B27740" s="0" t="s">
        <v>7</v>
      </c>
    </row>
    <row r="27741" customFormat="false" ht="12.8" hidden="false" customHeight="false" outlineLevel="0" collapsed="false">
      <c r="B27741" s="0" t="s">
        <v>14</v>
      </c>
    </row>
    <row r="27743" customFormat="false" ht="12.8" hidden="false" customHeight="false" outlineLevel="0" collapsed="false">
      <c r="A27743" s="0" t="s">
        <v>10324</v>
      </c>
      <c r="B27743" s="0" t="str">
        <f aca="false">HYPERLINK("https://lindat.mff.cuni.cz/services/teitok/pdtc10/index.php?action=vallex&amp;frame=v-w3751f3", "pokládat (v-w3751f3)")</f>
        <v>pokládat (v-w3751f3)</v>
      </c>
    </row>
    <row r="27744" customFormat="false" ht="12.8" hidden="false" customHeight="false" outlineLevel="0" collapsed="false">
      <c r="B27744" s="0" t="s">
        <v>7</v>
      </c>
      <c r="C27744" s="0" t="s">
        <v>2583</v>
      </c>
      <c r="D27744" s="0" t="s">
        <v>2534</v>
      </c>
      <c r="E27744" s="0" t="s">
        <v>2534</v>
      </c>
      <c r="F27744" s="0" t="s">
        <v>2534</v>
      </c>
    </row>
    <row r="27745" customFormat="false" ht="12.8" hidden="false" customHeight="false" outlineLevel="0" collapsed="false">
      <c r="B27745" s="0" t="s">
        <v>4668</v>
      </c>
      <c r="C27745" s="0" t="s">
        <v>3475</v>
      </c>
      <c r="D27745" s="0" t="s">
        <v>4670</v>
      </c>
      <c r="E27745" s="0" t="s">
        <v>4670</v>
      </c>
      <c r="F27745" s="0" t="s">
        <v>4670</v>
      </c>
    </row>
    <row r="27746" customFormat="false" ht="12.8" hidden="false" customHeight="false" outlineLevel="0" collapsed="false">
      <c r="B27746" s="0" t="s">
        <v>48</v>
      </c>
      <c r="C27746" s="0" t="s">
        <v>2585</v>
      </c>
      <c r="D27746" s="0" t="s">
        <v>2540</v>
      </c>
      <c r="E27746" s="0" t="s">
        <v>2540</v>
      </c>
      <c r="F27746" s="0" t="s">
        <v>2540</v>
      </c>
    </row>
    <row r="27748" customFormat="false" ht="12.8" hidden="false" customHeight="false" outlineLevel="0" collapsed="false">
      <c r="A27748" s="0" t="s">
        <v>10325</v>
      </c>
      <c r="B27748" s="0" t="str">
        <f aca="false">HYPERLINK("https://lindat.mff.cuni.cz/services/teitok/pdtc10/index.php?action=vallex&amp;frame=v-w3751f6", "pokládat (v-w3751f6)")</f>
        <v>pokládat (v-w3751f6)</v>
      </c>
    </row>
    <row r="27749" customFormat="false" ht="12.8" hidden="false" customHeight="false" outlineLevel="0" collapsed="false">
      <c r="B27749" s="0" t="s">
        <v>7</v>
      </c>
    </row>
    <row r="27750" customFormat="false" ht="12.8" hidden="false" customHeight="false" outlineLevel="0" collapsed="false">
      <c r="B27750" s="0" t="s">
        <v>3063</v>
      </c>
    </row>
    <row r="27752" customFormat="false" ht="12.8" hidden="false" customHeight="false" outlineLevel="0" collapsed="false">
      <c r="A27752" s="0" t="s">
        <v>10326</v>
      </c>
      <c r="B27752" s="0" t="str">
        <f aca="false">HYPERLINK("https://lindat.mff.cuni.cz/services/teitok/pdtc10/index.php?action=vallex&amp;frame=v-w12110_ZUf1_ZU", "pokládat se (v-w12110_ZUf1_ZU)")</f>
        <v>pokládat se (v-w12110_ZUf1_ZU)</v>
      </c>
    </row>
    <row r="27753" customFormat="false" ht="12.8" hidden="false" customHeight="false" outlineLevel="0" collapsed="false">
      <c r="B27753" s="0" t="s">
        <v>7</v>
      </c>
    </row>
    <row r="27755" customFormat="false" ht="12.8" hidden="false" customHeight="false" outlineLevel="0" collapsed="false">
      <c r="A27755" s="0" t="s">
        <v>10327</v>
      </c>
      <c r="B27755" s="0" t="str">
        <f aca="false">HYPERLINK("https://lindat.mff.cuni.cz/services/teitok/pdtc10/index.php?action=vallex&amp;frame=v-w11925_ZUf1_ZU", "pokmínovat (v-w11925_ZUf1_ZU)")</f>
        <v>pokmínovat (v-w11925_ZUf1_ZU)</v>
      </c>
    </row>
    <row r="27756" customFormat="false" ht="12.8" hidden="false" customHeight="false" outlineLevel="0" collapsed="false">
      <c r="B27756" s="0" t="s">
        <v>7</v>
      </c>
    </row>
    <row r="27757" customFormat="false" ht="12.8" hidden="false" customHeight="false" outlineLevel="0" collapsed="false">
      <c r="B27757" s="0" t="s">
        <v>14</v>
      </c>
    </row>
    <row r="27759" customFormat="false" ht="12.8" hidden="false" customHeight="false" outlineLevel="0" collapsed="false">
      <c r="A27759" s="0" t="s">
        <v>10328</v>
      </c>
      <c r="B27759" s="0" t="str">
        <f aca="false">HYPERLINK("https://lindat.mff.cuni.cz/services/teitok/pdtc10/index.php?action=vallex&amp;frame=v-whsa_2037hsa_2038", "pokoupit (v-whsa_2037hsa_2038)")</f>
        <v>pokoupit (v-whsa_2037hsa_2038)</v>
      </c>
    </row>
    <row r="27760" customFormat="false" ht="12.8" hidden="false" customHeight="false" outlineLevel="0" collapsed="false">
      <c r="B27760" s="0" t="s">
        <v>7</v>
      </c>
    </row>
    <row r="27761" customFormat="false" ht="12.8" hidden="false" customHeight="false" outlineLevel="0" collapsed="false">
      <c r="B27761" s="0" t="s">
        <v>14</v>
      </c>
    </row>
    <row r="27762" customFormat="false" ht="12.8" hidden="false" customHeight="false" outlineLevel="0" collapsed="false">
      <c r="B27762" s="0" t="s">
        <v>1953</v>
      </c>
    </row>
    <row r="27763" customFormat="false" ht="12.8" hidden="false" customHeight="false" outlineLevel="0" collapsed="false">
      <c r="B27763" s="0" t="s">
        <v>441</v>
      </c>
    </row>
    <row r="27765" customFormat="false" ht="12.8" hidden="false" customHeight="false" outlineLevel="0" collapsed="false">
      <c r="A27765" s="0" t="s">
        <v>10329</v>
      </c>
      <c r="B27765" s="0" t="str">
        <f aca="false">HYPERLINK("https://lindat.mff.cuni.cz/services/teitok/pdtc10/index.php?action=vallex&amp;frame=v-w3759f1", "pokousat (v-w3759f1)")</f>
        <v>pokousat (v-w3759f1)</v>
      </c>
    </row>
    <row r="27766" customFormat="false" ht="12.8" hidden="false" customHeight="false" outlineLevel="0" collapsed="false">
      <c r="B27766" s="0" t="s">
        <v>7</v>
      </c>
      <c r="E27766" s="0" t="s">
        <v>335</v>
      </c>
      <c r="F27766" s="0" t="s">
        <v>335</v>
      </c>
    </row>
    <row r="27767" customFormat="false" ht="12.8" hidden="false" customHeight="false" outlineLevel="0" collapsed="false">
      <c r="B27767" s="0" t="s">
        <v>14</v>
      </c>
      <c r="E27767" s="0" t="s">
        <v>567</v>
      </c>
      <c r="F27767" s="0" t="s">
        <v>567</v>
      </c>
    </row>
    <row r="27769" customFormat="false" ht="12.8" hidden="false" customHeight="false" outlineLevel="0" collapsed="false">
      <c r="A27769" s="0" t="s">
        <v>10330</v>
      </c>
      <c r="B27769" s="0" t="str">
        <f aca="false">HYPERLINK("https://lindat.mff.cuni.cz/services/teitok/pdtc10/index.php?action=vallex&amp;frame=v-w3761f1", "pokoušet (v-w3761f1)")</f>
        <v>pokoušet (v-w3761f1)</v>
      </c>
    </row>
    <row r="27770" customFormat="false" ht="12.8" hidden="false" customHeight="false" outlineLevel="0" collapsed="false">
      <c r="B27770" s="0" t="s">
        <v>7</v>
      </c>
      <c r="E27770" s="0" t="s">
        <v>2431</v>
      </c>
      <c r="F27770" s="0" t="s">
        <v>2431</v>
      </c>
    </row>
    <row r="27771" customFormat="false" ht="12.8" hidden="false" customHeight="false" outlineLevel="0" collapsed="false">
      <c r="B27771" s="0" t="s">
        <v>14</v>
      </c>
      <c r="E27771" s="0" t="s">
        <v>9050</v>
      </c>
      <c r="F27771" s="0" t="s">
        <v>9050</v>
      </c>
    </row>
    <row r="27773" customFormat="false" ht="12.8" hidden="false" customHeight="false" outlineLevel="0" collapsed="false">
      <c r="A27773" s="0" t="s">
        <v>10331</v>
      </c>
      <c r="B27773" s="0" t="str">
        <f aca="false">HYPERLINK("https://lindat.mff.cuni.cz/services/teitok/pdtc10/index.php?action=vallex&amp;frame=v-w3761f2", "pokoušet (v-w3761f2)")</f>
        <v>pokoušet (v-w3761f2)</v>
      </c>
    </row>
    <row r="27774" customFormat="false" ht="12.8" hidden="false" customHeight="false" outlineLevel="0" collapsed="false">
      <c r="B27774" s="0" t="s">
        <v>7</v>
      </c>
      <c r="C27774" s="0" t="s">
        <v>335</v>
      </c>
      <c r="E27774" s="0" t="s">
        <v>465</v>
      </c>
      <c r="F27774" s="0" t="s">
        <v>465</v>
      </c>
    </row>
    <row r="27775" customFormat="false" ht="12.8" hidden="false" customHeight="false" outlineLevel="0" collapsed="false">
      <c r="B27775" s="0" t="s">
        <v>14</v>
      </c>
      <c r="C27775" s="0" t="s">
        <v>10332</v>
      </c>
      <c r="E27775" s="0" t="s">
        <v>1571</v>
      </c>
      <c r="F27775" s="0" t="s">
        <v>1571</v>
      </c>
    </row>
    <row r="27777" customFormat="false" ht="12.8" hidden="false" customHeight="false" outlineLevel="0" collapsed="false">
      <c r="A27777" s="0" t="s">
        <v>10333</v>
      </c>
      <c r="B27777" s="0" t="str">
        <f aca="false">HYPERLINK("https://lindat.mff.cuni.cz/services/teitok/pdtc10/index.php?action=vallex&amp;frame=v-w3762f1", "pokoušet se (v-w3762f1)")</f>
        <v>pokoušet se (v-w3762f1)</v>
      </c>
    </row>
    <row r="27778" customFormat="false" ht="12.8" hidden="false" customHeight="false" outlineLevel="0" collapsed="false">
      <c r="B27778" s="0" t="s">
        <v>7</v>
      </c>
      <c r="C27778" s="0" t="s">
        <v>10334</v>
      </c>
      <c r="D27778" s="0" t="s">
        <v>376</v>
      </c>
      <c r="E27778" s="0" t="s">
        <v>376</v>
      </c>
      <c r="F27778" s="0" t="s">
        <v>376</v>
      </c>
    </row>
    <row r="27779" customFormat="false" ht="12.8" hidden="false" customHeight="false" outlineLevel="0" collapsed="false">
      <c r="B27779" s="0" t="s">
        <v>10335</v>
      </c>
      <c r="C27779" s="0" t="s">
        <v>10336</v>
      </c>
      <c r="D27779" s="0" t="s">
        <v>379</v>
      </c>
      <c r="E27779" s="0" t="s">
        <v>379</v>
      </c>
      <c r="F27779" s="0" t="s">
        <v>379</v>
      </c>
    </row>
    <row r="27781" customFormat="false" ht="12.8" hidden="false" customHeight="false" outlineLevel="0" collapsed="false">
      <c r="A27781" s="0" t="s">
        <v>10337</v>
      </c>
      <c r="B27781" s="0" t="str">
        <f aca="false">HYPERLINK("https://lindat.mff.cuni.cz/services/teitok/pdtc10/index.php?action=vallex&amp;frame=v-w3757f1", "pokořit (v-w3757f1)")</f>
        <v>pokořit (v-w3757f1)</v>
      </c>
    </row>
    <row r="27782" customFormat="false" ht="12.8" hidden="false" customHeight="false" outlineLevel="0" collapsed="false">
      <c r="B27782" s="0" t="s">
        <v>7</v>
      </c>
      <c r="C27782" s="0" t="s">
        <v>108</v>
      </c>
      <c r="D27782" s="0" t="s">
        <v>8314</v>
      </c>
      <c r="E27782" s="0" t="s">
        <v>8314</v>
      </c>
      <c r="F27782" s="0" t="s">
        <v>8314</v>
      </c>
    </row>
    <row r="27783" customFormat="false" ht="12.8" hidden="false" customHeight="false" outlineLevel="0" collapsed="false">
      <c r="B27783" s="0" t="s">
        <v>14</v>
      </c>
      <c r="C27783" s="0" t="s">
        <v>159</v>
      </c>
      <c r="D27783" s="0" t="s">
        <v>8316</v>
      </c>
      <c r="E27783" s="0" t="s">
        <v>8316</v>
      </c>
      <c r="F27783" s="0" t="s">
        <v>8316</v>
      </c>
    </row>
    <row r="27785" customFormat="false" ht="12.8" hidden="false" customHeight="false" outlineLevel="0" collapsed="false">
      <c r="A27785" s="0" t="s">
        <v>10338</v>
      </c>
      <c r="B27785" s="0" t="str">
        <f aca="false">HYPERLINK("https://lindat.mff.cuni.cz/services/teitok/pdtc10/index.php?action=vallex&amp;frame=v-w3757f2", "pokořit (v-w3757f2)")</f>
        <v>pokořit (v-w3757f2)</v>
      </c>
    </row>
    <row r="27786" customFormat="false" ht="12.8" hidden="false" customHeight="false" outlineLevel="0" collapsed="false">
      <c r="B27786" s="0" t="s">
        <v>7</v>
      </c>
      <c r="D27786" s="0" t="s">
        <v>184</v>
      </c>
      <c r="E27786" s="0" t="s">
        <v>184</v>
      </c>
      <c r="F27786" s="0" t="s">
        <v>184</v>
      </c>
    </row>
    <row r="27787" customFormat="false" ht="12.8" hidden="false" customHeight="false" outlineLevel="0" collapsed="false">
      <c r="B27787" s="0" t="s">
        <v>14</v>
      </c>
      <c r="C27787" s="0" t="s">
        <v>47</v>
      </c>
      <c r="D27787" s="0" t="s">
        <v>1610</v>
      </c>
      <c r="E27787" s="0" t="s">
        <v>1610</v>
      </c>
      <c r="F27787" s="0" t="s">
        <v>1610</v>
      </c>
    </row>
    <row r="27789" customFormat="false" ht="12.8" hidden="false" customHeight="false" outlineLevel="0" collapsed="false">
      <c r="A27789" s="0" t="s">
        <v>10339</v>
      </c>
      <c r="B27789" s="0" t="str">
        <f aca="false">HYPERLINK("https://lindat.mff.cuni.cz/services/teitok/pdtc10/index.php?action=vallex&amp;frame=v-w3758f1", "pokořit se (v-w3758f1)")</f>
        <v>pokořit se (v-w3758f1)</v>
      </c>
    </row>
    <row r="27790" customFormat="false" ht="12.8" hidden="false" customHeight="false" outlineLevel="0" collapsed="false">
      <c r="B27790" s="0" t="s">
        <v>7</v>
      </c>
      <c r="D27790" s="0" t="s">
        <v>10340</v>
      </c>
      <c r="E27790" s="0" t="s">
        <v>10340</v>
      </c>
      <c r="F27790" s="0" t="s">
        <v>10340</v>
      </c>
    </row>
    <row r="27791" customFormat="false" ht="12.8" hidden="false" customHeight="false" outlineLevel="0" collapsed="false">
      <c r="B27791" s="0" t="s">
        <v>6120</v>
      </c>
    </row>
    <row r="27793" customFormat="false" ht="12.8" hidden="false" customHeight="false" outlineLevel="0" collapsed="false">
      <c r="A27793" s="0" t="s">
        <v>10341</v>
      </c>
      <c r="B27793" s="0" t="str">
        <f aca="false">HYPERLINK("https://lindat.mff.cuni.cz/services/teitok/pdtc10/index.php?action=vallex&amp;frame=v-w3765f7_ZU", "pokračovat (v-w3765f7_ZU)")</f>
        <v>pokračovat (v-w3765f7_ZU)</v>
      </c>
    </row>
    <row r="27794" customFormat="false" ht="12.8" hidden="false" customHeight="false" outlineLevel="0" collapsed="false">
      <c r="B27794" s="0" t="s">
        <v>7</v>
      </c>
    </row>
    <row r="27795" customFormat="false" ht="12.8" hidden="false" customHeight="false" outlineLevel="0" collapsed="false">
      <c r="B27795" s="0" t="s">
        <v>10342</v>
      </c>
    </row>
    <row r="27797" customFormat="false" ht="12.8" hidden="false" customHeight="false" outlineLevel="0" collapsed="false">
      <c r="A27797" s="0" t="s">
        <v>10341</v>
      </c>
      <c r="B27797" s="0" t="str">
        <f aca="false">HYPERLINK("https://lindat.mff.cuni.cz/services/teitok/pdtc10/index.php?action=vallex&amp;frame=v-w3765f2", "pokračovat (v-w3765f2) - substituted with v-w3765f7_ZU")</f>
        <v>pokračovat (v-w3765f2) - substituted with v-w3765f7_ZU</v>
      </c>
    </row>
    <row r="27798" customFormat="false" ht="12.8" hidden="false" customHeight="false" outlineLevel="0" collapsed="false">
      <c r="B27798" s="0" t="s">
        <v>7</v>
      </c>
      <c r="C27798" s="0" t="s">
        <v>10343</v>
      </c>
    </row>
    <row r="27799" customFormat="false" ht="12.8" hidden="false" customHeight="false" outlineLevel="0" collapsed="false">
      <c r="B27799" s="0" t="s">
        <v>10342</v>
      </c>
      <c r="C27799" s="0" t="s">
        <v>10344</v>
      </c>
    </row>
    <row r="27801" customFormat="false" ht="12.8" hidden="false" customHeight="false" outlineLevel="0" collapsed="false">
      <c r="A27801" s="0" t="s">
        <v>10341</v>
      </c>
      <c r="B27801" s="0" t="str">
        <f aca="false">HYPERLINK("https://lindat.mff.cuni.cz/services/teitok/pdtc10/index.php?action=vallex&amp;frame=v-w3765f5_ZU", "pokračovat (v-w3765f5_ZU) - substituted with v-w3765f7_ZU")</f>
        <v>pokračovat (v-w3765f5_ZU) - substituted with v-w3765f7_ZU</v>
      </c>
    </row>
    <row r="27802" customFormat="false" ht="12.8" hidden="false" customHeight="false" outlineLevel="0" collapsed="false">
      <c r="B27802" s="0" t="s">
        <v>7</v>
      </c>
      <c r="C27802" s="0" t="s">
        <v>149</v>
      </c>
      <c r="D27802" s="0" t="s">
        <v>10345</v>
      </c>
      <c r="E27802" s="0" t="s">
        <v>10345</v>
      </c>
      <c r="F27802" s="0" t="s">
        <v>10345</v>
      </c>
    </row>
    <row r="27803" customFormat="false" ht="12.8" hidden="false" customHeight="false" outlineLevel="0" collapsed="false">
      <c r="B27803" s="0" t="s">
        <v>10342</v>
      </c>
      <c r="C27803" s="0" t="s">
        <v>1289</v>
      </c>
      <c r="D27803" s="0" t="s">
        <v>10346</v>
      </c>
      <c r="E27803" s="0" t="s">
        <v>10346</v>
      </c>
      <c r="F27803" s="0" t="s">
        <v>10346</v>
      </c>
    </row>
    <row r="27805" customFormat="false" ht="12.8" hidden="false" customHeight="false" outlineLevel="0" collapsed="false">
      <c r="A27805" s="0" t="s">
        <v>10341</v>
      </c>
      <c r="B27805" s="0" t="str">
        <f aca="false">HYPERLINK("https://lindat.mff.cuni.cz/services/teitok/pdtc10/index.php?action=vallex&amp;frame=v-w3765f6_ZU", "pokračovat (v-w3765f6_ZU) - substituted with v-w3765f7_ZU")</f>
        <v>pokračovat (v-w3765f6_ZU) - substituted with v-w3765f7_ZU</v>
      </c>
    </row>
    <row r="27806" customFormat="false" ht="12.8" hidden="false" customHeight="false" outlineLevel="0" collapsed="false">
      <c r="B27806" s="0" t="s">
        <v>7</v>
      </c>
    </row>
    <row r="27807" customFormat="false" ht="12.8" hidden="false" customHeight="false" outlineLevel="0" collapsed="false">
      <c r="B27807" s="0" t="s">
        <v>10342</v>
      </c>
    </row>
    <row r="27809" customFormat="false" ht="12.8" hidden="false" customHeight="false" outlineLevel="0" collapsed="false">
      <c r="A27809" s="0" t="s">
        <v>10341</v>
      </c>
      <c r="B27809" s="0" t="str">
        <f aca="false">HYPERLINK("https://lindat.mff.cuni.cz/services/teitok/pdtc10/index.php?action=vallex&amp;frame=v-w3765hsa_1442", "pokračovat (v-w3765hsa_1442) - substituted with v-w3765f7_ZU")</f>
        <v>pokračovat (v-w3765hsa_1442) - substituted with v-w3765f7_ZU</v>
      </c>
    </row>
    <row r="27810" customFormat="false" ht="12.8" hidden="false" customHeight="false" outlineLevel="0" collapsed="false">
      <c r="B27810" s="0" t="s">
        <v>7</v>
      </c>
    </row>
    <row r="27811" customFormat="false" ht="12.8" hidden="false" customHeight="false" outlineLevel="0" collapsed="false">
      <c r="B27811" s="0" t="s">
        <v>10342</v>
      </c>
    </row>
    <row r="27813" customFormat="false" ht="12.8" hidden="false" customHeight="false" outlineLevel="0" collapsed="false">
      <c r="A27813" s="0" t="s">
        <v>10347</v>
      </c>
      <c r="B27813" s="0" t="str">
        <f aca="false">HYPERLINK("https://lindat.mff.cuni.cz/services/teitok/pdtc10/index.php?action=vallex&amp;frame=v-w3765f3", "pokračovat (v-w3765f3)")</f>
        <v>pokračovat (v-w3765f3)</v>
      </c>
    </row>
    <row r="27814" customFormat="false" ht="12.8" hidden="false" customHeight="false" outlineLevel="0" collapsed="false">
      <c r="B27814" s="0" t="s">
        <v>7</v>
      </c>
      <c r="C27814" s="0" t="s">
        <v>10348</v>
      </c>
      <c r="D27814" s="0" t="s">
        <v>113</v>
      </c>
      <c r="E27814" s="0" t="s">
        <v>113</v>
      </c>
      <c r="F27814" s="0" t="s">
        <v>113</v>
      </c>
    </row>
    <row r="27815" customFormat="false" ht="12.8" hidden="false" customHeight="false" outlineLevel="0" collapsed="false">
      <c r="B27815" s="0" t="s">
        <v>10349</v>
      </c>
      <c r="C27815" s="0" t="s">
        <v>10350</v>
      </c>
      <c r="D27815" s="0" t="s">
        <v>10350</v>
      </c>
      <c r="E27815" s="0" t="s">
        <v>10350</v>
      </c>
      <c r="F27815" s="0" t="s">
        <v>10350</v>
      </c>
    </row>
    <row r="27816" customFormat="false" ht="12.8" hidden="false" customHeight="false" outlineLevel="0" collapsed="false">
      <c r="B27816" s="0" t="s">
        <v>363</v>
      </c>
      <c r="C27816" s="0" t="s">
        <v>567</v>
      </c>
    </row>
    <row r="27818" customFormat="false" ht="12.8" hidden="false" customHeight="false" outlineLevel="0" collapsed="false">
      <c r="A27818" s="0" t="s">
        <v>10351</v>
      </c>
      <c r="B27818" s="0" t="str">
        <f aca="false">HYPERLINK("https://lindat.mff.cuni.cz/services/teitok/pdtc10/index.php?action=vallex&amp;frame=v-w3765f8_ZU", "pokračovat (v-w3765f8_ZU)")</f>
        <v>pokračovat (v-w3765f8_ZU)</v>
      </c>
    </row>
    <row r="27819" customFormat="false" ht="12.8" hidden="false" customHeight="false" outlineLevel="0" collapsed="false">
      <c r="B27819" s="0" t="s">
        <v>7</v>
      </c>
    </row>
    <row r="27820" customFormat="false" ht="12.8" hidden="false" customHeight="false" outlineLevel="0" collapsed="false">
      <c r="B27820" s="0" t="s">
        <v>124</v>
      </c>
    </row>
    <row r="27822" customFormat="false" ht="12.8" hidden="false" customHeight="false" outlineLevel="0" collapsed="false">
      <c r="A27822" s="0" t="s">
        <v>10351</v>
      </c>
      <c r="B27822" s="0" t="str">
        <f aca="false">HYPERLINK("https://lindat.mff.cuni.cz/services/teitok/pdtc10/index.php?action=vallex&amp;frame=v-w3765f4", "pokračovat (v-w3765f4) - substituted with v-w3765f8_ZU")</f>
        <v>pokračovat (v-w3765f4) - substituted with v-w3765f8_ZU</v>
      </c>
    </row>
    <row r="27823" customFormat="false" ht="12.8" hidden="false" customHeight="false" outlineLevel="0" collapsed="false">
      <c r="B27823" s="0" t="s">
        <v>7</v>
      </c>
      <c r="C27823" s="0" t="s">
        <v>4445</v>
      </c>
    </row>
    <row r="27824" customFormat="false" ht="12.8" hidden="false" customHeight="false" outlineLevel="0" collapsed="false">
      <c r="B27824" s="0" t="s">
        <v>124</v>
      </c>
    </row>
    <row r="27826" customFormat="false" ht="12.8" hidden="false" customHeight="false" outlineLevel="0" collapsed="false">
      <c r="A27826" s="0" t="s">
        <v>10352</v>
      </c>
      <c r="B27826" s="0" t="str">
        <f aca="false">HYPERLINK("https://lindat.mff.cuni.cz/services/teitok/pdtc10/index.php?action=vallex&amp;frame=v-w3765f1", "pokračovat (v-w3765f1)")</f>
        <v>pokračovat (v-w3765f1)</v>
      </c>
    </row>
    <row r="27827" customFormat="false" ht="12.8" hidden="false" customHeight="false" outlineLevel="0" collapsed="false">
      <c r="B27827" s="0" t="s">
        <v>7</v>
      </c>
      <c r="C27827" s="0" t="s">
        <v>10353</v>
      </c>
      <c r="D27827" s="0" t="s">
        <v>1108</v>
      </c>
      <c r="E27827" s="0" t="s">
        <v>1108</v>
      </c>
      <c r="F27827" s="0" t="s">
        <v>1108</v>
      </c>
    </row>
    <row r="27829" customFormat="false" ht="12.8" hidden="false" customHeight="false" outlineLevel="0" collapsed="false">
      <c r="A27829" s="0" t="s">
        <v>10354</v>
      </c>
      <c r="B27829" s="0" t="str">
        <f aca="false">HYPERLINK("https://lindat.mff.cuni.cz/services/teitok/pdtc10/index.php?action=vallex&amp;frame=v-whsa_381hsa_382", "pokropit (v-whsa_381hsa_382)")</f>
        <v>pokropit (v-whsa_381hsa_382)</v>
      </c>
    </row>
    <row r="27830" customFormat="false" ht="12.8" hidden="false" customHeight="false" outlineLevel="0" collapsed="false">
      <c r="B27830" s="0" t="s">
        <v>7</v>
      </c>
      <c r="D27830" s="0" t="s">
        <v>7565</v>
      </c>
      <c r="E27830" s="0" t="s">
        <v>7565</v>
      </c>
      <c r="F27830" s="0" t="s">
        <v>7565</v>
      </c>
    </row>
    <row r="27831" customFormat="false" ht="12.8" hidden="false" customHeight="false" outlineLevel="0" collapsed="false">
      <c r="B27831" s="0" t="s">
        <v>14</v>
      </c>
      <c r="D27831" s="0" t="s">
        <v>487</v>
      </c>
      <c r="E27831" s="0" t="s">
        <v>487</v>
      </c>
      <c r="F27831" s="0" t="s">
        <v>487</v>
      </c>
    </row>
    <row r="27833" customFormat="false" ht="12.8" hidden="false" customHeight="false" outlineLevel="0" collapsed="false">
      <c r="A27833" s="0" t="s">
        <v>10355</v>
      </c>
      <c r="B27833" s="0" t="str">
        <f aca="false">HYPERLINK("https://lindat.mff.cuni.cz/services/teitok/pdtc10/index.php?action=vallex&amp;frame=v-w3769f2_ZU", "pokročit (v-w3769f2_ZU)")</f>
        <v>pokročit (v-w3769f2_ZU)</v>
      </c>
    </row>
    <row r="27834" customFormat="false" ht="12.8" hidden="false" customHeight="false" outlineLevel="0" collapsed="false">
      <c r="B27834" s="0" t="s">
        <v>7</v>
      </c>
      <c r="C27834" s="0" t="s">
        <v>10302</v>
      </c>
    </row>
    <row r="27835" customFormat="false" ht="12.8" hidden="false" customHeight="false" outlineLevel="0" collapsed="false">
      <c r="B27835" s="0" t="s">
        <v>63</v>
      </c>
      <c r="C27835" s="0" t="s">
        <v>10356</v>
      </c>
    </row>
    <row r="27836" customFormat="false" ht="12.8" hidden="false" customHeight="false" outlineLevel="0" collapsed="false">
      <c r="B27836" s="0" t="s">
        <v>35</v>
      </c>
      <c r="C27836" s="0" t="s">
        <v>6197</v>
      </c>
    </row>
    <row r="27838" customFormat="false" ht="12.8" hidden="false" customHeight="false" outlineLevel="0" collapsed="false">
      <c r="A27838" s="0" t="s">
        <v>10357</v>
      </c>
      <c r="B27838" s="0" t="str">
        <f aca="false">HYPERLINK("https://lindat.mff.cuni.cz/services/teitok/pdtc10/index.php?action=vallex&amp;frame=v-w3769f3_ZU", "pokročit (v-w3769f3_ZU)")</f>
        <v>pokročit (v-w3769f3_ZU)</v>
      </c>
    </row>
    <row r="27839" customFormat="false" ht="12.8" hidden="false" customHeight="false" outlineLevel="0" collapsed="false">
      <c r="B27839" s="0" t="s">
        <v>7</v>
      </c>
      <c r="C27839" s="0" t="s">
        <v>149</v>
      </c>
    </row>
    <row r="27840" customFormat="false" ht="12.8" hidden="false" customHeight="false" outlineLevel="0" collapsed="false">
      <c r="B27840" s="0" t="s">
        <v>2871</v>
      </c>
      <c r="C27840" s="0" t="s">
        <v>1289</v>
      </c>
    </row>
    <row r="27842" customFormat="false" ht="12.8" hidden="false" customHeight="false" outlineLevel="0" collapsed="false">
      <c r="A27842" s="0" t="s">
        <v>10357</v>
      </c>
      <c r="B27842" s="0" t="str">
        <f aca="false">HYPERLINK("https://lindat.mff.cuni.cz/services/teitok/pdtc10/index.php?action=vallex&amp;frame=v-w3769f1", "pokročit (v-w3769f1) - substituted with v-w3769f3_ZU")</f>
        <v>pokročit (v-w3769f1) - substituted with v-w3769f3_ZU</v>
      </c>
    </row>
    <row r="27843" customFormat="false" ht="12.8" hidden="false" customHeight="false" outlineLevel="0" collapsed="false">
      <c r="B27843" s="0" t="s">
        <v>7</v>
      </c>
      <c r="C27843" s="0" t="s">
        <v>10358</v>
      </c>
    </row>
    <row r="27844" customFormat="false" ht="12.8" hidden="false" customHeight="false" outlineLevel="0" collapsed="false">
      <c r="B27844" s="0" t="s">
        <v>2871</v>
      </c>
    </row>
    <row r="27846" customFormat="false" ht="12.8" hidden="false" customHeight="false" outlineLevel="0" collapsed="false">
      <c r="A27846" s="0" t="s">
        <v>10359</v>
      </c>
      <c r="B27846" s="0" t="str">
        <f aca="false">HYPERLINK("https://lindat.mff.cuni.cz/services/teitok/pdtc10/index.php?action=vallex&amp;frame=v-w3769hsa_150", "pokročit (v-w3769hsa_150)")</f>
        <v>pokročit (v-w3769hsa_150)</v>
      </c>
    </row>
    <row r="27847" customFormat="false" ht="12.8" hidden="false" customHeight="false" outlineLevel="0" collapsed="false">
      <c r="B27847" s="0" t="s">
        <v>7</v>
      </c>
    </row>
    <row r="27848" customFormat="false" ht="12.8" hidden="false" customHeight="false" outlineLevel="0" collapsed="false">
      <c r="B27848" s="0" t="s">
        <v>548</v>
      </c>
    </row>
    <row r="27850" customFormat="false" ht="12.8" hidden="false" customHeight="false" outlineLevel="0" collapsed="false">
      <c r="A27850" s="0" t="s">
        <v>10360</v>
      </c>
      <c r="B27850" s="0" t="str">
        <f aca="false">HYPERLINK("https://lindat.mff.cuni.cz/services/teitok/pdtc10/index.php?action=vallex&amp;frame=v-w3771f1", "pokrýt (v-w3771f1)")</f>
        <v>pokrýt (v-w3771f1)</v>
      </c>
    </row>
    <row r="27851" customFormat="false" ht="12.8" hidden="false" customHeight="false" outlineLevel="0" collapsed="false">
      <c r="B27851" s="0" t="s">
        <v>7</v>
      </c>
      <c r="C27851" s="0" t="s">
        <v>10361</v>
      </c>
      <c r="D27851" s="0" t="s">
        <v>7565</v>
      </c>
      <c r="E27851" s="0" t="s">
        <v>7565</v>
      </c>
      <c r="F27851" s="0" t="s">
        <v>7565</v>
      </c>
    </row>
    <row r="27852" customFormat="false" ht="12.8" hidden="false" customHeight="false" outlineLevel="0" collapsed="false">
      <c r="B27852" s="0" t="s">
        <v>14</v>
      </c>
      <c r="C27852" s="0" t="s">
        <v>10362</v>
      </c>
      <c r="D27852" s="0" t="s">
        <v>487</v>
      </c>
      <c r="E27852" s="0" t="s">
        <v>487</v>
      </c>
      <c r="F27852" s="0" t="s">
        <v>487</v>
      </c>
    </row>
    <row r="27854" customFormat="false" ht="12.8" hidden="false" customHeight="false" outlineLevel="0" collapsed="false">
      <c r="A27854" s="0" t="s">
        <v>10363</v>
      </c>
      <c r="B27854" s="0" t="str">
        <f aca="false">HYPERLINK("https://lindat.mff.cuni.cz/services/teitok/pdtc10/index.php?action=vallex&amp;frame=v-w3771f2", "pokrýt (v-w3771f2)")</f>
        <v>pokrýt (v-w3771f2)</v>
      </c>
    </row>
    <row r="27855" customFormat="false" ht="12.8" hidden="false" customHeight="false" outlineLevel="0" collapsed="false">
      <c r="B27855" s="0" t="s">
        <v>7</v>
      </c>
      <c r="C27855" s="0" t="s">
        <v>10364</v>
      </c>
    </row>
    <row r="27856" customFormat="false" ht="12.8" hidden="false" customHeight="false" outlineLevel="0" collapsed="false">
      <c r="B27856" s="0" t="s">
        <v>14</v>
      </c>
      <c r="C27856" s="0" t="s">
        <v>10365</v>
      </c>
    </row>
    <row r="27858" customFormat="false" ht="12.8" hidden="false" customHeight="false" outlineLevel="0" collapsed="false">
      <c r="A27858" s="0" t="s">
        <v>10366</v>
      </c>
      <c r="B27858" s="0" t="str">
        <f aca="false">HYPERLINK("https://lindat.mff.cuni.cz/services/teitok/pdtc10/index.php?action=vallex&amp;frame=v-w3771f3", "pokrýt (v-w3771f3)")</f>
        <v>pokrýt (v-w3771f3)</v>
      </c>
    </row>
    <row r="27859" customFormat="false" ht="12.8" hidden="false" customHeight="false" outlineLevel="0" collapsed="false">
      <c r="B27859" s="0" t="s">
        <v>7</v>
      </c>
      <c r="C27859" s="0" t="s">
        <v>10367</v>
      </c>
      <c r="D27859" s="0" t="s">
        <v>7565</v>
      </c>
      <c r="E27859" s="0" t="s">
        <v>7565</v>
      </c>
      <c r="F27859" s="0" t="s">
        <v>7565</v>
      </c>
    </row>
    <row r="27860" customFormat="false" ht="12.8" hidden="false" customHeight="false" outlineLevel="0" collapsed="false">
      <c r="B27860" s="0" t="s">
        <v>14</v>
      </c>
      <c r="C27860" s="0" t="s">
        <v>1209</v>
      </c>
      <c r="D27860" s="0" t="s">
        <v>487</v>
      </c>
      <c r="E27860" s="0" t="s">
        <v>487</v>
      </c>
      <c r="F27860" s="0" t="s">
        <v>487</v>
      </c>
    </row>
    <row r="27862" customFormat="false" ht="12.8" hidden="false" customHeight="false" outlineLevel="0" collapsed="false">
      <c r="A27862" s="0" t="s">
        <v>10368</v>
      </c>
      <c r="B27862" s="0" t="str">
        <f aca="false">HYPERLINK("https://lindat.mff.cuni.cz/services/teitok/pdtc10/index.php?action=vallex&amp;frame=v-w3771hsa_179", "pokrýt (v-w3771hsa_179)")</f>
        <v>pokrýt (v-w3771hsa_179)</v>
      </c>
    </row>
    <row r="27863" customFormat="false" ht="12.8" hidden="false" customHeight="false" outlineLevel="0" collapsed="false">
      <c r="B27863" s="0" t="s">
        <v>7</v>
      </c>
      <c r="C27863" s="0" t="s">
        <v>5004</v>
      </c>
    </row>
    <row r="27864" customFormat="false" ht="12.8" hidden="false" customHeight="false" outlineLevel="0" collapsed="false">
      <c r="B27864" s="0" t="s">
        <v>14</v>
      </c>
      <c r="C27864" s="0" t="s">
        <v>5007</v>
      </c>
    </row>
    <row r="27866" customFormat="false" ht="12.8" hidden="false" customHeight="false" outlineLevel="0" collapsed="false">
      <c r="A27866" s="0" t="s">
        <v>10369</v>
      </c>
      <c r="B27866" s="0" t="str">
        <f aca="false">HYPERLINK("https://lindat.mff.cuni.cz/services/teitok/pdtc10/index.php?action=vallex&amp;frame=v-w3775f1", "pokrývat (v-w3775f1)")</f>
        <v>pokrývat (v-w3775f1)</v>
      </c>
    </row>
    <row r="27867" customFormat="false" ht="12.8" hidden="false" customHeight="false" outlineLevel="0" collapsed="false">
      <c r="B27867" s="0" t="s">
        <v>7</v>
      </c>
      <c r="C27867" s="0" t="s">
        <v>10370</v>
      </c>
      <c r="D27867" s="0" t="s">
        <v>7565</v>
      </c>
      <c r="E27867" s="0" t="s">
        <v>7565</v>
      </c>
      <c r="F27867" s="0" t="s">
        <v>7565</v>
      </c>
    </row>
    <row r="27868" customFormat="false" ht="12.8" hidden="false" customHeight="false" outlineLevel="0" collapsed="false">
      <c r="B27868" s="0" t="s">
        <v>14</v>
      </c>
      <c r="C27868" s="0" t="s">
        <v>10371</v>
      </c>
      <c r="D27868" s="0" t="s">
        <v>487</v>
      </c>
      <c r="E27868" s="0" t="s">
        <v>487</v>
      </c>
      <c r="F27868" s="0" t="s">
        <v>487</v>
      </c>
    </row>
    <row r="27870" customFormat="false" ht="12.8" hidden="false" customHeight="false" outlineLevel="0" collapsed="false">
      <c r="A27870" s="0" t="s">
        <v>10372</v>
      </c>
      <c r="B27870" s="0" t="str">
        <f aca="false">HYPERLINK("https://lindat.mff.cuni.cz/services/teitok/pdtc10/index.php?action=vallex&amp;frame=v-w3775f3", "pokrývat (v-w3775f3)")</f>
        <v>pokrývat (v-w3775f3)</v>
      </c>
    </row>
    <row r="27871" customFormat="false" ht="12.8" hidden="false" customHeight="false" outlineLevel="0" collapsed="false">
      <c r="B27871" s="0" t="s">
        <v>7</v>
      </c>
      <c r="C27871" s="0" t="s">
        <v>46</v>
      </c>
      <c r="D27871" s="0" t="s">
        <v>7565</v>
      </c>
      <c r="E27871" s="0" t="s">
        <v>7565</v>
      </c>
      <c r="F27871" s="0" t="s">
        <v>7565</v>
      </c>
    </row>
    <row r="27872" customFormat="false" ht="12.8" hidden="false" customHeight="false" outlineLevel="0" collapsed="false">
      <c r="B27872" s="0" t="s">
        <v>14</v>
      </c>
      <c r="D27872" s="0" t="s">
        <v>487</v>
      </c>
      <c r="E27872" s="0" t="s">
        <v>487</v>
      </c>
      <c r="F27872" s="0" t="s">
        <v>487</v>
      </c>
    </row>
    <row r="27874" customFormat="false" ht="12.8" hidden="false" customHeight="false" outlineLevel="0" collapsed="false">
      <c r="A27874" s="0" t="s">
        <v>10373</v>
      </c>
      <c r="B27874" s="0" t="str">
        <f aca="false">HYPERLINK("https://lindat.mff.cuni.cz/services/teitok/pdtc10/index.php?action=vallex&amp;frame=v-w3775f2", "pokrývat (v-w3775f2)")</f>
        <v>pokrývat (v-w3775f2)</v>
      </c>
    </row>
    <row r="27875" customFormat="false" ht="12.8" hidden="false" customHeight="false" outlineLevel="0" collapsed="false">
      <c r="B27875" s="0" t="s">
        <v>7</v>
      </c>
      <c r="C27875" s="0" t="s">
        <v>10374</v>
      </c>
    </row>
    <row r="27876" customFormat="false" ht="12.8" hidden="false" customHeight="false" outlineLevel="0" collapsed="false">
      <c r="B27876" s="0" t="s">
        <v>14</v>
      </c>
      <c r="C27876" s="0" t="s">
        <v>10375</v>
      </c>
    </row>
    <row r="27878" customFormat="false" ht="12.8" hidden="false" customHeight="false" outlineLevel="0" collapsed="false">
      <c r="A27878" s="0" t="s">
        <v>10376</v>
      </c>
      <c r="B27878" s="0" t="str">
        <f aca="false">HYPERLINK("https://lindat.mff.cuni.cz/services/teitok/pdtc10/index.php?action=vallex&amp;frame=v-w3775f5_ZU", "pokrývat (v-w3775f5_ZU)")</f>
        <v>pokrývat (v-w3775f5_ZU)</v>
      </c>
    </row>
    <row r="27879" customFormat="false" ht="12.8" hidden="false" customHeight="false" outlineLevel="0" collapsed="false">
      <c r="B27879" s="0" t="s">
        <v>7</v>
      </c>
      <c r="C27879" s="0" t="s">
        <v>316</v>
      </c>
      <c r="D27879" s="0" t="s">
        <v>7828</v>
      </c>
      <c r="E27879" s="0" t="s">
        <v>7828</v>
      </c>
      <c r="F27879" s="0" t="s">
        <v>7828</v>
      </c>
    </row>
    <row r="27880" customFormat="false" ht="12.8" hidden="false" customHeight="false" outlineLevel="0" collapsed="false">
      <c r="B27880" s="0" t="s">
        <v>14</v>
      </c>
      <c r="C27880" s="0" t="s">
        <v>94</v>
      </c>
      <c r="D27880" s="0" t="s">
        <v>7830</v>
      </c>
      <c r="E27880" s="0" t="s">
        <v>7830</v>
      </c>
      <c r="F27880" s="0" t="s">
        <v>7830</v>
      </c>
    </row>
    <row r="27882" customFormat="false" ht="12.8" hidden="false" customHeight="false" outlineLevel="0" collapsed="false">
      <c r="A27882" s="0" t="s">
        <v>10376</v>
      </c>
      <c r="B27882" s="0" t="str">
        <f aca="false">HYPERLINK("https://lindat.mff.cuni.cz/services/teitok/pdtc10/index.php?action=vallex&amp;frame=v-w3775f4_ZU", "pokrývat (v-w3775f4_ZU) - substituted with v-w3775f5_ZU")</f>
        <v>pokrývat (v-w3775f4_ZU) - substituted with v-w3775f5_ZU</v>
      </c>
    </row>
    <row r="27883" customFormat="false" ht="12.8" hidden="false" customHeight="false" outlineLevel="0" collapsed="false">
      <c r="B27883" s="0" t="s">
        <v>7</v>
      </c>
      <c r="C27883" s="0" t="s">
        <v>5004</v>
      </c>
    </row>
    <row r="27884" customFormat="false" ht="12.8" hidden="false" customHeight="false" outlineLevel="0" collapsed="false">
      <c r="B27884" s="0" t="s">
        <v>14</v>
      </c>
      <c r="C27884" s="0" t="s">
        <v>5007</v>
      </c>
    </row>
    <row r="27886" customFormat="false" ht="12.8" hidden="false" customHeight="false" outlineLevel="0" collapsed="false">
      <c r="A27886" s="0" t="s">
        <v>10377</v>
      </c>
      <c r="B27886" s="0" t="str">
        <f aca="false">HYPERLINK("https://lindat.mff.cuni.cz/services/teitok/pdtc10/index.php?action=vallex&amp;frame=v-w3768f2", "pokrčit (v-w3768f2)")</f>
        <v>pokrčit (v-w3768f2)</v>
      </c>
    </row>
    <row r="27887" customFormat="false" ht="12.8" hidden="false" customHeight="false" outlineLevel="0" collapsed="false">
      <c r="B27887" s="0" t="s">
        <v>7</v>
      </c>
    </row>
    <row r="27888" customFormat="false" ht="12.8" hidden="false" customHeight="false" outlineLevel="0" collapsed="false">
      <c r="B27888" s="0" t="s">
        <v>14</v>
      </c>
    </row>
    <row r="27890" customFormat="false" ht="12.8" hidden="false" customHeight="false" outlineLevel="0" collapsed="false">
      <c r="A27890" s="0" t="s">
        <v>10378</v>
      </c>
      <c r="B27890" s="0" t="str">
        <f aca="false">HYPERLINK("https://lindat.mff.cuni.cz/services/teitok/pdtc10/index.php?action=vallex&amp;frame=v-w3768f1", "pokrčit (v-w3768f1)")</f>
        <v>pokrčit (v-w3768f1)</v>
      </c>
    </row>
    <row r="27891" customFormat="false" ht="12.8" hidden="false" customHeight="false" outlineLevel="0" collapsed="false">
      <c r="B27891" s="0" t="s">
        <v>7</v>
      </c>
    </row>
    <row r="27892" customFormat="false" ht="12.8" hidden="false" customHeight="false" outlineLevel="0" collapsed="false">
      <c r="B27892" s="0" t="s">
        <v>10379</v>
      </c>
    </row>
    <row r="27894" customFormat="false" ht="12.8" hidden="false" customHeight="false" outlineLevel="0" collapsed="false">
      <c r="A27894" s="0" t="s">
        <v>10380</v>
      </c>
      <c r="B27894" s="0" t="str">
        <f aca="false">HYPERLINK("https://lindat.mff.cuni.cz/services/teitok/pdtc10/index.php?action=vallex&amp;frame=v-w3779f3_ZU", "pokulhávat (v-w3779f3_ZU)")</f>
        <v>pokulhávat (v-w3779f3_ZU)</v>
      </c>
    </row>
    <row r="27895" customFormat="false" ht="12.8" hidden="false" customHeight="false" outlineLevel="0" collapsed="false">
      <c r="B27895" s="0" t="s">
        <v>7</v>
      </c>
      <c r="C27895" s="0" t="s">
        <v>191</v>
      </c>
      <c r="D27895" s="0" t="s">
        <v>2797</v>
      </c>
      <c r="E27895" s="0" t="s">
        <v>2797</v>
      </c>
      <c r="F27895" s="0" t="s">
        <v>2797</v>
      </c>
    </row>
    <row r="27896" customFormat="false" ht="12.8" hidden="false" customHeight="false" outlineLevel="0" collapsed="false">
      <c r="B27896" s="0" t="s">
        <v>3928</v>
      </c>
      <c r="D27896" s="0" t="s">
        <v>3628</v>
      </c>
      <c r="E27896" s="0" t="s">
        <v>3628</v>
      </c>
      <c r="F27896" s="0" t="s">
        <v>3628</v>
      </c>
    </row>
    <row r="27898" customFormat="false" ht="12.8" hidden="false" customHeight="false" outlineLevel="0" collapsed="false">
      <c r="A27898" s="0" t="s">
        <v>10381</v>
      </c>
      <c r="B27898" s="0" t="str">
        <f aca="false">HYPERLINK("https://lindat.mff.cuni.cz/services/teitok/pdtc10/index.php?action=vallex&amp;frame=v-w3779f1", "pokulhávat (v-w3779f1)")</f>
        <v>pokulhávat (v-w3779f1)</v>
      </c>
    </row>
    <row r="27899" customFormat="false" ht="12.8" hidden="false" customHeight="false" outlineLevel="0" collapsed="false">
      <c r="B27899" s="0" t="s">
        <v>7</v>
      </c>
    </row>
    <row r="27901" customFormat="false" ht="12.8" hidden="false" customHeight="false" outlineLevel="0" collapsed="false">
      <c r="A27901" s="0" t="s">
        <v>10382</v>
      </c>
      <c r="B27901" s="0" t="str">
        <f aca="false">HYPERLINK("https://lindat.mff.cuni.cz/services/teitok/pdtc10/index.php?action=vallex&amp;frame=v-w3779f2", "pokulhávat (v-w3779f2)")</f>
        <v>pokulhávat (v-w3779f2)</v>
      </c>
    </row>
    <row r="27902" customFormat="false" ht="12.8" hidden="false" customHeight="false" outlineLevel="0" collapsed="false">
      <c r="B27902" s="0" t="s">
        <v>7</v>
      </c>
    </row>
    <row r="27904" customFormat="false" ht="12.8" hidden="false" customHeight="false" outlineLevel="0" collapsed="false">
      <c r="A27904" s="0" t="s">
        <v>10383</v>
      </c>
      <c r="B27904" s="0" t="str">
        <f aca="false">HYPERLINK("https://lindat.mff.cuni.cz/services/teitok/pdtc10/index.php?action=vallex&amp;frame=v-w3781f1", "pokusit se (v-w3781f1)")</f>
        <v>pokusit se (v-w3781f1)</v>
      </c>
    </row>
    <row r="27905" customFormat="false" ht="12.8" hidden="false" customHeight="false" outlineLevel="0" collapsed="false">
      <c r="B27905" s="0" t="s">
        <v>7</v>
      </c>
      <c r="C27905" s="0" t="s">
        <v>10384</v>
      </c>
      <c r="D27905" s="0" t="s">
        <v>376</v>
      </c>
      <c r="E27905" s="0" t="s">
        <v>376</v>
      </c>
      <c r="F27905" s="0" t="s">
        <v>376</v>
      </c>
    </row>
    <row r="27906" customFormat="false" ht="12.8" hidden="false" customHeight="false" outlineLevel="0" collapsed="false">
      <c r="B27906" s="0" t="s">
        <v>10335</v>
      </c>
      <c r="C27906" s="0" t="s">
        <v>10385</v>
      </c>
      <c r="D27906" s="0" t="s">
        <v>379</v>
      </c>
      <c r="E27906" s="0" t="s">
        <v>379</v>
      </c>
      <c r="F27906" s="0" t="s">
        <v>379</v>
      </c>
    </row>
    <row r="27908" customFormat="false" ht="12.8" hidden="false" customHeight="false" outlineLevel="0" collapsed="false">
      <c r="A27908" s="0" t="s">
        <v>10386</v>
      </c>
      <c r="B27908" s="0" t="str">
        <f aca="false">HYPERLINK("https://lindat.mff.cuni.cz/services/teitok/pdtc10/index.php?action=vallex&amp;frame=v-w3784f1", "pokutovat (v-w3784f1)")</f>
        <v>pokutovat (v-w3784f1)</v>
      </c>
    </row>
    <row r="27909" customFormat="false" ht="12.8" hidden="false" customHeight="false" outlineLevel="0" collapsed="false">
      <c r="B27909" s="0" t="s">
        <v>7</v>
      </c>
      <c r="C27909" s="0" t="s">
        <v>335</v>
      </c>
      <c r="D27909" s="0" t="s">
        <v>335</v>
      </c>
      <c r="E27909" s="0" t="s">
        <v>335</v>
      </c>
      <c r="F27909" s="0" t="s">
        <v>335</v>
      </c>
    </row>
    <row r="27910" customFormat="false" ht="12.8" hidden="false" customHeight="false" outlineLevel="0" collapsed="false">
      <c r="B27910" s="0" t="s">
        <v>14</v>
      </c>
      <c r="C27910" s="0" t="s">
        <v>7669</v>
      </c>
      <c r="D27910" s="0" t="s">
        <v>7669</v>
      </c>
      <c r="E27910" s="0" t="s">
        <v>7669</v>
      </c>
      <c r="F27910" s="0" t="s">
        <v>7669</v>
      </c>
    </row>
    <row r="27912" customFormat="false" ht="12.8" hidden="false" customHeight="false" outlineLevel="0" collapsed="false">
      <c r="A27912" s="0" t="s">
        <v>10387</v>
      </c>
      <c r="B27912" s="0" t="str">
        <f aca="false">HYPERLINK("https://lindat.mff.cuni.cz/services/teitok/pdtc10/index.php?action=vallex&amp;frame=v-w10693f2", "pokvasit (v-w10693f2)")</f>
        <v>pokvasit (v-w10693f2)</v>
      </c>
    </row>
    <row r="27913" customFormat="false" ht="12.8" hidden="false" customHeight="false" outlineLevel="0" collapsed="false">
      <c r="B27913" s="0" t="s">
        <v>7</v>
      </c>
    </row>
    <row r="27914" customFormat="false" ht="12.8" hidden="false" customHeight="false" outlineLevel="0" collapsed="false">
      <c r="B27914" s="0" t="s">
        <v>14</v>
      </c>
    </row>
    <row r="27916" customFormat="false" ht="12.8" hidden="false" customHeight="false" outlineLevel="0" collapsed="false">
      <c r="A27916" s="0" t="s">
        <v>10388</v>
      </c>
      <c r="B27916" s="0" t="str">
        <f aca="false">HYPERLINK("https://lindat.mff.cuni.cz/services/teitok/pdtc10/index.php?action=vallex&amp;frame=v-w3785f1", "pokydat (v-w3785f1)")</f>
        <v>pokydat (v-w3785f1)</v>
      </c>
    </row>
    <row r="27917" customFormat="false" ht="12.8" hidden="false" customHeight="false" outlineLevel="0" collapsed="false">
      <c r="B27917" s="0" t="s">
        <v>7</v>
      </c>
    </row>
    <row r="27918" customFormat="false" ht="12.8" hidden="false" customHeight="false" outlineLevel="0" collapsed="false">
      <c r="B27918" s="0" t="s">
        <v>14</v>
      </c>
    </row>
    <row r="27920" customFormat="false" ht="12.8" hidden="false" customHeight="false" outlineLevel="0" collapsed="false">
      <c r="A27920" s="0" t="s">
        <v>10389</v>
      </c>
      <c r="B27920" s="0" t="str">
        <f aca="false">HYPERLINK("https://lindat.mff.cuni.cz/services/teitok/pdtc10/index.php?action=vallex&amp;frame=v-w3787f1", "pokynout (v-w3787f1)")</f>
        <v>pokynout (v-w3787f1)</v>
      </c>
    </row>
    <row r="27921" customFormat="false" ht="12.8" hidden="false" customHeight="false" outlineLevel="0" collapsed="false">
      <c r="B27921" s="0" t="s">
        <v>7</v>
      </c>
    </row>
    <row r="27922" customFormat="false" ht="12.8" hidden="false" customHeight="false" outlineLevel="0" collapsed="false">
      <c r="B27922" s="0" t="s">
        <v>3771</v>
      </c>
    </row>
    <row r="27923" customFormat="false" ht="12.8" hidden="false" customHeight="false" outlineLevel="0" collapsed="false">
      <c r="B27923" s="0" t="s">
        <v>5544</v>
      </c>
    </row>
    <row r="27925" customFormat="false" ht="12.8" hidden="false" customHeight="false" outlineLevel="0" collapsed="false">
      <c r="A27925" s="0" t="s">
        <v>10390</v>
      </c>
      <c r="B27925" s="0" t="str">
        <f aca="false">HYPERLINK("https://lindat.mff.cuni.cz/services/teitok/pdtc10/index.php?action=vallex&amp;frame=v-whsa_790hsa_791", "pokácet (v-whsa_790hsa_791)")</f>
        <v>pokácet (v-whsa_790hsa_791)</v>
      </c>
    </row>
    <row r="27926" customFormat="false" ht="12.8" hidden="false" customHeight="false" outlineLevel="0" collapsed="false">
      <c r="B27926" s="0" t="s">
        <v>7</v>
      </c>
      <c r="C27926" s="0" t="s">
        <v>191</v>
      </c>
      <c r="D27926" s="0" t="s">
        <v>1549</v>
      </c>
      <c r="E27926" s="0" t="s">
        <v>1550</v>
      </c>
      <c r="F27926" s="0" t="s">
        <v>1550</v>
      </c>
    </row>
    <row r="27927" customFormat="false" ht="12.8" hidden="false" customHeight="false" outlineLevel="0" collapsed="false">
      <c r="B27927" s="0" t="s">
        <v>14</v>
      </c>
      <c r="C27927" s="0" t="s">
        <v>155</v>
      </c>
      <c r="D27927" s="0" t="s">
        <v>1164</v>
      </c>
      <c r="E27927" s="0" t="s">
        <v>1551</v>
      </c>
      <c r="F27927" s="0" t="s">
        <v>1551</v>
      </c>
    </row>
    <row r="27929" customFormat="false" ht="12.8" hidden="false" customHeight="false" outlineLevel="0" collapsed="false">
      <c r="A27929" s="0" t="s">
        <v>10391</v>
      </c>
      <c r="B27929" s="0" t="str">
        <f aca="false">HYPERLINK("https://lindat.mff.cuni.cz/services/teitok/pdtc10/index.php?action=vallex&amp;frame=v-whsb_455hsa_456", "pokálet (v-whsb_455hsa_456)")</f>
        <v>pokálet (v-whsb_455hsa_456)</v>
      </c>
    </row>
    <row r="27930" customFormat="false" ht="12.8" hidden="false" customHeight="false" outlineLevel="0" collapsed="false">
      <c r="B27930" s="0" t="s">
        <v>7</v>
      </c>
    </row>
    <row r="27931" customFormat="false" ht="12.8" hidden="false" customHeight="false" outlineLevel="0" collapsed="false">
      <c r="B27931" s="0" t="s">
        <v>14</v>
      </c>
    </row>
    <row r="27933" customFormat="false" ht="12.8" hidden="false" customHeight="false" outlineLevel="0" collapsed="false">
      <c r="A27933" s="0" t="s">
        <v>10392</v>
      </c>
      <c r="B27933" s="0" t="str">
        <f aca="false">HYPERLINK("https://lindat.mff.cuni.cz/services/teitok/pdtc10/index.php?action=vallex&amp;frame=v-w11171f2", "pokárat (v-w11171f2)")</f>
        <v>pokárat (v-w11171f2)</v>
      </c>
    </row>
    <row r="27934" customFormat="false" ht="12.8" hidden="false" customHeight="false" outlineLevel="0" collapsed="false">
      <c r="B27934" s="0" t="s">
        <v>7</v>
      </c>
      <c r="C27934" s="0" t="s">
        <v>569</v>
      </c>
      <c r="D27934" s="0" t="s">
        <v>118</v>
      </c>
      <c r="E27934" s="0" t="s">
        <v>118</v>
      </c>
      <c r="F27934" s="0" t="s">
        <v>118</v>
      </c>
    </row>
    <row r="27935" customFormat="false" ht="12.8" hidden="false" customHeight="false" outlineLevel="0" collapsed="false">
      <c r="B27935" s="0" t="s">
        <v>14</v>
      </c>
      <c r="C27935" s="0" t="s">
        <v>115</v>
      </c>
      <c r="D27935" s="0" t="s">
        <v>89</v>
      </c>
      <c r="E27935" s="0" t="s">
        <v>89</v>
      </c>
      <c r="F27935" s="0" t="s">
        <v>89</v>
      </c>
    </row>
    <row r="27937" customFormat="false" ht="12.8" hidden="false" customHeight="false" outlineLevel="0" collapsed="false">
      <c r="A27937" s="0" t="s">
        <v>10393</v>
      </c>
      <c r="B27937" s="0" t="str">
        <f aca="false">HYPERLINK("https://lindat.mff.cuni.cz/services/teitok/pdtc10/index.php?action=vallex&amp;frame=v-w3788f1", "pokývnout (v-w3788f1)")</f>
        <v>pokývnout (v-w3788f1)</v>
      </c>
    </row>
    <row r="27938" customFormat="false" ht="12.8" hidden="false" customHeight="false" outlineLevel="0" collapsed="false">
      <c r="B27938" s="0" t="s">
        <v>7</v>
      </c>
    </row>
    <row r="27939" customFormat="false" ht="12.8" hidden="false" customHeight="false" outlineLevel="0" collapsed="false">
      <c r="B27939" s="0" t="s">
        <v>3771</v>
      </c>
    </row>
    <row r="27941" customFormat="false" ht="12.8" hidden="false" customHeight="false" outlineLevel="0" collapsed="false">
      <c r="A27941" s="0" t="s">
        <v>10394</v>
      </c>
      <c r="B27941" s="0" t="str">
        <f aca="false">HYPERLINK("https://lindat.mff.cuni.cz/services/teitok/pdtc10/index.php?action=vallex&amp;frame=v-w3777f1", "pokřikovat (v-w3777f1)")</f>
        <v>pokřikovat (v-w3777f1)</v>
      </c>
    </row>
    <row r="27942" customFormat="false" ht="12.8" hidden="false" customHeight="false" outlineLevel="0" collapsed="false">
      <c r="B27942" s="0" t="s">
        <v>7</v>
      </c>
      <c r="E27942" s="0" t="s">
        <v>3028</v>
      </c>
      <c r="F27942" s="0" t="s">
        <v>3028</v>
      </c>
    </row>
    <row r="27943" customFormat="false" ht="12.8" hidden="false" customHeight="false" outlineLevel="0" collapsed="false">
      <c r="B27943" s="0" t="s">
        <v>4335</v>
      </c>
      <c r="E27943" s="0" t="s">
        <v>3565</v>
      </c>
      <c r="F27943" s="0" t="s">
        <v>3565</v>
      </c>
    </row>
    <row r="27944" customFormat="false" ht="12.8" hidden="false" customHeight="false" outlineLevel="0" collapsed="false">
      <c r="B27944" s="0" t="s">
        <v>4101</v>
      </c>
      <c r="E27944" s="0" t="s">
        <v>4154</v>
      </c>
      <c r="F27944" s="0" t="s">
        <v>4154</v>
      </c>
    </row>
    <row r="27946" customFormat="false" ht="12.8" hidden="false" customHeight="false" outlineLevel="0" collapsed="false">
      <c r="A27946" s="0" t="s">
        <v>10395</v>
      </c>
      <c r="B27946" s="0" t="str">
        <f aca="false">HYPERLINK("https://lindat.mff.cuni.cz/services/teitok/pdtc10/index.php?action=vallex&amp;frame=v-w3778f1", "pokřtít (v-w3778f1)")</f>
        <v>pokřtít (v-w3778f1)</v>
      </c>
    </row>
    <row r="27947" customFormat="false" ht="12.8" hidden="false" customHeight="false" outlineLevel="0" collapsed="false">
      <c r="B27947" s="0" t="s">
        <v>7</v>
      </c>
    </row>
    <row r="27948" customFormat="false" ht="12.8" hidden="false" customHeight="false" outlineLevel="0" collapsed="false">
      <c r="B27948" s="0" t="s">
        <v>14</v>
      </c>
    </row>
    <row r="27949" customFormat="false" ht="12.8" hidden="false" customHeight="false" outlineLevel="0" collapsed="false">
      <c r="B27949" s="0" t="s">
        <v>10396</v>
      </c>
    </row>
    <row r="27951" customFormat="false" ht="12.8" hidden="false" customHeight="false" outlineLevel="0" collapsed="false">
      <c r="A27951" s="0" t="s">
        <v>10397</v>
      </c>
      <c r="B27951" s="0" t="str">
        <f aca="false">HYPERLINK("https://lindat.mff.cuni.cz/services/teitok/pdtc10/index.php?action=vallex&amp;frame=v-w3789f1", "polapit (v-w3789f1)")</f>
        <v>polapit (v-w3789f1)</v>
      </c>
    </row>
    <row r="27952" customFormat="false" ht="12.8" hidden="false" customHeight="false" outlineLevel="0" collapsed="false">
      <c r="B27952" s="0" t="s">
        <v>7</v>
      </c>
      <c r="C27952" s="0" t="s">
        <v>184</v>
      </c>
      <c r="D27952" s="0" t="s">
        <v>391</v>
      </c>
      <c r="E27952" s="0" t="s">
        <v>391</v>
      </c>
      <c r="F27952" s="0" t="s">
        <v>391</v>
      </c>
    </row>
    <row r="27953" customFormat="false" ht="12.8" hidden="false" customHeight="false" outlineLevel="0" collapsed="false">
      <c r="B27953" s="0" t="s">
        <v>14</v>
      </c>
      <c r="C27953" s="0" t="s">
        <v>120</v>
      </c>
      <c r="D27953" s="0" t="s">
        <v>1093</v>
      </c>
      <c r="E27953" s="0" t="s">
        <v>1093</v>
      </c>
      <c r="F27953" s="0" t="s">
        <v>1093</v>
      </c>
    </row>
    <row r="27955" customFormat="false" ht="12.8" hidden="false" customHeight="false" outlineLevel="0" collapsed="false">
      <c r="A27955" s="0" t="s">
        <v>10398</v>
      </c>
      <c r="B27955" s="0" t="str">
        <f aca="false">HYPERLINK("https://lindat.mff.cuni.cz/services/teitok/pdtc10/index.php?action=vallex&amp;frame=v-w3790f1", "polarizovat (v-w3790f1)")</f>
        <v>polarizovat (v-w3790f1)</v>
      </c>
    </row>
    <row r="27956" customFormat="false" ht="12.8" hidden="false" customHeight="false" outlineLevel="0" collapsed="false">
      <c r="B27956" s="0" t="s">
        <v>7</v>
      </c>
    </row>
    <row r="27957" customFormat="false" ht="12.8" hidden="false" customHeight="false" outlineLevel="0" collapsed="false">
      <c r="B27957" s="0" t="s">
        <v>14</v>
      </c>
    </row>
    <row r="27959" customFormat="false" ht="12.8" hidden="false" customHeight="false" outlineLevel="0" collapsed="false">
      <c r="A27959" s="0" t="s">
        <v>10399</v>
      </c>
      <c r="B27959" s="0" t="str">
        <f aca="false">HYPERLINK("https://lindat.mff.cuni.cz/services/teitok/pdtc10/index.php?action=vallex&amp;frame=v-whsa_1253f1_ZU", "polechtat (v-whsa_1253f1_ZU)")</f>
        <v>polechtat (v-whsa_1253f1_ZU)</v>
      </c>
    </row>
    <row r="27960" customFormat="false" ht="12.8" hidden="false" customHeight="false" outlineLevel="0" collapsed="false">
      <c r="B27960" s="0" t="s">
        <v>7</v>
      </c>
    </row>
    <row r="27961" customFormat="false" ht="12.8" hidden="false" customHeight="false" outlineLevel="0" collapsed="false">
      <c r="B27961" s="0" t="s">
        <v>14</v>
      </c>
    </row>
    <row r="27963" customFormat="false" ht="12.8" hidden="false" customHeight="false" outlineLevel="0" collapsed="false">
      <c r="A27963" s="0" t="s">
        <v>10399</v>
      </c>
      <c r="B27963" s="0" t="str">
        <f aca="false">HYPERLINK("https://lindat.mff.cuni.cz/services/teitok/pdtc10/index.php?action=vallex&amp;frame=v-whsb_1253hsa_1254", "polechtat (v-whsb_1253hsa_1254) - substituted with v-whsa_1253f1_ZU")</f>
        <v>polechtat (v-whsb_1253hsa_1254) - substituted with v-whsa_1253f1_ZU</v>
      </c>
    </row>
    <row r="27964" customFormat="false" ht="12.8" hidden="false" customHeight="false" outlineLevel="0" collapsed="false">
      <c r="B27964" s="0" t="s">
        <v>7</v>
      </c>
    </row>
    <row r="27965" customFormat="false" ht="12.8" hidden="false" customHeight="false" outlineLevel="0" collapsed="false">
      <c r="B27965" s="0" t="s">
        <v>14</v>
      </c>
    </row>
    <row r="27967" customFormat="false" ht="12.8" hidden="false" customHeight="false" outlineLevel="0" collapsed="false">
      <c r="A27967" s="0" t="s">
        <v>10400</v>
      </c>
      <c r="B27967" s="0" t="str">
        <f aca="false">HYPERLINK("https://lindat.mff.cuni.cz/services/teitok/pdtc10/index.php?action=vallex&amp;frame=v-w3791f1", "polehávat (v-w3791f1)")</f>
        <v>polehávat (v-w3791f1)</v>
      </c>
    </row>
    <row r="27968" customFormat="false" ht="12.8" hidden="false" customHeight="false" outlineLevel="0" collapsed="false">
      <c r="B27968" s="0" t="s">
        <v>7</v>
      </c>
    </row>
    <row r="27970" customFormat="false" ht="12.8" hidden="false" customHeight="false" outlineLevel="0" collapsed="false">
      <c r="A27970" s="0" t="s">
        <v>10401</v>
      </c>
      <c r="B27970" s="0" t="str">
        <f aca="false">HYPERLINK("https://lindat.mff.cuni.cz/services/teitok/pdtc10/index.php?action=vallex&amp;frame=v-w3792f1", "polekat se (v-w3792f1)")</f>
        <v>polekat se (v-w3792f1)</v>
      </c>
    </row>
    <row r="27971" customFormat="false" ht="12.8" hidden="false" customHeight="false" outlineLevel="0" collapsed="false">
      <c r="B27971" s="0" t="s">
        <v>7</v>
      </c>
      <c r="C27971" s="0" t="s">
        <v>10402</v>
      </c>
      <c r="D27971" s="0" t="s">
        <v>2074</v>
      </c>
      <c r="E27971" s="0" t="s">
        <v>2074</v>
      </c>
      <c r="F27971" s="0" t="s">
        <v>2074</v>
      </c>
    </row>
    <row r="27972" customFormat="false" ht="12.8" hidden="false" customHeight="false" outlineLevel="0" collapsed="false">
      <c r="B27972" s="0" t="s">
        <v>5120</v>
      </c>
      <c r="C27972" s="0" t="s">
        <v>384</v>
      </c>
      <c r="D27972" s="0" t="s">
        <v>10403</v>
      </c>
      <c r="E27972" s="0" t="s">
        <v>10403</v>
      </c>
      <c r="F27972" s="0" t="s">
        <v>10403</v>
      </c>
    </row>
    <row r="27974" customFormat="false" ht="12.8" hidden="false" customHeight="false" outlineLevel="0" collapsed="false">
      <c r="A27974" s="0" t="s">
        <v>10404</v>
      </c>
      <c r="B27974" s="0" t="str">
        <f aca="false">HYPERLINK("https://lindat.mff.cuni.cz/services/teitok/pdtc10/index.php?action=vallex&amp;frame=v-w3794f1", "polemizovat (v-w3794f1)")</f>
        <v>polemizovat (v-w3794f1)</v>
      </c>
    </row>
    <row r="27975" customFormat="false" ht="12.8" hidden="false" customHeight="false" outlineLevel="0" collapsed="false">
      <c r="B27975" s="0" t="s">
        <v>7</v>
      </c>
    </row>
    <row r="27976" customFormat="false" ht="12.8" hidden="false" customHeight="false" outlineLevel="0" collapsed="false">
      <c r="B27976" s="0" t="s">
        <v>10405</v>
      </c>
    </row>
    <row r="27977" customFormat="false" ht="12.8" hidden="false" customHeight="false" outlineLevel="0" collapsed="false">
      <c r="B27977" s="0" t="s">
        <v>207</v>
      </c>
    </row>
    <row r="27979" customFormat="false" ht="12.8" hidden="false" customHeight="false" outlineLevel="0" collapsed="false">
      <c r="A27979" s="0" t="s">
        <v>10406</v>
      </c>
      <c r="B27979" s="0" t="str">
        <f aca="false">HYPERLINK("https://lindat.mff.cuni.cz/services/teitok/pdtc10/index.php?action=vallex&amp;frame=v-w3794f2", "polemizovat (v-w3794f2)")</f>
        <v>polemizovat (v-w3794f2)</v>
      </c>
    </row>
    <row r="27980" customFormat="false" ht="12.8" hidden="false" customHeight="false" outlineLevel="0" collapsed="false">
      <c r="B27980" s="0" t="s">
        <v>7</v>
      </c>
      <c r="C27980" s="0" t="s">
        <v>3918</v>
      </c>
    </row>
    <row r="27981" customFormat="false" ht="12.8" hidden="false" customHeight="false" outlineLevel="0" collapsed="false">
      <c r="B27981" s="0" t="s">
        <v>548</v>
      </c>
      <c r="C27981" s="0" t="s">
        <v>10407</v>
      </c>
    </row>
    <row r="27983" customFormat="false" ht="12.8" hidden="false" customHeight="false" outlineLevel="0" collapsed="false">
      <c r="A27983" s="0" t="s">
        <v>10408</v>
      </c>
      <c r="B27983" s="0" t="str">
        <f aca="false">HYPERLINK("https://lindat.mff.cuni.cz/services/teitok/pdtc10/index.php?action=vallex&amp;frame=v-w3795f1", "polepit (v-w3795f1)")</f>
        <v>polepit (v-w3795f1)</v>
      </c>
    </row>
    <row r="27984" customFormat="false" ht="12.8" hidden="false" customHeight="false" outlineLevel="0" collapsed="false">
      <c r="B27984" s="0" t="s">
        <v>7</v>
      </c>
    </row>
    <row r="27985" customFormat="false" ht="12.8" hidden="false" customHeight="false" outlineLevel="0" collapsed="false">
      <c r="B27985" s="0" t="s">
        <v>14</v>
      </c>
    </row>
    <row r="27987" customFormat="false" ht="12.8" hidden="false" customHeight="false" outlineLevel="0" collapsed="false">
      <c r="A27987" s="0" t="s">
        <v>10409</v>
      </c>
      <c r="B27987" s="0" t="str">
        <f aca="false">HYPERLINK("https://lindat.mff.cuni.cz/services/teitok/pdtc10/index.php?action=vallex&amp;frame=v-whsa_2023hsa_2024", "poleptat (v-whsa_2023hsa_2024)")</f>
        <v>poleptat (v-whsa_2023hsa_2024)</v>
      </c>
    </row>
    <row r="27988" customFormat="false" ht="12.8" hidden="false" customHeight="false" outlineLevel="0" collapsed="false">
      <c r="B27988" s="0" t="s">
        <v>7</v>
      </c>
    </row>
    <row r="27989" customFormat="false" ht="12.8" hidden="false" customHeight="false" outlineLevel="0" collapsed="false">
      <c r="B27989" s="0" t="s">
        <v>14</v>
      </c>
    </row>
    <row r="27991" customFormat="false" ht="12.8" hidden="false" customHeight="false" outlineLevel="0" collapsed="false">
      <c r="A27991" s="0" t="s">
        <v>10410</v>
      </c>
      <c r="B27991" s="0" t="str">
        <f aca="false">HYPERLINK("https://lindat.mff.cuni.cz/services/teitok/pdtc10/index.php?action=vallex&amp;frame=v-w3797f1", "polepšit si (v-w3797f1)")</f>
        <v>polepšit si (v-w3797f1)</v>
      </c>
    </row>
    <row r="27992" customFormat="false" ht="12.8" hidden="false" customHeight="false" outlineLevel="0" collapsed="false">
      <c r="B27992" s="0" t="s">
        <v>7</v>
      </c>
      <c r="C27992" s="0" t="s">
        <v>9109</v>
      </c>
      <c r="D27992" s="0" t="s">
        <v>2293</v>
      </c>
      <c r="E27992" s="0" t="s">
        <v>2293</v>
      </c>
      <c r="F27992" s="0" t="s">
        <v>2293</v>
      </c>
    </row>
    <row r="27994" customFormat="false" ht="12.8" hidden="false" customHeight="false" outlineLevel="0" collapsed="false">
      <c r="A27994" s="0" t="s">
        <v>10411</v>
      </c>
      <c r="B27994" s="0" t="str">
        <f aca="false">HYPERLINK("https://lindat.mff.cuni.cz/services/teitok/pdtc10/index.php?action=vallex&amp;frame=v-w3798f1", "poletovat (v-w3798f1)")</f>
        <v>poletovat (v-w3798f1)</v>
      </c>
    </row>
    <row r="27995" customFormat="false" ht="12.8" hidden="false" customHeight="false" outlineLevel="0" collapsed="false">
      <c r="B27995" s="0" t="s">
        <v>7</v>
      </c>
      <c r="C27995" s="0" t="s">
        <v>5274</v>
      </c>
    </row>
    <row r="27997" customFormat="false" ht="12.8" hidden="false" customHeight="false" outlineLevel="0" collapsed="false">
      <c r="A27997" s="0" t="s">
        <v>10412</v>
      </c>
      <c r="B27997" s="0" t="str">
        <f aca="false">HYPERLINK("https://lindat.mff.cuni.cz/services/teitok/pdtc10/index.php?action=vallex&amp;frame=v-whsa_121hsa_122", "poletovat si (v-whsa_121hsa_122)")</f>
        <v>poletovat si (v-whsa_121hsa_122)</v>
      </c>
    </row>
    <row r="27998" customFormat="false" ht="12.8" hidden="false" customHeight="false" outlineLevel="0" collapsed="false">
      <c r="B27998" s="0" t="s">
        <v>7</v>
      </c>
      <c r="C27998" s="0" t="s">
        <v>5274</v>
      </c>
    </row>
    <row r="28000" customFormat="false" ht="12.8" hidden="false" customHeight="false" outlineLevel="0" collapsed="false">
      <c r="A28000" s="0" t="s">
        <v>10413</v>
      </c>
      <c r="B28000" s="0" t="str">
        <f aca="false">HYPERLINK("https://lindat.mff.cuni.cz/services/teitok/pdtc10/index.php?action=vallex&amp;frame=v-w3801f2", "polevit (v-w3801f2)")</f>
        <v>polevit (v-w3801f2)</v>
      </c>
    </row>
    <row r="28001" customFormat="false" ht="12.8" hidden="false" customHeight="false" outlineLevel="0" collapsed="false">
      <c r="B28001" s="0" t="s">
        <v>7</v>
      </c>
      <c r="D28001" s="0" t="s">
        <v>7922</v>
      </c>
      <c r="E28001" s="0" t="s">
        <v>7922</v>
      </c>
      <c r="F28001" s="0" t="s">
        <v>7922</v>
      </c>
    </row>
    <row r="28002" customFormat="false" ht="12.8" hidden="false" customHeight="false" outlineLevel="0" collapsed="false">
      <c r="B28002" s="0" t="s">
        <v>706</v>
      </c>
      <c r="C28002" s="0" t="s">
        <v>47</v>
      </c>
    </row>
    <row r="28004" customFormat="false" ht="12.8" hidden="false" customHeight="false" outlineLevel="0" collapsed="false">
      <c r="A28004" s="0" t="s">
        <v>10414</v>
      </c>
      <c r="B28004" s="0" t="str">
        <f aca="false">HYPERLINK("https://lindat.mff.cuni.cz/services/teitok/pdtc10/index.php?action=vallex&amp;frame=v-w3801f1", "polevit (v-w3801f1)")</f>
        <v>polevit (v-w3801f1)</v>
      </c>
    </row>
    <row r="28005" customFormat="false" ht="12.8" hidden="false" customHeight="false" outlineLevel="0" collapsed="false">
      <c r="B28005" s="0" t="s">
        <v>7</v>
      </c>
      <c r="C28005" s="0" t="s">
        <v>9109</v>
      </c>
      <c r="D28005" s="0" t="s">
        <v>7922</v>
      </c>
      <c r="E28005" s="0" t="s">
        <v>7922</v>
      </c>
      <c r="F28005" s="0" t="s">
        <v>7922</v>
      </c>
    </row>
    <row r="28007" customFormat="false" ht="12.8" hidden="false" customHeight="false" outlineLevel="0" collapsed="false">
      <c r="A28007" s="0" t="s">
        <v>10415</v>
      </c>
      <c r="B28007" s="0" t="str">
        <f aca="false">HYPERLINK("https://lindat.mff.cuni.cz/services/teitok/pdtc10/index.php?action=vallex&amp;frame=v-w3801f3_ZU", "polevit (v-w3801f3_ZU)")</f>
        <v>polevit (v-w3801f3_ZU)</v>
      </c>
    </row>
    <row r="28008" customFormat="false" ht="12.8" hidden="false" customHeight="false" outlineLevel="0" collapsed="false">
      <c r="B28008" s="0" t="s">
        <v>7</v>
      </c>
      <c r="C28008" s="0" t="s">
        <v>5380</v>
      </c>
      <c r="D28008" s="0" t="s">
        <v>9114</v>
      </c>
      <c r="E28008" s="0" t="s">
        <v>4615</v>
      </c>
      <c r="F28008" s="0" t="s">
        <v>4615</v>
      </c>
    </row>
    <row r="28009" customFormat="false" ht="12.8" hidden="false" customHeight="false" outlineLevel="0" collapsed="false">
      <c r="B28009" s="0" t="s">
        <v>63</v>
      </c>
      <c r="C28009" s="0" t="s">
        <v>10416</v>
      </c>
      <c r="D28009" s="0" t="s">
        <v>9116</v>
      </c>
      <c r="E28009" s="0" t="s">
        <v>4618</v>
      </c>
      <c r="F28009" s="0" t="s">
        <v>4618</v>
      </c>
    </row>
    <row r="28010" customFormat="false" ht="12.8" hidden="false" customHeight="false" outlineLevel="0" collapsed="false">
      <c r="B28010" s="0" t="s">
        <v>35</v>
      </c>
      <c r="D28010" s="0" t="s">
        <v>9118</v>
      </c>
      <c r="E28010" s="0" t="s">
        <v>4621</v>
      </c>
      <c r="F28010" s="0" t="s">
        <v>4621</v>
      </c>
    </row>
    <row r="28012" customFormat="false" ht="12.8" hidden="false" customHeight="false" outlineLevel="0" collapsed="false">
      <c r="A28012" s="0" t="s">
        <v>10415</v>
      </c>
      <c r="B28012" s="0" t="str">
        <f aca="false">HYPERLINK("https://lindat.mff.cuni.cz/services/teitok/pdtc10/index.php?action=vallex&amp;frame=v-w3801hsa_1276", "polevit (v-w3801hsa_1276) - substituted with v-w3801f3_ZU")</f>
        <v>polevit (v-w3801hsa_1276) - substituted with v-w3801f3_ZU</v>
      </c>
    </row>
    <row r="28013" customFormat="false" ht="12.8" hidden="false" customHeight="false" outlineLevel="0" collapsed="false">
      <c r="B28013" s="0" t="s">
        <v>7</v>
      </c>
    </row>
    <row r="28014" customFormat="false" ht="12.8" hidden="false" customHeight="false" outlineLevel="0" collapsed="false">
      <c r="B28014" s="0" t="s">
        <v>63</v>
      </c>
    </row>
    <row r="28015" customFormat="false" ht="12.8" hidden="false" customHeight="false" outlineLevel="0" collapsed="false">
      <c r="B28015" s="0" t="s">
        <v>35</v>
      </c>
    </row>
    <row r="28017" customFormat="false" ht="12.8" hidden="false" customHeight="false" outlineLevel="0" collapsed="false">
      <c r="A28017" s="0" t="s">
        <v>10417</v>
      </c>
      <c r="B28017" s="0" t="str">
        <f aca="false">HYPERLINK("https://lindat.mff.cuni.cz/services/teitok/pdtc10/index.php?action=vallex&amp;frame=v-w3802f1", "polevovat (v-w3802f1)")</f>
        <v>polevovat (v-w3802f1)</v>
      </c>
    </row>
    <row r="28018" customFormat="false" ht="12.8" hidden="false" customHeight="false" outlineLevel="0" collapsed="false">
      <c r="B28018" s="0" t="s">
        <v>7</v>
      </c>
      <c r="C28018" s="0" t="s">
        <v>10418</v>
      </c>
      <c r="D28018" s="0" t="s">
        <v>7922</v>
      </c>
      <c r="E28018" s="0" t="s">
        <v>7922</v>
      </c>
      <c r="F28018" s="0" t="s">
        <v>7922</v>
      </c>
    </row>
    <row r="28020" customFormat="false" ht="12.8" hidden="false" customHeight="false" outlineLevel="0" collapsed="false">
      <c r="A28020" s="0" t="s">
        <v>10419</v>
      </c>
      <c r="B28020" s="0" t="str">
        <f aca="false">HYPERLINK("https://lindat.mff.cuni.cz/services/teitok/pdtc10/index.php?action=vallex&amp;frame=v-whsa_763f1_ZU", "polichotit (v-whsa_763f1_ZU)")</f>
        <v>polichotit (v-whsa_763f1_ZU)</v>
      </c>
    </row>
    <row r="28021" customFormat="false" ht="12.8" hidden="false" customHeight="false" outlineLevel="0" collapsed="false">
      <c r="B28021" s="0" t="s">
        <v>7</v>
      </c>
    </row>
    <row r="28022" customFormat="false" ht="12.8" hidden="false" customHeight="false" outlineLevel="0" collapsed="false">
      <c r="B28022" s="0" t="s">
        <v>142</v>
      </c>
    </row>
    <row r="28024" customFormat="false" ht="12.8" hidden="false" customHeight="false" outlineLevel="0" collapsed="false">
      <c r="A28024" s="0" t="s">
        <v>10419</v>
      </c>
      <c r="B28024" s="0" t="str">
        <f aca="false">HYPERLINK("https://lindat.mff.cuni.cz/services/teitok/pdtc10/index.php?action=vallex&amp;frame=v-whsa_763hsa_764", "polichotit (v-whsa_763hsa_764) - substituted with v-whsa_763f1_ZU")</f>
        <v>polichotit (v-whsa_763hsa_764) - substituted with v-whsa_763f1_ZU</v>
      </c>
    </row>
    <row r="28025" customFormat="false" ht="12.8" hidden="false" customHeight="false" outlineLevel="0" collapsed="false">
      <c r="B28025" s="0" t="s">
        <v>7</v>
      </c>
    </row>
    <row r="28026" customFormat="false" ht="12.8" hidden="false" customHeight="false" outlineLevel="0" collapsed="false">
      <c r="B28026" s="0" t="s">
        <v>142</v>
      </c>
    </row>
    <row r="28028" customFormat="false" ht="12.8" hidden="false" customHeight="false" outlineLevel="0" collapsed="false">
      <c r="A28028" s="0" t="s">
        <v>10420</v>
      </c>
      <c r="B28028" s="0" t="str">
        <f aca="false">HYPERLINK("https://lindat.mff.cuni.cz/services/teitok/pdtc10/index.php?action=vallex&amp;frame=v-w3809f1", "politizovat (v-w3809f1)")</f>
        <v>politizovat (v-w3809f1)</v>
      </c>
    </row>
    <row r="28029" customFormat="false" ht="12.8" hidden="false" customHeight="false" outlineLevel="0" collapsed="false">
      <c r="B28029" s="0" t="s">
        <v>7</v>
      </c>
    </row>
    <row r="28030" customFormat="false" ht="12.8" hidden="false" customHeight="false" outlineLevel="0" collapsed="false">
      <c r="B28030" s="0" t="s">
        <v>14</v>
      </c>
    </row>
    <row r="28032" customFormat="false" ht="12.8" hidden="false" customHeight="false" outlineLevel="0" collapsed="false">
      <c r="A28032" s="0" t="s">
        <v>10421</v>
      </c>
      <c r="B28032" s="0" t="str">
        <f aca="false">HYPERLINK("https://lindat.mff.cuni.cz/services/teitok/pdtc10/index.php?action=vallex&amp;frame=v-whsa_821hsa_822", "politovat (v-whsa_821hsa_822)")</f>
        <v>politovat (v-whsa_821hsa_822)</v>
      </c>
    </row>
    <row r="28033" customFormat="false" ht="12.8" hidden="false" customHeight="false" outlineLevel="0" collapsed="false">
      <c r="B28033" s="0" t="s">
        <v>7</v>
      </c>
    </row>
    <row r="28034" customFormat="false" ht="12.8" hidden="false" customHeight="false" outlineLevel="0" collapsed="false">
      <c r="B28034" s="0" t="s">
        <v>14</v>
      </c>
    </row>
    <row r="28036" customFormat="false" ht="12.8" hidden="false" customHeight="false" outlineLevel="0" collapsed="false">
      <c r="A28036" s="0" t="s">
        <v>10422</v>
      </c>
      <c r="B28036" s="0" t="str">
        <f aca="false">HYPERLINK("https://lindat.mff.cuni.cz/services/teitok/pdtc10/index.php?action=vallex&amp;frame=v-w3812f1", "pololhát (v-w3812f1)")</f>
        <v>pololhát (v-w3812f1)</v>
      </c>
    </row>
    <row r="28037" customFormat="false" ht="12.8" hidden="false" customHeight="false" outlineLevel="0" collapsed="false">
      <c r="B28037" s="0" t="s">
        <v>7</v>
      </c>
    </row>
    <row r="28038" customFormat="false" ht="12.8" hidden="false" customHeight="false" outlineLevel="0" collapsed="false">
      <c r="B28038" s="0" t="s">
        <v>5172</v>
      </c>
    </row>
    <row r="28039" customFormat="false" ht="12.8" hidden="false" customHeight="false" outlineLevel="0" collapsed="false">
      <c r="B28039" s="0" t="s">
        <v>106</v>
      </c>
    </row>
    <row r="28041" customFormat="false" ht="12.8" hidden="false" customHeight="false" outlineLevel="0" collapsed="false">
      <c r="A28041" s="0" t="s">
        <v>10423</v>
      </c>
      <c r="B28041" s="0" t="str">
        <f aca="false">HYPERLINK("https://lindat.mff.cuni.cz/services/teitok/pdtc10/index.php?action=vallex&amp;frame=v-w3816f9", "položit (v-w3816f9)")</f>
        <v>položit (v-w3816f9)</v>
      </c>
    </row>
    <row r="28042" customFormat="false" ht="12.8" hidden="false" customHeight="false" outlineLevel="0" collapsed="false">
      <c r="B28042" s="0" t="s">
        <v>7</v>
      </c>
    </row>
    <row r="28043" customFormat="false" ht="12.8" hidden="false" customHeight="false" outlineLevel="0" collapsed="false">
      <c r="B28043" s="0" t="s">
        <v>14</v>
      </c>
    </row>
    <row r="28044" customFormat="false" ht="12.8" hidden="false" customHeight="false" outlineLevel="0" collapsed="false">
      <c r="B28044" s="0" t="s">
        <v>48</v>
      </c>
    </row>
    <row r="28046" customFormat="false" ht="12.8" hidden="false" customHeight="false" outlineLevel="0" collapsed="false">
      <c r="A28046" s="0" t="s">
        <v>10424</v>
      </c>
      <c r="B28046" s="0" t="str">
        <f aca="false">HYPERLINK("https://lindat.mff.cuni.cz/services/teitok/pdtc10/index.php?action=vallex&amp;frame=v-w3816f8", "položit (v-w3816f8)")</f>
        <v>položit (v-w3816f8)</v>
      </c>
    </row>
    <row r="28047" customFormat="false" ht="12.8" hidden="false" customHeight="false" outlineLevel="0" collapsed="false">
      <c r="B28047" s="0" t="s">
        <v>7</v>
      </c>
      <c r="D28047" s="0" t="s">
        <v>2235</v>
      </c>
      <c r="E28047" s="0" t="s">
        <v>2235</v>
      </c>
      <c r="F28047" s="0" t="s">
        <v>2235</v>
      </c>
    </row>
    <row r="28048" customFormat="false" ht="12.8" hidden="false" customHeight="false" outlineLevel="0" collapsed="false">
      <c r="B28048" s="0" t="s">
        <v>14</v>
      </c>
      <c r="C28048" s="0" t="s">
        <v>24</v>
      </c>
      <c r="D28048" s="0" t="s">
        <v>2237</v>
      </c>
      <c r="E28048" s="0" t="s">
        <v>2237</v>
      </c>
      <c r="F28048" s="0" t="s">
        <v>2237</v>
      </c>
    </row>
    <row r="28049" customFormat="false" ht="12.8" hidden="false" customHeight="false" outlineLevel="0" collapsed="false">
      <c r="B28049" s="0" t="s">
        <v>11</v>
      </c>
      <c r="C28049" s="0" t="s">
        <v>10425</v>
      </c>
      <c r="D28049" s="0" t="s">
        <v>5217</v>
      </c>
      <c r="E28049" s="0" t="s">
        <v>5217</v>
      </c>
      <c r="F28049" s="0" t="s">
        <v>5217</v>
      </c>
    </row>
    <row r="28051" customFormat="false" ht="12.8" hidden="false" customHeight="false" outlineLevel="0" collapsed="false">
      <c r="A28051" s="0" t="s">
        <v>10426</v>
      </c>
      <c r="B28051" s="0" t="str">
        <f aca="false">HYPERLINK("https://lindat.mff.cuni.cz/services/teitok/pdtc10/index.php?action=vallex&amp;frame=v-w3816f2", "položit (v-w3816f2)")</f>
        <v>položit (v-w3816f2)</v>
      </c>
    </row>
    <row r="28052" customFormat="false" ht="12.8" hidden="false" customHeight="false" outlineLevel="0" collapsed="false">
      <c r="B28052" s="0" t="s">
        <v>7</v>
      </c>
      <c r="C28052" s="0" t="s">
        <v>2256</v>
      </c>
      <c r="D28052" s="0" t="s">
        <v>2235</v>
      </c>
      <c r="E28052" s="0" t="s">
        <v>2235</v>
      </c>
      <c r="F28052" s="0" t="s">
        <v>2235</v>
      </c>
    </row>
    <row r="28053" customFormat="false" ht="12.8" hidden="false" customHeight="false" outlineLevel="0" collapsed="false">
      <c r="B28053" s="0" t="s">
        <v>14</v>
      </c>
      <c r="C28053" s="0" t="s">
        <v>1720</v>
      </c>
      <c r="D28053" s="0" t="s">
        <v>2237</v>
      </c>
      <c r="E28053" s="0" t="s">
        <v>2237</v>
      </c>
      <c r="F28053" s="0" t="s">
        <v>2237</v>
      </c>
    </row>
    <row r="28054" customFormat="false" ht="12.8" hidden="false" customHeight="false" outlineLevel="0" collapsed="false">
      <c r="B28054" s="0" t="s">
        <v>124</v>
      </c>
      <c r="C28054" s="0" t="s">
        <v>4660</v>
      </c>
      <c r="D28054" s="0" t="s">
        <v>2238</v>
      </c>
      <c r="E28054" s="0" t="s">
        <v>2238</v>
      </c>
      <c r="F28054" s="0" t="s">
        <v>2238</v>
      </c>
    </row>
    <row r="28056" customFormat="false" ht="12.8" hidden="false" customHeight="false" outlineLevel="0" collapsed="false">
      <c r="A28056" s="0" t="s">
        <v>10427</v>
      </c>
      <c r="B28056" s="0" t="str">
        <f aca="false">HYPERLINK("https://lindat.mff.cuni.cz/services/teitok/pdtc10/index.php?action=vallex&amp;frame=v-w3816f3", "položit (v-w3816f3)")</f>
        <v>položit (v-w3816f3)</v>
      </c>
    </row>
    <row r="28057" customFormat="false" ht="12.8" hidden="false" customHeight="false" outlineLevel="0" collapsed="false">
      <c r="B28057" s="0" t="s">
        <v>7</v>
      </c>
      <c r="C28057" s="0" t="s">
        <v>46</v>
      </c>
    </row>
    <row r="28058" customFormat="false" ht="12.8" hidden="false" customHeight="false" outlineLevel="0" collapsed="false">
      <c r="B28058" s="0" t="s">
        <v>14</v>
      </c>
      <c r="C28058" s="0" t="s">
        <v>1170</v>
      </c>
    </row>
    <row r="28060" customFormat="false" ht="12.8" hidden="false" customHeight="false" outlineLevel="0" collapsed="false">
      <c r="A28060" s="0" t="s">
        <v>10428</v>
      </c>
      <c r="B28060" s="0" t="str">
        <f aca="false">HYPERLINK("https://lindat.mff.cuni.cz/services/teitok/pdtc10/index.php?action=vallex&amp;frame=v-w3816f4", "položit (v-w3816f4)")</f>
        <v>položit (v-w3816f4)</v>
      </c>
    </row>
    <row r="28061" customFormat="false" ht="12.8" hidden="false" customHeight="false" outlineLevel="0" collapsed="false">
      <c r="B28061" s="0" t="s">
        <v>7</v>
      </c>
    </row>
    <row r="28062" customFormat="false" ht="12.8" hidden="false" customHeight="false" outlineLevel="0" collapsed="false">
      <c r="B28062" s="0" t="s">
        <v>14</v>
      </c>
    </row>
    <row r="28064" customFormat="false" ht="12.8" hidden="false" customHeight="false" outlineLevel="0" collapsed="false">
      <c r="A28064" s="0" t="s">
        <v>10429</v>
      </c>
      <c r="B28064" s="0" t="str">
        <f aca="false">HYPERLINK("https://lindat.mff.cuni.cz/services/teitok/pdtc10/index.php?action=vallex&amp;frame=v-w3816f10_ZU", "položit (v-w3816f10_ZU)")</f>
        <v>položit (v-w3816f10_ZU)</v>
      </c>
    </row>
    <row r="28065" customFormat="false" ht="12.8" hidden="false" customHeight="false" outlineLevel="0" collapsed="false">
      <c r="B28065" s="0" t="s">
        <v>7</v>
      </c>
      <c r="C28065" s="0" t="s">
        <v>335</v>
      </c>
      <c r="D28065" s="0" t="s">
        <v>1549</v>
      </c>
      <c r="E28065" s="0" t="s">
        <v>1550</v>
      </c>
      <c r="F28065" s="0" t="s">
        <v>1550</v>
      </c>
    </row>
    <row r="28066" customFormat="false" ht="12.8" hidden="false" customHeight="false" outlineLevel="0" collapsed="false">
      <c r="B28066" s="0" t="s">
        <v>14</v>
      </c>
      <c r="C28066" s="0" t="s">
        <v>155</v>
      </c>
      <c r="D28066" s="0" t="s">
        <v>1164</v>
      </c>
      <c r="E28066" s="0" t="s">
        <v>1551</v>
      </c>
      <c r="F28066" s="0" t="s">
        <v>1551</v>
      </c>
    </row>
    <row r="28068" customFormat="false" ht="12.8" hidden="false" customHeight="false" outlineLevel="0" collapsed="false">
      <c r="A28068" s="0" t="s">
        <v>10430</v>
      </c>
      <c r="B28068" s="0" t="str">
        <f aca="false">HYPERLINK("https://lindat.mff.cuni.cz/services/teitok/pdtc10/index.php?action=vallex&amp;frame=v-w3816f1", "položit (v-w3816f1)")</f>
        <v>položit (v-w3816f1)</v>
      </c>
    </row>
    <row r="28069" customFormat="false" ht="12.8" hidden="false" customHeight="false" outlineLevel="0" collapsed="false">
      <c r="B28069" s="0" t="s">
        <v>7</v>
      </c>
      <c r="C28069" s="0" t="s">
        <v>10431</v>
      </c>
      <c r="D28069" s="0" t="s">
        <v>2534</v>
      </c>
      <c r="E28069" s="0" t="s">
        <v>2534</v>
      </c>
      <c r="F28069" s="0" t="s">
        <v>2534</v>
      </c>
    </row>
    <row r="28070" customFormat="false" ht="12.8" hidden="false" customHeight="false" outlineLevel="0" collapsed="false">
      <c r="B28070" s="0" t="s">
        <v>4668</v>
      </c>
      <c r="C28070" s="0" t="s">
        <v>10432</v>
      </c>
      <c r="D28070" s="0" t="s">
        <v>4670</v>
      </c>
      <c r="E28070" s="0" t="s">
        <v>4670</v>
      </c>
      <c r="F28070" s="0" t="s">
        <v>4670</v>
      </c>
    </row>
    <row r="28071" customFormat="false" ht="12.8" hidden="false" customHeight="false" outlineLevel="0" collapsed="false">
      <c r="B28071" s="0" t="s">
        <v>106</v>
      </c>
      <c r="C28071" s="0" t="s">
        <v>2585</v>
      </c>
      <c r="D28071" s="0" t="s">
        <v>2540</v>
      </c>
      <c r="E28071" s="0" t="s">
        <v>2540</v>
      </c>
      <c r="F28071" s="0" t="s">
        <v>2540</v>
      </c>
    </row>
    <row r="28073" customFormat="false" ht="12.8" hidden="false" customHeight="false" outlineLevel="0" collapsed="false">
      <c r="A28073" s="0" t="s">
        <v>10433</v>
      </c>
      <c r="B28073" s="0" t="str">
        <f aca="false">HYPERLINK("https://lindat.mff.cuni.cz/services/teitok/pdtc10/index.php?action=vallex&amp;frame=v-w3816f7", "položit (v-w3816f7)")</f>
        <v>položit (v-w3816f7)</v>
      </c>
    </row>
    <row r="28074" customFormat="false" ht="12.8" hidden="false" customHeight="false" outlineLevel="0" collapsed="false">
      <c r="B28074" s="0" t="s">
        <v>7</v>
      </c>
    </row>
    <row r="28075" customFormat="false" ht="12.8" hidden="false" customHeight="false" outlineLevel="0" collapsed="false">
      <c r="B28075" s="0" t="s">
        <v>10434</v>
      </c>
    </row>
    <row r="28077" customFormat="false" ht="12.8" hidden="false" customHeight="false" outlineLevel="0" collapsed="false">
      <c r="A28077" s="0" t="s">
        <v>10435</v>
      </c>
      <c r="B28077" s="0" t="str">
        <f aca="false">HYPERLINK("https://lindat.mff.cuni.cz/services/teitok/pdtc10/index.php?action=vallex&amp;frame=v-w3816f5", "položit (v-w3816f5)")</f>
        <v>položit (v-w3816f5)</v>
      </c>
    </row>
    <row r="28078" customFormat="false" ht="12.8" hidden="false" customHeight="false" outlineLevel="0" collapsed="false">
      <c r="B28078" s="0" t="s">
        <v>7</v>
      </c>
      <c r="C28078" s="0" t="s">
        <v>1142</v>
      </c>
    </row>
    <row r="28079" customFormat="false" ht="12.8" hidden="false" customHeight="false" outlineLevel="0" collapsed="false">
      <c r="B28079" s="0" t="s">
        <v>10436</v>
      </c>
      <c r="C28079" s="0" t="s">
        <v>10437</v>
      </c>
    </row>
    <row r="28080" customFormat="false" ht="12.8" hidden="false" customHeight="false" outlineLevel="0" collapsed="false">
      <c r="B28080" s="0" t="s">
        <v>14</v>
      </c>
      <c r="C28080" s="0" t="s">
        <v>4706</v>
      </c>
    </row>
    <row r="28082" customFormat="false" ht="12.8" hidden="false" customHeight="false" outlineLevel="0" collapsed="false">
      <c r="A28082" s="0" t="s">
        <v>10438</v>
      </c>
      <c r="B28082" s="0" t="str">
        <f aca="false">HYPERLINK("https://lindat.mff.cuni.cz/services/teitok/pdtc10/index.php?action=vallex&amp;frame=v-w3816f6", "položit (v-w3816f6)")</f>
        <v>položit (v-w3816f6)</v>
      </c>
    </row>
    <row r="28083" customFormat="false" ht="12.8" hidden="false" customHeight="false" outlineLevel="0" collapsed="false">
      <c r="B28083" s="0" t="s">
        <v>7</v>
      </c>
    </row>
    <row r="28084" customFormat="false" ht="12.8" hidden="false" customHeight="false" outlineLevel="0" collapsed="false">
      <c r="B28084" s="0" t="s">
        <v>10439</v>
      </c>
    </row>
    <row r="28085" customFormat="false" ht="12.8" hidden="false" customHeight="false" outlineLevel="0" collapsed="false">
      <c r="B28085" s="0" t="s">
        <v>491</v>
      </c>
    </row>
    <row r="28087" customFormat="false" ht="12.8" hidden="false" customHeight="false" outlineLevel="0" collapsed="false">
      <c r="A28087" s="0" t="s">
        <v>10440</v>
      </c>
      <c r="B28087" s="0" t="str">
        <f aca="false">HYPERLINK("https://lindat.mff.cuni.cz/services/teitok/pdtc10/index.php?action=vallex&amp;frame=v-w3816f11_ZU", "položit (v-w3816f11_ZU)")</f>
        <v>položit (v-w3816f11_ZU)</v>
      </c>
    </row>
    <row r="28088" customFormat="false" ht="12.8" hidden="false" customHeight="false" outlineLevel="0" collapsed="false">
      <c r="B28088" s="0" t="s">
        <v>7</v>
      </c>
    </row>
    <row r="28089" customFormat="false" ht="12.8" hidden="false" customHeight="false" outlineLevel="0" collapsed="false">
      <c r="B28089" s="0" t="s">
        <v>14</v>
      </c>
    </row>
    <row r="28091" customFormat="false" ht="12.8" hidden="false" customHeight="false" outlineLevel="0" collapsed="false">
      <c r="A28091" s="0" t="s">
        <v>10440</v>
      </c>
      <c r="B28091" s="0" t="str">
        <f aca="false">HYPERLINK("https://lindat.mff.cuni.cz/services/teitok/pdtc10/index.php?action=vallex&amp;frame=v-w3816hsa_1088", "položit (v-w3816hsa_1088) - substituted with v-w3816f11_ZU")</f>
        <v>položit (v-w3816hsa_1088) - substituted with v-w3816f11_ZU</v>
      </c>
    </row>
    <row r="28092" customFormat="false" ht="12.8" hidden="false" customHeight="false" outlineLevel="0" collapsed="false">
      <c r="B28092" s="0" t="s">
        <v>7</v>
      </c>
    </row>
    <row r="28093" customFormat="false" ht="12.8" hidden="false" customHeight="false" outlineLevel="0" collapsed="false">
      <c r="B28093" s="0" t="s">
        <v>14</v>
      </c>
    </row>
    <row r="28095" customFormat="false" ht="12.8" hidden="false" customHeight="false" outlineLevel="0" collapsed="false">
      <c r="A28095" s="0" t="s">
        <v>10441</v>
      </c>
      <c r="B28095" s="0" t="str">
        <f aca="false">HYPERLINK("https://lindat.mff.cuni.cz/services/teitok/pdtc10/index.php?action=vallex&amp;frame=v-w3816hsa_1087", "položit (v-w3816hsa_1087)")</f>
        <v>položit (v-w3816hsa_1087)</v>
      </c>
    </row>
    <row r="28096" customFormat="false" ht="12.8" hidden="false" customHeight="false" outlineLevel="0" collapsed="false">
      <c r="B28096" s="0" t="s">
        <v>7</v>
      </c>
    </row>
    <row r="28097" customFormat="false" ht="12.8" hidden="false" customHeight="false" outlineLevel="0" collapsed="false">
      <c r="B28097" s="0" t="s">
        <v>14</v>
      </c>
    </row>
    <row r="28099" customFormat="false" ht="12.8" hidden="false" customHeight="false" outlineLevel="0" collapsed="false">
      <c r="A28099" s="0" t="s">
        <v>10442</v>
      </c>
      <c r="B28099" s="0" t="str">
        <f aca="false">HYPERLINK("https://lindat.mff.cuni.cz/services/teitok/pdtc10/index.php?action=vallex&amp;frame=v-w3817f1", "položit se (v-w3817f1)")</f>
        <v>položit se (v-w3817f1)</v>
      </c>
    </row>
    <row r="28100" customFormat="false" ht="12.8" hidden="false" customHeight="false" outlineLevel="0" collapsed="false">
      <c r="B28100" s="0" t="s">
        <v>7</v>
      </c>
      <c r="C28100" s="0" t="s">
        <v>200</v>
      </c>
      <c r="D28100" s="0" t="s">
        <v>191</v>
      </c>
      <c r="E28100" s="0" t="s">
        <v>191</v>
      </c>
      <c r="F28100" s="0" t="s">
        <v>191</v>
      </c>
    </row>
    <row r="28101" customFormat="false" ht="12.8" hidden="false" customHeight="false" outlineLevel="0" collapsed="false">
      <c r="B28101" s="0" t="s">
        <v>124</v>
      </c>
    </row>
    <row r="28103" customFormat="false" ht="12.8" hidden="false" customHeight="false" outlineLevel="0" collapsed="false">
      <c r="A28103" s="0" t="s">
        <v>10443</v>
      </c>
      <c r="B28103" s="0" t="str">
        <f aca="false">HYPERLINK("https://lindat.mff.cuni.cz/services/teitok/pdtc10/index.php?action=vallex&amp;frame=v-w3817f2", "položit se (v-w3817f2)")</f>
        <v>položit se (v-w3817f2)</v>
      </c>
    </row>
    <row r="28104" customFormat="false" ht="12.8" hidden="false" customHeight="false" outlineLevel="0" collapsed="false">
      <c r="B28104" s="0" t="s">
        <v>7</v>
      </c>
    </row>
    <row r="28106" customFormat="false" ht="12.8" hidden="false" customHeight="false" outlineLevel="0" collapsed="false">
      <c r="A28106" s="0" t="s">
        <v>10444</v>
      </c>
      <c r="B28106" s="0" t="str">
        <f aca="false">HYPERLINK("https://lindat.mff.cuni.cz/services/teitok/pdtc10/index.php?action=vallex&amp;frame=v-whsa_618f1_ZU", "polykat (v-whsa_618f1_ZU)")</f>
        <v>polykat (v-whsa_618f1_ZU)</v>
      </c>
    </row>
    <row r="28107" customFormat="false" ht="12.8" hidden="false" customHeight="false" outlineLevel="0" collapsed="false">
      <c r="B28107" s="0" t="s">
        <v>7</v>
      </c>
      <c r="C28107" s="0" t="s">
        <v>460</v>
      </c>
      <c r="D28107" s="0" t="s">
        <v>10190</v>
      </c>
      <c r="E28107" s="0" t="s">
        <v>10190</v>
      </c>
      <c r="F28107" s="0" t="s">
        <v>10190</v>
      </c>
    </row>
    <row r="28108" customFormat="false" ht="12.8" hidden="false" customHeight="false" outlineLevel="0" collapsed="false">
      <c r="B28108" s="0" t="s">
        <v>14</v>
      </c>
      <c r="C28108" s="0" t="s">
        <v>120</v>
      </c>
      <c r="D28108" s="0" t="s">
        <v>10192</v>
      </c>
      <c r="E28108" s="0" t="s">
        <v>10192</v>
      </c>
      <c r="F28108" s="0" t="s">
        <v>10192</v>
      </c>
    </row>
    <row r="28110" customFormat="false" ht="12.8" hidden="false" customHeight="false" outlineLevel="0" collapsed="false">
      <c r="A28110" s="0" t="s">
        <v>10444</v>
      </c>
      <c r="B28110" s="0" t="str">
        <f aca="false">HYPERLINK("https://lindat.mff.cuni.cz/services/teitok/pdtc10/index.php?action=vallex&amp;frame=v-whsa_618hsa_619", "polykat (v-whsa_618hsa_619) - substituted with v-whsa_618f1_ZU")</f>
        <v>polykat (v-whsa_618hsa_619) - substituted with v-whsa_618f1_ZU</v>
      </c>
    </row>
    <row r="28111" customFormat="false" ht="12.8" hidden="false" customHeight="false" outlineLevel="0" collapsed="false">
      <c r="B28111" s="0" t="s">
        <v>7</v>
      </c>
    </row>
    <row r="28112" customFormat="false" ht="12.8" hidden="false" customHeight="false" outlineLevel="0" collapsed="false">
      <c r="B28112" s="0" t="s">
        <v>14</v>
      </c>
    </row>
    <row r="28114" customFormat="false" ht="12.8" hidden="false" customHeight="false" outlineLevel="0" collapsed="false">
      <c r="A28114" s="0" t="s">
        <v>10445</v>
      </c>
      <c r="B28114" s="0" t="str">
        <f aca="false">HYPERLINK("https://lindat.mff.cuni.cz/services/teitok/pdtc10/index.php?action=vallex&amp;frame=v-whsa_618f2_ZU", "polykat (v-whsa_618f2_ZU)")</f>
        <v>polykat (v-whsa_618f2_ZU)</v>
      </c>
    </row>
    <row r="28115" customFormat="false" ht="12.8" hidden="false" customHeight="false" outlineLevel="0" collapsed="false">
      <c r="B28115" s="0" t="s">
        <v>7</v>
      </c>
      <c r="C28115" s="0" t="s">
        <v>113</v>
      </c>
      <c r="D28115" s="0" t="s">
        <v>113</v>
      </c>
      <c r="E28115" s="0" t="s">
        <v>113</v>
      </c>
      <c r="F28115" s="0" t="s">
        <v>113</v>
      </c>
    </row>
    <row r="28116" customFormat="false" ht="12.8" hidden="false" customHeight="false" outlineLevel="0" collapsed="false">
      <c r="B28116" s="0" t="s">
        <v>14</v>
      </c>
      <c r="C28116" s="0" t="s">
        <v>47</v>
      </c>
      <c r="D28116" s="0" t="s">
        <v>47</v>
      </c>
      <c r="E28116" s="0" t="s">
        <v>47</v>
      </c>
      <c r="F28116" s="0" t="s">
        <v>47</v>
      </c>
    </row>
    <row r="28118" customFormat="false" ht="12.8" hidden="false" customHeight="false" outlineLevel="0" collapsed="false">
      <c r="A28118" s="0" t="s">
        <v>10446</v>
      </c>
      <c r="B28118" s="0" t="str">
        <f aca="false">HYPERLINK("https://lindat.mff.cuni.cz/services/teitok/pdtc10/index.php?action=vallex&amp;frame=v-whsb_1144hsa_1145", "polámat (v-whsb_1144hsa_1145)")</f>
        <v>polámat (v-whsb_1144hsa_1145)</v>
      </c>
    </row>
    <row r="28119" customFormat="false" ht="12.8" hidden="false" customHeight="false" outlineLevel="0" collapsed="false">
      <c r="B28119" s="0" t="s">
        <v>7</v>
      </c>
    </row>
    <row r="28120" customFormat="false" ht="12.8" hidden="false" customHeight="false" outlineLevel="0" collapsed="false">
      <c r="B28120" s="0" t="s">
        <v>14</v>
      </c>
    </row>
    <row r="28122" customFormat="false" ht="12.8" hidden="false" customHeight="false" outlineLevel="0" collapsed="false">
      <c r="A28122" s="0" t="s">
        <v>10447</v>
      </c>
      <c r="B28122" s="0" t="str">
        <f aca="false">HYPERLINK("https://lindat.mff.cuni.cz/services/teitok/pdtc10/index.php?action=vallex&amp;frame=v-w3799f1", "polévat (v-w3799f1)")</f>
        <v>polévat (v-w3799f1)</v>
      </c>
    </row>
    <row r="28123" customFormat="false" ht="12.8" hidden="false" customHeight="false" outlineLevel="0" collapsed="false">
      <c r="B28123" s="0" t="s">
        <v>7</v>
      </c>
    </row>
    <row r="28124" customFormat="false" ht="12.8" hidden="false" customHeight="false" outlineLevel="0" collapsed="false">
      <c r="B28124" s="0" t="s">
        <v>14</v>
      </c>
    </row>
    <row r="28126" customFormat="false" ht="12.8" hidden="false" customHeight="false" outlineLevel="0" collapsed="false">
      <c r="A28126" s="0" t="s">
        <v>10448</v>
      </c>
      <c r="B28126" s="0" t="str">
        <f aca="false">HYPERLINK("https://lindat.mff.cuni.cz/services/teitok/pdtc10/index.php?action=vallex&amp;frame=v-w3799f2", "polévat (v-w3799f2)")</f>
        <v>polévat (v-w3799f2)</v>
      </c>
    </row>
    <row r="28127" customFormat="false" ht="12.8" hidden="false" customHeight="false" outlineLevel="0" collapsed="false">
      <c r="B28127" s="0" t="s">
        <v>7</v>
      </c>
    </row>
    <row r="28128" customFormat="false" ht="12.8" hidden="false" customHeight="false" outlineLevel="0" collapsed="false">
      <c r="B28128" s="0" t="s">
        <v>14</v>
      </c>
    </row>
    <row r="28130" customFormat="false" ht="12.8" hidden="false" customHeight="false" outlineLevel="0" collapsed="false">
      <c r="A28130" s="0" t="s">
        <v>10449</v>
      </c>
      <c r="B28130" s="0" t="str">
        <f aca="false">HYPERLINK("https://lindat.mff.cuni.cz/services/teitok/pdtc10/index.php?action=vallex&amp;frame=v-w3804f1", "políbit (v-w3804f1)")</f>
        <v>políbit (v-w3804f1)</v>
      </c>
    </row>
    <row r="28131" customFormat="false" ht="12.8" hidden="false" customHeight="false" outlineLevel="0" collapsed="false">
      <c r="B28131" s="0" t="s">
        <v>7</v>
      </c>
    </row>
    <row r="28132" customFormat="false" ht="12.8" hidden="false" customHeight="false" outlineLevel="0" collapsed="false">
      <c r="B28132" s="0" t="s">
        <v>14</v>
      </c>
      <c r="C28132" s="0" t="s">
        <v>47</v>
      </c>
      <c r="F28132" s="0" t="s">
        <v>47</v>
      </c>
    </row>
    <row r="28134" customFormat="false" ht="12.8" hidden="false" customHeight="false" outlineLevel="0" collapsed="false">
      <c r="A28134" s="0" t="s">
        <v>10450</v>
      </c>
      <c r="B28134" s="0" t="str">
        <f aca="false">HYPERLINK("https://lindat.mff.cuni.cz/services/teitok/pdtc10/index.php?action=vallex&amp;frame=v-whsa_308f1_ZU", "polít (v-whsa_308f1_ZU)")</f>
        <v>polít (v-whsa_308f1_ZU)</v>
      </c>
    </row>
    <row r="28135" customFormat="false" ht="12.8" hidden="false" customHeight="false" outlineLevel="0" collapsed="false">
      <c r="B28135" s="0" t="s">
        <v>7</v>
      </c>
      <c r="C28135" s="0" t="s">
        <v>46</v>
      </c>
    </row>
    <row r="28136" customFormat="false" ht="12.8" hidden="false" customHeight="false" outlineLevel="0" collapsed="false">
      <c r="B28136" s="0" t="s">
        <v>14</v>
      </c>
      <c r="C28136" s="0" t="s">
        <v>74</v>
      </c>
    </row>
    <row r="28138" customFormat="false" ht="12.8" hidden="false" customHeight="false" outlineLevel="0" collapsed="false">
      <c r="A28138" s="0" t="s">
        <v>10450</v>
      </c>
      <c r="B28138" s="0" t="str">
        <f aca="false">HYPERLINK("https://lindat.mff.cuni.cz/services/teitok/pdtc10/index.php?action=vallex&amp;frame=v-whsa_308hsa_309", "polít (v-whsa_308hsa_309) - substituted with v-whsa_308f1_ZU")</f>
        <v>polít (v-whsa_308hsa_309) - substituted with v-whsa_308f1_ZU</v>
      </c>
    </row>
    <row r="28139" customFormat="false" ht="12.8" hidden="false" customHeight="false" outlineLevel="0" collapsed="false">
      <c r="B28139" s="0" t="s">
        <v>7</v>
      </c>
    </row>
    <row r="28140" customFormat="false" ht="12.8" hidden="false" customHeight="false" outlineLevel="0" collapsed="false">
      <c r="B28140" s="0" t="s">
        <v>14</v>
      </c>
    </row>
    <row r="28142" customFormat="false" ht="12.8" hidden="false" customHeight="false" outlineLevel="0" collapsed="false">
      <c r="A28142" s="0" t="s">
        <v>10451</v>
      </c>
      <c r="B28142" s="0" t="str">
        <f aca="false">HYPERLINK("https://lindat.mff.cuni.cz/services/teitok/pdtc10/index.php?action=vallex&amp;frame=v-whsa_181hsa_182", "políčit (v-whsa_181hsa_182)")</f>
        <v>políčit (v-whsa_181hsa_182)</v>
      </c>
    </row>
    <row r="28143" customFormat="false" ht="12.8" hidden="false" customHeight="false" outlineLevel="0" collapsed="false">
      <c r="B28143" s="0" t="s">
        <v>7</v>
      </c>
    </row>
    <row r="28144" customFormat="false" ht="12.8" hidden="false" customHeight="false" outlineLevel="0" collapsed="false">
      <c r="B28144" s="0" t="s">
        <v>14</v>
      </c>
    </row>
    <row r="28146" customFormat="false" ht="12.8" hidden="false" customHeight="false" outlineLevel="0" collapsed="false">
      <c r="A28146" s="0" t="s">
        <v>10452</v>
      </c>
      <c r="B28146" s="0" t="str">
        <f aca="false">HYPERLINK("https://lindat.mff.cuni.cz/services/teitok/pdtc10/index.php?action=vallex&amp;frame=v-w3819f1", "pomalovat (v-w3819f1)")</f>
        <v>pomalovat (v-w3819f1)</v>
      </c>
    </row>
    <row r="28147" customFormat="false" ht="12.8" hidden="false" customHeight="false" outlineLevel="0" collapsed="false">
      <c r="B28147" s="0" t="s">
        <v>7</v>
      </c>
      <c r="D28147" s="0" t="s">
        <v>46</v>
      </c>
      <c r="E28147" s="0" t="s">
        <v>46</v>
      </c>
      <c r="F28147" s="0" t="s">
        <v>46</v>
      </c>
    </row>
    <row r="28148" customFormat="false" ht="12.8" hidden="false" customHeight="false" outlineLevel="0" collapsed="false">
      <c r="B28148" s="0" t="s">
        <v>14</v>
      </c>
      <c r="D28148" s="0" t="s">
        <v>6903</v>
      </c>
      <c r="E28148" s="0" t="s">
        <v>6903</v>
      </c>
      <c r="F28148" s="0" t="s">
        <v>6903</v>
      </c>
    </row>
    <row r="28150" customFormat="false" ht="12.8" hidden="false" customHeight="false" outlineLevel="0" collapsed="false">
      <c r="A28150" s="0" t="s">
        <v>10453</v>
      </c>
      <c r="B28150" s="0" t="str">
        <f aca="false">HYPERLINK("https://lindat.mff.cuni.cz/services/teitok/pdtc10/index.php?action=vallex&amp;frame=v-w12178_ZUf1_ZU", "pomazlit (v-w12178_ZUf1_ZU)")</f>
        <v>pomazlit (v-w12178_ZUf1_ZU)</v>
      </c>
    </row>
    <row r="28151" customFormat="false" ht="12.8" hidden="false" customHeight="false" outlineLevel="0" collapsed="false">
      <c r="B28151" s="0" t="s">
        <v>7</v>
      </c>
    </row>
    <row r="28152" customFormat="false" ht="12.8" hidden="false" customHeight="false" outlineLevel="0" collapsed="false">
      <c r="B28152" s="0" t="s">
        <v>14</v>
      </c>
    </row>
    <row r="28154" customFormat="false" ht="12.8" hidden="false" customHeight="false" outlineLevel="0" collapsed="false">
      <c r="A28154" s="0" t="s">
        <v>10454</v>
      </c>
      <c r="B28154" s="0" t="str">
        <f aca="false">HYPERLINK("https://lindat.mff.cuni.cz/services/teitok/pdtc10/index.php?action=vallex&amp;frame=v-w11063f2", "pomazávat (v-w11063f2)")</f>
        <v>pomazávat (v-w11063f2)</v>
      </c>
    </row>
    <row r="28155" customFormat="false" ht="12.8" hidden="false" customHeight="false" outlineLevel="0" collapsed="false">
      <c r="B28155" s="0" t="s">
        <v>7</v>
      </c>
      <c r="D28155" s="0" t="s">
        <v>46</v>
      </c>
      <c r="E28155" s="0" t="s">
        <v>46</v>
      </c>
      <c r="F28155" s="0" t="s">
        <v>46</v>
      </c>
    </row>
    <row r="28156" customFormat="false" ht="12.8" hidden="false" customHeight="false" outlineLevel="0" collapsed="false">
      <c r="B28156" s="0" t="s">
        <v>14</v>
      </c>
      <c r="C28156" s="0" t="s">
        <v>155</v>
      </c>
      <c r="D28156" s="0" t="s">
        <v>6903</v>
      </c>
      <c r="E28156" s="0" t="s">
        <v>6903</v>
      </c>
      <c r="F28156" s="0" t="s">
        <v>6903</v>
      </c>
    </row>
    <row r="28158" customFormat="false" ht="12.8" hidden="false" customHeight="false" outlineLevel="0" collapsed="false">
      <c r="A28158" s="0" t="s">
        <v>10455</v>
      </c>
      <c r="B28158" s="0" t="str">
        <f aca="false">HYPERLINK("https://lindat.mff.cuni.cz/services/teitok/pdtc10/index.php?action=vallex&amp;frame=v-w10250f2", "pomačkat (v-w10250f2)")</f>
        <v>pomačkat (v-w10250f2)</v>
      </c>
    </row>
    <row r="28159" customFormat="false" ht="12.8" hidden="false" customHeight="false" outlineLevel="0" collapsed="false">
      <c r="B28159" s="0" t="s">
        <v>7</v>
      </c>
    </row>
    <row r="28160" customFormat="false" ht="12.8" hidden="false" customHeight="false" outlineLevel="0" collapsed="false">
      <c r="B28160" s="0" t="s">
        <v>14</v>
      </c>
    </row>
    <row r="28162" customFormat="false" ht="12.8" hidden="false" customHeight="false" outlineLevel="0" collapsed="false">
      <c r="A28162" s="0" t="s">
        <v>10456</v>
      </c>
      <c r="B28162" s="0" t="str">
        <f aca="false">HYPERLINK("https://lindat.mff.cuni.cz/services/teitok/pdtc10/index.php?action=vallex&amp;frame=v-whsa_63hsa_64", "pomilovat se (v-whsa_63hsa_64)")</f>
        <v>pomilovat se (v-whsa_63hsa_64)</v>
      </c>
    </row>
    <row r="28163" customFormat="false" ht="12.8" hidden="false" customHeight="false" outlineLevel="0" collapsed="false">
      <c r="B28163" s="0" t="s">
        <v>7</v>
      </c>
    </row>
    <row r="28164" customFormat="false" ht="12.8" hidden="false" customHeight="false" outlineLevel="0" collapsed="false">
      <c r="B28164" s="0" t="s">
        <v>548</v>
      </c>
    </row>
    <row r="28166" customFormat="false" ht="12.8" hidden="false" customHeight="false" outlineLevel="0" collapsed="false">
      <c r="A28166" s="0" t="s">
        <v>10457</v>
      </c>
      <c r="B28166" s="0" t="str">
        <f aca="false">HYPERLINK("https://lindat.mff.cuni.cz/services/teitok/pdtc10/index.php?action=vallex&amp;frame=v-w3824f2", "pominout (v-w3824f2)")</f>
        <v>pominout (v-w3824f2)</v>
      </c>
    </row>
    <row r="28167" customFormat="false" ht="12.8" hidden="false" customHeight="false" outlineLevel="0" collapsed="false">
      <c r="B28167" s="0" t="s">
        <v>7</v>
      </c>
      <c r="C28167" s="0" t="s">
        <v>10458</v>
      </c>
      <c r="D28167" s="0" t="s">
        <v>410</v>
      </c>
      <c r="E28167" s="0" t="s">
        <v>410</v>
      </c>
      <c r="F28167" s="0" t="s">
        <v>410</v>
      </c>
    </row>
    <row r="28168" customFormat="false" ht="12.8" hidden="false" customHeight="false" outlineLevel="0" collapsed="false">
      <c r="B28168" s="0" t="s">
        <v>172</v>
      </c>
      <c r="C28168" s="0" t="s">
        <v>128</v>
      </c>
      <c r="D28168" s="0" t="s">
        <v>4163</v>
      </c>
      <c r="E28168" s="0" t="s">
        <v>4163</v>
      </c>
      <c r="F28168" s="0" t="s">
        <v>4163</v>
      </c>
    </row>
    <row r="28170" customFormat="false" ht="12.8" hidden="false" customHeight="false" outlineLevel="0" collapsed="false">
      <c r="A28170" s="0" t="s">
        <v>10459</v>
      </c>
      <c r="B28170" s="0" t="str">
        <f aca="false">HYPERLINK("https://lindat.mff.cuni.cz/services/teitok/pdtc10/index.php?action=vallex&amp;frame=v-w3824f1", "pominout (v-w3824f1)")</f>
        <v>pominout (v-w3824f1)</v>
      </c>
    </row>
    <row r="28171" customFormat="false" ht="12.8" hidden="false" customHeight="false" outlineLevel="0" collapsed="false">
      <c r="B28171" s="0" t="s">
        <v>7</v>
      </c>
      <c r="C28171" s="0" t="s">
        <v>200</v>
      </c>
      <c r="D28171" s="0" t="s">
        <v>396</v>
      </c>
      <c r="E28171" s="0" t="s">
        <v>396</v>
      </c>
      <c r="F28171" s="0" t="s">
        <v>396</v>
      </c>
    </row>
    <row r="28173" customFormat="false" ht="12.8" hidden="false" customHeight="false" outlineLevel="0" collapsed="false">
      <c r="A28173" s="0" t="s">
        <v>10460</v>
      </c>
      <c r="B28173" s="0" t="str">
        <f aca="false">HYPERLINK("https://lindat.mff.cuni.cz/services/teitok/pdtc10/index.php?action=vallex&amp;frame=v-w3825f1", "pomlouvat (v-w3825f1)")</f>
        <v>pomlouvat (v-w3825f1)</v>
      </c>
    </row>
    <row r="28174" customFormat="false" ht="12.8" hidden="false" customHeight="false" outlineLevel="0" collapsed="false">
      <c r="B28174" s="0" t="s">
        <v>7</v>
      </c>
      <c r="D28174" s="0" t="s">
        <v>4960</v>
      </c>
      <c r="E28174" s="0" t="s">
        <v>4960</v>
      </c>
      <c r="F28174" s="0" t="s">
        <v>4960</v>
      </c>
    </row>
    <row r="28175" customFormat="false" ht="12.8" hidden="false" customHeight="false" outlineLevel="0" collapsed="false">
      <c r="B28175" s="0" t="s">
        <v>14</v>
      </c>
      <c r="D28175" s="0" t="s">
        <v>1631</v>
      </c>
      <c r="E28175" s="0" t="s">
        <v>1631</v>
      </c>
      <c r="F28175" s="0" t="s">
        <v>1631</v>
      </c>
    </row>
    <row r="28177" customFormat="false" ht="12.8" hidden="false" customHeight="false" outlineLevel="0" collapsed="false">
      <c r="A28177" s="0" t="s">
        <v>10461</v>
      </c>
      <c r="B28177" s="0" t="str">
        <f aca="false">HYPERLINK("https://lindat.mff.cuni.cz/services/teitok/pdtc10/index.php?action=vallex&amp;frame=v-w10424f2", "pomluvit (v-w10424f2)")</f>
        <v>pomluvit (v-w10424f2)</v>
      </c>
    </row>
    <row r="28178" customFormat="false" ht="12.8" hidden="false" customHeight="false" outlineLevel="0" collapsed="false">
      <c r="B28178" s="0" t="s">
        <v>7</v>
      </c>
      <c r="D28178" s="0" t="s">
        <v>4960</v>
      </c>
      <c r="E28178" s="0" t="s">
        <v>4960</v>
      </c>
      <c r="F28178" s="0" t="s">
        <v>4960</v>
      </c>
    </row>
    <row r="28179" customFormat="false" ht="12.8" hidden="false" customHeight="false" outlineLevel="0" collapsed="false">
      <c r="B28179" s="0" t="s">
        <v>14</v>
      </c>
      <c r="D28179" s="0" t="s">
        <v>1631</v>
      </c>
      <c r="E28179" s="0" t="s">
        <v>1631</v>
      </c>
      <c r="F28179" s="0" t="s">
        <v>1631</v>
      </c>
    </row>
    <row r="28181" customFormat="false" ht="12.8" hidden="false" customHeight="false" outlineLevel="0" collapsed="false">
      <c r="A28181" s="0" t="s">
        <v>10462</v>
      </c>
      <c r="B28181" s="0" t="str">
        <f aca="false">HYPERLINK("https://lindat.mff.cuni.cz/services/teitok/pdtc10/index.php?action=vallex&amp;frame=v-w3830f3", "pomoci (v-w3830f3)")</f>
        <v>pomoci (v-w3830f3)</v>
      </c>
    </row>
    <row r="28182" customFormat="false" ht="12.8" hidden="false" customHeight="false" outlineLevel="0" collapsed="false">
      <c r="B28182" s="0" t="s">
        <v>7</v>
      </c>
    </row>
    <row r="28183" customFormat="false" ht="12.8" hidden="false" customHeight="false" outlineLevel="0" collapsed="false">
      <c r="B28183" s="0" t="s">
        <v>41</v>
      </c>
    </row>
    <row r="28184" customFormat="false" ht="12.8" hidden="false" customHeight="false" outlineLevel="0" collapsed="false">
      <c r="B28184" s="0" t="s">
        <v>48</v>
      </c>
    </row>
    <row r="28186" customFormat="false" ht="12.8" hidden="false" customHeight="false" outlineLevel="0" collapsed="false">
      <c r="A28186" s="0" t="s">
        <v>10463</v>
      </c>
      <c r="B28186" s="0" t="str">
        <f aca="false">HYPERLINK("https://lindat.mff.cuni.cz/services/teitok/pdtc10/index.php?action=vallex&amp;frame=v-w3830f9_ZU", "pomoci (v-w3830f9_ZU)")</f>
        <v>pomoci (v-w3830f9_ZU)</v>
      </c>
    </row>
    <row r="28187" customFormat="false" ht="12.8" hidden="false" customHeight="false" outlineLevel="0" collapsed="false">
      <c r="B28187" s="0" t="s">
        <v>7</v>
      </c>
    </row>
    <row r="28188" customFormat="false" ht="12.8" hidden="false" customHeight="false" outlineLevel="0" collapsed="false">
      <c r="B28188" s="0" t="s">
        <v>48</v>
      </c>
    </row>
    <row r="28189" customFormat="false" ht="12.8" hidden="false" customHeight="false" outlineLevel="0" collapsed="false">
      <c r="B28189" s="0" t="s">
        <v>10464</v>
      </c>
    </row>
    <row r="28191" customFormat="false" ht="12.8" hidden="false" customHeight="false" outlineLevel="0" collapsed="false">
      <c r="A28191" s="0" t="s">
        <v>10463</v>
      </c>
      <c r="B28191" s="0" t="str">
        <f aca="false">HYPERLINK("https://lindat.mff.cuni.cz/services/teitok/pdtc10/index.php?action=vallex&amp;frame=v-w3830f1", "pomoci (v-w3830f1) - substituted with v-w3830f9_ZU")</f>
        <v>pomoci (v-w3830f1) - substituted with v-w3830f9_ZU</v>
      </c>
    </row>
    <row r="28192" customFormat="false" ht="12.8" hidden="false" customHeight="false" outlineLevel="0" collapsed="false">
      <c r="B28192" s="0" t="s">
        <v>7</v>
      </c>
      <c r="C28192" s="0" t="s">
        <v>10465</v>
      </c>
      <c r="D28192" s="0" t="s">
        <v>6786</v>
      </c>
      <c r="E28192" s="0" t="s">
        <v>6786</v>
      </c>
      <c r="F28192" s="0" t="s">
        <v>6786</v>
      </c>
    </row>
    <row r="28193" customFormat="false" ht="12.8" hidden="false" customHeight="false" outlineLevel="0" collapsed="false">
      <c r="B28193" s="0" t="s">
        <v>48</v>
      </c>
      <c r="C28193" s="0" t="s">
        <v>10466</v>
      </c>
      <c r="D28193" s="0" t="s">
        <v>6788</v>
      </c>
      <c r="E28193" s="0" t="s">
        <v>6788</v>
      </c>
      <c r="F28193" s="0" t="s">
        <v>6788</v>
      </c>
    </row>
    <row r="28194" customFormat="false" ht="12.8" hidden="false" customHeight="false" outlineLevel="0" collapsed="false">
      <c r="B28194" s="0" t="s">
        <v>10464</v>
      </c>
      <c r="C28194" s="0" t="s">
        <v>10467</v>
      </c>
      <c r="D28194" s="0" t="s">
        <v>6791</v>
      </c>
      <c r="E28194" s="0" t="s">
        <v>6791</v>
      </c>
      <c r="F28194" s="0" t="s">
        <v>6791</v>
      </c>
    </row>
    <row r="28196" customFormat="false" ht="12.8" hidden="false" customHeight="false" outlineLevel="0" collapsed="false">
      <c r="A28196" s="0" t="s">
        <v>10468</v>
      </c>
      <c r="B28196" s="0" t="str">
        <f aca="false">HYPERLINK("https://lindat.mff.cuni.cz/services/teitok/pdtc10/index.php?action=vallex&amp;frame=v-w3830f8_ZU", "pomoci (v-w3830f8_ZU)")</f>
        <v>pomoci (v-w3830f8_ZU)</v>
      </c>
    </row>
    <row r="28197" customFormat="false" ht="12.8" hidden="false" customHeight="false" outlineLevel="0" collapsed="false">
      <c r="B28197" s="0" t="s">
        <v>10469</v>
      </c>
    </row>
    <row r="28198" customFormat="false" ht="12.8" hidden="false" customHeight="false" outlineLevel="0" collapsed="false">
      <c r="B28198" s="0" t="s">
        <v>48</v>
      </c>
    </row>
    <row r="28199" customFormat="false" ht="12.8" hidden="false" customHeight="false" outlineLevel="0" collapsed="false">
      <c r="B28199" s="0" t="s">
        <v>10470</v>
      </c>
    </row>
    <row r="28201" customFormat="false" ht="12.8" hidden="false" customHeight="false" outlineLevel="0" collapsed="false">
      <c r="A28201" s="0" t="s">
        <v>10468</v>
      </c>
      <c r="B28201" s="0" t="str">
        <f aca="false">HYPERLINK("https://lindat.mff.cuni.cz/services/teitok/pdtc10/index.php?action=vallex&amp;frame=v-w3830f2", "pomoci (v-w3830f2) - substituted with v-w3830f8_ZU")</f>
        <v>pomoci (v-w3830f2) - substituted with v-w3830f8_ZU</v>
      </c>
    </row>
    <row r="28202" customFormat="false" ht="12.8" hidden="false" customHeight="false" outlineLevel="0" collapsed="false">
      <c r="B28202" s="0" t="s">
        <v>10469</v>
      </c>
      <c r="C28202" s="0" t="s">
        <v>6793</v>
      </c>
    </row>
    <row r="28203" customFormat="false" ht="12.8" hidden="false" customHeight="false" outlineLevel="0" collapsed="false">
      <c r="B28203" s="0" t="s">
        <v>48</v>
      </c>
      <c r="C28203" s="0" t="s">
        <v>6794</v>
      </c>
    </row>
    <row r="28204" customFormat="false" ht="12.8" hidden="false" customHeight="false" outlineLevel="0" collapsed="false">
      <c r="B28204" s="0" t="s">
        <v>10470</v>
      </c>
      <c r="C28204" s="0" t="s">
        <v>6790</v>
      </c>
    </row>
    <row r="28206" customFormat="false" ht="12.8" hidden="false" customHeight="false" outlineLevel="0" collapsed="false">
      <c r="A28206" s="0" t="s">
        <v>10468</v>
      </c>
      <c r="B28206" s="0" t="str">
        <f aca="false">HYPERLINK("https://lindat.mff.cuni.cz/services/teitok/pdtc10/index.php?action=vallex&amp;frame=v-w3830f5_ZU", "pomoci (v-w3830f5_ZU) - substituted with v-w3830f8_ZU")</f>
        <v>pomoci (v-w3830f5_ZU) - substituted with v-w3830f8_ZU</v>
      </c>
    </row>
    <row r="28207" customFormat="false" ht="12.8" hidden="false" customHeight="false" outlineLevel="0" collapsed="false">
      <c r="B28207" s="0" t="s">
        <v>10469</v>
      </c>
      <c r="C28207" s="0" t="s">
        <v>6793</v>
      </c>
    </row>
    <row r="28208" customFormat="false" ht="12.8" hidden="false" customHeight="false" outlineLevel="0" collapsed="false">
      <c r="B28208" s="0" t="s">
        <v>48</v>
      </c>
      <c r="C28208" s="0" t="s">
        <v>6787</v>
      </c>
    </row>
    <row r="28209" customFormat="false" ht="12.8" hidden="false" customHeight="false" outlineLevel="0" collapsed="false">
      <c r="B28209" s="0" t="s">
        <v>10470</v>
      </c>
      <c r="C28209" s="0" t="s">
        <v>10471</v>
      </c>
    </row>
    <row r="28211" customFormat="false" ht="12.8" hidden="false" customHeight="false" outlineLevel="0" collapsed="false">
      <c r="A28211" s="0" t="s">
        <v>10468</v>
      </c>
      <c r="B28211" s="0" t="str">
        <f aca="false">HYPERLINK("https://lindat.mff.cuni.cz/services/teitok/pdtc10/index.php?action=vallex&amp;frame=v-w3830f6_ZU", "pomoci (v-w3830f6_ZU) - substituted with v-w3830f8_ZU")</f>
        <v>pomoci (v-w3830f6_ZU) - substituted with v-w3830f8_ZU</v>
      </c>
    </row>
    <row r="28212" customFormat="false" ht="12.8" hidden="false" customHeight="false" outlineLevel="0" collapsed="false">
      <c r="B28212" s="0" t="s">
        <v>10469</v>
      </c>
      <c r="C28212" s="0" t="s">
        <v>6785</v>
      </c>
    </row>
    <row r="28213" customFormat="false" ht="12.8" hidden="false" customHeight="false" outlineLevel="0" collapsed="false">
      <c r="B28213" s="0" t="s">
        <v>48</v>
      </c>
      <c r="C28213" s="0" t="s">
        <v>6787</v>
      </c>
    </row>
    <row r="28214" customFormat="false" ht="12.8" hidden="false" customHeight="false" outlineLevel="0" collapsed="false">
      <c r="B28214" s="0" t="s">
        <v>10470</v>
      </c>
      <c r="C28214" s="0" t="s">
        <v>6790</v>
      </c>
    </row>
    <row r="28216" customFormat="false" ht="12.8" hidden="false" customHeight="false" outlineLevel="0" collapsed="false">
      <c r="A28216" s="0" t="s">
        <v>10468</v>
      </c>
      <c r="B28216" s="0" t="str">
        <f aca="false">HYPERLINK("https://lindat.mff.cuni.cz/services/teitok/pdtc10/index.php?action=vallex&amp;frame=v-w3830f7_ZU", "pomoci (v-w3830f7_ZU) - substituted with v-w3830f8_ZU")</f>
        <v>pomoci (v-w3830f7_ZU) - substituted with v-w3830f8_ZU</v>
      </c>
    </row>
    <row r="28217" customFormat="false" ht="12.8" hidden="false" customHeight="false" outlineLevel="0" collapsed="false">
      <c r="B28217" s="0" t="s">
        <v>10469</v>
      </c>
      <c r="D28217" s="0" t="s">
        <v>6786</v>
      </c>
      <c r="E28217" s="0" t="s">
        <v>6786</v>
      </c>
      <c r="F28217" s="0" t="s">
        <v>6786</v>
      </c>
    </row>
    <row r="28218" customFormat="false" ht="12.8" hidden="false" customHeight="false" outlineLevel="0" collapsed="false">
      <c r="B28218" s="0" t="s">
        <v>48</v>
      </c>
      <c r="D28218" s="0" t="s">
        <v>6788</v>
      </c>
      <c r="E28218" s="0" t="s">
        <v>6788</v>
      </c>
      <c r="F28218" s="0" t="s">
        <v>6788</v>
      </c>
    </row>
    <row r="28219" customFormat="false" ht="12.8" hidden="false" customHeight="false" outlineLevel="0" collapsed="false">
      <c r="B28219" s="0" t="s">
        <v>10470</v>
      </c>
      <c r="D28219" s="0" t="s">
        <v>6791</v>
      </c>
      <c r="E28219" s="0" t="s">
        <v>6791</v>
      </c>
      <c r="F28219" s="0" t="s">
        <v>6791</v>
      </c>
    </row>
    <row r="28221" customFormat="false" ht="12.8" hidden="false" customHeight="false" outlineLevel="0" collapsed="false">
      <c r="A28221" s="0" t="s">
        <v>10472</v>
      </c>
      <c r="B28221" s="0" t="str">
        <f aca="false">HYPERLINK("https://lindat.mff.cuni.cz/services/teitok/pdtc10/index.php?action=vallex&amp;frame=v-w3830f4", "pomoci (v-w3830f4)")</f>
        <v>pomoci (v-w3830f4)</v>
      </c>
    </row>
    <row r="28222" customFormat="false" ht="12.8" hidden="false" customHeight="false" outlineLevel="0" collapsed="false">
      <c r="B28222" s="0" t="s">
        <v>7</v>
      </c>
    </row>
    <row r="28223" customFormat="false" ht="12.8" hidden="false" customHeight="false" outlineLevel="0" collapsed="false">
      <c r="B28223" s="0" t="s">
        <v>10473</v>
      </c>
    </row>
    <row r="28224" customFormat="false" ht="12.8" hidden="false" customHeight="false" outlineLevel="0" collapsed="false">
      <c r="B28224" s="0" t="s">
        <v>142</v>
      </c>
    </row>
    <row r="28226" customFormat="false" ht="12.8" hidden="false" customHeight="false" outlineLevel="0" collapsed="false">
      <c r="A28226" s="0" t="s">
        <v>10474</v>
      </c>
      <c r="B28226" s="0" t="str">
        <f aca="false">HYPERLINK("https://lindat.mff.cuni.cz/services/teitok/pdtc10/index.php?action=vallex&amp;frame=v-w3830hsa_1262", "pomoci (v-w3830hsa_1262)")</f>
        <v>pomoci (v-w3830hsa_1262)</v>
      </c>
    </row>
    <row r="28227" customFormat="false" ht="12.8" hidden="false" customHeight="false" outlineLevel="0" collapsed="false">
      <c r="B28227" s="0" t="s">
        <v>7</v>
      </c>
      <c r="C28227" s="0" t="s">
        <v>6785</v>
      </c>
    </row>
    <row r="28228" customFormat="false" ht="12.8" hidden="false" customHeight="false" outlineLevel="0" collapsed="false">
      <c r="B28228" s="0" t="s">
        <v>142</v>
      </c>
      <c r="C28228" s="0" t="s">
        <v>10475</v>
      </c>
    </row>
    <row r="28230" customFormat="false" ht="12.8" hidden="false" customHeight="false" outlineLevel="0" collapsed="false">
      <c r="A28230" s="0" t="s">
        <v>10476</v>
      </c>
      <c r="B28230" s="0" t="str">
        <f aca="false">HYPERLINK("https://lindat.mff.cuni.cz/services/teitok/pdtc10/index.php?action=vallex&amp;frame=v-w3832f1", "pomoci si (v-w3832f1)")</f>
        <v>pomoci si (v-w3832f1)</v>
      </c>
    </row>
    <row r="28231" customFormat="false" ht="12.8" hidden="false" customHeight="false" outlineLevel="0" collapsed="false">
      <c r="B28231" s="0" t="s">
        <v>7</v>
      </c>
    </row>
    <row r="28233" customFormat="false" ht="12.8" hidden="false" customHeight="false" outlineLevel="0" collapsed="false">
      <c r="A28233" s="0" t="s">
        <v>10477</v>
      </c>
      <c r="B28233" s="0" t="str">
        <f aca="false">HYPERLINK("https://lindat.mff.cuni.cz/services/teitok/pdtc10/index.php?action=vallex&amp;frame=v-w3834f1", "pomodlit se (v-w3834f1)")</f>
        <v>pomodlit se (v-w3834f1)</v>
      </c>
    </row>
    <row r="28234" customFormat="false" ht="12.8" hidden="false" customHeight="false" outlineLevel="0" collapsed="false">
      <c r="B28234" s="0" t="s">
        <v>7</v>
      </c>
      <c r="D28234" s="0" t="s">
        <v>5448</v>
      </c>
      <c r="E28234" s="0" t="s">
        <v>5448</v>
      </c>
      <c r="F28234" s="0" t="s">
        <v>5448</v>
      </c>
    </row>
    <row r="28235" customFormat="false" ht="12.8" hidden="false" customHeight="false" outlineLevel="0" collapsed="false">
      <c r="B28235" s="0" t="s">
        <v>297</v>
      </c>
      <c r="D28235" s="0" t="s">
        <v>5449</v>
      </c>
      <c r="E28235" s="0" t="s">
        <v>5449</v>
      </c>
      <c r="F28235" s="0" t="s">
        <v>5449</v>
      </c>
    </row>
    <row r="28237" customFormat="false" ht="12.8" hidden="false" customHeight="false" outlineLevel="0" collapsed="false">
      <c r="A28237" s="0" t="s">
        <v>10478</v>
      </c>
      <c r="B28237" s="0" t="str">
        <f aca="false">HYPERLINK("https://lindat.mff.cuni.cz/services/teitok/pdtc10/index.php?action=vallex&amp;frame=v-w3833f1", "pomočit se (v-w3833f1)")</f>
        <v>pomočit se (v-w3833f1)</v>
      </c>
    </row>
    <row r="28238" customFormat="false" ht="12.8" hidden="false" customHeight="false" outlineLevel="0" collapsed="false">
      <c r="B28238" s="0" t="s">
        <v>7</v>
      </c>
    </row>
    <row r="28240" customFormat="false" ht="12.8" hidden="false" customHeight="false" outlineLevel="0" collapsed="false">
      <c r="A28240" s="0" t="s">
        <v>10479</v>
      </c>
      <c r="B28240" s="0" t="str">
        <f aca="false">HYPERLINK("https://lindat.mff.cuni.cz/services/teitok/pdtc10/index.php?action=vallex&amp;frame=v-w3835f1", "pomrznout (v-w3835f1)")</f>
        <v>pomrznout (v-w3835f1)</v>
      </c>
    </row>
    <row r="28241" customFormat="false" ht="12.8" hidden="false" customHeight="false" outlineLevel="0" collapsed="false">
      <c r="B28241" s="0" t="s">
        <v>7</v>
      </c>
    </row>
    <row r="28243" customFormat="false" ht="12.8" hidden="false" customHeight="false" outlineLevel="0" collapsed="false">
      <c r="A28243" s="0" t="s">
        <v>10480</v>
      </c>
      <c r="B28243" s="0" t="str">
        <f aca="false">HYPERLINK("https://lindat.mff.cuni.cz/services/teitok/pdtc10/index.php?action=vallex&amp;frame=v-w3836f1", "pomstít (v-w3836f1)")</f>
        <v>pomstít (v-w3836f1)</v>
      </c>
    </row>
    <row r="28244" customFormat="false" ht="12.8" hidden="false" customHeight="false" outlineLevel="0" collapsed="false">
      <c r="B28244" s="0" t="s">
        <v>7</v>
      </c>
    </row>
    <row r="28245" customFormat="false" ht="12.8" hidden="false" customHeight="false" outlineLevel="0" collapsed="false">
      <c r="B28245" s="0" t="s">
        <v>14</v>
      </c>
    </row>
    <row r="28247" customFormat="false" ht="12.8" hidden="false" customHeight="false" outlineLevel="0" collapsed="false">
      <c r="A28247" s="0" t="s">
        <v>10481</v>
      </c>
      <c r="B28247" s="0" t="str">
        <f aca="false">HYPERLINK("https://lindat.mff.cuni.cz/services/teitok/pdtc10/index.php?action=vallex&amp;frame=v-w3837f1", "pomstít se (v-w3837f1)")</f>
        <v>pomstít se (v-w3837f1)</v>
      </c>
    </row>
    <row r="28248" customFormat="false" ht="12.8" hidden="false" customHeight="false" outlineLevel="0" collapsed="false">
      <c r="B28248" s="0" t="s">
        <v>7</v>
      </c>
    </row>
    <row r="28249" customFormat="false" ht="12.8" hidden="false" customHeight="false" outlineLevel="0" collapsed="false">
      <c r="B28249" s="0" t="s">
        <v>142</v>
      </c>
    </row>
    <row r="28251" customFormat="false" ht="12.8" hidden="false" customHeight="false" outlineLevel="0" collapsed="false">
      <c r="A28251" s="0" t="s">
        <v>10482</v>
      </c>
      <c r="B28251" s="0" t="str">
        <f aca="false">HYPERLINK("https://lindat.mff.cuni.cz/services/teitok/pdtc10/index.php?action=vallex&amp;frame=v-w3838f1", "pomuchlat (v-w3838f1)")</f>
        <v>pomuchlat (v-w3838f1)</v>
      </c>
    </row>
    <row r="28252" customFormat="false" ht="12.8" hidden="false" customHeight="false" outlineLevel="0" collapsed="false">
      <c r="B28252" s="0" t="s">
        <v>7</v>
      </c>
    </row>
    <row r="28253" customFormat="false" ht="12.8" hidden="false" customHeight="false" outlineLevel="0" collapsed="false">
      <c r="B28253" s="0" t="s">
        <v>14</v>
      </c>
    </row>
    <row r="28255" customFormat="false" ht="12.8" hidden="false" customHeight="false" outlineLevel="0" collapsed="false">
      <c r="A28255" s="0" t="s">
        <v>10483</v>
      </c>
      <c r="B28255" s="0" t="str">
        <f aca="false">HYPERLINK("https://lindat.mff.cuni.cz/services/teitok/pdtc10/index.php?action=vallex&amp;frame=v-w3839f1", "pomyslet (v-w3839f1)")</f>
        <v>pomyslet (v-w3839f1)</v>
      </c>
    </row>
    <row r="28256" customFormat="false" ht="12.8" hidden="false" customHeight="false" outlineLevel="0" collapsed="false">
      <c r="B28256" s="0" t="s">
        <v>7</v>
      </c>
      <c r="C28256" s="0" t="s">
        <v>23</v>
      </c>
      <c r="D28256" s="0" t="s">
        <v>515</v>
      </c>
      <c r="E28256" s="0" t="s">
        <v>515</v>
      </c>
      <c r="F28256" s="0" t="s">
        <v>515</v>
      </c>
    </row>
    <row r="28257" customFormat="false" ht="12.8" hidden="false" customHeight="false" outlineLevel="0" collapsed="false">
      <c r="B28257" s="0" t="s">
        <v>41</v>
      </c>
      <c r="C28257" s="0" t="s">
        <v>10484</v>
      </c>
      <c r="D28257" s="0" t="s">
        <v>519</v>
      </c>
      <c r="E28257" s="0" t="s">
        <v>519</v>
      </c>
      <c r="F28257" s="0" t="s">
        <v>519</v>
      </c>
    </row>
    <row r="28259" customFormat="false" ht="12.8" hidden="false" customHeight="false" outlineLevel="0" collapsed="false">
      <c r="A28259" s="0" t="s">
        <v>10485</v>
      </c>
      <c r="B28259" s="0" t="str">
        <f aca="false">HYPERLINK("https://lindat.mff.cuni.cz/services/teitok/pdtc10/index.php?action=vallex&amp;frame=v-w3839f2", "pomyslet (v-w3839f2)")</f>
        <v>pomyslet (v-w3839f2)</v>
      </c>
    </row>
    <row r="28260" customFormat="false" ht="12.8" hidden="false" customHeight="false" outlineLevel="0" collapsed="false">
      <c r="B28260" s="0" t="s">
        <v>7</v>
      </c>
    </row>
    <row r="28261" customFormat="false" ht="12.8" hidden="false" customHeight="false" outlineLevel="0" collapsed="false">
      <c r="B28261" s="0" t="s">
        <v>10486</v>
      </c>
    </row>
    <row r="28262" customFormat="false" ht="12.8" hidden="false" customHeight="false" outlineLevel="0" collapsed="false">
      <c r="B28262" s="0" t="s">
        <v>363</v>
      </c>
    </row>
    <row r="28264" customFormat="false" ht="12.8" hidden="false" customHeight="false" outlineLevel="0" collapsed="false">
      <c r="A28264" s="0" t="s">
        <v>10487</v>
      </c>
      <c r="B28264" s="0" t="str">
        <f aca="false">HYPERLINK("https://lindat.mff.cuni.cz/services/teitok/pdtc10/index.php?action=vallex&amp;frame=v-w3840f1", "pomyslet si (v-w3840f1)")</f>
        <v>pomyslet si (v-w3840f1)</v>
      </c>
    </row>
    <row r="28265" customFormat="false" ht="12.8" hidden="false" customHeight="false" outlineLevel="0" collapsed="false">
      <c r="B28265" s="0" t="s">
        <v>7</v>
      </c>
      <c r="C28265" s="0" t="s">
        <v>5512</v>
      </c>
      <c r="D28265" s="0" t="s">
        <v>2022</v>
      </c>
      <c r="E28265" s="0" t="s">
        <v>2022</v>
      </c>
      <c r="F28265" s="0" t="s">
        <v>2022</v>
      </c>
    </row>
    <row r="28266" customFormat="false" ht="12.8" hidden="false" customHeight="false" outlineLevel="0" collapsed="false">
      <c r="B28266" s="0" t="s">
        <v>5518</v>
      </c>
      <c r="C28266" s="0" t="s">
        <v>10488</v>
      </c>
      <c r="D28266" s="0" t="s">
        <v>2025</v>
      </c>
      <c r="E28266" s="0" t="s">
        <v>2025</v>
      </c>
      <c r="F28266" s="0" t="s">
        <v>2025</v>
      </c>
    </row>
    <row r="28267" customFormat="false" ht="12.8" hidden="false" customHeight="false" outlineLevel="0" collapsed="false">
      <c r="B28267" s="0" t="s">
        <v>363</v>
      </c>
      <c r="C28267" s="0" t="s">
        <v>2026</v>
      </c>
      <c r="D28267" s="0" t="s">
        <v>2027</v>
      </c>
      <c r="E28267" s="0" t="s">
        <v>2027</v>
      </c>
      <c r="F28267" s="0" t="s">
        <v>2027</v>
      </c>
    </row>
    <row r="28269" customFormat="false" ht="12.8" hidden="false" customHeight="false" outlineLevel="0" collapsed="false">
      <c r="A28269" s="0" t="s">
        <v>10489</v>
      </c>
      <c r="B28269" s="0" t="str">
        <f aca="false">HYPERLINK("https://lindat.mff.cuni.cz/services/teitok/pdtc10/index.php?action=vallex&amp;frame=v-w11342f1", "pomyslit (v-w11342f1)")</f>
        <v>pomyslit (v-w11342f1)</v>
      </c>
    </row>
    <row r="28270" customFormat="false" ht="12.8" hidden="false" customHeight="false" outlineLevel="0" collapsed="false">
      <c r="B28270" s="0" t="s">
        <v>7</v>
      </c>
      <c r="C28270" s="0" t="s">
        <v>2170</v>
      </c>
      <c r="D28270" s="0" t="s">
        <v>515</v>
      </c>
      <c r="E28270" s="0" t="s">
        <v>515</v>
      </c>
      <c r="F28270" s="0" t="s">
        <v>515</v>
      </c>
    </row>
    <row r="28271" customFormat="false" ht="12.8" hidden="false" customHeight="false" outlineLevel="0" collapsed="false">
      <c r="B28271" s="0" t="s">
        <v>41</v>
      </c>
      <c r="C28271" s="0" t="s">
        <v>10490</v>
      </c>
      <c r="D28271" s="0" t="s">
        <v>519</v>
      </c>
      <c r="E28271" s="0" t="s">
        <v>519</v>
      </c>
      <c r="F28271" s="0" t="s">
        <v>519</v>
      </c>
    </row>
    <row r="28273" customFormat="false" ht="12.8" hidden="false" customHeight="false" outlineLevel="0" collapsed="false">
      <c r="A28273" s="0" t="s">
        <v>10491</v>
      </c>
      <c r="B28273" s="0" t="str">
        <f aca="false">HYPERLINK("https://lindat.mff.cuni.cz/services/teitok/pdtc10/index.php?action=vallex&amp;frame=v-w3841f1", "pomyslit si (v-w3841f1)")</f>
        <v>pomyslit si (v-w3841f1)</v>
      </c>
    </row>
    <row r="28274" customFormat="false" ht="12.8" hidden="false" customHeight="false" outlineLevel="0" collapsed="false">
      <c r="B28274" s="0" t="s">
        <v>7</v>
      </c>
    </row>
    <row r="28275" customFormat="false" ht="12.8" hidden="false" customHeight="false" outlineLevel="0" collapsed="false">
      <c r="B28275" s="0" t="s">
        <v>5518</v>
      </c>
    </row>
    <row r="28276" customFormat="false" ht="12.8" hidden="false" customHeight="false" outlineLevel="0" collapsed="false">
      <c r="B28276" s="0" t="s">
        <v>363</v>
      </c>
    </row>
    <row r="28278" customFormat="false" ht="12.8" hidden="false" customHeight="false" outlineLevel="0" collapsed="false">
      <c r="A28278" s="0" t="s">
        <v>10492</v>
      </c>
      <c r="B28278" s="0" t="str">
        <f aca="false">HYPERLINK("https://lindat.mff.cuni.cz/services/teitok/pdtc10/index.php?action=vallex&amp;frame=v-w3818f2", "pomáhat (v-w3818f2)")</f>
        <v>pomáhat (v-w3818f2)</v>
      </c>
    </row>
    <row r="28279" customFormat="false" ht="12.8" hidden="false" customHeight="false" outlineLevel="0" collapsed="false">
      <c r="B28279" s="0" t="s">
        <v>7</v>
      </c>
    </row>
    <row r="28280" customFormat="false" ht="12.8" hidden="false" customHeight="false" outlineLevel="0" collapsed="false">
      <c r="B28280" s="0" t="s">
        <v>9079</v>
      </c>
    </row>
    <row r="28281" customFormat="false" ht="12.8" hidden="false" customHeight="false" outlineLevel="0" collapsed="false">
      <c r="B28281" s="0" t="s">
        <v>48</v>
      </c>
    </row>
    <row r="28283" customFormat="false" ht="12.8" hidden="false" customHeight="false" outlineLevel="0" collapsed="false">
      <c r="A28283" s="0" t="s">
        <v>10493</v>
      </c>
      <c r="B28283" s="0" t="str">
        <f aca="false">HYPERLINK("https://lindat.mff.cuni.cz/services/teitok/pdtc10/index.php?action=vallex&amp;frame=v-w3818hsa_65", "pomáhat (v-w3818hsa_65)")</f>
        <v>pomáhat (v-w3818hsa_65)</v>
      </c>
    </row>
    <row r="28284" customFormat="false" ht="12.8" hidden="false" customHeight="false" outlineLevel="0" collapsed="false">
      <c r="B28284" s="0" t="s">
        <v>6802</v>
      </c>
      <c r="C28284" s="0" t="s">
        <v>6785</v>
      </c>
      <c r="D28284" s="0" t="s">
        <v>6786</v>
      </c>
      <c r="E28284" s="0" t="s">
        <v>6786</v>
      </c>
      <c r="F28284" s="0" t="s">
        <v>6786</v>
      </c>
    </row>
    <row r="28285" customFormat="false" ht="12.8" hidden="false" customHeight="false" outlineLevel="0" collapsed="false">
      <c r="B28285" s="0" t="s">
        <v>48</v>
      </c>
      <c r="C28285" s="0" t="s">
        <v>6787</v>
      </c>
      <c r="D28285" s="0" t="s">
        <v>6788</v>
      </c>
      <c r="E28285" s="0" t="s">
        <v>6788</v>
      </c>
      <c r="F28285" s="0" t="s">
        <v>6788</v>
      </c>
    </row>
    <row r="28286" customFormat="false" ht="12.8" hidden="false" customHeight="false" outlineLevel="0" collapsed="false">
      <c r="B28286" s="0" t="s">
        <v>10494</v>
      </c>
      <c r="C28286" s="0" t="s">
        <v>6790</v>
      </c>
      <c r="D28286" s="0" t="s">
        <v>6791</v>
      </c>
      <c r="E28286" s="0" t="s">
        <v>6791</v>
      </c>
      <c r="F28286" s="0" t="s">
        <v>6791</v>
      </c>
    </row>
    <row r="28288" customFormat="false" ht="12.8" hidden="false" customHeight="false" outlineLevel="0" collapsed="false">
      <c r="A28288" s="0" t="s">
        <v>10493</v>
      </c>
      <c r="B28288" s="0" t="str">
        <f aca="false">HYPERLINK("https://lindat.mff.cuni.cz/services/teitok/pdtc10/index.php?action=vallex&amp;frame=v-w3818f3", "pomáhat (v-w3818f3) - substituted with v-w3818hsa_65")</f>
        <v>pomáhat (v-w3818f3) - substituted with v-w3818hsa_65</v>
      </c>
    </row>
    <row r="28289" customFormat="false" ht="12.8" hidden="false" customHeight="false" outlineLevel="0" collapsed="false">
      <c r="B28289" s="0" t="s">
        <v>6802</v>
      </c>
      <c r="C28289" s="0" t="s">
        <v>10495</v>
      </c>
    </row>
    <row r="28290" customFormat="false" ht="12.8" hidden="false" customHeight="false" outlineLevel="0" collapsed="false">
      <c r="B28290" s="0" t="s">
        <v>48</v>
      </c>
      <c r="C28290" s="0" t="s">
        <v>6787</v>
      </c>
    </row>
    <row r="28291" customFormat="false" ht="12.8" hidden="false" customHeight="false" outlineLevel="0" collapsed="false">
      <c r="B28291" s="0" t="s">
        <v>10494</v>
      </c>
      <c r="C28291" s="0" t="s">
        <v>6790</v>
      </c>
    </row>
    <row r="28293" customFormat="false" ht="12.8" hidden="false" customHeight="false" outlineLevel="0" collapsed="false">
      <c r="A28293" s="0" t="s">
        <v>10496</v>
      </c>
      <c r="B28293" s="0" t="str">
        <f aca="false">HYPERLINK("https://lindat.mff.cuni.cz/services/teitok/pdtc10/index.php?action=vallex&amp;frame=v-w3818f1", "pomáhat (v-w3818f1)")</f>
        <v>pomáhat (v-w3818f1)</v>
      </c>
    </row>
    <row r="28294" customFormat="false" ht="12.8" hidden="false" customHeight="false" outlineLevel="0" collapsed="false">
      <c r="B28294" s="0" t="s">
        <v>7</v>
      </c>
      <c r="C28294" s="0" t="s">
        <v>10497</v>
      </c>
      <c r="D28294" s="0" t="s">
        <v>6786</v>
      </c>
      <c r="E28294" s="0" t="s">
        <v>6786</v>
      </c>
      <c r="F28294" s="0" t="s">
        <v>6786</v>
      </c>
    </row>
    <row r="28295" customFormat="false" ht="12.8" hidden="false" customHeight="false" outlineLevel="0" collapsed="false">
      <c r="B28295" s="0" t="s">
        <v>48</v>
      </c>
      <c r="C28295" s="0" t="s">
        <v>10498</v>
      </c>
      <c r="D28295" s="0" t="s">
        <v>6788</v>
      </c>
      <c r="E28295" s="0" t="s">
        <v>6788</v>
      </c>
      <c r="F28295" s="0" t="s">
        <v>6788</v>
      </c>
    </row>
    <row r="28296" customFormat="false" ht="12.8" hidden="false" customHeight="false" outlineLevel="0" collapsed="false">
      <c r="B28296" s="0" t="s">
        <v>10499</v>
      </c>
      <c r="C28296" s="0" t="s">
        <v>10500</v>
      </c>
      <c r="D28296" s="0" t="s">
        <v>6791</v>
      </c>
      <c r="E28296" s="0" t="s">
        <v>6791</v>
      </c>
      <c r="F28296" s="0" t="s">
        <v>6791</v>
      </c>
    </row>
    <row r="28298" customFormat="false" ht="12.8" hidden="false" customHeight="false" outlineLevel="0" collapsed="false">
      <c r="A28298" s="0" t="s">
        <v>10501</v>
      </c>
      <c r="B28298" s="0" t="str">
        <f aca="false">HYPERLINK("https://lindat.mff.cuni.cz/services/teitok/pdtc10/index.php?action=vallex&amp;frame=v-whsa_356hsa_357", "pomáhat si (v-whsa_356hsa_357)")</f>
        <v>pomáhat si (v-whsa_356hsa_357)</v>
      </c>
    </row>
    <row r="28299" customFormat="false" ht="12.8" hidden="false" customHeight="false" outlineLevel="0" collapsed="false">
      <c r="B28299" s="0" t="s">
        <v>7</v>
      </c>
    </row>
    <row r="28300" customFormat="false" ht="12.8" hidden="false" customHeight="false" outlineLevel="0" collapsed="false">
      <c r="B28300" s="0" t="s">
        <v>207</v>
      </c>
    </row>
    <row r="28301" customFormat="false" ht="12.8" hidden="false" customHeight="false" outlineLevel="0" collapsed="false">
      <c r="B28301" s="0" t="s">
        <v>10502</v>
      </c>
    </row>
    <row r="28303" customFormat="false" ht="12.8" hidden="false" customHeight="false" outlineLevel="0" collapsed="false">
      <c r="A28303" s="0" t="s">
        <v>10503</v>
      </c>
      <c r="B28303" s="0" t="str">
        <f aca="false">HYPERLINK("https://lindat.mff.cuni.cz/services/teitok/pdtc10/index.php?action=vallex&amp;frame=v-w3823f1", "pomíjet (v-w3823f1)")</f>
        <v>pomíjet (v-w3823f1)</v>
      </c>
    </row>
    <row r="28304" customFormat="false" ht="12.8" hidden="false" customHeight="false" outlineLevel="0" collapsed="false">
      <c r="B28304" s="0" t="s">
        <v>7</v>
      </c>
      <c r="D28304" s="0" t="s">
        <v>410</v>
      </c>
      <c r="E28304" s="0" t="s">
        <v>410</v>
      </c>
      <c r="F28304" s="0" t="s">
        <v>410</v>
      </c>
    </row>
    <row r="28305" customFormat="false" ht="12.8" hidden="false" customHeight="false" outlineLevel="0" collapsed="false">
      <c r="B28305" s="0" t="s">
        <v>172</v>
      </c>
      <c r="D28305" s="0" t="s">
        <v>4163</v>
      </c>
      <c r="E28305" s="0" t="s">
        <v>4163</v>
      </c>
      <c r="F28305" s="0" t="s">
        <v>4163</v>
      </c>
    </row>
    <row r="28307" customFormat="false" ht="12.8" hidden="false" customHeight="false" outlineLevel="0" collapsed="false">
      <c r="A28307" s="0" t="s">
        <v>10504</v>
      </c>
      <c r="B28307" s="0" t="str">
        <f aca="false">HYPERLINK("https://lindat.mff.cuni.cz/services/teitok/pdtc10/index.php?action=vallex&amp;frame=v-w3823f2", "pomíjet (v-w3823f2)")</f>
        <v>pomíjet (v-w3823f2)</v>
      </c>
    </row>
    <row r="28308" customFormat="false" ht="12.8" hidden="false" customHeight="false" outlineLevel="0" collapsed="false">
      <c r="B28308" s="0" t="s">
        <v>7</v>
      </c>
      <c r="C28308" s="0" t="s">
        <v>247</v>
      </c>
      <c r="D28308" s="0" t="s">
        <v>396</v>
      </c>
      <c r="E28308" s="0" t="s">
        <v>396</v>
      </c>
      <c r="F28308" s="0" t="s">
        <v>396</v>
      </c>
    </row>
    <row r="28310" customFormat="false" ht="12.8" hidden="false" customHeight="false" outlineLevel="0" collapsed="false">
      <c r="A28310" s="0" t="s">
        <v>10505</v>
      </c>
      <c r="B28310" s="0" t="str">
        <f aca="false">HYPERLINK("https://lindat.mff.cuni.cz/services/teitok/pdtc10/index.php?action=vallex&amp;frame=v-w3844f1", "pomýšlet (v-w3844f1)")</f>
        <v>pomýšlet (v-w3844f1)</v>
      </c>
    </row>
    <row r="28311" customFormat="false" ht="12.8" hidden="false" customHeight="false" outlineLevel="0" collapsed="false">
      <c r="B28311" s="0" t="s">
        <v>7</v>
      </c>
      <c r="C28311" s="0" t="s">
        <v>10506</v>
      </c>
      <c r="D28311" s="0" t="s">
        <v>515</v>
      </c>
      <c r="E28311" s="0" t="s">
        <v>515</v>
      </c>
      <c r="F28311" s="0" t="s">
        <v>515</v>
      </c>
    </row>
    <row r="28312" customFormat="false" ht="12.8" hidden="false" customHeight="false" outlineLevel="0" collapsed="false">
      <c r="B28312" s="0" t="s">
        <v>41</v>
      </c>
      <c r="C28312" s="0" t="s">
        <v>10507</v>
      </c>
      <c r="D28312" s="0" t="s">
        <v>519</v>
      </c>
      <c r="E28312" s="0" t="s">
        <v>519</v>
      </c>
      <c r="F28312" s="0" t="s">
        <v>519</v>
      </c>
    </row>
    <row r="28314" customFormat="false" ht="12.8" hidden="false" customHeight="false" outlineLevel="0" collapsed="false">
      <c r="A28314" s="0" t="s">
        <v>10508</v>
      </c>
      <c r="B28314" s="0" t="str">
        <f aca="false">HYPERLINK("https://lindat.mff.cuni.cz/services/teitok/pdtc10/index.php?action=vallex&amp;frame=v-whsa_1105f1_ZU", "poměřit (v-whsa_1105f1_ZU)")</f>
        <v>poměřit (v-whsa_1105f1_ZU)</v>
      </c>
    </row>
    <row r="28315" customFormat="false" ht="12.8" hidden="false" customHeight="false" outlineLevel="0" collapsed="false">
      <c r="B28315" s="0" t="s">
        <v>7</v>
      </c>
      <c r="C28315" s="0" t="s">
        <v>191</v>
      </c>
    </row>
    <row r="28316" customFormat="false" ht="12.8" hidden="false" customHeight="false" outlineLevel="0" collapsed="false">
      <c r="B28316" s="0" t="s">
        <v>14</v>
      </c>
      <c r="C28316" s="0" t="s">
        <v>120</v>
      </c>
    </row>
    <row r="28317" customFormat="false" ht="12.8" hidden="false" customHeight="false" outlineLevel="0" collapsed="false">
      <c r="B28317" s="0" t="s">
        <v>3086</v>
      </c>
    </row>
    <row r="28319" customFormat="false" ht="12.8" hidden="false" customHeight="false" outlineLevel="0" collapsed="false">
      <c r="A28319" s="0" t="s">
        <v>10508</v>
      </c>
      <c r="B28319" s="0" t="str">
        <f aca="false">HYPERLINK("https://lindat.mff.cuni.cz/services/teitok/pdtc10/index.php?action=vallex&amp;frame=v-whsa_1105hsa_1106", "poměřit (v-whsa_1105hsa_1106) - substituted with v-whsa_1105f1_ZU")</f>
        <v>poměřit (v-whsa_1105hsa_1106) - substituted with v-whsa_1105f1_ZU</v>
      </c>
    </row>
    <row r="28320" customFormat="false" ht="12.8" hidden="false" customHeight="false" outlineLevel="0" collapsed="false">
      <c r="B28320" s="0" t="s">
        <v>7</v>
      </c>
    </row>
    <row r="28321" customFormat="false" ht="12.8" hidden="false" customHeight="false" outlineLevel="0" collapsed="false">
      <c r="B28321" s="0" t="s">
        <v>14</v>
      </c>
    </row>
    <row r="28322" customFormat="false" ht="12.8" hidden="false" customHeight="false" outlineLevel="0" collapsed="false">
      <c r="B28322" s="0" t="s">
        <v>3086</v>
      </c>
    </row>
    <row r="28324" customFormat="false" ht="12.8" hidden="false" customHeight="false" outlineLevel="0" collapsed="false">
      <c r="A28324" s="0" t="s">
        <v>10509</v>
      </c>
      <c r="B28324" s="0" t="str">
        <f aca="false">HYPERLINK("https://lindat.mff.cuni.cz/services/teitok/pdtc10/index.php?action=vallex&amp;frame=v-whsa_1105f2_ZU", "poměřit (v-whsa_1105f2_ZU)")</f>
        <v>poměřit (v-whsa_1105f2_ZU)</v>
      </c>
    </row>
    <row r="28325" customFormat="false" ht="12.8" hidden="false" customHeight="false" outlineLevel="0" collapsed="false">
      <c r="B28325" s="0" t="s">
        <v>7</v>
      </c>
    </row>
    <row r="28326" customFormat="false" ht="12.8" hidden="false" customHeight="false" outlineLevel="0" collapsed="false">
      <c r="B28326" s="0" t="s">
        <v>14</v>
      </c>
    </row>
    <row r="28328" customFormat="false" ht="12.8" hidden="false" customHeight="false" outlineLevel="0" collapsed="false">
      <c r="A28328" s="0" t="s">
        <v>10510</v>
      </c>
      <c r="B28328" s="0" t="str">
        <f aca="false">HYPERLINK("https://lindat.mff.cuni.cz/services/teitok/pdtc10/index.php?action=vallex&amp;frame=v-w3822f2", "poměřovat (v-w3822f2)")</f>
        <v>poměřovat (v-w3822f2)</v>
      </c>
    </row>
    <row r="28329" customFormat="false" ht="12.8" hidden="false" customHeight="false" outlineLevel="0" collapsed="false">
      <c r="B28329" s="0" t="s">
        <v>7</v>
      </c>
      <c r="C28329" s="0" t="s">
        <v>10511</v>
      </c>
    </row>
    <row r="28330" customFormat="false" ht="12.8" hidden="false" customHeight="false" outlineLevel="0" collapsed="false">
      <c r="B28330" s="0" t="s">
        <v>14</v>
      </c>
      <c r="C28330" s="0" t="s">
        <v>152</v>
      </c>
    </row>
    <row r="28331" customFormat="false" ht="12.8" hidden="false" customHeight="false" outlineLevel="0" collapsed="false">
      <c r="B28331" s="0" t="s">
        <v>3086</v>
      </c>
      <c r="C28331" s="0" t="s">
        <v>182</v>
      </c>
    </row>
    <row r="28333" customFormat="false" ht="12.8" hidden="false" customHeight="false" outlineLevel="0" collapsed="false">
      <c r="A28333" s="0" t="s">
        <v>10512</v>
      </c>
      <c r="B28333" s="0" t="str">
        <f aca="false">HYPERLINK("https://lindat.mff.cuni.cz/services/teitok/pdtc10/index.php?action=vallex&amp;frame=v-w3822f1", "poměřovat (v-w3822f1)")</f>
        <v>poměřovat (v-w3822f1)</v>
      </c>
    </row>
    <row r="28334" customFormat="false" ht="12.8" hidden="false" customHeight="false" outlineLevel="0" collapsed="false">
      <c r="B28334" s="0" t="s">
        <v>7</v>
      </c>
      <c r="C28334" s="0" t="s">
        <v>10511</v>
      </c>
      <c r="D28334" s="0" t="s">
        <v>6222</v>
      </c>
      <c r="E28334" s="0" t="s">
        <v>6222</v>
      </c>
      <c r="F28334" s="0" t="s">
        <v>6222</v>
      </c>
    </row>
    <row r="28335" customFormat="false" ht="12.8" hidden="false" customHeight="false" outlineLevel="0" collapsed="false">
      <c r="B28335" s="0" t="s">
        <v>14</v>
      </c>
      <c r="C28335" s="0" t="s">
        <v>152</v>
      </c>
      <c r="D28335" s="0" t="s">
        <v>342</v>
      </c>
      <c r="E28335" s="0" t="s">
        <v>342</v>
      </c>
      <c r="F28335" s="0" t="s">
        <v>342</v>
      </c>
    </row>
    <row r="28337" customFormat="false" ht="12.8" hidden="false" customHeight="false" outlineLevel="0" collapsed="false">
      <c r="A28337" s="0" t="s">
        <v>10513</v>
      </c>
      <c r="B28337" s="0" t="str">
        <f aca="false">HYPERLINK("https://lindat.mff.cuni.cz/services/teitok/pdtc10/index.php?action=vallex&amp;frame=v-w3846f1", "ponaučit (v-w3846f1)")</f>
        <v>ponaučit (v-w3846f1)</v>
      </c>
    </row>
    <row r="28338" customFormat="false" ht="12.8" hidden="false" customHeight="false" outlineLevel="0" collapsed="false">
      <c r="B28338" s="0" t="s">
        <v>7</v>
      </c>
    </row>
    <row r="28339" customFormat="false" ht="12.8" hidden="false" customHeight="false" outlineLevel="0" collapsed="false">
      <c r="B28339" s="0" t="s">
        <v>10514</v>
      </c>
    </row>
    <row r="28340" customFormat="false" ht="12.8" hidden="false" customHeight="false" outlineLevel="0" collapsed="false">
      <c r="B28340" s="0" t="s">
        <v>81</v>
      </c>
    </row>
    <row r="28342" customFormat="false" ht="12.8" hidden="false" customHeight="false" outlineLevel="0" collapsed="false">
      <c r="A28342" s="0" t="s">
        <v>10515</v>
      </c>
      <c r="B28342" s="0" t="str">
        <f aca="false">HYPERLINK("https://lindat.mff.cuni.cz/services/teitok/pdtc10/index.php?action=vallex&amp;frame=v-w3848f4", "ponechat (v-w3848f4)")</f>
        <v>ponechat (v-w3848f4)</v>
      </c>
    </row>
    <row r="28343" customFormat="false" ht="12.8" hidden="false" customHeight="false" outlineLevel="0" collapsed="false">
      <c r="B28343" s="0" t="s">
        <v>7</v>
      </c>
      <c r="C28343" s="0" t="s">
        <v>31</v>
      </c>
    </row>
    <row r="28344" customFormat="false" ht="12.8" hidden="false" customHeight="false" outlineLevel="0" collapsed="false">
      <c r="B28344" s="0" t="s">
        <v>10516</v>
      </c>
      <c r="C28344" s="0" t="s">
        <v>44</v>
      </c>
    </row>
    <row r="28345" customFormat="false" ht="12.8" hidden="false" customHeight="false" outlineLevel="0" collapsed="false">
      <c r="B28345" s="0" t="s">
        <v>7370</v>
      </c>
      <c r="C28345" s="0" t="s">
        <v>10517</v>
      </c>
    </row>
    <row r="28347" customFormat="false" ht="12.8" hidden="false" customHeight="false" outlineLevel="0" collapsed="false">
      <c r="A28347" s="0" t="s">
        <v>10518</v>
      </c>
      <c r="B28347" s="0" t="str">
        <f aca="false">HYPERLINK("https://lindat.mff.cuni.cz/services/teitok/pdtc10/index.php?action=vallex&amp;frame=v-w3848f1", "ponechat (v-w3848f1)")</f>
        <v>ponechat (v-w3848f1)</v>
      </c>
    </row>
    <row r="28348" customFormat="false" ht="12.8" hidden="false" customHeight="false" outlineLevel="0" collapsed="false">
      <c r="B28348" s="0" t="s">
        <v>7</v>
      </c>
      <c r="C28348" s="0" t="s">
        <v>10519</v>
      </c>
      <c r="D28348" s="0" t="s">
        <v>10520</v>
      </c>
      <c r="E28348" s="0" t="s">
        <v>9604</v>
      </c>
      <c r="F28348" s="0" t="s">
        <v>9604</v>
      </c>
    </row>
    <row r="28349" customFormat="false" ht="12.8" hidden="false" customHeight="false" outlineLevel="0" collapsed="false">
      <c r="B28349" s="0" t="s">
        <v>14</v>
      </c>
      <c r="C28349" s="0" t="s">
        <v>10521</v>
      </c>
      <c r="D28349" s="0" t="s">
        <v>7435</v>
      </c>
      <c r="E28349" s="0" t="s">
        <v>7436</v>
      </c>
      <c r="F28349" s="0" t="s">
        <v>7436</v>
      </c>
    </row>
    <row r="28350" customFormat="false" ht="12.8" hidden="false" customHeight="false" outlineLevel="0" collapsed="false">
      <c r="B28350" s="0" t="s">
        <v>48</v>
      </c>
      <c r="C28350" s="0" t="s">
        <v>10522</v>
      </c>
      <c r="D28350" s="0" t="s">
        <v>10523</v>
      </c>
      <c r="E28350" s="0" t="s">
        <v>10524</v>
      </c>
      <c r="F28350" s="0" t="s">
        <v>10524</v>
      </c>
    </row>
    <row r="28352" customFormat="false" ht="12.8" hidden="false" customHeight="false" outlineLevel="0" collapsed="false">
      <c r="A28352" s="0" t="s">
        <v>10525</v>
      </c>
      <c r="B28352" s="0" t="str">
        <f aca="false">HYPERLINK("https://lindat.mff.cuni.cz/services/teitok/pdtc10/index.php?action=vallex&amp;frame=v-w3848f7", "ponechat (v-w3848f7)")</f>
        <v>ponechat (v-w3848f7)</v>
      </c>
    </row>
    <row r="28353" customFormat="false" ht="12.8" hidden="false" customHeight="false" outlineLevel="0" collapsed="false">
      <c r="B28353" s="0" t="s">
        <v>7</v>
      </c>
    </row>
    <row r="28354" customFormat="false" ht="12.8" hidden="false" customHeight="false" outlineLevel="0" collapsed="false">
      <c r="B28354" s="0" t="s">
        <v>14</v>
      </c>
    </row>
    <row r="28355" customFormat="false" ht="12.8" hidden="false" customHeight="false" outlineLevel="0" collapsed="false">
      <c r="B28355" s="0" t="s">
        <v>48</v>
      </c>
    </row>
    <row r="28357" customFormat="false" ht="12.8" hidden="false" customHeight="false" outlineLevel="0" collapsed="false">
      <c r="A28357" s="0" t="s">
        <v>10526</v>
      </c>
      <c r="B28357" s="0" t="str">
        <f aca="false">HYPERLINK("https://lindat.mff.cuni.cz/services/teitok/pdtc10/index.php?action=vallex&amp;frame=v-w3848f10_ZU", "ponechat (v-w3848f10_ZU)")</f>
        <v>ponechat (v-w3848f10_ZU)</v>
      </c>
    </row>
    <row r="28358" customFormat="false" ht="12.8" hidden="false" customHeight="false" outlineLevel="0" collapsed="false">
      <c r="B28358" s="0" t="s">
        <v>7</v>
      </c>
      <c r="C28358" s="0" t="s">
        <v>10527</v>
      </c>
      <c r="D28358" s="0" t="s">
        <v>2629</v>
      </c>
      <c r="E28358" s="0" t="s">
        <v>2629</v>
      </c>
      <c r="F28358" s="0" t="s">
        <v>2629</v>
      </c>
    </row>
    <row r="28359" customFormat="false" ht="12.8" hidden="false" customHeight="false" outlineLevel="0" collapsed="false">
      <c r="B28359" s="0" t="s">
        <v>14</v>
      </c>
      <c r="C28359" s="0" t="s">
        <v>10528</v>
      </c>
      <c r="D28359" s="0" t="s">
        <v>7387</v>
      </c>
      <c r="E28359" s="0" t="s">
        <v>7387</v>
      </c>
      <c r="F28359" s="0" t="s">
        <v>7387</v>
      </c>
    </row>
    <row r="28360" customFormat="false" ht="12.8" hidden="false" customHeight="false" outlineLevel="0" collapsed="false">
      <c r="B28360" s="0" t="s">
        <v>7380</v>
      </c>
      <c r="C28360" s="0" t="s">
        <v>10529</v>
      </c>
      <c r="D28360" s="0" t="s">
        <v>7389</v>
      </c>
      <c r="E28360" s="0" t="s">
        <v>7389</v>
      </c>
      <c r="F28360" s="0" t="s">
        <v>7389</v>
      </c>
    </row>
    <row r="28362" customFormat="false" ht="12.8" hidden="false" customHeight="false" outlineLevel="0" collapsed="false">
      <c r="A28362" s="0" t="s">
        <v>10526</v>
      </c>
      <c r="B28362" s="0" t="str">
        <f aca="false">HYPERLINK("https://lindat.mff.cuni.cz/services/teitok/pdtc10/index.php?action=vallex&amp;frame=v-w3848f8", "ponechat (v-w3848f8) - substituted with v-w3848f10_ZU")</f>
        <v>ponechat (v-w3848f8) - substituted with v-w3848f10_ZU</v>
      </c>
    </row>
    <row r="28363" customFormat="false" ht="12.8" hidden="false" customHeight="false" outlineLevel="0" collapsed="false">
      <c r="B28363" s="0" t="s">
        <v>7</v>
      </c>
      <c r="C28363" s="0" t="s">
        <v>10530</v>
      </c>
    </row>
    <row r="28364" customFormat="false" ht="12.8" hidden="false" customHeight="false" outlineLevel="0" collapsed="false">
      <c r="B28364" s="0" t="s">
        <v>14</v>
      </c>
      <c r="C28364" s="0" t="s">
        <v>10531</v>
      </c>
    </row>
    <row r="28365" customFormat="false" ht="12.8" hidden="false" customHeight="false" outlineLevel="0" collapsed="false">
      <c r="B28365" s="0" t="s">
        <v>7380</v>
      </c>
      <c r="C28365" s="0" t="s">
        <v>10532</v>
      </c>
    </row>
    <row r="28367" customFormat="false" ht="12.8" hidden="false" customHeight="false" outlineLevel="0" collapsed="false">
      <c r="A28367" s="0" t="s">
        <v>10526</v>
      </c>
      <c r="B28367" s="0" t="str">
        <f aca="false">HYPERLINK("https://lindat.mff.cuni.cz/services/teitok/pdtc10/index.php?action=vallex&amp;frame=v-w3848f9_ZU", "ponechat (v-w3848f9_ZU) - substituted with v-w3848f10_ZU")</f>
        <v>ponechat (v-w3848f9_ZU) - substituted with v-w3848f10_ZU</v>
      </c>
    </row>
    <row r="28368" customFormat="false" ht="12.8" hidden="false" customHeight="false" outlineLevel="0" collapsed="false">
      <c r="B28368" s="0" t="s">
        <v>7</v>
      </c>
      <c r="C28368" s="0" t="s">
        <v>10533</v>
      </c>
    </row>
    <row r="28369" customFormat="false" ht="12.8" hidden="false" customHeight="false" outlineLevel="0" collapsed="false">
      <c r="B28369" s="0" t="s">
        <v>14</v>
      </c>
      <c r="C28369" s="0" t="s">
        <v>10534</v>
      </c>
    </row>
    <row r="28370" customFormat="false" ht="12.8" hidden="false" customHeight="false" outlineLevel="0" collapsed="false">
      <c r="B28370" s="0" t="s">
        <v>7380</v>
      </c>
      <c r="C28370" s="0" t="s">
        <v>7442</v>
      </c>
    </row>
    <row r="28372" customFormat="false" ht="12.8" hidden="false" customHeight="false" outlineLevel="0" collapsed="false">
      <c r="A28372" s="0" t="s">
        <v>10535</v>
      </c>
      <c r="B28372" s="0" t="str">
        <f aca="false">HYPERLINK("https://lindat.mff.cuni.cz/services/teitok/pdtc10/index.php?action=vallex&amp;frame=v-w3848f3", "ponechat (v-w3848f3)")</f>
        <v>ponechat (v-w3848f3)</v>
      </c>
    </row>
    <row r="28373" customFormat="false" ht="12.8" hidden="false" customHeight="false" outlineLevel="0" collapsed="false">
      <c r="B28373" s="0" t="s">
        <v>7</v>
      </c>
      <c r="C28373" s="0" t="s">
        <v>351</v>
      </c>
    </row>
    <row r="28374" customFormat="false" ht="12.8" hidden="false" customHeight="false" outlineLevel="0" collapsed="false">
      <c r="B28374" s="0" t="s">
        <v>10536</v>
      </c>
      <c r="C28374" s="0" t="s">
        <v>10537</v>
      </c>
    </row>
    <row r="28375" customFormat="false" ht="12.8" hidden="false" customHeight="false" outlineLevel="0" collapsed="false">
      <c r="B28375" s="0" t="s">
        <v>2804</v>
      </c>
      <c r="C28375" s="0" t="s">
        <v>10538</v>
      </c>
    </row>
    <row r="28377" customFormat="false" ht="12.8" hidden="false" customHeight="false" outlineLevel="0" collapsed="false">
      <c r="A28377" s="0" t="s">
        <v>10539</v>
      </c>
      <c r="B28377" s="0" t="str">
        <f aca="false">HYPERLINK("https://lindat.mff.cuni.cz/services/teitok/pdtc10/index.php?action=vallex&amp;frame=v-w3848f2", "ponechat (v-w3848f2)")</f>
        <v>ponechat (v-w3848f2)</v>
      </c>
    </row>
    <row r="28378" customFormat="false" ht="12.8" hidden="false" customHeight="false" outlineLevel="0" collapsed="false">
      <c r="B28378" s="0" t="s">
        <v>7</v>
      </c>
      <c r="C28378" s="0" t="s">
        <v>10540</v>
      </c>
    </row>
    <row r="28379" customFormat="false" ht="12.8" hidden="false" customHeight="false" outlineLevel="0" collapsed="false">
      <c r="B28379" s="0" t="s">
        <v>14</v>
      </c>
      <c r="C28379" s="0" t="s">
        <v>6840</v>
      </c>
    </row>
    <row r="28380" customFormat="false" ht="12.8" hidden="false" customHeight="false" outlineLevel="0" collapsed="false">
      <c r="B28380" s="0" t="s">
        <v>11</v>
      </c>
      <c r="C28380" s="0" t="s">
        <v>7451</v>
      </c>
    </row>
    <row r="28382" customFormat="false" ht="12.8" hidden="false" customHeight="false" outlineLevel="0" collapsed="false">
      <c r="A28382" s="0" t="s">
        <v>10541</v>
      </c>
      <c r="B28382" s="0" t="str">
        <f aca="false">HYPERLINK("https://lindat.mff.cuni.cz/services/teitok/pdtc10/index.php?action=vallex&amp;frame=v-w3848f5", "ponechat (v-w3848f5)")</f>
        <v>ponechat (v-w3848f5)</v>
      </c>
    </row>
    <row r="28383" customFormat="false" ht="12.8" hidden="false" customHeight="false" outlineLevel="0" collapsed="false">
      <c r="B28383" s="0" t="s">
        <v>7</v>
      </c>
    </row>
    <row r="28384" customFormat="false" ht="12.8" hidden="false" customHeight="false" outlineLevel="0" collapsed="false">
      <c r="B28384" s="0" t="s">
        <v>14</v>
      </c>
    </row>
    <row r="28385" customFormat="false" ht="12.8" hidden="false" customHeight="false" outlineLevel="0" collapsed="false">
      <c r="B28385" s="0" t="s">
        <v>7962</v>
      </c>
    </row>
    <row r="28387" customFormat="false" ht="12.8" hidden="false" customHeight="false" outlineLevel="0" collapsed="false">
      <c r="A28387" s="0" t="s">
        <v>10542</v>
      </c>
      <c r="B28387" s="0" t="str">
        <f aca="false">HYPERLINK("https://lindat.mff.cuni.cz/services/teitok/pdtc10/index.php?action=vallex&amp;frame=v-w3848f6", "ponechat (v-w3848f6)")</f>
        <v>ponechat (v-w3848f6)</v>
      </c>
    </row>
    <row r="28388" customFormat="false" ht="12.8" hidden="false" customHeight="false" outlineLevel="0" collapsed="false">
      <c r="B28388" s="0" t="s">
        <v>7</v>
      </c>
    </row>
    <row r="28389" customFormat="false" ht="12.8" hidden="false" customHeight="false" outlineLevel="0" collapsed="false">
      <c r="B28389" s="0" t="s">
        <v>10543</v>
      </c>
    </row>
    <row r="28390" customFormat="false" ht="12.8" hidden="false" customHeight="false" outlineLevel="0" collapsed="false">
      <c r="B28390" s="0" t="s">
        <v>14</v>
      </c>
    </row>
    <row r="28391" customFormat="false" ht="12.8" hidden="false" customHeight="false" outlineLevel="0" collapsed="false">
      <c r="B28391" s="0" t="s">
        <v>48</v>
      </c>
    </row>
    <row r="28393" customFormat="false" ht="12.8" hidden="false" customHeight="false" outlineLevel="0" collapsed="false">
      <c r="A28393" s="0" t="s">
        <v>10544</v>
      </c>
      <c r="B28393" s="0" t="str">
        <f aca="false">HYPERLINK("https://lindat.mff.cuni.cz/services/teitok/pdtc10/index.php?action=vallex&amp;frame=v-w3848f11_ZU", "ponechat (v-w3848f11_ZU)")</f>
        <v>ponechat (v-w3848f11_ZU)</v>
      </c>
    </row>
    <row r="28394" customFormat="false" ht="12.8" hidden="false" customHeight="false" outlineLevel="0" collapsed="false">
      <c r="B28394" s="0" t="s">
        <v>7</v>
      </c>
      <c r="C28394" s="0" t="s">
        <v>2736</v>
      </c>
    </row>
    <row r="28395" customFormat="false" ht="12.8" hidden="false" customHeight="false" outlineLevel="0" collapsed="false">
      <c r="B28395" s="0" t="s">
        <v>14</v>
      </c>
      <c r="C28395" s="0" t="s">
        <v>7412</v>
      </c>
    </row>
    <row r="28396" customFormat="false" ht="12.8" hidden="false" customHeight="false" outlineLevel="0" collapsed="false">
      <c r="B28396" s="0" t="s">
        <v>10545</v>
      </c>
    </row>
    <row r="28398" customFormat="false" ht="12.8" hidden="false" customHeight="false" outlineLevel="0" collapsed="false">
      <c r="A28398" s="0" t="s">
        <v>10546</v>
      </c>
      <c r="B28398" s="0" t="str">
        <f aca="false">HYPERLINK("https://lindat.mff.cuni.cz/services/teitok/pdtc10/index.php?action=vallex&amp;frame=v-w3849f3", "ponechávat (v-w3849f3)")</f>
        <v>ponechávat (v-w3849f3)</v>
      </c>
    </row>
    <row r="28399" customFormat="false" ht="12.8" hidden="false" customHeight="false" outlineLevel="0" collapsed="false">
      <c r="B28399" s="0" t="s">
        <v>7</v>
      </c>
      <c r="C28399" s="0" t="s">
        <v>31</v>
      </c>
    </row>
    <row r="28400" customFormat="false" ht="12.8" hidden="false" customHeight="false" outlineLevel="0" collapsed="false">
      <c r="B28400" s="0" t="s">
        <v>10547</v>
      </c>
      <c r="C28400" s="0" t="s">
        <v>1405</v>
      </c>
    </row>
    <row r="28401" customFormat="false" ht="12.8" hidden="false" customHeight="false" outlineLevel="0" collapsed="false">
      <c r="B28401" s="0" t="s">
        <v>7370</v>
      </c>
      <c r="C28401" s="0" t="s">
        <v>7373</v>
      </c>
    </row>
    <row r="28403" customFormat="false" ht="12.8" hidden="false" customHeight="false" outlineLevel="0" collapsed="false">
      <c r="A28403" s="0" t="s">
        <v>10548</v>
      </c>
      <c r="B28403" s="0" t="str">
        <f aca="false">HYPERLINK("https://lindat.mff.cuni.cz/services/teitok/pdtc10/index.php?action=vallex&amp;frame=v-w3849f1", "ponechávat (v-w3849f1)")</f>
        <v>ponechávat (v-w3849f1)</v>
      </c>
    </row>
    <row r="28404" customFormat="false" ht="12.8" hidden="false" customHeight="false" outlineLevel="0" collapsed="false">
      <c r="B28404" s="0" t="s">
        <v>7</v>
      </c>
      <c r="C28404" s="0" t="s">
        <v>354</v>
      </c>
      <c r="D28404" s="0" t="s">
        <v>10520</v>
      </c>
      <c r="E28404" s="0" t="s">
        <v>9604</v>
      </c>
      <c r="F28404" s="0" t="s">
        <v>9604</v>
      </c>
    </row>
    <row r="28405" customFormat="false" ht="12.8" hidden="false" customHeight="false" outlineLevel="0" collapsed="false">
      <c r="B28405" s="0" t="s">
        <v>14</v>
      </c>
      <c r="C28405" s="0" t="s">
        <v>2993</v>
      </c>
      <c r="D28405" s="0" t="s">
        <v>7435</v>
      </c>
      <c r="E28405" s="0" t="s">
        <v>7436</v>
      </c>
      <c r="F28405" s="0" t="s">
        <v>7436</v>
      </c>
    </row>
    <row r="28406" customFormat="false" ht="12.8" hidden="false" customHeight="false" outlineLevel="0" collapsed="false">
      <c r="B28406" s="0" t="s">
        <v>48</v>
      </c>
      <c r="C28406" s="0" t="s">
        <v>10549</v>
      </c>
      <c r="D28406" s="0" t="s">
        <v>10523</v>
      </c>
      <c r="E28406" s="0" t="s">
        <v>10524</v>
      </c>
      <c r="F28406" s="0" t="s">
        <v>10524</v>
      </c>
    </row>
    <row r="28408" customFormat="false" ht="12.8" hidden="false" customHeight="false" outlineLevel="0" collapsed="false">
      <c r="A28408" s="0" t="s">
        <v>10550</v>
      </c>
      <c r="B28408" s="0" t="str">
        <f aca="false">HYPERLINK("https://lindat.mff.cuni.cz/services/teitok/pdtc10/index.php?action=vallex&amp;frame=v-w3849f4", "ponechávat (v-w3849f4)")</f>
        <v>ponechávat (v-w3849f4)</v>
      </c>
    </row>
    <row r="28409" customFormat="false" ht="12.8" hidden="false" customHeight="false" outlineLevel="0" collapsed="false">
      <c r="B28409" s="0" t="s">
        <v>7</v>
      </c>
      <c r="C28409" s="0" t="s">
        <v>1637</v>
      </c>
    </row>
    <row r="28410" customFormat="false" ht="12.8" hidden="false" customHeight="false" outlineLevel="0" collapsed="false">
      <c r="B28410" s="0" t="s">
        <v>14</v>
      </c>
      <c r="C28410" s="0" t="s">
        <v>5092</v>
      </c>
    </row>
    <row r="28411" customFormat="false" ht="12.8" hidden="false" customHeight="false" outlineLevel="0" collapsed="false">
      <c r="B28411" s="0" t="s">
        <v>10551</v>
      </c>
      <c r="C28411" s="0" t="s">
        <v>7442</v>
      </c>
    </row>
    <row r="28413" customFormat="false" ht="12.8" hidden="false" customHeight="false" outlineLevel="0" collapsed="false">
      <c r="A28413" s="0" t="s">
        <v>10552</v>
      </c>
      <c r="B28413" s="0" t="str">
        <f aca="false">HYPERLINK("https://lindat.mff.cuni.cz/services/teitok/pdtc10/index.php?action=vallex&amp;frame=v-w3849f2", "ponechávat (v-w3849f2)")</f>
        <v>ponechávat (v-w3849f2)</v>
      </c>
    </row>
    <row r="28414" customFormat="false" ht="12.8" hidden="false" customHeight="false" outlineLevel="0" collapsed="false">
      <c r="B28414" s="0" t="s">
        <v>7</v>
      </c>
      <c r="C28414" s="0" t="s">
        <v>126</v>
      </c>
    </row>
    <row r="28415" customFormat="false" ht="12.8" hidden="false" customHeight="false" outlineLevel="0" collapsed="false">
      <c r="B28415" s="0" t="s">
        <v>14</v>
      </c>
      <c r="C28415" s="0" t="s">
        <v>1146</v>
      </c>
    </row>
    <row r="28416" customFormat="false" ht="12.8" hidden="false" customHeight="false" outlineLevel="0" collapsed="false">
      <c r="B28416" s="0" t="s">
        <v>11</v>
      </c>
      <c r="C28416" s="0" t="s">
        <v>10553</v>
      </c>
    </row>
    <row r="28418" customFormat="false" ht="12.8" hidden="false" customHeight="false" outlineLevel="0" collapsed="false">
      <c r="A28418" s="0" t="s">
        <v>10554</v>
      </c>
      <c r="B28418" s="0" t="str">
        <f aca="false">HYPERLINK("https://lindat.mff.cuni.cz/services/teitok/pdtc10/index.php?action=vallex&amp;frame=v-w3849f5_ZU", "ponechávat (v-w3849f5_ZU)")</f>
        <v>ponechávat (v-w3849f5_ZU)</v>
      </c>
    </row>
    <row r="28419" customFormat="false" ht="12.8" hidden="false" customHeight="false" outlineLevel="0" collapsed="false">
      <c r="B28419" s="0" t="s">
        <v>7</v>
      </c>
      <c r="C28419" s="0" t="s">
        <v>1637</v>
      </c>
    </row>
    <row r="28420" customFormat="false" ht="12.8" hidden="false" customHeight="false" outlineLevel="0" collapsed="false">
      <c r="B28420" s="0" t="s">
        <v>14</v>
      </c>
      <c r="C28420" s="0" t="s">
        <v>5092</v>
      </c>
    </row>
    <row r="28421" customFormat="false" ht="12.8" hidden="false" customHeight="false" outlineLevel="0" collapsed="false">
      <c r="B28421" s="0" t="s">
        <v>10555</v>
      </c>
      <c r="C28421" s="0" t="s">
        <v>10556</v>
      </c>
    </row>
    <row r="28423" customFormat="false" ht="12.8" hidden="false" customHeight="false" outlineLevel="0" collapsed="false">
      <c r="A28423" s="0" t="s">
        <v>10554</v>
      </c>
      <c r="B28423" s="0" t="str">
        <f aca="false">HYPERLINK("https://lindat.mff.cuni.cz/services/teitok/pdtc10/index.php?action=vallex&amp;frame=v-w3849hsa_1239", "ponechávat (v-w3849hsa_1239) - substituted with v-w3849f5_ZU")</f>
        <v>ponechávat (v-w3849hsa_1239) - substituted with v-w3849f5_ZU</v>
      </c>
    </row>
    <row r="28424" customFormat="false" ht="12.8" hidden="false" customHeight="false" outlineLevel="0" collapsed="false">
      <c r="B28424" s="0" t="s">
        <v>7</v>
      </c>
    </row>
    <row r="28425" customFormat="false" ht="12.8" hidden="false" customHeight="false" outlineLevel="0" collapsed="false">
      <c r="B28425" s="0" t="s">
        <v>14</v>
      </c>
    </row>
    <row r="28426" customFormat="false" ht="12.8" hidden="false" customHeight="false" outlineLevel="0" collapsed="false">
      <c r="B28426" s="0" t="s">
        <v>10555</v>
      </c>
    </row>
    <row r="28428" customFormat="false" ht="12.8" hidden="false" customHeight="false" outlineLevel="0" collapsed="false">
      <c r="A28428" s="0" t="s">
        <v>10557</v>
      </c>
      <c r="B28428" s="0" t="str">
        <f aca="false">HYPERLINK("https://lindat.mff.cuni.cz/services/teitok/pdtc10/index.php?action=vallex&amp;frame=v-w3852f1", "poničit (v-w3852f1)")</f>
        <v>poničit (v-w3852f1)</v>
      </c>
    </row>
    <row r="28429" customFormat="false" ht="12.8" hidden="false" customHeight="false" outlineLevel="0" collapsed="false">
      <c r="B28429" s="0" t="s">
        <v>7</v>
      </c>
      <c r="C28429" s="0" t="s">
        <v>10558</v>
      </c>
      <c r="D28429" s="0" t="s">
        <v>10559</v>
      </c>
      <c r="E28429" s="0" t="s">
        <v>10560</v>
      </c>
      <c r="F28429" s="0" t="s">
        <v>10560</v>
      </c>
    </row>
    <row r="28430" customFormat="false" ht="12.8" hidden="false" customHeight="false" outlineLevel="0" collapsed="false">
      <c r="B28430" s="0" t="s">
        <v>14</v>
      </c>
      <c r="C28430" s="0" t="s">
        <v>47</v>
      </c>
      <c r="D28430" s="0" t="s">
        <v>10561</v>
      </c>
      <c r="E28430" s="0" t="s">
        <v>10562</v>
      </c>
      <c r="F28430" s="0" t="s">
        <v>10562</v>
      </c>
    </row>
    <row r="28432" customFormat="false" ht="12.8" hidden="false" customHeight="false" outlineLevel="0" collapsed="false">
      <c r="A28432" s="0" t="s">
        <v>10563</v>
      </c>
      <c r="B28432" s="0" t="str">
        <f aca="false">HYPERLINK("https://lindat.mff.cuni.cz/services/teitok/pdtc10/index.php?action=vallex&amp;frame=v-whsb_233hsa_234", "ponižovat (v-whsb_233hsa_234)")</f>
        <v>ponižovat (v-whsb_233hsa_234)</v>
      </c>
    </row>
    <row r="28433" customFormat="false" ht="12.8" hidden="false" customHeight="false" outlineLevel="0" collapsed="false">
      <c r="B28433" s="0" t="s">
        <v>7</v>
      </c>
    </row>
    <row r="28434" customFormat="false" ht="12.8" hidden="false" customHeight="false" outlineLevel="0" collapsed="false">
      <c r="B28434" s="0" t="s">
        <v>14</v>
      </c>
    </row>
    <row r="28436" customFormat="false" ht="12.8" hidden="false" customHeight="false" outlineLevel="0" collapsed="false">
      <c r="A28436" s="0" t="s">
        <v>10564</v>
      </c>
      <c r="B28436" s="0" t="str">
        <f aca="false">HYPERLINK("https://lindat.mff.cuni.cz/services/teitok/pdtc10/index.php?action=vallex&amp;frame=v-w11486f1", "ponižovat se (v-w11486f1)")</f>
        <v>ponižovat se (v-w11486f1)</v>
      </c>
    </row>
    <row r="28437" customFormat="false" ht="12.8" hidden="false" customHeight="false" outlineLevel="0" collapsed="false">
      <c r="B28437" s="0" t="s">
        <v>7</v>
      </c>
      <c r="D28437" s="0" t="s">
        <v>10340</v>
      </c>
      <c r="E28437" s="0" t="s">
        <v>10340</v>
      </c>
      <c r="F28437" s="0" t="s">
        <v>10340</v>
      </c>
    </row>
    <row r="28438" customFormat="false" ht="12.8" hidden="false" customHeight="false" outlineLevel="0" collapsed="false">
      <c r="B28438" s="0" t="s">
        <v>1400</v>
      </c>
    </row>
    <row r="28440" customFormat="false" ht="12.8" hidden="false" customHeight="false" outlineLevel="0" collapsed="false">
      <c r="A28440" s="0" t="s">
        <v>10565</v>
      </c>
      <c r="B28440" s="0" t="str">
        <f aca="false">HYPERLINK("https://lindat.mff.cuni.cz/services/teitok/pdtc10/index.php?action=vallex&amp;frame=v-w11549_ZUf1_ZU", "ponořit (v-w11549_ZUf1_ZU)")</f>
        <v>ponořit (v-w11549_ZUf1_ZU)</v>
      </c>
    </row>
    <row r="28441" customFormat="false" ht="12.8" hidden="false" customHeight="false" outlineLevel="0" collapsed="false">
      <c r="B28441" s="0" t="s">
        <v>7</v>
      </c>
    </row>
    <row r="28442" customFormat="false" ht="12.8" hidden="false" customHeight="false" outlineLevel="0" collapsed="false">
      <c r="B28442" s="0" t="s">
        <v>14</v>
      </c>
    </row>
    <row r="28443" customFormat="false" ht="12.8" hidden="false" customHeight="false" outlineLevel="0" collapsed="false">
      <c r="B28443" s="0" t="s">
        <v>338</v>
      </c>
    </row>
    <row r="28445" customFormat="false" ht="12.8" hidden="false" customHeight="false" outlineLevel="0" collapsed="false">
      <c r="A28445" s="0" t="s">
        <v>10566</v>
      </c>
      <c r="B28445" s="0" t="str">
        <f aca="false">HYPERLINK("https://lindat.mff.cuni.cz/services/teitok/pdtc10/index.php?action=vallex&amp;frame=v-w11550_ZUf1_ZU", "ponořit se (v-w11550_ZUf1_ZU)")</f>
        <v>ponořit se (v-w11550_ZUf1_ZU)</v>
      </c>
    </row>
    <row r="28446" customFormat="false" ht="12.8" hidden="false" customHeight="false" outlineLevel="0" collapsed="false">
      <c r="B28446" s="0" t="s">
        <v>7</v>
      </c>
      <c r="C28446" s="0" t="s">
        <v>736</v>
      </c>
      <c r="D28446" s="0" t="s">
        <v>9114</v>
      </c>
      <c r="E28446" s="0" t="s">
        <v>9114</v>
      </c>
      <c r="F28446" s="0" t="s">
        <v>9114</v>
      </c>
    </row>
    <row r="28447" customFormat="false" ht="12.8" hidden="false" customHeight="false" outlineLevel="0" collapsed="false">
      <c r="B28447" s="0" t="s">
        <v>63</v>
      </c>
      <c r="C28447" s="0" t="s">
        <v>10567</v>
      </c>
      <c r="D28447" s="0" t="s">
        <v>9116</v>
      </c>
      <c r="E28447" s="0" t="s">
        <v>9116</v>
      </c>
      <c r="F28447" s="0" t="s">
        <v>9116</v>
      </c>
    </row>
    <row r="28448" customFormat="false" ht="12.8" hidden="false" customHeight="false" outlineLevel="0" collapsed="false">
      <c r="B28448" s="0" t="s">
        <v>35</v>
      </c>
      <c r="C28448" s="0" t="s">
        <v>6213</v>
      </c>
      <c r="D28448" s="0" t="s">
        <v>9118</v>
      </c>
      <c r="E28448" s="0" t="s">
        <v>9118</v>
      </c>
      <c r="F28448" s="0" t="s">
        <v>9118</v>
      </c>
    </row>
    <row r="28450" customFormat="false" ht="12.8" hidden="false" customHeight="false" outlineLevel="0" collapsed="false">
      <c r="A28450" s="0" t="s">
        <v>10568</v>
      </c>
      <c r="B28450" s="0" t="str">
        <f aca="false">HYPERLINK("https://lindat.mff.cuni.cz/services/teitok/pdtc10/index.php?action=vallex&amp;frame=v-w11550_ZUf2_ZU", "ponořit se (v-w11550_ZUf2_ZU)")</f>
        <v>ponořit se (v-w11550_ZUf2_ZU)</v>
      </c>
    </row>
    <row r="28451" customFormat="false" ht="12.8" hidden="false" customHeight="false" outlineLevel="0" collapsed="false">
      <c r="B28451" s="0" t="s">
        <v>7</v>
      </c>
      <c r="C28451" s="0" t="s">
        <v>4638</v>
      </c>
      <c r="D28451" s="0" t="s">
        <v>92</v>
      </c>
      <c r="E28451" s="0" t="s">
        <v>92</v>
      </c>
      <c r="F28451" s="0" t="s">
        <v>92</v>
      </c>
    </row>
    <row r="28452" customFormat="false" ht="12.8" hidden="false" customHeight="false" outlineLevel="0" collapsed="false">
      <c r="B28452" s="0" t="s">
        <v>985</v>
      </c>
      <c r="C28452" s="0" t="s">
        <v>10569</v>
      </c>
      <c r="D28452" s="0" t="s">
        <v>95</v>
      </c>
      <c r="E28452" s="0" t="s">
        <v>95</v>
      </c>
      <c r="F28452" s="0" t="s">
        <v>95</v>
      </c>
    </row>
    <row r="28454" customFormat="false" ht="12.8" hidden="false" customHeight="false" outlineLevel="0" collapsed="false">
      <c r="A28454" s="0" t="s">
        <v>10570</v>
      </c>
      <c r="B28454" s="0" t="str">
        <f aca="false">HYPERLINK("https://lindat.mff.cuni.cz/services/teitok/pdtc10/index.php?action=vallex&amp;frame=v-w3854f1", "ponížit (v-w3854f1)")</f>
        <v>ponížit (v-w3854f1)</v>
      </c>
    </row>
    <row r="28455" customFormat="false" ht="12.8" hidden="false" customHeight="false" outlineLevel="0" collapsed="false">
      <c r="B28455" s="0" t="s">
        <v>7</v>
      </c>
      <c r="D28455" s="0" t="s">
        <v>184</v>
      </c>
      <c r="E28455" s="0" t="s">
        <v>184</v>
      </c>
      <c r="F28455" s="0" t="s">
        <v>184</v>
      </c>
    </row>
    <row r="28456" customFormat="false" ht="12.8" hidden="false" customHeight="false" outlineLevel="0" collapsed="false">
      <c r="B28456" s="0" t="s">
        <v>14</v>
      </c>
      <c r="C28456" s="0" t="s">
        <v>155</v>
      </c>
      <c r="D28456" s="0" t="s">
        <v>1610</v>
      </c>
      <c r="E28456" s="0" t="s">
        <v>1610</v>
      </c>
      <c r="F28456" s="0" t="s">
        <v>1610</v>
      </c>
    </row>
    <row r="28458" customFormat="false" ht="12.8" hidden="false" customHeight="false" outlineLevel="0" collapsed="false">
      <c r="A28458" s="0" t="s">
        <v>10571</v>
      </c>
      <c r="B28458" s="0" t="str">
        <f aca="false">HYPERLINK("https://lindat.mff.cuni.cz/services/teitok/pdtc10/index.php?action=vallex&amp;frame=v-w3854f2_ZU", "ponížit (v-w3854f2_ZU)")</f>
        <v>ponížit (v-w3854f2_ZU)</v>
      </c>
    </row>
    <row r="28459" customFormat="false" ht="12.8" hidden="false" customHeight="false" outlineLevel="0" collapsed="false">
      <c r="B28459" s="0" t="s">
        <v>7</v>
      </c>
    </row>
    <row r="28460" customFormat="false" ht="12.8" hidden="false" customHeight="false" outlineLevel="0" collapsed="false">
      <c r="B28460" s="0" t="s">
        <v>14</v>
      </c>
    </row>
    <row r="28461" customFormat="false" ht="12.8" hidden="false" customHeight="false" outlineLevel="0" collapsed="false">
      <c r="B28461" s="0" t="s">
        <v>84</v>
      </c>
    </row>
    <row r="28463" customFormat="false" ht="12.8" hidden="false" customHeight="false" outlineLevel="0" collapsed="false">
      <c r="A28463" s="0" t="s">
        <v>10572</v>
      </c>
      <c r="B28463" s="0" t="str">
        <f aca="false">HYPERLINK("https://lindat.mff.cuni.cz/services/teitok/pdtc10/index.php?action=vallex&amp;frame=v-w3850f1", "poněmčovat (v-w3850f1)")</f>
        <v>poněmčovat (v-w3850f1)</v>
      </c>
    </row>
    <row r="28464" customFormat="false" ht="12.8" hidden="false" customHeight="false" outlineLevel="0" collapsed="false">
      <c r="B28464" s="0" t="s">
        <v>7</v>
      </c>
    </row>
    <row r="28465" customFormat="false" ht="12.8" hidden="false" customHeight="false" outlineLevel="0" collapsed="false">
      <c r="B28465" s="0" t="s">
        <v>14</v>
      </c>
    </row>
    <row r="28467" customFormat="false" ht="12.8" hidden="false" customHeight="false" outlineLevel="0" collapsed="false">
      <c r="A28467" s="0" t="s">
        <v>10573</v>
      </c>
      <c r="B28467" s="0" t="str">
        <f aca="false">HYPERLINK("https://lindat.mff.cuni.cz/services/teitok/pdtc10/index.php?action=vallex&amp;frame=v-whsa_606f1_ZU", "poobědvat (v-whsa_606f1_ZU)")</f>
        <v>poobědvat (v-whsa_606f1_ZU)</v>
      </c>
    </row>
    <row r="28468" customFormat="false" ht="12.8" hidden="false" customHeight="false" outlineLevel="0" collapsed="false">
      <c r="B28468" s="0" t="s">
        <v>7</v>
      </c>
    </row>
    <row r="28469" customFormat="false" ht="12.8" hidden="false" customHeight="false" outlineLevel="0" collapsed="false">
      <c r="B28469" s="0" t="s">
        <v>297</v>
      </c>
    </row>
    <row r="28471" customFormat="false" ht="12.8" hidden="false" customHeight="false" outlineLevel="0" collapsed="false">
      <c r="A28471" s="0" t="s">
        <v>10573</v>
      </c>
      <c r="B28471" s="0" t="str">
        <f aca="false">HYPERLINK("https://lindat.mff.cuni.cz/services/teitok/pdtc10/index.php?action=vallex&amp;frame=v-whsa_606hsa_607", "poobědvat (v-whsa_606hsa_607) - substituted with v-whsa_606f1_ZU")</f>
        <v>poobědvat (v-whsa_606hsa_607) - substituted with v-whsa_606f1_ZU</v>
      </c>
    </row>
    <row r="28472" customFormat="false" ht="12.8" hidden="false" customHeight="false" outlineLevel="0" collapsed="false">
      <c r="B28472" s="0" t="s">
        <v>7</v>
      </c>
    </row>
    <row r="28473" customFormat="false" ht="12.8" hidden="false" customHeight="false" outlineLevel="0" collapsed="false">
      <c r="B28473" s="0" t="s">
        <v>297</v>
      </c>
    </row>
    <row r="28475" customFormat="false" ht="12.8" hidden="false" customHeight="false" outlineLevel="0" collapsed="false">
      <c r="A28475" s="0" t="s">
        <v>10574</v>
      </c>
      <c r="B28475" s="0" t="str">
        <f aca="false">HYPERLINK("https://lindat.mff.cuni.cz/services/teitok/pdtc10/index.php?action=vallex&amp;frame=v-w3857f1", "poodhalit (v-w3857f1)")</f>
        <v>poodhalit (v-w3857f1)</v>
      </c>
    </row>
    <row r="28476" customFormat="false" ht="12.8" hidden="false" customHeight="false" outlineLevel="0" collapsed="false">
      <c r="B28476" s="0" t="s">
        <v>7</v>
      </c>
    </row>
    <row r="28477" customFormat="false" ht="12.8" hidden="false" customHeight="false" outlineLevel="0" collapsed="false">
      <c r="B28477" s="0" t="s">
        <v>172</v>
      </c>
    </row>
    <row r="28479" customFormat="false" ht="12.8" hidden="false" customHeight="false" outlineLevel="0" collapsed="false">
      <c r="A28479" s="0" t="s">
        <v>10575</v>
      </c>
      <c r="B28479" s="0" t="str">
        <f aca="false">HYPERLINK("https://lindat.mff.cuni.cz/services/teitok/pdtc10/index.php?action=vallex&amp;frame=v-whsa_653hsa_654", "poodhalovat (v-whsa_653hsa_654)")</f>
        <v>poodhalovat (v-whsa_653hsa_654)</v>
      </c>
    </row>
    <row r="28480" customFormat="false" ht="12.8" hidden="false" customHeight="false" outlineLevel="0" collapsed="false">
      <c r="B28480" s="0" t="s">
        <v>7</v>
      </c>
      <c r="C28480" s="0" t="s">
        <v>149</v>
      </c>
    </row>
    <row r="28481" customFormat="false" ht="12.8" hidden="false" customHeight="false" outlineLevel="0" collapsed="false">
      <c r="B28481" s="0" t="s">
        <v>14</v>
      </c>
      <c r="C28481" s="0" t="s">
        <v>10576</v>
      </c>
    </row>
    <row r="28483" customFormat="false" ht="12.8" hidden="false" customHeight="false" outlineLevel="0" collapsed="false">
      <c r="A28483" s="0" t="s">
        <v>10577</v>
      </c>
      <c r="B28483" s="0" t="str">
        <f aca="false">HYPERLINK("https://lindat.mff.cuni.cz/services/teitok/pdtc10/index.php?action=vallex&amp;frame=v-w11503f1", "poohlédnout se (v-w11503f1)")</f>
        <v>poohlédnout se (v-w11503f1)</v>
      </c>
    </row>
    <row r="28484" customFormat="false" ht="12.8" hidden="false" customHeight="false" outlineLevel="0" collapsed="false">
      <c r="B28484" s="0" t="s">
        <v>7</v>
      </c>
      <c r="C28484" s="0" t="s">
        <v>2431</v>
      </c>
      <c r="D28484" s="0" t="s">
        <v>1813</v>
      </c>
      <c r="E28484" s="0" t="s">
        <v>1813</v>
      </c>
      <c r="F28484" s="0" t="s">
        <v>1813</v>
      </c>
    </row>
    <row r="28485" customFormat="false" ht="12.8" hidden="false" customHeight="false" outlineLevel="0" collapsed="false">
      <c r="B28485" s="0" t="s">
        <v>1375</v>
      </c>
      <c r="C28485" s="0" t="s">
        <v>10578</v>
      </c>
      <c r="D28485" s="0" t="s">
        <v>1815</v>
      </c>
      <c r="E28485" s="0" t="s">
        <v>1815</v>
      </c>
      <c r="F28485" s="0" t="s">
        <v>1815</v>
      </c>
    </row>
    <row r="28487" customFormat="false" ht="12.8" hidden="false" customHeight="false" outlineLevel="0" collapsed="false">
      <c r="A28487" s="0" t="s">
        <v>10579</v>
      </c>
      <c r="B28487" s="0" t="str">
        <f aca="false">HYPERLINK("https://lindat.mff.cuni.cz/services/teitok/pdtc10/index.php?action=vallex&amp;frame=v-w11485f1", "poohlížet se (v-w11485f1)")</f>
        <v>poohlížet se (v-w11485f1)</v>
      </c>
    </row>
    <row r="28488" customFormat="false" ht="12.8" hidden="false" customHeight="false" outlineLevel="0" collapsed="false">
      <c r="B28488" s="0" t="s">
        <v>7</v>
      </c>
      <c r="C28488" s="0" t="s">
        <v>1263</v>
      </c>
      <c r="D28488" s="0" t="s">
        <v>1813</v>
      </c>
      <c r="E28488" s="0" t="s">
        <v>1813</v>
      </c>
      <c r="F28488" s="0" t="s">
        <v>1813</v>
      </c>
    </row>
    <row r="28489" customFormat="false" ht="12.8" hidden="false" customHeight="false" outlineLevel="0" collapsed="false">
      <c r="B28489" s="0" t="s">
        <v>1375</v>
      </c>
      <c r="C28489" s="0" t="s">
        <v>1289</v>
      </c>
      <c r="D28489" s="0" t="s">
        <v>1815</v>
      </c>
      <c r="E28489" s="0" t="s">
        <v>1815</v>
      </c>
      <c r="F28489" s="0" t="s">
        <v>1815</v>
      </c>
    </row>
    <row r="28491" customFormat="false" ht="12.8" hidden="false" customHeight="false" outlineLevel="0" collapsed="false">
      <c r="A28491" s="0" t="s">
        <v>10580</v>
      </c>
      <c r="B28491" s="0" t="str">
        <f aca="false">HYPERLINK("https://lindat.mff.cuni.cz/services/teitok/pdtc10/index.php?action=vallex&amp;frame=v-w3858f1", "pookřát (v-w3858f1)")</f>
        <v>pookřát (v-w3858f1)</v>
      </c>
    </row>
    <row r="28492" customFormat="false" ht="12.8" hidden="false" customHeight="false" outlineLevel="0" collapsed="false">
      <c r="B28492" s="0" t="s">
        <v>7</v>
      </c>
    </row>
    <row r="28494" customFormat="false" ht="12.8" hidden="false" customHeight="false" outlineLevel="0" collapsed="false">
      <c r="A28494" s="0" t="s">
        <v>10581</v>
      </c>
      <c r="B28494" s="0" t="str">
        <f aca="false">HYPERLINK("https://lindat.mff.cuni.cz/services/teitok/pdtc10/index.php?action=vallex&amp;frame=v-w3859f1", "poopravit (v-w3859f1)")</f>
        <v>poopravit (v-w3859f1)</v>
      </c>
    </row>
    <row r="28495" customFormat="false" ht="12.8" hidden="false" customHeight="false" outlineLevel="0" collapsed="false">
      <c r="B28495" s="0" t="s">
        <v>7</v>
      </c>
    </row>
    <row r="28496" customFormat="false" ht="12.8" hidden="false" customHeight="false" outlineLevel="0" collapsed="false">
      <c r="B28496" s="0" t="s">
        <v>14</v>
      </c>
    </row>
    <row r="28498" customFormat="false" ht="12.8" hidden="false" customHeight="false" outlineLevel="0" collapsed="false">
      <c r="A28498" s="0" t="s">
        <v>10582</v>
      </c>
      <c r="B28498" s="0" t="str">
        <f aca="false">HYPERLINK("https://lindat.mff.cuni.cz/services/teitok/pdtc10/index.php?action=vallex&amp;frame=v-whsb_286hsa_287", "pootevřít (v-whsb_286hsa_287)")</f>
        <v>pootevřít (v-whsb_286hsa_287)</v>
      </c>
    </row>
    <row r="28499" customFormat="false" ht="12.8" hidden="false" customHeight="false" outlineLevel="0" collapsed="false">
      <c r="B28499" s="0" t="s">
        <v>7</v>
      </c>
    </row>
    <row r="28500" customFormat="false" ht="12.8" hidden="false" customHeight="false" outlineLevel="0" collapsed="false">
      <c r="B28500" s="0" t="s">
        <v>14</v>
      </c>
    </row>
    <row r="28502" customFormat="false" ht="12.8" hidden="false" customHeight="false" outlineLevel="0" collapsed="false">
      <c r="A28502" s="0" t="s">
        <v>10583</v>
      </c>
      <c r="B28502" s="0" t="str">
        <f aca="false">HYPERLINK("https://lindat.mff.cuni.cz/services/teitok/pdtc10/index.php?action=vallex&amp;frame=v-whsa_1452hsa_1453", "pootočit (v-whsa_1452hsa_1453)")</f>
        <v>pootočit (v-whsa_1452hsa_1453)</v>
      </c>
    </row>
    <row r="28503" customFormat="false" ht="12.8" hidden="false" customHeight="false" outlineLevel="0" collapsed="false">
      <c r="B28503" s="0" t="s">
        <v>7</v>
      </c>
    </row>
    <row r="28504" customFormat="false" ht="12.8" hidden="false" customHeight="false" outlineLevel="0" collapsed="false">
      <c r="B28504" s="0" t="s">
        <v>14</v>
      </c>
    </row>
    <row r="28506" customFormat="false" ht="12.8" hidden="false" customHeight="false" outlineLevel="0" collapsed="false">
      <c r="A28506" s="0" t="s">
        <v>10584</v>
      </c>
      <c r="B28506" s="0" t="str">
        <f aca="false">HYPERLINK("https://lindat.mff.cuni.cz/services/teitok/pdtc10/index.php?action=vallex&amp;frame=v-w3860f1", "pootáčet (v-w3860f1)")</f>
        <v>pootáčet (v-w3860f1)</v>
      </c>
    </row>
    <row r="28507" customFormat="false" ht="12.8" hidden="false" customHeight="false" outlineLevel="0" collapsed="false">
      <c r="B28507" s="0" t="s">
        <v>7</v>
      </c>
      <c r="D28507" s="0" t="s">
        <v>191</v>
      </c>
      <c r="E28507" s="0" t="s">
        <v>191</v>
      </c>
      <c r="F28507" s="0" t="s">
        <v>191</v>
      </c>
    </row>
    <row r="28508" customFormat="false" ht="12.8" hidden="false" customHeight="false" outlineLevel="0" collapsed="false">
      <c r="B28508" s="0" t="s">
        <v>1836</v>
      </c>
      <c r="D28508" s="0" t="s">
        <v>155</v>
      </c>
      <c r="E28508" s="0" t="s">
        <v>155</v>
      </c>
      <c r="F28508" s="0" t="s">
        <v>155</v>
      </c>
    </row>
    <row r="28510" customFormat="false" ht="12.8" hidden="false" customHeight="false" outlineLevel="0" collapsed="false">
      <c r="A28510" s="0" t="s">
        <v>10585</v>
      </c>
      <c r="B28510" s="0" t="str">
        <f aca="false">HYPERLINK("https://lindat.mff.cuni.cz/services/teitok/pdtc10/index.php?action=vallex&amp;frame=v-whsa_163hsa_164", "poočišťovat (v-whsa_163hsa_164)")</f>
        <v>poočišťovat (v-whsa_163hsa_164)</v>
      </c>
    </row>
    <row r="28511" customFormat="false" ht="12.8" hidden="false" customHeight="false" outlineLevel="0" collapsed="false">
      <c r="B28511" s="0" t="s">
        <v>7</v>
      </c>
    </row>
    <row r="28512" customFormat="false" ht="12.8" hidden="false" customHeight="false" outlineLevel="0" collapsed="false">
      <c r="B28512" s="0" t="s">
        <v>14</v>
      </c>
    </row>
    <row r="28514" customFormat="false" ht="12.8" hidden="false" customHeight="false" outlineLevel="0" collapsed="false">
      <c r="A28514" s="0" t="s">
        <v>10586</v>
      </c>
      <c r="B28514" s="0" t="str">
        <f aca="false">HYPERLINK("https://lindat.mff.cuni.cz/services/teitok/pdtc10/index.php?action=vallex&amp;frame=v-w3861f1", "popadat (v-w3861f1)")</f>
        <v>popadat (v-w3861f1)</v>
      </c>
    </row>
    <row r="28515" customFormat="false" ht="12.8" hidden="false" customHeight="false" outlineLevel="0" collapsed="false">
      <c r="B28515" s="0" t="s">
        <v>7</v>
      </c>
      <c r="D28515" s="0" t="s">
        <v>309</v>
      </c>
      <c r="E28515" s="0" t="s">
        <v>309</v>
      </c>
      <c r="F28515" s="0" t="s">
        <v>309</v>
      </c>
    </row>
    <row r="28516" customFormat="false" ht="12.8" hidden="false" customHeight="false" outlineLevel="0" collapsed="false">
      <c r="B28516" s="0" t="s">
        <v>14</v>
      </c>
      <c r="D28516" s="0" t="s">
        <v>3662</v>
      </c>
      <c r="E28516" s="0" t="s">
        <v>3662</v>
      </c>
      <c r="F28516" s="0" t="s">
        <v>3662</v>
      </c>
    </row>
    <row r="28518" customFormat="false" ht="12.8" hidden="false" customHeight="false" outlineLevel="0" collapsed="false">
      <c r="A28518" s="0" t="s">
        <v>10587</v>
      </c>
      <c r="B28518" s="0" t="str">
        <f aca="false">HYPERLINK("https://lindat.mff.cuni.cz/services/teitok/pdtc10/index.php?action=vallex&amp;frame=v-w3861f3_ZU", "popadat (v-w3861f3_ZU)")</f>
        <v>popadat (v-w3861f3_ZU)</v>
      </c>
    </row>
    <row r="28519" customFormat="false" ht="12.8" hidden="false" customHeight="false" outlineLevel="0" collapsed="false">
      <c r="B28519" s="0" t="s">
        <v>7</v>
      </c>
    </row>
    <row r="28521" customFormat="false" ht="12.8" hidden="false" customHeight="false" outlineLevel="0" collapsed="false">
      <c r="A28521" s="0" t="s">
        <v>10587</v>
      </c>
      <c r="B28521" s="0" t="str">
        <f aca="false">HYPERLINK("https://lindat.mff.cuni.cz/services/teitok/pdtc10/index.php?action=vallex&amp;frame=v-w3861f2_ZU", "popadat (v-w3861f2_ZU) - substituted with v-w3861f3_ZU")</f>
        <v>popadat (v-w3861f2_ZU) - substituted with v-w3861f3_ZU</v>
      </c>
    </row>
    <row r="28522" customFormat="false" ht="12.8" hidden="false" customHeight="false" outlineLevel="0" collapsed="false">
      <c r="B28522" s="0" t="s">
        <v>7</v>
      </c>
    </row>
    <row r="28524" customFormat="false" ht="12.8" hidden="false" customHeight="false" outlineLevel="0" collapsed="false">
      <c r="A28524" s="0" t="s">
        <v>10588</v>
      </c>
      <c r="B28524" s="0" t="str">
        <f aca="false">HYPERLINK("https://lindat.mff.cuni.cz/services/teitok/pdtc10/index.php?action=vallex&amp;frame=v-w3862f1", "popadnout (v-w3862f1)")</f>
        <v>popadnout (v-w3862f1)</v>
      </c>
    </row>
    <row r="28525" customFormat="false" ht="12.8" hidden="false" customHeight="false" outlineLevel="0" collapsed="false">
      <c r="B28525" s="0" t="s">
        <v>7</v>
      </c>
      <c r="C28525" s="0" t="s">
        <v>1287</v>
      </c>
      <c r="D28525" s="0" t="s">
        <v>309</v>
      </c>
      <c r="E28525" s="0" t="s">
        <v>309</v>
      </c>
      <c r="F28525" s="0" t="s">
        <v>309</v>
      </c>
    </row>
    <row r="28526" customFormat="false" ht="12.8" hidden="false" customHeight="false" outlineLevel="0" collapsed="false">
      <c r="B28526" s="0" t="s">
        <v>14</v>
      </c>
      <c r="C28526" s="0" t="s">
        <v>2788</v>
      </c>
      <c r="D28526" s="0" t="s">
        <v>3662</v>
      </c>
      <c r="E28526" s="0" t="s">
        <v>3662</v>
      </c>
      <c r="F28526" s="0" t="s">
        <v>3662</v>
      </c>
    </row>
    <row r="28528" customFormat="false" ht="12.8" hidden="false" customHeight="false" outlineLevel="0" collapsed="false">
      <c r="A28528" s="0" t="s">
        <v>10589</v>
      </c>
      <c r="B28528" s="0" t="str">
        <f aca="false">HYPERLINK("https://lindat.mff.cuni.cz/services/teitok/pdtc10/index.php?action=vallex&amp;frame=v-w3862f2", "popadnout (v-w3862f2)")</f>
        <v>popadnout (v-w3862f2)</v>
      </c>
    </row>
    <row r="28529" customFormat="false" ht="12.8" hidden="false" customHeight="false" outlineLevel="0" collapsed="false">
      <c r="B28529" s="0" t="s">
        <v>10590</v>
      </c>
    </row>
    <row r="28530" customFormat="false" ht="12.8" hidden="false" customHeight="false" outlineLevel="0" collapsed="false">
      <c r="B28530" s="0" t="s">
        <v>14</v>
      </c>
    </row>
    <row r="28532" customFormat="false" ht="12.8" hidden="false" customHeight="false" outlineLevel="0" collapsed="false">
      <c r="A28532" s="0" t="s">
        <v>10591</v>
      </c>
      <c r="B28532" s="0" t="str">
        <f aca="false">HYPERLINK("https://lindat.mff.cuni.cz/services/teitok/pdtc10/index.php?action=vallex&amp;frame=v-w3862f3_ZU", "popadnout (v-w3862f3_ZU)")</f>
        <v>popadnout (v-w3862f3_ZU)</v>
      </c>
    </row>
    <row r="28533" customFormat="false" ht="12.8" hidden="false" customHeight="false" outlineLevel="0" collapsed="false">
      <c r="B28533" s="0" t="s">
        <v>7</v>
      </c>
      <c r="C28533" s="0" t="s">
        <v>335</v>
      </c>
      <c r="D28533" s="0" t="s">
        <v>1319</v>
      </c>
      <c r="E28533" s="0" t="s">
        <v>1319</v>
      </c>
      <c r="F28533" s="0" t="s">
        <v>1319</v>
      </c>
    </row>
    <row r="28534" customFormat="false" ht="12.8" hidden="false" customHeight="false" outlineLevel="0" collapsed="false">
      <c r="B28534" s="0" t="s">
        <v>10592</v>
      </c>
      <c r="C28534" s="0" t="s">
        <v>1321</v>
      </c>
    </row>
    <row r="28536" customFormat="false" ht="12.8" hidden="false" customHeight="false" outlineLevel="0" collapsed="false">
      <c r="A28536" s="0" t="s">
        <v>10591</v>
      </c>
      <c r="B28536" s="0" t="str">
        <f aca="false">HYPERLINK("https://lindat.mff.cuni.cz/services/teitok/pdtc10/index.php?action=vallex&amp;frame=v-w3862hsa_1034", "popadnout (v-w3862hsa_1034) - substituted with v-w3862f3_ZU")</f>
        <v>popadnout (v-w3862hsa_1034) - substituted with v-w3862f3_ZU</v>
      </c>
    </row>
    <row r="28537" customFormat="false" ht="12.8" hidden="false" customHeight="false" outlineLevel="0" collapsed="false">
      <c r="B28537" s="0" t="s">
        <v>7</v>
      </c>
    </row>
    <row r="28538" customFormat="false" ht="12.8" hidden="false" customHeight="false" outlineLevel="0" collapsed="false">
      <c r="B28538" s="0" t="s">
        <v>10592</v>
      </c>
    </row>
    <row r="28540" customFormat="false" ht="12.8" hidden="false" customHeight="false" outlineLevel="0" collapsed="false">
      <c r="A28540" s="0" t="s">
        <v>10593</v>
      </c>
      <c r="B28540" s="0" t="str">
        <f aca="false">HYPERLINK("https://lindat.mff.cuni.cz/services/teitok/pdtc10/index.php?action=vallex&amp;frame=v-w10142f2", "popichovat (v-w10142f2)")</f>
        <v>popichovat (v-w10142f2)</v>
      </c>
    </row>
    <row r="28541" customFormat="false" ht="12.8" hidden="false" customHeight="false" outlineLevel="0" collapsed="false">
      <c r="B28541" s="0" t="s">
        <v>7</v>
      </c>
    </row>
    <row r="28542" customFormat="false" ht="12.8" hidden="false" customHeight="false" outlineLevel="0" collapsed="false">
      <c r="B28542" s="0" t="s">
        <v>14</v>
      </c>
    </row>
    <row r="28544" customFormat="false" ht="12.8" hidden="false" customHeight="false" outlineLevel="0" collapsed="false">
      <c r="A28544" s="0" t="s">
        <v>10594</v>
      </c>
      <c r="B28544" s="0" t="str">
        <f aca="false">HYPERLINK("https://lindat.mff.cuni.cz/services/teitok/pdtc10/index.php?action=vallex&amp;frame=v-w3869f2_ZU", "popisovat (v-w3869f2_ZU)")</f>
        <v>popisovat (v-w3869f2_ZU)</v>
      </c>
    </row>
    <row r="28545" customFormat="false" ht="12.8" hidden="false" customHeight="false" outlineLevel="0" collapsed="false">
      <c r="B28545" s="0" t="s">
        <v>7</v>
      </c>
      <c r="C28545" s="0" t="s">
        <v>1226</v>
      </c>
      <c r="D28545" s="0" t="s">
        <v>140</v>
      </c>
      <c r="E28545" s="0" t="s">
        <v>140</v>
      </c>
      <c r="F28545" s="0" t="s">
        <v>140</v>
      </c>
    </row>
    <row r="28546" customFormat="false" ht="12.8" hidden="false" customHeight="false" outlineLevel="0" collapsed="false">
      <c r="B28546" s="0" t="s">
        <v>5321</v>
      </c>
      <c r="C28546" s="0" t="s">
        <v>466</v>
      </c>
      <c r="D28546" s="0" t="s">
        <v>1155</v>
      </c>
      <c r="E28546" s="0" t="s">
        <v>1155</v>
      </c>
      <c r="F28546" s="0" t="s">
        <v>1155</v>
      </c>
    </row>
    <row r="28547" customFormat="false" ht="12.8" hidden="false" customHeight="false" outlineLevel="0" collapsed="false">
      <c r="B28547" s="0" t="s">
        <v>106</v>
      </c>
    </row>
    <row r="28549" customFormat="false" ht="12.8" hidden="false" customHeight="false" outlineLevel="0" collapsed="false">
      <c r="A28549" s="0" t="s">
        <v>10594</v>
      </c>
      <c r="B28549" s="0" t="str">
        <f aca="false">HYPERLINK("https://lindat.mff.cuni.cz/services/teitok/pdtc10/index.php?action=vallex&amp;frame=v-w3869f1", "popisovat (v-w3869f1) - substituted with v-w3869f2_ZU")</f>
        <v>popisovat (v-w3869f1) - substituted with v-w3869f2_ZU</v>
      </c>
    </row>
    <row r="28550" customFormat="false" ht="12.8" hidden="false" customHeight="false" outlineLevel="0" collapsed="false">
      <c r="B28550" s="0" t="s">
        <v>7</v>
      </c>
      <c r="C28550" s="0" t="s">
        <v>7173</v>
      </c>
    </row>
    <row r="28551" customFormat="false" ht="12.8" hidden="false" customHeight="false" outlineLevel="0" collapsed="false">
      <c r="B28551" s="0" t="s">
        <v>5321</v>
      </c>
      <c r="C28551" s="0" t="s">
        <v>8089</v>
      </c>
    </row>
    <row r="28552" customFormat="false" ht="12.8" hidden="false" customHeight="false" outlineLevel="0" collapsed="false">
      <c r="B28552" s="0" t="s">
        <v>106</v>
      </c>
    </row>
    <row r="28554" customFormat="false" ht="12.8" hidden="false" customHeight="false" outlineLevel="0" collapsed="false">
      <c r="A28554" s="0" t="s">
        <v>10594</v>
      </c>
      <c r="B28554" s="0" t="str">
        <f aca="false">HYPERLINK("https://lindat.mff.cuni.cz/services/teitok/pdtc10/index.php?action=vallex&amp;frame=v-w3869hsa_223", "popisovat (v-w3869hsa_223) - substituted with v-w3869f2_ZU")</f>
        <v>popisovat (v-w3869hsa_223) - substituted with v-w3869f2_ZU</v>
      </c>
    </row>
    <row r="28555" customFormat="false" ht="12.8" hidden="false" customHeight="false" outlineLevel="0" collapsed="false">
      <c r="B28555" s="0" t="s">
        <v>7</v>
      </c>
    </row>
    <row r="28556" customFormat="false" ht="12.8" hidden="false" customHeight="false" outlineLevel="0" collapsed="false">
      <c r="B28556" s="0" t="s">
        <v>5321</v>
      </c>
    </row>
    <row r="28557" customFormat="false" ht="12.8" hidden="false" customHeight="false" outlineLevel="0" collapsed="false">
      <c r="B28557" s="0" t="s">
        <v>106</v>
      </c>
    </row>
    <row r="28559" customFormat="false" ht="12.8" hidden="false" customHeight="false" outlineLevel="0" collapsed="false">
      <c r="A28559" s="0" t="s">
        <v>10595</v>
      </c>
      <c r="B28559" s="0" t="str">
        <f aca="false">HYPERLINK("https://lindat.mff.cuni.cz/services/teitok/pdtc10/index.php?action=vallex&amp;frame=v-w11478f1", "poplakat si (v-w11478f1)")</f>
        <v>poplakat si (v-w11478f1)</v>
      </c>
    </row>
    <row r="28560" customFormat="false" ht="12.8" hidden="false" customHeight="false" outlineLevel="0" collapsed="false">
      <c r="B28560" s="0" t="s">
        <v>7</v>
      </c>
      <c r="C28560" s="0" t="s">
        <v>191</v>
      </c>
      <c r="D28560" s="0" t="s">
        <v>569</v>
      </c>
      <c r="E28560" s="0" t="s">
        <v>569</v>
      </c>
      <c r="F28560" s="0" t="s">
        <v>569</v>
      </c>
    </row>
    <row r="28562" customFormat="false" ht="12.8" hidden="false" customHeight="false" outlineLevel="0" collapsed="false">
      <c r="A28562" s="0" t="s">
        <v>10596</v>
      </c>
      <c r="B28562" s="0" t="str">
        <f aca="false">HYPERLINK("https://lindat.mff.cuni.cz/services/teitok/pdtc10/index.php?action=vallex&amp;frame=v-w11981_ZUf1_ZU", "poplatit (v-w11981_ZUf1_ZU)")</f>
        <v>poplatit (v-w11981_ZUf1_ZU)</v>
      </c>
    </row>
    <row r="28563" customFormat="false" ht="12.8" hidden="false" customHeight="false" outlineLevel="0" collapsed="false">
      <c r="B28563" s="0" t="s">
        <v>7</v>
      </c>
    </row>
    <row r="28564" customFormat="false" ht="12.8" hidden="false" customHeight="false" outlineLevel="0" collapsed="false">
      <c r="B28564" s="0" t="s">
        <v>14</v>
      </c>
    </row>
    <row r="28566" customFormat="false" ht="12.8" hidden="false" customHeight="false" outlineLevel="0" collapsed="false">
      <c r="A28566" s="0" t="s">
        <v>10597</v>
      </c>
      <c r="B28566" s="0" t="str">
        <f aca="false">HYPERLINK("https://lindat.mff.cuni.cz/services/teitok/pdtc10/index.php?action=vallex&amp;frame=v-w3874f1", "popleskat (v-w3874f1)")</f>
        <v>popleskat (v-w3874f1)</v>
      </c>
    </row>
    <row r="28567" customFormat="false" ht="12.8" hidden="false" customHeight="false" outlineLevel="0" collapsed="false">
      <c r="B28567" s="0" t="s">
        <v>7</v>
      </c>
      <c r="D28567" s="0" t="s">
        <v>184</v>
      </c>
      <c r="E28567" s="0" t="s">
        <v>184</v>
      </c>
      <c r="F28567" s="0" t="s">
        <v>184</v>
      </c>
    </row>
    <row r="28568" customFormat="false" ht="12.8" hidden="false" customHeight="false" outlineLevel="0" collapsed="false">
      <c r="B28568" s="0" t="s">
        <v>14</v>
      </c>
      <c r="D28568" s="0" t="s">
        <v>33</v>
      </c>
      <c r="E28568" s="0" t="s">
        <v>33</v>
      </c>
      <c r="F28568" s="0" t="s">
        <v>33</v>
      </c>
    </row>
    <row r="28570" customFormat="false" ht="12.8" hidden="false" customHeight="false" outlineLevel="0" collapsed="false">
      <c r="A28570" s="0" t="s">
        <v>10598</v>
      </c>
      <c r="B28570" s="0" t="str">
        <f aca="false">HYPERLINK("https://lindat.mff.cuni.cz/services/teitok/pdtc10/index.php?action=vallex&amp;frame=v-w3879f1", "poplivat (v-w3879f1)")</f>
        <v>poplivat (v-w3879f1)</v>
      </c>
    </row>
    <row r="28571" customFormat="false" ht="12.8" hidden="false" customHeight="false" outlineLevel="0" collapsed="false">
      <c r="B28571" s="0" t="s">
        <v>7</v>
      </c>
      <c r="D28571" s="0" t="s">
        <v>150</v>
      </c>
      <c r="E28571" s="0" t="s">
        <v>150</v>
      </c>
      <c r="F28571" s="0" t="s">
        <v>150</v>
      </c>
    </row>
    <row r="28572" customFormat="false" ht="12.8" hidden="false" customHeight="false" outlineLevel="0" collapsed="false">
      <c r="B28572" s="0" t="s">
        <v>14</v>
      </c>
      <c r="C28572" s="0" t="s">
        <v>47</v>
      </c>
      <c r="D28572" s="0" t="s">
        <v>152</v>
      </c>
      <c r="E28572" s="0" t="s">
        <v>152</v>
      </c>
      <c r="F28572" s="0" t="s">
        <v>152</v>
      </c>
    </row>
    <row r="28574" customFormat="false" ht="12.8" hidden="false" customHeight="false" outlineLevel="0" collapsed="false">
      <c r="A28574" s="0" t="s">
        <v>10599</v>
      </c>
      <c r="B28574" s="0" t="str">
        <f aca="false">HYPERLINK("https://lindat.mff.cuni.cz/services/teitok/pdtc10/index.php?action=vallex&amp;frame=v-whsa_18hsa_19", "poplácávat (v-whsa_18hsa_19)")</f>
        <v>poplácávat (v-whsa_18hsa_19)</v>
      </c>
    </row>
    <row r="28575" customFormat="false" ht="12.8" hidden="false" customHeight="false" outlineLevel="0" collapsed="false">
      <c r="B28575" s="0" t="s">
        <v>7</v>
      </c>
      <c r="C28575" s="0" t="s">
        <v>184</v>
      </c>
      <c r="D28575" s="0" t="s">
        <v>184</v>
      </c>
      <c r="E28575" s="0" t="s">
        <v>184</v>
      </c>
      <c r="F28575" s="0" t="s">
        <v>184</v>
      </c>
    </row>
    <row r="28576" customFormat="false" ht="12.8" hidden="false" customHeight="false" outlineLevel="0" collapsed="false">
      <c r="B28576" s="0" t="s">
        <v>14</v>
      </c>
      <c r="C28576" s="0" t="s">
        <v>384</v>
      </c>
      <c r="D28576" s="0" t="s">
        <v>33</v>
      </c>
      <c r="E28576" s="0" t="s">
        <v>33</v>
      </c>
      <c r="F28576" s="0" t="s">
        <v>33</v>
      </c>
    </row>
    <row r="28578" customFormat="false" ht="12.8" hidden="false" customHeight="false" outlineLevel="0" collapsed="false">
      <c r="A28578" s="0" t="s">
        <v>10600</v>
      </c>
      <c r="B28578" s="0" t="str">
        <f aca="false">HYPERLINK("https://lindat.mff.cuni.cz/services/teitok/pdtc10/index.php?action=vallex&amp;frame=v-w3875f1", "poplést (v-w3875f1)")</f>
        <v>poplést (v-w3875f1)</v>
      </c>
    </row>
    <row r="28579" customFormat="false" ht="12.8" hidden="false" customHeight="false" outlineLevel="0" collapsed="false">
      <c r="B28579" s="0" t="s">
        <v>7</v>
      </c>
    </row>
    <row r="28580" customFormat="false" ht="12.8" hidden="false" customHeight="false" outlineLevel="0" collapsed="false">
      <c r="B28580" s="0" t="s">
        <v>14</v>
      </c>
    </row>
    <row r="28582" customFormat="false" ht="12.8" hidden="false" customHeight="false" outlineLevel="0" collapsed="false">
      <c r="A28582" s="0" t="s">
        <v>10601</v>
      </c>
      <c r="B28582" s="0" t="str">
        <f aca="false">HYPERLINK("https://lindat.mff.cuni.cz/services/teitok/pdtc10/index.php?action=vallex&amp;frame=v-w3876f1", "poplést se (v-w3876f1)")</f>
        <v>poplést se (v-w3876f1)</v>
      </c>
    </row>
    <row r="28583" customFormat="false" ht="12.8" hidden="false" customHeight="false" outlineLevel="0" collapsed="false">
      <c r="B28583" s="0" t="s">
        <v>7</v>
      </c>
    </row>
    <row r="28585" customFormat="false" ht="12.8" hidden="false" customHeight="false" outlineLevel="0" collapsed="false">
      <c r="A28585" s="0" t="s">
        <v>10602</v>
      </c>
      <c r="B28585" s="0" t="str">
        <f aca="false">HYPERLINK("https://lindat.mff.cuni.cz/services/teitok/pdtc10/index.php?action=vallex&amp;frame=v-w3876hsa_1180", "poplést se (v-w3876hsa_1180)")</f>
        <v>poplést se (v-w3876hsa_1180)</v>
      </c>
    </row>
    <row r="28586" customFormat="false" ht="12.8" hidden="false" customHeight="false" outlineLevel="0" collapsed="false">
      <c r="B28586" s="0" t="s">
        <v>7</v>
      </c>
      <c r="C28586" s="0" t="s">
        <v>10603</v>
      </c>
    </row>
    <row r="28587" customFormat="false" ht="12.8" hidden="false" customHeight="false" outlineLevel="0" collapsed="false">
      <c r="B28587" s="0" t="s">
        <v>142</v>
      </c>
      <c r="C28587" s="0" t="s">
        <v>10604</v>
      </c>
    </row>
    <row r="28589" customFormat="false" ht="12.8" hidden="false" customHeight="false" outlineLevel="0" collapsed="false">
      <c r="A28589" s="0" t="s">
        <v>10605</v>
      </c>
      <c r="B28589" s="0" t="str">
        <f aca="false">HYPERLINK("https://lindat.mff.cuni.cz/services/teitok/pdtc10/index.php?action=vallex&amp;frame=v-w3877f1", "poplést si (v-w3877f1)")</f>
        <v>poplést si (v-w3877f1)</v>
      </c>
    </row>
    <row r="28590" customFormat="false" ht="12.8" hidden="false" customHeight="false" outlineLevel="0" collapsed="false">
      <c r="B28590" s="0" t="s">
        <v>7</v>
      </c>
    </row>
    <row r="28591" customFormat="false" ht="12.8" hidden="false" customHeight="false" outlineLevel="0" collapsed="false">
      <c r="B28591" s="0" t="s">
        <v>14</v>
      </c>
    </row>
    <row r="28592" customFormat="false" ht="12.8" hidden="false" customHeight="false" outlineLevel="0" collapsed="false">
      <c r="B28592" s="0" t="s">
        <v>10606</v>
      </c>
    </row>
    <row r="28594" customFormat="false" ht="12.8" hidden="false" customHeight="false" outlineLevel="0" collapsed="false">
      <c r="A28594" s="0" t="s">
        <v>10607</v>
      </c>
      <c r="B28594" s="0" t="str">
        <f aca="false">HYPERLINK("https://lindat.mff.cuni.cz/services/teitok/pdtc10/index.php?action=vallex&amp;frame=v-w11015f2", "popobíhat (v-w11015f2)")</f>
        <v>popobíhat (v-w11015f2)</v>
      </c>
    </row>
    <row r="28595" customFormat="false" ht="12.8" hidden="false" customHeight="false" outlineLevel="0" collapsed="false">
      <c r="B28595" s="0" t="s">
        <v>7</v>
      </c>
      <c r="C28595" s="0" t="s">
        <v>191</v>
      </c>
      <c r="D28595" s="0" t="s">
        <v>1111</v>
      </c>
      <c r="E28595" s="0" t="s">
        <v>1111</v>
      </c>
      <c r="F28595" s="0" t="s">
        <v>1111</v>
      </c>
    </row>
    <row r="28597" customFormat="false" ht="12.8" hidden="false" customHeight="false" outlineLevel="0" collapsed="false">
      <c r="A28597" s="0" t="s">
        <v>10608</v>
      </c>
      <c r="B28597" s="0" t="str">
        <f aca="false">HYPERLINK("https://lindat.mff.cuni.cz/services/teitok/pdtc10/index.php?action=vallex&amp;frame=v-w10829f2", "popohnat (v-w10829f2)")</f>
        <v>popohnat (v-w10829f2)</v>
      </c>
    </row>
    <row r="28598" customFormat="false" ht="12.8" hidden="false" customHeight="false" outlineLevel="0" collapsed="false">
      <c r="B28598" s="0" t="s">
        <v>7</v>
      </c>
      <c r="C28598" s="0" t="s">
        <v>10609</v>
      </c>
      <c r="D28598" s="0" t="s">
        <v>10610</v>
      </c>
      <c r="E28598" s="0" t="s">
        <v>10610</v>
      </c>
      <c r="F28598" s="0" t="s">
        <v>10610</v>
      </c>
    </row>
    <row r="28599" customFormat="false" ht="12.8" hidden="false" customHeight="false" outlineLevel="0" collapsed="false">
      <c r="B28599" s="0" t="s">
        <v>14</v>
      </c>
      <c r="C28599" s="0" t="s">
        <v>413</v>
      </c>
      <c r="D28599" s="0" t="s">
        <v>5103</v>
      </c>
      <c r="E28599" s="0" t="s">
        <v>5103</v>
      </c>
      <c r="F28599" s="0" t="s">
        <v>5103</v>
      </c>
    </row>
    <row r="28601" customFormat="false" ht="12.8" hidden="false" customHeight="false" outlineLevel="0" collapsed="false">
      <c r="A28601" s="0" t="s">
        <v>10611</v>
      </c>
      <c r="B28601" s="0" t="str">
        <f aca="false">HYPERLINK("https://lindat.mff.cuni.cz/services/teitok/pdtc10/index.php?action=vallex&amp;frame=v-w12172_ZUf1_ZU", "popohánět (v-w12172_ZUf1_ZU)")</f>
        <v>popohánět (v-w12172_ZUf1_ZU)</v>
      </c>
    </row>
    <row r="28602" customFormat="false" ht="12.8" hidden="false" customHeight="false" outlineLevel="0" collapsed="false">
      <c r="B28602" s="0" t="s">
        <v>7</v>
      </c>
    </row>
    <row r="28603" customFormat="false" ht="12.8" hidden="false" customHeight="false" outlineLevel="0" collapsed="false">
      <c r="B28603" s="0" t="s">
        <v>14</v>
      </c>
    </row>
    <row r="28605" customFormat="false" ht="12.8" hidden="false" customHeight="false" outlineLevel="0" collapsed="false">
      <c r="A28605" s="0" t="s">
        <v>10612</v>
      </c>
      <c r="B28605" s="0" t="str">
        <f aca="false">HYPERLINK("https://lindat.mff.cuni.cz/services/teitok/pdtc10/index.php?action=vallex&amp;frame=v-whsa_1705hsa_1706", "popojet (v-whsa_1705hsa_1706)")</f>
        <v>popojet (v-whsa_1705hsa_1706)</v>
      </c>
    </row>
    <row r="28606" customFormat="false" ht="12.8" hidden="false" customHeight="false" outlineLevel="0" collapsed="false">
      <c r="B28606" s="0" t="s">
        <v>7</v>
      </c>
    </row>
    <row r="28608" customFormat="false" ht="12.8" hidden="false" customHeight="false" outlineLevel="0" collapsed="false">
      <c r="A28608" s="0" t="s">
        <v>10613</v>
      </c>
      <c r="B28608" s="0" t="str">
        <f aca="false">HYPERLINK("https://lindat.mff.cuni.cz/services/teitok/pdtc10/index.php?action=vallex&amp;frame=v-whsa_1705hsa_1707", "popojet (v-whsa_1705hsa_1707)")</f>
        <v>popojet (v-whsa_1705hsa_1707)</v>
      </c>
    </row>
    <row r="28609" customFormat="false" ht="12.8" hidden="false" customHeight="false" outlineLevel="0" collapsed="false">
      <c r="B28609" s="0" t="s">
        <v>7</v>
      </c>
    </row>
    <row r="28610" customFormat="false" ht="12.8" hidden="false" customHeight="false" outlineLevel="0" collapsed="false">
      <c r="B28610" s="0" t="s">
        <v>124</v>
      </c>
    </row>
    <row r="28612" customFormat="false" ht="12.8" hidden="false" customHeight="false" outlineLevel="0" collapsed="false">
      <c r="A28612" s="0" t="s">
        <v>10614</v>
      </c>
      <c r="B28612" s="0" t="str">
        <f aca="false">HYPERLINK("https://lindat.mff.cuni.cz/services/teitok/pdtc10/index.php?action=vallex&amp;frame=v-w10300f3", "popojít (v-w10300f3)")</f>
        <v>popojít (v-w10300f3)</v>
      </c>
    </row>
    <row r="28613" customFormat="false" ht="12.8" hidden="false" customHeight="false" outlineLevel="0" collapsed="false">
      <c r="B28613" s="0" t="s">
        <v>7</v>
      </c>
      <c r="C28613" s="0" t="s">
        <v>118</v>
      </c>
      <c r="D28613" s="0" t="s">
        <v>126</v>
      </c>
      <c r="E28613" s="0" t="s">
        <v>194</v>
      </c>
      <c r="F28613" s="0" t="s">
        <v>194</v>
      </c>
    </row>
    <row r="28615" customFormat="false" ht="12.8" hidden="false" customHeight="false" outlineLevel="0" collapsed="false">
      <c r="A28615" s="0" t="s">
        <v>10615</v>
      </c>
      <c r="B28615" s="0" t="str">
        <f aca="false">HYPERLINK("https://lindat.mff.cuni.cz/services/teitok/pdtc10/index.php?action=vallex&amp;frame=v-w3880f1", "popojíždět (v-w3880f1)")</f>
        <v>popojíždět (v-w3880f1)</v>
      </c>
    </row>
    <row r="28616" customFormat="false" ht="12.8" hidden="false" customHeight="false" outlineLevel="0" collapsed="false">
      <c r="B28616" s="0" t="s">
        <v>7</v>
      </c>
    </row>
    <row r="28618" customFormat="false" ht="12.8" hidden="false" customHeight="false" outlineLevel="0" collapsed="false">
      <c r="A28618" s="0" t="s">
        <v>10616</v>
      </c>
      <c r="B28618" s="0" t="str">
        <f aca="false">HYPERLINK("https://lindat.mff.cuni.cz/services/teitok/pdtc10/index.php?action=vallex&amp;frame=v-whsa_669hsa_670", "poponést (v-whsa_669hsa_670)")</f>
        <v>poponést (v-whsa_669hsa_670)</v>
      </c>
    </row>
    <row r="28619" customFormat="false" ht="12.8" hidden="false" customHeight="false" outlineLevel="0" collapsed="false">
      <c r="B28619" s="0" t="s">
        <v>7</v>
      </c>
    </row>
    <row r="28620" customFormat="false" ht="12.8" hidden="false" customHeight="false" outlineLevel="0" collapsed="false">
      <c r="B28620" s="0" t="s">
        <v>14</v>
      </c>
    </row>
    <row r="28622" customFormat="false" ht="12.8" hidden="false" customHeight="false" outlineLevel="0" collapsed="false">
      <c r="A28622" s="0" t="s">
        <v>10617</v>
      </c>
      <c r="B28622" s="0" t="str">
        <f aca="false">HYPERLINK("https://lindat.mff.cuni.cz/services/teitok/pdtc10/index.php?action=vallex&amp;frame=v-w10417f2", "poporůst (v-w10417f2)")</f>
        <v>poporůst (v-w10417f2)</v>
      </c>
    </row>
    <row r="28623" customFormat="false" ht="12.8" hidden="false" customHeight="false" outlineLevel="0" collapsed="false">
      <c r="B28623" s="0" t="s">
        <v>7</v>
      </c>
      <c r="D28623" s="0" t="s">
        <v>4495</v>
      </c>
      <c r="E28623" s="0" t="s">
        <v>4495</v>
      </c>
      <c r="F28623" s="0" t="s">
        <v>4495</v>
      </c>
    </row>
    <row r="28624" customFormat="false" ht="12.8" hidden="false" customHeight="false" outlineLevel="0" collapsed="false">
      <c r="B28624" s="0" t="s">
        <v>63</v>
      </c>
      <c r="D28624" s="0" t="s">
        <v>4496</v>
      </c>
      <c r="E28624" s="0" t="s">
        <v>4496</v>
      </c>
      <c r="F28624" s="0" t="s">
        <v>4496</v>
      </c>
    </row>
    <row r="28625" customFormat="false" ht="12.8" hidden="false" customHeight="false" outlineLevel="0" collapsed="false">
      <c r="B28625" s="0" t="s">
        <v>35</v>
      </c>
      <c r="D28625" s="0" t="s">
        <v>4497</v>
      </c>
      <c r="E28625" s="0" t="s">
        <v>4497</v>
      </c>
      <c r="F28625" s="0" t="s">
        <v>4497</v>
      </c>
    </row>
    <row r="28627" customFormat="false" ht="12.8" hidden="false" customHeight="false" outlineLevel="0" collapsed="false">
      <c r="A28627" s="0" t="s">
        <v>10618</v>
      </c>
      <c r="B28627" s="0" t="str">
        <f aca="false">HYPERLINK("https://lindat.mff.cuni.cz/services/teitok/pdtc10/index.php?action=vallex&amp;frame=v-whsa_224hsa_225", "popouzet (v-whsa_224hsa_225)")</f>
        <v>popouzet (v-whsa_224hsa_225)</v>
      </c>
    </row>
    <row r="28628" customFormat="false" ht="12.8" hidden="false" customHeight="false" outlineLevel="0" collapsed="false">
      <c r="B28628" s="0" t="s">
        <v>7</v>
      </c>
      <c r="C28628" s="0" t="s">
        <v>46</v>
      </c>
      <c r="D28628" s="0" t="s">
        <v>465</v>
      </c>
      <c r="E28628" s="0" t="s">
        <v>465</v>
      </c>
      <c r="F28628" s="0" t="s">
        <v>465</v>
      </c>
    </row>
    <row r="28629" customFormat="false" ht="12.8" hidden="false" customHeight="false" outlineLevel="0" collapsed="false">
      <c r="B28629" s="0" t="s">
        <v>14</v>
      </c>
      <c r="C28629" s="0" t="s">
        <v>47</v>
      </c>
      <c r="D28629" s="0" t="s">
        <v>1571</v>
      </c>
      <c r="E28629" s="0" t="s">
        <v>1571</v>
      </c>
      <c r="F28629" s="0" t="s">
        <v>1571</v>
      </c>
    </row>
    <row r="28631" customFormat="false" ht="12.8" hidden="false" customHeight="false" outlineLevel="0" collapsed="false">
      <c r="A28631" s="0" t="s">
        <v>10619</v>
      </c>
      <c r="B28631" s="0" t="str">
        <f aca="false">HYPERLINK("https://lindat.mff.cuni.cz/services/teitok/pdtc10/index.php?action=vallex&amp;frame=v-whsa_189hsa_190", "popovézt (v-whsa_189hsa_190)")</f>
        <v>popovézt (v-whsa_189hsa_190)</v>
      </c>
    </row>
    <row r="28632" customFormat="false" ht="12.8" hidden="false" customHeight="false" outlineLevel="0" collapsed="false">
      <c r="B28632" s="0" t="s">
        <v>7</v>
      </c>
    </row>
    <row r="28633" customFormat="false" ht="12.8" hidden="false" customHeight="false" outlineLevel="0" collapsed="false">
      <c r="B28633" s="0" t="s">
        <v>14</v>
      </c>
    </row>
    <row r="28635" customFormat="false" ht="12.8" hidden="false" customHeight="false" outlineLevel="0" collapsed="false">
      <c r="A28635" s="0" t="s">
        <v>10620</v>
      </c>
      <c r="B28635" s="0" t="str">
        <f aca="false">HYPERLINK("https://lindat.mff.cuni.cz/services/teitok/pdtc10/index.php?action=vallex&amp;frame=v-whsa_1734f1_MM", "popovídat (v-whsa_1734f1_MM)")</f>
        <v>popovídat (v-whsa_1734f1_MM)</v>
      </c>
    </row>
    <row r="28636" customFormat="false" ht="12.8" hidden="false" customHeight="false" outlineLevel="0" collapsed="false">
      <c r="B28636" s="0" t="s">
        <v>7</v>
      </c>
    </row>
    <row r="28637" customFormat="false" ht="12.8" hidden="false" customHeight="false" outlineLevel="0" collapsed="false">
      <c r="B28637" s="0" t="s">
        <v>48</v>
      </c>
    </row>
    <row r="28638" customFormat="false" ht="12.8" hidden="false" customHeight="false" outlineLevel="0" collapsed="false">
      <c r="B28638" s="0" t="s">
        <v>5525</v>
      </c>
    </row>
    <row r="28639" customFormat="false" ht="12.8" hidden="false" customHeight="false" outlineLevel="0" collapsed="false">
      <c r="B28639" s="0" t="s">
        <v>363</v>
      </c>
    </row>
    <row r="28641" customFormat="false" ht="12.8" hidden="false" customHeight="false" outlineLevel="0" collapsed="false">
      <c r="A28641" s="0" t="s">
        <v>10621</v>
      </c>
      <c r="B28641" s="0" t="str">
        <f aca="false">HYPERLINK("https://lindat.mff.cuni.cz/services/teitok/pdtc10/index.php?action=vallex&amp;frame=v-whsa_1734hsa_1735", "popovídat (v-whsa_1734hsa_1735)")</f>
        <v>popovídat (v-whsa_1734hsa_1735)</v>
      </c>
    </row>
    <row r="28642" customFormat="false" ht="12.8" hidden="false" customHeight="false" outlineLevel="0" collapsed="false">
      <c r="B28642" s="0" t="s">
        <v>7</v>
      </c>
    </row>
    <row r="28643" customFormat="false" ht="12.8" hidden="false" customHeight="false" outlineLevel="0" collapsed="false">
      <c r="B28643" s="0" t="s">
        <v>244</v>
      </c>
    </row>
    <row r="28644" customFormat="false" ht="12.8" hidden="false" customHeight="false" outlineLevel="0" collapsed="false">
      <c r="B28644" s="0" t="s">
        <v>207</v>
      </c>
    </row>
    <row r="28646" customFormat="false" ht="12.8" hidden="false" customHeight="false" outlineLevel="0" collapsed="false">
      <c r="A28646" s="0" t="s">
        <v>10622</v>
      </c>
      <c r="B28646" s="0" t="str">
        <f aca="false">HYPERLINK("https://lindat.mff.cuni.cz/services/teitok/pdtc10/index.php?action=vallex&amp;frame=v-w3881f1", "popovídat si (v-w3881f1)")</f>
        <v>popovídat si (v-w3881f1)</v>
      </c>
    </row>
    <row r="28647" customFormat="false" ht="12.8" hidden="false" customHeight="false" outlineLevel="0" collapsed="false">
      <c r="B28647" s="0" t="s">
        <v>7</v>
      </c>
      <c r="C28647" s="0" t="s">
        <v>1456</v>
      </c>
      <c r="D28647" s="0" t="s">
        <v>209</v>
      </c>
      <c r="E28647" s="0" t="s">
        <v>209</v>
      </c>
      <c r="F28647" s="0" t="s">
        <v>209</v>
      </c>
    </row>
    <row r="28648" customFormat="false" ht="12.8" hidden="false" customHeight="false" outlineLevel="0" collapsed="false">
      <c r="B28648" s="0" t="s">
        <v>244</v>
      </c>
      <c r="C28648" s="0" t="s">
        <v>2013</v>
      </c>
      <c r="D28648" s="0" t="s">
        <v>211</v>
      </c>
      <c r="E28648" s="0" t="s">
        <v>211</v>
      </c>
      <c r="F28648" s="0" t="s">
        <v>211</v>
      </c>
    </row>
    <row r="28649" customFormat="false" ht="12.8" hidden="false" customHeight="false" outlineLevel="0" collapsed="false">
      <c r="B28649" s="0" t="s">
        <v>207</v>
      </c>
      <c r="C28649" s="0" t="s">
        <v>212</v>
      </c>
      <c r="D28649" s="0" t="s">
        <v>213</v>
      </c>
      <c r="E28649" s="0" t="s">
        <v>213</v>
      </c>
      <c r="F28649" s="0" t="s">
        <v>213</v>
      </c>
    </row>
    <row r="28651" customFormat="false" ht="12.8" hidden="false" customHeight="false" outlineLevel="0" collapsed="false">
      <c r="A28651" s="0" t="s">
        <v>10623</v>
      </c>
      <c r="B28651" s="0" t="str">
        <f aca="false">HYPERLINK("https://lindat.mff.cuni.cz/services/teitok/pdtc10/index.php?action=vallex&amp;frame=v-w3881f2", "popovídat si (v-w3881f2)")</f>
        <v>popovídat si (v-w3881f2)</v>
      </c>
    </row>
    <row r="28652" customFormat="false" ht="12.8" hidden="false" customHeight="false" outlineLevel="0" collapsed="false">
      <c r="B28652" s="0" t="s">
        <v>7</v>
      </c>
    </row>
    <row r="28653" customFormat="false" ht="12.8" hidden="false" customHeight="false" outlineLevel="0" collapsed="false">
      <c r="B28653" s="0" t="s">
        <v>207</v>
      </c>
    </row>
    <row r="28654" customFormat="false" ht="12.8" hidden="false" customHeight="false" outlineLevel="0" collapsed="false">
      <c r="B28654" s="0" t="s">
        <v>5518</v>
      </c>
    </row>
    <row r="28655" customFormat="false" ht="12.8" hidden="false" customHeight="false" outlineLevel="0" collapsed="false">
      <c r="B28655" s="0" t="s">
        <v>363</v>
      </c>
    </row>
    <row r="28657" customFormat="false" ht="12.8" hidden="false" customHeight="false" outlineLevel="0" collapsed="false">
      <c r="A28657" s="0" t="s">
        <v>10624</v>
      </c>
      <c r="B28657" s="0" t="str">
        <f aca="false">HYPERLINK("https://lindat.mff.cuni.cz/services/teitok/pdtc10/index.php?action=vallex&amp;frame=v-w10697f2", "popraskat (v-w10697f2)")</f>
        <v>popraskat (v-w10697f2)</v>
      </c>
    </row>
    <row r="28658" customFormat="false" ht="12.8" hidden="false" customHeight="false" outlineLevel="0" collapsed="false">
      <c r="B28658" s="0" t="s">
        <v>7</v>
      </c>
    </row>
    <row r="28659" customFormat="false" ht="12.8" hidden="false" customHeight="false" outlineLevel="0" collapsed="false">
      <c r="B28659" s="0" t="s">
        <v>14</v>
      </c>
    </row>
    <row r="28661" customFormat="false" ht="12.8" hidden="false" customHeight="false" outlineLevel="0" collapsed="false">
      <c r="A28661" s="0" t="s">
        <v>10625</v>
      </c>
      <c r="B28661" s="0" t="str">
        <f aca="false">HYPERLINK("https://lindat.mff.cuni.cz/services/teitok/pdtc10/index.php?action=vallex&amp;frame=v-w10697hsa_313", "popraskat (v-w10697hsa_313)")</f>
        <v>popraskat (v-w10697hsa_313)</v>
      </c>
    </row>
    <row r="28662" customFormat="false" ht="12.8" hidden="false" customHeight="false" outlineLevel="0" collapsed="false">
      <c r="B28662" s="0" t="s">
        <v>7</v>
      </c>
      <c r="C28662" s="0" t="s">
        <v>1378</v>
      </c>
      <c r="D28662" s="0" t="s">
        <v>10626</v>
      </c>
      <c r="E28662" s="0" t="s">
        <v>10626</v>
      </c>
      <c r="F28662" s="0" t="s">
        <v>10626</v>
      </c>
    </row>
    <row r="28664" customFormat="false" ht="12.8" hidden="false" customHeight="false" outlineLevel="0" collapsed="false">
      <c r="A28664" s="0" t="s">
        <v>10627</v>
      </c>
      <c r="B28664" s="0" t="str">
        <f aca="false">HYPERLINK("https://lindat.mff.cuni.cz/services/teitok/pdtc10/index.php?action=vallex&amp;frame=v-w3882f1", "poprat se (v-w3882f1)")</f>
        <v>poprat se (v-w3882f1)</v>
      </c>
    </row>
    <row r="28665" customFormat="false" ht="12.8" hidden="false" customHeight="false" outlineLevel="0" collapsed="false">
      <c r="B28665" s="0" t="s">
        <v>7</v>
      </c>
    </row>
    <row r="28666" customFormat="false" ht="12.8" hidden="false" customHeight="false" outlineLevel="0" collapsed="false">
      <c r="B28666" s="0" t="s">
        <v>207</v>
      </c>
    </row>
    <row r="28667" customFormat="false" ht="12.8" hidden="false" customHeight="false" outlineLevel="0" collapsed="false">
      <c r="B28667" s="0" t="s">
        <v>2721</v>
      </c>
    </row>
    <row r="28669" customFormat="false" ht="12.8" hidden="false" customHeight="false" outlineLevel="0" collapsed="false">
      <c r="A28669" s="0" t="s">
        <v>10628</v>
      </c>
      <c r="B28669" s="0" t="str">
        <f aca="false">HYPERLINK("https://lindat.mff.cuni.cz/services/teitok/pdtc10/index.php?action=vallex&amp;frame=v-w3884f1", "popravit (v-w3884f1)")</f>
        <v>popravit (v-w3884f1)</v>
      </c>
    </row>
    <row r="28670" customFormat="false" ht="12.8" hidden="false" customHeight="false" outlineLevel="0" collapsed="false">
      <c r="B28670" s="0" t="s">
        <v>7</v>
      </c>
      <c r="D28670" s="0" t="s">
        <v>5057</v>
      </c>
      <c r="E28670" s="0" t="s">
        <v>5057</v>
      </c>
      <c r="F28670" s="0" t="s">
        <v>5057</v>
      </c>
    </row>
    <row r="28671" customFormat="false" ht="12.8" hidden="false" customHeight="false" outlineLevel="0" collapsed="false">
      <c r="B28671" s="0" t="s">
        <v>14</v>
      </c>
      <c r="C28671" s="0" t="s">
        <v>47</v>
      </c>
      <c r="D28671" s="0" t="s">
        <v>8042</v>
      </c>
      <c r="E28671" s="0" t="s">
        <v>8042</v>
      </c>
      <c r="F28671" s="0" t="s">
        <v>8042</v>
      </c>
    </row>
    <row r="28673" customFormat="false" ht="12.8" hidden="false" customHeight="false" outlineLevel="0" collapsed="false">
      <c r="A28673" s="0" t="s">
        <v>10629</v>
      </c>
      <c r="B28673" s="0" t="str">
        <f aca="false">HYPERLINK("https://lindat.mff.cuni.cz/services/teitok/pdtc10/index.php?action=vallex&amp;frame=v-w3885f1", "poprosit (v-w3885f1)")</f>
        <v>poprosit (v-w3885f1)</v>
      </c>
    </row>
    <row r="28674" customFormat="false" ht="12.8" hidden="false" customHeight="false" outlineLevel="0" collapsed="false">
      <c r="B28674" s="0" t="s">
        <v>7</v>
      </c>
      <c r="D28674" s="0" t="s">
        <v>5448</v>
      </c>
      <c r="E28674" s="0" t="s">
        <v>5448</v>
      </c>
      <c r="F28674" s="0" t="s">
        <v>5448</v>
      </c>
    </row>
    <row r="28675" customFormat="false" ht="12.8" hidden="false" customHeight="false" outlineLevel="0" collapsed="false">
      <c r="B28675" s="0" t="s">
        <v>10630</v>
      </c>
      <c r="D28675" s="0" t="s">
        <v>5449</v>
      </c>
      <c r="E28675" s="0" t="s">
        <v>5449</v>
      </c>
      <c r="F28675" s="0" t="s">
        <v>5449</v>
      </c>
    </row>
    <row r="28676" customFormat="false" ht="12.8" hidden="false" customHeight="false" outlineLevel="0" collapsed="false">
      <c r="B28676" s="0" t="s">
        <v>81</v>
      </c>
      <c r="D28676" s="0" t="s">
        <v>10631</v>
      </c>
      <c r="E28676" s="0" t="s">
        <v>10631</v>
      </c>
      <c r="F28676" s="0" t="s">
        <v>10631</v>
      </c>
    </row>
    <row r="28678" customFormat="false" ht="12.8" hidden="false" customHeight="false" outlineLevel="0" collapsed="false">
      <c r="A28678" s="0" t="s">
        <v>10632</v>
      </c>
      <c r="B28678" s="0" t="str">
        <f aca="false">HYPERLINK("https://lindat.mff.cuni.cz/services/teitok/pdtc10/index.php?action=vallex&amp;frame=v-w3891f2", "popsat (v-w3891f2)")</f>
        <v>popsat (v-w3891f2)</v>
      </c>
    </row>
    <row r="28679" customFormat="false" ht="12.8" hidden="false" customHeight="false" outlineLevel="0" collapsed="false">
      <c r="B28679" s="0" t="s">
        <v>7</v>
      </c>
      <c r="C28679" s="0" t="s">
        <v>4231</v>
      </c>
      <c r="D28679" s="0" t="s">
        <v>5322</v>
      </c>
      <c r="E28679" s="0" t="s">
        <v>5322</v>
      </c>
      <c r="F28679" s="0" t="s">
        <v>5322</v>
      </c>
    </row>
    <row r="28680" customFormat="false" ht="12.8" hidden="false" customHeight="false" outlineLevel="0" collapsed="false">
      <c r="B28680" s="0" t="s">
        <v>172</v>
      </c>
      <c r="C28680" s="0" t="s">
        <v>2685</v>
      </c>
      <c r="D28680" s="0" t="s">
        <v>5323</v>
      </c>
      <c r="E28680" s="0" t="s">
        <v>5323</v>
      </c>
      <c r="F28680" s="0" t="s">
        <v>5323</v>
      </c>
    </row>
    <row r="28681" customFormat="false" ht="12.8" hidden="false" customHeight="false" outlineLevel="0" collapsed="false">
      <c r="B28681" s="0" t="s">
        <v>106</v>
      </c>
      <c r="D28681" s="0" t="s">
        <v>5324</v>
      </c>
      <c r="E28681" s="0" t="s">
        <v>5324</v>
      </c>
      <c r="F28681" s="0" t="s">
        <v>5324</v>
      </c>
    </row>
    <row r="28683" customFormat="false" ht="12.8" hidden="false" customHeight="false" outlineLevel="0" collapsed="false">
      <c r="A28683" s="0" t="s">
        <v>10633</v>
      </c>
      <c r="B28683" s="0" t="str">
        <f aca="false">HYPERLINK("https://lindat.mff.cuni.cz/services/teitok/pdtc10/index.php?action=vallex&amp;frame=v-w3891f1", "popsat (v-w3891f1)")</f>
        <v>popsat (v-w3891f1)</v>
      </c>
    </row>
    <row r="28684" customFormat="false" ht="12.8" hidden="false" customHeight="false" outlineLevel="0" collapsed="false">
      <c r="B28684" s="0" t="s">
        <v>7</v>
      </c>
      <c r="C28684" s="0" t="s">
        <v>2797</v>
      </c>
      <c r="D28684" s="0" t="s">
        <v>140</v>
      </c>
      <c r="E28684" s="0" t="s">
        <v>140</v>
      </c>
      <c r="F28684" s="0" t="s">
        <v>140</v>
      </c>
    </row>
    <row r="28685" customFormat="false" ht="12.8" hidden="false" customHeight="false" outlineLevel="0" collapsed="false">
      <c r="B28685" s="0" t="s">
        <v>14</v>
      </c>
      <c r="C28685" s="0" t="s">
        <v>1168</v>
      </c>
      <c r="D28685" s="0" t="s">
        <v>1155</v>
      </c>
      <c r="E28685" s="0" t="s">
        <v>1155</v>
      </c>
      <c r="F28685" s="0" t="s">
        <v>1155</v>
      </c>
    </row>
    <row r="28687" customFormat="false" ht="12.8" hidden="false" customHeight="false" outlineLevel="0" collapsed="false">
      <c r="A28687" s="0" t="s">
        <v>10634</v>
      </c>
      <c r="B28687" s="0" t="str">
        <f aca="false">HYPERLINK("https://lindat.mff.cuni.cz/services/teitok/pdtc10/index.php?action=vallex&amp;frame=v-w3891f3", "popsat (v-w3891f3)")</f>
        <v>popsat (v-w3891f3)</v>
      </c>
    </row>
    <row r="28688" customFormat="false" ht="12.8" hidden="false" customHeight="false" outlineLevel="0" collapsed="false">
      <c r="B28688" s="0" t="s">
        <v>7</v>
      </c>
      <c r="D28688" s="0" t="s">
        <v>46</v>
      </c>
      <c r="E28688" s="0" t="s">
        <v>46</v>
      </c>
      <c r="F28688" s="0" t="s">
        <v>46</v>
      </c>
    </row>
    <row r="28689" customFormat="false" ht="12.8" hidden="false" customHeight="false" outlineLevel="0" collapsed="false">
      <c r="B28689" s="0" t="s">
        <v>14</v>
      </c>
      <c r="D28689" s="0" t="s">
        <v>6903</v>
      </c>
      <c r="E28689" s="0" t="s">
        <v>6903</v>
      </c>
      <c r="F28689" s="0" t="s">
        <v>6903</v>
      </c>
    </row>
    <row r="28691" customFormat="false" ht="12.8" hidden="false" customHeight="false" outlineLevel="0" collapsed="false">
      <c r="A28691" s="0" t="s">
        <v>10635</v>
      </c>
      <c r="B28691" s="0" t="str">
        <f aca="false">HYPERLINK("https://lindat.mff.cuni.cz/services/teitok/pdtc10/index.php?action=vallex&amp;frame=v-w11007f2", "poptávat (v-w11007f2)")</f>
        <v>poptávat (v-w11007f2)</v>
      </c>
    </row>
    <row r="28692" customFormat="false" ht="12.8" hidden="false" customHeight="false" outlineLevel="0" collapsed="false">
      <c r="B28692" s="0" t="s">
        <v>7</v>
      </c>
      <c r="C28692" s="0" t="s">
        <v>5428</v>
      </c>
      <c r="D28692" s="0" t="s">
        <v>10636</v>
      </c>
      <c r="E28692" s="0" t="s">
        <v>10636</v>
      </c>
      <c r="F28692" s="0" t="s">
        <v>10636</v>
      </c>
    </row>
    <row r="28693" customFormat="false" ht="12.8" hidden="false" customHeight="false" outlineLevel="0" collapsed="false">
      <c r="B28693" s="0" t="s">
        <v>14</v>
      </c>
      <c r="C28693" s="0" t="s">
        <v>5429</v>
      </c>
      <c r="D28693" s="0" t="s">
        <v>10637</v>
      </c>
      <c r="E28693" s="0" t="s">
        <v>10637</v>
      </c>
      <c r="F28693" s="0" t="s">
        <v>10637</v>
      </c>
    </row>
    <row r="28695" customFormat="false" ht="12.8" hidden="false" customHeight="false" outlineLevel="0" collapsed="false">
      <c r="A28695" s="0" t="s">
        <v>10638</v>
      </c>
      <c r="B28695" s="0" t="str">
        <f aca="false">HYPERLINK("https://lindat.mff.cuni.cz/services/teitok/pdtc10/index.php?action=vallex&amp;frame=v-w3894f2", "popudit (v-w3894f2)")</f>
        <v>popudit (v-w3894f2)</v>
      </c>
    </row>
    <row r="28696" customFormat="false" ht="12.8" hidden="false" customHeight="false" outlineLevel="0" collapsed="false">
      <c r="B28696" s="0" t="s">
        <v>7</v>
      </c>
    </row>
    <row r="28697" customFormat="false" ht="12.8" hidden="false" customHeight="false" outlineLevel="0" collapsed="false">
      <c r="B28697" s="0" t="s">
        <v>10005</v>
      </c>
    </row>
    <row r="28698" customFormat="false" ht="12.8" hidden="false" customHeight="false" outlineLevel="0" collapsed="false">
      <c r="B28698" s="0" t="s">
        <v>81</v>
      </c>
    </row>
    <row r="28700" customFormat="false" ht="12.8" hidden="false" customHeight="false" outlineLevel="0" collapsed="false">
      <c r="A28700" s="0" t="s">
        <v>10639</v>
      </c>
      <c r="B28700" s="0" t="str">
        <f aca="false">HYPERLINK("https://lindat.mff.cuni.cz/services/teitok/pdtc10/index.php?action=vallex&amp;frame=v-w3894f1", "popudit (v-w3894f1)")</f>
        <v>popudit (v-w3894f1)</v>
      </c>
    </row>
    <row r="28701" customFormat="false" ht="12.8" hidden="false" customHeight="false" outlineLevel="0" collapsed="false">
      <c r="B28701" s="0" t="s">
        <v>7</v>
      </c>
      <c r="C28701" s="0" t="s">
        <v>623</v>
      </c>
      <c r="D28701" s="0" t="s">
        <v>191</v>
      </c>
      <c r="E28701" s="0" t="s">
        <v>191</v>
      </c>
      <c r="F28701" s="0" t="s">
        <v>191</v>
      </c>
    </row>
    <row r="28702" customFormat="false" ht="12.8" hidden="false" customHeight="false" outlineLevel="0" collapsed="false">
      <c r="B28702" s="0" t="s">
        <v>4406</v>
      </c>
      <c r="D28702" s="0" t="s">
        <v>1544</v>
      </c>
      <c r="E28702" s="0" t="s">
        <v>1544</v>
      </c>
      <c r="F28702" s="0" t="s">
        <v>1544</v>
      </c>
    </row>
    <row r="28703" customFormat="false" ht="12.8" hidden="false" customHeight="false" outlineLevel="0" collapsed="false">
      <c r="B28703" s="0" t="s">
        <v>81</v>
      </c>
      <c r="C28703" s="0" t="s">
        <v>7947</v>
      </c>
      <c r="D28703" s="0" t="s">
        <v>3323</v>
      </c>
      <c r="E28703" s="0" t="s">
        <v>3323</v>
      </c>
      <c r="F28703" s="0" t="s">
        <v>3323</v>
      </c>
    </row>
    <row r="28705" customFormat="false" ht="12.8" hidden="false" customHeight="false" outlineLevel="0" collapsed="false">
      <c r="A28705" s="0" t="s">
        <v>10640</v>
      </c>
      <c r="B28705" s="0" t="str">
        <f aca="false">HYPERLINK("https://lindat.mff.cuni.cz/services/teitok/pdtc10/index.php?action=vallex&amp;frame=v-w3894f3", "popudit (v-w3894f3)")</f>
        <v>popudit (v-w3894f3)</v>
      </c>
    </row>
    <row r="28706" customFormat="false" ht="12.8" hidden="false" customHeight="false" outlineLevel="0" collapsed="false">
      <c r="B28706" s="0" t="s">
        <v>7</v>
      </c>
      <c r="C28706" s="0" t="s">
        <v>113</v>
      </c>
      <c r="D28706" s="0" t="s">
        <v>465</v>
      </c>
      <c r="E28706" s="0" t="s">
        <v>465</v>
      </c>
      <c r="F28706" s="0" t="s">
        <v>465</v>
      </c>
    </row>
    <row r="28707" customFormat="false" ht="12.8" hidden="false" customHeight="false" outlineLevel="0" collapsed="false">
      <c r="B28707" s="0" t="s">
        <v>14</v>
      </c>
      <c r="C28707" s="0" t="s">
        <v>47</v>
      </c>
      <c r="D28707" s="0" t="s">
        <v>1571</v>
      </c>
      <c r="E28707" s="0" t="s">
        <v>1571</v>
      </c>
      <c r="F28707" s="0" t="s">
        <v>1571</v>
      </c>
    </row>
    <row r="28709" customFormat="false" ht="12.8" hidden="false" customHeight="false" outlineLevel="0" collapsed="false">
      <c r="A28709" s="0" t="s">
        <v>10641</v>
      </c>
      <c r="B28709" s="0" t="str">
        <f aca="false">HYPERLINK("https://lindat.mff.cuni.cz/services/teitok/pdtc10/index.php?action=vallex&amp;frame=v-w3896f1", "popularizovat (v-w3896f1)")</f>
        <v>popularizovat (v-w3896f1)</v>
      </c>
    </row>
    <row r="28710" customFormat="false" ht="12.8" hidden="false" customHeight="false" outlineLevel="0" collapsed="false">
      <c r="B28710" s="0" t="s">
        <v>7</v>
      </c>
      <c r="C28710" s="0" t="s">
        <v>191</v>
      </c>
      <c r="D28710" s="0" t="s">
        <v>157</v>
      </c>
      <c r="E28710" s="0" t="s">
        <v>157</v>
      </c>
      <c r="F28710" s="0" t="s">
        <v>157</v>
      </c>
    </row>
    <row r="28711" customFormat="false" ht="12.8" hidden="false" customHeight="false" outlineLevel="0" collapsed="false">
      <c r="B28711" s="0" t="s">
        <v>14</v>
      </c>
      <c r="C28711" s="0" t="s">
        <v>155</v>
      </c>
      <c r="D28711" s="0" t="s">
        <v>2850</v>
      </c>
      <c r="E28711" s="0" t="s">
        <v>2850</v>
      </c>
      <c r="F28711" s="0" t="s">
        <v>2850</v>
      </c>
    </row>
    <row r="28713" customFormat="false" ht="12.8" hidden="false" customHeight="false" outlineLevel="0" collapsed="false">
      <c r="A28713" s="0" t="s">
        <v>10642</v>
      </c>
      <c r="B28713" s="0" t="str">
        <f aca="false">HYPERLINK("https://lindat.mff.cuni.cz/services/teitok/pdtc10/index.php?action=vallex&amp;frame=v-w3898f1", "poputovat (v-w3898f1)")</f>
        <v>poputovat (v-w3898f1)</v>
      </c>
    </row>
    <row r="28714" customFormat="false" ht="12.8" hidden="false" customHeight="false" outlineLevel="0" collapsed="false">
      <c r="B28714" s="0" t="s">
        <v>7</v>
      </c>
    </row>
    <row r="28716" customFormat="false" ht="12.8" hidden="false" customHeight="false" outlineLevel="0" collapsed="false">
      <c r="A28716" s="0" t="s">
        <v>10643</v>
      </c>
      <c r="B28716" s="0" t="str">
        <f aca="false">HYPERLINK("https://lindat.mff.cuni.cz/services/teitok/pdtc10/index.php?action=vallex&amp;frame=v-whsa_648hsa_649", "popuzovat (v-whsa_648hsa_649)")</f>
        <v>popuzovat (v-whsa_648hsa_649)</v>
      </c>
    </row>
    <row r="28717" customFormat="false" ht="12.8" hidden="false" customHeight="false" outlineLevel="0" collapsed="false">
      <c r="B28717" s="0" t="s">
        <v>7</v>
      </c>
      <c r="C28717" s="0" t="s">
        <v>191</v>
      </c>
      <c r="D28717" s="0" t="s">
        <v>465</v>
      </c>
      <c r="E28717" s="0" t="s">
        <v>465</v>
      </c>
      <c r="F28717" s="0" t="s">
        <v>465</v>
      </c>
    </row>
    <row r="28718" customFormat="false" ht="12.8" hidden="false" customHeight="false" outlineLevel="0" collapsed="false">
      <c r="B28718" s="0" t="s">
        <v>14</v>
      </c>
      <c r="C28718" s="0" t="s">
        <v>47</v>
      </c>
      <c r="D28718" s="0" t="s">
        <v>1571</v>
      </c>
      <c r="E28718" s="0" t="s">
        <v>1571</v>
      </c>
      <c r="F28718" s="0" t="s">
        <v>1571</v>
      </c>
    </row>
    <row r="28720" customFormat="false" ht="12.8" hidden="false" customHeight="false" outlineLevel="0" collapsed="false">
      <c r="A28720" s="0" t="s">
        <v>10644</v>
      </c>
      <c r="B28720" s="0" t="str">
        <f aca="false">HYPERLINK("https://lindat.mff.cuni.cz/services/teitok/pdtc10/index.php?action=vallex&amp;frame=v-whsa_1624hsa_1625", "popálit (v-whsa_1624hsa_1625)")</f>
        <v>popálit (v-whsa_1624hsa_1625)</v>
      </c>
    </row>
    <row r="28721" customFormat="false" ht="12.8" hidden="false" customHeight="false" outlineLevel="0" collapsed="false">
      <c r="B28721" s="0" t="s">
        <v>7</v>
      </c>
    </row>
    <row r="28722" customFormat="false" ht="12.8" hidden="false" customHeight="false" outlineLevel="0" collapsed="false">
      <c r="B28722" s="0" t="s">
        <v>14</v>
      </c>
    </row>
    <row r="28724" customFormat="false" ht="12.8" hidden="false" customHeight="false" outlineLevel="0" collapsed="false">
      <c r="A28724" s="0" t="s">
        <v>10645</v>
      </c>
      <c r="B28724" s="0" t="str">
        <f aca="false">HYPERLINK("https://lindat.mff.cuni.cz/services/teitok/pdtc10/index.php?action=vallex&amp;frame=v-w3864f1", "popásat (v-w3864f1)")</f>
        <v>popásat (v-w3864f1)</v>
      </c>
    </row>
    <row r="28725" customFormat="false" ht="12.8" hidden="false" customHeight="false" outlineLevel="0" collapsed="false">
      <c r="B28725" s="0" t="s">
        <v>7</v>
      </c>
    </row>
    <row r="28727" customFormat="false" ht="12.8" hidden="false" customHeight="false" outlineLevel="0" collapsed="false">
      <c r="A28727" s="0" t="s">
        <v>10646</v>
      </c>
      <c r="B28727" s="0" t="str">
        <f aca="false">HYPERLINK("https://lindat.mff.cuni.cz/services/teitok/pdtc10/index.php?action=vallex&amp;frame=v-w10889f2", "popíchnout (v-w10889f2)")</f>
        <v>popíchnout (v-w10889f2)</v>
      </c>
    </row>
    <row r="28728" customFormat="false" ht="12.8" hidden="false" customHeight="false" outlineLevel="0" collapsed="false">
      <c r="B28728" s="0" t="s">
        <v>7</v>
      </c>
    </row>
    <row r="28729" customFormat="false" ht="12.8" hidden="false" customHeight="false" outlineLevel="0" collapsed="false">
      <c r="B28729" s="0" t="s">
        <v>14</v>
      </c>
    </row>
    <row r="28731" customFormat="false" ht="12.8" hidden="false" customHeight="false" outlineLevel="0" collapsed="false">
      <c r="A28731" s="0" t="s">
        <v>10647</v>
      </c>
      <c r="B28731" s="0" t="str">
        <f aca="false">HYPERLINK("https://lindat.mff.cuni.cz/services/teitok/pdtc10/index.php?action=vallex&amp;frame=v-w3866f1", "popíjet (v-w3866f1)")</f>
        <v>popíjet (v-w3866f1)</v>
      </c>
    </row>
    <row r="28732" customFormat="false" ht="12.8" hidden="false" customHeight="false" outlineLevel="0" collapsed="false">
      <c r="B28732" s="0" t="s">
        <v>7</v>
      </c>
      <c r="C28732" s="0" t="s">
        <v>623</v>
      </c>
      <c r="D28732" s="0" t="s">
        <v>88</v>
      </c>
      <c r="E28732" s="0" t="s">
        <v>88</v>
      </c>
      <c r="F28732" s="0" t="s">
        <v>88</v>
      </c>
    </row>
    <row r="28733" customFormat="false" ht="12.8" hidden="false" customHeight="false" outlineLevel="0" collapsed="false">
      <c r="B28733" s="0" t="s">
        <v>14</v>
      </c>
      <c r="C28733" s="0" t="s">
        <v>1170</v>
      </c>
      <c r="D28733" s="0" t="s">
        <v>74</v>
      </c>
      <c r="E28733" s="0" t="s">
        <v>74</v>
      </c>
      <c r="F28733" s="0" t="s">
        <v>74</v>
      </c>
    </row>
    <row r="28735" customFormat="false" ht="12.8" hidden="false" customHeight="false" outlineLevel="0" collapsed="false">
      <c r="A28735" s="0" t="s">
        <v>10648</v>
      </c>
      <c r="B28735" s="0" t="str">
        <f aca="false">HYPERLINK("https://lindat.mff.cuni.cz/services/teitok/pdtc10/index.php?action=vallex&amp;frame=v-w3867f1", "popírat (v-w3867f1)")</f>
        <v>popírat (v-w3867f1)</v>
      </c>
    </row>
    <row r="28736" customFormat="false" ht="12.8" hidden="false" customHeight="false" outlineLevel="0" collapsed="false">
      <c r="B28736" s="0" t="s">
        <v>7</v>
      </c>
      <c r="C28736" s="0" t="s">
        <v>2051</v>
      </c>
      <c r="D28736" s="0" t="s">
        <v>305</v>
      </c>
      <c r="E28736" s="0" t="s">
        <v>305</v>
      </c>
      <c r="F28736" s="0" t="s">
        <v>305</v>
      </c>
    </row>
    <row r="28737" customFormat="false" ht="12.8" hidden="false" customHeight="false" outlineLevel="0" collapsed="false">
      <c r="B28737" s="0" t="s">
        <v>172</v>
      </c>
      <c r="C28737" s="0" t="s">
        <v>10649</v>
      </c>
      <c r="D28737" s="0" t="s">
        <v>307</v>
      </c>
      <c r="E28737" s="0" t="s">
        <v>307</v>
      </c>
      <c r="F28737" s="0" t="s">
        <v>307</v>
      </c>
    </row>
    <row r="28739" customFormat="false" ht="12.8" hidden="false" customHeight="false" outlineLevel="0" collapsed="false">
      <c r="A28739" s="0" t="s">
        <v>10650</v>
      </c>
      <c r="B28739" s="0" t="str">
        <f aca="false">HYPERLINK("https://lindat.mff.cuni.cz/services/teitok/pdtc10/index.php?action=vallex&amp;frame=v-w12330_MMf1_MM", "popít (v-w12330_MMf1_MM)")</f>
        <v>popít (v-w12330_MMf1_MM)</v>
      </c>
    </row>
    <row r="28740" customFormat="false" ht="12.8" hidden="false" customHeight="false" outlineLevel="0" collapsed="false">
      <c r="B28740" s="0" t="s">
        <v>7</v>
      </c>
    </row>
    <row r="28741" customFormat="false" ht="12.8" hidden="false" customHeight="false" outlineLevel="0" collapsed="false">
      <c r="B28741" s="0" t="s">
        <v>14</v>
      </c>
    </row>
    <row r="28743" customFormat="false" ht="12.8" hidden="false" customHeight="false" outlineLevel="0" collapsed="false">
      <c r="A28743" s="0" t="s">
        <v>10651</v>
      </c>
      <c r="B28743" s="0" t="str">
        <f aca="false">HYPERLINK("https://lindat.mff.cuni.cz/services/teitok/pdtc10/index.php?action=vallex&amp;frame=v-whsa_1560hsa_1561", "popít si (v-whsa_1560hsa_1561)")</f>
        <v>popít si (v-whsa_1560hsa_1561)</v>
      </c>
    </row>
    <row r="28744" customFormat="false" ht="12.8" hidden="false" customHeight="false" outlineLevel="0" collapsed="false">
      <c r="B28744" s="0" t="s">
        <v>7</v>
      </c>
    </row>
    <row r="28745" customFormat="false" ht="12.8" hidden="false" customHeight="false" outlineLevel="0" collapsed="false">
      <c r="B28745" s="0" t="s">
        <v>297</v>
      </c>
    </row>
    <row r="28747" customFormat="false" ht="12.8" hidden="false" customHeight="false" outlineLevel="0" collapsed="false">
      <c r="A28747" s="0" t="s">
        <v>10652</v>
      </c>
      <c r="B28747" s="0" t="str">
        <f aca="false">HYPERLINK("https://lindat.mff.cuni.cz/services/teitok/pdtc10/index.php?action=vallex&amp;frame=v-w3888f1", "popřemýšlet (v-w3888f1)")</f>
        <v>popřemýšlet (v-w3888f1)</v>
      </c>
    </row>
    <row r="28748" customFormat="false" ht="12.8" hidden="false" customHeight="false" outlineLevel="0" collapsed="false">
      <c r="B28748" s="0" t="s">
        <v>7</v>
      </c>
    </row>
    <row r="28749" customFormat="false" ht="12.8" hidden="false" customHeight="false" outlineLevel="0" collapsed="false">
      <c r="B28749" s="0" t="s">
        <v>2922</v>
      </c>
    </row>
    <row r="28751" customFormat="false" ht="12.8" hidden="false" customHeight="false" outlineLevel="0" collapsed="false">
      <c r="A28751" s="0" t="s">
        <v>10653</v>
      </c>
      <c r="B28751" s="0" t="str">
        <f aca="false">HYPERLINK("https://lindat.mff.cuni.cz/services/teitok/pdtc10/index.php?action=vallex&amp;frame=v-w3886f1", "popřát (v-w3886f1)")</f>
        <v>popřát (v-w3886f1)</v>
      </c>
    </row>
    <row r="28752" customFormat="false" ht="12.8" hidden="false" customHeight="false" outlineLevel="0" collapsed="false">
      <c r="B28752" s="0" t="s">
        <v>7</v>
      </c>
    </row>
    <row r="28753" customFormat="false" ht="12.8" hidden="false" customHeight="false" outlineLevel="0" collapsed="false">
      <c r="B28753" s="0" t="s">
        <v>10654</v>
      </c>
    </row>
    <row r="28754" customFormat="false" ht="12.8" hidden="false" customHeight="false" outlineLevel="0" collapsed="false">
      <c r="B28754" s="0" t="s">
        <v>48</v>
      </c>
    </row>
    <row r="28756" customFormat="false" ht="12.8" hidden="false" customHeight="false" outlineLevel="0" collapsed="false">
      <c r="A28756" s="0" t="s">
        <v>10655</v>
      </c>
      <c r="B28756" s="0" t="str">
        <f aca="false">HYPERLINK("https://lindat.mff.cuni.cz/services/teitok/pdtc10/index.php?action=vallex&amp;frame=v-w3887f1", "popřávat (v-w3887f1)")</f>
        <v>popřávat (v-w3887f1)</v>
      </c>
    </row>
    <row r="28757" customFormat="false" ht="12.8" hidden="false" customHeight="false" outlineLevel="0" collapsed="false">
      <c r="B28757" s="0" t="s">
        <v>7</v>
      </c>
    </row>
    <row r="28758" customFormat="false" ht="12.8" hidden="false" customHeight="false" outlineLevel="0" collapsed="false">
      <c r="B28758" s="0" t="s">
        <v>10656</v>
      </c>
    </row>
    <row r="28759" customFormat="false" ht="12.8" hidden="false" customHeight="false" outlineLevel="0" collapsed="false">
      <c r="B28759" s="0" t="s">
        <v>142</v>
      </c>
    </row>
    <row r="28761" customFormat="false" ht="12.8" hidden="false" customHeight="false" outlineLevel="0" collapsed="false">
      <c r="A28761" s="0" t="s">
        <v>10657</v>
      </c>
      <c r="B28761" s="0" t="str">
        <f aca="false">HYPERLINK("https://lindat.mff.cuni.cz/services/teitok/pdtc10/index.php?action=vallex&amp;frame=v-w3890f1", "popřít (v-w3890f1)")</f>
        <v>popřít (v-w3890f1)</v>
      </c>
    </row>
    <row r="28762" customFormat="false" ht="12.8" hidden="false" customHeight="false" outlineLevel="0" collapsed="false">
      <c r="B28762" s="0" t="s">
        <v>7</v>
      </c>
      <c r="C28762" s="0" t="s">
        <v>10658</v>
      </c>
      <c r="D28762" s="0" t="s">
        <v>305</v>
      </c>
      <c r="E28762" s="0" t="s">
        <v>305</v>
      </c>
      <c r="F28762" s="0" t="s">
        <v>305</v>
      </c>
    </row>
    <row r="28763" customFormat="false" ht="12.8" hidden="false" customHeight="false" outlineLevel="0" collapsed="false">
      <c r="B28763" s="0" t="s">
        <v>172</v>
      </c>
      <c r="C28763" s="0" t="s">
        <v>10659</v>
      </c>
      <c r="D28763" s="0" t="s">
        <v>307</v>
      </c>
      <c r="E28763" s="0" t="s">
        <v>307</v>
      </c>
      <c r="F28763" s="0" t="s">
        <v>307</v>
      </c>
    </row>
    <row r="28765" customFormat="false" ht="12.8" hidden="false" customHeight="false" outlineLevel="0" collapsed="false">
      <c r="A28765" s="0" t="s">
        <v>10660</v>
      </c>
      <c r="B28765" s="0" t="str">
        <f aca="false">HYPERLINK("https://lindat.mff.cuni.cz/services/teitok/pdtc10/index.php?action=vallex&amp;frame=v-w3902f1", "poradit (v-w3902f1)")</f>
        <v>poradit (v-w3902f1)</v>
      </c>
    </row>
    <row r="28766" customFormat="false" ht="12.8" hidden="false" customHeight="false" outlineLevel="0" collapsed="false">
      <c r="B28766" s="0" t="s">
        <v>7</v>
      </c>
      <c r="C28766" s="0" t="s">
        <v>10661</v>
      </c>
      <c r="D28766" s="0" t="s">
        <v>2131</v>
      </c>
      <c r="E28766" s="0" t="s">
        <v>2131</v>
      </c>
      <c r="F28766" s="0" t="s">
        <v>2131</v>
      </c>
    </row>
    <row r="28767" customFormat="false" ht="12.8" hidden="false" customHeight="false" outlineLevel="0" collapsed="false">
      <c r="B28767" s="0" t="s">
        <v>10662</v>
      </c>
      <c r="C28767" s="0" t="s">
        <v>10663</v>
      </c>
      <c r="D28767" s="0" t="s">
        <v>2134</v>
      </c>
      <c r="E28767" s="0" t="s">
        <v>2134</v>
      </c>
      <c r="F28767" s="0" t="s">
        <v>2134</v>
      </c>
    </row>
    <row r="28768" customFormat="false" ht="12.8" hidden="false" customHeight="false" outlineLevel="0" collapsed="false">
      <c r="B28768" s="0" t="s">
        <v>48</v>
      </c>
      <c r="C28768" s="0" t="s">
        <v>10664</v>
      </c>
      <c r="D28768" s="0" t="s">
        <v>2136</v>
      </c>
      <c r="E28768" s="0" t="s">
        <v>2136</v>
      </c>
      <c r="F28768" s="0" t="s">
        <v>2136</v>
      </c>
    </row>
    <row r="28770" customFormat="false" ht="12.8" hidden="false" customHeight="false" outlineLevel="0" collapsed="false">
      <c r="A28770" s="0" t="s">
        <v>10665</v>
      </c>
      <c r="B28770" s="0" t="str">
        <f aca="false">HYPERLINK("https://lindat.mff.cuni.cz/services/teitok/pdtc10/index.php?action=vallex&amp;frame=v-w3903f1", "poradit se (v-w3903f1)")</f>
        <v>poradit se (v-w3903f1)</v>
      </c>
    </row>
    <row r="28771" customFormat="false" ht="12.8" hidden="false" customHeight="false" outlineLevel="0" collapsed="false">
      <c r="B28771" s="0" t="s">
        <v>7</v>
      </c>
      <c r="C28771" s="0" t="s">
        <v>411</v>
      </c>
      <c r="D28771" s="0" t="s">
        <v>209</v>
      </c>
      <c r="E28771" s="0" t="s">
        <v>209</v>
      </c>
      <c r="F28771" s="0" t="s">
        <v>209</v>
      </c>
    </row>
    <row r="28772" customFormat="false" ht="12.8" hidden="false" customHeight="false" outlineLevel="0" collapsed="false">
      <c r="B28772" s="0" t="s">
        <v>207</v>
      </c>
      <c r="D28772" s="0" t="s">
        <v>213</v>
      </c>
      <c r="E28772" s="0" t="s">
        <v>213</v>
      </c>
      <c r="F28772" s="0" t="s">
        <v>213</v>
      </c>
    </row>
    <row r="28773" customFormat="false" ht="12.8" hidden="false" customHeight="false" outlineLevel="0" collapsed="false">
      <c r="B28773" s="0" t="s">
        <v>363</v>
      </c>
      <c r="C28773" s="0" t="s">
        <v>59</v>
      </c>
      <c r="D28773" s="0" t="s">
        <v>211</v>
      </c>
      <c r="E28773" s="0" t="s">
        <v>211</v>
      </c>
      <c r="F28773" s="0" t="s">
        <v>211</v>
      </c>
    </row>
    <row r="28775" customFormat="false" ht="12.8" hidden="false" customHeight="false" outlineLevel="0" collapsed="false">
      <c r="A28775" s="0" t="s">
        <v>10666</v>
      </c>
      <c r="B28775" s="0" t="str">
        <f aca="false">HYPERLINK("https://lindat.mff.cuni.cz/services/teitok/pdtc10/index.php?action=vallex&amp;frame=v-w3904f2_ZU", "poradit si (v-w3904f2_ZU)")</f>
        <v>poradit si (v-w3904f2_ZU)</v>
      </c>
    </row>
    <row r="28776" customFormat="false" ht="12.8" hidden="false" customHeight="false" outlineLevel="0" collapsed="false">
      <c r="B28776" s="0" t="s">
        <v>7</v>
      </c>
    </row>
    <row r="28777" customFormat="false" ht="12.8" hidden="false" customHeight="false" outlineLevel="0" collapsed="false">
      <c r="B28777" s="0" t="s">
        <v>10667</v>
      </c>
    </row>
    <row r="28779" customFormat="false" ht="12.8" hidden="false" customHeight="false" outlineLevel="0" collapsed="false">
      <c r="A28779" s="0" t="s">
        <v>10666</v>
      </c>
      <c r="B28779" s="0" t="str">
        <f aca="false">HYPERLINK("https://lindat.mff.cuni.cz/services/teitok/pdtc10/index.php?action=vallex&amp;frame=v-w3904f1", "poradit si (v-w3904f1) - substituted with v-w3904f2_ZU")</f>
        <v>poradit si (v-w3904f1) - substituted with v-w3904f2_ZU</v>
      </c>
    </row>
    <row r="28780" customFormat="false" ht="12.8" hidden="false" customHeight="false" outlineLevel="0" collapsed="false">
      <c r="B28780" s="0" t="s">
        <v>7</v>
      </c>
      <c r="C28780" s="0" t="s">
        <v>6498</v>
      </c>
      <c r="D28780" s="0" t="s">
        <v>569</v>
      </c>
      <c r="E28780" s="0" t="s">
        <v>569</v>
      </c>
      <c r="F28780" s="0" t="s">
        <v>569</v>
      </c>
    </row>
    <row r="28781" customFormat="false" ht="12.8" hidden="false" customHeight="false" outlineLevel="0" collapsed="false">
      <c r="B28781" s="0" t="s">
        <v>10667</v>
      </c>
      <c r="C28781" s="0" t="s">
        <v>10668</v>
      </c>
      <c r="D28781" s="0" t="s">
        <v>384</v>
      </c>
      <c r="E28781" s="0" t="s">
        <v>384</v>
      </c>
      <c r="F28781" s="0" t="s">
        <v>384</v>
      </c>
    </row>
    <row r="28783" customFormat="false" ht="12.8" hidden="false" customHeight="false" outlineLevel="0" collapsed="false">
      <c r="A28783" s="0" t="s">
        <v>10669</v>
      </c>
      <c r="B28783" s="0" t="str">
        <f aca="false">HYPERLINK("https://lindat.mff.cuni.cz/services/teitok/pdtc10/index.php?action=vallex&amp;frame=v-w3907f2_ZU", "poranit (v-w3907f2_ZU)")</f>
        <v>poranit (v-w3907f2_ZU)</v>
      </c>
    </row>
    <row r="28784" customFormat="false" ht="12.8" hidden="false" customHeight="false" outlineLevel="0" collapsed="false">
      <c r="B28784" s="0" t="s">
        <v>7</v>
      </c>
    </row>
    <row r="28785" customFormat="false" ht="12.8" hidden="false" customHeight="false" outlineLevel="0" collapsed="false">
      <c r="B28785" s="0" t="s">
        <v>14</v>
      </c>
    </row>
    <row r="28787" customFormat="false" ht="12.8" hidden="false" customHeight="false" outlineLevel="0" collapsed="false">
      <c r="A28787" s="0" t="s">
        <v>10669</v>
      </c>
      <c r="B28787" s="0" t="str">
        <f aca="false">HYPERLINK("https://lindat.mff.cuni.cz/services/teitok/pdtc10/index.php?action=vallex&amp;frame=v-w3907f1", "poranit (v-w3907f1) - substituted with v-w3907f2_ZU")</f>
        <v>poranit (v-w3907f1) - substituted with v-w3907f2_ZU</v>
      </c>
    </row>
    <row r="28788" customFormat="false" ht="12.8" hidden="false" customHeight="false" outlineLevel="0" collapsed="false">
      <c r="B28788" s="0" t="s">
        <v>7</v>
      </c>
    </row>
    <row r="28789" customFormat="false" ht="12.8" hidden="false" customHeight="false" outlineLevel="0" collapsed="false">
      <c r="B28789" s="0" t="s">
        <v>14</v>
      </c>
    </row>
    <row r="28791" customFormat="false" ht="12.8" hidden="false" customHeight="false" outlineLevel="0" collapsed="false">
      <c r="A28791" s="0" t="s">
        <v>10670</v>
      </c>
      <c r="B28791" s="0" t="str">
        <f aca="false">HYPERLINK("https://lindat.mff.cuni.cz/services/teitok/pdtc10/index.php?action=vallex&amp;frame=v-w3908f1", "poranit se (v-w3908f1)")</f>
        <v>poranit se (v-w3908f1)</v>
      </c>
    </row>
    <row r="28792" customFormat="false" ht="12.8" hidden="false" customHeight="false" outlineLevel="0" collapsed="false">
      <c r="B28792" s="0" t="s">
        <v>7</v>
      </c>
      <c r="C28792" s="0" t="s">
        <v>113</v>
      </c>
    </row>
    <row r="28794" customFormat="false" ht="12.8" hidden="false" customHeight="false" outlineLevel="0" collapsed="false">
      <c r="A28794" s="0" t="s">
        <v>10671</v>
      </c>
      <c r="B28794" s="0" t="str">
        <f aca="false">HYPERLINK("https://lindat.mff.cuni.cz/services/teitok/pdtc10/index.php?action=vallex&amp;frame=v-w3909f1", "porazit (v-w3909f1)")</f>
        <v>porazit (v-w3909f1)</v>
      </c>
    </row>
    <row r="28795" customFormat="false" ht="12.8" hidden="false" customHeight="false" outlineLevel="0" collapsed="false">
      <c r="B28795" s="0" t="s">
        <v>7</v>
      </c>
      <c r="C28795" s="0" t="s">
        <v>3610</v>
      </c>
      <c r="D28795" s="0" t="s">
        <v>8314</v>
      </c>
      <c r="E28795" s="0" t="s">
        <v>8314</v>
      </c>
      <c r="F28795" s="0" t="s">
        <v>8314</v>
      </c>
    </row>
    <row r="28796" customFormat="false" ht="12.8" hidden="false" customHeight="false" outlineLevel="0" collapsed="false">
      <c r="B28796" s="0" t="s">
        <v>14</v>
      </c>
      <c r="C28796" s="0" t="s">
        <v>1681</v>
      </c>
      <c r="D28796" s="0" t="s">
        <v>8316</v>
      </c>
      <c r="E28796" s="0" t="s">
        <v>8316</v>
      </c>
      <c r="F28796" s="0" t="s">
        <v>8316</v>
      </c>
    </row>
    <row r="28798" customFormat="false" ht="12.8" hidden="false" customHeight="false" outlineLevel="0" collapsed="false">
      <c r="A28798" s="0" t="s">
        <v>10672</v>
      </c>
      <c r="B28798" s="0" t="str">
        <f aca="false">HYPERLINK("https://lindat.mff.cuni.cz/services/teitok/pdtc10/index.php?action=vallex&amp;frame=v-w3909f2", "porazit (v-w3909f2)")</f>
        <v>porazit (v-w3909f2)</v>
      </c>
    </row>
    <row r="28799" customFormat="false" ht="12.8" hidden="false" customHeight="false" outlineLevel="0" collapsed="false">
      <c r="B28799" s="0" t="s">
        <v>7</v>
      </c>
    </row>
    <row r="28800" customFormat="false" ht="12.8" hidden="false" customHeight="false" outlineLevel="0" collapsed="false">
      <c r="B28800" s="0" t="s">
        <v>14</v>
      </c>
    </row>
    <row r="28802" customFormat="false" ht="12.8" hidden="false" customHeight="false" outlineLevel="0" collapsed="false">
      <c r="A28802" s="0" t="s">
        <v>10673</v>
      </c>
      <c r="B28802" s="0" t="str">
        <f aca="false">HYPERLINK("https://lindat.mff.cuni.cz/services/teitok/pdtc10/index.php?action=vallex&amp;frame=v-w3909f3", "porazit (v-w3909f3)")</f>
        <v>porazit (v-w3909f3)</v>
      </c>
    </row>
    <row r="28803" customFormat="false" ht="12.8" hidden="false" customHeight="false" outlineLevel="0" collapsed="false">
      <c r="B28803" s="0" t="s">
        <v>7</v>
      </c>
      <c r="D28803" s="0" t="s">
        <v>5057</v>
      </c>
      <c r="E28803" s="0" t="s">
        <v>5057</v>
      </c>
      <c r="F28803" s="0" t="s">
        <v>5057</v>
      </c>
    </row>
    <row r="28804" customFormat="false" ht="12.8" hidden="false" customHeight="false" outlineLevel="0" collapsed="false">
      <c r="B28804" s="0" t="s">
        <v>14</v>
      </c>
      <c r="D28804" s="0" t="s">
        <v>8042</v>
      </c>
      <c r="E28804" s="0" t="s">
        <v>8042</v>
      </c>
      <c r="F28804" s="0" t="s">
        <v>8042</v>
      </c>
    </row>
    <row r="28806" customFormat="false" ht="12.8" hidden="false" customHeight="false" outlineLevel="0" collapsed="false">
      <c r="A28806" s="0" t="s">
        <v>10674</v>
      </c>
      <c r="B28806" s="0" t="str">
        <f aca="false">HYPERLINK("https://lindat.mff.cuni.cz/services/teitok/pdtc10/index.php?action=vallex&amp;frame=v-whsa_314f1_ZU", "porcovat (v-whsa_314f1_ZU)")</f>
        <v>porcovat (v-whsa_314f1_ZU)</v>
      </c>
    </row>
    <row r="28807" customFormat="false" ht="12.8" hidden="false" customHeight="false" outlineLevel="0" collapsed="false">
      <c r="B28807" s="0" t="s">
        <v>7</v>
      </c>
    </row>
    <row r="28808" customFormat="false" ht="12.8" hidden="false" customHeight="false" outlineLevel="0" collapsed="false">
      <c r="B28808" s="0" t="s">
        <v>10675</v>
      </c>
    </row>
    <row r="28810" customFormat="false" ht="12.8" hidden="false" customHeight="false" outlineLevel="0" collapsed="false">
      <c r="A28810" s="0" t="s">
        <v>10674</v>
      </c>
      <c r="B28810" s="0" t="str">
        <f aca="false">HYPERLINK("https://lindat.mff.cuni.cz/services/teitok/pdtc10/index.php?action=vallex&amp;frame=v-whsa_314hsa_315", "porcovat (v-whsa_314hsa_315) - substituted with v-whsa_314f1_ZU")</f>
        <v>porcovat (v-whsa_314hsa_315) - substituted with v-whsa_314f1_ZU</v>
      </c>
    </row>
    <row r="28811" customFormat="false" ht="12.8" hidden="false" customHeight="false" outlineLevel="0" collapsed="false">
      <c r="B28811" s="0" t="s">
        <v>7</v>
      </c>
    </row>
    <row r="28812" customFormat="false" ht="12.8" hidden="false" customHeight="false" outlineLevel="0" collapsed="false">
      <c r="B28812" s="0" t="s">
        <v>10675</v>
      </c>
    </row>
    <row r="28814" customFormat="false" ht="12.8" hidden="false" customHeight="false" outlineLevel="0" collapsed="false">
      <c r="A28814" s="0" t="s">
        <v>10676</v>
      </c>
      <c r="B28814" s="0" t="str">
        <f aca="false">HYPERLINK("https://lindat.mff.cuni.cz/services/teitok/pdtc10/index.php?action=vallex&amp;frame=v-whsa_314f2_ZU", "porcovat (v-whsa_314f2_ZU)")</f>
        <v>porcovat (v-whsa_314f2_ZU)</v>
      </c>
    </row>
    <row r="28815" customFormat="false" ht="12.8" hidden="false" customHeight="false" outlineLevel="0" collapsed="false">
      <c r="B28815" s="0" t="s">
        <v>7</v>
      </c>
    </row>
    <row r="28816" customFormat="false" ht="12.8" hidden="false" customHeight="false" outlineLevel="0" collapsed="false">
      <c r="B28816" s="0" t="s">
        <v>14</v>
      </c>
    </row>
    <row r="28817" customFormat="false" ht="12.8" hidden="false" customHeight="false" outlineLevel="0" collapsed="false">
      <c r="B28817" s="0" t="s">
        <v>37</v>
      </c>
    </row>
    <row r="28819" customFormat="false" ht="12.8" hidden="false" customHeight="false" outlineLevel="0" collapsed="false">
      <c r="A28819" s="0" t="s">
        <v>10677</v>
      </c>
      <c r="B28819" s="0" t="str">
        <f aca="false">HYPERLINK("https://lindat.mff.cuni.cz/services/teitok/pdtc10/index.php?action=vallex&amp;frame=v-w3913f1", "porodit (v-w3913f1)")</f>
        <v>porodit (v-w3913f1)</v>
      </c>
    </row>
    <row r="28820" customFormat="false" ht="12.8" hidden="false" customHeight="false" outlineLevel="0" collapsed="false">
      <c r="B28820" s="0" t="s">
        <v>7</v>
      </c>
      <c r="C28820" s="0" t="s">
        <v>1286</v>
      </c>
    </row>
    <row r="28821" customFormat="false" ht="12.8" hidden="false" customHeight="false" outlineLevel="0" collapsed="false">
      <c r="B28821" s="0" t="s">
        <v>14</v>
      </c>
      <c r="C28821" s="0" t="s">
        <v>1288</v>
      </c>
    </row>
    <row r="28823" customFormat="false" ht="12.8" hidden="false" customHeight="false" outlineLevel="0" collapsed="false">
      <c r="A28823" s="0" t="s">
        <v>10678</v>
      </c>
      <c r="B28823" s="0" t="str">
        <f aca="false">HYPERLINK("https://lindat.mff.cuni.cz/services/teitok/pdtc10/index.php?action=vallex&amp;frame=v-w12021_ZUf1_ZU", "porouchat se (v-w12021_ZUf1_ZU)")</f>
        <v>porouchat se (v-w12021_ZUf1_ZU)</v>
      </c>
    </row>
    <row r="28824" customFormat="false" ht="12.8" hidden="false" customHeight="false" outlineLevel="0" collapsed="false">
      <c r="B28824" s="0" t="s">
        <v>7</v>
      </c>
    </row>
    <row r="28826" customFormat="false" ht="12.8" hidden="false" customHeight="false" outlineLevel="0" collapsed="false">
      <c r="A28826" s="0" t="s">
        <v>10679</v>
      </c>
      <c r="B28826" s="0" t="str">
        <f aca="false">HYPERLINK("https://lindat.mff.cuni.cz/services/teitok/pdtc10/index.php?action=vallex&amp;frame=v-w3916f1", "poroučet (v-w3916f1)")</f>
        <v>poroučet (v-w3916f1)</v>
      </c>
    </row>
    <row r="28827" customFormat="false" ht="12.8" hidden="false" customHeight="false" outlineLevel="0" collapsed="false">
      <c r="B28827" s="0" t="s">
        <v>7</v>
      </c>
      <c r="D28827" s="0" t="s">
        <v>316</v>
      </c>
      <c r="E28827" s="0" t="s">
        <v>316</v>
      </c>
      <c r="F28827" s="0" t="s">
        <v>316</v>
      </c>
    </row>
    <row r="28828" customFormat="false" ht="12.8" hidden="false" customHeight="false" outlineLevel="0" collapsed="false">
      <c r="B28828" s="0" t="s">
        <v>2132</v>
      </c>
      <c r="D28828" s="0" t="s">
        <v>1600</v>
      </c>
      <c r="E28828" s="0" t="s">
        <v>1600</v>
      </c>
      <c r="F28828" s="0" t="s">
        <v>1600</v>
      </c>
    </row>
    <row r="28829" customFormat="false" ht="12.8" hidden="false" customHeight="false" outlineLevel="0" collapsed="false">
      <c r="B28829" s="0" t="s">
        <v>48</v>
      </c>
      <c r="D28829" s="0" t="s">
        <v>1601</v>
      </c>
      <c r="E28829" s="0" t="s">
        <v>1601</v>
      </c>
      <c r="F28829" s="0" t="s">
        <v>1601</v>
      </c>
    </row>
    <row r="28831" customFormat="false" ht="12.8" hidden="false" customHeight="false" outlineLevel="0" collapsed="false">
      <c r="A28831" s="0" t="s">
        <v>10680</v>
      </c>
      <c r="B28831" s="0" t="str">
        <f aca="false">HYPERLINK("https://lindat.mff.cuni.cz/services/teitok/pdtc10/index.php?action=vallex&amp;frame=v-w3918f2_ZU", "porovnat (v-w3918f2_ZU)")</f>
        <v>porovnat (v-w3918f2_ZU)</v>
      </c>
    </row>
    <row r="28832" customFormat="false" ht="12.8" hidden="false" customHeight="false" outlineLevel="0" collapsed="false">
      <c r="B28832" s="0" t="s">
        <v>7</v>
      </c>
    </row>
    <row r="28833" customFormat="false" ht="12.8" hidden="false" customHeight="false" outlineLevel="0" collapsed="false">
      <c r="B28833" s="0" t="s">
        <v>232</v>
      </c>
    </row>
    <row r="28834" customFormat="false" ht="12.8" hidden="false" customHeight="false" outlineLevel="0" collapsed="false">
      <c r="B28834" s="0" t="s">
        <v>3086</v>
      </c>
    </row>
    <row r="28836" customFormat="false" ht="12.8" hidden="false" customHeight="false" outlineLevel="0" collapsed="false">
      <c r="A28836" s="0" t="s">
        <v>10680</v>
      </c>
      <c r="B28836" s="0" t="str">
        <f aca="false">HYPERLINK("https://lindat.mff.cuni.cz/services/teitok/pdtc10/index.php?action=vallex&amp;frame=v-w3918f1", "porovnat (v-w3918f1) - substituted with v-w3918f2_ZU")</f>
        <v>porovnat (v-w3918f1) - substituted with v-w3918f2_ZU</v>
      </c>
    </row>
    <row r="28837" customFormat="false" ht="12.8" hidden="false" customHeight="false" outlineLevel="0" collapsed="false">
      <c r="B28837" s="0" t="s">
        <v>7</v>
      </c>
      <c r="C28837" s="0" t="s">
        <v>358</v>
      </c>
      <c r="D28837" s="0" t="s">
        <v>465</v>
      </c>
      <c r="E28837" s="0" t="s">
        <v>465</v>
      </c>
      <c r="F28837" s="0" t="s">
        <v>465</v>
      </c>
    </row>
    <row r="28838" customFormat="false" ht="12.8" hidden="false" customHeight="false" outlineLevel="0" collapsed="false">
      <c r="B28838" s="0" t="s">
        <v>232</v>
      </c>
      <c r="C28838" s="0" t="s">
        <v>1681</v>
      </c>
      <c r="D28838" s="0" t="s">
        <v>1205</v>
      </c>
      <c r="E28838" s="0" t="s">
        <v>1205</v>
      </c>
      <c r="F28838" s="0" t="s">
        <v>1205</v>
      </c>
    </row>
    <row r="28839" customFormat="false" ht="12.8" hidden="false" customHeight="false" outlineLevel="0" collapsed="false">
      <c r="B28839" s="0" t="s">
        <v>3086</v>
      </c>
      <c r="C28839" s="0" t="s">
        <v>10681</v>
      </c>
      <c r="D28839" s="0" t="s">
        <v>10682</v>
      </c>
      <c r="E28839" s="0" t="s">
        <v>10682</v>
      </c>
      <c r="F28839" s="0" t="s">
        <v>10682</v>
      </c>
    </row>
    <row r="28841" customFormat="false" ht="12.8" hidden="false" customHeight="false" outlineLevel="0" collapsed="false">
      <c r="A28841" s="0" t="s">
        <v>10683</v>
      </c>
      <c r="B28841" s="0" t="str">
        <f aca="false">HYPERLINK("https://lindat.mff.cuni.cz/services/teitok/pdtc10/index.php?action=vallex&amp;frame=v-w3921f1", "porovnávat (v-w3921f1)")</f>
        <v>porovnávat (v-w3921f1)</v>
      </c>
    </row>
    <row r="28842" customFormat="false" ht="12.8" hidden="false" customHeight="false" outlineLevel="0" collapsed="false">
      <c r="B28842" s="0" t="s">
        <v>7</v>
      </c>
      <c r="C28842" s="0" t="s">
        <v>465</v>
      </c>
      <c r="D28842" s="0" t="s">
        <v>465</v>
      </c>
      <c r="E28842" s="0" t="s">
        <v>465</v>
      </c>
      <c r="F28842" s="0" t="s">
        <v>465</v>
      </c>
    </row>
    <row r="28843" customFormat="false" ht="12.8" hidden="false" customHeight="false" outlineLevel="0" collapsed="false">
      <c r="B28843" s="0" t="s">
        <v>14</v>
      </c>
      <c r="C28843" s="0" t="s">
        <v>79</v>
      </c>
      <c r="D28843" s="0" t="s">
        <v>1205</v>
      </c>
      <c r="E28843" s="0" t="s">
        <v>1205</v>
      </c>
      <c r="F28843" s="0" t="s">
        <v>1205</v>
      </c>
    </row>
    <row r="28844" customFormat="false" ht="12.8" hidden="false" customHeight="false" outlineLevel="0" collapsed="false">
      <c r="B28844" s="0" t="s">
        <v>3086</v>
      </c>
      <c r="C28844" s="0" t="s">
        <v>10684</v>
      </c>
      <c r="D28844" s="0" t="s">
        <v>10682</v>
      </c>
      <c r="E28844" s="0" t="s">
        <v>10682</v>
      </c>
      <c r="F28844" s="0" t="s">
        <v>10682</v>
      </c>
    </row>
    <row r="28846" customFormat="false" ht="12.8" hidden="false" customHeight="false" outlineLevel="0" collapsed="false">
      <c r="A28846" s="0" t="s">
        <v>10685</v>
      </c>
      <c r="B28846" s="0" t="str">
        <f aca="false">HYPERLINK("https://lindat.mff.cuni.cz/services/teitok/pdtc10/index.php?action=vallex&amp;frame=v-w3921f2_ZU", "porovnávat (v-w3921f2_ZU)")</f>
        <v>porovnávat (v-w3921f2_ZU)</v>
      </c>
    </row>
    <row r="28847" customFormat="false" ht="12.8" hidden="false" customHeight="false" outlineLevel="0" collapsed="false">
      <c r="B28847" s="0" t="s">
        <v>7</v>
      </c>
    </row>
    <row r="28848" customFormat="false" ht="12.8" hidden="false" customHeight="false" outlineLevel="0" collapsed="false">
      <c r="B28848" s="0" t="s">
        <v>7379</v>
      </c>
    </row>
    <row r="28850" customFormat="false" ht="12.8" hidden="false" customHeight="false" outlineLevel="0" collapsed="false">
      <c r="A28850" s="0" t="s">
        <v>10685</v>
      </c>
      <c r="B28850" s="0" t="str">
        <f aca="false">HYPERLINK("https://lindat.mff.cuni.cz/services/teitok/pdtc10/index.php?action=vallex&amp;frame=v-w3921hsa_1516", "porovnávat (v-w3921hsa_1516) - substituted with v-w3921f2_ZU")</f>
        <v>porovnávat (v-w3921hsa_1516) - substituted with v-w3921f2_ZU</v>
      </c>
    </row>
    <row r="28851" customFormat="false" ht="12.8" hidden="false" customHeight="false" outlineLevel="0" collapsed="false">
      <c r="B28851" s="0" t="s">
        <v>7</v>
      </c>
    </row>
    <row r="28852" customFormat="false" ht="12.8" hidden="false" customHeight="false" outlineLevel="0" collapsed="false">
      <c r="B28852" s="0" t="s">
        <v>7379</v>
      </c>
    </row>
    <row r="28854" customFormat="false" ht="12.8" hidden="false" customHeight="false" outlineLevel="0" collapsed="false">
      <c r="A28854" s="0" t="s">
        <v>10686</v>
      </c>
      <c r="B28854" s="0" t="str">
        <f aca="false">HYPERLINK("https://lindat.mff.cuni.cz/services/teitok/pdtc10/index.php?action=vallex&amp;frame=v-whsa_888hsa_889", "porozhlédnout se (v-whsa_888hsa_889)")</f>
        <v>porozhlédnout se (v-whsa_888hsa_889)</v>
      </c>
    </row>
    <row r="28855" customFormat="false" ht="12.8" hidden="false" customHeight="false" outlineLevel="0" collapsed="false">
      <c r="B28855" s="0" t="s">
        <v>7</v>
      </c>
      <c r="C28855" s="0" t="s">
        <v>191</v>
      </c>
      <c r="D28855" s="0" t="s">
        <v>191</v>
      </c>
      <c r="E28855" s="0" t="s">
        <v>191</v>
      </c>
      <c r="F28855" s="0" t="s">
        <v>191</v>
      </c>
    </row>
    <row r="28857" customFormat="false" ht="12.8" hidden="false" customHeight="false" outlineLevel="0" collapsed="false">
      <c r="A28857" s="0" t="s">
        <v>10687</v>
      </c>
      <c r="B28857" s="0" t="str">
        <f aca="false">HYPERLINK("https://lindat.mff.cuni.cz/services/teitok/pdtc10/index.php?action=vallex&amp;frame=v-whsa_888f1_ZU", "porozhlédnout se (v-whsa_888f1_ZU)")</f>
        <v>porozhlédnout se (v-whsa_888f1_ZU)</v>
      </c>
    </row>
    <row r="28858" customFormat="false" ht="12.8" hidden="false" customHeight="false" outlineLevel="0" collapsed="false">
      <c r="B28858" s="0" t="s">
        <v>7</v>
      </c>
      <c r="C28858" s="0" t="s">
        <v>2560</v>
      </c>
    </row>
    <row r="28859" customFormat="false" ht="12.8" hidden="false" customHeight="false" outlineLevel="0" collapsed="false">
      <c r="B28859" s="0" t="s">
        <v>1375</v>
      </c>
    </row>
    <row r="28861" customFormat="false" ht="12.8" hidden="false" customHeight="false" outlineLevel="0" collapsed="false">
      <c r="A28861" s="0" t="s">
        <v>10688</v>
      </c>
      <c r="B28861" s="0" t="str">
        <f aca="false">HYPERLINK("https://lindat.mff.cuni.cz/services/teitok/pdtc10/index.php?action=vallex&amp;frame=v-whsa_886hsa_887", "porozhlédnout se (v-whsa_886hsa_887)")</f>
        <v>porozhlédnout se (v-whsa_886hsa_887)</v>
      </c>
    </row>
    <row r="28862" customFormat="false" ht="12.8" hidden="false" customHeight="false" outlineLevel="0" collapsed="false">
      <c r="B28862" s="0" t="s">
        <v>7</v>
      </c>
    </row>
    <row r="28863" customFormat="false" ht="12.8" hidden="false" customHeight="false" outlineLevel="0" collapsed="false">
      <c r="B28863" s="0" t="s">
        <v>1375</v>
      </c>
    </row>
    <row r="28865" customFormat="false" ht="12.8" hidden="false" customHeight="false" outlineLevel="0" collapsed="false">
      <c r="A28865" s="0" t="s">
        <v>10689</v>
      </c>
      <c r="B28865" s="0" t="str">
        <f aca="false">HYPERLINK("https://lindat.mff.cuni.cz/services/teitok/pdtc10/index.php?action=vallex&amp;frame=v-w11333f1", "porozhlížet se (v-w11333f1)")</f>
        <v>porozhlížet se (v-w11333f1)</v>
      </c>
    </row>
    <row r="28866" customFormat="false" ht="12.8" hidden="false" customHeight="false" outlineLevel="0" collapsed="false">
      <c r="B28866" s="0" t="s">
        <v>7</v>
      </c>
      <c r="C28866" s="0" t="s">
        <v>88</v>
      </c>
      <c r="D28866" s="0" t="s">
        <v>1813</v>
      </c>
      <c r="E28866" s="0" t="s">
        <v>1813</v>
      </c>
      <c r="F28866" s="0" t="s">
        <v>1813</v>
      </c>
    </row>
    <row r="28867" customFormat="false" ht="12.8" hidden="false" customHeight="false" outlineLevel="0" collapsed="false">
      <c r="B28867" s="0" t="s">
        <v>1375</v>
      </c>
      <c r="D28867" s="0" t="s">
        <v>1815</v>
      </c>
      <c r="E28867" s="0" t="s">
        <v>1815</v>
      </c>
      <c r="F28867" s="0" t="s">
        <v>1815</v>
      </c>
    </row>
    <row r="28869" customFormat="false" ht="12.8" hidden="false" customHeight="false" outlineLevel="0" collapsed="false">
      <c r="A28869" s="0" t="s">
        <v>10690</v>
      </c>
      <c r="B28869" s="0" t="str">
        <f aca="false">HYPERLINK("https://lindat.mff.cuni.cz/services/teitok/pdtc10/index.php?action=vallex&amp;frame=v-w10210f2", "porozmýšlet (v-w10210f2)")</f>
        <v>porozmýšlet (v-w10210f2)</v>
      </c>
    </row>
    <row r="28870" customFormat="false" ht="12.8" hidden="false" customHeight="false" outlineLevel="0" collapsed="false">
      <c r="B28870" s="0" t="s">
        <v>7</v>
      </c>
    </row>
    <row r="28871" customFormat="false" ht="12.8" hidden="false" customHeight="false" outlineLevel="0" collapsed="false">
      <c r="B28871" s="0" t="s">
        <v>2922</v>
      </c>
    </row>
    <row r="28873" customFormat="false" ht="12.8" hidden="false" customHeight="false" outlineLevel="0" collapsed="false">
      <c r="A28873" s="0" t="s">
        <v>10691</v>
      </c>
      <c r="B28873" s="0" t="str">
        <f aca="false">HYPERLINK("https://lindat.mff.cuni.cz/services/teitok/pdtc10/index.php?action=vallex&amp;frame=v-w3923f3", "porozumět (v-w3923f3)")</f>
        <v>porozumět (v-w3923f3)</v>
      </c>
    </row>
    <row r="28874" customFormat="false" ht="12.8" hidden="false" customHeight="false" outlineLevel="0" collapsed="false">
      <c r="B28874" s="0" t="s">
        <v>7</v>
      </c>
    </row>
    <row r="28875" customFormat="false" ht="12.8" hidden="false" customHeight="false" outlineLevel="0" collapsed="false">
      <c r="B28875" s="0" t="s">
        <v>1961</v>
      </c>
    </row>
    <row r="28876" customFormat="false" ht="12.8" hidden="false" customHeight="false" outlineLevel="0" collapsed="false">
      <c r="B28876" s="0" t="s">
        <v>48</v>
      </c>
    </row>
    <row r="28878" customFormat="false" ht="12.8" hidden="false" customHeight="false" outlineLevel="0" collapsed="false">
      <c r="A28878" s="0" t="s">
        <v>10692</v>
      </c>
      <c r="B28878" s="0" t="str">
        <f aca="false">HYPERLINK("https://lindat.mff.cuni.cz/services/teitok/pdtc10/index.php?action=vallex&amp;frame=v-w3923f2", "porozumět (v-w3923f2)")</f>
        <v>porozumět (v-w3923f2)</v>
      </c>
    </row>
    <row r="28879" customFormat="false" ht="12.8" hidden="false" customHeight="false" outlineLevel="0" collapsed="false">
      <c r="B28879" s="0" t="s">
        <v>7</v>
      </c>
      <c r="D28879" s="0" t="s">
        <v>3803</v>
      </c>
      <c r="E28879" s="0" t="s">
        <v>3803</v>
      </c>
      <c r="F28879" s="0" t="s">
        <v>3803</v>
      </c>
    </row>
    <row r="28880" customFormat="false" ht="12.8" hidden="false" customHeight="false" outlineLevel="0" collapsed="false">
      <c r="B28880" s="0" t="s">
        <v>10693</v>
      </c>
      <c r="D28880" s="0" t="s">
        <v>2850</v>
      </c>
      <c r="E28880" s="0" t="s">
        <v>2850</v>
      </c>
      <c r="F28880" s="0" t="s">
        <v>2850</v>
      </c>
    </row>
    <row r="28882" customFormat="false" ht="12.8" hidden="false" customHeight="false" outlineLevel="0" collapsed="false">
      <c r="A28882" s="0" t="s">
        <v>10694</v>
      </c>
      <c r="B28882" s="0" t="str">
        <f aca="false">HYPERLINK("https://lindat.mff.cuni.cz/services/teitok/pdtc10/index.php?action=vallex&amp;frame=v-w3923f1", "porozumět (v-w3923f1)")</f>
        <v>porozumět (v-w3923f1)</v>
      </c>
    </row>
    <row r="28883" customFormat="false" ht="12.8" hidden="false" customHeight="false" outlineLevel="0" collapsed="false">
      <c r="B28883" s="0" t="s">
        <v>7</v>
      </c>
      <c r="C28883" s="0" t="s">
        <v>10695</v>
      </c>
      <c r="D28883" s="0" t="s">
        <v>3610</v>
      </c>
      <c r="E28883" s="0" t="s">
        <v>3610</v>
      </c>
      <c r="F28883" s="0" t="s">
        <v>3610</v>
      </c>
    </row>
    <row r="28884" customFormat="false" ht="12.8" hidden="false" customHeight="false" outlineLevel="0" collapsed="false">
      <c r="B28884" s="0" t="s">
        <v>10696</v>
      </c>
      <c r="C28884" s="0" t="s">
        <v>10697</v>
      </c>
      <c r="D28884" s="0" t="s">
        <v>4163</v>
      </c>
      <c r="E28884" s="0" t="s">
        <v>4163</v>
      </c>
      <c r="F28884" s="0" t="s">
        <v>4163</v>
      </c>
    </row>
    <row r="28886" customFormat="false" ht="12.8" hidden="false" customHeight="false" outlineLevel="0" collapsed="false">
      <c r="A28886" s="0" t="s">
        <v>10698</v>
      </c>
      <c r="B28886" s="0" t="str">
        <f aca="false">HYPERLINK("https://lindat.mff.cuni.cz/services/teitok/pdtc10/index.php?action=vallex&amp;frame=v-w3925f1", "portrétovat (v-w3925f1)")</f>
        <v>portrétovat (v-w3925f1)</v>
      </c>
    </row>
    <row r="28887" customFormat="false" ht="12.8" hidden="false" customHeight="false" outlineLevel="0" collapsed="false">
      <c r="B28887" s="0" t="s">
        <v>7</v>
      </c>
    </row>
    <row r="28888" customFormat="false" ht="12.8" hidden="false" customHeight="false" outlineLevel="0" collapsed="false">
      <c r="B28888" s="0" t="s">
        <v>14</v>
      </c>
    </row>
    <row r="28890" customFormat="false" ht="12.8" hidden="false" customHeight="false" outlineLevel="0" collapsed="false">
      <c r="A28890" s="0" t="s">
        <v>10699</v>
      </c>
      <c r="B28890" s="0" t="str">
        <f aca="false">HYPERLINK("https://lindat.mff.cuni.cz/services/teitok/pdtc10/index.php?action=vallex&amp;frame=v-w3926f2", "poručit (v-w3926f2)")</f>
        <v>poručit (v-w3926f2)</v>
      </c>
    </row>
    <row r="28891" customFormat="false" ht="12.8" hidden="false" customHeight="false" outlineLevel="0" collapsed="false">
      <c r="B28891" s="0" t="s">
        <v>7</v>
      </c>
    </row>
    <row r="28892" customFormat="false" ht="12.8" hidden="false" customHeight="false" outlineLevel="0" collapsed="false">
      <c r="B28892" s="0" t="s">
        <v>2132</v>
      </c>
    </row>
    <row r="28893" customFormat="false" ht="12.8" hidden="false" customHeight="false" outlineLevel="0" collapsed="false">
      <c r="B28893" s="0" t="s">
        <v>48</v>
      </c>
    </row>
    <row r="28895" customFormat="false" ht="12.8" hidden="false" customHeight="false" outlineLevel="0" collapsed="false">
      <c r="A28895" s="0" t="s">
        <v>10700</v>
      </c>
      <c r="B28895" s="0" t="str">
        <f aca="false">HYPERLINK("https://lindat.mff.cuni.cz/services/teitok/pdtc10/index.php?action=vallex&amp;frame=v-w3926f1", "poručit (v-w3926f1)")</f>
        <v>poručit (v-w3926f1)</v>
      </c>
    </row>
    <row r="28896" customFormat="false" ht="12.8" hidden="false" customHeight="false" outlineLevel="0" collapsed="false">
      <c r="B28896" s="0" t="s">
        <v>7</v>
      </c>
      <c r="C28896" s="0" t="s">
        <v>46</v>
      </c>
    </row>
    <row r="28897" customFormat="false" ht="12.8" hidden="false" customHeight="false" outlineLevel="0" collapsed="false">
      <c r="B28897" s="0" t="s">
        <v>14</v>
      </c>
      <c r="C28897" s="0" t="s">
        <v>384</v>
      </c>
    </row>
    <row r="28898" customFormat="false" ht="12.8" hidden="false" customHeight="false" outlineLevel="0" collapsed="false">
      <c r="B28898" s="0" t="s">
        <v>10701</v>
      </c>
    </row>
    <row r="28900" customFormat="false" ht="12.8" hidden="false" customHeight="false" outlineLevel="0" collapsed="false">
      <c r="A28900" s="0" t="s">
        <v>10702</v>
      </c>
      <c r="B28900" s="0" t="str">
        <f aca="false">HYPERLINK("https://lindat.mff.cuni.cz/services/teitok/pdtc10/index.php?action=vallex&amp;frame=v-w3929f1", "porušit (v-w3929f1)")</f>
        <v>porušit (v-w3929f1)</v>
      </c>
    </row>
    <row r="28901" customFormat="false" ht="12.8" hidden="false" customHeight="false" outlineLevel="0" collapsed="false">
      <c r="B28901" s="0" t="s">
        <v>7</v>
      </c>
      <c r="C28901" s="0" t="s">
        <v>10703</v>
      </c>
      <c r="D28901" s="0" t="s">
        <v>1531</v>
      </c>
      <c r="E28901" s="0" t="s">
        <v>1531</v>
      </c>
      <c r="F28901" s="0" t="s">
        <v>1531</v>
      </c>
    </row>
    <row r="28902" customFormat="false" ht="12.8" hidden="false" customHeight="false" outlineLevel="0" collapsed="false">
      <c r="B28902" s="0" t="s">
        <v>14</v>
      </c>
      <c r="C28902" s="0" t="s">
        <v>10704</v>
      </c>
      <c r="D28902" s="0" t="s">
        <v>899</v>
      </c>
      <c r="E28902" s="0" t="s">
        <v>899</v>
      </c>
      <c r="F28902" s="0" t="s">
        <v>899</v>
      </c>
    </row>
    <row r="28904" customFormat="false" ht="12.8" hidden="false" customHeight="false" outlineLevel="0" collapsed="false">
      <c r="A28904" s="0" t="s">
        <v>10705</v>
      </c>
      <c r="B28904" s="0" t="str">
        <f aca="false">HYPERLINK("https://lindat.mff.cuni.cz/services/teitok/pdtc10/index.php?action=vallex&amp;frame=v-w3929f2", "porušit (v-w3929f2)")</f>
        <v>porušit (v-w3929f2)</v>
      </c>
    </row>
    <row r="28905" customFormat="false" ht="12.8" hidden="false" customHeight="false" outlineLevel="0" collapsed="false">
      <c r="B28905" s="0" t="s">
        <v>7</v>
      </c>
      <c r="C28905" s="0" t="s">
        <v>1154</v>
      </c>
    </row>
    <row r="28906" customFormat="false" ht="12.8" hidden="false" customHeight="false" outlineLevel="0" collapsed="false">
      <c r="B28906" s="0" t="s">
        <v>14</v>
      </c>
      <c r="C28906" s="0" t="s">
        <v>8765</v>
      </c>
    </row>
    <row r="28908" customFormat="false" ht="12.8" hidden="false" customHeight="false" outlineLevel="0" collapsed="false">
      <c r="A28908" s="0" t="s">
        <v>10706</v>
      </c>
      <c r="B28908" s="0" t="str">
        <f aca="false">HYPERLINK("https://lindat.mff.cuni.cz/services/teitok/pdtc10/index.php?action=vallex&amp;frame=v-w3931f1", "porušovat (v-w3931f1)")</f>
        <v>porušovat (v-w3931f1)</v>
      </c>
    </row>
    <row r="28909" customFormat="false" ht="12.8" hidden="false" customHeight="false" outlineLevel="0" collapsed="false">
      <c r="B28909" s="0" t="s">
        <v>7</v>
      </c>
      <c r="C28909" s="0" t="s">
        <v>1613</v>
      </c>
      <c r="D28909" s="0" t="s">
        <v>1531</v>
      </c>
      <c r="E28909" s="0" t="s">
        <v>1531</v>
      </c>
      <c r="F28909" s="0" t="s">
        <v>1531</v>
      </c>
    </row>
    <row r="28910" customFormat="false" ht="12.8" hidden="false" customHeight="false" outlineLevel="0" collapsed="false">
      <c r="B28910" s="0" t="s">
        <v>14</v>
      </c>
      <c r="C28910" s="0" t="s">
        <v>94</v>
      </c>
      <c r="D28910" s="0" t="s">
        <v>899</v>
      </c>
      <c r="E28910" s="0" t="s">
        <v>899</v>
      </c>
      <c r="F28910" s="0" t="s">
        <v>899</v>
      </c>
    </row>
    <row r="28912" customFormat="false" ht="12.8" hidden="false" customHeight="false" outlineLevel="0" collapsed="false">
      <c r="A28912" s="0" t="s">
        <v>10707</v>
      </c>
      <c r="B28912" s="0" t="str">
        <f aca="false">HYPERLINK("https://lindat.mff.cuni.cz/services/teitok/pdtc10/index.php?action=vallex&amp;frame=v-w3931f2", "porušovat (v-w3931f2)")</f>
        <v>porušovat (v-w3931f2)</v>
      </c>
    </row>
    <row r="28913" customFormat="false" ht="12.8" hidden="false" customHeight="false" outlineLevel="0" collapsed="false">
      <c r="B28913" s="0" t="s">
        <v>7</v>
      </c>
      <c r="D28913" s="0" t="s">
        <v>2062</v>
      </c>
      <c r="E28913" s="0" t="s">
        <v>2062</v>
      </c>
      <c r="F28913" s="0" t="s">
        <v>2062</v>
      </c>
    </row>
    <row r="28914" customFormat="false" ht="12.8" hidden="false" customHeight="false" outlineLevel="0" collapsed="false">
      <c r="B28914" s="0" t="s">
        <v>14</v>
      </c>
      <c r="D28914" s="0" t="s">
        <v>2065</v>
      </c>
      <c r="E28914" s="0" t="s">
        <v>2065</v>
      </c>
      <c r="F28914" s="0" t="s">
        <v>2065</v>
      </c>
    </row>
    <row r="28916" customFormat="false" ht="12.8" hidden="false" customHeight="false" outlineLevel="0" collapsed="false">
      <c r="A28916" s="0" t="s">
        <v>10708</v>
      </c>
      <c r="B28916" s="0" t="str">
        <f aca="false">HYPERLINK("https://lindat.mff.cuni.cz/services/teitok/pdtc10/index.php?action=vallex&amp;frame=v-w3932f1", "porvat se (v-w3932f1)")</f>
        <v>porvat se (v-w3932f1)</v>
      </c>
    </row>
    <row r="28917" customFormat="false" ht="12.8" hidden="false" customHeight="false" outlineLevel="0" collapsed="false">
      <c r="B28917" s="0" t="s">
        <v>7</v>
      </c>
    </row>
    <row r="28918" customFormat="false" ht="12.8" hidden="false" customHeight="false" outlineLevel="0" collapsed="false">
      <c r="B28918" s="0" t="s">
        <v>548</v>
      </c>
    </row>
    <row r="28920" customFormat="false" ht="12.8" hidden="false" customHeight="false" outlineLevel="0" collapsed="false">
      <c r="A28920" s="0" t="s">
        <v>10709</v>
      </c>
      <c r="B28920" s="0" t="str">
        <f aca="false">HYPERLINK("https://lindat.mff.cuni.cz/services/teitok/pdtc10/index.php?action=vallex&amp;frame=v-w3911f1", "porážet (v-w3911f1)")</f>
        <v>porážet (v-w3911f1)</v>
      </c>
    </row>
    <row r="28921" customFormat="false" ht="12.8" hidden="false" customHeight="false" outlineLevel="0" collapsed="false">
      <c r="B28921" s="0" t="s">
        <v>7</v>
      </c>
      <c r="C28921" s="0" t="s">
        <v>88</v>
      </c>
      <c r="D28921" s="0" t="s">
        <v>8314</v>
      </c>
      <c r="E28921" s="0" t="s">
        <v>8314</v>
      </c>
      <c r="F28921" s="0" t="s">
        <v>8314</v>
      </c>
    </row>
    <row r="28922" customFormat="false" ht="12.8" hidden="false" customHeight="false" outlineLevel="0" collapsed="false">
      <c r="B28922" s="0" t="s">
        <v>14</v>
      </c>
      <c r="C28922" s="0" t="s">
        <v>173</v>
      </c>
      <c r="D28922" s="0" t="s">
        <v>8316</v>
      </c>
      <c r="E28922" s="0" t="s">
        <v>8316</v>
      </c>
      <c r="F28922" s="0" t="s">
        <v>8316</v>
      </c>
    </row>
    <row r="28924" customFormat="false" ht="12.8" hidden="false" customHeight="false" outlineLevel="0" collapsed="false">
      <c r="A28924" s="0" t="s">
        <v>10710</v>
      </c>
      <c r="B28924" s="0" t="str">
        <f aca="false">HYPERLINK("https://lindat.mff.cuni.cz/services/teitok/pdtc10/index.php?action=vallex&amp;frame=v-w3911f2", "porážet (v-w3911f2)")</f>
        <v>porážet (v-w3911f2)</v>
      </c>
    </row>
    <row r="28925" customFormat="false" ht="12.8" hidden="false" customHeight="false" outlineLevel="0" collapsed="false">
      <c r="B28925" s="0" t="s">
        <v>7</v>
      </c>
      <c r="D28925" s="0" t="s">
        <v>5057</v>
      </c>
      <c r="E28925" s="0" t="s">
        <v>5057</v>
      </c>
      <c r="F28925" s="0" t="s">
        <v>5057</v>
      </c>
    </row>
    <row r="28926" customFormat="false" ht="12.8" hidden="false" customHeight="false" outlineLevel="0" collapsed="false">
      <c r="B28926" s="0" t="s">
        <v>14</v>
      </c>
      <c r="D28926" s="0" t="s">
        <v>8042</v>
      </c>
      <c r="E28926" s="0" t="s">
        <v>8042</v>
      </c>
      <c r="F28926" s="0" t="s">
        <v>8042</v>
      </c>
    </row>
    <row r="28928" customFormat="false" ht="12.8" hidden="false" customHeight="false" outlineLevel="0" collapsed="false">
      <c r="A28928" s="0" t="s">
        <v>10711</v>
      </c>
      <c r="B28928" s="0" t="str">
        <f aca="false">HYPERLINK("https://lindat.mff.cuni.cz/services/teitok/pdtc10/index.php?action=vallex&amp;frame=v-w3911f3", "porážet (v-w3911f3)")</f>
        <v>porážet (v-w3911f3)</v>
      </c>
    </row>
    <row r="28929" customFormat="false" ht="12.8" hidden="false" customHeight="false" outlineLevel="0" collapsed="false">
      <c r="B28929" s="0" t="s">
        <v>7</v>
      </c>
    </row>
    <row r="28930" customFormat="false" ht="12.8" hidden="false" customHeight="false" outlineLevel="0" collapsed="false">
      <c r="B28930" s="0" t="s">
        <v>14</v>
      </c>
    </row>
    <row r="28932" customFormat="false" ht="12.8" hidden="false" customHeight="false" outlineLevel="0" collapsed="false">
      <c r="A28932" s="0" t="s">
        <v>10712</v>
      </c>
      <c r="B28932" s="0" t="str">
        <f aca="false">HYPERLINK("https://lindat.mff.cuni.cz/services/teitok/pdtc10/index.php?action=vallex&amp;frame=v-w3948f2", "posadit (v-w3948f2)")</f>
        <v>posadit (v-w3948f2)</v>
      </c>
    </row>
    <row r="28933" customFormat="false" ht="12.8" hidden="false" customHeight="false" outlineLevel="0" collapsed="false">
      <c r="B28933" s="0" t="s">
        <v>7</v>
      </c>
    </row>
    <row r="28934" customFormat="false" ht="12.8" hidden="false" customHeight="false" outlineLevel="0" collapsed="false">
      <c r="B28934" s="0" t="s">
        <v>14</v>
      </c>
    </row>
    <row r="28935" customFormat="false" ht="12.8" hidden="false" customHeight="false" outlineLevel="0" collapsed="false">
      <c r="B28935" s="0" t="s">
        <v>2804</v>
      </c>
    </row>
    <row r="28937" customFormat="false" ht="12.8" hidden="false" customHeight="false" outlineLevel="0" collapsed="false">
      <c r="A28937" s="0" t="s">
        <v>10713</v>
      </c>
      <c r="B28937" s="0" t="str">
        <f aca="false">HYPERLINK("https://lindat.mff.cuni.cz/services/teitok/pdtc10/index.php?action=vallex&amp;frame=v-w3948f1", "posadit (v-w3948f1)")</f>
        <v>posadit (v-w3948f1)</v>
      </c>
    </row>
    <row r="28938" customFormat="false" ht="12.8" hidden="false" customHeight="false" outlineLevel="0" collapsed="false">
      <c r="B28938" s="0" t="s">
        <v>7</v>
      </c>
      <c r="C28938" s="0" t="s">
        <v>3243</v>
      </c>
      <c r="D28938" s="0" t="s">
        <v>2235</v>
      </c>
      <c r="E28938" s="0" t="s">
        <v>2235</v>
      </c>
      <c r="F28938" s="0" t="s">
        <v>2235</v>
      </c>
    </row>
    <row r="28939" customFormat="false" ht="12.8" hidden="false" customHeight="false" outlineLevel="0" collapsed="false">
      <c r="B28939" s="0" t="s">
        <v>14</v>
      </c>
      <c r="C28939" s="0" t="s">
        <v>3244</v>
      </c>
      <c r="D28939" s="0" t="s">
        <v>2237</v>
      </c>
      <c r="E28939" s="0" t="s">
        <v>2237</v>
      </c>
      <c r="F28939" s="0" t="s">
        <v>2237</v>
      </c>
    </row>
    <row r="28940" customFormat="false" ht="12.8" hidden="false" customHeight="false" outlineLevel="0" collapsed="false">
      <c r="B28940" s="0" t="s">
        <v>124</v>
      </c>
      <c r="D28940" s="0" t="s">
        <v>2238</v>
      </c>
      <c r="E28940" s="0" t="s">
        <v>2238</v>
      </c>
      <c r="F28940" s="0" t="s">
        <v>2238</v>
      </c>
    </row>
    <row r="28942" customFormat="false" ht="12.8" hidden="false" customHeight="false" outlineLevel="0" collapsed="false">
      <c r="A28942" s="0" t="s">
        <v>10714</v>
      </c>
      <c r="B28942" s="0" t="str">
        <f aca="false">HYPERLINK("https://lindat.mff.cuni.cz/services/teitok/pdtc10/index.php?action=vallex&amp;frame=v-w3949f1", "posadit se (v-w3949f1)")</f>
        <v>posadit se (v-w3949f1)</v>
      </c>
    </row>
    <row r="28943" customFormat="false" ht="12.8" hidden="false" customHeight="false" outlineLevel="0" collapsed="false">
      <c r="B28943" s="0" t="s">
        <v>7</v>
      </c>
      <c r="C28943" s="0" t="s">
        <v>6750</v>
      </c>
      <c r="D28943" s="0" t="s">
        <v>176</v>
      </c>
      <c r="E28943" s="0" t="s">
        <v>176</v>
      </c>
      <c r="F28943" s="0" t="s">
        <v>176</v>
      </c>
    </row>
    <row r="28944" customFormat="false" ht="12.8" hidden="false" customHeight="false" outlineLevel="0" collapsed="false">
      <c r="B28944" s="0" t="s">
        <v>124</v>
      </c>
    </row>
    <row r="28946" customFormat="false" ht="12.8" hidden="false" customHeight="false" outlineLevel="0" collapsed="false">
      <c r="A28946" s="0" t="s">
        <v>10715</v>
      </c>
      <c r="B28946" s="0" t="str">
        <f aca="false">HYPERLINK("https://lindat.mff.cuni.cz/services/teitok/pdtc10/index.php?action=vallex&amp;frame=v-w3951f3_ZU", "posbírat (v-w3951f3_ZU)")</f>
        <v>posbírat (v-w3951f3_ZU)</v>
      </c>
    </row>
    <row r="28947" customFormat="false" ht="12.8" hidden="false" customHeight="false" outlineLevel="0" collapsed="false">
      <c r="B28947" s="0" t="s">
        <v>7</v>
      </c>
    </row>
    <row r="28948" customFormat="false" ht="12.8" hidden="false" customHeight="false" outlineLevel="0" collapsed="false">
      <c r="B28948" s="0" t="s">
        <v>232</v>
      </c>
    </row>
    <row r="28950" customFormat="false" ht="12.8" hidden="false" customHeight="false" outlineLevel="0" collapsed="false">
      <c r="A28950" s="0" t="s">
        <v>10715</v>
      </c>
      <c r="B28950" s="0" t="str">
        <f aca="false">HYPERLINK("https://lindat.mff.cuni.cz/services/teitok/pdtc10/index.php?action=vallex&amp;frame=v-w3951f2", "posbírat (v-w3951f2) - substituted with v-w3951f3_ZU")</f>
        <v>posbírat (v-w3951f2) - substituted with v-w3951f3_ZU</v>
      </c>
    </row>
    <row r="28951" customFormat="false" ht="12.8" hidden="false" customHeight="false" outlineLevel="0" collapsed="false">
      <c r="B28951" s="0" t="s">
        <v>7</v>
      </c>
      <c r="C28951" s="0" t="s">
        <v>157</v>
      </c>
      <c r="D28951" s="0" t="s">
        <v>77</v>
      </c>
      <c r="E28951" s="0" t="s">
        <v>77</v>
      </c>
      <c r="F28951" s="0" t="s">
        <v>77</v>
      </c>
    </row>
    <row r="28952" customFormat="false" ht="12.8" hidden="false" customHeight="false" outlineLevel="0" collapsed="false">
      <c r="B28952" s="0" t="s">
        <v>232</v>
      </c>
      <c r="C28952" s="0" t="s">
        <v>466</v>
      </c>
      <c r="D28952" s="0" t="s">
        <v>79</v>
      </c>
      <c r="E28952" s="0" t="s">
        <v>79</v>
      </c>
      <c r="F28952" s="0" t="s">
        <v>79</v>
      </c>
    </row>
    <row r="28954" customFormat="false" ht="12.8" hidden="false" customHeight="false" outlineLevel="0" collapsed="false">
      <c r="A28954" s="0" t="s">
        <v>10716</v>
      </c>
      <c r="B28954" s="0" t="str">
        <f aca="false">HYPERLINK("https://lindat.mff.cuni.cz/services/teitok/pdtc10/index.php?action=vallex&amp;frame=v-w3951f1", "posbírat (v-w3951f1)")</f>
        <v>posbírat (v-w3951f1)</v>
      </c>
    </row>
    <row r="28955" customFormat="false" ht="12.8" hidden="false" customHeight="false" outlineLevel="0" collapsed="false">
      <c r="B28955" s="0" t="s">
        <v>7</v>
      </c>
    </row>
    <row r="28956" customFormat="false" ht="12.8" hidden="false" customHeight="false" outlineLevel="0" collapsed="false">
      <c r="B28956" s="0" t="s">
        <v>10717</v>
      </c>
    </row>
    <row r="28958" customFormat="false" ht="12.8" hidden="false" customHeight="false" outlineLevel="0" collapsed="false">
      <c r="A28958" s="0" t="s">
        <v>10718</v>
      </c>
      <c r="B28958" s="0" t="str">
        <f aca="false">HYPERLINK("https://lindat.mff.cuni.cz/services/teitok/pdtc10/index.php?action=vallex&amp;frame=v-w12301_MMf1_MM", "poschovávat (v-w12301_MMf1_MM)")</f>
        <v>poschovávat (v-w12301_MMf1_MM)</v>
      </c>
    </row>
    <row r="28959" customFormat="false" ht="12.8" hidden="false" customHeight="false" outlineLevel="0" collapsed="false">
      <c r="B28959" s="0" t="s">
        <v>7</v>
      </c>
    </row>
    <row r="28960" customFormat="false" ht="12.8" hidden="false" customHeight="false" outlineLevel="0" collapsed="false">
      <c r="B28960" s="0" t="s">
        <v>14</v>
      </c>
    </row>
    <row r="28961" customFormat="false" ht="12.8" hidden="false" customHeight="false" outlineLevel="0" collapsed="false">
      <c r="B28961" s="0" t="s">
        <v>3743</v>
      </c>
    </row>
    <row r="28963" customFormat="false" ht="12.8" hidden="false" customHeight="false" outlineLevel="0" collapsed="false">
      <c r="A28963" s="0" t="s">
        <v>10719</v>
      </c>
      <c r="B28963" s="0" t="str">
        <f aca="false">HYPERLINK("https://lindat.mff.cuni.cz/services/teitok/pdtc10/index.php?action=vallex&amp;frame=v-w3953f1", "posedávat (v-w3953f1)")</f>
        <v>posedávat (v-w3953f1)</v>
      </c>
    </row>
    <row r="28964" customFormat="false" ht="12.8" hidden="false" customHeight="false" outlineLevel="0" collapsed="false">
      <c r="B28964" s="0" t="s">
        <v>7</v>
      </c>
      <c r="D28964" s="0" t="s">
        <v>10720</v>
      </c>
      <c r="E28964" s="0" t="s">
        <v>10720</v>
      </c>
      <c r="F28964" s="0" t="s">
        <v>10720</v>
      </c>
    </row>
    <row r="28966" customFormat="false" ht="12.8" hidden="false" customHeight="false" outlineLevel="0" collapsed="false">
      <c r="A28966" s="0" t="s">
        <v>10721</v>
      </c>
      <c r="B28966" s="0" t="str">
        <f aca="false">HYPERLINK("https://lindat.mff.cuni.cz/services/teitok/pdtc10/index.php?action=vallex&amp;frame=v-w3954f1", "posedět (v-w3954f1)")</f>
        <v>posedět (v-w3954f1)</v>
      </c>
    </row>
    <row r="28967" customFormat="false" ht="12.8" hidden="false" customHeight="false" outlineLevel="0" collapsed="false">
      <c r="B28967" s="0" t="s">
        <v>7</v>
      </c>
    </row>
    <row r="28969" customFormat="false" ht="12.8" hidden="false" customHeight="false" outlineLevel="0" collapsed="false">
      <c r="A28969" s="0" t="s">
        <v>10722</v>
      </c>
      <c r="B28969" s="0" t="str">
        <f aca="false">HYPERLINK("https://lindat.mff.cuni.cz/services/teitok/pdtc10/index.php?action=vallex&amp;frame=v-whsa_1863hsa_1864", "posedět si (v-whsa_1863hsa_1864)")</f>
        <v>posedět si (v-whsa_1863hsa_1864)</v>
      </c>
    </row>
    <row r="28970" customFormat="false" ht="12.8" hidden="false" customHeight="false" outlineLevel="0" collapsed="false">
      <c r="B28970" s="0" t="s">
        <v>7</v>
      </c>
    </row>
    <row r="28972" customFormat="false" ht="12.8" hidden="false" customHeight="false" outlineLevel="0" collapsed="false">
      <c r="A28972" s="0" t="s">
        <v>10723</v>
      </c>
      <c r="B28972" s="0" t="str">
        <f aca="false">HYPERLINK("https://lindat.mff.cuni.cz/services/teitok/pdtc10/index.php?action=vallex&amp;frame=v-whsa_265hsa_266", "posekat (v-whsa_265hsa_266)")</f>
        <v>posekat (v-whsa_265hsa_266)</v>
      </c>
    </row>
    <row r="28973" customFormat="false" ht="12.8" hidden="false" customHeight="false" outlineLevel="0" collapsed="false">
      <c r="B28973" s="0" t="s">
        <v>7</v>
      </c>
    </row>
    <row r="28974" customFormat="false" ht="12.8" hidden="false" customHeight="false" outlineLevel="0" collapsed="false">
      <c r="B28974" s="0" t="s">
        <v>14</v>
      </c>
    </row>
    <row r="28976" customFormat="false" ht="12.8" hidden="false" customHeight="false" outlineLevel="0" collapsed="false">
      <c r="A28976" s="0" t="s">
        <v>10724</v>
      </c>
      <c r="B28976" s="0" t="str">
        <f aca="false">HYPERLINK("https://lindat.mff.cuni.cz/services/teitok/pdtc10/index.php?action=vallex&amp;frame=v-w12161_ZUf1_ZU", "posestřit se (v-w12161_ZUf1_ZU)")</f>
        <v>posestřit se (v-w12161_ZUf1_ZU)</v>
      </c>
    </row>
    <row r="28977" customFormat="false" ht="12.8" hidden="false" customHeight="false" outlineLevel="0" collapsed="false">
      <c r="B28977" s="0" t="s">
        <v>7</v>
      </c>
    </row>
    <row r="28979" customFormat="false" ht="12.8" hidden="false" customHeight="false" outlineLevel="0" collapsed="false">
      <c r="A28979" s="0" t="s">
        <v>10725</v>
      </c>
      <c r="B28979" s="0" t="str">
        <f aca="false">HYPERLINK("https://lindat.mff.cuni.cz/services/teitok/pdtc10/index.php?action=vallex&amp;frame=v-w3952f1", "posečkat (v-w3952f1)")</f>
        <v>posečkat (v-w3952f1)</v>
      </c>
    </row>
    <row r="28980" customFormat="false" ht="12.8" hidden="false" customHeight="false" outlineLevel="0" collapsed="false">
      <c r="B28980" s="0" t="s">
        <v>7</v>
      </c>
    </row>
    <row r="28981" customFormat="false" ht="12.8" hidden="false" customHeight="false" outlineLevel="0" collapsed="false">
      <c r="B28981" s="0" t="s">
        <v>548</v>
      </c>
    </row>
    <row r="28983" customFormat="false" ht="12.8" hidden="false" customHeight="false" outlineLevel="0" collapsed="false">
      <c r="A28983" s="0" t="s">
        <v>10726</v>
      </c>
      <c r="B28983" s="0" t="str">
        <f aca="false">HYPERLINK("https://lindat.mff.cuni.cz/services/teitok/pdtc10/index.php?action=vallex&amp;frame=v-w3966f1", "posilnit (v-w3966f1)")</f>
        <v>posilnit (v-w3966f1)</v>
      </c>
    </row>
    <row r="28984" customFormat="false" ht="12.8" hidden="false" customHeight="false" outlineLevel="0" collapsed="false">
      <c r="B28984" s="0" t="s">
        <v>7</v>
      </c>
    </row>
    <row r="28985" customFormat="false" ht="12.8" hidden="false" customHeight="false" outlineLevel="0" collapsed="false">
      <c r="B28985" s="0" t="s">
        <v>14</v>
      </c>
    </row>
    <row r="28987" customFormat="false" ht="12.8" hidden="false" customHeight="false" outlineLevel="0" collapsed="false">
      <c r="A28987" s="0" t="s">
        <v>10727</v>
      </c>
      <c r="B28987" s="0" t="str">
        <f aca="false">HYPERLINK("https://lindat.mff.cuni.cz/services/teitok/pdtc10/index.php?action=vallex&amp;frame=v-w3969f1", "posilovat (v-w3969f1)")</f>
        <v>posilovat (v-w3969f1)</v>
      </c>
    </row>
    <row r="28988" customFormat="false" ht="12.8" hidden="false" customHeight="false" outlineLevel="0" collapsed="false">
      <c r="B28988" s="0" t="s">
        <v>7</v>
      </c>
      <c r="C28988" s="0" t="s">
        <v>10728</v>
      </c>
    </row>
    <row r="28989" customFormat="false" ht="12.8" hidden="false" customHeight="false" outlineLevel="0" collapsed="false">
      <c r="B28989" s="0" t="s">
        <v>14</v>
      </c>
      <c r="C28989" s="0" t="s">
        <v>7206</v>
      </c>
    </row>
    <row r="28990" customFormat="false" ht="12.8" hidden="false" customHeight="false" outlineLevel="0" collapsed="false">
      <c r="B28990" s="0" t="s">
        <v>35</v>
      </c>
      <c r="C28990" s="0" t="s">
        <v>1526</v>
      </c>
    </row>
    <row r="28991" customFormat="false" ht="12.8" hidden="false" customHeight="false" outlineLevel="0" collapsed="false">
      <c r="B28991" s="0" t="s">
        <v>84</v>
      </c>
    </row>
    <row r="28993" customFormat="false" ht="12.8" hidden="false" customHeight="false" outlineLevel="0" collapsed="false">
      <c r="A28993" s="0" t="s">
        <v>10729</v>
      </c>
      <c r="B28993" s="0" t="str">
        <f aca="false">HYPERLINK("https://lindat.mff.cuni.cz/services/teitok/pdtc10/index.php?action=vallex&amp;frame=v-w3969f4_ZU", "posilovat (v-w3969f4_ZU)")</f>
        <v>posilovat (v-w3969f4_ZU)</v>
      </c>
    </row>
    <row r="28994" customFormat="false" ht="12.8" hidden="false" customHeight="false" outlineLevel="0" collapsed="false">
      <c r="B28994" s="0" t="s">
        <v>7</v>
      </c>
      <c r="C28994" s="0" t="s">
        <v>10730</v>
      </c>
      <c r="D28994" s="0" t="s">
        <v>6244</v>
      </c>
      <c r="E28994" s="0" t="s">
        <v>6244</v>
      </c>
      <c r="F28994" s="0" t="s">
        <v>6244</v>
      </c>
    </row>
    <row r="28995" customFormat="false" ht="12.8" hidden="false" customHeight="false" outlineLevel="0" collapsed="false">
      <c r="B28995" s="0" t="s">
        <v>63</v>
      </c>
      <c r="C28995" s="0" t="s">
        <v>10731</v>
      </c>
      <c r="D28995" s="0" t="s">
        <v>4496</v>
      </c>
      <c r="E28995" s="0" t="s">
        <v>4496</v>
      </c>
      <c r="F28995" s="0" t="s">
        <v>4496</v>
      </c>
    </row>
    <row r="28996" customFormat="false" ht="12.8" hidden="false" customHeight="false" outlineLevel="0" collapsed="false">
      <c r="B28996" s="0" t="s">
        <v>35</v>
      </c>
      <c r="C28996" s="0" t="s">
        <v>10732</v>
      </c>
      <c r="D28996" s="0" t="s">
        <v>4497</v>
      </c>
      <c r="E28996" s="0" t="s">
        <v>4497</v>
      </c>
      <c r="F28996" s="0" t="s">
        <v>4497</v>
      </c>
    </row>
    <row r="28998" customFormat="false" ht="12.8" hidden="false" customHeight="false" outlineLevel="0" collapsed="false">
      <c r="A28998" s="0" t="s">
        <v>10729</v>
      </c>
      <c r="B28998" s="0" t="str">
        <f aca="false">HYPERLINK("https://lindat.mff.cuni.cz/services/teitok/pdtc10/index.php?action=vallex&amp;frame=v-w3969f3_ZU", "posilovat (v-w3969f3_ZU) - substituted with v-w3969f4_ZU")</f>
        <v>posilovat (v-w3969f3_ZU) - substituted with v-w3969f4_ZU</v>
      </c>
    </row>
    <row r="28999" customFormat="false" ht="12.8" hidden="false" customHeight="false" outlineLevel="0" collapsed="false">
      <c r="B28999" s="0" t="s">
        <v>7</v>
      </c>
    </row>
    <row r="29000" customFormat="false" ht="12.8" hidden="false" customHeight="false" outlineLevel="0" collapsed="false">
      <c r="B29000" s="0" t="s">
        <v>63</v>
      </c>
    </row>
    <row r="29001" customFormat="false" ht="12.8" hidden="false" customHeight="false" outlineLevel="0" collapsed="false">
      <c r="B29001" s="0" t="s">
        <v>35</v>
      </c>
    </row>
    <row r="29003" customFormat="false" ht="12.8" hidden="false" customHeight="false" outlineLevel="0" collapsed="false">
      <c r="A29003" s="0" t="s">
        <v>10733</v>
      </c>
      <c r="B29003" s="0" t="str">
        <f aca="false">HYPERLINK("https://lindat.mff.cuni.cz/services/teitok/pdtc10/index.php?action=vallex&amp;frame=v-w3969f2", "posilovat (v-w3969f2)")</f>
        <v>posilovat (v-w3969f2)</v>
      </c>
    </row>
    <row r="29004" customFormat="false" ht="12.8" hidden="false" customHeight="false" outlineLevel="0" collapsed="false">
      <c r="B29004" s="0" t="s">
        <v>7</v>
      </c>
    </row>
    <row r="29005" customFormat="false" ht="12.8" hidden="false" customHeight="false" outlineLevel="0" collapsed="false">
      <c r="B29005" s="0" t="s">
        <v>14</v>
      </c>
    </row>
    <row r="29007" customFormat="false" ht="12.8" hidden="false" customHeight="false" outlineLevel="0" collapsed="false">
      <c r="A29007" s="0" t="s">
        <v>10734</v>
      </c>
      <c r="B29007" s="0" t="str">
        <f aca="false">HYPERLINK("https://lindat.mff.cuni.cz/services/teitok/pdtc10/index.php?action=vallex&amp;frame=v-w3969f5_ZU", "posilovat (v-w3969f5_ZU)")</f>
        <v>posilovat (v-w3969f5_ZU)</v>
      </c>
    </row>
    <row r="29008" customFormat="false" ht="12.8" hidden="false" customHeight="false" outlineLevel="0" collapsed="false">
      <c r="B29008" s="0" t="s">
        <v>7</v>
      </c>
      <c r="C29008" s="0" t="s">
        <v>10735</v>
      </c>
      <c r="D29008" s="0" t="s">
        <v>10736</v>
      </c>
      <c r="E29008" s="0" t="s">
        <v>10736</v>
      </c>
      <c r="F29008" s="0" t="s">
        <v>10736</v>
      </c>
    </row>
    <row r="29009" customFormat="false" ht="12.8" hidden="false" customHeight="false" outlineLevel="0" collapsed="false">
      <c r="B29009" s="0" t="s">
        <v>14</v>
      </c>
      <c r="C29009" s="0" t="s">
        <v>25</v>
      </c>
      <c r="D29009" s="0" t="s">
        <v>7533</v>
      </c>
      <c r="E29009" s="0" t="s">
        <v>7533</v>
      </c>
      <c r="F29009" s="0" t="s">
        <v>7533</v>
      </c>
    </row>
    <row r="29011" customFormat="false" ht="12.8" hidden="false" customHeight="false" outlineLevel="0" collapsed="false">
      <c r="A29011" s="0" t="s">
        <v>10734</v>
      </c>
      <c r="B29011" s="0" t="str">
        <f aca="false">HYPERLINK("https://lindat.mff.cuni.cz/services/teitok/pdtc10/index.php?action=vallex&amp;frame=v-w3969hsa_1187", "posilovat (v-w3969hsa_1187) - substituted with v-w3969f5_ZU")</f>
        <v>posilovat (v-w3969hsa_1187) - substituted with v-w3969f5_ZU</v>
      </c>
    </row>
    <row r="29012" customFormat="false" ht="12.8" hidden="false" customHeight="false" outlineLevel="0" collapsed="false">
      <c r="B29012" s="0" t="s">
        <v>7</v>
      </c>
    </row>
    <row r="29013" customFormat="false" ht="12.8" hidden="false" customHeight="false" outlineLevel="0" collapsed="false">
      <c r="B29013" s="0" t="s">
        <v>14</v>
      </c>
    </row>
    <row r="29015" customFormat="false" ht="12.8" hidden="false" customHeight="false" outlineLevel="0" collapsed="false">
      <c r="A29015" s="0" t="s">
        <v>10737</v>
      </c>
      <c r="B29015" s="0" t="str">
        <f aca="false">HYPERLINK("https://lindat.mff.cuni.cz/services/teitok/pdtc10/index.php?action=vallex&amp;frame=v-whsa_715hsa_716", "posilovat se (v-whsa_715hsa_716)")</f>
        <v>posilovat se (v-whsa_715hsa_716)</v>
      </c>
    </row>
    <row r="29016" customFormat="false" ht="12.8" hidden="false" customHeight="false" outlineLevel="0" collapsed="false">
      <c r="B29016" s="0" t="s">
        <v>7</v>
      </c>
    </row>
    <row r="29018" customFormat="false" ht="12.8" hidden="false" customHeight="false" outlineLevel="0" collapsed="false">
      <c r="A29018" s="0" t="s">
        <v>10738</v>
      </c>
      <c r="B29018" s="0" t="str">
        <f aca="false">HYPERLINK("https://lindat.mff.cuni.cz/services/teitok/pdtc10/index.php?action=vallex&amp;frame=v-w3971f1", "poskakovat (v-w3971f1)")</f>
        <v>poskakovat (v-w3971f1)</v>
      </c>
    </row>
    <row r="29019" customFormat="false" ht="12.8" hidden="false" customHeight="false" outlineLevel="0" collapsed="false">
      <c r="B29019" s="0" t="s">
        <v>7</v>
      </c>
      <c r="C29019" s="0" t="s">
        <v>191</v>
      </c>
      <c r="D29019" s="0" t="s">
        <v>113</v>
      </c>
      <c r="E29019" s="0" t="s">
        <v>113</v>
      </c>
      <c r="F29019" s="0" t="s">
        <v>113</v>
      </c>
    </row>
    <row r="29021" customFormat="false" ht="12.8" hidden="false" customHeight="false" outlineLevel="0" collapsed="false">
      <c r="A29021" s="0" t="s">
        <v>10739</v>
      </c>
      <c r="B29021" s="0" t="str">
        <f aca="false">HYPERLINK("https://lindat.mff.cuni.cz/services/teitok/pdtc10/index.php?action=vallex&amp;frame=v-w3971f2_ZU", "poskakovat (v-w3971f2_ZU)")</f>
        <v>poskakovat (v-w3971f2_ZU)</v>
      </c>
    </row>
    <row r="29022" customFormat="false" ht="12.8" hidden="false" customHeight="false" outlineLevel="0" collapsed="false">
      <c r="B29022" s="0" t="s">
        <v>7</v>
      </c>
    </row>
    <row r="29023" customFormat="false" ht="12.8" hidden="false" customHeight="false" outlineLevel="0" collapsed="false">
      <c r="B29023" s="0" t="s">
        <v>10740</v>
      </c>
    </row>
    <row r="29025" customFormat="false" ht="12.8" hidden="false" customHeight="false" outlineLevel="0" collapsed="false">
      <c r="A29025" s="0" t="s">
        <v>10741</v>
      </c>
      <c r="B29025" s="0" t="str">
        <f aca="false">HYPERLINK("https://lindat.mff.cuni.cz/services/teitok/pdtc10/index.php?action=vallex&amp;frame=v-w3972f2_ZU", "poskládat (v-w3972f2_ZU)")</f>
        <v>poskládat (v-w3972f2_ZU)</v>
      </c>
    </row>
    <row r="29026" customFormat="false" ht="12.8" hidden="false" customHeight="false" outlineLevel="0" collapsed="false">
      <c r="B29026" s="0" t="s">
        <v>7</v>
      </c>
      <c r="C29026" s="0" t="s">
        <v>191</v>
      </c>
      <c r="D29026" s="0" t="s">
        <v>10742</v>
      </c>
      <c r="E29026" s="0" t="s">
        <v>10743</v>
      </c>
      <c r="F29026" s="0" t="s">
        <v>10743</v>
      </c>
    </row>
    <row r="29027" customFormat="false" ht="12.8" hidden="false" customHeight="false" outlineLevel="0" collapsed="false">
      <c r="B29027" s="0" t="s">
        <v>14</v>
      </c>
      <c r="C29027" s="0" t="s">
        <v>384</v>
      </c>
      <c r="D29027" s="0" t="s">
        <v>10744</v>
      </c>
      <c r="E29027" s="0" t="s">
        <v>10745</v>
      </c>
      <c r="F29027" s="0" t="s">
        <v>10745</v>
      </c>
    </row>
    <row r="29028" customFormat="false" ht="12.8" hidden="false" customHeight="false" outlineLevel="0" collapsed="false">
      <c r="B29028" s="0" t="s">
        <v>35</v>
      </c>
      <c r="D29028" s="0" t="s">
        <v>5460</v>
      </c>
      <c r="E29028" s="0" t="s">
        <v>10746</v>
      </c>
      <c r="F29028" s="0" t="s">
        <v>10746</v>
      </c>
    </row>
    <row r="29029" customFormat="false" ht="12.8" hidden="false" customHeight="false" outlineLevel="0" collapsed="false">
      <c r="B29029" s="0" t="s">
        <v>10747</v>
      </c>
      <c r="E29029" s="0" t="s">
        <v>361</v>
      </c>
      <c r="F29029" s="0" t="s">
        <v>361</v>
      </c>
    </row>
    <row r="29031" customFormat="false" ht="12.8" hidden="false" customHeight="false" outlineLevel="0" collapsed="false">
      <c r="A29031" s="0" t="s">
        <v>10741</v>
      </c>
      <c r="B29031" s="0" t="str">
        <f aca="false">HYPERLINK("https://lindat.mff.cuni.cz/services/teitok/pdtc10/index.php?action=vallex&amp;frame=v-w3972f1", "poskládat (v-w3972f1) - substituted with v-w3972f2_ZU")</f>
        <v>poskládat (v-w3972f1) - substituted with v-w3972f2_ZU</v>
      </c>
    </row>
    <row r="29032" customFormat="false" ht="12.8" hidden="false" customHeight="false" outlineLevel="0" collapsed="false">
      <c r="B29032" s="0" t="s">
        <v>7</v>
      </c>
    </row>
    <row r="29033" customFormat="false" ht="12.8" hidden="false" customHeight="false" outlineLevel="0" collapsed="false">
      <c r="B29033" s="0" t="s">
        <v>14</v>
      </c>
      <c r="C29033" s="0" t="s">
        <v>47</v>
      </c>
    </row>
    <row r="29034" customFormat="false" ht="12.8" hidden="false" customHeight="false" outlineLevel="0" collapsed="false">
      <c r="B29034" s="0" t="s">
        <v>35</v>
      </c>
    </row>
    <row r="29035" customFormat="false" ht="12.8" hidden="false" customHeight="false" outlineLevel="0" collapsed="false">
      <c r="B29035" s="0" t="s">
        <v>10747</v>
      </c>
    </row>
    <row r="29037" customFormat="false" ht="12.8" hidden="false" customHeight="false" outlineLevel="0" collapsed="false">
      <c r="A29037" s="0" t="s">
        <v>10748</v>
      </c>
      <c r="B29037" s="0" t="str">
        <f aca="false">HYPERLINK("https://lindat.mff.cuni.cz/services/teitok/pdtc10/index.php?action=vallex&amp;frame=v-w3972hsa_2036", "poskládat (v-w3972hsa_2036)")</f>
        <v>poskládat (v-w3972hsa_2036)</v>
      </c>
    </row>
    <row r="29038" customFormat="false" ht="12.8" hidden="false" customHeight="false" outlineLevel="0" collapsed="false">
      <c r="B29038" s="0" t="s">
        <v>7</v>
      </c>
    </row>
    <row r="29039" customFormat="false" ht="12.8" hidden="false" customHeight="false" outlineLevel="0" collapsed="false">
      <c r="B29039" s="0" t="s">
        <v>14</v>
      </c>
    </row>
    <row r="29040" customFormat="false" ht="12.8" hidden="false" customHeight="false" outlineLevel="0" collapsed="false">
      <c r="B29040" s="0" t="s">
        <v>124</v>
      </c>
    </row>
    <row r="29042" customFormat="false" ht="12.8" hidden="false" customHeight="false" outlineLevel="0" collapsed="false">
      <c r="A29042" s="0" t="s">
        <v>10749</v>
      </c>
      <c r="B29042" s="0" t="str">
        <f aca="false">HYPERLINK("https://lindat.mff.cuni.cz/services/teitok/pdtc10/index.php?action=vallex&amp;frame=v-w10833f3", "poskočit (v-w10833f3)")</f>
        <v>poskočit (v-w10833f3)</v>
      </c>
    </row>
    <row r="29043" customFormat="false" ht="12.8" hidden="false" customHeight="false" outlineLevel="0" collapsed="false">
      <c r="B29043" s="0" t="s">
        <v>7</v>
      </c>
      <c r="C29043" s="0" t="s">
        <v>10750</v>
      </c>
      <c r="D29043" s="0" t="s">
        <v>6244</v>
      </c>
      <c r="E29043" s="0" t="s">
        <v>6244</v>
      </c>
      <c r="F29043" s="0" t="s">
        <v>6244</v>
      </c>
    </row>
    <row r="29044" customFormat="false" ht="12.8" hidden="false" customHeight="false" outlineLevel="0" collapsed="false">
      <c r="B29044" s="0" t="s">
        <v>63</v>
      </c>
      <c r="C29044" s="0" t="s">
        <v>10751</v>
      </c>
      <c r="D29044" s="0" t="s">
        <v>4496</v>
      </c>
      <c r="E29044" s="0" t="s">
        <v>4496</v>
      </c>
      <c r="F29044" s="0" t="s">
        <v>4496</v>
      </c>
    </row>
    <row r="29045" customFormat="false" ht="12.8" hidden="false" customHeight="false" outlineLevel="0" collapsed="false">
      <c r="B29045" s="0" t="s">
        <v>35</v>
      </c>
      <c r="C29045" s="0" t="s">
        <v>10752</v>
      </c>
      <c r="D29045" s="0" t="s">
        <v>4497</v>
      </c>
      <c r="E29045" s="0" t="s">
        <v>4497</v>
      </c>
      <c r="F29045" s="0" t="s">
        <v>4497</v>
      </c>
    </row>
    <row r="29047" customFormat="false" ht="12.8" hidden="false" customHeight="false" outlineLevel="0" collapsed="false">
      <c r="A29047" s="0" t="s">
        <v>10753</v>
      </c>
      <c r="B29047" s="0" t="str">
        <f aca="false">HYPERLINK("https://lindat.mff.cuni.cz/services/teitok/pdtc10/index.php?action=vallex&amp;frame=v-w11211f2", "poskvrnit (v-w11211f2)")</f>
        <v>poskvrnit (v-w11211f2)</v>
      </c>
    </row>
    <row r="29048" customFormat="false" ht="12.8" hidden="false" customHeight="false" outlineLevel="0" collapsed="false">
      <c r="B29048" s="0" t="s">
        <v>7</v>
      </c>
      <c r="D29048" s="0" t="s">
        <v>4999</v>
      </c>
      <c r="E29048" s="0" t="s">
        <v>4999</v>
      </c>
      <c r="F29048" s="0" t="s">
        <v>4999</v>
      </c>
    </row>
    <row r="29049" customFormat="false" ht="12.8" hidden="false" customHeight="false" outlineLevel="0" collapsed="false">
      <c r="B29049" s="0" t="s">
        <v>14</v>
      </c>
      <c r="D29049" s="0" t="s">
        <v>1264</v>
      </c>
      <c r="E29049" s="0" t="s">
        <v>1264</v>
      </c>
      <c r="F29049" s="0" t="s">
        <v>1264</v>
      </c>
    </row>
    <row r="29051" customFormat="false" ht="12.8" hidden="false" customHeight="false" outlineLevel="0" collapsed="false">
      <c r="A29051" s="0" t="s">
        <v>10754</v>
      </c>
      <c r="B29051" s="0" t="str">
        <f aca="false">HYPERLINK("https://lindat.mff.cuni.cz/services/teitok/pdtc10/index.php?action=vallex&amp;frame=v-w3973f8_ZU", "poskytnout (v-w3973f8_ZU)")</f>
        <v>poskytnout (v-w3973f8_ZU)</v>
      </c>
    </row>
    <row r="29052" customFormat="false" ht="12.8" hidden="false" customHeight="false" outlineLevel="0" collapsed="false">
      <c r="B29052" s="0" t="s">
        <v>7</v>
      </c>
      <c r="C29052" s="0" t="s">
        <v>10755</v>
      </c>
      <c r="D29052" s="0" t="s">
        <v>10756</v>
      </c>
      <c r="E29052" s="0" t="s">
        <v>10756</v>
      </c>
      <c r="F29052" s="0" t="s">
        <v>10756</v>
      </c>
    </row>
    <row r="29053" customFormat="false" ht="12.8" hidden="false" customHeight="false" outlineLevel="0" collapsed="false">
      <c r="B29053" s="0" t="s">
        <v>14</v>
      </c>
      <c r="C29053" s="0" t="s">
        <v>3001</v>
      </c>
      <c r="D29053" s="0" t="s">
        <v>10757</v>
      </c>
      <c r="E29053" s="0" t="s">
        <v>10757</v>
      </c>
      <c r="F29053" s="0" t="s">
        <v>10757</v>
      </c>
    </row>
    <row r="29054" customFormat="false" ht="12.8" hidden="false" customHeight="false" outlineLevel="0" collapsed="false">
      <c r="B29054" s="0" t="s">
        <v>48</v>
      </c>
      <c r="C29054" s="0" t="s">
        <v>10758</v>
      </c>
      <c r="D29054" s="0" t="s">
        <v>10759</v>
      </c>
      <c r="E29054" s="0" t="s">
        <v>10759</v>
      </c>
      <c r="F29054" s="0" t="s">
        <v>10759</v>
      </c>
    </row>
    <row r="29056" customFormat="false" ht="12.8" hidden="false" customHeight="false" outlineLevel="0" collapsed="false">
      <c r="A29056" s="0" t="s">
        <v>10754</v>
      </c>
      <c r="B29056" s="0" t="str">
        <f aca="false">HYPERLINK("https://lindat.mff.cuni.cz/services/teitok/pdtc10/index.php?action=vallex&amp;frame=v-w3973f1", "poskytnout (v-w3973f1) - substituted with v-w3973f8_ZU")</f>
        <v>poskytnout (v-w3973f1) - substituted with v-w3973f8_ZU</v>
      </c>
    </row>
    <row r="29057" customFormat="false" ht="12.8" hidden="false" customHeight="false" outlineLevel="0" collapsed="false">
      <c r="B29057" s="0" t="s">
        <v>7</v>
      </c>
      <c r="C29057" s="0" t="s">
        <v>10760</v>
      </c>
    </row>
    <row r="29058" customFormat="false" ht="12.8" hidden="false" customHeight="false" outlineLevel="0" collapsed="false">
      <c r="B29058" s="0" t="s">
        <v>14</v>
      </c>
      <c r="C29058" s="0" t="s">
        <v>10761</v>
      </c>
    </row>
    <row r="29059" customFormat="false" ht="12.8" hidden="false" customHeight="false" outlineLevel="0" collapsed="false">
      <c r="B29059" s="0" t="s">
        <v>48</v>
      </c>
      <c r="C29059" s="0" t="s">
        <v>10762</v>
      </c>
    </row>
    <row r="29061" customFormat="false" ht="12.8" hidden="false" customHeight="false" outlineLevel="0" collapsed="false">
      <c r="A29061" s="0" t="s">
        <v>10763</v>
      </c>
      <c r="B29061" s="0" t="str">
        <f aca="false">HYPERLINK("https://lindat.mff.cuni.cz/services/teitok/pdtc10/index.php?action=vallex&amp;frame=v-w3973f11_ZU", "poskytnout (v-w3973f11_ZU)")</f>
        <v>poskytnout (v-w3973f11_ZU)</v>
      </c>
    </row>
    <row r="29062" customFormat="false" ht="12.8" hidden="false" customHeight="false" outlineLevel="0" collapsed="false">
      <c r="B29062" s="0" t="s">
        <v>7</v>
      </c>
      <c r="D29062" s="0" t="s">
        <v>10764</v>
      </c>
      <c r="E29062" s="0" t="s">
        <v>10765</v>
      </c>
      <c r="F29062" s="0" t="s">
        <v>10766</v>
      </c>
    </row>
    <row r="29063" customFormat="false" ht="12.8" hidden="false" customHeight="false" outlineLevel="0" collapsed="false">
      <c r="B29063" s="0" t="s">
        <v>10767</v>
      </c>
      <c r="C29063" s="0" t="s">
        <v>10768</v>
      </c>
      <c r="D29063" s="0" t="s">
        <v>10769</v>
      </c>
      <c r="E29063" s="0" t="s">
        <v>10769</v>
      </c>
      <c r="F29063" s="0" t="s">
        <v>10769</v>
      </c>
    </row>
    <row r="29064" customFormat="false" ht="12.8" hidden="false" customHeight="false" outlineLevel="0" collapsed="false">
      <c r="B29064" s="0" t="s">
        <v>3012</v>
      </c>
      <c r="D29064" s="0" t="s">
        <v>10770</v>
      </c>
      <c r="E29064" s="0" t="s">
        <v>10771</v>
      </c>
      <c r="F29064" s="0" t="s">
        <v>10772</v>
      </c>
    </row>
    <row r="29066" customFormat="false" ht="12.8" hidden="false" customHeight="false" outlineLevel="0" collapsed="false">
      <c r="A29066" s="0" t="s">
        <v>10763</v>
      </c>
      <c r="B29066" s="0" t="str">
        <f aca="false">HYPERLINK("https://lindat.mff.cuni.cz/services/teitok/pdtc10/index.php?action=vallex&amp;frame=v-w3973f10_ZU", "poskytnout (v-w3973f10_ZU) - substituted with v-w3973f11_ZU")</f>
        <v>poskytnout (v-w3973f10_ZU) - substituted with v-w3973f11_ZU</v>
      </c>
    </row>
    <row r="29067" customFormat="false" ht="12.8" hidden="false" customHeight="false" outlineLevel="0" collapsed="false">
      <c r="B29067" s="0" t="s">
        <v>7</v>
      </c>
      <c r="C29067" s="0" t="s">
        <v>10773</v>
      </c>
    </row>
    <row r="29068" customFormat="false" ht="12.8" hidden="false" customHeight="false" outlineLevel="0" collapsed="false">
      <c r="B29068" s="0" t="s">
        <v>10767</v>
      </c>
      <c r="C29068" s="0" t="s">
        <v>10774</v>
      </c>
    </row>
    <row r="29069" customFormat="false" ht="12.8" hidden="false" customHeight="false" outlineLevel="0" collapsed="false">
      <c r="B29069" s="0" t="s">
        <v>3012</v>
      </c>
      <c r="C29069" s="0" t="s">
        <v>10775</v>
      </c>
    </row>
    <row r="29071" customFormat="false" ht="12.8" hidden="false" customHeight="false" outlineLevel="0" collapsed="false">
      <c r="A29071" s="0" t="s">
        <v>10763</v>
      </c>
      <c r="B29071" s="0" t="str">
        <f aca="false">HYPERLINK("https://lindat.mff.cuni.cz/services/teitok/pdtc10/index.php?action=vallex&amp;frame=v-w3973f2", "poskytnout (v-w3973f2) - substituted with v-w3973f11_ZU")</f>
        <v>poskytnout (v-w3973f2) - substituted with v-w3973f11_ZU</v>
      </c>
    </row>
    <row r="29072" customFormat="false" ht="12.8" hidden="false" customHeight="false" outlineLevel="0" collapsed="false">
      <c r="B29072" s="0" t="s">
        <v>7</v>
      </c>
      <c r="C29072" s="0" t="s">
        <v>10776</v>
      </c>
    </row>
    <row r="29073" customFormat="false" ht="12.8" hidden="false" customHeight="false" outlineLevel="0" collapsed="false">
      <c r="B29073" s="0" t="s">
        <v>10767</v>
      </c>
      <c r="C29073" s="0" t="s">
        <v>10777</v>
      </c>
    </row>
    <row r="29074" customFormat="false" ht="12.8" hidden="false" customHeight="false" outlineLevel="0" collapsed="false">
      <c r="B29074" s="0" t="s">
        <v>3012</v>
      </c>
      <c r="C29074" s="0" t="s">
        <v>10778</v>
      </c>
    </row>
    <row r="29076" customFormat="false" ht="12.8" hidden="false" customHeight="false" outlineLevel="0" collapsed="false">
      <c r="A29076" s="0" t="s">
        <v>10763</v>
      </c>
      <c r="B29076" s="0" t="str">
        <f aca="false">HYPERLINK("https://lindat.mff.cuni.cz/services/teitok/pdtc10/index.php?action=vallex&amp;frame=v-w3973f3_ZU", "poskytnout (v-w3973f3_ZU) - substituted with v-w3973f11_ZU")</f>
        <v>poskytnout (v-w3973f3_ZU) - substituted with v-w3973f11_ZU</v>
      </c>
    </row>
    <row r="29077" customFormat="false" ht="12.8" hidden="false" customHeight="false" outlineLevel="0" collapsed="false">
      <c r="B29077" s="0" t="s">
        <v>7</v>
      </c>
      <c r="C29077" s="0" t="s">
        <v>2940</v>
      </c>
    </row>
    <row r="29078" customFormat="false" ht="12.8" hidden="false" customHeight="false" outlineLevel="0" collapsed="false">
      <c r="B29078" s="0" t="s">
        <v>10767</v>
      </c>
      <c r="C29078" s="0" t="s">
        <v>3007</v>
      </c>
    </row>
    <row r="29079" customFormat="false" ht="12.8" hidden="false" customHeight="false" outlineLevel="0" collapsed="false">
      <c r="B29079" s="0" t="s">
        <v>3012</v>
      </c>
      <c r="C29079" s="0" t="s">
        <v>2942</v>
      </c>
    </row>
    <row r="29081" customFormat="false" ht="12.8" hidden="false" customHeight="false" outlineLevel="0" collapsed="false">
      <c r="A29081" s="0" t="s">
        <v>10763</v>
      </c>
      <c r="B29081" s="0" t="str">
        <f aca="false">HYPERLINK("https://lindat.mff.cuni.cz/services/teitok/pdtc10/index.php?action=vallex&amp;frame=v-w3973f4_ZU", "poskytnout (v-w3973f4_ZU) - substituted with v-w3973f11_ZU")</f>
        <v>poskytnout (v-w3973f4_ZU) - substituted with v-w3973f11_ZU</v>
      </c>
    </row>
    <row r="29082" customFormat="false" ht="12.8" hidden="false" customHeight="false" outlineLevel="0" collapsed="false">
      <c r="B29082" s="0" t="s">
        <v>7</v>
      </c>
    </row>
    <row r="29083" customFormat="false" ht="12.8" hidden="false" customHeight="false" outlineLevel="0" collapsed="false">
      <c r="B29083" s="0" t="s">
        <v>10767</v>
      </c>
    </row>
    <row r="29084" customFormat="false" ht="12.8" hidden="false" customHeight="false" outlineLevel="0" collapsed="false">
      <c r="B29084" s="0" t="s">
        <v>3012</v>
      </c>
    </row>
    <row r="29086" customFormat="false" ht="12.8" hidden="false" customHeight="false" outlineLevel="0" collapsed="false">
      <c r="A29086" s="0" t="s">
        <v>10763</v>
      </c>
      <c r="B29086" s="0" t="str">
        <f aca="false">HYPERLINK("https://lindat.mff.cuni.cz/services/teitok/pdtc10/index.php?action=vallex&amp;frame=v-w3973f5_ZU", "poskytnout (v-w3973f5_ZU) - substituted with v-w3973f11_ZU")</f>
        <v>poskytnout (v-w3973f5_ZU) - substituted with v-w3973f11_ZU</v>
      </c>
    </row>
    <row r="29087" customFormat="false" ht="12.8" hidden="false" customHeight="false" outlineLevel="0" collapsed="false">
      <c r="B29087" s="0" t="s">
        <v>7</v>
      </c>
      <c r="C29087" s="0" t="s">
        <v>10779</v>
      </c>
    </row>
    <row r="29088" customFormat="false" ht="12.8" hidden="false" customHeight="false" outlineLevel="0" collapsed="false">
      <c r="B29088" s="0" t="s">
        <v>10767</v>
      </c>
      <c r="C29088" s="0" t="s">
        <v>10780</v>
      </c>
    </row>
    <row r="29089" customFormat="false" ht="12.8" hidden="false" customHeight="false" outlineLevel="0" collapsed="false">
      <c r="B29089" s="0" t="s">
        <v>3012</v>
      </c>
      <c r="C29089" s="0" t="s">
        <v>10781</v>
      </c>
    </row>
    <row r="29091" customFormat="false" ht="12.8" hidden="false" customHeight="false" outlineLevel="0" collapsed="false">
      <c r="A29091" s="0" t="s">
        <v>10763</v>
      </c>
      <c r="B29091" s="0" t="str">
        <f aca="false">HYPERLINK("https://lindat.mff.cuni.cz/services/teitok/pdtc10/index.php?action=vallex&amp;frame=v-w3973f6_ZU", "poskytnout (v-w3973f6_ZU) - substituted with v-w3973f11_ZU")</f>
        <v>poskytnout (v-w3973f6_ZU) - substituted with v-w3973f11_ZU</v>
      </c>
    </row>
    <row r="29092" customFormat="false" ht="12.8" hidden="false" customHeight="false" outlineLevel="0" collapsed="false">
      <c r="B29092" s="0" t="s">
        <v>7</v>
      </c>
      <c r="C29092" s="0" t="s">
        <v>3410</v>
      </c>
    </row>
    <row r="29093" customFormat="false" ht="12.8" hidden="false" customHeight="false" outlineLevel="0" collapsed="false">
      <c r="B29093" s="0" t="s">
        <v>10767</v>
      </c>
      <c r="C29093" s="0" t="s">
        <v>10782</v>
      </c>
    </row>
    <row r="29094" customFormat="false" ht="12.8" hidden="false" customHeight="false" outlineLevel="0" collapsed="false">
      <c r="B29094" s="0" t="s">
        <v>3012</v>
      </c>
      <c r="C29094" s="0" t="s">
        <v>3018</v>
      </c>
    </row>
    <row r="29096" customFormat="false" ht="12.8" hidden="false" customHeight="false" outlineLevel="0" collapsed="false">
      <c r="A29096" s="0" t="s">
        <v>10763</v>
      </c>
      <c r="B29096" s="0" t="str">
        <f aca="false">HYPERLINK("https://lindat.mff.cuni.cz/services/teitok/pdtc10/index.php?action=vallex&amp;frame=v-w3973f7_ZU", "poskytnout (v-w3973f7_ZU) - substituted with v-w3973f11_ZU")</f>
        <v>poskytnout (v-w3973f7_ZU) - substituted with v-w3973f11_ZU</v>
      </c>
    </row>
    <row r="29097" customFormat="false" ht="12.8" hidden="false" customHeight="false" outlineLevel="0" collapsed="false">
      <c r="B29097" s="0" t="s">
        <v>7</v>
      </c>
      <c r="C29097" s="0" t="s">
        <v>10783</v>
      </c>
    </row>
    <row r="29098" customFormat="false" ht="12.8" hidden="false" customHeight="false" outlineLevel="0" collapsed="false">
      <c r="B29098" s="0" t="s">
        <v>10767</v>
      </c>
      <c r="C29098" s="0" t="s">
        <v>10784</v>
      </c>
    </row>
    <row r="29099" customFormat="false" ht="12.8" hidden="false" customHeight="false" outlineLevel="0" collapsed="false">
      <c r="B29099" s="0" t="s">
        <v>3012</v>
      </c>
      <c r="C29099" s="0" t="s">
        <v>10785</v>
      </c>
    </row>
    <row r="29101" customFormat="false" ht="12.8" hidden="false" customHeight="false" outlineLevel="0" collapsed="false">
      <c r="A29101" s="0" t="s">
        <v>10763</v>
      </c>
      <c r="B29101" s="0" t="str">
        <f aca="false">HYPERLINK("https://lindat.mff.cuni.cz/services/teitok/pdtc10/index.php?action=vallex&amp;frame=v-w3973f9_ZU", "poskytnout (v-w3973f9_ZU) - substituted with v-w3973f11_ZU")</f>
        <v>poskytnout (v-w3973f9_ZU) - substituted with v-w3973f11_ZU</v>
      </c>
    </row>
    <row r="29102" customFormat="false" ht="12.8" hidden="false" customHeight="false" outlineLevel="0" collapsed="false">
      <c r="B29102" s="0" t="s">
        <v>7</v>
      </c>
      <c r="C29102" s="0" t="s">
        <v>10786</v>
      </c>
    </row>
    <row r="29103" customFormat="false" ht="12.8" hidden="false" customHeight="false" outlineLevel="0" collapsed="false">
      <c r="B29103" s="0" t="s">
        <v>10767</v>
      </c>
      <c r="C29103" s="0" t="s">
        <v>10787</v>
      </c>
    </row>
    <row r="29104" customFormat="false" ht="12.8" hidden="false" customHeight="false" outlineLevel="0" collapsed="false">
      <c r="B29104" s="0" t="s">
        <v>3012</v>
      </c>
      <c r="C29104" s="0" t="s">
        <v>10788</v>
      </c>
    </row>
    <row r="29106" customFormat="false" ht="12.8" hidden="false" customHeight="false" outlineLevel="0" collapsed="false">
      <c r="A29106" s="0" t="s">
        <v>10763</v>
      </c>
      <c r="B29106" s="0" t="str">
        <f aca="false">HYPERLINK("https://lindat.mff.cuni.cz/services/teitok/pdtc10/index.php?action=vallex&amp;frame=v-w3973hsa_270", "poskytnout (v-w3973hsa_270) - substituted with v-w3973f11_ZU")</f>
        <v>poskytnout (v-w3973hsa_270) - substituted with v-w3973f11_ZU</v>
      </c>
    </row>
    <row r="29107" customFormat="false" ht="12.8" hidden="false" customHeight="false" outlineLevel="0" collapsed="false">
      <c r="B29107" s="0" t="s">
        <v>7</v>
      </c>
      <c r="C29107" s="0" t="s">
        <v>10789</v>
      </c>
    </row>
    <row r="29108" customFormat="false" ht="12.8" hidden="false" customHeight="false" outlineLevel="0" collapsed="false">
      <c r="B29108" s="0" t="s">
        <v>10767</v>
      </c>
      <c r="C29108" s="0" t="s">
        <v>10790</v>
      </c>
    </row>
    <row r="29109" customFormat="false" ht="12.8" hidden="false" customHeight="false" outlineLevel="0" collapsed="false">
      <c r="B29109" s="0" t="s">
        <v>3012</v>
      </c>
      <c r="C29109" s="0" t="s">
        <v>10791</v>
      </c>
    </row>
    <row r="29111" customFormat="false" ht="12.8" hidden="false" customHeight="false" outlineLevel="0" collapsed="false">
      <c r="A29111" s="0" t="s">
        <v>10792</v>
      </c>
      <c r="B29111" s="0" t="str">
        <f aca="false">HYPERLINK("https://lindat.mff.cuni.cz/services/teitok/pdtc10/index.php?action=vallex&amp;frame=v-w3978f1", "poskytovat (v-w3978f1)")</f>
        <v>poskytovat (v-w3978f1)</v>
      </c>
    </row>
    <row r="29112" customFormat="false" ht="12.8" hidden="false" customHeight="false" outlineLevel="0" collapsed="false">
      <c r="B29112" s="0" t="s">
        <v>7</v>
      </c>
      <c r="C29112" s="0" t="s">
        <v>10793</v>
      </c>
      <c r="D29112" s="0" t="s">
        <v>10756</v>
      </c>
      <c r="E29112" s="0" t="s">
        <v>10756</v>
      </c>
      <c r="F29112" s="0" t="s">
        <v>10756</v>
      </c>
    </row>
    <row r="29113" customFormat="false" ht="12.8" hidden="false" customHeight="false" outlineLevel="0" collapsed="false">
      <c r="B29113" s="0" t="s">
        <v>14</v>
      </c>
      <c r="C29113" s="0" t="s">
        <v>10794</v>
      </c>
      <c r="D29113" s="0" t="s">
        <v>10757</v>
      </c>
      <c r="E29113" s="0" t="s">
        <v>10757</v>
      </c>
      <c r="F29113" s="0" t="s">
        <v>10757</v>
      </c>
    </row>
    <row r="29114" customFormat="false" ht="12.8" hidden="false" customHeight="false" outlineLevel="0" collapsed="false">
      <c r="B29114" s="0" t="s">
        <v>3012</v>
      </c>
      <c r="C29114" s="0" t="s">
        <v>10795</v>
      </c>
      <c r="D29114" s="0" t="s">
        <v>10759</v>
      </c>
      <c r="E29114" s="0" t="s">
        <v>10759</v>
      </c>
      <c r="F29114" s="0" t="s">
        <v>10759</v>
      </c>
    </row>
    <row r="29116" customFormat="false" ht="12.8" hidden="false" customHeight="false" outlineLevel="0" collapsed="false">
      <c r="A29116" s="0" t="s">
        <v>10796</v>
      </c>
      <c r="B29116" s="0" t="str">
        <f aca="false">HYPERLINK("https://lindat.mff.cuni.cz/services/teitok/pdtc10/index.php?action=vallex&amp;frame=v-w3978f16_ZU", "poskytovat (v-w3978f16_ZU)")</f>
        <v>poskytovat (v-w3978f16_ZU)</v>
      </c>
    </row>
    <row r="29117" customFormat="false" ht="12.8" hidden="false" customHeight="false" outlineLevel="0" collapsed="false">
      <c r="B29117" s="0" t="s">
        <v>7</v>
      </c>
    </row>
    <row r="29118" customFormat="false" ht="12.8" hidden="false" customHeight="false" outlineLevel="0" collapsed="false">
      <c r="B29118" s="0" t="s">
        <v>10797</v>
      </c>
    </row>
    <row r="29119" customFormat="false" ht="12.8" hidden="false" customHeight="false" outlineLevel="0" collapsed="false">
      <c r="B29119" s="0" t="s">
        <v>3012</v>
      </c>
    </row>
    <row r="29121" customFormat="false" ht="12.8" hidden="false" customHeight="false" outlineLevel="0" collapsed="false">
      <c r="A29121" s="0" t="s">
        <v>10796</v>
      </c>
      <c r="B29121" s="0" t="str">
        <f aca="false">HYPERLINK("https://lindat.mff.cuni.cz/services/teitok/pdtc10/index.php?action=vallex&amp;frame=v-w3978f10_ZU", "poskytovat (v-w3978f10_ZU) - substituted with v-w3978f16_ZU")</f>
        <v>poskytovat (v-w3978f10_ZU) - substituted with v-w3978f16_ZU</v>
      </c>
    </row>
    <row r="29122" customFormat="false" ht="12.8" hidden="false" customHeight="false" outlineLevel="0" collapsed="false">
      <c r="B29122" s="0" t="s">
        <v>7</v>
      </c>
      <c r="C29122" s="0" t="s">
        <v>10798</v>
      </c>
    </row>
    <row r="29123" customFormat="false" ht="12.8" hidden="false" customHeight="false" outlineLevel="0" collapsed="false">
      <c r="B29123" s="0" t="s">
        <v>10797</v>
      </c>
      <c r="C29123" s="0" t="s">
        <v>10768</v>
      </c>
    </row>
    <row r="29124" customFormat="false" ht="12.8" hidden="false" customHeight="false" outlineLevel="0" collapsed="false">
      <c r="B29124" s="0" t="s">
        <v>3012</v>
      </c>
    </row>
    <row r="29126" customFormat="false" ht="12.8" hidden="false" customHeight="false" outlineLevel="0" collapsed="false">
      <c r="A29126" s="0" t="s">
        <v>10796</v>
      </c>
      <c r="B29126" s="0" t="str">
        <f aca="false">HYPERLINK("https://lindat.mff.cuni.cz/services/teitok/pdtc10/index.php?action=vallex&amp;frame=v-w3978f11_ZU", "poskytovat (v-w3978f11_ZU) - substituted with v-w3978f16_ZU")</f>
        <v>poskytovat (v-w3978f11_ZU) - substituted with v-w3978f16_ZU</v>
      </c>
    </row>
    <row r="29127" customFormat="false" ht="12.8" hidden="false" customHeight="false" outlineLevel="0" collapsed="false">
      <c r="B29127" s="0" t="s">
        <v>7</v>
      </c>
      <c r="C29127" s="0" t="s">
        <v>10799</v>
      </c>
    </row>
    <row r="29128" customFormat="false" ht="12.8" hidden="false" customHeight="false" outlineLevel="0" collapsed="false">
      <c r="B29128" s="0" t="s">
        <v>10797</v>
      </c>
      <c r="C29128" s="0" t="s">
        <v>10800</v>
      </c>
    </row>
    <row r="29129" customFormat="false" ht="12.8" hidden="false" customHeight="false" outlineLevel="0" collapsed="false">
      <c r="B29129" s="0" t="s">
        <v>3012</v>
      </c>
      <c r="C29129" s="0" t="s">
        <v>10801</v>
      </c>
    </row>
    <row r="29131" customFormat="false" ht="12.8" hidden="false" customHeight="false" outlineLevel="0" collapsed="false">
      <c r="A29131" s="0" t="s">
        <v>10796</v>
      </c>
      <c r="B29131" s="0" t="str">
        <f aca="false">HYPERLINK("https://lindat.mff.cuni.cz/services/teitok/pdtc10/index.php?action=vallex&amp;frame=v-w3978f12_ZU", "poskytovat (v-w3978f12_ZU) - substituted with v-w3978f16_ZU")</f>
        <v>poskytovat (v-w3978f12_ZU) - substituted with v-w3978f16_ZU</v>
      </c>
    </row>
    <row r="29132" customFormat="false" ht="12.8" hidden="false" customHeight="false" outlineLevel="0" collapsed="false">
      <c r="B29132" s="0" t="s">
        <v>7</v>
      </c>
      <c r="C29132" s="0" t="s">
        <v>10802</v>
      </c>
    </row>
    <row r="29133" customFormat="false" ht="12.8" hidden="false" customHeight="false" outlineLevel="0" collapsed="false">
      <c r="B29133" s="0" t="s">
        <v>10797</v>
      </c>
      <c r="C29133" s="0" t="s">
        <v>10803</v>
      </c>
    </row>
    <row r="29134" customFormat="false" ht="12.8" hidden="false" customHeight="false" outlineLevel="0" collapsed="false">
      <c r="B29134" s="0" t="s">
        <v>3012</v>
      </c>
      <c r="C29134" s="0" t="s">
        <v>10804</v>
      </c>
    </row>
    <row r="29136" customFormat="false" ht="12.8" hidden="false" customHeight="false" outlineLevel="0" collapsed="false">
      <c r="A29136" s="0" t="s">
        <v>10796</v>
      </c>
      <c r="B29136" s="0" t="str">
        <f aca="false">HYPERLINK("https://lindat.mff.cuni.cz/services/teitok/pdtc10/index.php?action=vallex&amp;frame=v-w3978f13_ZU", "poskytovat (v-w3978f13_ZU) - substituted with v-w3978f16_ZU")</f>
        <v>poskytovat (v-w3978f13_ZU) - substituted with v-w3978f16_ZU</v>
      </c>
    </row>
    <row r="29137" customFormat="false" ht="12.8" hidden="false" customHeight="false" outlineLevel="0" collapsed="false">
      <c r="B29137" s="0" t="s">
        <v>7</v>
      </c>
      <c r="C29137" s="0" t="s">
        <v>1386</v>
      </c>
    </row>
    <row r="29138" customFormat="false" ht="12.8" hidden="false" customHeight="false" outlineLevel="0" collapsed="false">
      <c r="B29138" s="0" t="s">
        <v>10797</v>
      </c>
      <c r="C29138" s="0" t="s">
        <v>3016</v>
      </c>
    </row>
    <row r="29139" customFormat="false" ht="12.8" hidden="false" customHeight="false" outlineLevel="0" collapsed="false">
      <c r="B29139" s="0" t="s">
        <v>3012</v>
      </c>
      <c r="C29139" s="0" t="s">
        <v>3018</v>
      </c>
    </row>
    <row r="29141" customFormat="false" ht="12.8" hidden="false" customHeight="false" outlineLevel="0" collapsed="false">
      <c r="A29141" s="0" t="s">
        <v>10796</v>
      </c>
      <c r="B29141" s="0" t="str">
        <f aca="false">HYPERLINK("https://lindat.mff.cuni.cz/services/teitok/pdtc10/index.php?action=vallex&amp;frame=v-w3978f14_ZU", "poskytovat (v-w3978f14_ZU) - substituted with v-w3978f16_ZU")</f>
        <v>poskytovat (v-w3978f14_ZU) - substituted with v-w3978f16_ZU</v>
      </c>
    </row>
    <row r="29142" customFormat="false" ht="12.8" hidden="false" customHeight="false" outlineLevel="0" collapsed="false">
      <c r="B29142" s="0" t="s">
        <v>7</v>
      </c>
      <c r="C29142" s="0" t="s">
        <v>10798</v>
      </c>
    </row>
    <row r="29143" customFormat="false" ht="12.8" hidden="false" customHeight="false" outlineLevel="0" collapsed="false">
      <c r="B29143" s="0" t="s">
        <v>10797</v>
      </c>
      <c r="C29143" s="0" t="s">
        <v>10768</v>
      </c>
    </row>
    <row r="29144" customFormat="false" ht="12.8" hidden="false" customHeight="false" outlineLevel="0" collapsed="false">
      <c r="B29144" s="0" t="s">
        <v>3012</v>
      </c>
      <c r="C29144" s="0" t="s">
        <v>10758</v>
      </c>
    </row>
    <row r="29146" customFormat="false" ht="12.8" hidden="false" customHeight="false" outlineLevel="0" collapsed="false">
      <c r="A29146" s="0" t="s">
        <v>10796</v>
      </c>
      <c r="B29146" s="0" t="str">
        <f aca="false">HYPERLINK("https://lindat.mff.cuni.cz/services/teitok/pdtc10/index.php?action=vallex&amp;frame=v-w3978f15_ZU", "poskytovat (v-w3978f15_ZU) - substituted with v-w3978f16_ZU")</f>
        <v>poskytovat (v-w3978f15_ZU) - substituted with v-w3978f16_ZU</v>
      </c>
    </row>
    <row r="29147" customFormat="false" ht="12.8" hidden="false" customHeight="false" outlineLevel="0" collapsed="false">
      <c r="B29147" s="0" t="s">
        <v>7</v>
      </c>
      <c r="C29147" s="0" t="s">
        <v>10798</v>
      </c>
      <c r="D29147" s="0" t="s">
        <v>10805</v>
      </c>
      <c r="E29147" s="0" t="s">
        <v>10806</v>
      </c>
      <c r="F29147" s="0" t="s">
        <v>10807</v>
      </c>
    </row>
    <row r="29148" customFormat="false" ht="12.8" hidden="false" customHeight="false" outlineLevel="0" collapsed="false">
      <c r="B29148" s="0" t="s">
        <v>10797</v>
      </c>
      <c r="C29148" s="0" t="s">
        <v>10768</v>
      </c>
      <c r="D29148" s="0" t="s">
        <v>10808</v>
      </c>
      <c r="E29148" s="0" t="s">
        <v>10808</v>
      </c>
      <c r="F29148" s="0" t="s">
        <v>10808</v>
      </c>
    </row>
    <row r="29149" customFormat="false" ht="12.8" hidden="false" customHeight="false" outlineLevel="0" collapsed="false">
      <c r="B29149" s="0" t="s">
        <v>3012</v>
      </c>
      <c r="C29149" s="0" t="s">
        <v>10758</v>
      </c>
      <c r="D29149" s="0" t="s">
        <v>10809</v>
      </c>
      <c r="E29149" s="0" t="s">
        <v>10810</v>
      </c>
      <c r="F29149" s="0" t="s">
        <v>10811</v>
      </c>
    </row>
    <row r="29151" customFormat="false" ht="12.8" hidden="false" customHeight="false" outlineLevel="0" collapsed="false">
      <c r="A29151" s="0" t="s">
        <v>10796</v>
      </c>
      <c r="B29151" s="0" t="str">
        <f aca="false">HYPERLINK("https://lindat.mff.cuni.cz/services/teitok/pdtc10/index.php?action=vallex&amp;frame=v-w3978f2", "poskytovat (v-w3978f2) - substituted with v-w3978f16_ZU")</f>
        <v>poskytovat (v-w3978f2) - substituted with v-w3978f16_ZU</v>
      </c>
    </row>
    <row r="29152" customFormat="false" ht="12.8" hidden="false" customHeight="false" outlineLevel="0" collapsed="false">
      <c r="B29152" s="0" t="s">
        <v>7</v>
      </c>
      <c r="C29152" s="0" t="s">
        <v>10812</v>
      </c>
    </row>
    <row r="29153" customFormat="false" ht="12.8" hidden="false" customHeight="false" outlineLevel="0" collapsed="false">
      <c r="B29153" s="0" t="s">
        <v>10797</v>
      </c>
      <c r="C29153" s="0" t="s">
        <v>10813</v>
      </c>
    </row>
    <row r="29154" customFormat="false" ht="12.8" hidden="false" customHeight="false" outlineLevel="0" collapsed="false">
      <c r="B29154" s="0" t="s">
        <v>3012</v>
      </c>
      <c r="C29154" s="0" t="s">
        <v>10758</v>
      </c>
    </row>
    <row r="29156" customFormat="false" ht="12.8" hidden="false" customHeight="false" outlineLevel="0" collapsed="false">
      <c r="A29156" s="0" t="s">
        <v>10796</v>
      </c>
      <c r="B29156" s="0" t="str">
        <f aca="false">HYPERLINK("https://lindat.mff.cuni.cz/services/teitok/pdtc10/index.php?action=vallex&amp;frame=v-w3978f3", "poskytovat (v-w3978f3) - substituted with v-w3978f16_ZU")</f>
        <v>poskytovat (v-w3978f3) - substituted with v-w3978f16_ZU</v>
      </c>
    </row>
    <row r="29157" customFormat="false" ht="12.8" hidden="false" customHeight="false" outlineLevel="0" collapsed="false">
      <c r="B29157" s="0" t="s">
        <v>7</v>
      </c>
      <c r="C29157" s="0" t="s">
        <v>10814</v>
      </c>
    </row>
    <row r="29158" customFormat="false" ht="12.8" hidden="false" customHeight="false" outlineLevel="0" collapsed="false">
      <c r="B29158" s="0" t="s">
        <v>10797</v>
      </c>
      <c r="C29158" s="0" t="s">
        <v>10815</v>
      </c>
    </row>
    <row r="29159" customFormat="false" ht="12.8" hidden="false" customHeight="false" outlineLevel="0" collapsed="false">
      <c r="B29159" s="0" t="s">
        <v>3012</v>
      </c>
      <c r="C29159" s="0" t="s">
        <v>10816</v>
      </c>
    </row>
    <row r="29161" customFormat="false" ht="12.8" hidden="false" customHeight="false" outlineLevel="0" collapsed="false">
      <c r="A29161" s="0" t="s">
        <v>10796</v>
      </c>
      <c r="B29161" s="0" t="str">
        <f aca="false">HYPERLINK("https://lindat.mff.cuni.cz/services/teitok/pdtc10/index.php?action=vallex&amp;frame=v-w3978f4_ZU", "poskytovat (v-w3978f4_ZU) - substituted with v-w3978f16_ZU")</f>
        <v>poskytovat (v-w3978f4_ZU) - substituted with v-w3978f16_ZU</v>
      </c>
    </row>
    <row r="29162" customFormat="false" ht="12.8" hidden="false" customHeight="false" outlineLevel="0" collapsed="false">
      <c r="B29162" s="0" t="s">
        <v>7</v>
      </c>
    </row>
    <row r="29163" customFormat="false" ht="12.8" hidden="false" customHeight="false" outlineLevel="0" collapsed="false">
      <c r="B29163" s="0" t="s">
        <v>10797</v>
      </c>
    </row>
    <row r="29164" customFormat="false" ht="12.8" hidden="false" customHeight="false" outlineLevel="0" collapsed="false">
      <c r="B29164" s="0" t="s">
        <v>3012</v>
      </c>
    </row>
    <row r="29166" customFormat="false" ht="12.8" hidden="false" customHeight="false" outlineLevel="0" collapsed="false">
      <c r="A29166" s="0" t="s">
        <v>10796</v>
      </c>
      <c r="B29166" s="0" t="str">
        <f aca="false">HYPERLINK("https://lindat.mff.cuni.cz/services/teitok/pdtc10/index.php?action=vallex&amp;frame=v-w3978f5_ZU", "poskytovat (v-w3978f5_ZU) - substituted with v-w3978f16_ZU")</f>
        <v>poskytovat (v-w3978f5_ZU) - substituted with v-w3978f16_ZU</v>
      </c>
    </row>
    <row r="29167" customFormat="false" ht="12.8" hidden="false" customHeight="false" outlineLevel="0" collapsed="false">
      <c r="B29167" s="0" t="s">
        <v>7</v>
      </c>
      <c r="C29167" s="0" t="s">
        <v>10798</v>
      </c>
    </row>
    <row r="29168" customFormat="false" ht="12.8" hidden="false" customHeight="false" outlineLevel="0" collapsed="false">
      <c r="B29168" s="0" t="s">
        <v>10797</v>
      </c>
      <c r="C29168" s="0" t="s">
        <v>10768</v>
      </c>
    </row>
    <row r="29169" customFormat="false" ht="12.8" hidden="false" customHeight="false" outlineLevel="0" collapsed="false">
      <c r="B29169" s="0" t="s">
        <v>3012</v>
      </c>
      <c r="C29169" s="0" t="s">
        <v>10758</v>
      </c>
    </row>
    <row r="29171" customFormat="false" ht="12.8" hidden="false" customHeight="false" outlineLevel="0" collapsed="false">
      <c r="A29171" s="0" t="s">
        <v>10796</v>
      </c>
      <c r="B29171" s="0" t="str">
        <f aca="false">HYPERLINK("https://lindat.mff.cuni.cz/services/teitok/pdtc10/index.php?action=vallex&amp;frame=v-w3978f6_ZU", "poskytovat (v-w3978f6_ZU) - substituted with v-w3978f16_ZU")</f>
        <v>poskytovat (v-w3978f6_ZU) - substituted with v-w3978f16_ZU</v>
      </c>
    </row>
    <row r="29172" customFormat="false" ht="12.8" hidden="false" customHeight="false" outlineLevel="0" collapsed="false">
      <c r="B29172" s="0" t="s">
        <v>7</v>
      </c>
      <c r="C29172" s="0" t="s">
        <v>184</v>
      </c>
    </row>
    <row r="29173" customFormat="false" ht="12.8" hidden="false" customHeight="false" outlineLevel="0" collapsed="false">
      <c r="B29173" s="0" t="s">
        <v>10797</v>
      </c>
      <c r="C29173" s="0" t="s">
        <v>5680</v>
      </c>
    </row>
    <row r="29174" customFormat="false" ht="12.8" hidden="false" customHeight="false" outlineLevel="0" collapsed="false">
      <c r="B29174" s="0" t="s">
        <v>3012</v>
      </c>
      <c r="C29174" s="0" t="s">
        <v>9927</v>
      </c>
    </row>
    <row r="29176" customFormat="false" ht="12.8" hidden="false" customHeight="false" outlineLevel="0" collapsed="false">
      <c r="A29176" s="0" t="s">
        <v>10796</v>
      </c>
      <c r="B29176" s="0" t="str">
        <f aca="false">HYPERLINK("https://lindat.mff.cuni.cz/services/teitok/pdtc10/index.php?action=vallex&amp;frame=v-w3978f7_ZU", "poskytovat (v-w3978f7_ZU) - substituted with v-w3978f16_ZU")</f>
        <v>poskytovat (v-w3978f7_ZU) - substituted with v-w3978f16_ZU</v>
      </c>
    </row>
    <row r="29177" customFormat="false" ht="12.8" hidden="false" customHeight="false" outlineLevel="0" collapsed="false">
      <c r="B29177" s="0" t="s">
        <v>7</v>
      </c>
      <c r="C29177" s="0" t="s">
        <v>2431</v>
      </c>
    </row>
    <row r="29178" customFormat="false" ht="12.8" hidden="false" customHeight="false" outlineLevel="0" collapsed="false">
      <c r="B29178" s="0" t="s">
        <v>10797</v>
      </c>
      <c r="C29178" s="0" t="s">
        <v>3475</v>
      </c>
    </row>
    <row r="29179" customFormat="false" ht="12.8" hidden="false" customHeight="false" outlineLevel="0" collapsed="false">
      <c r="B29179" s="0" t="s">
        <v>3012</v>
      </c>
    </row>
    <row r="29181" customFormat="false" ht="12.8" hidden="false" customHeight="false" outlineLevel="0" collapsed="false">
      <c r="A29181" s="0" t="s">
        <v>10796</v>
      </c>
      <c r="B29181" s="0" t="str">
        <f aca="false">HYPERLINK("https://lindat.mff.cuni.cz/services/teitok/pdtc10/index.php?action=vallex&amp;frame=v-w3978f8_ZU", "poskytovat (v-w3978f8_ZU) - substituted with v-w3978f16_ZU")</f>
        <v>poskytovat (v-w3978f8_ZU) - substituted with v-w3978f16_ZU</v>
      </c>
    </row>
    <row r="29182" customFormat="false" ht="12.8" hidden="false" customHeight="false" outlineLevel="0" collapsed="false">
      <c r="B29182" s="0" t="s">
        <v>7</v>
      </c>
      <c r="C29182" s="0" t="s">
        <v>10798</v>
      </c>
    </row>
    <row r="29183" customFormat="false" ht="12.8" hidden="false" customHeight="false" outlineLevel="0" collapsed="false">
      <c r="B29183" s="0" t="s">
        <v>10797</v>
      </c>
      <c r="C29183" s="0" t="s">
        <v>10768</v>
      </c>
    </row>
    <row r="29184" customFormat="false" ht="12.8" hidden="false" customHeight="false" outlineLevel="0" collapsed="false">
      <c r="B29184" s="0" t="s">
        <v>3012</v>
      </c>
      <c r="C29184" s="0" t="s">
        <v>10758</v>
      </c>
    </row>
    <row r="29186" customFormat="false" ht="12.8" hidden="false" customHeight="false" outlineLevel="0" collapsed="false">
      <c r="A29186" s="0" t="s">
        <v>10796</v>
      </c>
      <c r="B29186" s="0" t="str">
        <f aca="false">HYPERLINK("https://lindat.mff.cuni.cz/services/teitok/pdtc10/index.php?action=vallex&amp;frame=v-w3978f9_ZU", "poskytovat (v-w3978f9_ZU) - substituted with v-w3978f16_ZU")</f>
        <v>poskytovat (v-w3978f9_ZU) - substituted with v-w3978f16_ZU</v>
      </c>
    </row>
    <row r="29187" customFormat="false" ht="12.8" hidden="false" customHeight="false" outlineLevel="0" collapsed="false">
      <c r="B29187" s="0" t="s">
        <v>7</v>
      </c>
    </row>
    <row r="29188" customFormat="false" ht="12.8" hidden="false" customHeight="false" outlineLevel="0" collapsed="false">
      <c r="B29188" s="0" t="s">
        <v>10797</v>
      </c>
    </row>
    <row r="29189" customFormat="false" ht="12.8" hidden="false" customHeight="false" outlineLevel="0" collapsed="false">
      <c r="B29189" s="0" t="s">
        <v>3012</v>
      </c>
    </row>
    <row r="29191" customFormat="false" ht="12.8" hidden="false" customHeight="false" outlineLevel="0" collapsed="false">
      <c r="A29191" s="0" t="s">
        <v>10796</v>
      </c>
      <c r="B29191" s="0" t="str">
        <f aca="false">HYPERLINK("https://lindat.mff.cuni.cz/services/teitok/pdtc10/index.php?action=vallex&amp;frame=v-w3978hsa_612", "poskytovat (v-w3978hsa_612) - substituted with v-w3978f16_ZU")</f>
        <v>poskytovat (v-w3978hsa_612) - substituted with v-w3978f16_ZU</v>
      </c>
    </row>
    <row r="29192" customFormat="false" ht="12.8" hidden="false" customHeight="false" outlineLevel="0" collapsed="false">
      <c r="B29192" s="0" t="s">
        <v>7</v>
      </c>
      <c r="C29192" s="0" t="s">
        <v>2988</v>
      </c>
    </row>
    <row r="29193" customFormat="false" ht="12.8" hidden="false" customHeight="false" outlineLevel="0" collapsed="false">
      <c r="B29193" s="0" t="s">
        <v>10797</v>
      </c>
      <c r="C29193" s="0" t="s">
        <v>3041</v>
      </c>
    </row>
    <row r="29194" customFormat="false" ht="12.8" hidden="false" customHeight="false" outlineLevel="0" collapsed="false">
      <c r="B29194" s="0" t="s">
        <v>3012</v>
      </c>
      <c r="C29194" s="0" t="s">
        <v>3039</v>
      </c>
    </row>
    <row r="29196" customFormat="false" ht="12.8" hidden="false" customHeight="false" outlineLevel="0" collapsed="false">
      <c r="A29196" s="0" t="s">
        <v>10817</v>
      </c>
      <c r="B29196" s="0" t="str">
        <f aca="false">HYPERLINK("https://lindat.mff.cuni.cz/services/teitok/pdtc10/index.php?action=vallex&amp;frame=v-w3984f5_ZU", "poslat (v-w3984f5_ZU)")</f>
        <v>poslat (v-w3984f5_ZU)</v>
      </c>
    </row>
    <row r="29197" customFormat="false" ht="12.8" hidden="false" customHeight="false" outlineLevel="0" collapsed="false">
      <c r="B29197" s="0" t="s">
        <v>7</v>
      </c>
    </row>
    <row r="29198" customFormat="false" ht="12.8" hidden="false" customHeight="false" outlineLevel="0" collapsed="false">
      <c r="B29198" s="0" t="s">
        <v>54</v>
      </c>
    </row>
    <row r="29199" customFormat="false" ht="12.8" hidden="false" customHeight="false" outlineLevel="0" collapsed="false">
      <c r="B29199" s="0" t="s">
        <v>48</v>
      </c>
    </row>
    <row r="29201" customFormat="false" ht="12.8" hidden="false" customHeight="false" outlineLevel="0" collapsed="false">
      <c r="A29201" s="0" t="s">
        <v>10817</v>
      </c>
      <c r="B29201" s="0" t="str">
        <f aca="false">HYPERLINK("https://lindat.mff.cuni.cz/services/teitok/pdtc10/index.php?action=vallex&amp;frame=v-w3984f2", "poslat (v-w3984f2) - substituted with v-w3984f5_ZU")</f>
        <v>poslat (v-w3984f2) - substituted with v-w3984f5_ZU</v>
      </c>
    </row>
    <row r="29202" customFormat="false" ht="12.8" hidden="false" customHeight="false" outlineLevel="0" collapsed="false">
      <c r="B29202" s="0" t="s">
        <v>7</v>
      </c>
      <c r="C29202" s="0" t="s">
        <v>10818</v>
      </c>
      <c r="D29202" s="0" t="s">
        <v>1630</v>
      </c>
      <c r="E29202" s="0" t="s">
        <v>1630</v>
      </c>
      <c r="F29202" s="0" t="s">
        <v>1630</v>
      </c>
    </row>
    <row r="29203" customFormat="false" ht="12.8" hidden="false" customHeight="false" outlineLevel="0" collapsed="false">
      <c r="B29203" s="0" t="s">
        <v>54</v>
      </c>
      <c r="C29203" s="0" t="s">
        <v>10819</v>
      </c>
      <c r="D29203" s="0" t="s">
        <v>1632</v>
      </c>
      <c r="E29203" s="0" t="s">
        <v>1632</v>
      </c>
      <c r="F29203" s="0" t="s">
        <v>1632</v>
      </c>
    </row>
    <row r="29204" customFormat="false" ht="12.8" hidden="false" customHeight="false" outlineLevel="0" collapsed="false">
      <c r="B29204" s="0" t="s">
        <v>48</v>
      </c>
      <c r="C29204" s="0" t="s">
        <v>10820</v>
      </c>
      <c r="D29204" s="0" t="s">
        <v>1635</v>
      </c>
      <c r="E29204" s="0" t="s">
        <v>1635</v>
      </c>
      <c r="F29204" s="0" t="s">
        <v>1635</v>
      </c>
    </row>
    <row r="29206" customFormat="false" ht="12.8" hidden="false" customHeight="false" outlineLevel="0" collapsed="false">
      <c r="A29206" s="0" t="s">
        <v>10821</v>
      </c>
      <c r="B29206" s="0" t="str">
        <f aca="false">HYPERLINK("https://lindat.mff.cuni.cz/services/teitok/pdtc10/index.php?action=vallex&amp;frame=v-w3984f4", "poslat (v-w3984f4)")</f>
        <v>poslat (v-w3984f4)</v>
      </c>
    </row>
    <row r="29207" customFormat="false" ht="12.8" hidden="false" customHeight="false" outlineLevel="0" collapsed="false">
      <c r="B29207" s="0" t="s">
        <v>7</v>
      </c>
      <c r="C29207" s="0" t="s">
        <v>2736</v>
      </c>
    </row>
    <row r="29208" customFormat="false" ht="12.8" hidden="false" customHeight="false" outlineLevel="0" collapsed="false">
      <c r="B29208" s="0" t="s">
        <v>14</v>
      </c>
      <c r="C29208" s="0" t="s">
        <v>1209</v>
      </c>
    </row>
    <row r="29209" customFormat="false" ht="12.8" hidden="false" customHeight="false" outlineLevel="0" collapsed="false">
      <c r="B29209" s="0" t="s">
        <v>279</v>
      </c>
      <c r="C29209" s="0" t="s">
        <v>8108</v>
      </c>
    </row>
    <row r="29211" customFormat="false" ht="12.8" hidden="false" customHeight="false" outlineLevel="0" collapsed="false">
      <c r="A29211" s="0" t="s">
        <v>10822</v>
      </c>
      <c r="B29211" s="0" t="str">
        <f aca="false">HYPERLINK("https://lindat.mff.cuni.cz/services/teitok/pdtc10/index.php?action=vallex&amp;frame=v-w3984f1", "poslat (v-w3984f1)")</f>
        <v>poslat (v-w3984f1)</v>
      </c>
    </row>
    <row r="29212" customFormat="false" ht="12.8" hidden="false" customHeight="false" outlineLevel="0" collapsed="false">
      <c r="B29212" s="0" t="s">
        <v>7</v>
      </c>
      <c r="C29212" s="0" t="s">
        <v>10823</v>
      </c>
      <c r="D29212" s="0" t="s">
        <v>1630</v>
      </c>
      <c r="E29212" s="0" t="s">
        <v>1630</v>
      </c>
      <c r="F29212" s="0" t="s">
        <v>1630</v>
      </c>
    </row>
    <row r="29213" customFormat="false" ht="12.8" hidden="false" customHeight="false" outlineLevel="0" collapsed="false">
      <c r="B29213" s="0" t="s">
        <v>14</v>
      </c>
      <c r="C29213" s="0" t="s">
        <v>10824</v>
      </c>
      <c r="D29213" s="0" t="s">
        <v>1632</v>
      </c>
      <c r="E29213" s="0" t="s">
        <v>1632</v>
      </c>
      <c r="F29213" s="0" t="s">
        <v>1632</v>
      </c>
    </row>
    <row r="29214" customFormat="false" ht="12.8" hidden="false" customHeight="false" outlineLevel="0" collapsed="false">
      <c r="B29214" s="0" t="s">
        <v>124</v>
      </c>
      <c r="C29214" s="0" t="s">
        <v>10825</v>
      </c>
      <c r="D29214" s="0" t="s">
        <v>2165</v>
      </c>
      <c r="E29214" s="0" t="s">
        <v>2165</v>
      </c>
      <c r="F29214" s="0" t="s">
        <v>2165</v>
      </c>
    </row>
    <row r="29216" customFormat="false" ht="12.8" hidden="false" customHeight="false" outlineLevel="0" collapsed="false">
      <c r="A29216" s="0" t="s">
        <v>10826</v>
      </c>
      <c r="B29216" s="0" t="str">
        <f aca="false">HYPERLINK("https://lindat.mff.cuni.cz/services/teitok/pdtc10/index.php?action=vallex&amp;frame=v-w3984f3", "poslat (v-w3984f3)")</f>
        <v>poslat (v-w3984f3)</v>
      </c>
    </row>
    <row r="29217" customFormat="false" ht="12.8" hidden="false" customHeight="false" outlineLevel="0" collapsed="false">
      <c r="B29217" s="0" t="s">
        <v>7</v>
      </c>
      <c r="C29217" s="0" t="s">
        <v>10827</v>
      </c>
      <c r="D29217" s="0" t="s">
        <v>4161</v>
      </c>
      <c r="E29217" s="0" t="s">
        <v>4161</v>
      </c>
      <c r="F29217" s="0" t="s">
        <v>4161</v>
      </c>
    </row>
    <row r="29218" customFormat="false" ht="12.8" hidden="false" customHeight="false" outlineLevel="0" collapsed="false">
      <c r="B29218" s="0" t="s">
        <v>14</v>
      </c>
      <c r="C29218" s="0" t="s">
        <v>10828</v>
      </c>
      <c r="D29218" s="0" t="s">
        <v>8195</v>
      </c>
      <c r="E29218" s="0" t="s">
        <v>8195</v>
      </c>
      <c r="F29218" s="0" t="s">
        <v>8195</v>
      </c>
    </row>
    <row r="29219" customFormat="false" ht="12.8" hidden="false" customHeight="false" outlineLevel="0" collapsed="false">
      <c r="B29219" s="0" t="s">
        <v>124</v>
      </c>
      <c r="C29219" s="0" t="s">
        <v>10829</v>
      </c>
      <c r="D29219" s="0" t="s">
        <v>10830</v>
      </c>
      <c r="E29219" s="0" t="s">
        <v>10830</v>
      </c>
      <c r="F29219" s="0" t="s">
        <v>10830</v>
      </c>
    </row>
    <row r="29221" customFormat="false" ht="12.8" hidden="false" customHeight="false" outlineLevel="0" collapsed="false">
      <c r="A29221" s="0" t="s">
        <v>10831</v>
      </c>
      <c r="B29221" s="0" t="str">
        <f aca="false">HYPERLINK("https://lindat.mff.cuni.cz/services/teitok/pdtc10/index.php?action=vallex&amp;frame=v-w3984hsa_835", "poslat (v-w3984hsa_835)")</f>
        <v>poslat (v-w3984hsa_835)</v>
      </c>
    </row>
    <row r="29222" customFormat="false" ht="12.8" hidden="false" customHeight="false" outlineLevel="0" collapsed="false">
      <c r="B29222" s="0" t="s">
        <v>7</v>
      </c>
      <c r="C29222" s="0" t="s">
        <v>2736</v>
      </c>
    </row>
    <row r="29223" customFormat="false" ht="12.8" hidden="false" customHeight="false" outlineLevel="0" collapsed="false">
      <c r="B29223" s="0" t="s">
        <v>14</v>
      </c>
      <c r="C29223" s="0" t="s">
        <v>1209</v>
      </c>
    </row>
    <row r="29224" customFormat="false" ht="12.8" hidden="false" customHeight="false" outlineLevel="0" collapsed="false">
      <c r="B29224" s="0" t="s">
        <v>35</v>
      </c>
    </row>
    <row r="29225" customFormat="false" ht="12.8" hidden="false" customHeight="false" outlineLevel="0" collapsed="false">
      <c r="B29225" s="0" t="s">
        <v>84</v>
      </c>
    </row>
    <row r="29227" customFormat="false" ht="12.8" hidden="false" customHeight="false" outlineLevel="0" collapsed="false">
      <c r="A29227" s="0" t="s">
        <v>10832</v>
      </c>
      <c r="B29227" s="0" t="str">
        <f aca="false">HYPERLINK("https://lindat.mff.cuni.cz/services/teitok/pdtc10/index.php?action=vallex&amp;frame=v-whsa_577hsa_578", "poslat si (v-whsa_577hsa_578)")</f>
        <v>poslat si (v-whsa_577hsa_578)</v>
      </c>
    </row>
    <row r="29228" customFormat="false" ht="12.8" hidden="false" customHeight="false" outlineLevel="0" collapsed="false">
      <c r="B29228" s="0" t="s">
        <v>7</v>
      </c>
    </row>
    <row r="29229" customFormat="false" ht="12.8" hidden="false" customHeight="false" outlineLevel="0" collapsed="false">
      <c r="B29229" s="0" t="s">
        <v>14</v>
      </c>
    </row>
    <row r="29230" customFormat="false" ht="12.8" hidden="false" customHeight="false" outlineLevel="0" collapsed="false">
      <c r="B29230" s="0" t="s">
        <v>207</v>
      </c>
    </row>
    <row r="29232" customFormat="false" ht="12.8" hidden="false" customHeight="false" outlineLevel="0" collapsed="false">
      <c r="A29232" s="0" t="s">
        <v>10833</v>
      </c>
      <c r="B29232" s="0" t="str">
        <f aca="false">HYPERLINK("https://lindat.mff.cuni.cz/services/teitok/pdtc10/index.php?action=vallex&amp;frame=v-w3986f1", "poslechnout (v-w3986f1)")</f>
        <v>poslechnout (v-w3986f1)</v>
      </c>
    </row>
    <row r="29233" customFormat="false" ht="12.8" hidden="false" customHeight="false" outlineLevel="0" collapsed="false">
      <c r="B29233" s="0" t="s">
        <v>7</v>
      </c>
      <c r="C29233" s="0" t="s">
        <v>126</v>
      </c>
      <c r="D29233" s="0" t="s">
        <v>1419</v>
      </c>
      <c r="E29233" s="0" t="s">
        <v>1419</v>
      </c>
      <c r="F29233" s="0" t="s">
        <v>1419</v>
      </c>
    </row>
    <row r="29234" customFormat="false" ht="12.8" hidden="false" customHeight="false" outlineLevel="0" collapsed="false">
      <c r="B29234" s="0" t="s">
        <v>4381</v>
      </c>
      <c r="C29234" s="0" t="s">
        <v>493</v>
      </c>
      <c r="D29234" s="0" t="s">
        <v>1420</v>
      </c>
      <c r="E29234" s="0" t="s">
        <v>1420</v>
      </c>
      <c r="F29234" s="0" t="s">
        <v>1420</v>
      </c>
    </row>
    <row r="29236" customFormat="false" ht="12.8" hidden="false" customHeight="false" outlineLevel="0" collapsed="false">
      <c r="A29236" s="0" t="s">
        <v>10834</v>
      </c>
      <c r="B29236" s="0" t="str">
        <f aca="false">HYPERLINK("https://lindat.mff.cuni.cz/services/teitok/pdtc10/index.php?action=vallex&amp;frame=v-w3987f1", "poslechnout si (v-w3987f1)")</f>
        <v>poslechnout si (v-w3987f1)</v>
      </c>
    </row>
    <row r="29237" customFormat="false" ht="12.8" hidden="false" customHeight="false" outlineLevel="0" collapsed="false">
      <c r="B29237" s="0" t="s">
        <v>7</v>
      </c>
      <c r="C29237" s="0" t="s">
        <v>126</v>
      </c>
      <c r="D29237" s="0" t="s">
        <v>126</v>
      </c>
      <c r="E29237" s="0" t="s">
        <v>126</v>
      </c>
      <c r="F29237" s="0" t="s">
        <v>126</v>
      </c>
    </row>
    <row r="29238" customFormat="false" ht="12.8" hidden="false" customHeight="false" outlineLevel="0" collapsed="false">
      <c r="B29238" s="0" t="s">
        <v>1520</v>
      </c>
      <c r="C29238" s="0" t="s">
        <v>493</v>
      </c>
      <c r="D29238" s="0" t="s">
        <v>493</v>
      </c>
      <c r="E29238" s="0" t="s">
        <v>493</v>
      </c>
      <c r="F29238" s="0" t="s">
        <v>493</v>
      </c>
    </row>
    <row r="29240" customFormat="false" ht="12.8" hidden="false" customHeight="false" outlineLevel="0" collapsed="false">
      <c r="A29240" s="0" t="s">
        <v>10835</v>
      </c>
      <c r="B29240" s="0" t="str">
        <f aca="false">HYPERLINK("https://lindat.mff.cuni.cz/services/teitok/pdtc10/index.php?action=vallex&amp;frame=v-w3988f3_ZU", "poslouchat (v-w3988f3_ZU)")</f>
        <v>poslouchat (v-w3988f3_ZU)</v>
      </c>
    </row>
    <row r="29241" customFormat="false" ht="12.8" hidden="false" customHeight="false" outlineLevel="0" collapsed="false">
      <c r="B29241" s="0" t="s">
        <v>7</v>
      </c>
    </row>
    <row r="29242" customFormat="false" ht="12.8" hidden="false" customHeight="false" outlineLevel="0" collapsed="false">
      <c r="B29242" s="0" t="s">
        <v>10836</v>
      </c>
    </row>
    <row r="29244" customFormat="false" ht="12.8" hidden="false" customHeight="false" outlineLevel="0" collapsed="false">
      <c r="A29244" s="0" t="s">
        <v>10835</v>
      </c>
      <c r="B29244" s="0" t="str">
        <f aca="false">HYPERLINK("https://lindat.mff.cuni.cz/services/teitok/pdtc10/index.php?action=vallex&amp;frame=v-w3988f1", "poslouchat (v-w3988f1) - substituted with v-w3988f3_ZU")</f>
        <v>poslouchat (v-w3988f1) - substituted with v-w3988f3_ZU</v>
      </c>
    </row>
    <row r="29245" customFormat="false" ht="12.8" hidden="false" customHeight="false" outlineLevel="0" collapsed="false">
      <c r="B29245" s="0" t="s">
        <v>7</v>
      </c>
      <c r="C29245" s="0" t="s">
        <v>4960</v>
      </c>
      <c r="D29245" s="0" t="s">
        <v>126</v>
      </c>
      <c r="E29245" s="0" t="s">
        <v>126</v>
      </c>
      <c r="F29245" s="0" t="s">
        <v>126</v>
      </c>
    </row>
    <row r="29246" customFormat="false" ht="12.8" hidden="false" customHeight="false" outlineLevel="0" collapsed="false">
      <c r="B29246" s="0" t="s">
        <v>10836</v>
      </c>
      <c r="C29246" s="0" t="s">
        <v>10837</v>
      </c>
      <c r="D29246" s="0" t="s">
        <v>493</v>
      </c>
      <c r="E29246" s="0" t="s">
        <v>493</v>
      </c>
      <c r="F29246" s="0" t="s">
        <v>493</v>
      </c>
    </row>
    <row r="29248" customFormat="false" ht="12.8" hidden="false" customHeight="false" outlineLevel="0" collapsed="false">
      <c r="A29248" s="0" t="s">
        <v>10838</v>
      </c>
      <c r="B29248" s="0" t="str">
        <f aca="false">HYPERLINK("https://lindat.mff.cuni.cz/services/teitok/pdtc10/index.php?action=vallex&amp;frame=v-w3988f2", "poslouchat (v-w3988f2)")</f>
        <v>poslouchat (v-w3988f2)</v>
      </c>
    </row>
    <row r="29249" customFormat="false" ht="12.8" hidden="false" customHeight="false" outlineLevel="0" collapsed="false">
      <c r="B29249" s="0" t="s">
        <v>7</v>
      </c>
      <c r="C29249" s="0" t="s">
        <v>126</v>
      </c>
    </row>
    <row r="29250" customFormat="false" ht="12.8" hidden="false" customHeight="false" outlineLevel="0" collapsed="false">
      <c r="B29250" s="0" t="s">
        <v>14</v>
      </c>
      <c r="C29250" s="0" t="s">
        <v>493</v>
      </c>
    </row>
    <row r="29252" customFormat="false" ht="12.8" hidden="false" customHeight="false" outlineLevel="0" collapsed="false">
      <c r="A29252" s="0" t="s">
        <v>10839</v>
      </c>
      <c r="B29252" s="0" t="str">
        <f aca="false">HYPERLINK("https://lindat.mff.cuni.cz/services/teitok/pdtc10/index.php?action=vallex&amp;frame=v-w3988hsa_55", "poslouchat (v-w3988hsa_55)")</f>
        <v>poslouchat (v-w3988hsa_55)</v>
      </c>
    </row>
    <row r="29253" customFormat="false" ht="12.8" hidden="false" customHeight="false" outlineLevel="0" collapsed="false">
      <c r="B29253" s="0" t="s">
        <v>7</v>
      </c>
      <c r="C29253" s="0" t="s">
        <v>22</v>
      </c>
      <c r="D29253" s="0" t="s">
        <v>10431</v>
      </c>
      <c r="E29253" s="0" t="s">
        <v>10431</v>
      </c>
      <c r="F29253" s="0" t="s">
        <v>10431</v>
      </c>
    </row>
    <row r="29254" customFormat="false" ht="12.8" hidden="false" customHeight="false" outlineLevel="0" collapsed="false">
      <c r="B29254" s="0" t="s">
        <v>2607</v>
      </c>
      <c r="D29254" s="0" t="s">
        <v>10840</v>
      </c>
      <c r="E29254" s="0" t="s">
        <v>10840</v>
      </c>
      <c r="F29254" s="0" t="s">
        <v>10840</v>
      </c>
    </row>
    <row r="29255" customFormat="false" ht="12.8" hidden="false" customHeight="false" outlineLevel="0" collapsed="false">
      <c r="B29255" s="0" t="s">
        <v>363</v>
      </c>
      <c r="C29255" s="0" t="s">
        <v>110</v>
      </c>
      <c r="D29255" s="0" t="s">
        <v>5185</v>
      </c>
      <c r="E29255" s="0" t="s">
        <v>5185</v>
      </c>
      <c r="F29255" s="0" t="s">
        <v>5185</v>
      </c>
    </row>
    <row r="29256" customFormat="false" ht="12.8" hidden="false" customHeight="false" outlineLevel="0" collapsed="false">
      <c r="B29256" s="0" t="s">
        <v>441</v>
      </c>
      <c r="C29256" s="0" t="s">
        <v>2272</v>
      </c>
      <c r="D29256" s="0" t="s">
        <v>10841</v>
      </c>
      <c r="E29256" s="0" t="s">
        <v>10841</v>
      </c>
      <c r="F29256" s="0" t="s">
        <v>10841</v>
      </c>
    </row>
    <row r="29258" customFormat="false" ht="12.8" hidden="false" customHeight="false" outlineLevel="0" collapsed="false">
      <c r="A29258" s="0" t="s">
        <v>10842</v>
      </c>
      <c r="B29258" s="0" t="str">
        <f aca="false">HYPERLINK("https://lindat.mff.cuni.cz/services/teitok/pdtc10/index.php?action=vallex&amp;frame=v-w3989f1", "posloužit (v-w3989f1)")</f>
        <v>posloužit (v-w3989f1)</v>
      </c>
    </row>
    <row r="29259" customFormat="false" ht="12.8" hidden="false" customHeight="false" outlineLevel="0" collapsed="false">
      <c r="B29259" s="0" t="s">
        <v>768</v>
      </c>
      <c r="C29259" s="0" t="s">
        <v>10843</v>
      </c>
      <c r="D29259" s="0" t="s">
        <v>1287</v>
      </c>
      <c r="E29259" s="0" t="s">
        <v>465</v>
      </c>
      <c r="F29259" s="0" t="s">
        <v>465</v>
      </c>
    </row>
    <row r="29260" customFormat="false" ht="12.8" hidden="false" customHeight="false" outlineLevel="0" collapsed="false">
      <c r="B29260" s="0" t="s">
        <v>268</v>
      </c>
      <c r="C29260" s="0" t="s">
        <v>10844</v>
      </c>
      <c r="D29260" s="0" t="s">
        <v>7836</v>
      </c>
      <c r="E29260" s="0" t="s">
        <v>7837</v>
      </c>
      <c r="F29260" s="0" t="s">
        <v>7837</v>
      </c>
    </row>
    <row r="29261" customFormat="false" ht="12.8" hidden="false" customHeight="false" outlineLevel="0" collapsed="false">
      <c r="B29261" s="0" t="s">
        <v>10845</v>
      </c>
      <c r="C29261" s="0" t="s">
        <v>10846</v>
      </c>
    </row>
    <row r="29263" customFormat="false" ht="12.8" hidden="false" customHeight="false" outlineLevel="0" collapsed="false">
      <c r="A29263" s="0" t="s">
        <v>10847</v>
      </c>
      <c r="B29263" s="0" t="str">
        <f aca="false">HYPERLINK("https://lindat.mff.cuni.cz/services/teitok/pdtc10/index.php?action=vallex&amp;frame=v-w3989hsa_357", "posloužit (v-w3989hsa_357)")</f>
        <v>posloužit (v-w3989hsa_357)</v>
      </c>
    </row>
    <row r="29264" customFormat="false" ht="12.8" hidden="false" customHeight="false" outlineLevel="0" collapsed="false">
      <c r="B29264" s="0" t="s">
        <v>7</v>
      </c>
    </row>
    <row r="29265" customFormat="false" ht="12.8" hidden="false" customHeight="false" outlineLevel="0" collapsed="false">
      <c r="B29265" s="0" t="s">
        <v>142</v>
      </c>
    </row>
    <row r="29267" customFormat="false" ht="12.8" hidden="false" customHeight="false" outlineLevel="0" collapsed="false">
      <c r="A29267" s="0" t="s">
        <v>10848</v>
      </c>
      <c r="B29267" s="0" t="str">
        <f aca="false">HYPERLINK("https://lindat.mff.cuni.cz/services/teitok/pdtc10/index.php?action=vallex&amp;frame=v-w3990f1", "posmívat se (v-w3990f1)")</f>
        <v>posmívat se (v-w3990f1)</v>
      </c>
    </row>
    <row r="29268" customFormat="false" ht="12.8" hidden="false" customHeight="false" outlineLevel="0" collapsed="false">
      <c r="B29268" s="0" t="s">
        <v>7</v>
      </c>
      <c r="C29268" s="0" t="s">
        <v>191</v>
      </c>
      <c r="D29268" s="0" t="s">
        <v>31</v>
      </c>
      <c r="E29268" s="0" t="s">
        <v>31</v>
      </c>
      <c r="F29268" s="0" t="s">
        <v>31</v>
      </c>
    </row>
    <row r="29269" customFormat="false" ht="12.8" hidden="false" customHeight="false" outlineLevel="0" collapsed="false">
      <c r="B29269" s="0" t="s">
        <v>119</v>
      </c>
      <c r="C29269" s="0" t="s">
        <v>47</v>
      </c>
      <c r="D29269" s="0" t="s">
        <v>74</v>
      </c>
      <c r="E29269" s="0" t="s">
        <v>74</v>
      </c>
      <c r="F29269" s="0" t="s">
        <v>74</v>
      </c>
    </row>
    <row r="29271" customFormat="false" ht="12.8" hidden="false" customHeight="false" outlineLevel="0" collapsed="false">
      <c r="A29271" s="0" t="s">
        <v>10849</v>
      </c>
      <c r="B29271" s="0" t="str">
        <f aca="false">HYPERLINK("https://lindat.mff.cuni.cz/services/teitok/pdtc10/index.php?action=vallex&amp;frame=v-w11924_ZUf1_ZU", "posolit (v-w11924_ZUf1_ZU)")</f>
        <v>posolit (v-w11924_ZUf1_ZU)</v>
      </c>
    </row>
    <row r="29272" customFormat="false" ht="12.8" hidden="false" customHeight="false" outlineLevel="0" collapsed="false">
      <c r="B29272" s="0" t="s">
        <v>7</v>
      </c>
    </row>
    <row r="29273" customFormat="false" ht="12.8" hidden="false" customHeight="false" outlineLevel="0" collapsed="false">
      <c r="B29273" s="0" t="s">
        <v>14</v>
      </c>
    </row>
    <row r="29275" customFormat="false" ht="12.8" hidden="false" customHeight="false" outlineLevel="0" collapsed="false">
      <c r="A29275" s="0" t="s">
        <v>10850</v>
      </c>
      <c r="B29275" s="0" t="str">
        <f aca="false">HYPERLINK("https://lindat.mff.cuni.cz/services/teitok/pdtc10/index.php?action=vallex&amp;frame=v-w3991f1", "posoudit (v-w3991f1)")</f>
        <v>posoudit (v-w3991f1)</v>
      </c>
    </row>
    <row r="29276" customFormat="false" ht="12.8" hidden="false" customHeight="false" outlineLevel="0" collapsed="false">
      <c r="B29276" s="0" t="s">
        <v>7</v>
      </c>
      <c r="C29276" s="0" t="s">
        <v>10851</v>
      </c>
      <c r="D29276" s="0" t="s">
        <v>10852</v>
      </c>
      <c r="E29276" s="0" t="s">
        <v>10852</v>
      </c>
      <c r="F29276" s="0" t="s">
        <v>10852</v>
      </c>
    </row>
    <row r="29277" customFormat="false" ht="12.8" hidden="false" customHeight="false" outlineLevel="0" collapsed="false">
      <c r="B29277" s="0" t="s">
        <v>10853</v>
      </c>
      <c r="C29277" s="0" t="s">
        <v>10854</v>
      </c>
      <c r="D29277" s="0" t="s">
        <v>10855</v>
      </c>
      <c r="E29277" s="0" t="s">
        <v>10855</v>
      </c>
      <c r="F29277" s="0" t="s">
        <v>10855</v>
      </c>
    </row>
    <row r="29279" customFormat="false" ht="12.8" hidden="false" customHeight="false" outlineLevel="0" collapsed="false">
      <c r="A29279" s="0" t="s">
        <v>10856</v>
      </c>
      <c r="B29279" s="0" t="str">
        <f aca="false">HYPERLINK("https://lindat.mff.cuni.cz/services/teitok/pdtc10/index.php?action=vallex&amp;frame=v-w3992f1", "posouvat (v-w3992f1)")</f>
        <v>posouvat (v-w3992f1)</v>
      </c>
    </row>
    <row r="29280" customFormat="false" ht="12.8" hidden="false" customHeight="false" outlineLevel="0" collapsed="false">
      <c r="B29280" s="0" t="s">
        <v>7</v>
      </c>
      <c r="C29280" s="0" t="s">
        <v>88</v>
      </c>
      <c r="D29280" s="0" t="s">
        <v>4161</v>
      </c>
      <c r="E29280" s="0" t="s">
        <v>4161</v>
      </c>
      <c r="F29280" s="0" t="s">
        <v>4161</v>
      </c>
    </row>
    <row r="29281" customFormat="false" ht="12.8" hidden="false" customHeight="false" outlineLevel="0" collapsed="false">
      <c r="B29281" s="0" t="s">
        <v>14</v>
      </c>
      <c r="C29281" s="0" t="s">
        <v>461</v>
      </c>
      <c r="D29281" s="0" t="s">
        <v>8195</v>
      </c>
      <c r="E29281" s="0" t="s">
        <v>8195</v>
      </c>
      <c r="F29281" s="0" t="s">
        <v>8195</v>
      </c>
    </row>
    <row r="29283" customFormat="false" ht="12.8" hidden="false" customHeight="false" outlineLevel="0" collapsed="false">
      <c r="A29283" s="0" t="s">
        <v>10857</v>
      </c>
      <c r="B29283" s="0" t="str">
        <f aca="false">HYPERLINK("https://lindat.mff.cuni.cz/services/teitok/pdtc10/index.php?action=vallex&amp;frame=v-w3992f2", "posouvat (v-w3992f2)")</f>
        <v>posouvat (v-w3992f2)</v>
      </c>
    </row>
    <row r="29284" customFormat="false" ht="12.8" hidden="false" customHeight="false" outlineLevel="0" collapsed="false">
      <c r="B29284" s="0" t="s">
        <v>7</v>
      </c>
      <c r="C29284" s="0" t="s">
        <v>3243</v>
      </c>
      <c r="D29284" s="0" t="s">
        <v>392</v>
      </c>
      <c r="E29284" s="0" t="s">
        <v>392</v>
      </c>
      <c r="F29284" s="0" t="s">
        <v>392</v>
      </c>
    </row>
    <row r="29285" customFormat="false" ht="12.8" hidden="false" customHeight="false" outlineLevel="0" collapsed="false">
      <c r="B29285" s="0" t="s">
        <v>14</v>
      </c>
      <c r="C29285" s="0" t="s">
        <v>3244</v>
      </c>
      <c r="D29285" s="0" t="s">
        <v>394</v>
      </c>
      <c r="E29285" s="0" t="s">
        <v>394</v>
      </c>
      <c r="F29285" s="0" t="s">
        <v>394</v>
      </c>
    </row>
    <row r="29287" customFormat="false" ht="12.8" hidden="false" customHeight="false" outlineLevel="0" collapsed="false">
      <c r="A29287" s="0" t="s">
        <v>10858</v>
      </c>
      <c r="B29287" s="0" t="str">
        <f aca="false">HYPERLINK("https://lindat.mff.cuni.cz/services/teitok/pdtc10/index.php?action=vallex&amp;frame=v-w3993f1", "posouvat se (v-w3993f1)")</f>
        <v>posouvat se (v-w3993f1)</v>
      </c>
    </row>
    <row r="29288" customFormat="false" ht="12.8" hidden="false" customHeight="false" outlineLevel="0" collapsed="false">
      <c r="B29288" s="0" t="s">
        <v>7</v>
      </c>
      <c r="C29288" s="0" t="s">
        <v>4398</v>
      </c>
      <c r="D29288" s="0" t="s">
        <v>3856</v>
      </c>
      <c r="E29288" s="0" t="s">
        <v>3856</v>
      </c>
      <c r="F29288" s="0" t="s">
        <v>3856</v>
      </c>
    </row>
    <row r="29290" customFormat="false" ht="12.8" hidden="false" customHeight="false" outlineLevel="0" collapsed="false">
      <c r="A29290" s="0" t="s">
        <v>10859</v>
      </c>
      <c r="B29290" s="0" t="str">
        <f aca="false">HYPERLINK("https://lindat.mff.cuni.cz/services/teitok/pdtc10/index.php?action=vallex&amp;frame=v-w11718_ZUf1_ZU", "pospravovat (v-w11718_ZUf1_ZU)")</f>
        <v>pospravovat (v-w11718_ZUf1_ZU)</v>
      </c>
    </row>
    <row r="29291" customFormat="false" ht="12.8" hidden="false" customHeight="false" outlineLevel="0" collapsed="false">
      <c r="B29291" s="0" t="s">
        <v>7</v>
      </c>
    </row>
    <row r="29292" customFormat="false" ht="12.8" hidden="false" customHeight="false" outlineLevel="0" collapsed="false">
      <c r="B29292" s="0" t="s">
        <v>14</v>
      </c>
    </row>
    <row r="29294" customFormat="false" ht="12.8" hidden="false" customHeight="false" outlineLevel="0" collapsed="false">
      <c r="A29294" s="0" t="s">
        <v>10860</v>
      </c>
      <c r="B29294" s="0" t="str">
        <f aca="false">HYPERLINK("https://lindat.mff.cuni.cz/services/teitok/pdtc10/index.php?action=vallex&amp;frame=v-w10563hsa_344", "pospíchat (v-w10563hsa_344)")</f>
        <v>pospíchat (v-w10563hsa_344)</v>
      </c>
    </row>
    <row r="29295" customFormat="false" ht="12.8" hidden="false" customHeight="false" outlineLevel="0" collapsed="false">
      <c r="B29295" s="0" t="s">
        <v>7</v>
      </c>
      <c r="C29295" s="0" t="s">
        <v>200</v>
      </c>
      <c r="D29295" s="0" t="s">
        <v>3867</v>
      </c>
      <c r="E29295" s="0" t="s">
        <v>3867</v>
      </c>
      <c r="F29295" s="0" t="s">
        <v>3867</v>
      </c>
    </row>
    <row r="29296" customFormat="false" ht="12.8" hidden="false" customHeight="false" outlineLevel="0" collapsed="false">
      <c r="B29296" s="0" t="s">
        <v>10861</v>
      </c>
      <c r="C29296" s="0" t="s">
        <v>400</v>
      </c>
      <c r="D29296" s="0" t="s">
        <v>3872</v>
      </c>
      <c r="E29296" s="0" t="s">
        <v>3872</v>
      </c>
      <c r="F29296" s="0" t="s">
        <v>3872</v>
      </c>
    </row>
    <row r="29298" customFormat="false" ht="12.8" hidden="false" customHeight="false" outlineLevel="0" collapsed="false">
      <c r="A29298" s="0" t="s">
        <v>10860</v>
      </c>
      <c r="B29298" s="0" t="str">
        <f aca="false">HYPERLINK("https://lindat.mff.cuni.cz/services/teitok/pdtc10/index.php?action=vallex&amp;frame=v-w10563f3", "pospíchat (v-w10563f3) - substituted with v-w10563hsa_344")</f>
        <v>pospíchat (v-w10563f3) - substituted with v-w10563hsa_344</v>
      </c>
    </row>
    <row r="29299" customFormat="false" ht="12.8" hidden="false" customHeight="false" outlineLevel="0" collapsed="false">
      <c r="B29299" s="0" t="s">
        <v>7</v>
      </c>
      <c r="C29299" s="0" t="s">
        <v>10862</v>
      </c>
    </row>
    <row r="29300" customFormat="false" ht="12.8" hidden="false" customHeight="false" outlineLevel="0" collapsed="false">
      <c r="B29300" s="0" t="s">
        <v>10861</v>
      </c>
    </row>
    <row r="29302" customFormat="false" ht="12.8" hidden="false" customHeight="false" outlineLevel="0" collapsed="false">
      <c r="A29302" s="0" t="s">
        <v>10863</v>
      </c>
      <c r="B29302" s="0" t="str">
        <f aca="false">HYPERLINK("https://lindat.mff.cuni.cz/services/teitok/pdtc10/index.php?action=vallex&amp;frame=v-w10563f2", "pospíchat (v-w10563f2)")</f>
        <v>pospíchat (v-w10563f2)</v>
      </c>
    </row>
    <row r="29303" customFormat="false" ht="12.8" hidden="false" customHeight="false" outlineLevel="0" collapsed="false">
      <c r="B29303" s="0" t="s">
        <v>7</v>
      </c>
      <c r="C29303" s="0" t="s">
        <v>200</v>
      </c>
      <c r="D29303" s="0" t="s">
        <v>10864</v>
      </c>
      <c r="E29303" s="0" t="s">
        <v>10864</v>
      </c>
      <c r="F29303" s="0" t="s">
        <v>10864</v>
      </c>
    </row>
    <row r="29304" customFormat="false" ht="12.8" hidden="false" customHeight="false" outlineLevel="0" collapsed="false">
      <c r="B29304" s="0" t="s">
        <v>124</v>
      </c>
      <c r="D29304" s="0" t="s">
        <v>10865</v>
      </c>
      <c r="E29304" s="0" t="s">
        <v>10865</v>
      </c>
      <c r="F29304" s="0" t="s">
        <v>10865</v>
      </c>
    </row>
    <row r="29306" customFormat="false" ht="12.8" hidden="false" customHeight="false" outlineLevel="0" collapsed="false">
      <c r="A29306" s="0" t="s">
        <v>10866</v>
      </c>
      <c r="B29306" s="0" t="str">
        <f aca="false">HYPERLINK("https://lindat.mff.cuni.cz/services/teitok/pdtc10/index.php?action=vallex&amp;frame=v-w3995f1", "pospíšit si (v-w3995f1)")</f>
        <v>pospíšit si (v-w3995f1)</v>
      </c>
    </row>
    <row r="29307" customFormat="false" ht="12.8" hidden="false" customHeight="false" outlineLevel="0" collapsed="false">
      <c r="B29307" s="0" t="s">
        <v>457</v>
      </c>
      <c r="C29307" s="0" t="s">
        <v>191</v>
      </c>
    </row>
    <row r="29308" customFormat="false" ht="12.8" hidden="false" customHeight="false" outlineLevel="0" collapsed="false">
      <c r="B29308" s="0" t="s">
        <v>2871</v>
      </c>
      <c r="C29308" s="0" t="s">
        <v>155</v>
      </c>
    </row>
    <row r="29310" customFormat="false" ht="12.8" hidden="false" customHeight="false" outlineLevel="0" collapsed="false">
      <c r="A29310" s="0" t="s">
        <v>10867</v>
      </c>
      <c r="B29310" s="0" t="str">
        <f aca="false">HYPERLINK("https://lindat.mff.cuni.cz/services/teitok/pdtc10/index.php?action=vallex&amp;frame=v-w3995f2", "pospíšit si (v-w3995f2)")</f>
        <v>pospíšit si (v-w3995f2)</v>
      </c>
    </row>
    <row r="29311" customFormat="false" ht="12.8" hidden="false" customHeight="false" outlineLevel="0" collapsed="false">
      <c r="B29311" s="0" t="s">
        <v>7</v>
      </c>
      <c r="C29311" s="0" t="s">
        <v>10862</v>
      </c>
      <c r="D29311" s="0" t="s">
        <v>200</v>
      </c>
      <c r="E29311" s="0" t="s">
        <v>200</v>
      </c>
      <c r="F29311" s="0" t="s">
        <v>200</v>
      </c>
    </row>
    <row r="29313" customFormat="false" ht="12.8" hidden="false" customHeight="false" outlineLevel="0" collapsed="false">
      <c r="A29313" s="0" t="s">
        <v>10868</v>
      </c>
      <c r="B29313" s="0" t="str">
        <f aca="false">HYPERLINK("https://lindat.mff.cuni.cz/services/teitok/pdtc10/index.php?action=vallex&amp;frame=v-w3998f1", "postarat se (v-w3998f1)")</f>
        <v>postarat se (v-w3998f1)</v>
      </c>
    </row>
    <row r="29314" customFormat="false" ht="12.8" hidden="false" customHeight="false" outlineLevel="0" collapsed="false">
      <c r="B29314" s="0" t="s">
        <v>7</v>
      </c>
      <c r="C29314" s="0" t="s">
        <v>10869</v>
      </c>
      <c r="D29314" s="0" t="s">
        <v>3610</v>
      </c>
      <c r="E29314" s="0" t="s">
        <v>3610</v>
      </c>
      <c r="F29314" s="0" t="s">
        <v>3610</v>
      </c>
    </row>
    <row r="29315" customFormat="false" ht="12.8" hidden="false" customHeight="false" outlineLevel="0" collapsed="false">
      <c r="B29315" s="0" t="s">
        <v>10870</v>
      </c>
      <c r="C29315" s="0" t="s">
        <v>10871</v>
      </c>
      <c r="D29315" s="0" t="s">
        <v>7844</v>
      </c>
      <c r="E29315" s="0" t="s">
        <v>7844</v>
      </c>
      <c r="F29315" s="0" t="s">
        <v>7844</v>
      </c>
    </row>
    <row r="29317" customFormat="false" ht="12.8" hidden="false" customHeight="false" outlineLevel="0" collapsed="false">
      <c r="A29317" s="0" t="s">
        <v>10872</v>
      </c>
      <c r="B29317" s="0" t="str">
        <f aca="false">HYPERLINK("https://lindat.mff.cuni.cz/services/teitok/pdtc10/index.php?action=vallex&amp;frame=v-w4003f12_ZU", "postavit (v-w4003f12_ZU)")</f>
        <v>postavit (v-w4003f12_ZU)</v>
      </c>
    </row>
    <row r="29318" customFormat="false" ht="12.8" hidden="false" customHeight="false" outlineLevel="0" collapsed="false">
      <c r="B29318" s="0" t="s">
        <v>7</v>
      </c>
      <c r="C29318" s="0" t="s">
        <v>514</v>
      </c>
      <c r="D29318" s="0" t="s">
        <v>460</v>
      </c>
      <c r="E29318" s="0" t="s">
        <v>460</v>
      </c>
      <c r="F29318" s="0" t="s">
        <v>460</v>
      </c>
    </row>
    <row r="29319" customFormat="false" ht="12.8" hidden="false" customHeight="false" outlineLevel="0" collapsed="false">
      <c r="B29319" s="0" t="s">
        <v>14</v>
      </c>
      <c r="C29319" s="0" t="s">
        <v>10873</v>
      </c>
      <c r="D29319" s="0" t="s">
        <v>585</v>
      </c>
      <c r="E29319" s="0" t="s">
        <v>585</v>
      </c>
      <c r="F29319" s="0" t="s">
        <v>585</v>
      </c>
    </row>
    <row r="29320" customFormat="false" ht="12.8" hidden="false" customHeight="false" outlineLevel="0" collapsed="false">
      <c r="B29320" s="0" t="s">
        <v>586</v>
      </c>
      <c r="C29320" s="0" t="s">
        <v>5459</v>
      </c>
      <c r="D29320" s="0" t="s">
        <v>588</v>
      </c>
      <c r="E29320" s="0" t="s">
        <v>588</v>
      </c>
      <c r="F29320" s="0" t="s">
        <v>588</v>
      </c>
    </row>
    <row r="29322" customFormat="false" ht="12.8" hidden="false" customHeight="false" outlineLevel="0" collapsed="false">
      <c r="A29322" s="0" t="s">
        <v>10872</v>
      </c>
      <c r="B29322" s="0" t="str">
        <f aca="false">HYPERLINK("https://lindat.mff.cuni.cz/services/teitok/pdtc10/index.php?action=vallex&amp;frame=v-w4003f2", "postavit (v-w4003f2) - substituted with v-w4003f12_ZU")</f>
        <v>postavit (v-w4003f2) - substituted with v-w4003f12_ZU</v>
      </c>
    </row>
    <row r="29323" customFormat="false" ht="12.8" hidden="false" customHeight="false" outlineLevel="0" collapsed="false">
      <c r="B29323" s="0" t="s">
        <v>7</v>
      </c>
      <c r="C29323" s="0" t="s">
        <v>2675</v>
      </c>
    </row>
    <row r="29324" customFormat="false" ht="12.8" hidden="false" customHeight="false" outlineLevel="0" collapsed="false">
      <c r="B29324" s="0" t="s">
        <v>14</v>
      </c>
      <c r="C29324" s="0" t="s">
        <v>10874</v>
      </c>
    </row>
    <row r="29325" customFormat="false" ht="12.8" hidden="false" customHeight="false" outlineLevel="0" collapsed="false">
      <c r="B29325" s="0" t="s">
        <v>586</v>
      </c>
      <c r="C29325" s="0" t="s">
        <v>10875</v>
      </c>
    </row>
    <row r="29327" customFormat="false" ht="12.8" hidden="false" customHeight="false" outlineLevel="0" collapsed="false">
      <c r="A29327" s="0" t="s">
        <v>10876</v>
      </c>
      <c r="B29327" s="0" t="str">
        <f aca="false">HYPERLINK("https://lindat.mff.cuni.cz/services/teitok/pdtc10/index.php?action=vallex&amp;frame=v-w4003f1", "postavit (v-w4003f1)")</f>
        <v>postavit (v-w4003f1)</v>
      </c>
    </row>
    <row r="29328" customFormat="false" ht="12.8" hidden="false" customHeight="false" outlineLevel="0" collapsed="false">
      <c r="B29328" s="0" t="s">
        <v>7</v>
      </c>
      <c r="C29328" s="0" t="s">
        <v>2988</v>
      </c>
      <c r="D29328" s="0" t="s">
        <v>4799</v>
      </c>
      <c r="E29328" s="0" t="s">
        <v>10877</v>
      </c>
      <c r="F29328" s="0" t="s">
        <v>10877</v>
      </c>
    </row>
    <row r="29329" customFormat="false" ht="12.8" hidden="false" customHeight="false" outlineLevel="0" collapsed="false">
      <c r="B29329" s="0" t="s">
        <v>14</v>
      </c>
      <c r="C29329" s="0" t="s">
        <v>10878</v>
      </c>
      <c r="D29329" s="0" t="s">
        <v>4801</v>
      </c>
      <c r="E29329" s="0" t="s">
        <v>10879</v>
      </c>
      <c r="F29329" s="0" t="s">
        <v>10879</v>
      </c>
    </row>
    <row r="29330" customFormat="false" ht="12.8" hidden="false" customHeight="false" outlineLevel="0" collapsed="false">
      <c r="B29330" s="0" t="s">
        <v>35</v>
      </c>
      <c r="C29330" s="0" t="s">
        <v>5459</v>
      </c>
      <c r="D29330" s="0" t="s">
        <v>5460</v>
      </c>
      <c r="E29330" s="0" t="s">
        <v>10746</v>
      </c>
      <c r="F29330" s="0" t="s">
        <v>10746</v>
      </c>
    </row>
    <row r="29332" customFormat="false" ht="12.8" hidden="false" customHeight="false" outlineLevel="0" collapsed="false">
      <c r="A29332" s="0" t="s">
        <v>10880</v>
      </c>
      <c r="B29332" s="0" t="str">
        <f aca="false">HYPERLINK("https://lindat.mff.cuni.cz/services/teitok/pdtc10/index.php?action=vallex&amp;frame=v-w4003f9", "postavit (v-w4003f9)")</f>
        <v>postavit (v-w4003f9)</v>
      </c>
    </row>
    <row r="29333" customFormat="false" ht="12.8" hidden="false" customHeight="false" outlineLevel="0" collapsed="false">
      <c r="B29333" s="0" t="s">
        <v>7</v>
      </c>
    </row>
    <row r="29334" customFormat="false" ht="12.8" hidden="false" customHeight="false" outlineLevel="0" collapsed="false">
      <c r="B29334" s="0" t="s">
        <v>14</v>
      </c>
    </row>
    <row r="29335" customFormat="false" ht="12.8" hidden="false" customHeight="false" outlineLevel="0" collapsed="false">
      <c r="B29335" s="0" t="s">
        <v>10881</v>
      </c>
    </row>
    <row r="29337" customFormat="false" ht="12.8" hidden="false" customHeight="false" outlineLevel="0" collapsed="false">
      <c r="A29337" s="0" t="s">
        <v>10882</v>
      </c>
      <c r="B29337" s="0" t="str">
        <f aca="false">HYPERLINK("https://lindat.mff.cuni.cz/services/teitok/pdtc10/index.php?action=vallex&amp;frame=v-w4003f4", "postavit (v-w4003f4)")</f>
        <v>postavit (v-w4003f4)</v>
      </c>
    </row>
    <row r="29338" customFormat="false" ht="12.8" hidden="false" customHeight="false" outlineLevel="0" collapsed="false">
      <c r="B29338" s="0" t="s">
        <v>7</v>
      </c>
      <c r="C29338" s="0" t="s">
        <v>1643</v>
      </c>
    </row>
    <row r="29339" customFormat="false" ht="12.8" hidden="false" customHeight="false" outlineLevel="0" collapsed="false">
      <c r="B29339" s="0" t="s">
        <v>14</v>
      </c>
      <c r="C29339" s="0" t="s">
        <v>10883</v>
      </c>
    </row>
    <row r="29340" customFormat="false" ht="12.8" hidden="false" customHeight="false" outlineLevel="0" collapsed="false">
      <c r="B29340" s="0" t="s">
        <v>11</v>
      </c>
    </row>
    <row r="29342" customFormat="false" ht="12.8" hidden="false" customHeight="false" outlineLevel="0" collapsed="false">
      <c r="A29342" s="0" t="s">
        <v>10884</v>
      </c>
      <c r="B29342" s="0" t="str">
        <f aca="false">HYPERLINK("https://lindat.mff.cuni.cz/services/teitok/pdtc10/index.php?action=vallex&amp;frame=v-w4003f7", "postavit (v-w4003f7)")</f>
        <v>postavit (v-w4003f7)</v>
      </c>
    </row>
    <row r="29343" customFormat="false" ht="12.8" hidden="false" customHeight="false" outlineLevel="0" collapsed="false">
      <c r="B29343" s="0" t="s">
        <v>7</v>
      </c>
      <c r="C29343" s="0" t="s">
        <v>1864</v>
      </c>
      <c r="D29343" s="0" t="s">
        <v>2323</v>
      </c>
      <c r="E29343" s="0" t="s">
        <v>2323</v>
      </c>
      <c r="F29343" s="0" t="s">
        <v>2323</v>
      </c>
    </row>
    <row r="29344" customFormat="false" ht="12.8" hidden="false" customHeight="false" outlineLevel="0" collapsed="false">
      <c r="B29344" s="0" t="s">
        <v>14</v>
      </c>
      <c r="C29344" s="0" t="s">
        <v>10885</v>
      </c>
      <c r="D29344" s="0" t="s">
        <v>1918</v>
      </c>
      <c r="E29344" s="0" t="s">
        <v>1918</v>
      </c>
      <c r="F29344" s="0" t="s">
        <v>1918</v>
      </c>
    </row>
    <row r="29345" customFormat="false" ht="12.8" hidden="false" customHeight="false" outlineLevel="0" collapsed="false">
      <c r="B29345" s="0" t="s">
        <v>279</v>
      </c>
      <c r="C29345" s="0" t="s">
        <v>10886</v>
      </c>
      <c r="D29345" s="0" t="s">
        <v>2325</v>
      </c>
      <c r="E29345" s="0" t="s">
        <v>2325</v>
      </c>
      <c r="F29345" s="0" t="s">
        <v>2325</v>
      </c>
    </row>
    <row r="29347" customFormat="false" ht="12.8" hidden="false" customHeight="false" outlineLevel="0" collapsed="false">
      <c r="A29347" s="0" t="s">
        <v>10887</v>
      </c>
      <c r="B29347" s="0" t="str">
        <f aca="false">HYPERLINK("https://lindat.mff.cuni.cz/services/teitok/pdtc10/index.php?action=vallex&amp;frame=v-w4003f3", "postavit (v-w4003f3)")</f>
        <v>postavit (v-w4003f3)</v>
      </c>
    </row>
    <row r="29348" customFormat="false" ht="12.8" hidden="false" customHeight="false" outlineLevel="0" collapsed="false">
      <c r="B29348" s="0" t="s">
        <v>7</v>
      </c>
      <c r="C29348" s="0" t="s">
        <v>10888</v>
      </c>
      <c r="D29348" s="0" t="s">
        <v>2235</v>
      </c>
      <c r="E29348" s="0" t="s">
        <v>2235</v>
      </c>
      <c r="F29348" s="0" t="s">
        <v>2235</v>
      </c>
    </row>
    <row r="29349" customFormat="false" ht="12.8" hidden="false" customHeight="false" outlineLevel="0" collapsed="false">
      <c r="B29349" s="0" t="s">
        <v>14</v>
      </c>
      <c r="C29349" s="0" t="s">
        <v>10889</v>
      </c>
      <c r="D29349" s="0" t="s">
        <v>2237</v>
      </c>
      <c r="E29349" s="0" t="s">
        <v>2237</v>
      </c>
      <c r="F29349" s="0" t="s">
        <v>2237</v>
      </c>
    </row>
    <row r="29350" customFormat="false" ht="12.8" hidden="false" customHeight="false" outlineLevel="0" collapsed="false">
      <c r="B29350" s="0" t="s">
        <v>124</v>
      </c>
      <c r="C29350" s="0" t="s">
        <v>10890</v>
      </c>
      <c r="D29350" s="0" t="s">
        <v>2238</v>
      </c>
      <c r="E29350" s="0" t="s">
        <v>2238</v>
      </c>
      <c r="F29350" s="0" t="s">
        <v>2238</v>
      </c>
    </row>
    <row r="29352" customFormat="false" ht="12.8" hidden="false" customHeight="false" outlineLevel="0" collapsed="false">
      <c r="A29352" s="0" t="s">
        <v>10891</v>
      </c>
      <c r="B29352" s="0" t="str">
        <f aca="false">HYPERLINK("https://lindat.mff.cuni.cz/services/teitok/pdtc10/index.php?action=vallex&amp;frame=v-w4003f6", "postavit (v-w4003f6)")</f>
        <v>postavit (v-w4003f6)</v>
      </c>
    </row>
    <row r="29353" customFormat="false" ht="12.8" hidden="false" customHeight="false" outlineLevel="0" collapsed="false">
      <c r="B29353" s="0" t="s">
        <v>7</v>
      </c>
      <c r="C29353" s="0" t="s">
        <v>514</v>
      </c>
    </row>
    <row r="29354" customFormat="false" ht="12.8" hidden="false" customHeight="false" outlineLevel="0" collapsed="false">
      <c r="B29354" s="0" t="s">
        <v>14</v>
      </c>
      <c r="C29354" s="0" t="s">
        <v>10892</v>
      </c>
    </row>
    <row r="29356" customFormat="false" ht="12.8" hidden="false" customHeight="false" outlineLevel="0" collapsed="false">
      <c r="A29356" s="0" t="s">
        <v>10893</v>
      </c>
      <c r="B29356" s="0" t="str">
        <f aca="false">HYPERLINK("https://lindat.mff.cuni.cz/services/teitok/pdtc10/index.php?action=vallex&amp;frame=v-w4003f5", "postavit (v-w4003f5)")</f>
        <v>postavit (v-w4003f5)</v>
      </c>
    </row>
    <row r="29357" customFormat="false" ht="12.8" hidden="false" customHeight="false" outlineLevel="0" collapsed="false">
      <c r="B29357" s="0" t="s">
        <v>7</v>
      </c>
      <c r="C29357" s="0" t="s">
        <v>569</v>
      </c>
    </row>
    <row r="29358" customFormat="false" ht="12.8" hidden="false" customHeight="false" outlineLevel="0" collapsed="false">
      <c r="B29358" s="0" t="s">
        <v>14</v>
      </c>
      <c r="C29358" s="0" t="s">
        <v>74</v>
      </c>
    </row>
    <row r="29360" customFormat="false" ht="12.8" hidden="false" customHeight="false" outlineLevel="0" collapsed="false">
      <c r="A29360" s="0" t="s">
        <v>10894</v>
      </c>
      <c r="B29360" s="0" t="str">
        <f aca="false">HYPERLINK("https://lindat.mff.cuni.cz/services/teitok/pdtc10/index.php?action=vallex&amp;frame=v-w4003f11_ZU", "postavit (v-w4003f11_ZU)")</f>
        <v>postavit (v-w4003f11_ZU)</v>
      </c>
    </row>
    <row r="29361" customFormat="false" ht="12.8" hidden="false" customHeight="false" outlineLevel="0" collapsed="false">
      <c r="B29361" s="0" t="s">
        <v>7</v>
      </c>
      <c r="C29361" s="0" t="s">
        <v>191</v>
      </c>
      <c r="D29361" s="0" t="s">
        <v>191</v>
      </c>
      <c r="E29361" s="0" t="s">
        <v>191</v>
      </c>
      <c r="F29361" s="0" t="s">
        <v>191</v>
      </c>
    </row>
    <row r="29362" customFormat="false" ht="12.8" hidden="false" customHeight="false" outlineLevel="0" collapsed="false">
      <c r="B29362" s="0" t="s">
        <v>14</v>
      </c>
      <c r="C29362" s="0" t="s">
        <v>624</v>
      </c>
      <c r="D29362" s="0" t="s">
        <v>624</v>
      </c>
      <c r="E29362" s="0" t="s">
        <v>624</v>
      </c>
      <c r="F29362" s="0" t="s">
        <v>624</v>
      </c>
    </row>
    <row r="29364" customFormat="false" ht="12.8" hidden="false" customHeight="false" outlineLevel="0" collapsed="false">
      <c r="A29364" s="0" t="s">
        <v>10895</v>
      </c>
      <c r="B29364" s="0" t="str">
        <f aca="false">HYPERLINK("https://lindat.mff.cuni.cz/services/teitok/pdtc10/index.php?action=vallex&amp;frame=v-w4003f10", "postavit (v-w4003f10)")</f>
        <v>postavit (v-w4003f10)</v>
      </c>
    </row>
    <row r="29365" customFormat="false" ht="12.8" hidden="false" customHeight="false" outlineLevel="0" collapsed="false">
      <c r="B29365" s="0" t="s">
        <v>7</v>
      </c>
      <c r="C29365" s="0" t="s">
        <v>46</v>
      </c>
    </row>
    <row r="29366" customFormat="false" ht="12.8" hidden="false" customHeight="false" outlineLevel="0" collapsed="false">
      <c r="B29366" s="0" t="s">
        <v>10896</v>
      </c>
      <c r="C29366" s="0" t="s">
        <v>1321</v>
      </c>
    </row>
    <row r="29367" customFormat="false" ht="12.8" hidden="false" customHeight="false" outlineLevel="0" collapsed="false">
      <c r="B29367" s="0" t="s">
        <v>142</v>
      </c>
    </row>
    <row r="29368" customFormat="false" ht="12.8" hidden="false" customHeight="false" outlineLevel="0" collapsed="false">
      <c r="B29368" s="0" t="s">
        <v>124</v>
      </c>
    </row>
    <row r="29370" customFormat="false" ht="12.8" hidden="false" customHeight="false" outlineLevel="0" collapsed="false">
      <c r="A29370" s="0" t="s">
        <v>10897</v>
      </c>
      <c r="B29370" s="0" t="str">
        <f aca="false">HYPERLINK("https://lindat.mff.cuni.cz/services/teitok/pdtc10/index.php?action=vallex&amp;frame=v-w4003f8", "postavit (v-w4003f8)")</f>
        <v>postavit (v-w4003f8)</v>
      </c>
    </row>
    <row r="29371" customFormat="false" ht="12.8" hidden="false" customHeight="false" outlineLevel="0" collapsed="false">
      <c r="B29371" s="0" t="s">
        <v>7</v>
      </c>
    </row>
    <row r="29372" customFormat="false" ht="12.8" hidden="false" customHeight="false" outlineLevel="0" collapsed="false">
      <c r="B29372" s="0" t="s">
        <v>10898</v>
      </c>
    </row>
    <row r="29373" customFormat="false" ht="12.8" hidden="false" customHeight="false" outlineLevel="0" collapsed="false">
      <c r="B29373" s="0" t="s">
        <v>14</v>
      </c>
    </row>
    <row r="29375" customFormat="false" ht="12.8" hidden="false" customHeight="false" outlineLevel="0" collapsed="false">
      <c r="A29375" s="0" t="s">
        <v>10899</v>
      </c>
      <c r="B29375" s="0" t="str">
        <f aca="false">HYPERLINK("https://lindat.mff.cuni.cz/services/teitok/pdtc10/index.php?action=vallex&amp;frame=v-w4004f1", "postavit se (v-w4004f1)")</f>
        <v>postavit se (v-w4004f1)</v>
      </c>
    </row>
    <row r="29376" customFormat="false" ht="12.8" hidden="false" customHeight="false" outlineLevel="0" collapsed="false">
      <c r="B29376" s="0" t="s">
        <v>7</v>
      </c>
      <c r="C29376" s="0" t="s">
        <v>10900</v>
      </c>
      <c r="D29376" s="0" t="s">
        <v>10901</v>
      </c>
      <c r="E29376" s="0" t="s">
        <v>10901</v>
      </c>
      <c r="F29376" s="0" t="s">
        <v>10901</v>
      </c>
    </row>
    <row r="29377" customFormat="false" ht="12.8" hidden="false" customHeight="false" outlineLevel="0" collapsed="false">
      <c r="B29377" s="0" t="s">
        <v>10902</v>
      </c>
      <c r="C29377" s="0" t="s">
        <v>10903</v>
      </c>
      <c r="D29377" s="0" t="s">
        <v>10904</v>
      </c>
      <c r="E29377" s="0" t="s">
        <v>10904</v>
      </c>
      <c r="F29377" s="0" t="s">
        <v>10904</v>
      </c>
    </row>
    <row r="29379" customFormat="false" ht="12.8" hidden="false" customHeight="false" outlineLevel="0" collapsed="false">
      <c r="A29379" s="0" t="s">
        <v>10905</v>
      </c>
      <c r="B29379" s="0" t="str">
        <f aca="false">HYPERLINK("https://lindat.mff.cuni.cz/services/teitok/pdtc10/index.php?action=vallex&amp;frame=v-w4004f5", "postavit se (v-w4004f5)")</f>
        <v>postavit se (v-w4004f5)</v>
      </c>
    </row>
    <row r="29380" customFormat="false" ht="12.8" hidden="false" customHeight="false" outlineLevel="0" collapsed="false">
      <c r="B29380" s="0" t="s">
        <v>7</v>
      </c>
      <c r="C29380" s="0" t="s">
        <v>5274</v>
      </c>
    </row>
    <row r="29381" customFormat="false" ht="12.8" hidden="false" customHeight="false" outlineLevel="0" collapsed="false">
      <c r="B29381" s="0" t="s">
        <v>237</v>
      </c>
    </row>
    <row r="29382" customFormat="false" ht="12.8" hidden="false" customHeight="false" outlineLevel="0" collapsed="false">
      <c r="B29382" s="0" t="s">
        <v>474</v>
      </c>
    </row>
    <row r="29383" customFormat="false" ht="12.8" hidden="false" customHeight="false" outlineLevel="0" collapsed="false">
      <c r="B29383" s="0" t="s">
        <v>479</v>
      </c>
    </row>
    <row r="29384" customFormat="false" ht="12.8" hidden="false" customHeight="false" outlineLevel="0" collapsed="false">
      <c r="B29384" s="0" t="s">
        <v>481</v>
      </c>
    </row>
    <row r="29385" customFormat="false" ht="12.8" hidden="false" customHeight="false" outlineLevel="0" collapsed="false">
      <c r="B29385" s="0" t="s">
        <v>483</v>
      </c>
    </row>
    <row r="29387" customFormat="false" ht="12.8" hidden="false" customHeight="false" outlineLevel="0" collapsed="false">
      <c r="A29387" s="0" t="s">
        <v>10906</v>
      </c>
      <c r="B29387" s="0" t="str">
        <f aca="false">HYPERLINK("https://lindat.mff.cuni.cz/services/teitok/pdtc10/index.php?action=vallex&amp;frame=v-w4004f4", "postavit se (v-w4004f4)")</f>
        <v>postavit se (v-w4004f4)</v>
      </c>
    </row>
    <row r="29388" customFormat="false" ht="12.8" hidden="false" customHeight="false" outlineLevel="0" collapsed="false">
      <c r="B29388" s="0" t="s">
        <v>7</v>
      </c>
      <c r="C29388" s="0" t="s">
        <v>5063</v>
      </c>
      <c r="D29388" s="0" t="s">
        <v>191</v>
      </c>
      <c r="E29388" s="0" t="s">
        <v>191</v>
      </c>
      <c r="F29388" s="0" t="s">
        <v>10907</v>
      </c>
    </row>
    <row r="29389" customFormat="false" ht="12.8" hidden="false" customHeight="false" outlineLevel="0" collapsed="false">
      <c r="B29389" s="0" t="s">
        <v>491</v>
      </c>
      <c r="C29389" s="0" t="s">
        <v>1743</v>
      </c>
      <c r="D29389" s="0" t="s">
        <v>155</v>
      </c>
      <c r="E29389" s="0" t="s">
        <v>155</v>
      </c>
      <c r="F29389" s="0" t="s">
        <v>10908</v>
      </c>
    </row>
    <row r="29391" customFormat="false" ht="12.8" hidden="false" customHeight="false" outlineLevel="0" collapsed="false">
      <c r="A29391" s="0" t="s">
        <v>10909</v>
      </c>
      <c r="B29391" s="0" t="str">
        <f aca="false">HYPERLINK("https://lindat.mff.cuni.cz/services/teitok/pdtc10/index.php?action=vallex&amp;frame=v-w4004f2", "postavit se (v-w4004f2)")</f>
        <v>postavit se (v-w4004f2)</v>
      </c>
    </row>
    <row r="29392" customFormat="false" ht="12.8" hidden="false" customHeight="false" outlineLevel="0" collapsed="false">
      <c r="B29392" s="0" t="s">
        <v>7</v>
      </c>
      <c r="C29392" s="0" t="s">
        <v>3205</v>
      </c>
      <c r="D29392" s="0" t="s">
        <v>10910</v>
      </c>
      <c r="E29392" s="0" t="s">
        <v>10910</v>
      </c>
      <c r="F29392" s="0" t="s">
        <v>10910</v>
      </c>
    </row>
    <row r="29393" customFormat="false" ht="12.8" hidden="false" customHeight="false" outlineLevel="0" collapsed="false">
      <c r="B29393" s="0" t="s">
        <v>279</v>
      </c>
      <c r="C29393" s="0" t="s">
        <v>10911</v>
      </c>
    </row>
    <row r="29395" customFormat="false" ht="12.8" hidden="false" customHeight="false" outlineLevel="0" collapsed="false">
      <c r="A29395" s="0" t="s">
        <v>10912</v>
      </c>
      <c r="B29395" s="0" t="str">
        <f aca="false">HYPERLINK("https://lindat.mff.cuni.cz/services/teitok/pdtc10/index.php?action=vallex&amp;frame=v-w4004f3", "postavit se (v-w4004f3)")</f>
        <v>postavit se (v-w4004f3)</v>
      </c>
    </row>
    <row r="29396" customFormat="false" ht="12.8" hidden="false" customHeight="false" outlineLevel="0" collapsed="false">
      <c r="B29396" s="0" t="s">
        <v>7</v>
      </c>
      <c r="C29396" s="0" t="s">
        <v>5274</v>
      </c>
    </row>
    <row r="29398" customFormat="false" ht="12.8" hidden="false" customHeight="false" outlineLevel="0" collapsed="false">
      <c r="A29398" s="0" t="s">
        <v>10913</v>
      </c>
      <c r="B29398" s="0" t="str">
        <f aca="false">HYPERLINK("https://lindat.mff.cuni.cz/services/teitok/pdtc10/index.php?action=vallex&amp;frame=v-w4004f6", "postavit se (v-w4004f6)")</f>
        <v>postavit se (v-w4004f6)</v>
      </c>
    </row>
    <row r="29399" customFormat="false" ht="12.8" hidden="false" customHeight="false" outlineLevel="0" collapsed="false">
      <c r="B29399" s="0" t="s">
        <v>7</v>
      </c>
      <c r="C29399" s="0" t="s">
        <v>5768</v>
      </c>
    </row>
    <row r="29400" customFormat="false" ht="12.8" hidden="false" customHeight="false" outlineLevel="0" collapsed="false">
      <c r="B29400" s="0" t="s">
        <v>10914</v>
      </c>
      <c r="C29400" s="0" t="s">
        <v>6642</v>
      </c>
    </row>
    <row r="29402" customFormat="false" ht="12.8" hidden="false" customHeight="false" outlineLevel="0" collapsed="false">
      <c r="A29402" s="0" t="s">
        <v>10915</v>
      </c>
      <c r="B29402" s="0" t="str">
        <f aca="false">HYPERLINK("https://lindat.mff.cuni.cz/services/teitok/pdtc10/index.php?action=vallex&amp;frame=v-w4004hsa_775", "postavit se (v-w4004hsa_775)")</f>
        <v>postavit se (v-w4004hsa_775)</v>
      </c>
    </row>
    <row r="29403" customFormat="false" ht="12.8" hidden="false" customHeight="false" outlineLevel="0" collapsed="false">
      <c r="B29403" s="0" t="s">
        <v>7</v>
      </c>
    </row>
    <row r="29404" customFormat="false" ht="12.8" hidden="false" customHeight="false" outlineLevel="0" collapsed="false">
      <c r="B29404" s="0" t="s">
        <v>124</v>
      </c>
    </row>
    <row r="29406" customFormat="false" ht="12.8" hidden="false" customHeight="false" outlineLevel="0" collapsed="false">
      <c r="A29406" s="0" t="s">
        <v>10916</v>
      </c>
      <c r="B29406" s="0" t="str">
        <f aca="false">HYPERLINK("https://lindat.mff.cuni.cz/services/teitok/pdtc10/index.php?action=vallex&amp;frame=v-w4004f7_ZU", "postavit se (v-w4004f7_ZU)")</f>
        <v>postavit se (v-w4004f7_ZU)</v>
      </c>
    </row>
    <row r="29407" customFormat="false" ht="12.8" hidden="false" customHeight="false" outlineLevel="0" collapsed="false">
      <c r="B29407" s="0" t="s">
        <v>7</v>
      </c>
      <c r="C29407" s="0" t="s">
        <v>247</v>
      </c>
    </row>
    <row r="29408" customFormat="false" ht="12.8" hidden="false" customHeight="false" outlineLevel="0" collapsed="false">
      <c r="B29408" s="0" t="s">
        <v>10917</v>
      </c>
    </row>
    <row r="29410" customFormat="false" ht="12.8" hidden="false" customHeight="false" outlineLevel="0" collapsed="false">
      <c r="A29410" s="0" t="s">
        <v>10916</v>
      </c>
      <c r="B29410" s="0" t="str">
        <f aca="false">HYPERLINK("https://lindat.mff.cuni.cz/services/teitok/pdtc10/index.php?action=vallex&amp;frame=v-w4004hsa_776", "postavit se (v-w4004hsa_776) - substituted with v-w4004f7_ZU")</f>
        <v>postavit se (v-w4004hsa_776) - substituted with v-w4004f7_ZU</v>
      </c>
    </row>
    <row r="29411" customFormat="false" ht="12.8" hidden="false" customHeight="false" outlineLevel="0" collapsed="false">
      <c r="B29411" s="0" t="s">
        <v>7</v>
      </c>
    </row>
    <row r="29412" customFormat="false" ht="12.8" hidden="false" customHeight="false" outlineLevel="0" collapsed="false">
      <c r="B29412" s="0" t="s">
        <v>10917</v>
      </c>
    </row>
    <row r="29414" customFormat="false" ht="12.8" hidden="false" customHeight="false" outlineLevel="0" collapsed="false">
      <c r="A29414" s="0" t="s">
        <v>10918</v>
      </c>
      <c r="B29414" s="0" t="str">
        <f aca="false">HYPERLINK("https://lindat.mff.cuni.cz/services/teitok/pdtc10/index.php?action=vallex&amp;frame=v-w4005f1", "postavit si (v-w4005f1)")</f>
        <v>postavit si (v-w4005f1)</v>
      </c>
    </row>
    <row r="29415" customFormat="false" ht="12.8" hidden="false" customHeight="false" outlineLevel="0" collapsed="false">
      <c r="B29415" s="0" t="s">
        <v>7</v>
      </c>
    </row>
    <row r="29416" customFormat="false" ht="12.8" hidden="false" customHeight="false" outlineLevel="0" collapsed="false">
      <c r="B29416" s="0" t="s">
        <v>10919</v>
      </c>
    </row>
    <row r="29418" customFormat="false" ht="12.8" hidden="false" customHeight="false" outlineLevel="0" collapsed="false">
      <c r="A29418" s="0" t="s">
        <v>10920</v>
      </c>
      <c r="B29418" s="0" t="str">
        <f aca="false">HYPERLINK("https://lindat.mff.cuni.cz/services/teitok/pdtc10/index.php?action=vallex&amp;frame=v-w3996f1", "postačit (v-w3996f1)")</f>
        <v>postačit (v-w3996f1)</v>
      </c>
    </row>
    <row r="29419" customFormat="false" ht="12.8" hidden="false" customHeight="false" outlineLevel="0" collapsed="false">
      <c r="B29419" s="0" t="s">
        <v>2446</v>
      </c>
    </row>
    <row r="29420" customFormat="false" ht="12.8" hidden="false" customHeight="false" outlineLevel="0" collapsed="false">
      <c r="B29420" s="0" t="s">
        <v>142</v>
      </c>
    </row>
    <row r="29422" customFormat="false" ht="12.8" hidden="false" customHeight="false" outlineLevel="0" collapsed="false">
      <c r="A29422" s="0" t="s">
        <v>10921</v>
      </c>
      <c r="B29422" s="0" t="str">
        <f aca="false">HYPERLINK("https://lindat.mff.cuni.cz/services/teitok/pdtc10/index.php?action=vallex&amp;frame=v-w3997f1", "postačovat (v-w3997f1)")</f>
        <v>postačovat (v-w3997f1)</v>
      </c>
    </row>
    <row r="29423" customFormat="false" ht="12.8" hidden="false" customHeight="false" outlineLevel="0" collapsed="false">
      <c r="B29423" s="0" t="s">
        <v>2446</v>
      </c>
    </row>
    <row r="29424" customFormat="false" ht="12.8" hidden="false" customHeight="false" outlineLevel="0" collapsed="false">
      <c r="B29424" s="0" t="s">
        <v>142</v>
      </c>
    </row>
    <row r="29426" customFormat="false" ht="12.8" hidden="false" customHeight="false" outlineLevel="0" collapsed="false">
      <c r="A29426" s="0" t="s">
        <v>10922</v>
      </c>
      <c r="B29426" s="0" t="str">
        <f aca="false">HYPERLINK("https://lindat.mff.cuni.cz/services/teitok/pdtc10/index.php?action=vallex&amp;frame=v-w4006f1", "postesknout si (v-w4006f1)")</f>
        <v>postesknout si (v-w4006f1)</v>
      </c>
    </row>
    <row r="29427" customFormat="false" ht="12.8" hidden="false" customHeight="false" outlineLevel="0" collapsed="false">
      <c r="B29427" s="0" t="s">
        <v>7</v>
      </c>
    </row>
    <row r="29428" customFormat="false" ht="12.8" hidden="false" customHeight="false" outlineLevel="0" collapsed="false">
      <c r="B29428" s="0" t="s">
        <v>10923</v>
      </c>
    </row>
    <row r="29429" customFormat="false" ht="12.8" hidden="false" customHeight="false" outlineLevel="0" collapsed="false">
      <c r="B29429" s="0" t="s">
        <v>106</v>
      </c>
    </row>
    <row r="29431" customFormat="false" ht="12.8" hidden="false" customHeight="false" outlineLevel="0" collapsed="false">
      <c r="A29431" s="0" t="s">
        <v>10924</v>
      </c>
      <c r="B29431" s="0" t="str">
        <f aca="false">HYPERLINK("https://lindat.mff.cuni.cz/services/teitok/pdtc10/index.php?action=vallex&amp;frame=v-w4009f2", "postihnout (v-w4009f2)")</f>
        <v>postihnout (v-w4009f2)</v>
      </c>
    </row>
    <row r="29432" customFormat="false" ht="12.8" hidden="false" customHeight="false" outlineLevel="0" collapsed="false">
      <c r="B29432" s="0" t="s">
        <v>7</v>
      </c>
    </row>
    <row r="29433" customFormat="false" ht="12.8" hidden="false" customHeight="false" outlineLevel="0" collapsed="false">
      <c r="B29433" s="0" t="s">
        <v>10925</v>
      </c>
    </row>
    <row r="29435" customFormat="false" ht="12.8" hidden="false" customHeight="false" outlineLevel="0" collapsed="false">
      <c r="A29435" s="0" t="s">
        <v>10926</v>
      </c>
      <c r="B29435" s="0" t="str">
        <f aca="false">HYPERLINK("https://lindat.mff.cuni.cz/services/teitok/pdtc10/index.php?action=vallex&amp;frame=v-w4009f1", "postihnout (v-w4009f1)")</f>
        <v>postihnout (v-w4009f1)</v>
      </c>
    </row>
    <row r="29436" customFormat="false" ht="12.8" hidden="false" customHeight="false" outlineLevel="0" collapsed="false">
      <c r="B29436" s="0" t="s">
        <v>7</v>
      </c>
      <c r="C29436" s="0" t="s">
        <v>10927</v>
      </c>
      <c r="D29436" s="0" t="s">
        <v>2062</v>
      </c>
      <c r="E29436" s="0" t="s">
        <v>10061</v>
      </c>
      <c r="F29436" s="0" t="s">
        <v>10928</v>
      </c>
    </row>
    <row r="29437" customFormat="false" ht="12.8" hidden="false" customHeight="false" outlineLevel="0" collapsed="false">
      <c r="B29437" s="0" t="s">
        <v>14</v>
      </c>
      <c r="C29437" s="0" t="s">
        <v>10929</v>
      </c>
      <c r="D29437" s="0" t="s">
        <v>2065</v>
      </c>
      <c r="E29437" s="0" t="s">
        <v>10062</v>
      </c>
      <c r="F29437" s="0" t="s">
        <v>10930</v>
      </c>
    </row>
    <row r="29439" customFormat="false" ht="12.8" hidden="false" customHeight="false" outlineLevel="0" collapsed="false">
      <c r="A29439" s="0" t="s">
        <v>10931</v>
      </c>
      <c r="B29439" s="0" t="str">
        <f aca="false">HYPERLINK("https://lindat.mff.cuni.cz/services/teitok/pdtc10/index.php?action=vallex&amp;frame=v-w4011f1", "postihovat (v-w4011f1)")</f>
        <v>postihovat (v-w4011f1)</v>
      </c>
    </row>
    <row r="29440" customFormat="false" ht="12.8" hidden="false" customHeight="false" outlineLevel="0" collapsed="false">
      <c r="B29440" s="0" t="s">
        <v>7</v>
      </c>
      <c r="C29440" s="0" t="s">
        <v>10932</v>
      </c>
      <c r="D29440" s="0" t="s">
        <v>2062</v>
      </c>
      <c r="E29440" s="0" t="s">
        <v>10061</v>
      </c>
      <c r="F29440" s="0" t="s">
        <v>10061</v>
      </c>
    </row>
    <row r="29441" customFormat="false" ht="12.8" hidden="false" customHeight="false" outlineLevel="0" collapsed="false">
      <c r="B29441" s="0" t="s">
        <v>14</v>
      </c>
      <c r="C29441" s="0" t="s">
        <v>1315</v>
      </c>
      <c r="D29441" s="0" t="s">
        <v>2065</v>
      </c>
      <c r="E29441" s="0" t="s">
        <v>10062</v>
      </c>
      <c r="F29441" s="0" t="s">
        <v>10062</v>
      </c>
    </row>
    <row r="29443" customFormat="false" ht="12.8" hidden="false" customHeight="false" outlineLevel="0" collapsed="false">
      <c r="A29443" s="0" t="s">
        <v>10933</v>
      </c>
      <c r="B29443" s="0" t="str">
        <f aca="false">HYPERLINK("https://lindat.mff.cuni.cz/services/teitok/pdtc10/index.php?action=vallex&amp;frame=v-w4011f2", "postihovat (v-w4011f2)")</f>
        <v>postihovat (v-w4011f2)</v>
      </c>
    </row>
    <row r="29444" customFormat="false" ht="12.8" hidden="false" customHeight="false" outlineLevel="0" collapsed="false">
      <c r="B29444" s="0" t="s">
        <v>7</v>
      </c>
    </row>
    <row r="29445" customFormat="false" ht="12.8" hidden="false" customHeight="false" outlineLevel="0" collapsed="false">
      <c r="B29445" s="0" t="s">
        <v>14</v>
      </c>
    </row>
    <row r="29447" customFormat="false" ht="12.8" hidden="false" customHeight="false" outlineLevel="0" collapsed="false">
      <c r="A29447" s="0" t="s">
        <v>10934</v>
      </c>
      <c r="B29447" s="0" t="str">
        <f aca="false">HYPERLINK("https://lindat.mff.cuni.cz/services/teitok/pdtc10/index.php?action=vallex&amp;frame=v-w11881_ZUf1_ZU", "postit se (v-w11881_ZUf1_ZU)")</f>
        <v>postit se (v-w11881_ZUf1_ZU)</v>
      </c>
    </row>
    <row r="29448" customFormat="false" ht="12.8" hidden="false" customHeight="false" outlineLevel="0" collapsed="false">
      <c r="B29448" s="0" t="s">
        <v>7</v>
      </c>
    </row>
    <row r="29450" customFormat="false" ht="12.8" hidden="false" customHeight="false" outlineLevel="0" collapsed="false">
      <c r="A29450" s="0" t="s">
        <v>10935</v>
      </c>
      <c r="B29450" s="0" t="str">
        <f aca="false">HYPERLINK("https://lindat.mff.cuni.cz/services/teitok/pdtc10/index.php?action=vallex&amp;frame=v-w12195_ZUf1_ZU", "postonávat (v-w12195_ZUf1_ZU)")</f>
        <v>postonávat (v-w12195_ZUf1_ZU)</v>
      </c>
    </row>
    <row r="29451" customFormat="false" ht="12.8" hidden="false" customHeight="false" outlineLevel="0" collapsed="false">
      <c r="B29451" s="0" t="s">
        <v>7</v>
      </c>
    </row>
    <row r="29452" customFormat="false" ht="12.8" hidden="false" customHeight="false" outlineLevel="0" collapsed="false">
      <c r="B29452" s="0" t="s">
        <v>2871</v>
      </c>
    </row>
    <row r="29454" customFormat="false" ht="12.8" hidden="false" customHeight="false" outlineLevel="0" collapsed="false">
      <c r="A29454" s="0" t="s">
        <v>10936</v>
      </c>
      <c r="B29454" s="0" t="str">
        <f aca="false">HYPERLINK("https://lindat.mff.cuni.cz/services/teitok/pdtc10/index.php?action=vallex&amp;frame=v-w4017f5_ZU", "postoupit (v-w4017f5_ZU)")</f>
        <v>postoupit (v-w4017f5_ZU)</v>
      </c>
    </row>
    <row r="29455" customFormat="false" ht="12.8" hidden="false" customHeight="false" outlineLevel="0" collapsed="false">
      <c r="B29455" s="0" t="s">
        <v>7</v>
      </c>
      <c r="C29455" s="0" t="s">
        <v>335</v>
      </c>
      <c r="D29455" s="0" t="s">
        <v>4960</v>
      </c>
      <c r="E29455" s="0" t="s">
        <v>4161</v>
      </c>
      <c r="F29455" s="0" t="s">
        <v>4161</v>
      </c>
    </row>
    <row r="29456" customFormat="false" ht="12.8" hidden="false" customHeight="false" outlineLevel="0" collapsed="false">
      <c r="B29456" s="0" t="s">
        <v>14</v>
      </c>
      <c r="C29456" s="0" t="s">
        <v>10937</v>
      </c>
      <c r="D29456" s="0" t="s">
        <v>8123</v>
      </c>
      <c r="E29456" s="0" t="s">
        <v>8116</v>
      </c>
      <c r="F29456" s="0" t="s">
        <v>8116</v>
      </c>
    </row>
    <row r="29457" customFormat="false" ht="12.8" hidden="false" customHeight="false" outlineLevel="0" collapsed="false">
      <c r="B29457" s="0" t="s">
        <v>10938</v>
      </c>
      <c r="C29457" s="0" t="s">
        <v>7373</v>
      </c>
      <c r="D29457" s="0" t="s">
        <v>10939</v>
      </c>
      <c r="E29457" s="0" t="s">
        <v>10940</v>
      </c>
      <c r="F29457" s="0" t="s">
        <v>10940</v>
      </c>
    </row>
    <row r="29459" customFormat="false" ht="12.8" hidden="false" customHeight="false" outlineLevel="0" collapsed="false">
      <c r="A29459" s="0" t="s">
        <v>10936</v>
      </c>
      <c r="B29459" s="0" t="str">
        <f aca="false">HYPERLINK("https://lindat.mff.cuni.cz/services/teitok/pdtc10/index.php?action=vallex&amp;frame=v-w4017f2", "postoupit (v-w4017f2) - substituted with v-w4017f5_ZU")</f>
        <v>postoupit (v-w4017f2) - substituted with v-w4017f5_ZU</v>
      </c>
    </row>
    <row r="29460" customFormat="false" ht="12.8" hidden="false" customHeight="false" outlineLevel="0" collapsed="false">
      <c r="B29460" s="0" t="s">
        <v>7</v>
      </c>
      <c r="C29460" s="0" t="s">
        <v>23</v>
      </c>
    </row>
    <row r="29461" customFormat="false" ht="12.8" hidden="false" customHeight="false" outlineLevel="0" collapsed="false">
      <c r="B29461" s="0" t="s">
        <v>14</v>
      </c>
      <c r="C29461" s="0" t="s">
        <v>4722</v>
      </c>
    </row>
    <row r="29462" customFormat="false" ht="12.8" hidden="false" customHeight="false" outlineLevel="0" collapsed="false">
      <c r="B29462" s="0" t="s">
        <v>10938</v>
      </c>
      <c r="C29462" s="0" t="s">
        <v>10941</v>
      </c>
    </row>
    <row r="29464" customFormat="false" ht="12.8" hidden="false" customHeight="false" outlineLevel="0" collapsed="false">
      <c r="A29464" s="0" t="s">
        <v>10942</v>
      </c>
      <c r="B29464" s="0" t="str">
        <f aca="false">HYPERLINK("https://lindat.mff.cuni.cz/services/teitok/pdtc10/index.php?action=vallex&amp;frame=v-w4017f4_ZU", "postoupit (v-w4017f4_ZU)")</f>
        <v>postoupit (v-w4017f4_ZU)</v>
      </c>
    </row>
    <row r="29465" customFormat="false" ht="12.8" hidden="false" customHeight="false" outlineLevel="0" collapsed="false">
      <c r="B29465" s="0" t="s">
        <v>7</v>
      </c>
      <c r="C29465" s="0" t="s">
        <v>10943</v>
      </c>
      <c r="D29465" s="0" t="s">
        <v>6244</v>
      </c>
      <c r="E29465" s="0" t="s">
        <v>6244</v>
      </c>
      <c r="F29465" s="0" t="s">
        <v>6244</v>
      </c>
    </row>
    <row r="29466" customFormat="false" ht="12.8" hidden="false" customHeight="false" outlineLevel="0" collapsed="false">
      <c r="B29466" s="0" t="s">
        <v>63</v>
      </c>
      <c r="C29466" s="0" t="s">
        <v>10944</v>
      </c>
      <c r="D29466" s="0" t="s">
        <v>4496</v>
      </c>
      <c r="E29466" s="0" t="s">
        <v>4496</v>
      </c>
      <c r="F29466" s="0" t="s">
        <v>4496</v>
      </c>
    </row>
    <row r="29467" customFormat="false" ht="12.8" hidden="false" customHeight="false" outlineLevel="0" collapsed="false">
      <c r="B29467" s="0" t="s">
        <v>35</v>
      </c>
      <c r="C29467" s="0" t="s">
        <v>6197</v>
      </c>
      <c r="D29467" s="0" t="s">
        <v>4497</v>
      </c>
      <c r="E29467" s="0" t="s">
        <v>4497</v>
      </c>
      <c r="F29467" s="0" t="s">
        <v>4497</v>
      </c>
    </row>
    <row r="29469" customFormat="false" ht="12.8" hidden="false" customHeight="false" outlineLevel="0" collapsed="false">
      <c r="A29469" s="0" t="s">
        <v>10945</v>
      </c>
      <c r="B29469" s="0" t="str">
        <f aca="false">HYPERLINK("https://lindat.mff.cuni.cz/services/teitok/pdtc10/index.php?action=vallex&amp;frame=v-w4017f1", "postoupit (v-w4017f1)")</f>
        <v>postoupit (v-w4017f1)</v>
      </c>
    </row>
    <row r="29470" customFormat="false" ht="12.8" hidden="false" customHeight="false" outlineLevel="0" collapsed="false">
      <c r="B29470" s="0" t="s">
        <v>7</v>
      </c>
      <c r="C29470" s="0" t="s">
        <v>10946</v>
      </c>
    </row>
    <row r="29471" customFormat="false" ht="12.8" hidden="false" customHeight="false" outlineLevel="0" collapsed="false">
      <c r="B29471" s="0" t="s">
        <v>124</v>
      </c>
      <c r="C29471" s="0" t="s">
        <v>10947</v>
      </c>
    </row>
    <row r="29473" customFormat="false" ht="12.8" hidden="false" customHeight="false" outlineLevel="0" collapsed="false">
      <c r="A29473" s="0" t="s">
        <v>10948</v>
      </c>
      <c r="B29473" s="0" t="str">
        <f aca="false">HYPERLINK("https://lindat.mff.cuni.cz/services/teitok/pdtc10/index.php?action=vallex&amp;frame=v-w4017f3", "postoupit (v-w4017f3)")</f>
        <v>postoupit (v-w4017f3)</v>
      </c>
    </row>
    <row r="29474" customFormat="false" ht="12.8" hidden="false" customHeight="false" outlineLevel="0" collapsed="false">
      <c r="B29474" s="0" t="s">
        <v>7</v>
      </c>
      <c r="D29474" s="0" t="s">
        <v>3856</v>
      </c>
      <c r="E29474" s="0" t="s">
        <v>3856</v>
      </c>
      <c r="F29474" s="0" t="s">
        <v>3856</v>
      </c>
    </row>
    <row r="29475" customFormat="false" ht="12.8" hidden="false" customHeight="false" outlineLevel="0" collapsed="false">
      <c r="B29475" s="0" t="s">
        <v>124</v>
      </c>
    </row>
    <row r="29477" customFormat="false" ht="12.8" hidden="false" customHeight="false" outlineLevel="0" collapsed="false">
      <c r="A29477" s="0" t="s">
        <v>10949</v>
      </c>
      <c r="B29477" s="0" t="str">
        <f aca="false">HYPERLINK("https://lindat.mff.cuni.cz/services/teitok/pdtc10/index.php?action=vallex&amp;frame=v-w4020f1", "postrašit (v-w4020f1)")</f>
        <v>postrašit (v-w4020f1)</v>
      </c>
    </row>
    <row r="29478" customFormat="false" ht="12.8" hidden="false" customHeight="false" outlineLevel="0" collapsed="false">
      <c r="B29478" s="0" t="s">
        <v>7</v>
      </c>
    </row>
    <row r="29479" customFormat="false" ht="12.8" hidden="false" customHeight="false" outlineLevel="0" collapsed="false">
      <c r="B29479" s="0" t="s">
        <v>14</v>
      </c>
    </row>
    <row r="29481" customFormat="false" ht="12.8" hidden="false" customHeight="false" outlineLevel="0" collapsed="false">
      <c r="A29481" s="0" t="s">
        <v>10950</v>
      </c>
      <c r="B29481" s="0" t="str">
        <f aca="false">HYPERLINK("https://lindat.mff.cuni.cz/services/teitok/pdtc10/index.php?action=vallex&amp;frame=v-w4023f1", "postrkovat (v-w4023f1)")</f>
        <v>postrkovat (v-w4023f1)</v>
      </c>
    </row>
    <row r="29482" customFormat="false" ht="12.8" hidden="false" customHeight="false" outlineLevel="0" collapsed="false">
      <c r="B29482" s="0" t="s">
        <v>7</v>
      </c>
    </row>
    <row r="29483" customFormat="false" ht="12.8" hidden="false" customHeight="false" outlineLevel="0" collapsed="false">
      <c r="B29483" s="0" t="s">
        <v>14</v>
      </c>
    </row>
    <row r="29485" customFormat="false" ht="12.8" hidden="false" customHeight="false" outlineLevel="0" collapsed="false">
      <c r="A29485" s="0" t="s">
        <v>10951</v>
      </c>
      <c r="B29485" s="0" t="str">
        <f aca="false">HYPERLINK("https://lindat.mff.cuni.cz/services/teitok/pdtc10/index.php?action=vallex&amp;frame=v-w4023f2_ZU", "postrkovat (v-w4023f2_ZU)")</f>
        <v>postrkovat (v-w4023f2_ZU)</v>
      </c>
    </row>
    <row r="29486" customFormat="false" ht="12.8" hidden="false" customHeight="false" outlineLevel="0" collapsed="false">
      <c r="B29486" s="0" t="s">
        <v>7</v>
      </c>
    </row>
    <row r="29487" customFormat="false" ht="12.8" hidden="false" customHeight="false" outlineLevel="0" collapsed="false">
      <c r="B29487" s="0" t="s">
        <v>14</v>
      </c>
    </row>
    <row r="29489" customFormat="false" ht="12.8" hidden="false" customHeight="false" outlineLevel="0" collapsed="false">
      <c r="A29489" s="0" t="s">
        <v>10951</v>
      </c>
      <c r="B29489" s="0" t="str">
        <f aca="false">HYPERLINK("https://lindat.mff.cuni.cz/services/teitok/pdtc10/index.php?action=vallex&amp;frame=v-w4023hsa_1231", "postrkovat (v-w4023hsa_1231) - substituted with v-w4023f2_ZU")</f>
        <v>postrkovat (v-w4023hsa_1231) - substituted with v-w4023f2_ZU</v>
      </c>
    </row>
    <row r="29490" customFormat="false" ht="12.8" hidden="false" customHeight="false" outlineLevel="0" collapsed="false">
      <c r="B29490" s="0" t="s">
        <v>7</v>
      </c>
    </row>
    <row r="29491" customFormat="false" ht="12.8" hidden="false" customHeight="false" outlineLevel="0" collapsed="false">
      <c r="B29491" s="0" t="s">
        <v>14</v>
      </c>
    </row>
    <row r="29493" customFormat="false" ht="12.8" hidden="false" customHeight="false" outlineLevel="0" collapsed="false">
      <c r="A29493" s="0" t="s">
        <v>10952</v>
      </c>
      <c r="B29493" s="0" t="str">
        <f aca="false">HYPERLINK("https://lindat.mff.cuni.cz/services/teitok/pdtc10/index.php?action=vallex&amp;frame=v-w4019f2", "postrádat (v-w4019f2)")</f>
        <v>postrádat (v-w4019f2)</v>
      </c>
    </row>
    <row r="29494" customFormat="false" ht="12.8" hidden="false" customHeight="false" outlineLevel="0" collapsed="false">
      <c r="B29494" s="0" t="s">
        <v>265</v>
      </c>
      <c r="C29494" s="0" t="s">
        <v>10953</v>
      </c>
      <c r="D29494" s="0" t="s">
        <v>1226</v>
      </c>
      <c r="E29494" s="0" t="s">
        <v>1226</v>
      </c>
      <c r="F29494" s="0" t="s">
        <v>1226</v>
      </c>
    </row>
    <row r="29495" customFormat="false" ht="12.8" hidden="false" customHeight="false" outlineLevel="0" collapsed="false">
      <c r="B29495" s="0" t="s">
        <v>14</v>
      </c>
      <c r="C29495" s="0" t="s">
        <v>1278</v>
      </c>
      <c r="D29495" s="0" t="s">
        <v>1278</v>
      </c>
      <c r="E29495" s="0" t="s">
        <v>1278</v>
      </c>
      <c r="F29495" s="0" t="s">
        <v>1278</v>
      </c>
    </row>
    <row r="29497" customFormat="false" ht="12.8" hidden="false" customHeight="false" outlineLevel="0" collapsed="false">
      <c r="A29497" s="0" t="s">
        <v>10954</v>
      </c>
      <c r="B29497" s="0" t="str">
        <f aca="false">HYPERLINK("https://lindat.mff.cuni.cz/services/teitok/pdtc10/index.php?action=vallex&amp;frame=v-w4019f1", "postrádat (v-w4019f1)")</f>
        <v>postrádat (v-w4019f1)</v>
      </c>
    </row>
    <row r="29498" customFormat="false" ht="12.8" hidden="false" customHeight="false" outlineLevel="0" collapsed="false">
      <c r="B29498" s="0" t="s">
        <v>7</v>
      </c>
      <c r="C29498" s="0" t="s">
        <v>3844</v>
      </c>
      <c r="D29498" s="0" t="s">
        <v>4116</v>
      </c>
      <c r="E29498" s="0" t="s">
        <v>4116</v>
      </c>
      <c r="F29498" s="0" t="s">
        <v>4116</v>
      </c>
    </row>
    <row r="29499" customFormat="false" ht="12.8" hidden="false" customHeight="false" outlineLevel="0" collapsed="false">
      <c r="B29499" s="0" t="s">
        <v>14</v>
      </c>
      <c r="C29499" s="0" t="s">
        <v>3662</v>
      </c>
      <c r="D29499" s="0" t="s">
        <v>10955</v>
      </c>
      <c r="E29499" s="0" t="s">
        <v>10955</v>
      </c>
      <c r="F29499" s="0" t="s">
        <v>10955</v>
      </c>
    </row>
    <row r="29501" customFormat="false" ht="12.8" hidden="false" customHeight="false" outlineLevel="0" collapsed="false">
      <c r="A29501" s="0" t="s">
        <v>10956</v>
      </c>
      <c r="B29501" s="0" t="str">
        <f aca="false">HYPERLINK("https://lindat.mff.cuni.cz/services/teitok/pdtc10/index.php?action=vallex&amp;frame=v-w4021f1", "postrčit (v-w4021f1)")</f>
        <v>postrčit (v-w4021f1)</v>
      </c>
    </row>
    <row r="29502" customFormat="false" ht="12.8" hidden="false" customHeight="false" outlineLevel="0" collapsed="false">
      <c r="B29502" s="0" t="s">
        <v>7</v>
      </c>
      <c r="C29502" s="0" t="s">
        <v>391</v>
      </c>
      <c r="D29502" s="0" t="s">
        <v>3051</v>
      </c>
      <c r="E29502" s="0" t="s">
        <v>3051</v>
      </c>
      <c r="F29502" s="0" t="s">
        <v>3051</v>
      </c>
    </row>
    <row r="29503" customFormat="false" ht="12.8" hidden="false" customHeight="false" outlineLevel="0" collapsed="false">
      <c r="B29503" s="0" t="s">
        <v>14</v>
      </c>
      <c r="C29503" s="0" t="s">
        <v>10957</v>
      </c>
      <c r="D29503" s="0" t="s">
        <v>10257</v>
      </c>
      <c r="E29503" s="0" t="s">
        <v>10258</v>
      </c>
      <c r="F29503" s="0" t="s">
        <v>10258</v>
      </c>
    </row>
    <row r="29505" customFormat="false" ht="12.8" hidden="false" customHeight="false" outlineLevel="0" collapsed="false">
      <c r="A29505" s="0" t="s">
        <v>10958</v>
      </c>
      <c r="B29505" s="0" t="str">
        <f aca="false">HYPERLINK("https://lindat.mff.cuni.cz/services/teitok/pdtc10/index.php?action=vallex&amp;frame=v-w4021f3_ZU", "postrčit (v-w4021f3_ZU)")</f>
        <v>postrčit (v-w4021f3_ZU)</v>
      </c>
    </row>
    <row r="29506" customFormat="false" ht="12.8" hidden="false" customHeight="false" outlineLevel="0" collapsed="false">
      <c r="B29506" s="0" t="s">
        <v>7</v>
      </c>
    </row>
    <row r="29507" customFormat="false" ht="12.8" hidden="false" customHeight="false" outlineLevel="0" collapsed="false">
      <c r="B29507" s="0" t="s">
        <v>14</v>
      </c>
    </row>
    <row r="29509" customFormat="false" ht="12.8" hidden="false" customHeight="false" outlineLevel="0" collapsed="false">
      <c r="A29509" s="0" t="s">
        <v>10958</v>
      </c>
      <c r="B29509" s="0" t="str">
        <f aca="false">HYPERLINK("https://lindat.mff.cuni.cz/services/teitok/pdtc10/index.php?action=vallex&amp;frame=v-w4021f2_ZU", "postrčit (v-w4021f2_ZU) - substituted with v-w4021f3_ZU")</f>
        <v>postrčit (v-w4021f2_ZU) - substituted with v-w4021f3_ZU</v>
      </c>
    </row>
    <row r="29510" customFormat="false" ht="12.8" hidden="false" customHeight="false" outlineLevel="0" collapsed="false">
      <c r="B29510" s="0" t="s">
        <v>7</v>
      </c>
      <c r="C29510" s="0" t="s">
        <v>191</v>
      </c>
    </row>
    <row r="29511" customFormat="false" ht="12.8" hidden="false" customHeight="false" outlineLevel="0" collapsed="false">
      <c r="B29511" s="0" t="s">
        <v>14</v>
      </c>
      <c r="C29511" s="0" t="s">
        <v>115</v>
      </c>
    </row>
    <row r="29513" customFormat="false" ht="12.8" hidden="false" customHeight="false" outlineLevel="0" collapsed="false">
      <c r="A29513" s="0" t="s">
        <v>10958</v>
      </c>
      <c r="B29513" s="0" t="str">
        <f aca="false">HYPERLINK("https://lindat.mff.cuni.cz/services/teitok/pdtc10/index.php?action=vallex&amp;frame=v-w4021hsa_1205", "postrčit (v-w4021hsa_1205) - substituted with v-w4021f3_ZU")</f>
        <v>postrčit (v-w4021hsa_1205) - substituted with v-w4021f3_ZU</v>
      </c>
    </row>
    <row r="29514" customFormat="false" ht="12.8" hidden="false" customHeight="false" outlineLevel="0" collapsed="false">
      <c r="B29514" s="0" t="s">
        <v>7</v>
      </c>
    </row>
    <row r="29515" customFormat="false" ht="12.8" hidden="false" customHeight="false" outlineLevel="0" collapsed="false">
      <c r="B29515" s="0" t="s">
        <v>14</v>
      </c>
    </row>
    <row r="29517" customFormat="false" ht="12.8" hidden="false" customHeight="false" outlineLevel="0" collapsed="false">
      <c r="A29517" s="0" t="s">
        <v>10959</v>
      </c>
      <c r="B29517" s="0" t="str">
        <f aca="false">HYPERLINK("https://lindat.mff.cuni.cz/services/teitok/pdtc10/index.php?action=vallex&amp;frame=v-w4030f4", "postupovat (v-w4030f4)")</f>
        <v>postupovat (v-w4030f4)</v>
      </c>
    </row>
    <row r="29518" customFormat="false" ht="12.8" hidden="false" customHeight="false" outlineLevel="0" collapsed="false">
      <c r="B29518" s="0" t="s">
        <v>7</v>
      </c>
      <c r="D29518" s="0" t="s">
        <v>4960</v>
      </c>
      <c r="E29518" s="0" t="s">
        <v>4161</v>
      </c>
      <c r="F29518" s="0" t="s">
        <v>4161</v>
      </c>
    </row>
    <row r="29519" customFormat="false" ht="12.8" hidden="false" customHeight="false" outlineLevel="0" collapsed="false">
      <c r="B29519" s="0" t="s">
        <v>14</v>
      </c>
      <c r="D29519" s="0" t="s">
        <v>8123</v>
      </c>
      <c r="E29519" s="0" t="s">
        <v>8116</v>
      </c>
      <c r="F29519" s="0" t="s">
        <v>8116</v>
      </c>
    </row>
    <row r="29520" customFormat="false" ht="12.8" hidden="false" customHeight="false" outlineLevel="0" collapsed="false">
      <c r="B29520" s="0" t="s">
        <v>48</v>
      </c>
      <c r="D29520" s="0" t="s">
        <v>10939</v>
      </c>
      <c r="E29520" s="0" t="s">
        <v>10940</v>
      </c>
      <c r="F29520" s="0" t="s">
        <v>10940</v>
      </c>
    </row>
    <row r="29522" customFormat="false" ht="12.8" hidden="false" customHeight="false" outlineLevel="0" collapsed="false">
      <c r="A29522" s="0" t="s">
        <v>10960</v>
      </c>
      <c r="B29522" s="0" t="str">
        <f aca="false">HYPERLINK("https://lindat.mff.cuni.cz/services/teitok/pdtc10/index.php?action=vallex&amp;frame=v-w4030f2", "postupovat (v-w4030f2)")</f>
        <v>postupovat (v-w4030f2)</v>
      </c>
    </row>
    <row r="29523" customFormat="false" ht="12.8" hidden="false" customHeight="false" outlineLevel="0" collapsed="false">
      <c r="B29523" s="0" t="s">
        <v>7</v>
      </c>
      <c r="C29523" s="0" t="s">
        <v>1403</v>
      </c>
      <c r="D29523" s="0" t="s">
        <v>1705</v>
      </c>
      <c r="E29523" s="0" t="s">
        <v>1706</v>
      </c>
      <c r="F29523" s="0" t="s">
        <v>1706</v>
      </c>
    </row>
    <row r="29524" customFormat="false" ht="12.8" hidden="false" customHeight="false" outlineLevel="0" collapsed="false">
      <c r="B29524" s="0" t="s">
        <v>124</v>
      </c>
      <c r="D29524" s="0" t="s">
        <v>1707</v>
      </c>
      <c r="E29524" s="0" t="s">
        <v>1707</v>
      </c>
      <c r="F29524" s="0" t="s">
        <v>1707</v>
      </c>
    </row>
    <row r="29526" customFormat="false" ht="12.8" hidden="false" customHeight="false" outlineLevel="0" collapsed="false">
      <c r="A29526" s="0" t="s">
        <v>10961</v>
      </c>
      <c r="B29526" s="0" t="str">
        <f aca="false">HYPERLINK("https://lindat.mff.cuni.cz/services/teitok/pdtc10/index.php?action=vallex&amp;frame=v-w4030f3", "postupovat (v-w4030f3)")</f>
        <v>postupovat (v-w4030f3)</v>
      </c>
    </row>
    <row r="29527" customFormat="false" ht="12.8" hidden="false" customHeight="false" outlineLevel="0" collapsed="false">
      <c r="B29527" s="0" t="s">
        <v>7</v>
      </c>
      <c r="C29527" s="0" t="s">
        <v>10962</v>
      </c>
      <c r="D29527" s="0" t="s">
        <v>3856</v>
      </c>
      <c r="E29527" s="0" t="s">
        <v>3856</v>
      </c>
      <c r="F29527" s="0" t="s">
        <v>3856</v>
      </c>
    </row>
    <row r="29528" customFormat="false" ht="12.8" hidden="false" customHeight="false" outlineLevel="0" collapsed="false">
      <c r="B29528" s="0" t="s">
        <v>124</v>
      </c>
      <c r="C29528" s="0" t="s">
        <v>4284</v>
      </c>
    </row>
    <row r="29530" customFormat="false" ht="12.8" hidden="false" customHeight="false" outlineLevel="0" collapsed="false">
      <c r="A29530" s="0" t="s">
        <v>10963</v>
      </c>
      <c r="B29530" s="0" t="str">
        <f aca="false">HYPERLINK("https://lindat.mff.cuni.cz/services/teitok/pdtc10/index.php?action=vallex&amp;frame=v-w4030f5_ZU", "postupovat (v-w4030f5_ZU)")</f>
        <v>postupovat (v-w4030f5_ZU)</v>
      </c>
    </row>
    <row r="29531" customFormat="false" ht="12.8" hidden="false" customHeight="false" outlineLevel="0" collapsed="false">
      <c r="B29531" s="0" t="s">
        <v>7</v>
      </c>
    </row>
    <row r="29532" customFormat="false" ht="12.8" hidden="false" customHeight="false" outlineLevel="0" collapsed="false">
      <c r="B29532" s="0" t="s">
        <v>552</v>
      </c>
    </row>
    <row r="29533" customFormat="false" ht="12.8" hidden="false" customHeight="false" outlineLevel="0" collapsed="false">
      <c r="B29533" s="0" t="s">
        <v>5619</v>
      </c>
    </row>
    <row r="29534" customFormat="false" ht="12.8" hidden="false" customHeight="false" outlineLevel="0" collapsed="false">
      <c r="B29534" s="0" t="s">
        <v>474</v>
      </c>
    </row>
    <row r="29535" customFormat="false" ht="12.8" hidden="false" customHeight="false" outlineLevel="0" collapsed="false">
      <c r="B29535" s="0" t="s">
        <v>477</v>
      </c>
    </row>
    <row r="29536" customFormat="false" ht="12.8" hidden="false" customHeight="false" outlineLevel="0" collapsed="false">
      <c r="B29536" s="0" t="s">
        <v>479</v>
      </c>
    </row>
    <row r="29537" customFormat="false" ht="12.8" hidden="false" customHeight="false" outlineLevel="0" collapsed="false">
      <c r="B29537" s="0" t="s">
        <v>481</v>
      </c>
    </row>
    <row r="29538" customFormat="false" ht="12.8" hidden="false" customHeight="false" outlineLevel="0" collapsed="false">
      <c r="B29538" s="0" t="s">
        <v>483</v>
      </c>
    </row>
    <row r="29539" customFormat="false" ht="12.8" hidden="false" customHeight="false" outlineLevel="0" collapsed="false">
      <c r="B29539" s="0" t="s">
        <v>10964</v>
      </c>
    </row>
    <row r="29541" customFormat="false" ht="12.8" hidden="false" customHeight="false" outlineLevel="0" collapsed="false">
      <c r="A29541" s="0" t="s">
        <v>10963</v>
      </c>
      <c r="B29541" s="0" t="str">
        <f aca="false">HYPERLINK("https://lindat.mff.cuni.cz/services/teitok/pdtc10/index.php?action=vallex&amp;frame=v-w4030f1", "postupovat (v-w4030f1) - substituted with v-w4030f5_ZU")</f>
        <v>postupovat (v-w4030f1) - substituted with v-w4030f5_ZU</v>
      </c>
    </row>
    <row r="29542" customFormat="false" ht="12.8" hidden="false" customHeight="false" outlineLevel="0" collapsed="false">
      <c r="B29542" s="0" t="s">
        <v>7</v>
      </c>
      <c r="C29542" s="0" t="s">
        <v>10965</v>
      </c>
      <c r="D29542" s="0" t="s">
        <v>4268</v>
      </c>
      <c r="E29542" s="0" t="s">
        <v>4268</v>
      </c>
      <c r="F29542" s="0" t="s">
        <v>4268</v>
      </c>
    </row>
    <row r="29543" customFormat="false" ht="12.8" hidden="false" customHeight="false" outlineLevel="0" collapsed="false">
      <c r="B29543" s="0" t="s">
        <v>552</v>
      </c>
    </row>
    <row r="29544" customFormat="false" ht="12.8" hidden="false" customHeight="false" outlineLevel="0" collapsed="false">
      <c r="B29544" s="0" t="s">
        <v>5619</v>
      </c>
    </row>
    <row r="29545" customFormat="false" ht="12.8" hidden="false" customHeight="false" outlineLevel="0" collapsed="false">
      <c r="B29545" s="0" t="s">
        <v>474</v>
      </c>
      <c r="C29545" s="0" t="s">
        <v>10966</v>
      </c>
    </row>
    <row r="29546" customFormat="false" ht="12.8" hidden="false" customHeight="false" outlineLevel="0" collapsed="false">
      <c r="B29546" s="0" t="s">
        <v>477</v>
      </c>
    </row>
    <row r="29547" customFormat="false" ht="12.8" hidden="false" customHeight="false" outlineLevel="0" collapsed="false">
      <c r="B29547" s="0" t="s">
        <v>479</v>
      </c>
    </row>
    <row r="29548" customFormat="false" ht="12.8" hidden="false" customHeight="false" outlineLevel="0" collapsed="false">
      <c r="B29548" s="0" t="s">
        <v>481</v>
      </c>
      <c r="C29548" s="0" t="s">
        <v>10967</v>
      </c>
    </row>
    <row r="29549" customFormat="false" ht="12.8" hidden="false" customHeight="false" outlineLevel="0" collapsed="false">
      <c r="B29549" s="0" t="s">
        <v>483</v>
      </c>
    </row>
    <row r="29550" customFormat="false" ht="12.8" hidden="false" customHeight="false" outlineLevel="0" collapsed="false">
      <c r="B29550" s="0" t="s">
        <v>10964</v>
      </c>
    </row>
    <row r="29552" customFormat="false" ht="12.8" hidden="false" customHeight="false" outlineLevel="0" collapsed="false">
      <c r="A29552" s="0" t="s">
        <v>10968</v>
      </c>
      <c r="B29552" s="0" t="str">
        <f aca="false">HYPERLINK("https://lindat.mff.cuni.cz/services/teitok/pdtc10/index.php?action=vallex&amp;frame=v-w3999f1", "postát (v-w3999f1)")</f>
        <v>postát (v-w3999f1)</v>
      </c>
    </row>
    <row r="29553" customFormat="false" ht="12.8" hidden="false" customHeight="false" outlineLevel="0" collapsed="false">
      <c r="B29553" s="0" t="s">
        <v>7</v>
      </c>
    </row>
    <row r="29554" customFormat="false" ht="12.8" hidden="false" customHeight="false" outlineLevel="0" collapsed="false">
      <c r="B29554" s="0" t="s">
        <v>14</v>
      </c>
    </row>
    <row r="29556" customFormat="false" ht="12.8" hidden="false" customHeight="false" outlineLevel="0" collapsed="false">
      <c r="A29556" s="0" t="s">
        <v>10969</v>
      </c>
      <c r="B29556" s="0" t="str">
        <f aca="false">HYPERLINK("https://lindat.mff.cuni.cz/services/teitok/pdtc10/index.php?action=vallex&amp;frame=v-w3999f2", "postát (v-w3999f2)")</f>
        <v>postát (v-w3999f2)</v>
      </c>
    </row>
    <row r="29557" customFormat="false" ht="12.8" hidden="false" customHeight="false" outlineLevel="0" collapsed="false">
      <c r="B29557" s="0" t="s">
        <v>7</v>
      </c>
    </row>
    <row r="29559" customFormat="false" ht="12.8" hidden="false" customHeight="false" outlineLevel="0" collapsed="false">
      <c r="A29559" s="0" t="s">
        <v>10970</v>
      </c>
      <c r="B29559" s="0" t="str">
        <f aca="false">HYPERLINK("https://lindat.mff.cuni.cz/services/teitok/pdtc10/index.php?action=vallex&amp;frame=v-w4000f1", "postávat (v-w4000f1)")</f>
        <v>postávat (v-w4000f1)</v>
      </c>
    </row>
    <row r="29560" customFormat="false" ht="12.8" hidden="false" customHeight="false" outlineLevel="0" collapsed="false">
      <c r="B29560" s="0" t="s">
        <v>7</v>
      </c>
      <c r="C29560" s="0" t="s">
        <v>5274</v>
      </c>
    </row>
    <row r="29562" customFormat="false" ht="12.8" hidden="false" customHeight="false" outlineLevel="0" collapsed="false">
      <c r="A29562" s="0" t="s">
        <v>10971</v>
      </c>
      <c r="B29562" s="0" t="str">
        <f aca="false">HYPERLINK("https://lindat.mff.cuni.cz/services/teitok/pdtc10/index.php?action=vallex&amp;frame=v-w4007f1", "postěžovat si (v-w4007f1)")</f>
        <v>postěžovat si (v-w4007f1)</v>
      </c>
    </row>
    <row r="29563" customFormat="false" ht="12.8" hidden="false" customHeight="false" outlineLevel="0" collapsed="false">
      <c r="B29563" s="0" t="s">
        <v>7</v>
      </c>
      <c r="C29563" s="0" t="s">
        <v>4171</v>
      </c>
      <c r="D29563" s="0" t="s">
        <v>5057</v>
      </c>
      <c r="E29563" s="0" t="s">
        <v>5057</v>
      </c>
      <c r="F29563" s="0" t="s">
        <v>5057</v>
      </c>
    </row>
    <row r="29564" customFormat="false" ht="12.8" hidden="false" customHeight="false" outlineLevel="0" collapsed="false">
      <c r="B29564" s="0" t="s">
        <v>10972</v>
      </c>
      <c r="C29564" s="0" t="s">
        <v>899</v>
      </c>
      <c r="D29564" s="0" t="s">
        <v>7481</v>
      </c>
      <c r="E29564" s="0" t="s">
        <v>7481</v>
      </c>
      <c r="F29564" s="0" t="s">
        <v>7481</v>
      </c>
    </row>
    <row r="29565" customFormat="false" ht="12.8" hidden="false" customHeight="false" outlineLevel="0" collapsed="false">
      <c r="B29565" s="0" t="s">
        <v>106</v>
      </c>
      <c r="C29565" s="0" t="s">
        <v>7572</v>
      </c>
      <c r="D29565" s="0" t="s">
        <v>7572</v>
      </c>
      <c r="E29565" s="0" t="s">
        <v>7572</v>
      </c>
      <c r="F29565" s="0" t="s">
        <v>7572</v>
      </c>
    </row>
    <row r="29567" customFormat="false" ht="12.8" hidden="false" customHeight="false" outlineLevel="0" collapsed="false">
      <c r="A29567" s="0" t="s">
        <v>10973</v>
      </c>
      <c r="B29567" s="0" t="str">
        <f aca="false">HYPERLINK("https://lindat.mff.cuni.cz/services/teitok/pdtc10/index.php?action=vallex&amp;frame=v-w4025f1", "postřehnout (v-w4025f1)")</f>
        <v>postřehnout (v-w4025f1)</v>
      </c>
    </row>
    <row r="29568" customFormat="false" ht="12.8" hidden="false" customHeight="false" outlineLevel="0" collapsed="false">
      <c r="B29568" s="0" t="s">
        <v>7</v>
      </c>
      <c r="C29568" s="0" t="s">
        <v>845</v>
      </c>
      <c r="D29568" s="0" t="s">
        <v>7732</v>
      </c>
      <c r="E29568" s="0" t="s">
        <v>7732</v>
      </c>
      <c r="F29568" s="0" t="s">
        <v>7732</v>
      </c>
    </row>
    <row r="29569" customFormat="false" ht="12.8" hidden="false" customHeight="false" outlineLevel="0" collapsed="false">
      <c r="B29569" s="0" t="s">
        <v>1520</v>
      </c>
      <c r="C29569" s="0" t="s">
        <v>2726</v>
      </c>
      <c r="D29569" s="0" t="s">
        <v>10974</v>
      </c>
      <c r="E29569" s="0" t="s">
        <v>10974</v>
      </c>
      <c r="F29569" s="0" t="s">
        <v>10974</v>
      </c>
    </row>
    <row r="29571" customFormat="false" ht="12.8" hidden="false" customHeight="false" outlineLevel="0" collapsed="false">
      <c r="A29571" s="0" t="s">
        <v>10975</v>
      </c>
      <c r="B29571" s="0" t="str">
        <f aca="false">HYPERLINK("https://lindat.mff.cuni.cz/services/teitok/pdtc10/index.php?action=vallex&amp;frame=v-w4026f1", "postřelit (v-w4026f1)")</f>
        <v>postřelit (v-w4026f1)</v>
      </c>
    </row>
    <row r="29572" customFormat="false" ht="12.8" hidden="false" customHeight="false" outlineLevel="0" collapsed="false">
      <c r="B29572" s="0" t="s">
        <v>7</v>
      </c>
    </row>
    <row r="29573" customFormat="false" ht="12.8" hidden="false" customHeight="false" outlineLevel="0" collapsed="false">
      <c r="B29573" s="0" t="s">
        <v>14</v>
      </c>
    </row>
    <row r="29575" customFormat="false" ht="12.8" hidden="false" customHeight="false" outlineLevel="0" collapsed="false">
      <c r="A29575" s="0" t="s">
        <v>10976</v>
      </c>
      <c r="B29575" s="0" t="str">
        <f aca="false">HYPERLINK("https://lindat.mff.cuni.cz/services/teitok/pdtc10/index.php?action=vallex&amp;frame=v-w4027f1", "postříkat (v-w4027f1)")</f>
        <v>postříkat (v-w4027f1)</v>
      </c>
    </row>
    <row r="29576" customFormat="false" ht="12.8" hidden="false" customHeight="false" outlineLevel="0" collapsed="false">
      <c r="B29576" s="0" t="s">
        <v>7</v>
      </c>
    </row>
    <row r="29577" customFormat="false" ht="12.8" hidden="false" customHeight="false" outlineLevel="0" collapsed="false">
      <c r="B29577" s="0" t="s">
        <v>14</v>
      </c>
    </row>
    <row r="29579" customFormat="false" ht="12.8" hidden="false" customHeight="false" outlineLevel="0" collapsed="false">
      <c r="A29579" s="0" t="s">
        <v>10977</v>
      </c>
      <c r="B29579" s="0" t="str">
        <f aca="false">HYPERLINK("https://lindat.mff.cuni.cz/services/teitok/pdtc10/index.php?action=vallex&amp;frame=v-w4028f1", "postřílet (v-w4028f1)")</f>
        <v>postřílet (v-w4028f1)</v>
      </c>
    </row>
    <row r="29580" customFormat="false" ht="12.8" hidden="false" customHeight="false" outlineLevel="0" collapsed="false">
      <c r="B29580" s="0" t="s">
        <v>7</v>
      </c>
      <c r="C29580" s="0" t="s">
        <v>335</v>
      </c>
      <c r="D29580" s="0" t="s">
        <v>5057</v>
      </c>
      <c r="E29580" s="0" t="s">
        <v>5057</v>
      </c>
      <c r="F29580" s="0" t="s">
        <v>5057</v>
      </c>
    </row>
    <row r="29581" customFormat="false" ht="12.8" hidden="false" customHeight="false" outlineLevel="0" collapsed="false">
      <c r="B29581" s="0" t="s">
        <v>14</v>
      </c>
      <c r="D29581" s="0" t="s">
        <v>8042</v>
      </c>
      <c r="E29581" s="0" t="s">
        <v>8042</v>
      </c>
      <c r="F29581" s="0" t="s">
        <v>8042</v>
      </c>
    </row>
    <row r="29583" customFormat="false" ht="12.8" hidden="false" customHeight="false" outlineLevel="0" collapsed="false">
      <c r="A29583" s="0" t="s">
        <v>10978</v>
      </c>
      <c r="B29583" s="0" t="str">
        <f aca="false">HYPERLINK("https://lindat.mff.cuni.cz/services/teitok/pdtc10/index.php?action=vallex&amp;frame=v-w4034f1", "posunkovat (v-w4034f1)")</f>
        <v>posunkovat (v-w4034f1)</v>
      </c>
    </row>
    <row r="29584" customFormat="false" ht="12.8" hidden="false" customHeight="false" outlineLevel="0" collapsed="false">
      <c r="B29584" s="0" t="s">
        <v>7</v>
      </c>
    </row>
    <row r="29586" customFormat="false" ht="12.8" hidden="false" customHeight="false" outlineLevel="0" collapsed="false">
      <c r="A29586" s="0" t="s">
        <v>10979</v>
      </c>
      <c r="B29586" s="0" t="str">
        <f aca="false">HYPERLINK("https://lindat.mff.cuni.cz/services/teitok/pdtc10/index.php?action=vallex&amp;frame=v-w4035f1", "posunout (v-w4035f1)")</f>
        <v>posunout (v-w4035f1)</v>
      </c>
    </row>
    <row r="29587" customFormat="false" ht="12.8" hidden="false" customHeight="false" outlineLevel="0" collapsed="false">
      <c r="B29587" s="0" t="s">
        <v>7</v>
      </c>
      <c r="C29587" s="0" t="s">
        <v>10980</v>
      </c>
      <c r="D29587" s="0" t="s">
        <v>4161</v>
      </c>
      <c r="E29587" s="0" t="s">
        <v>4161</v>
      </c>
      <c r="F29587" s="0" t="s">
        <v>4161</v>
      </c>
    </row>
    <row r="29588" customFormat="false" ht="12.8" hidden="false" customHeight="false" outlineLevel="0" collapsed="false">
      <c r="B29588" s="0" t="s">
        <v>14</v>
      </c>
      <c r="C29588" s="0" t="s">
        <v>10981</v>
      </c>
      <c r="D29588" s="0" t="s">
        <v>8195</v>
      </c>
      <c r="E29588" s="0" t="s">
        <v>8195</v>
      </c>
      <c r="F29588" s="0" t="s">
        <v>8195</v>
      </c>
    </row>
    <row r="29590" customFormat="false" ht="12.8" hidden="false" customHeight="false" outlineLevel="0" collapsed="false">
      <c r="A29590" s="0" t="s">
        <v>10982</v>
      </c>
      <c r="B29590" s="0" t="str">
        <f aca="false">HYPERLINK("https://lindat.mff.cuni.cz/services/teitok/pdtc10/index.php?action=vallex&amp;frame=v-w4035f2", "posunout (v-w4035f2)")</f>
        <v>posunout (v-w4035f2)</v>
      </c>
    </row>
    <row r="29591" customFormat="false" ht="12.8" hidden="false" customHeight="false" outlineLevel="0" collapsed="false">
      <c r="B29591" s="0" t="s">
        <v>7</v>
      </c>
      <c r="C29591" s="0" t="s">
        <v>10983</v>
      </c>
      <c r="D29591" s="0" t="s">
        <v>8024</v>
      </c>
      <c r="E29591" s="0" t="s">
        <v>8024</v>
      </c>
      <c r="F29591" s="0" t="s">
        <v>8024</v>
      </c>
    </row>
    <row r="29592" customFormat="false" ht="12.8" hidden="false" customHeight="false" outlineLevel="0" collapsed="false">
      <c r="B29592" s="0" t="s">
        <v>14</v>
      </c>
      <c r="C29592" s="0" t="s">
        <v>6840</v>
      </c>
      <c r="D29592" s="0" t="s">
        <v>8025</v>
      </c>
      <c r="E29592" s="0" t="s">
        <v>8025</v>
      </c>
      <c r="F29592" s="0" t="s">
        <v>8025</v>
      </c>
    </row>
    <row r="29594" customFormat="false" ht="12.8" hidden="false" customHeight="false" outlineLevel="0" collapsed="false">
      <c r="A29594" s="0" t="s">
        <v>10984</v>
      </c>
      <c r="B29594" s="0" t="str">
        <f aca="false">HYPERLINK("https://lindat.mff.cuni.cz/services/teitok/pdtc10/index.php?action=vallex&amp;frame=v-w4036f1", "posunout se (v-w4036f1)")</f>
        <v>posunout se (v-w4036f1)</v>
      </c>
    </row>
    <row r="29595" customFormat="false" ht="12.8" hidden="false" customHeight="false" outlineLevel="0" collapsed="false">
      <c r="B29595" s="0" t="s">
        <v>7</v>
      </c>
      <c r="C29595" s="0" t="s">
        <v>10985</v>
      </c>
      <c r="D29595" s="0" t="s">
        <v>3856</v>
      </c>
      <c r="E29595" s="0" t="s">
        <v>3856</v>
      </c>
      <c r="F29595" s="0" t="s">
        <v>3856</v>
      </c>
    </row>
    <row r="29597" customFormat="false" ht="12.8" hidden="false" customHeight="false" outlineLevel="0" collapsed="false">
      <c r="A29597" s="0" t="s">
        <v>10986</v>
      </c>
      <c r="B29597" s="0" t="str">
        <f aca="false">HYPERLINK("https://lindat.mff.cuni.cz/services/teitok/pdtc10/index.php?action=vallex&amp;frame=v-w11386f2", "posunovat (v-w11386f2)")</f>
        <v>posunovat (v-w11386f2)</v>
      </c>
    </row>
    <row r="29598" customFormat="false" ht="12.8" hidden="false" customHeight="false" outlineLevel="0" collapsed="false">
      <c r="B29598" s="0" t="s">
        <v>7</v>
      </c>
      <c r="C29598" s="0" t="s">
        <v>1680</v>
      </c>
      <c r="D29598" s="0" t="s">
        <v>4161</v>
      </c>
      <c r="E29598" s="0" t="s">
        <v>4161</v>
      </c>
      <c r="F29598" s="0" t="s">
        <v>4161</v>
      </c>
    </row>
    <row r="29599" customFormat="false" ht="12.8" hidden="false" customHeight="false" outlineLevel="0" collapsed="false">
      <c r="B29599" s="0" t="s">
        <v>14</v>
      </c>
      <c r="C29599" s="0" t="s">
        <v>5185</v>
      </c>
      <c r="D29599" s="0" t="s">
        <v>8195</v>
      </c>
      <c r="E29599" s="0" t="s">
        <v>8195</v>
      </c>
      <c r="F29599" s="0" t="s">
        <v>8195</v>
      </c>
    </row>
    <row r="29601" customFormat="false" ht="12.8" hidden="false" customHeight="false" outlineLevel="0" collapsed="false">
      <c r="A29601" s="0" t="s">
        <v>10987</v>
      </c>
      <c r="B29601" s="0" t="str">
        <f aca="false">HYPERLINK("https://lindat.mff.cuni.cz/services/teitok/pdtc10/index.php?action=vallex&amp;frame=v-w4037f1", "posunovat se (v-w4037f1)")</f>
        <v>posunovat se (v-w4037f1)</v>
      </c>
    </row>
    <row r="29602" customFormat="false" ht="12.8" hidden="false" customHeight="false" outlineLevel="0" collapsed="false">
      <c r="B29602" s="0" t="s">
        <v>7</v>
      </c>
      <c r="D29602" s="0" t="s">
        <v>3856</v>
      </c>
      <c r="E29602" s="0" t="s">
        <v>3856</v>
      </c>
      <c r="F29602" s="0" t="s">
        <v>3856</v>
      </c>
    </row>
    <row r="29604" customFormat="false" ht="12.8" hidden="false" customHeight="false" outlineLevel="0" collapsed="false">
      <c r="A29604" s="0" t="s">
        <v>10988</v>
      </c>
      <c r="B29604" s="0" t="str">
        <f aca="false">HYPERLINK("https://lindat.mff.cuni.cz/services/teitok/pdtc10/index.php?action=vallex&amp;frame=v-w4041f1", "posuzovat (v-w4041f1)")</f>
        <v>posuzovat (v-w4041f1)</v>
      </c>
    </row>
    <row r="29605" customFormat="false" ht="12.8" hidden="false" customHeight="false" outlineLevel="0" collapsed="false">
      <c r="B29605" s="0" t="s">
        <v>7</v>
      </c>
      <c r="C29605" s="0" t="s">
        <v>10989</v>
      </c>
      <c r="D29605" s="0" t="s">
        <v>10990</v>
      </c>
      <c r="E29605" s="0" t="s">
        <v>10990</v>
      </c>
      <c r="F29605" s="0" t="s">
        <v>10990</v>
      </c>
    </row>
    <row r="29606" customFormat="false" ht="12.8" hidden="false" customHeight="false" outlineLevel="0" collapsed="false">
      <c r="B29606" s="0" t="s">
        <v>1520</v>
      </c>
      <c r="C29606" s="0" t="s">
        <v>10991</v>
      </c>
      <c r="D29606" s="0" t="s">
        <v>10992</v>
      </c>
      <c r="E29606" s="0" t="s">
        <v>10992</v>
      </c>
      <c r="F29606" s="0" t="s">
        <v>10992</v>
      </c>
    </row>
    <row r="29608" customFormat="false" ht="12.8" hidden="false" customHeight="false" outlineLevel="0" collapsed="false">
      <c r="A29608" s="0" t="s">
        <v>10993</v>
      </c>
      <c r="B29608" s="0" t="str">
        <f aca="false">HYPERLINK("https://lindat.mff.cuni.cz/services/teitok/pdtc10/index.php?action=vallex&amp;frame=v-whsa_1587hsa_1588", "posvačit (v-whsa_1587hsa_1588)")</f>
        <v>posvačit (v-whsa_1587hsa_1588)</v>
      </c>
    </row>
    <row r="29609" customFormat="false" ht="12.8" hidden="false" customHeight="false" outlineLevel="0" collapsed="false">
      <c r="B29609" s="0" t="s">
        <v>7</v>
      </c>
    </row>
    <row r="29610" customFormat="false" ht="12.8" hidden="false" customHeight="false" outlineLevel="0" collapsed="false">
      <c r="B29610" s="0" t="s">
        <v>297</v>
      </c>
    </row>
    <row r="29612" customFormat="false" ht="12.8" hidden="false" customHeight="false" outlineLevel="0" collapsed="false">
      <c r="A29612" s="0" t="s">
        <v>10994</v>
      </c>
      <c r="B29612" s="0" t="str">
        <f aca="false">HYPERLINK("https://lindat.mff.cuni.cz/services/teitok/pdtc10/index.php?action=vallex&amp;frame=v-w4045f1", "posvítit (v-w4045f1)")</f>
        <v>posvítit (v-w4045f1)</v>
      </c>
    </row>
    <row r="29613" customFormat="false" ht="12.8" hidden="false" customHeight="false" outlineLevel="0" collapsed="false">
      <c r="B29613" s="0" t="s">
        <v>7</v>
      </c>
    </row>
    <row r="29615" customFormat="false" ht="12.8" hidden="false" customHeight="false" outlineLevel="0" collapsed="false">
      <c r="A29615" s="0" t="s">
        <v>10995</v>
      </c>
      <c r="B29615" s="0" t="str">
        <f aca="false">HYPERLINK("https://lindat.mff.cuni.cz/services/teitok/pdtc10/index.php?action=vallex&amp;frame=v-w4046f1", "posvítit si (v-w4046f1)")</f>
        <v>posvítit si (v-w4046f1)</v>
      </c>
    </row>
    <row r="29616" customFormat="false" ht="12.8" hidden="false" customHeight="false" outlineLevel="0" collapsed="false">
      <c r="B29616" s="0" t="s">
        <v>7</v>
      </c>
      <c r="C29616" s="0" t="s">
        <v>1154</v>
      </c>
      <c r="D29616" s="0" t="s">
        <v>92</v>
      </c>
      <c r="E29616" s="0" t="s">
        <v>92</v>
      </c>
      <c r="F29616" s="0" t="s">
        <v>92</v>
      </c>
    </row>
    <row r="29617" customFormat="false" ht="12.8" hidden="false" customHeight="false" outlineLevel="0" collapsed="false">
      <c r="B29617" s="0" t="s">
        <v>41</v>
      </c>
      <c r="C29617" s="0" t="s">
        <v>3407</v>
      </c>
      <c r="D29617" s="0" t="s">
        <v>95</v>
      </c>
      <c r="E29617" s="0" t="s">
        <v>95</v>
      </c>
      <c r="F29617" s="0" t="s">
        <v>95</v>
      </c>
    </row>
    <row r="29619" customFormat="false" ht="12.8" hidden="false" customHeight="false" outlineLevel="0" collapsed="false">
      <c r="A29619" s="0" t="s">
        <v>10996</v>
      </c>
      <c r="B29619" s="0" t="str">
        <f aca="false">HYPERLINK("https://lindat.mff.cuni.cz/services/teitok/pdtc10/index.php?action=vallex&amp;frame=v-w10063f2", "posvěcovat (v-w10063f2)")</f>
        <v>posvěcovat (v-w10063f2)</v>
      </c>
    </row>
    <row r="29620" customFormat="false" ht="12.8" hidden="false" customHeight="false" outlineLevel="0" collapsed="false">
      <c r="B29620" s="0" t="s">
        <v>7</v>
      </c>
      <c r="C29620" s="0" t="s">
        <v>1386</v>
      </c>
    </row>
    <row r="29621" customFormat="false" ht="12.8" hidden="false" customHeight="false" outlineLevel="0" collapsed="false">
      <c r="B29621" s="0" t="s">
        <v>54</v>
      </c>
      <c r="C29621" s="0" t="s">
        <v>3342</v>
      </c>
    </row>
    <row r="29623" customFormat="false" ht="12.8" hidden="false" customHeight="false" outlineLevel="0" collapsed="false">
      <c r="A29623" s="0" t="s">
        <v>10997</v>
      </c>
      <c r="B29623" s="0" t="str">
        <f aca="false">HYPERLINK("https://lindat.mff.cuni.cz/services/teitok/pdtc10/index.php?action=vallex&amp;frame=v-w4044f1", "posvětit (v-w4044f1)")</f>
        <v>posvětit (v-w4044f1)</v>
      </c>
    </row>
    <row r="29624" customFormat="false" ht="12.8" hidden="false" customHeight="false" outlineLevel="0" collapsed="false">
      <c r="B29624" s="0" t="s">
        <v>7</v>
      </c>
    </row>
    <row r="29625" customFormat="false" ht="12.8" hidden="false" customHeight="false" outlineLevel="0" collapsed="false">
      <c r="B29625" s="0" t="s">
        <v>54</v>
      </c>
    </row>
    <row r="29627" customFormat="false" ht="12.8" hidden="false" customHeight="false" outlineLevel="0" collapsed="false">
      <c r="A29627" s="0" t="s">
        <v>10998</v>
      </c>
      <c r="B29627" s="0" t="str">
        <f aca="false">HYPERLINK("https://lindat.mff.cuni.cz/services/teitok/pdtc10/index.php?action=vallex&amp;frame=v-whsa_571hsa_572", "posypat (v-whsa_571hsa_572)")</f>
        <v>posypat (v-whsa_571hsa_572)</v>
      </c>
    </row>
    <row r="29628" customFormat="false" ht="12.8" hidden="false" customHeight="false" outlineLevel="0" collapsed="false">
      <c r="B29628" s="0" t="s">
        <v>7</v>
      </c>
    </row>
    <row r="29629" customFormat="false" ht="12.8" hidden="false" customHeight="false" outlineLevel="0" collapsed="false">
      <c r="B29629" s="0" t="s">
        <v>14</v>
      </c>
    </row>
    <row r="29631" customFormat="false" ht="12.8" hidden="false" customHeight="false" outlineLevel="0" collapsed="false">
      <c r="A29631" s="0" t="s">
        <v>10999</v>
      </c>
      <c r="B29631" s="0" t="str">
        <f aca="false">HYPERLINK("https://lindat.mff.cuni.cz/services/teitok/pdtc10/index.php?action=vallex&amp;frame=v-whsa_1597hsa_1598", "posázet (v-whsa_1597hsa_1598)")</f>
        <v>posázet (v-whsa_1597hsa_1598)</v>
      </c>
    </row>
    <row r="29632" customFormat="false" ht="12.8" hidden="false" customHeight="false" outlineLevel="0" collapsed="false">
      <c r="B29632" s="0" t="s">
        <v>7</v>
      </c>
    </row>
    <row r="29633" customFormat="false" ht="12.8" hidden="false" customHeight="false" outlineLevel="0" collapsed="false">
      <c r="B29633" s="0" t="s">
        <v>14</v>
      </c>
    </row>
    <row r="29635" customFormat="false" ht="12.8" hidden="false" customHeight="false" outlineLevel="0" collapsed="false">
      <c r="A29635" s="0" t="s">
        <v>11000</v>
      </c>
      <c r="B29635" s="0" t="str">
        <f aca="false">HYPERLINK("https://lindat.mff.cuni.cz/services/teitok/pdtc10/index.php?action=vallex&amp;frame=v-w3961f2", "posílat (v-w3961f2)")</f>
        <v>posílat (v-w3961f2)</v>
      </c>
    </row>
    <row r="29636" customFormat="false" ht="12.8" hidden="false" customHeight="false" outlineLevel="0" collapsed="false">
      <c r="B29636" s="0" t="s">
        <v>7</v>
      </c>
      <c r="C29636" s="0" t="s">
        <v>1758</v>
      </c>
      <c r="D29636" s="0" t="s">
        <v>1630</v>
      </c>
      <c r="E29636" s="0" t="s">
        <v>1630</v>
      </c>
      <c r="F29636" s="0" t="s">
        <v>1630</v>
      </c>
    </row>
    <row r="29637" customFormat="false" ht="12.8" hidden="false" customHeight="false" outlineLevel="0" collapsed="false">
      <c r="B29637" s="0" t="s">
        <v>14</v>
      </c>
      <c r="C29637" s="0" t="s">
        <v>11001</v>
      </c>
      <c r="D29637" s="0" t="s">
        <v>1632</v>
      </c>
      <c r="E29637" s="0" t="s">
        <v>1632</v>
      </c>
      <c r="F29637" s="0" t="s">
        <v>1632</v>
      </c>
    </row>
    <row r="29638" customFormat="false" ht="12.8" hidden="false" customHeight="false" outlineLevel="0" collapsed="false">
      <c r="B29638" s="0" t="s">
        <v>48</v>
      </c>
      <c r="C29638" s="0" t="s">
        <v>11002</v>
      </c>
      <c r="D29638" s="0" t="s">
        <v>1635</v>
      </c>
      <c r="E29638" s="0" t="s">
        <v>1635</v>
      </c>
      <c r="F29638" s="0" t="s">
        <v>1635</v>
      </c>
    </row>
    <row r="29640" customFormat="false" ht="12.8" hidden="false" customHeight="false" outlineLevel="0" collapsed="false">
      <c r="A29640" s="0" t="s">
        <v>11003</v>
      </c>
      <c r="B29640" s="0" t="str">
        <f aca="false">HYPERLINK("https://lindat.mff.cuni.cz/services/teitok/pdtc10/index.php?action=vallex&amp;frame=v-w3961f1", "posílat (v-w3961f1)")</f>
        <v>posílat (v-w3961f1)</v>
      </c>
    </row>
    <row r="29641" customFormat="false" ht="12.8" hidden="false" customHeight="false" outlineLevel="0" collapsed="false">
      <c r="B29641" s="0" t="s">
        <v>7</v>
      </c>
      <c r="C29641" s="0" t="s">
        <v>392</v>
      </c>
      <c r="D29641" s="0" t="s">
        <v>1630</v>
      </c>
      <c r="E29641" s="0" t="s">
        <v>1630</v>
      </c>
      <c r="F29641" s="0" t="s">
        <v>1630</v>
      </c>
    </row>
    <row r="29642" customFormat="false" ht="12.8" hidden="false" customHeight="false" outlineLevel="0" collapsed="false">
      <c r="B29642" s="0" t="s">
        <v>14</v>
      </c>
      <c r="C29642" s="0" t="s">
        <v>11004</v>
      </c>
      <c r="D29642" s="0" t="s">
        <v>1632</v>
      </c>
      <c r="E29642" s="0" t="s">
        <v>1632</v>
      </c>
      <c r="F29642" s="0" t="s">
        <v>1632</v>
      </c>
    </row>
    <row r="29643" customFormat="false" ht="12.8" hidden="false" customHeight="false" outlineLevel="0" collapsed="false">
      <c r="B29643" s="0" t="s">
        <v>124</v>
      </c>
      <c r="D29643" s="0" t="s">
        <v>2165</v>
      </c>
      <c r="E29643" s="0" t="s">
        <v>2165</v>
      </c>
      <c r="F29643" s="0" t="s">
        <v>2165</v>
      </c>
    </row>
    <row r="29645" customFormat="false" ht="12.8" hidden="false" customHeight="false" outlineLevel="0" collapsed="false">
      <c r="A29645" s="0" t="s">
        <v>11005</v>
      </c>
      <c r="B29645" s="0" t="str">
        <f aca="false">HYPERLINK("https://lindat.mff.cuni.cz/services/teitok/pdtc10/index.php?action=vallex&amp;frame=v-w3961f3", "posílat (v-w3961f3)")</f>
        <v>posílat (v-w3961f3)</v>
      </c>
    </row>
    <row r="29646" customFormat="false" ht="12.8" hidden="false" customHeight="false" outlineLevel="0" collapsed="false">
      <c r="B29646" s="0" t="s">
        <v>7</v>
      </c>
      <c r="D29646" s="0" t="s">
        <v>1630</v>
      </c>
      <c r="E29646" s="0" t="s">
        <v>1630</v>
      </c>
      <c r="F29646" s="0" t="s">
        <v>1630</v>
      </c>
    </row>
    <row r="29647" customFormat="false" ht="12.8" hidden="false" customHeight="false" outlineLevel="0" collapsed="false">
      <c r="B29647" s="0" t="s">
        <v>14</v>
      </c>
      <c r="D29647" s="0" t="s">
        <v>1632</v>
      </c>
      <c r="E29647" s="0" t="s">
        <v>1632</v>
      </c>
      <c r="F29647" s="0" t="s">
        <v>1632</v>
      </c>
    </row>
    <row r="29648" customFormat="false" ht="12.8" hidden="false" customHeight="false" outlineLevel="0" collapsed="false">
      <c r="B29648" s="0" t="s">
        <v>124</v>
      </c>
      <c r="D29648" s="0" t="s">
        <v>2165</v>
      </c>
      <c r="E29648" s="0" t="s">
        <v>2165</v>
      </c>
      <c r="F29648" s="0" t="s">
        <v>2165</v>
      </c>
    </row>
    <row r="29650" customFormat="false" ht="12.8" hidden="false" customHeight="false" outlineLevel="0" collapsed="false">
      <c r="A29650" s="0" t="s">
        <v>11006</v>
      </c>
      <c r="B29650" s="0" t="str">
        <f aca="false">HYPERLINK("https://lindat.mff.cuni.cz/services/teitok/pdtc10/index.php?action=vallex&amp;frame=v-w3964f6_ZU", "posílit (v-w3964f6_ZU)")</f>
        <v>posílit (v-w3964f6_ZU)</v>
      </c>
    </row>
    <row r="29651" customFormat="false" ht="12.8" hidden="false" customHeight="false" outlineLevel="0" collapsed="false">
      <c r="B29651" s="0" t="s">
        <v>7</v>
      </c>
      <c r="C29651" s="0" t="s">
        <v>1371</v>
      </c>
      <c r="D29651" s="0" t="s">
        <v>6436</v>
      </c>
      <c r="E29651" s="0" t="s">
        <v>6436</v>
      </c>
      <c r="F29651" s="0" t="s">
        <v>6436</v>
      </c>
    </row>
    <row r="29652" customFormat="false" ht="12.8" hidden="false" customHeight="false" outlineLevel="0" collapsed="false">
      <c r="B29652" s="0" t="s">
        <v>14</v>
      </c>
      <c r="D29652" s="0" t="s">
        <v>6437</v>
      </c>
      <c r="E29652" s="0" t="s">
        <v>6437</v>
      </c>
      <c r="F29652" s="0" t="s">
        <v>6437</v>
      </c>
    </row>
    <row r="29653" customFormat="false" ht="12.8" hidden="false" customHeight="false" outlineLevel="0" collapsed="false">
      <c r="B29653" s="0" t="s">
        <v>35</v>
      </c>
      <c r="D29653" s="0" t="s">
        <v>6438</v>
      </c>
      <c r="E29653" s="0" t="s">
        <v>6438</v>
      </c>
      <c r="F29653" s="0" t="s">
        <v>6438</v>
      </c>
    </row>
    <row r="29654" customFormat="false" ht="12.8" hidden="false" customHeight="false" outlineLevel="0" collapsed="false">
      <c r="B29654" s="0" t="s">
        <v>84</v>
      </c>
      <c r="C29654" s="0" t="s">
        <v>11007</v>
      </c>
      <c r="D29654" s="0" t="s">
        <v>6440</v>
      </c>
      <c r="E29654" s="0" t="s">
        <v>6440</v>
      </c>
      <c r="F29654" s="0" t="s">
        <v>6440</v>
      </c>
    </row>
    <row r="29656" customFormat="false" ht="12.8" hidden="false" customHeight="false" outlineLevel="0" collapsed="false">
      <c r="A29656" s="0" t="s">
        <v>11006</v>
      </c>
      <c r="B29656" s="0" t="str">
        <f aca="false">HYPERLINK("https://lindat.mff.cuni.cz/services/teitok/pdtc10/index.php?action=vallex&amp;frame=v-w3964f3", "posílit (v-w3964f3) - substituted with v-w3964f6_ZU")</f>
        <v>posílit (v-w3964f3) - substituted with v-w3964f6_ZU</v>
      </c>
    </row>
    <row r="29657" customFormat="false" ht="12.8" hidden="false" customHeight="false" outlineLevel="0" collapsed="false">
      <c r="B29657" s="0" t="s">
        <v>7</v>
      </c>
      <c r="C29657" s="0" t="s">
        <v>11008</v>
      </c>
    </row>
    <row r="29658" customFormat="false" ht="12.8" hidden="false" customHeight="false" outlineLevel="0" collapsed="false">
      <c r="B29658" s="0" t="s">
        <v>14</v>
      </c>
      <c r="C29658" s="0" t="s">
        <v>11009</v>
      </c>
    </row>
    <row r="29659" customFormat="false" ht="12.8" hidden="false" customHeight="false" outlineLevel="0" collapsed="false">
      <c r="B29659" s="0" t="s">
        <v>35</v>
      </c>
      <c r="C29659" s="0" t="s">
        <v>11010</v>
      </c>
    </row>
    <row r="29660" customFormat="false" ht="12.8" hidden="false" customHeight="false" outlineLevel="0" collapsed="false">
      <c r="B29660" s="0" t="s">
        <v>84</v>
      </c>
      <c r="C29660" s="0" t="s">
        <v>11011</v>
      </c>
    </row>
    <row r="29662" customFormat="false" ht="12.8" hidden="false" customHeight="false" outlineLevel="0" collapsed="false">
      <c r="A29662" s="0" t="s">
        <v>11012</v>
      </c>
      <c r="B29662" s="0" t="str">
        <f aca="false">HYPERLINK("https://lindat.mff.cuni.cz/services/teitok/pdtc10/index.php?action=vallex&amp;frame=v-w3964f5_ZU", "posílit (v-w3964f5_ZU)")</f>
        <v>posílit (v-w3964f5_ZU)</v>
      </c>
    </row>
    <row r="29663" customFormat="false" ht="12.8" hidden="false" customHeight="false" outlineLevel="0" collapsed="false">
      <c r="B29663" s="0" t="s">
        <v>7</v>
      </c>
      <c r="C29663" s="0" t="s">
        <v>11013</v>
      </c>
      <c r="D29663" s="0" t="s">
        <v>6244</v>
      </c>
      <c r="E29663" s="0" t="s">
        <v>6244</v>
      </c>
      <c r="F29663" s="0" t="s">
        <v>6244</v>
      </c>
    </row>
    <row r="29664" customFormat="false" ht="12.8" hidden="false" customHeight="false" outlineLevel="0" collapsed="false">
      <c r="B29664" s="0" t="s">
        <v>63</v>
      </c>
      <c r="C29664" s="0" t="s">
        <v>11014</v>
      </c>
      <c r="D29664" s="0" t="s">
        <v>4496</v>
      </c>
      <c r="E29664" s="0" t="s">
        <v>4496</v>
      </c>
      <c r="F29664" s="0" t="s">
        <v>4496</v>
      </c>
    </row>
    <row r="29665" customFormat="false" ht="12.8" hidden="false" customHeight="false" outlineLevel="0" collapsed="false">
      <c r="B29665" s="0" t="s">
        <v>35</v>
      </c>
      <c r="C29665" s="0" t="s">
        <v>11015</v>
      </c>
      <c r="D29665" s="0" t="s">
        <v>4497</v>
      </c>
      <c r="E29665" s="0" t="s">
        <v>4497</v>
      </c>
      <c r="F29665" s="0" t="s">
        <v>4497</v>
      </c>
    </row>
    <row r="29667" customFormat="false" ht="12.8" hidden="false" customHeight="false" outlineLevel="0" collapsed="false">
      <c r="A29667" s="0" t="s">
        <v>11012</v>
      </c>
      <c r="B29667" s="0" t="str">
        <f aca="false">HYPERLINK("https://lindat.mff.cuni.cz/services/teitok/pdtc10/index.php?action=vallex&amp;frame=v-w3964f4_ZU", "posílit (v-w3964f4_ZU) - substituted with v-w3964f5_ZU")</f>
        <v>posílit (v-w3964f4_ZU) - substituted with v-w3964f5_ZU</v>
      </c>
    </row>
    <row r="29668" customFormat="false" ht="12.8" hidden="false" customHeight="false" outlineLevel="0" collapsed="false">
      <c r="B29668" s="0" t="s">
        <v>7</v>
      </c>
      <c r="C29668" s="0" t="s">
        <v>10626</v>
      </c>
    </row>
    <row r="29669" customFormat="false" ht="12.8" hidden="false" customHeight="false" outlineLevel="0" collapsed="false">
      <c r="B29669" s="0" t="s">
        <v>63</v>
      </c>
      <c r="C29669" s="0" t="s">
        <v>9578</v>
      </c>
    </row>
    <row r="29670" customFormat="false" ht="12.8" hidden="false" customHeight="false" outlineLevel="0" collapsed="false">
      <c r="B29670" s="0" t="s">
        <v>35</v>
      </c>
      <c r="C29670" s="0" t="s">
        <v>1526</v>
      </c>
    </row>
    <row r="29672" customFormat="false" ht="12.8" hidden="false" customHeight="false" outlineLevel="0" collapsed="false">
      <c r="A29672" s="0" t="s">
        <v>11016</v>
      </c>
      <c r="B29672" s="0" t="str">
        <f aca="false">HYPERLINK("https://lindat.mff.cuni.cz/services/teitok/pdtc10/index.php?action=vallex&amp;frame=v-w3964f2", "posílit (v-w3964f2)")</f>
        <v>posílit (v-w3964f2)</v>
      </c>
    </row>
    <row r="29673" customFormat="false" ht="12.8" hidden="false" customHeight="false" outlineLevel="0" collapsed="false">
      <c r="B29673" s="0" t="s">
        <v>7</v>
      </c>
      <c r="C29673" s="0" t="s">
        <v>7136</v>
      </c>
    </row>
    <row r="29674" customFormat="false" ht="12.8" hidden="false" customHeight="false" outlineLevel="0" collapsed="false">
      <c r="B29674" s="0" t="s">
        <v>14</v>
      </c>
      <c r="C29674" s="0" t="s">
        <v>11017</v>
      </c>
    </row>
    <row r="29675" customFormat="false" ht="12.8" hidden="false" customHeight="false" outlineLevel="0" collapsed="false">
      <c r="B29675" s="0" t="s">
        <v>2122</v>
      </c>
      <c r="C29675" s="0" t="s">
        <v>10002</v>
      </c>
    </row>
    <row r="29677" customFormat="false" ht="12.8" hidden="false" customHeight="false" outlineLevel="0" collapsed="false">
      <c r="A29677" s="0" t="s">
        <v>11018</v>
      </c>
      <c r="B29677" s="0" t="str">
        <f aca="false">HYPERLINK("https://lindat.mff.cuni.cz/services/teitok/pdtc10/index.php?action=vallex&amp;frame=v-w3964f1", "posílit (v-w3964f1)")</f>
        <v>posílit (v-w3964f1)</v>
      </c>
    </row>
    <row r="29678" customFormat="false" ht="12.8" hidden="false" customHeight="false" outlineLevel="0" collapsed="false">
      <c r="B29678" s="0" t="s">
        <v>7</v>
      </c>
      <c r="C29678" s="0" t="s">
        <v>11019</v>
      </c>
      <c r="D29678" s="0" t="s">
        <v>10736</v>
      </c>
      <c r="E29678" s="0" t="s">
        <v>10736</v>
      </c>
      <c r="F29678" s="0" t="s">
        <v>10736</v>
      </c>
    </row>
    <row r="29679" customFormat="false" ht="12.8" hidden="false" customHeight="false" outlineLevel="0" collapsed="false">
      <c r="B29679" s="0" t="s">
        <v>14</v>
      </c>
      <c r="C29679" s="0" t="s">
        <v>11020</v>
      </c>
      <c r="D29679" s="0" t="s">
        <v>7533</v>
      </c>
      <c r="E29679" s="0" t="s">
        <v>7533</v>
      </c>
      <c r="F29679" s="0" t="s">
        <v>7533</v>
      </c>
    </row>
    <row r="29681" customFormat="false" ht="12.8" hidden="false" customHeight="false" outlineLevel="0" collapsed="false">
      <c r="A29681" s="0" t="s">
        <v>11021</v>
      </c>
      <c r="B29681" s="0" t="str">
        <f aca="false">HYPERLINK("https://lindat.mff.cuni.cz/services/teitok/pdtc10/index.php?action=vallex&amp;frame=v-w3965f1", "posílit se (v-w3965f1)")</f>
        <v>posílit se (v-w3965f1)</v>
      </c>
    </row>
    <row r="29682" customFormat="false" ht="12.8" hidden="false" customHeight="false" outlineLevel="0" collapsed="false">
      <c r="B29682" s="0" t="s">
        <v>7</v>
      </c>
      <c r="C29682" s="0" t="s">
        <v>11022</v>
      </c>
    </row>
    <row r="29684" customFormat="false" ht="12.8" hidden="false" customHeight="false" outlineLevel="0" collapsed="false">
      <c r="A29684" s="0" t="s">
        <v>11023</v>
      </c>
      <c r="B29684" s="0" t="str">
        <f aca="false">HYPERLINK("https://lindat.mff.cuni.cz/services/teitok/pdtc10/index.php?action=vallex&amp;frame=v-w3965f2_ZU", "posílit se (v-w3965f2_ZU)")</f>
        <v>posílit se (v-w3965f2_ZU)</v>
      </c>
    </row>
    <row r="29685" customFormat="false" ht="12.8" hidden="false" customHeight="false" outlineLevel="0" collapsed="false">
      <c r="B29685" s="0" t="s">
        <v>7</v>
      </c>
      <c r="C29685" s="0" t="s">
        <v>11024</v>
      </c>
    </row>
    <row r="29687" customFormat="false" ht="12.8" hidden="false" customHeight="false" outlineLevel="0" collapsed="false">
      <c r="A29687" s="0" t="s">
        <v>11025</v>
      </c>
      <c r="B29687" s="0" t="str">
        <f aca="false">HYPERLINK("https://lindat.mff.cuni.cz/services/teitok/pdtc10/index.php?action=vallex&amp;frame=v-w10149f2", "potahovat (v-w10149f2)")</f>
        <v>potahovat (v-w10149f2)</v>
      </c>
    </row>
    <row r="29688" customFormat="false" ht="12.8" hidden="false" customHeight="false" outlineLevel="0" collapsed="false">
      <c r="B29688" s="0" t="s">
        <v>7</v>
      </c>
      <c r="F29688" s="0" t="s">
        <v>118</v>
      </c>
    </row>
    <row r="29689" customFormat="false" ht="12.8" hidden="false" customHeight="false" outlineLevel="0" collapsed="false">
      <c r="B29689" s="0" t="s">
        <v>14</v>
      </c>
      <c r="F29689" s="0" t="s">
        <v>159</v>
      </c>
    </row>
    <row r="29691" customFormat="false" ht="12.8" hidden="false" customHeight="false" outlineLevel="0" collapsed="false">
      <c r="A29691" s="0" t="s">
        <v>11026</v>
      </c>
      <c r="B29691" s="0" t="str">
        <f aca="false">HYPERLINK("https://lindat.mff.cuni.cz/services/teitok/pdtc10/index.php?action=vallex&amp;frame=v-whsa_1695hsa_1696", "potatit se (v-whsa_1695hsa_1696)")</f>
        <v>potatit se (v-whsa_1695hsa_1696)</v>
      </c>
    </row>
    <row r="29692" customFormat="false" ht="12.8" hidden="false" customHeight="false" outlineLevel="0" collapsed="false">
      <c r="B29692" s="0" t="s">
        <v>7</v>
      </c>
    </row>
    <row r="29694" customFormat="false" ht="12.8" hidden="false" customHeight="false" outlineLevel="0" collapsed="false">
      <c r="A29694" s="0" t="s">
        <v>11027</v>
      </c>
      <c r="B29694" s="0" t="str">
        <f aca="false">HYPERLINK("https://lindat.mff.cuni.cz/services/teitok/pdtc10/index.php?action=vallex&amp;frame=v-w10311f2", "potisknout (v-w10311f2)")</f>
        <v>potisknout (v-w10311f2)</v>
      </c>
    </row>
    <row r="29695" customFormat="false" ht="12.8" hidden="false" customHeight="false" outlineLevel="0" collapsed="false">
      <c r="B29695" s="0" t="s">
        <v>7</v>
      </c>
      <c r="C29695" s="0" t="s">
        <v>88</v>
      </c>
    </row>
    <row r="29696" customFormat="false" ht="12.8" hidden="false" customHeight="false" outlineLevel="0" collapsed="false">
      <c r="B29696" s="0" t="s">
        <v>14</v>
      </c>
      <c r="C29696" s="0" t="s">
        <v>625</v>
      </c>
    </row>
    <row r="29698" customFormat="false" ht="12.8" hidden="false" customHeight="false" outlineLevel="0" collapsed="false">
      <c r="A29698" s="0" t="s">
        <v>11028</v>
      </c>
      <c r="B29698" s="0" t="str">
        <f aca="false">HYPERLINK("https://lindat.mff.cuni.cz/services/teitok/pdtc10/index.php?action=vallex&amp;frame=v-whsa_595f1_ZU", "potit (v-whsa_595f1_ZU)")</f>
        <v>potit (v-whsa_595f1_ZU)</v>
      </c>
    </row>
    <row r="29699" customFormat="false" ht="12.8" hidden="false" customHeight="false" outlineLevel="0" collapsed="false">
      <c r="B29699" s="0" t="s">
        <v>7</v>
      </c>
    </row>
    <row r="29700" customFormat="false" ht="12.8" hidden="false" customHeight="false" outlineLevel="0" collapsed="false">
      <c r="B29700" s="0" t="s">
        <v>11029</v>
      </c>
    </row>
    <row r="29702" customFormat="false" ht="12.8" hidden="false" customHeight="false" outlineLevel="0" collapsed="false">
      <c r="A29702" s="0" t="s">
        <v>11028</v>
      </c>
      <c r="B29702" s="0" t="str">
        <f aca="false">HYPERLINK("https://lindat.mff.cuni.cz/services/teitok/pdtc10/index.php?action=vallex&amp;frame=v-whsa_595hsa_596", "potit (v-whsa_595hsa_596) - substituted with v-whsa_595f1_ZU")</f>
        <v>potit (v-whsa_595hsa_596) - substituted with v-whsa_595f1_ZU</v>
      </c>
    </row>
    <row r="29703" customFormat="false" ht="12.8" hidden="false" customHeight="false" outlineLevel="0" collapsed="false">
      <c r="B29703" s="0" t="s">
        <v>7</v>
      </c>
    </row>
    <row r="29704" customFormat="false" ht="12.8" hidden="false" customHeight="false" outlineLevel="0" collapsed="false">
      <c r="B29704" s="0" t="s">
        <v>11029</v>
      </c>
    </row>
    <row r="29706" customFormat="false" ht="12.8" hidden="false" customHeight="false" outlineLevel="0" collapsed="false">
      <c r="A29706" s="0" t="s">
        <v>11030</v>
      </c>
      <c r="B29706" s="0" t="str">
        <f aca="false">HYPERLINK("https://lindat.mff.cuni.cz/services/teitok/pdtc10/index.php?action=vallex&amp;frame=v-w4074f1", "potit se (v-w4074f1)")</f>
        <v>potit se (v-w4074f1)</v>
      </c>
    </row>
    <row r="29707" customFormat="false" ht="12.8" hidden="false" customHeight="false" outlineLevel="0" collapsed="false">
      <c r="B29707" s="0" t="s">
        <v>7</v>
      </c>
      <c r="C29707" s="0" t="s">
        <v>4976</v>
      </c>
      <c r="D29707" s="0" t="s">
        <v>184</v>
      </c>
      <c r="E29707" s="0" t="s">
        <v>184</v>
      </c>
      <c r="F29707" s="0" t="s">
        <v>184</v>
      </c>
    </row>
    <row r="29709" customFormat="false" ht="12.8" hidden="false" customHeight="false" outlineLevel="0" collapsed="false">
      <c r="A29709" s="0" t="s">
        <v>11031</v>
      </c>
      <c r="B29709" s="0" t="str">
        <f aca="false">HYPERLINK("https://lindat.mff.cuni.cz/services/teitok/pdtc10/index.php?action=vallex&amp;frame=v-w4076f2", "potkat (v-w4076f2)")</f>
        <v>potkat (v-w4076f2)</v>
      </c>
    </row>
    <row r="29710" customFormat="false" ht="12.8" hidden="false" customHeight="false" outlineLevel="0" collapsed="false">
      <c r="B29710" s="0" t="s">
        <v>7</v>
      </c>
    </row>
    <row r="29711" customFormat="false" ht="12.8" hidden="false" customHeight="false" outlineLevel="0" collapsed="false">
      <c r="B29711" s="0" t="s">
        <v>548</v>
      </c>
    </row>
    <row r="29712" customFormat="false" ht="12.8" hidden="false" customHeight="false" outlineLevel="0" collapsed="false">
      <c r="B29712" s="0" t="s">
        <v>1252</v>
      </c>
    </row>
    <row r="29714" customFormat="false" ht="12.8" hidden="false" customHeight="false" outlineLevel="0" collapsed="false">
      <c r="A29714" s="0" t="s">
        <v>11032</v>
      </c>
      <c r="B29714" s="0" t="str">
        <f aca="false">HYPERLINK("https://lindat.mff.cuni.cz/services/teitok/pdtc10/index.php?action=vallex&amp;frame=v-w4076f3_ZU", "potkat (v-w4076f3_ZU)")</f>
        <v>potkat (v-w4076f3_ZU)</v>
      </c>
    </row>
    <row r="29715" customFormat="false" ht="12.8" hidden="false" customHeight="false" outlineLevel="0" collapsed="false">
      <c r="B29715" s="0" t="s">
        <v>7</v>
      </c>
    </row>
    <row r="29716" customFormat="false" ht="12.8" hidden="false" customHeight="false" outlineLevel="0" collapsed="false">
      <c r="B29716" s="0" t="s">
        <v>14</v>
      </c>
    </row>
    <row r="29718" customFormat="false" ht="12.8" hidden="false" customHeight="false" outlineLevel="0" collapsed="false">
      <c r="A29718" s="0" t="s">
        <v>11032</v>
      </c>
      <c r="B29718" s="0" t="str">
        <f aca="false">HYPERLINK("https://lindat.mff.cuni.cz/services/teitok/pdtc10/index.php?action=vallex&amp;frame=v-w4076f1", "potkat (v-w4076f1) - substituted with v-w4076f3_ZU")</f>
        <v>potkat (v-w4076f1) - substituted with v-w4076f3_ZU</v>
      </c>
    </row>
    <row r="29719" customFormat="false" ht="12.8" hidden="false" customHeight="false" outlineLevel="0" collapsed="false">
      <c r="B29719" s="0" t="s">
        <v>7</v>
      </c>
      <c r="C29719" s="0" t="s">
        <v>11033</v>
      </c>
      <c r="D29719" s="0" t="s">
        <v>2062</v>
      </c>
      <c r="E29719" s="0" t="s">
        <v>2062</v>
      </c>
      <c r="F29719" s="0" t="s">
        <v>2062</v>
      </c>
    </row>
    <row r="29720" customFormat="false" ht="12.8" hidden="false" customHeight="false" outlineLevel="0" collapsed="false">
      <c r="B29720" s="0" t="s">
        <v>14</v>
      </c>
      <c r="C29720" s="0" t="s">
        <v>11034</v>
      </c>
      <c r="D29720" s="0" t="s">
        <v>2065</v>
      </c>
      <c r="E29720" s="0" t="s">
        <v>2065</v>
      </c>
      <c r="F29720" s="0" t="s">
        <v>2065</v>
      </c>
    </row>
    <row r="29722" customFormat="false" ht="12.8" hidden="false" customHeight="false" outlineLevel="0" collapsed="false">
      <c r="A29722" s="0" t="s">
        <v>11035</v>
      </c>
      <c r="B29722" s="0" t="str">
        <f aca="false">HYPERLINK("https://lindat.mff.cuni.cz/services/teitok/pdtc10/index.php?action=vallex&amp;frame=v-w4076f4_ZU", "potkat (v-w4076f4_ZU)")</f>
        <v>potkat (v-w4076f4_ZU)</v>
      </c>
    </row>
    <row r="29723" customFormat="false" ht="12.8" hidden="false" customHeight="false" outlineLevel="0" collapsed="false">
      <c r="B29723" s="0" t="s">
        <v>7</v>
      </c>
    </row>
    <row r="29724" customFormat="false" ht="12.8" hidden="false" customHeight="false" outlineLevel="0" collapsed="false">
      <c r="B29724" s="0" t="s">
        <v>14</v>
      </c>
    </row>
    <row r="29726" customFormat="false" ht="12.8" hidden="false" customHeight="false" outlineLevel="0" collapsed="false">
      <c r="A29726" s="0" t="s">
        <v>11036</v>
      </c>
      <c r="B29726" s="0" t="str">
        <f aca="false">HYPERLINK("https://lindat.mff.cuni.cz/services/teitok/pdtc10/index.php?action=vallex&amp;frame=v-w4077f1", "potkat se (v-w4077f1)")</f>
        <v>potkat se (v-w4077f1)</v>
      </c>
    </row>
    <row r="29727" customFormat="false" ht="12.8" hidden="false" customHeight="false" outlineLevel="0" collapsed="false">
      <c r="B29727" s="0" t="s">
        <v>7</v>
      </c>
      <c r="C29727" s="0" t="s">
        <v>4960</v>
      </c>
      <c r="D29727" s="0" t="s">
        <v>11037</v>
      </c>
      <c r="E29727" s="0" t="s">
        <v>11037</v>
      </c>
      <c r="F29727" s="0" t="s">
        <v>11037</v>
      </c>
    </row>
    <row r="29728" customFormat="false" ht="12.8" hidden="false" customHeight="false" outlineLevel="0" collapsed="false">
      <c r="B29728" s="0" t="s">
        <v>548</v>
      </c>
      <c r="C29728" s="0" t="s">
        <v>1168</v>
      </c>
      <c r="D29728" s="0" t="s">
        <v>4163</v>
      </c>
      <c r="E29728" s="0" t="s">
        <v>4163</v>
      </c>
      <c r="F29728" s="0" t="s">
        <v>4163</v>
      </c>
    </row>
    <row r="29730" customFormat="false" ht="12.8" hidden="false" customHeight="false" outlineLevel="0" collapsed="false">
      <c r="A29730" s="0" t="s">
        <v>11038</v>
      </c>
      <c r="B29730" s="0" t="str">
        <f aca="false">HYPERLINK("https://lindat.mff.cuni.cz/services/teitok/pdtc10/index.php?action=vallex&amp;frame=v-w4077hsa_1083", "potkat se (v-w4077hsa_1083)")</f>
        <v>potkat se (v-w4077hsa_1083)</v>
      </c>
    </row>
    <row r="29731" customFormat="false" ht="12.8" hidden="false" customHeight="false" outlineLevel="0" collapsed="false">
      <c r="B29731" s="0" t="s">
        <v>7</v>
      </c>
    </row>
    <row r="29732" customFormat="false" ht="12.8" hidden="false" customHeight="false" outlineLevel="0" collapsed="false">
      <c r="B29732" s="0" t="s">
        <v>548</v>
      </c>
    </row>
    <row r="29734" customFormat="false" ht="12.8" hidden="false" customHeight="false" outlineLevel="0" collapsed="false">
      <c r="A29734" s="0" t="s">
        <v>11039</v>
      </c>
      <c r="B29734" s="0" t="str">
        <f aca="false">HYPERLINK("https://lindat.mff.cuni.cz/services/teitok/pdtc10/index.php?action=vallex&amp;frame=v-w4078f2", "potkávat (v-w4078f2)")</f>
        <v>potkávat (v-w4078f2)</v>
      </c>
    </row>
    <row r="29735" customFormat="false" ht="12.8" hidden="false" customHeight="false" outlineLevel="0" collapsed="false">
      <c r="B29735" s="0" t="s">
        <v>7</v>
      </c>
    </row>
    <row r="29736" customFormat="false" ht="12.8" hidden="false" customHeight="false" outlineLevel="0" collapsed="false">
      <c r="B29736" s="0" t="s">
        <v>548</v>
      </c>
    </row>
    <row r="29737" customFormat="false" ht="12.8" hidden="false" customHeight="false" outlineLevel="0" collapsed="false">
      <c r="B29737" s="0" t="s">
        <v>1252</v>
      </c>
    </row>
    <row r="29739" customFormat="false" ht="12.8" hidden="false" customHeight="false" outlineLevel="0" collapsed="false">
      <c r="A29739" s="0" t="s">
        <v>11040</v>
      </c>
      <c r="B29739" s="0" t="str">
        <f aca="false">HYPERLINK("https://lindat.mff.cuni.cz/services/teitok/pdtc10/index.php?action=vallex&amp;frame=v-w4078f1", "potkávat (v-w4078f1)")</f>
        <v>potkávat (v-w4078f1)</v>
      </c>
    </row>
    <row r="29740" customFormat="false" ht="12.8" hidden="false" customHeight="false" outlineLevel="0" collapsed="false">
      <c r="B29740" s="0" t="s">
        <v>7</v>
      </c>
      <c r="C29740" s="0" t="s">
        <v>11041</v>
      </c>
    </row>
    <row r="29741" customFormat="false" ht="12.8" hidden="false" customHeight="false" outlineLevel="0" collapsed="false">
      <c r="B29741" s="0" t="s">
        <v>14</v>
      </c>
      <c r="C29741" s="0" t="s">
        <v>11042</v>
      </c>
    </row>
    <row r="29743" customFormat="false" ht="12.8" hidden="false" customHeight="false" outlineLevel="0" collapsed="false">
      <c r="A29743" s="0" t="s">
        <v>11043</v>
      </c>
      <c r="B29743" s="0" t="str">
        <f aca="false">HYPERLINK("https://lindat.mff.cuni.cz/services/teitok/pdtc10/index.php?action=vallex&amp;frame=v-whsa_1870hsa_1871", "potkávat se (v-whsa_1870hsa_1871)")</f>
        <v>potkávat se (v-whsa_1870hsa_1871)</v>
      </c>
    </row>
    <row r="29744" customFormat="false" ht="12.8" hidden="false" customHeight="false" outlineLevel="0" collapsed="false">
      <c r="B29744" s="0" t="s">
        <v>7</v>
      </c>
    </row>
    <row r="29745" customFormat="false" ht="12.8" hidden="false" customHeight="false" outlineLevel="0" collapsed="false">
      <c r="B29745" s="0" t="s">
        <v>548</v>
      </c>
    </row>
    <row r="29747" customFormat="false" ht="12.8" hidden="false" customHeight="false" outlineLevel="0" collapsed="false">
      <c r="A29747" s="0" t="s">
        <v>11044</v>
      </c>
      <c r="B29747" s="0" t="str">
        <f aca="false">HYPERLINK("https://lindat.mff.cuni.cz/services/teitok/pdtc10/index.php?action=vallex&amp;frame=v-w4080f1", "potlačit (v-w4080f1)")</f>
        <v>potlačit (v-w4080f1)</v>
      </c>
    </row>
    <row r="29748" customFormat="false" ht="12.8" hidden="false" customHeight="false" outlineLevel="0" collapsed="false">
      <c r="B29748" s="0" t="s">
        <v>7</v>
      </c>
      <c r="C29748" s="0" t="s">
        <v>309</v>
      </c>
      <c r="D29748" s="0" t="s">
        <v>2170</v>
      </c>
      <c r="E29748" s="0" t="s">
        <v>2170</v>
      </c>
      <c r="F29748" s="0" t="s">
        <v>2170</v>
      </c>
    </row>
    <row r="29749" customFormat="false" ht="12.8" hidden="false" customHeight="false" outlineLevel="0" collapsed="false">
      <c r="B29749" s="0" t="s">
        <v>14</v>
      </c>
      <c r="C29749" s="0" t="s">
        <v>11045</v>
      </c>
      <c r="D29749" s="0" t="s">
        <v>1168</v>
      </c>
      <c r="E29749" s="0" t="s">
        <v>1168</v>
      </c>
      <c r="F29749" s="0" t="s">
        <v>1168</v>
      </c>
    </row>
    <row r="29751" customFormat="false" ht="12.8" hidden="false" customHeight="false" outlineLevel="0" collapsed="false">
      <c r="A29751" s="0" t="s">
        <v>11046</v>
      </c>
      <c r="B29751" s="0" t="str">
        <f aca="false">HYPERLINK("https://lindat.mff.cuni.cz/services/teitok/pdtc10/index.php?action=vallex&amp;frame=v-w4082f1", "potlačovat (v-w4082f1)")</f>
        <v>potlačovat (v-w4082f1)</v>
      </c>
    </row>
    <row r="29752" customFormat="false" ht="12.8" hidden="false" customHeight="false" outlineLevel="0" collapsed="false">
      <c r="B29752" s="0" t="s">
        <v>7</v>
      </c>
      <c r="C29752" s="0" t="s">
        <v>3025</v>
      </c>
      <c r="D29752" s="0" t="s">
        <v>2170</v>
      </c>
      <c r="E29752" s="0" t="s">
        <v>2170</v>
      </c>
      <c r="F29752" s="0" t="s">
        <v>2170</v>
      </c>
    </row>
    <row r="29753" customFormat="false" ht="12.8" hidden="false" customHeight="false" outlineLevel="0" collapsed="false">
      <c r="B29753" s="0" t="s">
        <v>14</v>
      </c>
      <c r="C29753" s="0" t="s">
        <v>11047</v>
      </c>
      <c r="D29753" s="0" t="s">
        <v>1168</v>
      </c>
      <c r="E29753" s="0" t="s">
        <v>1168</v>
      </c>
      <c r="F29753" s="0" t="s">
        <v>1168</v>
      </c>
    </row>
    <row r="29755" customFormat="false" ht="12.8" hidden="false" customHeight="false" outlineLevel="0" collapsed="false">
      <c r="A29755" s="0" t="s">
        <v>11048</v>
      </c>
      <c r="B29755" s="0" t="str">
        <f aca="false">HYPERLINK("https://lindat.mff.cuni.cz/services/teitok/pdtc10/index.php?action=vallex&amp;frame=v-w11412f1", "potloukat se (v-w11412f1)")</f>
        <v>potloukat se (v-w11412f1)</v>
      </c>
    </row>
    <row r="29756" customFormat="false" ht="12.8" hidden="false" customHeight="false" outlineLevel="0" collapsed="false">
      <c r="B29756" s="0" t="s">
        <v>7</v>
      </c>
      <c r="C29756" s="0" t="s">
        <v>247</v>
      </c>
      <c r="D29756" s="0" t="s">
        <v>247</v>
      </c>
      <c r="E29756" s="0" t="s">
        <v>247</v>
      </c>
      <c r="F29756" s="0" t="s">
        <v>247</v>
      </c>
    </row>
    <row r="29758" customFormat="false" ht="12.8" hidden="false" customHeight="false" outlineLevel="0" collapsed="false">
      <c r="A29758" s="0" t="s">
        <v>11049</v>
      </c>
      <c r="B29758" s="0" t="str">
        <f aca="false">HYPERLINK("https://lindat.mff.cuni.cz/services/teitok/pdtc10/index.php?action=vallex&amp;frame=v-w4085f1", "potopit (v-w4085f1)")</f>
        <v>potopit (v-w4085f1)</v>
      </c>
    </row>
    <row r="29759" customFormat="false" ht="12.8" hidden="false" customHeight="false" outlineLevel="0" collapsed="false">
      <c r="B29759" s="0" t="s">
        <v>7</v>
      </c>
    </row>
    <row r="29760" customFormat="false" ht="12.8" hidden="false" customHeight="false" outlineLevel="0" collapsed="false">
      <c r="B29760" s="0" t="s">
        <v>14</v>
      </c>
    </row>
    <row r="29762" customFormat="false" ht="12.8" hidden="false" customHeight="false" outlineLevel="0" collapsed="false">
      <c r="A29762" s="0" t="s">
        <v>11050</v>
      </c>
      <c r="B29762" s="0" t="str">
        <f aca="false">HYPERLINK("https://lindat.mff.cuni.cz/services/teitok/pdtc10/index.php?action=vallex&amp;frame=v-w4085f2", "potopit (v-w4085f2)")</f>
        <v>potopit (v-w4085f2)</v>
      </c>
    </row>
    <row r="29763" customFormat="false" ht="12.8" hidden="false" customHeight="false" outlineLevel="0" collapsed="false">
      <c r="B29763" s="0" t="s">
        <v>7</v>
      </c>
      <c r="C29763" s="0" t="s">
        <v>113</v>
      </c>
      <c r="D29763" s="0" t="s">
        <v>1549</v>
      </c>
      <c r="E29763" s="0" t="s">
        <v>1550</v>
      </c>
      <c r="F29763" s="0" t="s">
        <v>1550</v>
      </c>
    </row>
    <row r="29764" customFormat="false" ht="12.8" hidden="false" customHeight="false" outlineLevel="0" collapsed="false">
      <c r="B29764" s="0" t="s">
        <v>14</v>
      </c>
      <c r="C29764" s="0" t="s">
        <v>89</v>
      </c>
      <c r="D29764" s="0" t="s">
        <v>1164</v>
      </c>
      <c r="E29764" s="0" t="s">
        <v>1551</v>
      </c>
      <c r="F29764" s="0" t="s">
        <v>1551</v>
      </c>
    </row>
    <row r="29766" customFormat="false" ht="12.8" hidden="false" customHeight="false" outlineLevel="0" collapsed="false">
      <c r="A29766" s="0" t="s">
        <v>11051</v>
      </c>
      <c r="B29766" s="0" t="str">
        <f aca="false">HYPERLINK("https://lindat.mff.cuni.cz/services/teitok/pdtc10/index.php?action=vallex&amp;frame=v-w11551_ZUf2_ZU", "potopit se (v-w11551_ZUf2_ZU)")</f>
        <v>potopit se (v-w11551_ZUf2_ZU)</v>
      </c>
    </row>
    <row r="29767" customFormat="false" ht="12.8" hidden="false" customHeight="false" outlineLevel="0" collapsed="false">
      <c r="B29767" s="0" t="s">
        <v>7</v>
      </c>
      <c r="C29767" s="0" t="s">
        <v>278</v>
      </c>
      <c r="D29767" s="0" t="s">
        <v>11052</v>
      </c>
      <c r="E29767" s="0" t="s">
        <v>11053</v>
      </c>
      <c r="F29767" s="0" t="s">
        <v>11053</v>
      </c>
    </row>
    <row r="29769" customFormat="false" ht="12.8" hidden="false" customHeight="false" outlineLevel="0" collapsed="false">
      <c r="A29769" s="0" t="s">
        <v>11051</v>
      </c>
      <c r="B29769" s="0" t="str">
        <f aca="false">HYPERLINK("https://lindat.mff.cuni.cz/services/teitok/pdtc10/index.php?action=vallex&amp;frame=v-w11551_ZUf1_ZU", "potopit se (v-w11551_ZUf1_ZU) - substituted with v-w11551_ZUf2_ZU")</f>
        <v>potopit se (v-w11551_ZUf1_ZU) - substituted with v-w11551_ZUf2_ZU</v>
      </c>
    </row>
    <row r="29770" customFormat="false" ht="12.8" hidden="false" customHeight="false" outlineLevel="0" collapsed="false">
      <c r="B29770" s="0" t="s">
        <v>7</v>
      </c>
    </row>
    <row r="29772" customFormat="false" ht="12.8" hidden="false" customHeight="false" outlineLevel="0" collapsed="false">
      <c r="A29772" s="0" t="s">
        <v>11054</v>
      </c>
      <c r="B29772" s="0" t="str">
        <f aca="false">HYPERLINK("https://lindat.mff.cuni.cz/services/teitok/pdtc10/index.php?action=vallex&amp;frame=v-w11551_ZUhsa_625", "potopit se (v-w11551_ZUhsa_625)")</f>
        <v>potopit se (v-w11551_ZUhsa_625)</v>
      </c>
    </row>
    <row r="29773" customFormat="false" ht="12.8" hidden="false" customHeight="false" outlineLevel="0" collapsed="false">
      <c r="B29773" s="0" t="s">
        <v>7</v>
      </c>
    </row>
    <row r="29775" customFormat="false" ht="12.8" hidden="false" customHeight="false" outlineLevel="0" collapsed="false">
      <c r="A29775" s="0" t="s">
        <v>11055</v>
      </c>
      <c r="B29775" s="0" t="str">
        <f aca="false">HYPERLINK("https://lindat.mff.cuni.cz/services/teitok/pdtc10/index.php?action=vallex&amp;frame=v-w10408f2", "potratit (v-w10408f2)")</f>
        <v>potratit (v-w10408f2)</v>
      </c>
    </row>
    <row r="29776" customFormat="false" ht="12.8" hidden="false" customHeight="false" outlineLevel="0" collapsed="false">
      <c r="B29776" s="0" t="s">
        <v>7</v>
      </c>
      <c r="C29776" s="0" t="s">
        <v>191</v>
      </c>
    </row>
    <row r="29777" customFormat="false" ht="12.8" hidden="false" customHeight="false" outlineLevel="0" collapsed="false">
      <c r="B29777" s="0" t="s">
        <v>14</v>
      </c>
    </row>
    <row r="29779" customFormat="false" ht="12.8" hidden="false" customHeight="false" outlineLevel="0" collapsed="false">
      <c r="A29779" s="0" t="s">
        <v>11056</v>
      </c>
      <c r="B29779" s="0" t="str">
        <f aca="false">HYPERLINK("https://lindat.mff.cuni.cz/services/teitok/pdtc10/index.php?action=vallex&amp;frame=v-w4088f1", "potrefit (v-w4088f1)")</f>
        <v>potrefit (v-w4088f1)</v>
      </c>
    </row>
    <row r="29780" customFormat="false" ht="12.8" hidden="false" customHeight="false" outlineLevel="0" collapsed="false">
      <c r="B29780" s="0" t="s">
        <v>7</v>
      </c>
    </row>
    <row r="29781" customFormat="false" ht="12.8" hidden="false" customHeight="false" outlineLevel="0" collapsed="false">
      <c r="B29781" s="0" t="s">
        <v>14</v>
      </c>
    </row>
    <row r="29783" customFormat="false" ht="12.8" hidden="false" customHeight="false" outlineLevel="0" collapsed="false">
      <c r="A29783" s="0" t="s">
        <v>11057</v>
      </c>
      <c r="B29783" s="0" t="str">
        <f aca="false">HYPERLINK("https://lindat.mff.cuni.cz/services/teitok/pdtc10/index.php?action=vallex&amp;frame=v-w4091f1", "potrestat (v-w4091f1)")</f>
        <v>potrestat (v-w4091f1)</v>
      </c>
    </row>
    <row r="29784" customFormat="false" ht="12.8" hidden="false" customHeight="false" outlineLevel="0" collapsed="false">
      <c r="B29784" s="0" t="s">
        <v>7</v>
      </c>
      <c r="C29784" s="0" t="s">
        <v>11058</v>
      </c>
      <c r="D29784" s="0" t="s">
        <v>126</v>
      </c>
      <c r="E29784" s="0" t="s">
        <v>126</v>
      </c>
      <c r="F29784" s="0" t="s">
        <v>126</v>
      </c>
    </row>
    <row r="29785" customFormat="false" ht="12.8" hidden="false" customHeight="false" outlineLevel="0" collapsed="false">
      <c r="B29785" s="0" t="s">
        <v>14</v>
      </c>
      <c r="C29785" s="0" t="s">
        <v>2850</v>
      </c>
      <c r="D29785" s="0" t="s">
        <v>452</v>
      </c>
      <c r="E29785" s="0" t="s">
        <v>452</v>
      </c>
      <c r="F29785" s="0" t="s">
        <v>452</v>
      </c>
    </row>
    <row r="29787" customFormat="false" ht="12.8" hidden="false" customHeight="false" outlineLevel="0" collapsed="false">
      <c r="A29787" s="0" t="s">
        <v>11059</v>
      </c>
      <c r="B29787" s="0" t="str">
        <f aca="false">HYPERLINK("https://lindat.mff.cuni.cz/services/teitok/pdtc10/index.php?action=vallex&amp;frame=v-w11369f1", "potrhat se (v-w11369f1)")</f>
        <v>potrhat se (v-w11369f1)</v>
      </c>
    </row>
    <row r="29788" customFormat="false" ht="12.8" hidden="false" customHeight="false" outlineLevel="0" collapsed="false">
      <c r="B29788" s="0" t="s">
        <v>7</v>
      </c>
    </row>
    <row r="29789" customFormat="false" ht="12.8" hidden="false" customHeight="false" outlineLevel="0" collapsed="false">
      <c r="B29789" s="0" t="s">
        <v>11060</v>
      </c>
    </row>
    <row r="29791" customFormat="false" ht="12.8" hidden="false" customHeight="false" outlineLevel="0" collapsed="false">
      <c r="A29791" s="0" t="s">
        <v>11061</v>
      </c>
      <c r="B29791" s="0" t="str">
        <f aca="false">HYPERLINK("https://lindat.mff.cuni.cz/services/teitok/pdtc10/index.php?action=vallex&amp;frame=v-w4092f1", "potrpět si (v-w4092f1)")</f>
        <v>potrpět si (v-w4092f1)</v>
      </c>
    </row>
    <row r="29792" customFormat="false" ht="12.8" hidden="false" customHeight="false" outlineLevel="0" collapsed="false">
      <c r="B29792" s="0" t="s">
        <v>7</v>
      </c>
    </row>
    <row r="29793" customFormat="false" ht="12.8" hidden="false" customHeight="false" outlineLevel="0" collapsed="false">
      <c r="B29793" s="0" t="s">
        <v>41</v>
      </c>
    </row>
    <row r="29795" customFormat="false" ht="12.8" hidden="false" customHeight="false" outlineLevel="0" collapsed="false">
      <c r="A29795" s="0" t="s">
        <v>11062</v>
      </c>
      <c r="B29795" s="0" t="str">
        <f aca="false">HYPERLINK("https://lindat.mff.cuni.cz/services/teitok/pdtc10/index.php?action=vallex&amp;frame=v-w4093f1", "potrvat (v-w4093f1)")</f>
        <v>potrvat (v-w4093f1)</v>
      </c>
    </row>
    <row r="29796" customFormat="false" ht="12.8" hidden="false" customHeight="false" outlineLevel="0" collapsed="false">
      <c r="B29796" s="0" t="s">
        <v>7</v>
      </c>
    </row>
    <row r="29798" customFormat="false" ht="12.8" hidden="false" customHeight="false" outlineLevel="0" collapsed="false">
      <c r="A29798" s="0" t="s">
        <v>11063</v>
      </c>
      <c r="B29798" s="0" t="str">
        <f aca="false">HYPERLINK("https://lindat.mff.cuni.cz/services/teitok/pdtc10/index.php?action=vallex&amp;frame=v-w4086f1", "potrápit (v-w4086f1)")</f>
        <v>potrápit (v-w4086f1)</v>
      </c>
    </row>
    <row r="29799" customFormat="false" ht="12.8" hidden="false" customHeight="false" outlineLevel="0" collapsed="false">
      <c r="B29799" s="0" t="s">
        <v>7</v>
      </c>
    </row>
    <row r="29800" customFormat="false" ht="12.8" hidden="false" customHeight="false" outlineLevel="0" collapsed="false">
      <c r="B29800" s="0" t="s">
        <v>14</v>
      </c>
    </row>
    <row r="29802" customFormat="false" ht="12.8" hidden="false" customHeight="false" outlineLevel="0" collapsed="false">
      <c r="A29802" s="0" t="s">
        <v>11064</v>
      </c>
      <c r="B29802" s="0" t="str">
        <f aca="false">HYPERLINK("https://lindat.mff.cuni.cz/services/teitok/pdtc10/index.php?action=vallex&amp;frame=v-w11479f1", "potulovat se (v-w11479f1)")</f>
        <v>potulovat se (v-w11479f1)</v>
      </c>
    </row>
    <row r="29803" customFormat="false" ht="12.8" hidden="false" customHeight="false" outlineLevel="0" collapsed="false">
      <c r="B29803" s="0" t="s">
        <v>7</v>
      </c>
      <c r="C29803" s="0" t="s">
        <v>184</v>
      </c>
      <c r="E29803" s="0" t="s">
        <v>194</v>
      </c>
      <c r="F29803" s="0" t="s">
        <v>194</v>
      </c>
    </row>
    <row r="29805" customFormat="false" ht="12.8" hidden="false" customHeight="false" outlineLevel="0" collapsed="false">
      <c r="A29805" s="0" t="s">
        <v>11065</v>
      </c>
      <c r="B29805" s="0" t="str">
        <f aca="false">HYPERLINK("https://lindat.mff.cuni.cz/services/teitok/pdtc10/index.php?action=vallex&amp;frame=v-w4098f1", "potupovat (v-w4098f1)")</f>
        <v>potupovat (v-w4098f1)</v>
      </c>
    </row>
    <row r="29806" customFormat="false" ht="12.8" hidden="false" customHeight="false" outlineLevel="0" collapsed="false">
      <c r="B29806" s="0" t="s">
        <v>7</v>
      </c>
      <c r="D29806" s="0" t="s">
        <v>184</v>
      </c>
      <c r="E29806" s="0" t="s">
        <v>184</v>
      </c>
      <c r="F29806" s="0" t="s">
        <v>184</v>
      </c>
    </row>
    <row r="29807" customFormat="false" ht="12.8" hidden="false" customHeight="false" outlineLevel="0" collapsed="false">
      <c r="B29807" s="0" t="s">
        <v>14</v>
      </c>
      <c r="D29807" s="0" t="s">
        <v>1610</v>
      </c>
      <c r="E29807" s="0" t="s">
        <v>1610</v>
      </c>
      <c r="F29807" s="0" t="s">
        <v>1610</v>
      </c>
    </row>
    <row r="29808" customFormat="false" ht="12.8" hidden="false" customHeight="false" outlineLevel="0" collapsed="false">
      <c r="B29808" s="0" t="s">
        <v>8558</v>
      </c>
    </row>
    <row r="29810" customFormat="false" ht="12.8" hidden="false" customHeight="false" outlineLevel="0" collapsed="false">
      <c r="A29810" s="0" t="s">
        <v>11066</v>
      </c>
      <c r="B29810" s="0" t="str">
        <f aca="false">HYPERLINK("https://lindat.mff.cuni.cz/services/teitok/pdtc10/index.php?action=vallex&amp;frame=v-w4099f1", "potvrdit (v-w4099f1)")</f>
        <v>potvrdit (v-w4099f1)</v>
      </c>
    </row>
    <row r="29811" customFormat="false" ht="12.8" hidden="false" customHeight="false" outlineLevel="0" collapsed="false">
      <c r="B29811" s="0" t="s">
        <v>11067</v>
      </c>
      <c r="C29811" s="0" t="s">
        <v>11068</v>
      </c>
      <c r="D29811" s="0" t="s">
        <v>158</v>
      </c>
      <c r="E29811" s="0" t="s">
        <v>158</v>
      </c>
      <c r="F29811" s="0" t="s">
        <v>158</v>
      </c>
    </row>
    <row r="29812" customFormat="false" ht="12.8" hidden="false" customHeight="false" outlineLevel="0" collapsed="false">
      <c r="B29812" s="0" t="s">
        <v>2573</v>
      </c>
      <c r="C29812" s="0" t="s">
        <v>11069</v>
      </c>
      <c r="D29812" s="0" t="s">
        <v>160</v>
      </c>
      <c r="E29812" s="0" t="s">
        <v>160</v>
      </c>
      <c r="F29812" s="0" t="s">
        <v>160</v>
      </c>
    </row>
    <row r="29813" customFormat="false" ht="12.8" hidden="false" customHeight="false" outlineLevel="0" collapsed="false">
      <c r="B29813" s="0" t="s">
        <v>106</v>
      </c>
      <c r="C29813" s="0" t="s">
        <v>3323</v>
      </c>
      <c r="D29813" s="0" t="s">
        <v>1843</v>
      </c>
      <c r="E29813" s="0" t="s">
        <v>1843</v>
      </c>
      <c r="F29813" s="0" t="s">
        <v>1843</v>
      </c>
    </row>
    <row r="29815" customFormat="false" ht="12.8" hidden="false" customHeight="false" outlineLevel="0" collapsed="false">
      <c r="A29815" s="0" t="s">
        <v>11070</v>
      </c>
      <c r="B29815" s="0" t="str">
        <f aca="false">HYPERLINK("https://lindat.mff.cuni.cz/services/teitok/pdtc10/index.php?action=vallex&amp;frame=v-w4099f2", "potvrdit (v-w4099f2)")</f>
        <v>potvrdit (v-w4099f2)</v>
      </c>
    </row>
    <row r="29816" customFormat="false" ht="12.8" hidden="false" customHeight="false" outlineLevel="0" collapsed="false">
      <c r="B29816" s="0" t="s">
        <v>7</v>
      </c>
      <c r="C29816" s="0" t="s">
        <v>184</v>
      </c>
    </row>
    <row r="29817" customFormat="false" ht="12.8" hidden="false" customHeight="false" outlineLevel="0" collapsed="false">
      <c r="B29817" s="0" t="s">
        <v>14</v>
      </c>
      <c r="C29817" s="0" t="s">
        <v>384</v>
      </c>
    </row>
    <row r="29818" customFormat="false" ht="12.8" hidden="false" customHeight="false" outlineLevel="0" collapsed="false">
      <c r="B29818" s="0" t="s">
        <v>11071</v>
      </c>
    </row>
    <row r="29820" customFormat="false" ht="12.8" hidden="false" customHeight="false" outlineLevel="0" collapsed="false">
      <c r="A29820" s="0" t="s">
        <v>11072</v>
      </c>
      <c r="B29820" s="0" t="str">
        <f aca="false">HYPERLINK("https://lindat.mff.cuni.cz/services/teitok/pdtc10/index.php?action=vallex&amp;frame=v-w4100f1", "potvrdit se (v-w4100f1)")</f>
        <v>potvrdit se (v-w4100f1)</v>
      </c>
    </row>
    <row r="29821" customFormat="false" ht="12.8" hidden="false" customHeight="false" outlineLevel="0" collapsed="false">
      <c r="B29821" s="0" t="s">
        <v>641</v>
      </c>
      <c r="C29821" s="0" t="s">
        <v>11073</v>
      </c>
    </row>
    <row r="29823" customFormat="false" ht="12.8" hidden="false" customHeight="false" outlineLevel="0" collapsed="false">
      <c r="A29823" s="0" t="s">
        <v>11074</v>
      </c>
      <c r="B29823" s="0" t="str">
        <f aca="false">HYPERLINK("https://lindat.mff.cuni.cz/services/teitok/pdtc10/index.php?action=vallex&amp;frame=v-w4103f1", "potvrzovat (v-w4103f1)")</f>
        <v>potvrzovat (v-w4103f1)</v>
      </c>
    </row>
    <row r="29824" customFormat="false" ht="12.8" hidden="false" customHeight="false" outlineLevel="0" collapsed="false">
      <c r="B29824" s="0" t="s">
        <v>7</v>
      </c>
      <c r="C29824" s="0" t="s">
        <v>11075</v>
      </c>
      <c r="D29824" s="0" t="s">
        <v>158</v>
      </c>
      <c r="E29824" s="0" t="s">
        <v>158</v>
      </c>
      <c r="F29824" s="0" t="s">
        <v>158</v>
      </c>
    </row>
    <row r="29825" customFormat="false" ht="12.8" hidden="false" customHeight="false" outlineLevel="0" collapsed="false">
      <c r="B29825" s="0" t="s">
        <v>2573</v>
      </c>
      <c r="C29825" s="0" t="s">
        <v>11076</v>
      </c>
      <c r="D29825" s="0" t="s">
        <v>160</v>
      </c>
      <c r="E29825" s="0" t="s">
        <v>160</v>
      </c>
      <c r="F29825" s="0" t="s">
        <v>160</v>
      </c>
    </row>
    <row r="29826" customFormat="false" ht="12.8" hidden="false" customHeight="false" outlineLevel="0" collapsed="false">
      <c r="B29826" s="0" t="s">
        <v>106</v>
      </c>
      <c r="C29826" s="0" t="s">
        <v>6264</v>
      </c>
      <c r="D29826" s="0" t="s">
        <v>1843</v>
      </c>
      <c r="E29826" s="0" t="s">
        <v>1843</v>
      </c>
      <c r="F29826" s="0" t="s">
        <v>1843</v>
      </c>
    </row>
    <row r="29828" customFormat="false" ht="12.8" hidden="false" customHeight="false" outlineLevel="0" collapsed="false">
      <c r="A29828" s="0" t="s">
        <v>11077</v>
      </c>
      <c r="B29828" s="0" t="str">
        <f aca="false">HYPERLINK("https://lindat.mff.cuni.cz/services/teitok/pdtc10/index.php?action=vallex&amp;frame=v-w4103f2", "potvrzovat (v-w4103f2)")</f>
        <v>potvrzovat (v-w4103f2)</v>
      </c>
    </row>
    <row r="29829" customFormat="false" ht="12.8" hidden="false" customHeight="false" outlineLevel="0" collapsed="false">
      <c r="B29829" s="0" t="s">
        <v>7</v>
      </c>
    </row>
    <row r="29830" customFormat="false" ht="12.8" hidden="false" customHeight="false" outlineLevel="0" collapsed="false">
      <c r="B29830" s="0" t="s">
        <v>14</v>
      </c>
    </row>
    <row r="29831" customFormat="false" ht="12.8" hidden="false" customHeight="false" outlineLevel="0" collapsed="false">
      <c r="B29831" s="0" t="s">
        <v>11071</v>
      </c>
    </row>
    <row r="29833" customFormat="false" ht="12.8" hidden="false" customHeight="false" outlineLevel="0" collapsed="false">
      <c r="A29833" s="0" t="s">
        <v>11078</v>
      </c>
      <c r="B29833" s="0" t="str">
        <f aca="false">HYPERLINK("https://lindat.mff.cuni.cz/services/teitok/pdtc10/index.php?action=vallex&amp;frame=v-w4104f1", "potvrzovat se (v-w4104f1)")</f>
        <v>potvrzovat se (v-w4104f1)</v>
      </c>
    </row>
    <row r="29834" customFormat="false" ht="12.8" hidden="false" customHeight="false" outlineLevel="0" collapsed="false">
      <c r="B29834" s="0" t="s">
        <v>641</v>
      </c>
    </row>
    <row r="29836" customFormat="false" ht="12.8" hidden="false" customHeight="false" outlineLevel="0" collapsed="false">
      <c r="A29836" s="0" t="s">
        <v>11079</v>
      </c>
      <c r="B29836" s="0" t="str">
        <f aca="false">HYPERLINK("https://lindat.mff.cuni.cz/services/teitok/pdtc10/index.php?action=vallex&amp;frame=v-w4064f1", "potácet se (v-w4064f1)")</f>
        <v>potácet se (v-w4064f1)</v>
      </c>
    </row>
    <row r="29837" customFormat="false" ht="12.8" hidden="false" customHeight="false" outlineLevel="0" collapsed="false">
      <c r="B29837" s="0" t="s">
        <v>7</v>
      </c>
      <c r="C29837" s="0" t="s">
        <v>46</v>
      </c>
    </row>
    <row r="29839" customFormat="false" ht="12.8" hidden="false" customHeight="false" outlineLevel="0" collapsed="false">
      <c r="A29839" s="0" t="s">
        <v>11080</v>
      </c>
      <c r="B29839" s="0" t="str">
        <f aca="false">HYPERLINK("https://lindat.mff.cuni.cz/services/teitok/pdtc10/index.php?action=vallex&amp;frame=v-w4066f1", "potáhnout (v-w4066f1)")</f>
        <v>potáhnout (v-w4066f1)</v>
      </c>
    </row>
    <row r="29840" customFormat="false" ht="12.8" hidden="false" customHeight="false" outlineLevel="0" collapsed="false">
      <c r="B29840" s="0" t="s">
        <v>7</v>
      </c>
    </row>
    <row r="29841" customFormat="false" ht="12.8" hidden="false" customHeight="false" outlineLevel="0" collapsed="false">
      <c r="B29841" s="0" t="s">
        <v>14</v>
      </c>
    </row>
    <row r="29843" customFormat="false" ht="12.8" hidden="false" customHeight="false" outlineLevel="0" collapsed="false">
      <c r="A29843" s="0" t="s">
        <v>11081</v>
      </c>
      <c r="B29843" s="0" t="str">
        <f aca="false">HYPERLINK("https://lindat.mff.cuni.cz/services/teitok/pdtc10/index.php?action=vallex&amp;frame=v-w4066f2_ZU", "potáhnout (v-w4066f2_ZU)")</f>
        <v>potáhnout (v-w4066f2_ZU)</v>
      </c>
    </row>
    <row r="29844" customFormat="false" ht="12.8" hidden="false" customHeight="false" outlineLevel="0" collapsed="false">
      <c r="B29844" s="0" t="s">
        <v>7</v>
      </c>
    </row>
    <row r="29845" customFormat="false" ht="12.8" hidden="false" customHeight="false" outlineLevel="0" collapsed="false">
      <c r="B29845" s="0" t="s">
        <v>14</v>
      </c>
    </row>
    <row r="29847" customFormat="false" ht="12.8" hidden="false" customHeight="false" outlineLevel="0" collapsed="false">
      <c r="A29847" s="0" t="s">
        <v>11082</v>
      </c>
      <c r="B29847" s="0" t="str">
        <f aca="false">HYPERLINK("https://lindat.mff.cuni.cz/services/teitok/pdtc10/index.php?action=vallex&amp;frame=v-w4068f1", "potápět (v-w4068f1)")</f>
        <v>potápět (v-w4068f1)</v>
      </c>
    </row>
    <row r="29848" customFormat="false" ht="12.8" hidden="false" customHeight="false" outlineLevel="0" collapsed="false">
      <c r="B29848" s="0" t="s">
        <v>7</v>
      </c>
    </row>
    <row r="29849" customFormat="false" ht="12.8" hidden="false" customHeight="false" outlineLevel="0" collapsed="false">
      <c r="B29849" s="0" t="s">
        <v>14</v>
      </c>
    </row>
    <row r="29851" customFormat="false" ht="12.8" hidden="false" customHeight="false" outlineLevel="0" collapsed="false">
      <c r="A29851" s="0" t="s">
        <v>11083</v>
      </c>
      <c r="B29851" s="0" t="str">
        <f aca="false">HYPERLINK("https://lindat.mff.cuni.cz/services/teitok/pdtc10/index.php?action=vallex&amp;frame=v-w4068f2", "potápět (v-w4068f2)")</f>
        <v>potápět (v-w4068f2)</v>
      </c>
    </row>
    <row r="29852" customFormat="false" ht="12.8" hidden="false" customHeight="false" outlineLevel="0" collapsed="false">
      <c r="B29852" s="0" t="s">
        <v>7</v>
      </c>
      <c r="C29852" s="0" t="s">
        <v>191</v>
      </c>
    </row>
    <row r="29853" customFormat="false" ht="12.8" hidden="false" customHeight="false" outlineLevel="0" collapsed="false">
      <c r="B29853" s="0" t="s">
        <v>14</v>
      </c>
      <c r="C29853" s="0" t="s">
        <v>155</v>
      </c>
    </row>
    <row r="29855" customFormat="false" ht="12.8" hidden="false" customHeight="false" outlineLevel="0" collapsed="false">
      <c r="A29855" s="0" t="s">
        <v>11084</v>
      </c>
      <c r="B29855" s="0" t="str">
        <f aca="false">HYPERLINK("https://lindat.mff.cuni.cz/services/teitok/pdtc10/index.php?action=vallex&amp;frame=v-w4068hsa_496", "potápět (v-w4068hsa_496)")</f>
        <v>potápět (v-w4068hsa_496)</v>
      </c>
    </row>
    <row r="29856" customFormat="false" ht="12.8" hidden="false" customHeight="false" outlineLevel="0" collapsed="false">
      <c r="B29856" s="0" t="s">
        <v>7</v>
      </c>
    </row>
    <row r="29857" customFormat="false" ht="12.8" hidden="false" customHeight="false" outlineLevel="0" collapsed="false">
      <c r="B29857" s="0" t="s">
        <v>14</v>
      </c>
    </row>
    <row r="29858" customFormat="false" ht="12.8" hidden="false" customHeight="false" outlineLevel="0" collapsed="false">
      <c r="B29858" s="0" t="s">
        <v>124</v>
      </c>
    </row>
    <row r="29860" customFormat="false" ht="12.8" hidden="false" customHeight="false" outlineLevel="0" collapsed="false">
      <c r="A29860" s="0" t="s">
        <v>11085</v>
      </c>
      <c r="B29860" s="0" t="str">
        <f aca="false">HYPERLINK("https://lindat.mff.cuni.cz/services/teitok/pdtc10/index.php?action=vallex&amp;frame=v-w11274f1", "potápět se (v-w11274f1)")</f>
        <v>potápět se (v-w11274f1)</v>
      </c>
    </row>
    <row r="29861" customFormat="false" ht="12.8" hidden="false" customHeight="false" outlineLevel="0" collapsed="false">
      <c r="B29861" s="0" t="s">
        <v>7</v>
      </c>
      <c r="C29861" s="0" t="s">
        <v>16</v>
      </c>
      <c r="D29861" s="0" t="s">
        <v>11052</v>
      </c>
      <c r="E29861" s="0" t="s">
        <v>11053</v>
      </c>
      <c r="F29861" s="0" t="s">
        <v>11053</v>
      </c>
    </row>
    <row r="29863" customFormat="false" ht="12.8" hidden="false" customHeight="false" outlineLevel="0" collapsed="false">
      <c r="A29863" s="0" t="s">
        <v>11086</v>
      </c>
      <c r="B29863" s="0" t="str">
        <f aca="false">HYPERLINK("https://lindat.mff.cuni.cz/services/teitok/pdtc10/index.php?action=vallex&amp;frame=v-w11274hsa_1198", "potápět se (v-w11274hsa_1198)")</f>
        <v>potápět se (v-w11274hsa_1198)</v>
      </c>
    </row>
    <row r="29864" customFormat="false" ht="12.8" hidden="false" customHeight="false" outlineLevel="0" collapsed="false">
      <c r="B29864" s="0" t="s">
        <v>7</v>
      </c>
    </row>
    <row r="29866" customFormat="false" ht="12.8" hidden="false" customHeight="false" outlineLevel="0" collapsed="false">
      <c r="A29866" s="0" t="s">
        <v>11087</v>
      </c>
      <c r="B29866" s="0" t="str">
        <f aca="false">HYPERLINK("https://lindat.mff.cuni.cz/services/teitok/pdtc10/index.php?action=vallex&amp;frame=v-w4073f1", "potírat (v-w4073f1)")</f>
        <v>potírat (v-w4073f1)</v>
      </c>
    </row>
    <row r="29867" customFormat="false" ht="12.8" hidden="false" customHeight="false" outlineLevel="0" collapsed="false">
      <c r="B29867" s="0" t="s">
        <v>7</v>
      </c>
      <c r="C29867" s="0" t="s">
        <v>623</v>
      </c>
      <c r="D29867" s="0" t="s">
        <v>252</v>
      </c>
      <c r="E29867" s="0" t="s">
        <v>253</v>
      </c>
      <c r="F29867" s="0" t="s">
        <v>253</v>
      </c>
    </row>
    <row r="29868" customFormat="false" ht="12.8" hidden="false" customHeight="false" outlineLevel="0" collapsed="false">
      <c r="B29868" s="0" t="s">
        <v>14</v>
      </c>
      <c r="C29868" s="0" t="s">
        <v>1315</v>
      </c>
      <c r="D29868" s="0" t="s">
        <v>255</v>
      </c>
      <c r="E29868" s="0" t="s">
        <v>256</v>
      </c>
      <c r="F29868" s="0" t="s">
        <v>256</v>
      </c>
    </row>
    <row r="29870" customFormat="false" ht="12.8" hidden="false" customHeight="false" outlineLevel="0" collapsed="false">
      <c r="A29870" s="0" t="s">
        <v>11088</v>
      </c>
      <c r="B29870" s="0" t="str">
        <f aca="false">HYPERLINK("https://lindat.mff.cuni.cz/services/teitok/pdtc10/index.php?action=vallex&amp;frame=v-w4073f2_ZU", "potírat (v-w4073f2_ZU)")</f>
        <v>potírat (v-w4073f2_ZU)</v>
      </c>
    </row>
    <row r="29871" customFormat="false" ht="12.8" hidden="false" customHeight="false" outlineLevel="0" collapsed="false">
      <c r="B29871" s="0" t="s">
        <v>7</v>
      </c>
    </row>
    <row r="29872" customFormat="false" ht="12.8" hidden="false" customHeight="false" outlineLevel="0" collapsed="false">
      <c r="B29872" s="0" t="s">
        <v>14</v>
      </c>
    </row>
    <row r="29874" customFormat="false" ht="12.8" hidden="false" customHeight="false" outlineLevel="0" collapsed="false">
      <c r="A29874" s="0" t="s">
        <v>11089</v>
      </c>
      <c r="B29874" s="0" t="str">
        <f aca="false">HYPERLINK("https://lindat.mff.cuni.cz/services/teitok/pdtc10/index.php?action=vallex&amp;frame=v-w4107f1", "potýkat se (v-w4107f1)")</f>
        <v>potýkat se (v-w4107f1)</v>
      </c>
    </row>
    <row r="29875" customFormat="false" ht="12.8" hidden="false" customHeight="false" outlineLevel="0" collapsed="false">
      <c r="B29875" s="0" t="s">
        <v>7</v>
      </c>
      <c r="C29875" s="0" t="s">
        <v>11090</v>
      </c>
      <c r="D29875" s="0" t="s">
        <v>310</v>
      </c>
      <c r="E29875" s="0" t="s">
        <v>310</v>
      </c>
      <c r="F29875" s="0" t="s">
        <v>310</v>
      </c>
    </row>
    <row r="29876" customFormat="false" ht="12.8" hidden="false" customHeight="false" outlineLevel="0" collapsed="false">
      <c r="B29876" s="0" t="s">
        <v>548</v>
      </c>
      <c r="C29876" s="0" t="s">
        <v>11091</v>
      </c>
      <c r="D29876" s="0" t="s">
        <v>313</v>
      </c>
      <c r="E29876" s="0" t="s">
        <v>313</v>
      </c>
      <c r="F29876" s="0" t="s">
        <v>313</v>
      </c>
    </row>
    <row r="29878" customFormat="false" ht="12.8" hidden="false" customHeight="false" outlineLevel="0" collapsed="false">
      <c r="A29878" s="0" t="s">
        <v>11092</v>
      </c>
      <c r="B29878" s="0" t="str">
        <f aca="false">HYPERLINK("https://lindat.mff.cuni.cz/services/teitok/pdtc10/index.php?action=vallex&amp;frame=v-w4108f1", "potýrat (v-w4108f1)")</f>
        <v>potýrat (v-w4108f1)</v>
      </c>
    </row>
    <row r="29879" customFormat="false" ht="12.8" hidden="false" customHeight="false" outlineLevel="0" collapsed="false">
      <c r="B29879" s="0" t="s">
        <v>7</v>
      </c>
    </row>
    <row r="29880" customFormat="false" ht="12.8" hidden="false" customHeight="false" outlineLevel="0" collapsed="false">
      <c r="B29880" s="0" t="s">
        <v>14</v>
      </c>
    </row>
    <row r="29882" customFormat="false" ht="12.8" hidden="false" customHeight="false" outlineLevel="0" collapsed="false">
      <c r="A29882" s="0" t="s">
        <v>11093</v>
      </c>
      <c r="B29882" s="0" t="str">
        <f aca="false">HYPERLINK("https://lindat.mff.cuni.cz/services/teitok/pdtc10/index.php?action=vallex&amp;frame=v-w4070f2_ZU", "potěšit (v-w4070f2_ZU)")</f>
        <v>potěšit (v-w4070f2_ZU)</v>
      </c>
    </row>
    <row r="29883" customFormat="false" ht="12.8" hidden="false" customHeight="false" outlineLevel="0" collapsed="false">
      <c r="B29883" s="0" t="s">
        <v>11094</v>
      </c>
    </row>
    <row r="29884" customFormat="false" ht="12.8" hidden="false" customHeight="false" outlineLevel="0" collapsed="false">
      <c r="B29884" s="0" t="s">
        <v>14</v>
      </c>
    </row>
    <row r="29886" customFormat="false" ht="12.8" hidden="false" customHeight="false" outlineLevel="0" collapsed="false">
      <c r="A29886" s="0" t="s">
        <v>11093</v>
      </c>
      <c r="B29886" s="0" t="str">
        <f aca="false">HYPERLINK("https://lindat.mff.cuni.cz/services/teitok/pdtc10/index.php?action=vallex&amp;frame=v-w4070f1", "potěšit (v-w4070f1) - substituted with v-w4070f2_ZU")</f>
        <v>potěšit (v-w4070f1) - substituted with v-w4070f2_ZU</v>
      </c>
    </row>
    <row r="29887" customFormat="false" ht="12.8" hidden="false" customHeight="false" outlineLevel="0" collapsed="false">
      <c r="B29887" s="0" t="s">
        <v>11094</v>
      </c>
      <c r="C29887" s="0" t="s">
        <v>11095</v>
      </c>
      <c r="D29887" s="0" t="s">
        <v>11096</v>
      </c>
      <c r="E29887" s="0" t="s">
        <v>11096</v>
      </c>
      <c r="F29887" s="0" t="s">
        <v>11096</v>
      </c>
    </row>
    <row r="29888" customFormat="false" ht="12.8" hidden="false" customHeight="false" outlineLevel="0" collapsed="false">
      <c r="B29888" s="0" t="s">
        <v>14</v>
      </c>
      <c r="C29888" s="0" t="s">
        <v>11097</v>
      </c>
      <c r="D29888" s="0" t="s">
        <v>11098</v>
      </c>
      <c r="E29888" s="0" t="s">
        <v>11098</v>
      </c>
      <c r="F29888" s="0" t="s">
        <v>11098</v>
      </c>
    </row>
    <row r="29890" customFormat="false" ht="12.8" hidden="false" customHeight="false" outlineLevel="0" collapsed="false">
      <c r="A29890" s="0" t="s">
        <v>11099</v>
      </c>
      <c r="B29890" s="0" t="str">
        <f aca="false">HYPERLINK("https://lindat.mff.cuni.cz/services/teitok/pdtc10/index.php?action=vallex&amp;frame=v-w12186_ZUf1_ZU", "potěšit se (v-w12186_ZUf1_ZU)")</f>
        <v>potěšit se (v-w12186_ZUf1_ZU)</v>
      </c>
    </row>
    <row r="29891" customFormat="false" ht="12.8" hidden="false" customHeight="false" outlineLevel="0" collapsed="false">
      <c r="B29891" s="0" t="s">
        <v>7</v>
      </c>
    </row>
    <row r="29892" customFormat="false" ht="12.8" hidden="false" customHeight="false" outlineLevel="0" collapsed="false">
      <c r="B29892" s="0" t="s">
        <v>3760</v>
      </c>
    </row>
    <row r="29894" customFormat="false" ht="12.8" hidden="false" customHeight="false" outlineLevel="0" collapsed="false">
      <c r="A29894" s="0" t="s">
        <v>11100</v>
      </c>
      <c r="B29894" s="0" t="str">
        <f aca="false">HYPERLINK("https://lindat.mff.cuni.cz/services/teitok/pdtc10/index.php?action=vallex&amp;frame=v-w4071f1", "potěžkávat (v-w4071f1)")</f>
        <v>potěžkávat (v-w4071f1)</v>
      </c>
    </row>
    <row r="29895" customFormat="false" ht="12.8" hidden="false" customHeight="false" outlineLevel="0" collapsed="false">
      <c r="B29895" s="0" t="s">
        <v>7</v>
      </c>
    </row>
    <row r="29896" customFormat="false" ht="12.8" hidden="false" customHeight="false" outlineLevel="0" collapsed="false">
      <c r="B29896" s="0" t="s">
        <v>14</v>
      </c>
    </row>
    <row r="29898" customFormat="false" ht="12.8" hidden="false" customHeight="false" outlineLevel="0" collapsed="false">
      <c r="A29898" s="0" t="s">
        <v>11101</v>
      </c>
      <c r="B29898" s="0" t="str">
        <f aca="false">HYPERLINK("https://lindat.mff.cuni.cz/services/teitok/pdtc10/index.php?action=vallex&amp;frame=v-w4096f2", "potřebovat (v-w4096f2)")</f>
        <v>potřebovat (v-w4096f2)</v>
      </c>
    </row>
    <row r="29899" customFormat="false" ht="12.8" hidden="false" customHeight="false" outlineLevel="0" collapsed="false">
      <c r="B29899" s="0" t="s">
        <v>7</v>
      </c>
      <c r="C29899" s="0" t="s">
        <v>11102</v>
      </c>
      <c r="D29899" s="0" t="s">
        <v>11103</v>
      </c>
      <c r="E29899" s="0" t="s">
        <v>11103</v>
      </c>
      <c r="F29899" s="0" t="s">
        <v>11103</v>
      </c>
    </row>
    <row r="29900" customFormat="false" ht="12.8" hidden="false" customHeight="false" outlineLevel="0" collapsed="false">
      <c r="B29900" s="0" t="s">
        <v>1394</v>
      </c>
      <c r="C29900" s="0" t="s">
        <v>11104</v>
      </c>
      <c r="D29900" s="0" t="s">
        <v>11105</v>
      </c>
      <c r="E29900" s="0" t="s">
        <v>11105</v>
      </c>
      <c r="F29900" s="0" t="s">
        <v>11105</v>
      </c>
    </row>
    <row r="29901" customFormat="false" ht="12.8" hidden="false" customHeight="false" outlineLevel="0" collapsed="false">
      <c r="B29901" s="0" t="s">
        <v>441</v>
      </c>
      <c r="D29901" s="0" t="s">
        <v>11106</v>
      </c>
      <c r="E29901" s="0" t="s">
        <v>11106</v>
      </c>
      <c r="F29901" s="0" t="s">
        <v>11106</v>
      </c>
    </row>
    <row r="29903" customFormat="false" ht="12.8" hidden="false" customHeight="false" outlineLevel="0" collapsed="false">
      <c r="A29903" s="0" t="s">
        <v>11107</v>
      </c>
      <c r="B29903" s="0" t="str">
        <f aca="false">HYPERLINK("https://lindat.mff.cuni.cz/services/teitok/pdtc10/index.php?action=vallex&amp;frame=v-w4096f1", "potřebovat (v-w4096f1)")</f>
        <v>potřebovat (v-w4096f1)</v>
      </c>
    </row>
    <row r="29904" customFormat="false" ht="12.8" hidden="false" customHeight="false" outlineLevel="0" collapsed="false">
      <c r="B29904" s="0" t="s">
        <v>7</v>
      </c>
      <c r="C29904" s="0" t="s">
        <v>11108</v>
      </c>
      <c r="D29904" s="0" t="s">
        <v>10636</v>
      </c>
      <c r="E29904" s="0" t="s">
        <v>10636</v>
      </c>
      <c r="F29904" s="0" t="s">
        <v>10636</v>
      </c>
    </row>
    <row r="29905" customFormat="false" ht="12.8" hidden="false" customHeight="false" outlineLevel="0" collapsed="false">
      <c r="B29905" s="0" t="s">
        <v>11109</v>
      </c>
      <c r="C29905" s="0" t="s">
        <v>11110</v>
      </c>
      <c r="D29905" s="0" t="s">
        <v>10637</v>
      </c>
      <c r="E29905" s="0" t="s">
        <v>10637</v>
      </c>
      <c r="F29905" s="0" t="s">
        <v>10637</v>
      </c>
    </row>
    <row r="29907" customFormat="false" ht="12.8" hidden="false" customHeight="false" outlineLevel="0" collapsed="false">
      <c r="A29907" s="0" t="s">
        <v>11111</v>
      </c>
      <c r="B29907" s="0" t="str">
        <f aca="false">HYPERLINK("https://lindat.mff.cuni.cz/services/teitok/pdtc10/index.php?action=vallex&amp;frame=v-w4096f3", "potřebovat (v-w4096f3)")</f>
        <v>potřebovat (v-w4096f3)</v>
      </c>
    </row>
    <row r="29908" customFormat="false" ht="12.8" hidden="false" customHeight="false" outlineLevel="0" collapsed="false">
      <c r="B29908" s="0" t="s">
        <v>7</v>
      </c>
      <c r="C29908" s="0" t="s">
        <v>11112</v>
      </c>
      <c r="D29908" s="0" t="s">
        <v>10636</v>
      </c>
      <c r="E29908" s="0" t="s">
        <v>10636</v>
      </c>
      <c r="F29908" s="0" t="s">
        <v>10636</v>
      </c>
    </row>
    <row r="29909" customFormat="false" ht="12.8" hidden="false" customHeight="false" outlineLevel="0" collapsed="false">
      <c r="B29909" s="0" t="s">
        <v>14</v>
      </c>
      <c r="C29909" s="0" t="s">
        <v>11113</v>
      </c>
      <c r="D29909" s="0" t="s">
        <v>10637</v>
      </c>
      <c r="E29909" s="0" t="s">
        <v>10637</v>
      </c>
      <c r="F29909" s="0" t="s">
        <v>10637</v>
      </c>
    </row>
    <row r="29911" customFormat="false" ht="12.8" hidden="false" customHeight="false" outlineLevel="0" collapsed="false">
      <c r="A29911" s="0" t="s">
        <v>11114</v>
      </c>
      <c r="B29911" s="0" t="str">
        <f aca="false">HYPERLINK("https://lindat.mff.cuni.cz/services/teitok/pdtc10/index.php?action=vallex&amp;frame=v-w12302_MMf1_MM", "potřásat (v-w12302_MMf1_MM)")</f>
        <v>potřásat (v-w12302_MMf1_MM)</v>
      </c>
    </row>
    <row r="29912" customFormat="false" ht="12.8" hidden="false" customHeight="false" outlineLevel="0" collapsed="false">
      <c r="B29912" s="0" t="s">
        <v>7</v>
      </c>
    </row>
    <row r="29913" customFormat="false" ht="12.8" hidden="false" customHeight="false" outlineLevel="0" collapsed="false">
      <c r="B29913" s="0" t="s">
        <v>216</v>
      </c>
    </row>
    <row r="29914" customFormat="false" ht="12.8" hidden="false" customHeight="false" outlineLevel="0" collapsed="false">
      <c r="B29914" s="0" t="s">
        <v>48</v>
      </c>
    </row>
    <row r="29916" customFormat="false" ht="12.8" hidden="false" customHeight="false" outlineLevel="0" collapsed="false">
      <c r="A29916" s="0" t="s">
        <v>11115</v>
      </c>
      <c r="B29916" s="0" t="str">
        <f aca="false">HYPERLINK("https://lindat.mff.cuni.cz/services/teitok/pdtc10/index.php?action=vallex&amp;frame=v-w4094f1", "potřást (v-w4094f1)")</f>
        <v>potřást (v-w4094f1)</v>
      </c>
    </row>
    <row r="29917" customFormat="false" ht="12.8" hidden="false" customHeight="false" outlineLevel="0" collapsed="false">
      <c r="B29917" s="0" t="s">
        <v>7</v>
      </c>
    </row>
    <row r="29918" customFormat="false" ht="12.8" hidden="false" customHeight="false" outlineLevel="0" collapsed="false">
      <c r="B29918" s="0" t="s">
        <v>9318</v>
      </c>
      <c r="C29918" s="0" t="s">
        <v>155</v>
      </c>
    </row>
    <row r="29919" customFormat="false" ht="12.8" hidden="false" customHeight="false" outlineLevel="0" collapsed="false">
      <c r="B29919" s="0" t="s">
        <v>11116</v>
      </c>
      <c r="C29919" s="0" t="s">
        <v>11117</v>
      </c>
    </row>
    <row r="29921" customFormat="false" ht="12.8" hidden="false" customHeight="false" outlineLevel="0" collapsed="false">
      <c r="A29921" s="0" t="s">
        <v>11118</v>
      </c>
      <c r="B29921" s="0" t="str">
        <f aca="false">HYPERLINK("https://lindat.mff.cuni.cz/services/teitok/pdtc10/index.php?action=vallex&amp;frame=v-w4097f1", "potřísnit (v-w4097f1)")</f>
        <v>potřísnit (v-w4097f1)</v>
      </c>
    </row>
    <row r="29922" customFormat="false" ht="12.8" hidden="false" customHeight="false" outlineLevel="0" collapsed="false">
      <c r="B29922" s="0" t="s">
        <v>7</v>
      </c>
    </row>
    <row r="29923" customFormat="false" ht="12.8" hidden="false" customHeight="false" outlineLevel="0" collapsed="false">
      <c r="B29923" s="0" t="s">
        <v>14</v>
      </c>
    </row>
    <row r="29925" customFormat="false" ht="12.8" hidden="false" customHeight="false" outlineLevel="0" collapsed="false">
      <c r="A29925" s="0" t="s">
        <v>11119</v>
      </c>
      <c r="B29925" s="0" t="str">
        <f aca="false">HYPERLINK("https://lindat.mff.cuni.cz/services/teitok/pdtc10/index.php?action=vallex&amp;frame=v-w4122f1", "poukazovat (v-w4122f1)")</f>
        <v>poukazovat (v-w4122f1)</v>
      </c>
    </row>
    <row r="29926" customFormat="false" ht="12.8" hidden="false" customHeight="false" outlineLevel="0" collapsed="false">
      <c r="B29926" s="0" t="s">
        <v>7</v>
      </c>
      <c r="C29926" s="0" t="s">
        <v>11120</v>
      </c>
      <c r="D29926" s="0" t="s">
        <v>1505</v>
      </c>
      <c r="E29926" s="0" t="s">
        <v>1505</v>
      </c>
      <c r="F29926" s="0" t="s">
        <v>1505</v>
      </c>
    </row>
    <row r="29927" customFormat="false" ht="12.8" hidden="false" customHeight="false" outlineLevel="0" collapsed="false">
      <c r="B29927" s="0" t="s">
        <v>11121</v>
      </c>
      <c r="C29927" s="0" t="s">
        <v>11122</v>
      </c>
      <c r="D29927" s="0" t="s">
        <v>11123</v>
      </c>
      <c r="E29927" s="0" t="s">
        <v>11123</v>
      </c>
      <c r="F29927" s="0" t="s">
        <v>11123</v>
      </c>
    </row>
    <row r="29929" customFormat="false" ht="12.8" hidden="false" customHeight="false" outlineLevel="0" collapsed="false">
      <c r="A29929" s="0" t="s">
        <v>11124</v>
      </c>
      <c r="B29929" s="0" t="str">
        <f aca="false">HYPERLINK("https://lindat.mff.cuni.cz/services/teitok/pdtc10/index.php?action=vallex&amp;frame=v-w4119f2", "poukázat (v-w4119f2)")</f>
        <v>poukázat (v-w4119f2)</v>
      </c>
    </row>
    <row r="29930" customFormat="false" ht="12.8" hidden="false" customHeight="false" outlineLevel="0" collapsed="false">
      <c r="B29930" s="0" t="s">
        <v>7</v>
      </c>
    </row>
    <row r="29931" customFormat="false" ht="12.8" hidden="false" customHeight="false" outlineLevel="0" collapsed="false">
      <c r="B29931" s="0" t="s">
        <v>14</v>
      </c>
    </row>
    <row r="29932" customFormat="false" ht="12.8" hidden="false" customHeight="false" outlineLevel="0" collapsed="false">
      <c r="B29932" s="0" t="s">
        <v>48</v>
      </c>
    </row>
    <row r="29934" customFormat="false" ht="12.8" hidden="false" customHeight="false" outlineLevel="0" collapsed="false">
      <c r="A29934" s="0" t="s">
        <v>11125</v>
      </c>
      <c r="B29934" s="0" t="str">
        <f aca="false">HYPERLINK("https://lindat.mff.cuni.cz/services/teitok/pdtc10/index.php?action=vallex&amp;frame=v-w4119f1", "poukázat (v-w4119f1)")</f>
        <v>poukázat (v-w4119f1)</v>
      </c>
    </row>
    <row r="29935" customFormat="false" ht="12.8" hidden="false" customHeight="false" outlineLevel="0" collapsed="false">
      <c r="B29935" s="0" t="s">
        <v>7</v>
      </c>
      <c r="C29935" s="0" t="s">
        <v>2220</v>
      </c>
      <c r="D29935" s="0" t="s">
        <v>1505</v>
      </c>
      <c r="E29935" s="0" t="s">
        <v>1505</v>
      </c>
      <c r="F29935" s="0" t="s">
        <v>1505</v>
      </c>
    </row>
    <row r="29936" customFormat="false" ht="12.8" hidden="false" customHeight="false" outlineLevel="0" collapsed="false">
      <c r="B29936" s="0" t="s">
        <v>11121</v>
      </c>
      <c r="C29936" s="0" t="s">
        <v>11126</v>
      </c>
      <c r="D29936" s="0" t="s">
        <v>11123</v>
      </c>
      <c r="E29936" s="0" t="s">
        <v>11123</v>
      </c>
      <c r="F29936" s="0" t="s">
        <v>11123</v>
      </c>
    </row>
    <row r="29938" customFormat="false" ht="12.8" hidden="false" customHeight="false" outlineLevel="0" collapsed="false">
      <c r="A29938" s="0" t="s">
        <v>11127</v>
      </c>
      <c r="B29938" s="0" t="str">
        <f aca="false">HYPERLINK("https://lindat.mff.cuni.cz/services/teitok/pdtc10/index.php?action=vallex&amp;frame=v-w4125f1", "pousmát se (v-w4125f1)")</f>
        <v>pousmát se (v-w4125f1)</v>
      </c>
    </row>
    <row r="29939" customFormat="false" ht="12.8" hidden="false" customHeight="false" outlineLevel="0" collapsed="false">
      <c r="B29939" s="0" t="s">
        <v>7</v>
      </c>
      <c r="E29939" s="0" t="s">
        <v>569</v>
      </c>
      <c r="F29939" s="0" t="s">
        <v>569</v>
      </c>
    </row>
    <row r="29940" customFormat="false" ht="12.8" hidden="false" customHeight="false" outlineLevel="0" collapsed="false">
      <c r="B29940" s="0" t="s">
        <v>6998</v>
      </c>
      <c r="E29940" s="0" t="s">
        <v>3694</v>
      </c>
      <c r="F29940" s="0" t="s">
        <v>3694</v>
      </c>
    </row>
    <row r="29942" customFormat="false" ht="12.8" hidden="false" customHeight="false" outlineLevel="0" collapsed="false">
      <c r="A29942" s="0" t="s">
        <v>11128</v>
      </c>
      <c r="B29942" s="0" t="str">
        <f aca="false">HYPERLINK("https://lindat.mff.cuni.cz/services/teitok/pdtc10/index.php?action=vallex&amp;frame=v-w4129f1", "poutat (v-w4129f1)")</f>
        <v>poutat (v-w4129f1)</v>
      </c>
    </row>
    <row r="29943" customFormat="false" ht="12.8" hidden="false" customHeight="false" outlineLevel="0" collapsed="false">
      <c r="B29943" s="0" t="s">
        <v>7</v>
      </c>
    </row>
    <row r="29944" customFormat="false" ht="12.8" hidden="false" customHeight="false" outlineLevel="0" collapsed="false">
      <c r="B29944" s="0" t="s">
        <v>14</v>
      </c>
    </row>
    <row r="29946" customFormat="false" ht="12.8" hidden="false" customHeight="false" outlineLevel="0" collapsed="false">
      <c r="A29946" s="0" t="s">
        <v>11129</v>
      </c>
      <c r="B29946" s="0" t="str">
        <f aca="false">HYPERLINK("https://lindat.mff.cuni.cz/services/teitok/pdtc10/index.php?action=vallex&amp;frame=v-w4129f2", "poutat (v-w4129f2)")</f>
        <v>poutat (v-w4129f2)</v>
      </c>
    </row>
    <row r="29947" customFormat="false" ht="12.8" hidden="false" customHeight="false" outlineLevel="0" collapsed="false">
      <c r="B29947" s="0" t="s">
        <v>7</v>
      </c>
    </row>
    <row r="29948" customFormat="false" ht="12.8" hidden="false" customHeight="false" outlineLevel="0" collapsed="false">
      <c r="B29948" s="0" t="s">
        <v>81</v>
      </c>
    </row>
    <row r="29949" customFormat="false" ht="12.8" hidden="false" customHeight="false" outlineLevel="0" collapsed="false">
      <c r="B29949" s="0" t="s">
        <v>1767</v>
      </c>
    </row>
    <row r="29951" customFormat="false" ht="12.8" hidden="false" customHeight="false" outlineLevel="0" collapsed="false">
      <c r="A29951" s="0" t="s">
        <v>11130</v>
      </c>
      <c r="B29951" s="0" t="str">
        <f aca="false">HYPERLINK("https://lindat.mff.cuni.cz/services/teitok/pdtc10/index.php?action=vallex&amp;frame=v-w4111f1", "poučit (v-w4111f1)")</f>
        <v>poučit (v-w4111f1)</v>
      </c>
    </row>
    <row r="29952" customFormat="false" ht="12.8" hidden="false" customHeight="false" outlineLevel="0" collapsed="false">
      <c r="B29952" s="0" t="s">
        <v>7</v>
      </c>
      <c r="C29952" s="0" t="s">
        <v>1637</v>
      </c>
      <c r="D29952" s="0" t="s">
        <v>23</v>
      </c>
      <c r="E29952" s="0" t="s">
        <v>23</v>
      </c>
      <c r="F29952" s="0" t="s">
        <v>23</v>
      </c>
    </row>
    <row r="29953" customFormat="false" ht="12.8" hidden="false" customHeight="false" outlineLevel="0" collapsed="false">
      <c r="B29953" s="0" t="s">
        <v>81</v>
      </c>
      <c r="C29953" s="0" t="s">
        <v>3566</v>
      </c>
      <c r="D29953" s="0" t="s">
        <v>7133</v>
      </c>
      <c r="E29953" s="0" t="s">
        <v>7133</v>
      </c>
      <c r="F29953" s="0" t="s">
        <v>7133</v>
      </c>
    </row>
    <row r="29954" customFormat="false" ht="12.8" hidden="false" customHeight="false" outlineLevel="0" collapsed="false">
      <c r="B29954" s="0" t="s">
        <v>11131</v>
      </c>
      <c r="C29954" s="0" t="s">
        <v>7134</v>
      </c>
      <c r="D29954" s="0" t="s">
        <v>7131</v>
      </c>
      <c r="E29954" s="0" t="s">
        <v>7131</v>
      </c>
      <c r="F29954" s="0" t="s">
        <v>7131</v>
      </c>
    </row>
    <row r="29956" customFormat="false" ht="12.8" hidden="false" customHeight="false" outlineLevel="0" collapsed="false">
      <c r="A29956" s="0" t="s">
        <v>11132</v>
      </c>
      <c r="B29956" s="0" t="str">
        <f aca="false">HYPERLINK("https://lindat.mff.cuni.cz/services/teitok/pdtc10/index.php?action=vallex&amp;frame=v-w4112f1", "poučit se (v-w4112f1)")</f>
        <v>poučit se (v-w4112f1)</v>
      </c>
    </row>
    <row r="29957" customFormat="false" ht="12.8" hidden="false" customHeight="false" outlineLevel="0" collapsed="false">
      <c r="B29957" s="0" t="s">
        <v>7</v>
      </c>
      <c r="C29957" s="0" t="s">
        <v>3042</v>
      </c>
      <c r="D29957" s="0" t="s">
        <v>2256</v>
      </c>
      <c r="E29957" s="0" t="s">
        <v>2256</v>
      </c>
      <c r="F29957" s="0" t="s">
        <v>2256</v>
      </c>
    </row>
    <row r="29958" customFormat="false" ht="12.8" hidden="false" customHeight="false" outlineLevel="0" collapsed="false">
      <c r="B29958" s="0" t="s">
        <v>11133</v>
      </c>
      <c r="C29958" s="0" t="s">
        <v>2685</v>
      </c>
      <c r="D29958" s="0" t="s">
        <v>2259</v>
      </c>
      <c r="E29958" s="0" t="s">
        <v>2259</v>
      </c>
      <c r="F29958" s="0" t="s">
        <v>2259</v>
      </c>
    </row>
    <row r="29959" customFormat="false" ht="12.8" hidden="false" customHeight="false" outlineLevel="0" collapsed="false">
      <c r="B29959" s="0" t="s">
        <v>7321</v>
      </c>
      <c r="C29959" s="0" t="s">
        <v>11134</v>
      </c>
      <c r="D29959" s="0" t="s">
        <v>2260</v>
      </c>
      <c r="E29959" s="0" t="s">
        <v>2260</v>
      </c>
      <c r="F29959" s="0" t="s">
        <v>2260</v>
      </c>
    </row>
    <row r="29961" customFormat="false" ht="12.8" hidden="false" customHeight="false" outlineLevel="0" collapsed="false">
      <c r="A29961" s="0" t="s">
        <v>11135</v>
      </c>
      <c r="B29961" s="0" t="str">
        <f aca="false">HYPERLINK("https://lindat.mff.cuni.cz/services/teitok/pdtc10/index.php?action=vallex&amp;frame=v-w4114f1", "poučovat (v-w4114f1)")</f>
        <v>poučovat (v-w4114f1)</v>
      </c>
    </row>
    <row r="29962" customFormat="false" ht="12.8" hidden="false" customHeight="false" outlineLevel="0" collapsed="false">
      <c r="B29962" s="0" t="s">
        <v>7</v>
      </c>
      <c r="C29962" s="0" t="s">
        <v>184</v>
      </c>
      <c r="D29962" s="0" t="s">
        <v>23</v>
      </c>
      <c r="E29962" s="0" t="s">
        <v>23</v>
      </c>
      <c r="F29962" s="0" t="s">
        <v>23</v>
      </c>
    </row>
    <row r="29963" customFormat="false" ht="12.8" hidden="false" customHeight="false" outlineLevel="0" collapsed="false">
      <c r="B29963" s="0" t="s">
        <v>81</v>
      </c>
      <c r="C29963" s="0" t="s">
        <v>4967</v>
      </c>
      <c r="D29963" s="0" t="s">
        <v>7133</v>
      </c>
      <c r="E29963" s="0" t="s">
        <v>7133</v>
      </c>
      <c r="F29963" s="0" t="s">
        <v>7133</v>
      </c>
    </row>
    <row r="29964" customFormat="false" ht="12.8" hidden="false" customHeight="false" outlineLevel="0" collapsed="false">
      <c r="B29964" s="0" t="s">
        <v>11131</v>
      </c>
      <c r="C29964" s="0" t="s">
        <v>11136</v>
      </c>
      <c r="D29964" s="0" t="s">
        <v>7131</v>
      </c>
      <c r="E29964" s="0" t="s">
        <v>7131</v>
      </c>
      <c r="F29964" s="0" t="s">
        <v>7131</v>
      </c>
    </row>
    <row r="29966" customFormat="false" ht="12.8" hidden="false" customHeight="false" outlineLevel="0" collapsed="false">
      <c r="A29966" s="0" t="s">
        <v>11137</v>
      </c>
      <c r="B29966" s="0" t="str">
        <f aca="false">HYPERLINK("https://lindat.mff.cuni.cz/services/teitok/pdtc10/index.php?action=vallex&amp;frame=v-w4115f1", "poučovat se (v-w4115f1)")</f>
        <v>poučovat se (v-w4115f1)</v>
      </c>
    </row>
    <row r="29967" customFormat="false" ht="12.8" hidden="false" customHeight="false" outlineLevel="0" collapsed="false">
      <c r="B29967" s="0" t="s">
        <v>7</v>
      </c>
      <c r="D29967" s="0" t="s">
        <v>2256</v>
      </c>
      <c r="E29967" s="0" t="s">
        <v>2256</v>
      </c>
      <c r="F29967" s="0" t="s">
        <v>2256</v>
      </c>
    </row>
    <row r="29968" customFormat="false" ht="12.8" hidden="false" customHeight="false" outlineLevel="0" collapsed="false">
      <c r="B29968" s="0" t="s">
        <v>2766</v>
      </c>
      <c r="D29968" s="0" t="s">
        <v>2259</v>
      </c>
      <c r="E29968" s="0" t="s">
        <v>2259</v>
      </c>
      <c r="F29968" s="0" t="s">
        <v>2259</v>
      </c>
    </row>
    <row r="29969" customFormat="false" ht="12.8" hidden="false" customHeight="false" outlineLevel="0" collapsed="false">
      <c r="B29969" s="0" t="s">
        <v>7321</v>
      </c>
      <c r="D29969" s="0" t="s">
        <v>2260</v>
      </c>
      <c r="E29969" s="0" t="s">
        <v>2260</v>
      </c>
      <c r="F29969" s="0" t="s">
        <v>2260</v>
      </c>
    </row>
    <row r="29971" customFormat="false" ht="12.8" hidden="false" customHeight="false" outlineLevel="0" collapsed="false">
      <c r="A29971" s="0" t="s">
        <v>11138</v>
      </c>
      <c r="B29971" s="0" t="str">
        <f aca="false">HYPERLINK("https://lindat.mff.cuni.cz/services/teitok/pdtc10/index.php?action=vallex&amp;frame=v-w4127f1", "pouštět (v-w4127f1)")</f>
        <v>pouštět (v-w4127f1)</v>
      </c>
    </row>
    <row r="29972" customFormat="false" ht="12.8" hidden="false" customHeight="false" outlineLevel="0" collapsed="false">
      <c r="B29972" s="0" t="s">
        <v>7</v>
      </c>
    </row>
    <row r="29973" customFormat="false" ht="12.8" hidden="false" customHeight="false" outlineLevel="0" collapsed="false">
      <c r="B29973" s="0" t="s">
        <v>14</v>
      </c>
    </row>
    <row r="29974" customFormat="false" ht="12.8" hidden="false" customHeight="false" outlineLevel="0" collapsed="false">
      <c r="B29974" s="0" t="s">
        <v>124</v>
      </c>
    </row>
    <row r="29976" customFormat="false" ht="12.8" hidden="false" customHeight="false" outlineLevel="0" collapsed="false">
      <c r="A29976" s="0" t="s">
        <v>11139</v>
      </c>
      <c r="B29976" s="0" t="str">
        <f aca="false">HYPERLINK("https://lindat.mff.cuni.cz/services/teitok/pdtc10/index.php?action=vallex&amp;frame=v-w4127f2", "pouštět (v-w4127f2)")</f>
        <v>pouštět (v-w4127f2)</v>
      </c>
    </row>
    <row r="29977" customFormat="false" ht="12.8" hidden="false" customHeight="false" outlineLevel="0" collapsed="false">
      <c r="B29977" s="0" t="s">
        <v>7</v>
      </c>
    </row>
    <row r="29978" customFormat="false" ht="12.8" hidden="false" customHeight="false" outlineLevel="0" collapsed="false">
      <c r="B29978" s="0" t="s">
        <v>14</v>
      </c>
    </row>
    <row r="29979" customFormat="false" ht="12.8" hidden="false" customHeight="false" outlineLevel="0" collapsed="false">
      <c r="B29979" s="0" t="s">
        <v>124</v>
      </c>
    </row>
    <row r="29981" customFormat="false" ht="12.8" hidden="false" customHeight="false" outlineLevel="0" collapsed="false">
      <c r="A29981" s="0" t="s">
        <v>11140</v>
      </c>
      <c r="B29981" s="0" t="str">
        <f aca="false">HYPERLINK("https://lindat.mff.cuni.cz/services/teitok/pdtc10/index.php?action=vallex&amp;frame=v-w4127f4", "pouštět (v-w4127f4)")</f>
        <v>pouštět (v-w4127f4)</v>
      </c>
    </row>
    <row r="29982" customFormat="false" ht="12.8" hidden="false" customHeight="false" outlineLevel="0" collapsed="false">
      <c r="B29982" s="0" t="s">
        <v>7</v>
      </c>
    </row>
    <row r="29983" customFormat="false" ht="12.8" hidden="false" customHeight="false" outlineLevel="0" collapsed="false">
      <c r="B29983" s="0" t="s">
        <v>14</v>
      </c>
    </row>
    <row r="29984" customFormat="false" ht="12.8" hidden="false" customHeight="false" outlineLevel="0" collapsed="false">
      <c r="B29984" s="0" t="s">
        <v>124</v>
      </c>
    </row>
    <row r="29986" customFormat="false" ht="12.8" hidden="false" customHeight="false" outlineLevel="0" collapsed="false">
      <c r="A29986" s="0" t="s">
        <v>11141</v>
      </c>
      <c r="B29986" s="0" t="str">
        <f aca="false">HYPERLINK("https://lindat.mff.cuni.cz/services/teitok/pdtc10/index.php?action=vallex&amp;frame=v-w4127f3", "pouštět (v-w4127f3)")</f>
        <v>pouštět (v-w4127f3)</v>
      </c>
    </row>
    <row r="29987" customFormat="false" ht="12.8" hidden="false" customHeight="false" outlineLevel="0" collapsed="false">
      <c r="B29987" s="0" t="s">
        <v>7</v>
      </c>
    </row>
    <row r="29988" customFormat="false" ht="12.8" hidden="false" customHeight="false" outlineLevel="0" collapsed="false">
      <c r="B29988" s="0" t="s">
        <v>14</v>
      </c>
    </row>
    <row r="29990" customFormat="false" ht="12.8" hidden="false" customHeight="false" outlineLevel="0" collapsed="false">
      <c r="A29990" s="0" t="s">
        <v>11142</v>
      </c>
      <c r="B29990" s="0" t="str">
        <f aca="false">HYPERLINK("https://lindat.mff.cuni.cz/services/teitok/pdtc10/index.php?action=vallex&amp;frame=v-w4127f7_ZU", "pouštět (v-w4127f7_ZU)")</f>
        <v>pouštět (v-w4127f7_ZU)</v>
      </c>
    </row>
    <row r="29991" customFormat="false" ht="12.8" hidden="false" customHeight="false" outlineLevel="0" collapsed="false">
      <c r="B29991" s="0" t="s">
        <v>7</v>
      </c>
    </row>
    <row r="29992" customFormat="false" ht="12.8" hidden="false" customHeight="false" outlineLevel="0" collapsed="false">
      <c r="B29992" s="0" t="s">
        <v>14</v>
      </c>
    </row>
    <row r="29994" customFormat="false" ht="12.8" hidden="false" customHeight="false" outlineLevel="0" collapsed="false">
      <c r="A29994" s="0" t="s">
        <v>11142</v>
      </c>
      <c r="B29994" s="0" t="str">
        <f aca="false">HYPERLINK("https://lindat.mff.cuni.cz/services/teitok/pdtc10/index.php?action=vallex&amp;frame=v-w4127f5_ZU", "pouštět (v-w4127f5_ZU) - substituted with v-w4127f7_ZU")</f>
        <v>pouštět (v-w4127f5_ZU) - substituted with v-w4127f7_ZU</v>
      </c>
    </row>
    <row r="29995" customFormat="false" ht="12.8" hidden="false" customHeight="false" outlineLevel="0" collapsed="false">
      <c r="B29995" s="0" t="s">
        <v>7</v>
      </c>
    </row>
    <row r="29996" customFormat="false" ht="12.8" hidden="false" customHeight="false" outlineLevel="0" collapsed="false">
      <c r="B29996" s="0" t="s">
        <v>14</v>
      </c>
    </row>
    <row r="29998" customFormat="false" ht="12.8" hidden="false" customHeight="false" outlineLevel="0" collapsed="false">
      <c r="A29998" s="0" t="s">
        <v>11142</v>
      </c>
      <c r="B29998" s="0" t="str">
        <f aca="false">HYPERLINK("https://lindat.mff.cuni.cz/services/teitok/pdtc10/index.php?action=vallex&amp;frame=v-w4127f6_ZU", "pouštět (v-w4127f6_ZU) - substituted with v-w4127f7_ZU")</f>
        <v>pouštět (v-w4127f6_ZU) - substituted with v-w4127f7_ZU</v>
      </c>
    </row>
    <row r="29999" customFormat="false" ht="12.8" hidden="false" customHeight="false" outlineLevel="0" collapsed="false">
      <c r="B29999" s="0" t="s">
        <v>7</v>
      </c>
    </row>
    <row r="30000" customFormat="false" ht="12.8" hidden="false" customHeight="false" outlineLevel="0" collapsed="false">
      <c r="B30000" s="0" t="s">
        <v>14</v>
      </c>
    </row>
    <row r="30002" customFormat="false" ht="12.8" hidden="false" customHeight="false" outlineLevel="0" collapsed="false">
      <c r="A30002" s="0" t="s">
        <v>11143</v>
      </c>
      <c r="B30002" s="0" t="str">
        <f aca="false">HYPERLINK("https://lindat.mff.cuni.cz/services/teitok/pdtc10/index.php?action=vallex&amp;frame=v-w4127f8_ZU", "pouštět (v-w4127f8_ZU)")</f>
        <v>pouštět (v-w4127f8_ZU)</v>
      </c>
    </row>
    <row r="30003" customFormat="false" ht="12.8" hidden="false" customHeight="false" outlineLevel="0" collapsed="false">
      <c r="B30003" s="0" t="s">
        <v>7</v>
      </c>
    </row>
    <row r="30004" customFormat="false" ht="12.8" hidden="false" customHeight="false" outlineLevel="0" collapsed="false">
      <c r="B30004" s="0" t="s">
        <v>14</v>
      </c>
    </row>
    <row r="30006" customFormat="false" ht="12.8" hidden="false" customHeight="false" outlineLevel="0" collapsed="false">
      <c r="A30006" s="0" t="s">
        <v>11143</v>
      </c>
      <c r="B30006" s="0" t="str">
        <f aca="false">HYPERLINK("https://lindat.mff.cuni.cz/services/teitok/pdtc10/index.php?action=vallex&amp;frame=v-w4127hsa_1391", "pouštět (v-w4127hsa_1391) - substituted with v-w4127f8_ZU")</f>
        <v>pouštět (v-w4127hsa_1391) - substituted with v-w4127f8_ZU</v>
      </c>
    </row>
    <row r="30007" customFormat="false" ht="12.8" hidden="false" customHeight="false" outlineLevel="0" collapsed="false">
      <c r="B30007" s="0" t="s">
        <v>7</v>
      </c>
    </row>
    <row r="30008" customFormat="false" ht="12.8" hidden="false" customHeight="false" outlineLevel="0" collapsed="false">
      <c r="B30008" s="0" t="s">
        <v>14</v>
      </c>
    </row>
    <row r="30010" customFormat="false" ht="12.8" hidden="false" customHeight="false" outlineLevel="0" collapsed="false">
      <c r="A30010" s="0" t="s">
        <v>11144</v>
      </c>
      <c r="B30010" s="0" t="str">
        <f aca="false">HYPERLINK("https://lindat.mff.cuni.cz/services/teitok/pdtc10/index.php?action=vallex&amp;frame=v-w4127hsa_1392", "pouštět (v-w4127hsa_1392)")</f>
        <v>pouštět (v-w4127hsa_1392)</v>
      </c>
    </row>
    <row r="30011" customFormat="false" ht="12.8" hidden="false" customHeight="false" outlineLevel="0" collapsed="false">
      <c r="B30011" s="0" t="s">
        <v>7</v>
      </c>
    </row>
    <row r="30012" customFormat="false" ht="12.8" hidden="false" customHeight="false" outlineLevel="0" collapsed="false">
      <c r="B30012" s="0" t="s">
        <v>14</v>
      </c>
    </row>
    <row r="30014" customFormat="false" ht="12.8" hidden="false" customHeight="false" outlineLevel="0" collapsed="false">
      <c r="A30014" s="0" t="s">
        <v>11145</v>
      </c>
      <c r="B30014" s="0" t="str">
        <f aca="false">HYPERLINK("https://lindat.mff.cuni.cz/services/teitok/pdtc10/index.php?action=vallex&amp;frame=v-w4127hsa_1393", "pouštět (v-w4127hsa_1393)")</f>
        <v>pouštět (v-w4127hsa_1393)</v>
      </c>
    </row>
    <row r="30015" customFormat="false" ht="12.8" hidden="false" customHeight="false" outlineLevel="0" collapsed="false">
      <c r="B30015" s="0" t="s">
        <v>7</v>
      </c>
    </row>
    <row r="30016" customFormat="false" ht="12.8" hidden="false" customHeight="false" outlineLevel="0" collapsed="false">
      <c r="B30016" s="0" t="s">
        <v>14</v>
      </c>
    </row>
    <row r="30018" customFormat="false" ht="12.8" hidden="false" customHeight="false" outlineLevel="0" collapsed="false">
      <c r="A30018" s="0" t="s">
        <v>11146</v>
      </c>
      <c r="B30018" s="0" t="str">
        <f aca="false">HYPERLINK("https://lindat.mff.cuni.cz/services/teitok/pdtc10/index.php?action=vallex&amp;frame=v-w4128f2", "pouštět se (v-w4128f2)")</f>
        <v>pouštět se (v-w4128f2)</v>
      </c>
    </row>
    <row r="30019" customFormat="false" ht="12.8" hidden="false" customHeight="false" outlineLevel="0" collapsed="false">
      <c r="B30019" s="0" t="s">
        <v>7</v>
      </c>
      <c r="C30019" s="0" t="s">
        <v>9971</v>
      </c>
    </row>
    <row r="30020" customFormat="false" ht="12.8" hidden="false" customHeight="false" outlineLevel="0" collapsed="false">
      <c r="B30020" s="0" t="s">
        <v>985</v>
      </c>
      <c r="C30020" s="0" t="s">
        <v>11147</v>
      </c>
    </row>
    <row r="30022" customFormat="false" ht="12.8" hidden="false" customHeight="false" outlineLevel="0" collapsed="false">
      <c r="A30022" s="0" t="s">
        <v>11148</v>
      </c>
      <c r="B30022" s="0" t="str">
        <f aca="false">HYPERLINK("https://lindat.mff.cuni.cz/services/teitok/pdtc10/index.php?action=vallex&amp;frame=v-w4128f3", "pouštět se (v-w4128f3)")</f>
        <v>pouštět se (v-w4128f3)</v>
      </c>
    </row>
    <row r="30023" customFormat="false" ht="12.8" hidden="false" customHeight="false" outlineLevel="0" collapsed="false">
      <c r="B30023" s="0" t="s">
        <v>7</v>
      </c>
      <c r="C30023" s="0" t="s">
        <v>396</v>
      </c>
    </row>
    <row r="30024" customFormat="false" ht="12.8" hidden="false" customHeight="false" outlineLevel="0" collapsed="false">
      <c r="B30024" s="0" t="s">
        <v>124</v>
      </c>
      <c r="C30024" s="0" t="s">
        <v>1337</v>
      </c>
    </row>
    <row r="30026" customFormat="false" ht="12.8" hidden="false" customHeight="false" outlineLevel="0" collapsed="false">
      <c r="A30026" s="0" t="s">
        <v>11149</v>
      </c>
      <c r="B30026" s="0" t="str">
        <f aca="false">HYPERLINK("https://lindat.mff.cuni.cz/services/teitok/pdtc10/index.php?action=vallex&amp;frame=v-w4128f4_ZU", "pouštět se (v-w4128f4_ZU)")</f>
        <v>pouštět se (v-w4128f4_ZU)</v>
      </c>
    </row>
    <row r="30027" customFormat="false" ht="12.8" hidden="false" customHeight="false" outlineLevel="0" collapsed="false">
      <c r="B30027" s="0" t="s">
        <v>7</v>
      </c>
      <c r="F30027" s="0" t="s">
        <v>3180</v>
      </c>
    </row>
    <row r="30028" customFormat="false" ht="12.8" hidden="false" customHeight="false" outlineLevel="0" collapsed="false">
      <c r="B30028" s="0" t="s">
        <v>11150</v>
      </c>
      <c r="F30028" s="0" t="s">
        <v>3182</v>
      </c>
    </row>
    <row r="30030" customFormat="false" ht="12.8" hidden="false" customHeight="false" outlineLevel="0" collapsed="false">
      <c r="A30030" s="0" t="s">
        <v>11149</v>
      </c>
      <c r="B30030" s="0" t="str">
        <f aca="false">HYPERLINK("https://lindat.mff.cuni.cz/services/teitok/pdtc10/index.php?action=vallex&amp;frame=v-w4128f1", "pouštět se (v-w4128f1) - substituted with v-w4128f4_ZU")</f>
        <v>pouštět se (v-w4128f1) - substituted with v-w4128f4_ZU</v>
      </c>
    </row>
    <row r="30031" customFormat="false" ht="12.8" hidden="false" customHeight="false" outlineLevel="0" collapsed="false">
      <c r="B30031" s="0" t="s">
        <v>7</v>
      </c>
      <c r="C30031" s="0" t="s">
        <v>2012</v>
      </c>
    </row>
    <row r="30032" customFormat="false" ht="12.8" hidden="false" customHeight="false" outlineLevel="0" collapsed="false">
      <c r="B30032" s="0" t="s">
        <v>11150</v>
      </c>
      <c r="C30032" s="0" t="s">
        <v>11151</v>
      </c>
    </row>
    <row r="30034" customFormat="false" ht="12.8" hidden="false" customHeight="false" outlineLevel="0" collapsed="false">
      <c r="A30034" s="0" t="s">
        <v>11149</v>
      </c>
      <c r="B30034" s="0" t="str">
        <f aca="false">HYPERLINK("https://lindat.mff.cuni.cz/services/teitok/pdtc10/index.php?action=vallex&amp;frame=v-w4128hsa_675", "pouštět se (v-w4128hsa_675) - substituted with v-w4128f4_ZU")</f>
        <v>pouštět se (v-w4128hsa_675) - substituted with v-w4128f4_ZU</v>
      </c>
    </row>
    <row r="30035" customFormat="false" ht="12.8" hidden="false" customHeight="false" outlineLevel="0" collapsed="false">
      <c r="B30035" s="0" t="s">
        <v>7</v>
      </c>
    </row>
    <row r="30036" customFormat="false" ht="12.8" hidden="false" customHeight="false" outlineLevel="0" collapsed="false">
      <c r="B30036" s="0" t="s">
        <v>11150</v>
      </c>
    </row>
    <row r="30038" customFormat="false" ht="12.8" hidden="false" customHeight="false" outlineLevel="0" collapsed="false">
      <c r="A30038" s="0" t="s">
        <v>11152</v>
      </c>
      <c r="B30038" s="0" t="str">
        <f aca="false">HYPERLINK("https://lindat.mff.cuni.cz/services/teitok/pdtc10/index.php?action=vallex&amp;frame=v-w4128f5_ZU", "pouštět se (v-w4128f5_ZU)")</f>
        <v>pouštět se (v-w4128f5_ZU)</v>
      </c>
    </row>
    <row r="30039" customFormat="false" ht="12.8" hidden="false" customHeight="false" outlineLevel="0" collapsed="false">
      <c r="B30039" s="0" t="s">
        <v>7</v>
      </c>
    </row>
    <row r="30040" customFormat="false" ht="12.8" hidden="false" customHeight="false" outlineLevel="0" collapsed="false">
      <c r="B30040" s="0" t="s">
        <v>985</v>
      </c>
    </row>
    <row r="30042" customFormat="false" ht="12.8" hidden="false" customHeight="false" outlineLevel="0" collapsed="false">
      <c r="A30042" s="0" t="s">
        <v>11152</v>
      </c>
      <c r="B30042" s="0" t="str">
        <f aca="false">HYPERLINK("https://lindat.mff.cuni.cz/services/teitok/pdtc10/index.php?action=vallex&amp;frame=v-w4128hsa_674", "pouštět se (v-w4128hsa_674) - substituted with v-w4128f5_ZU")</f>
        <v>pouštět se (v-w4128hsa_674) - substituted with v-w4128f5_ZU</v>
      </c>
    </row>
    <row r="30043" customFormat="false" ht="12.8" hidden="false" customHeight="false" outlineLevel="0" collapsed="false">
      <c r="B30043" s="0" t="s">
        <v>7</v>
      </c>
      <c r="C30043" s="0" t="s">
        <v>46</v>
      </c>
    </row>
    <row r="30044" customFormat="false" ht="12.8" hidden="false" customHeight="false" outlineLevel="0" collapsed="false">
      <c r="B30044" s="0" t="s">
        <v>985</v>
      </c>
    </row>
    <row r="30046" customFormat="false" ht="12.8" hidden="false" customHeight="false" outlineLevel="0" collapsed="false">
      <c r="A30046" s="0" t="s">
        <v>11153</v>
      </c>
      <c r="B30046" s="0" t="str">
        <f aca="false">HYPERLINK("https://lindat.mff.cuni.cz/services/teitok/pdtc10/index.php?action=vallex&amp;frame=v-w4128hsa_1649", "pouštět se (v-w4128hsa_1649)")</f>
        <v>pouštět se (v-w4128hsa_1649)</v>
      </c>
    </row>
    <row r="30047" customFormat="false" ht="12.8" hidden="false" customHeight="false" outlineLevel="0" collapsed="false">
      <c r="B30047" s="0" t="s">
        <v>7</v>
      </c>
    </row>
    <row r="30048" customFormat="false" ht="12.8" hidden="false" customHeight="false" outlineLevel="0" collapsed="false">
      <c r="B30048" s="0" t="s">
        <v>985</v>
      </c>
    </row>
    <row r="30050" customFormat="false" ht="12.8" hidden="false" customHeight="false" outlineLevel="0" collapsed="false">
      <c r="A30050" s="0" t="s">
        <v>11154</v>
      </c>
      <c r="B30050" s="0" t="str">
        <f aca="false">HYPERLINK("https://lindat.mff.cuni.cz/services/teitok/pdtc10/index.php?action=vallex&amp;frame=v-w4130f2", "použít (v-w4130f2)")</f>
        <v>použít (v-w4130f2)</v>
      </c>
    </row>
    <row r="30051" customFormat="false" ht="12.8" hidden="false" customHeight="false" outlineLevel="0" collapsed="false">
      <c r="B30051" s="0" t="s">
        <v>7</v>
      </c>
      <c r="C30051" s="0" t="s">
        <v>11155</v>
      </c>
      <c r="D30051" s="0" t="s">
        <v>127</v>
      </c>
      <c r="E30051" s="0" t="s">
        <v>127</v>
      </c>
      <c r="F30051" s="0" t="s">
        <v>127</v>
      </c>
    </row>
    <row r="30052" customFormat="false" ht="12.8" hidden="false" customHeight="false" outlineLevel="0" collapsed="false">
      <c r="B30052" s="0" t="s">
        <v>1145</v>
      </c>
      <c r="C30052" s="0" t="s">
        <v>11156</v>
      </c>
      <c r="D30052" s="0" t="s">
        <v>129</v>
      </c>
      <c r="E30052" s="0" t="s">
        <v>129</v>
      </c>
      <c r="F30052" s="0" t="s">
        <v>129</v>
      </c>
    </row>
    <row r="30054" customFormat="false" ht="12.8" hidden="false" customHeight="false" outlineLevel="0" collapsed="false">
      <c r="A30054" s="0" t="s">
        <v>11154</v>
      </c>
      <c r="B30054" s="0" t="str">
        <f aca="false">HYPERLINK("https://lindat.mff.cuni.cz/services/teitok/pdtc10/index.php?action=vallex&amp;frame=v-w4130f1", "použít (v-w4130f1) - substituted with v-w4130f2")</f>
        <v>použít (v-w4130f1) - substituted with v-w4130f2</v>
      </c>
    </row>
    <row r="30055" customFormat="false" ht="12.8" hidden="false" customHeight="false" outlineLevel="0" collapsed="false">
      <c r="B30055" s="0" t="s">
        <v>7</v>
      </c>
      <c r="C30055" s="0" t="s">
        <v>11157</v>
      </c>
    </row>
    <row r="30056" customFormat="false" ht="12.8" hidden="false" customHeight="false" outlineLevel="0" collapsed="false">
      <c r="B30056" s="0" t="s">
        <v>1145</v>
      </c>
      <c r="C30056" s="0" t="s">
        <v>11158</v>
      </c>
    </row>
    <row r="30058" customFormat="false" ht="12.8" hidden="false" customHeight="false" outlineLevel="0" collapsed="false">
      <c r="A30058" s="0" t="s">
        <v>11159</v>
      </c>
      <c r="B30058" s="0" t="str">
        <f aca="false">HYPERLINK("https://lindat.mff.cuni.cz/services/teitok/pdtc10/index.php?action=vallex&amp;frame=v-w4130f3_ZU", "použít (v-w4130f3_ZU)")</f>
        <v>použít (v-w4130f3_ZU)</v>
      </c>
    </row>
    <row r="30059" customFormat="false" ht="12.8" hidden="false" customHeight="false" outlineLevel="0" collapsed="false">
      <c r="B30059" s="0" t="s">
        <v>7</v>
      </c>
    </row>
    <row r="30060" customFormat="false" ht="12.8" hidden="false" customHeight="false" outlineLevel="0" collapsed="false">
      <c r="B30060" s="0" t="s">
        <v>14</v>
      </c>
    </row>
    <row r="30061" customFormat="false" ht="12.8" hidden="false" customHeight="false" outlineLevel="0" collapsed="false">
      <c r="B30061" s="0" t="s">
        <v>11160</v>
      </c>
    </row>
    <row r="30063" customFormat="false" ht="12.8" hidden="false" customHeight="false" outlineLevel="0" collapsed="false">
      <c r="A30063" s="0" t="s">
        <v>11159</v>
      </c>
      <c r="B30063" s="0" t="str">
        <f aca="false">HYPERLINK("https://lindat.mff.cuni.cz/services/teitok/pdtc10/index.php?action=vallex&amp;frame=v-w4130hsa_554", "použít (v-w4130hsa_554) - substituted with v-w4130f3_ZU")</f>
        <v>použít (v-w4130hsa_554) - substituted with v-w4130f3_ZU</v>
      </c>
    </row>
    <row r="30064" customFormat="false" ht="12.8" hidden="false" customHeight="false" outlineLevel="0" collapsed="false">
      <c r="B30064" s="0" t="s">
        <v>7</v>
      </c>
    </row>
    <row r="30065" customFormat="false" ht="12.8" hidden="false" customHeight="false" outlineLevel="0" collapsed="false">
      <c r="B30065" s="0" t="s">
        <v>14</v>
      </c>
    </row>
    <row r="30066" customFormat="false" ht="12.8" hidden="false" customHeight="false" outlineLevel="0" collapsed="false">
      <c r="B30066" s="0" t="s">
        <v>11160</v>
      </c>
    </row>
    <row r="30068" customFormat="false" ht="12.8" hidden="false" customHeight="false" outlineLevel="0" collapsed="false">
      <c r="A30068" s="0" t="s">
        <v>11161</v>
      </c>
      <c r="B30068" s="0" t="str">
        <f aca="false">HYPERLINK("https://lindat.mff.cuni.cz/services/teitok/pdtc10/index.php?action=vallex&amp;frame=v-w4135f1", "používat (v-w4135f1)")</f>
        <v>používat (v-w4135f1)</v>
      </c>
    </row>
    <row r="30069" customFormat="false" ht="12.8" hidden="false" customHeight="false" outlineLevel="0" collapsed="false">
      <c r="B30069" s="0" t="s">
        <v>7</v>
      </c>
      <c r="C30069" s="0" t="s">
        <v>11162</v>
      </c>
      <c r="D30069" s="0" t="s">
        <v>127</v>
      </c>
      <c r="E30069" s="0" t="s">
        <v>127</v>
      </c>
      <c r="F30069" s="0" t="s">
        <v>127</v>
      </c>
    </row>
    <row r="30070" customFormat="false" ht="12.8" hidden="false" customHeight="false" outlineLevel="0" collapsed="false">
      <c r="B30070" s="0" t="s">
        <v>1145</v>
      </c>
      <c r="C30070" s="0" t="s">
        <v>11163</v>
      </c>
      <c r="D30070" s="0" t="s">
        <v>129</v>
      </c>
      <c r="E30070" s="0" t="s">
        <v>129</v>
      </c>
      <c r="F30070" s="0" t="s">
        <v>129</v>
      </c>
    </row>
    <row r="30072" customFormat="false" ht="12.8" hidden="false" customHeight="false" outlineLevel="0" collapsed="false">
      <c r="A30072" s="0" t="s">
        <v>11164</v>
      </c>
      <c r="B30072" s="0" t="str">
        <f aca="false">HYPERLINK("https://lindat.mff.cuni.cz/services/teitok/pdtc10/index.php?action=vallex&amp;frame=v-w4136f1", "povalit (v-w4136f1)")</f>
        <v>povalit (v-w4136f1)</v>
      </c>
    </row>
    <row r="30073" customFormat="false" ht="12.8" hidden="false" customHeight="false" outlineLevel="0" collapsed="false">
      <c r="B30073" s="0" t="s">
        <v>7</v>
      </c>
    </row>
    <row r="30074" customFormat="false" ht="12.8" hidden="false" customHeight="false" outlineLevel="0" collapsed="false">
      <c r="B30074" s="0" t="s">
        <v>14</v>
      </c>
    </row>
    <row r="30076" customFormat="false" ht="12.8" hidden="false" customHeight="false" outlineLevel="0" collapsed="false">
      <c r="A30076" s="0" t="s">
        <v>11165</v>
      </c>
      <c r="B30076" s="0" t="str">
        <f aca="false">HYPERLINK("https://lindat.mff.cuni.cz/services/teitok/pdtc10/index.php?action=vallex&amp;frame=v-w4137f1", "povařit (v-w4137f1)")</f>
        <v>povařit (v-w4137f1)</v>
      </c>
    </row>
    <row r="30077" customFormat="false" ht="12.8" hidden="false" customHeight="false" outlineLevel="0" collapsed="false">
      <c r="B30077" s="0" t="s">
        <v>7</v>
      </c>
    </row>
    <row r="30078" customFormat="false" ht="12.8" hidden="false" customHeight="false" outlineLevel="0" collapsed="false">
      <c r="B30078" s="0" t="s">
        <v>14</v>
      </c>
    </row>
    <row r="30080" customFormat="false" ht="12.8" hidden="false" customHeight="false" outlineLevel="0" collapsed="false">
      <c r="A30080" s="0" t="s">
        <v>11166</v>
      </c>
      <c r="B30080" s="0" t="str">
        <f aca="false">HYPERLINK("https://lindat.mff.cuni.cz/services/teitok/pdtc10/index.php?action=vallex&amp;frame=v-w4140f1", "považovat (v-w4140f1)")</f>
        <v>považovat (v-w4140f1)</v>
      </c>
    </row>
    <row r="30081" customFormat="false" ht="12.8" hidden="false" customHeight="false" outlineLevel="0" collapsed="false">
      <c r="B30081" s="0" t="s">
        <v>7</v>
      </c>
      <c r="C30081" s="0" t="s">
        <v>11167</v>
      </c>
      <c r="D30081" s="0" t="s">
        <v>451</v>
      </c>
      <c r="E30081" s="0" t="s">
        <v>451</v>
      </c>
      <c r="F30081" s="0" t="s">
        <v>451</v>
      </c>
    </row>
    <row r="30082" customFormat="false" ht="12.8" hidden="false" customHeight="false" outlineLevel="0" collapsed="false">
      <c r="B30082" s="0" t="s">
        <v>11168</v>
      </c>
      <c r="C30082" s="0" t="s">
        <v>11169</v>
      </c>
      <c r="D30082" s="0" t="s">
        <v>453</v>
      </c>
      <c r="E30082" s="0" t="s">
        <v>453</v>
      </c>
      <c r="F30082" s="0" t="s">
        <v>453</v>
      </c>
    </row>
    <row r="30083" customFormat="false" ht="12.8" hidden="false" customHeight="false" outlineLevel="0" collapsed="false">
      <c r="B30083" s="0" t="s">
        <v>11170</v>
      </c>
      <c r="C30083" s="0" t="s">
        <v>11171</v>
      </c>
      <c r="D30083" s="0" t="s">
        <v>455</v>
      </c>
      <c r="E30083" s="0" t="s">
        <v>455</v>
      </c>
      <c r="F30083" s="0" t="s">
        <v>455</v>
      </c>
    </row>
    <row r="30085" customFormat="false" ht="12.8" hidden="false" customHeight="false" outlineLevel="0" collapsed="false">
      <c r="A30085" s="0" t="s">
        <v>11172</v>
      </c>
      <c r="B30085" s="0" t="str">
        <f aca="false">HYPERLINK("https://lindat.mff.cuni.cz/services/teitok/pdtc10/index.php?action=vallex&amp;frame=v-w4141f1", "považovat se (v-w4141f1)")</f>
        <v>považovat se (v-w4141f1)</v>
      </c>
    </row>
    <row r="30086" customFormat="false" ht="12.8" hidden="false" customHeight="false" outlineLevel="0" collapsed="false">
      <c r="B30086" s="0" t="s">
        <v>7</v>
      </c>
      <c r="E30086" s="0" t="s">
        <v>11173</v>
      </c>
      <c r="F30086" s="0" t="s">
        <v>11173</v>
      </c>
    </row>
    <row r="30087" customFormat="false" ht="12.8" hidden="false" customHeight="false" outlineLevel="0" collapsed="false">
      <c r="B30087" s="0" t="s">
        <v>1466</v>
      </c>
      <c r="E30087" s="0" t="s">
        <v>11174</v>
      </c>
      <c r="F30087" s="0" t="s">
        <v>11174</v>
      </c>
    </row>
    <row r="30089" customFormat="false" ht="12.8" hidden="false" customHeight="false" outlineLevel="0" collapsed="false">
      <c r="A30089" s="0" t="s">
        <v>11175</v>
      </c>
      <c r="B30089" s="0" t="str">
        <f aca="false">HYPERLINK("https://lindat.mff.cuni.cz/services/teitok/pdtc10/index.php?action=vallex&amp;frame=v-w4142f1", "považovat si (v-w4142f1)")</f>
        <v>považovat si (v-w4142f1)</v>
      </c>
    </row>
    <row r="30090" customFormat="false" ht="12.8" hidden="false" customHeight="false" outlineLevel="0" collapsed="false">
      <c r="B30090" s="0" t="s">
        <v>7</v>
      </c>
    </row>
    <row r="30091" customFormat="false" ht="12.8" hidden="false" customHeight="false" outlineLevel="0" collapsed="false">
      <c r="B30091" s="0" t="s">
        <v>2661</v>
      </c>
    </row>
    <row r="30093" customFormat="false" ht="12.8" hidden="false" customHeight="false" outlineLevel="0" collapsed="false">
      <c r="A30093" s="0" t="s">
        <v>11176</v>
      </c>
      <c r="B30093" s="0" t="str">
        <f aca="false">HYPERLINK("https://lindat.mff.cuni.cz/services/teitok/pdtc10/index.php?action=vallex&amp;frame=v-whsa_1552hsa_1553", "povdávat se (v-whsa_1552hsa_1553)")</f>
        <v>povdávat se (v-whsa_1552hsa_1553)</v>
      </c>
    </row>
    <row r="30094" customFormat="false" ht="12.8" hidden="false" customHeight="false" outlineLevel="0" collapsed="false">
      <c r="B30094" s="0" t="s">
        <v>7</v>
      </c>
    </row>
    <row r="30095" customFormat="false" ht="12.8" hidden="false" customHeight="false" outlineLevel="0" collapsed="false">
      <c r="B30095" s="0" t="s">
        <v>1654</v>
      </c>
    </row>
    <row r="30097" customFormat="false" ht="12.8" hidden="false" customHeight="false" outlineLevel="0" collapsed="false">
      <c r="A30097" s="0" t="s">
        <v>11177</v>
      </c>
      <c r="B30097" s="0" t="str">
        <f aca="false">HYPERLINK("https://lindat.mff.cuni.cz/services/teitok/pdtc10/index.php?action=vallex&amp;frame=v-w11552_ZUf1_ZU", "povinovat (v-w11552_ZUf1_ZU)")</f>
        <v>povinovat (v-w11552_ZUf1_ZU)</v>
      </c>
    </row>
    <row r="30098" customFormat="false" ht="12.8" hidden="false" customHeight="false" outlineLevel="0" collapsed="false">
      <c r="B30098" s="0" t="s">
        <v>7</v>
      </c>
      <c r="C30098" s="0" t="s">
        <v>8626</v>
      </c>
    </row>
    <row r="30099" customFormat="false" ht="12.8" hidden="false" customHeight="false" outlineLevel="0" collapsed="false">
      <c r="B30099" s="0" t="s">
        <v>9016</v>
      </c>
      <c r="C30099" s="0" t="s">
        <v>11178</v>
      </c>
    </row>
    <row r="30100" customFormat="false" ht="12.8" hidden="false" customHeight="false" outlineLevel="0" collapsed="false">
      <c r="B30100" s="0" t="s">
        <v>81</v>
      </c>
      <c r="C30100" s="0" t="s">
        <v>11179</v>
      </c>
    </row>
    <row r="30102" customFormat="false" ht="12.8" hidden="false" customHeight="false" outlineLevel="0" collapsed="false">
      <c r="A30102" s="0" t="s">
        <v>11180</v>
      </c>
      <c r="B30102" s="0" t="str">
        <f aca="false">HYPERLINK("https://lindat.mff.cuni.cz/services/teitok/pdtc10/index.php?action=vallex&amp;frame=v-w4163f1", "povolat (v-w4163f1)")</f>
        <v>povolat (v-w4163f1)</v>
      </c>
    </row>
    <row r="30103" customFormat="false" ht="12.8" hidden="false" customHeight="false" outlineLevel="0" collapsed="false">
      <c r="B30103" s="0" t="s">
        <v>7</v>
      </c>
      <c r="C30103" s="0" t="s">
        <v>194</v>
      </c>
      <c r="D30103" s="0" t="s">
        <v>504</v>
      </c>
      <c r="E30103" s="0" t="s">
        <v>504</v>
      </c>
      <c r="F30103" s="0" t="s">
        <v>504</v>
      </c>
    </row>
    <row r="30104" customFormat="false" ht="12.8" hidden="false" customHeight="false" outlineLevel="0" collapsed="false">
      <c r="B30104" s="0" t="s">
        <v>14</v>
      </c>
      <c r="C30104" s="0" t="s">
        <v>3860</v>
      </c>
      <c r="D30104" s="0" t="s">
        <v>1146</v>
      </c>
      <c r="E30104" s="0" t="s">
        <v>1146</v>
      </c>
      <c r="F30104" s="0" t="s">
        <v>1146</v>
      </c>
    </row>
    <row r="30106" customFormat="false" ht="12.8" hidden="false" customHeight="false" outlineLevel="0" collapsed="false">
      <c r="A30106" s="0" t="s">
        <v>11181</v>
      </c>
      <c r="B30106" s="0" t="str">
        <f aca="false">HYPERLINK("https://lindat.mff.cuni.cz/services/teitok/pdtc10/index.php?action=vallex&amp;frame=v-w4167f1", "povolit (v-w4167f1)")</f>
        <v>povolit (v-w4167f1)</v>
      </c>
    </row>
    <row r="30107" customFormat="false" ht="12.8" hidden="false" customHeight="false" outlineLevel="0" collapsed="false">
      <c r="B30107" s="0" t="s">
        <v>7</v>
      </c>
      <c r="C30107" s="0" t="s">
        <v>11182</v>
      </c>
      <c r="D30107" s="0" t="s">
        <v>2629</v>
      </c>
      <c r="E30107" s="0" t="s">
        <v>2629</v>
      </c>
      <c r="F30107" s="0" t="s">
        <v>2629</v>
      </c>
    </row>
    <row r="30108" customFormat="false" ht="12.8" hidden="false" customHeight="false" outlineLevel="0" collapsed="false">
      <c r="B30108" s="0" t="s">
        <v>11183</v>
      </c>
      <c r="C30108" s="0" t="s">
        <v>11184</v>
      </c>
      <c r="D30108" s="0" t="s">
        <v>2632</v>
      </c>
      <c r="E30108" s="0" t="s">
        <v>2632</v>
      </c>
      <c r="F30108" s="0" t="s">
        <v>2632</v>
      </c>
    </row>
    <row r="30109" customFormat="false" ht="12.8" hidden="false" customHeight="false" outlineLevel="0" collapsed="false">
      <c r="B30109" s="0" t="s">
        <v>48</v>
      </c>
      <c r="C30109" s="0" t="s">
        <v>11185</v>
      </c>
      <c r="D30109" s="0" t="s">
        <v>2634</v>
      </c>
      <c r="E30109" s="0" t="s">
        <v>2634</v>
      </c>
      <c r="F30109" s="0" t="s">
        <v>2634</v>
      </c>
    </row>
    <row r="30111" customFormat="false" ht="12.8" hidden="false" customHeight="false" outlineLevel="0" collapsed="false">
      <c r="A30111" s="0" t="s">
        <v>11186</v>
      </c>
      <c r="B30111" s="0" t="str">
        <f aca="false">HYPERLINK("https://lindat.mff.cuni.cz/services/teitok/pdtc10/index.php?action=vallex&amp;frame=v-w4167f4_ZU", "povolit (v-w4167f4_ZU)")</f>
        <v>povolit (v-w4167f4_ZU)</v>
      </c>
    </row>
    <row r="30112" customFormat="false" ht="12.8" hidden="false" customHeight="false" outlineLevel="0" collapsed="false">
      <c r="B30112" s="0" t="s">
        <v>7</v>
      </c>
      <c r="C30112" s="0" t="s">
        <v>5380</v>
      </c>
      <c r="D30112" s="0" t="s">
        <v>9114</v>
      </c>
      <c r="E30112" s="0" t="s">
        <v>9114</v>
      </c>
      <c r="F30112" s="0" t="s">
        <v>9114</v>
      </c>
    </row>
    <row r="30113" customFormat="false" ht="12.8" hidden="false" customHeight="false" outlineLevel="0" collapsed="false">
      <c r="B30113" s="0" t="s">
        <v>63</v>
      </c>
      <c r="C30113" s="0" t="s">
        <v>10416</v>
      </c>
      <c r="D30113" s="0" t="s">
        <v>9116</v>
      </c>
      <c r="E30113" s="0" t="s">
        <v>9116</v>
      </c>
      <c r="F30113" s="0" t="s">
        <v>9116</v>
      </c>
    </row>
    <row r="30114" customFormat="false" ht="12.8" hidden="false" customHeight="false" outlineLevel="0" collapsed="false">
      <c r="B30114" s="0" t="s">
        <v>35</v>
      </c>
      <c r="C30114" s="0" t="s">
        <v>11187</v>
      </c>
      <c r="D30114" s="0" t="s">
        <v>9118</v>
      </c>
      <c r="E30114" s="0" t="s">
        <v>9118</v>
      </c>
      <c r="F30114" s="0" t="s">
        <v>9118</v>
      </c>
    </row>
    <row r="30116" customFormat="false" ht="12.8" hidden="false" customHeight="false" outlineLevel="0" collapsed="false">
      <c r="A30116" s="0" t="s">
        <v>11188</v>
      </c>
      <c r="B30116" s="0" t="str">
        <f aca="false">HYPERLINK("https://lindat.mff.cuni.cz/services/teitok/pdtc10/index.php?action=vallex&amp;frame=v-w4167f2", "povolit (v-w4167f2)")</f>
        <v>povolit (v-w4167f2)</v>
      </c>
    </row>
    <row r="30117" customFormat="false" ht="12.8" hidden="false" customHeight="false" outlineLevel="0" collapsed="false">
      <c r="B30117" s="0" t="s">
        <v>7</v>
      </c>
      <c r="C30117" s="0" t="s">
        <v>4567</v>
      </c>
      <c r="D30117" s="0" t="s">
        <v>11189</v>
      </c>
      <c r="E30117" s="0" t="s">
        <v>11189</v>
      </c>
      <c r="F30117" s="0" t="s">
        <v>11189</v>
      </c>
    </row>
    <row r="30118" customFormat="false" ht="12.8" hidden="false" customHeight="false" outlineLevel="0" collapsed="false">
      <c r="B30118" s="0" t="s">
        <v>119</v>
      </c>
      <c r="C30118" s="0" t="s">
        <v>3725</v>
      </c>
      <c r="D30118" s="0" t="s">
        <v>11190</v>
      </c>
      <c r="E30118" s="0" t="s">
        <v>11190</v>
      </c>
      <c r="F30118" s="0" t="s">
        <v>11190</v>
      </c>
    </row>
    <row r="30120" customFormat="false" ht="12.8" hidden="false" customHeight="false" outlineLevel="0" collapsed="false">
      <c r="A30120" s="0" t="s">
        <v>11191</v>
      </c>
      <c r="B30120" s="0" t="str">
        <f aca="false">HYPERLINK("https://lindat.mff.cuni.cz/services/teitok/pdtc10/index.php?action=vallex&amp;frame=v-w4167f3", "povolit (v-w4167f3)")</f>
        <v>povolit (v-w4167f3)</v>
      </c>
    </row>
    <row r="30121" customFormat="false" ht="12.8" hidden="false" customHeight="false" outlineLevel="0" collapsed="false">
      <c r="B30121" s="0" t="s">
        <v>7</v>
      </c>
    </row>
    <row r="30123" customFormat="false" ht="12.8" hidden="false" customHeight="false" outlineLevel="0" collapsed="false">
      <c r="A30123" s="0" t="s">
        <v>11192</v>
      </c>
      <c r="B30123" s="0" t="str">
        <f aca="false">HYPERLINK("https://lindat.mff.cuni.cz/services/teitok/pdtc10/index.php?action=vallex&amp;frame=v-w4169f1", "povolovat (v-w4169f1)")</f>
        <v>povolovat (v-w4169f1)</v>
      </c>
    </row>
    <row r="30124" customFormat="false" ht="12.8" hidden="false" customHeight="false" outlineLevel="0" collapsed="false">
      <c r="B30124" s="0" t="s">
        <v>7</v>
      </c>
      <c r="C30124" s="0" t="s">
        <v>11193</v>
      </c>
      <c r="D30124" s="0" t="s">
        <v>2629</v>
      </c>
      <c r="E30124" s="0" t="s">
        <v>2629</v>
      </c>
      <c r="F30124" s="0" t="s">
        <v>2629</v>
      </c>
    </row>
    <row r="30125" customFormat="false" ht="12.8" hidden="false" customHeight="false" outlineLevel="0" collapsed="false">
      <c r="B30125" s="0" t="s">
        <v>11194</v>
      </c>
      <c r="C30125" s="0" t="s">
        <v>11195</v>
      </c>
      <c r="D30125" s="0" t="s">
        <v>2632</v>
      </c>
      <c r="E30125" s="0" t="s">
        <v>2632</v>
      </c>
      <c r="F30125" s="0" t="s">
        <v>2632</v>
      </c>
    </row>
    <row r="30126" customFormat="false" ht="12.8" hidden="false" customHeight="false" outlineLevel="0" collapsed="false">
      <c r="B30126" s="0" t="s">
        <v>48</v>
      </c>
      <c r="C30126" s="0" t="s">
        <v>10758</v>
      </c>
      <c r="D30126" s="0" t="s">
        <v>2634</v>
      </c>
      <c r="E30126" s="0" t="s">
        <v>2634</v>
      </c>
      <c r="F30126" s="0" t="s">
        <v>2634</v>
      </c>
    </row>
    <row r="30128" customFormat="false" ht="12.8" hidden="false" customHeight="false" outlineLevel="0" collapsed="false">
      <c r="A30128" s="0" t="s">
        <v>11196</v>
      </c>
      <c r="B30128" s="0" t="str">
        <f aca="false">HYPERLINK("https://lindat.mff.cuni.cz/services/teitok/pdtc10/index.php?action=vallex&amp;frame=v-w4164f1", "povolávat (v-w4164f1)")</f>
        <v>povolávat (v-w4164f1)</v>
      </c>
    </row>
    <row r="30129" customFormat="false" ht="12.8" hidden="false" customHeight="false" outlineLevel="0" collapsed="false">
      <c r="B30129" s="0" t="s">
        <v>7</v>
      </c>
      <c r="D30129" s="0" t="s">
        <v>504</v>
      </c>
      <c r="E30129" s="0" t="s">
        <v>504</v>
      </c>
      <c r="F30129" s="0" t="s">
        <v>504</v>
      </c>
    </row>
    <row r="30130" customFormat="false" ht="12.8" hidden="false" customHeight="false" outlineLevel="0" collapsed="false">
      <c r="B30130" s="0" t="s">
        <v>14</v>
      </c>
      <c r="D30130" s="0" t="s">
        <v>1146</v>
      </c>
      <c r="E30130" s="0" t="s">
        <v>1146</v>
      </c>
      <c r="F30130" s="0" t="s">
        <v>1146</v>
      </c>
    </row>
    <row r="30132" customFormat="false" ht="12.8" hidden="false" customHeight="false" outlineLevel="0" collapsed="false">
      <c r="A30132" s="0" t="s">
        <v>11197</v>
      </c>
      <c r="B30132" s="0" t="str">
        <f aca="false">HYPERLINK("https://lindat.mff.cuni.cz/services/teitok/pdtc10/index.php?action=vallex&amp;frame=v-w4170f1", "povozit (v-w4170f1)")</f>
        <v>povozit (v-w4170f1)</v>
      </c>
    </row>
    <row r="30133" customFormat="false" ht="12.8" hidden="false" customHeight="false" outlineLevel="0" collapsed="false">
      <c r="B30133" s="0" t="s">
        <v>7</v>
      </c>
    </row>
    <row r="30134" customFormat="false" ht="12.8" hidden="false" customHeight="false" outlineLevel="0" collapsed="false">
      <c r="B30134" s="0" t="s">
        <v>14</v>
      </c>
    </row>
    <row r="30136" customFormat="false" ht="12.8" hidden="false" customHeight="false" outlineLevel="0" collapsed="false">
      <c r="A30136" s="0" t="s">
        <v>11198</v>
      </c>
      <c r="B30136" s="0" t="str">
        <f aca="false">HYPERLINK("https://lindat.mff.cuni.cz/services/teitok/pdtc10/index.php?action=vallex&amp;frame=v-whsa_1868hsa_1869", "povozit se (v-whsa_1868hsa_1869)")</f>
        <v>povozit se (v-whsa_1868hsa_1869)</v>
      </c>
    </row>
    <row r="30137" customFormat="false" ht="12.8" hidden="false" customHeight="false" outlineLevel="0" collapsed="false">
      <c r="B30137" s="0" t="s">
        <v>7</v>
      </c>
    </row>
    <row r="30139" customFormat="false" ht="12.8" hidden="false" customHeight="false" outlineLevel="0" collapsed="false">
      <c r="A30139" s="0" t="s">
        <v>11199</v>
      </c>
      <c r="B30139" s="0" t="str">
        <f aca="false">HYPERLINK("https://lindat.mff.cuni.cz/services/teitok/pdtc10/index.php?action=vallex&amp;frame=v-w4172f1", "povstat (v-w4172f1)")</f>
        <v>povstat (v-w4172f1)</v>
      </c>
    </row>
    <row r="30140" customFormat="false" ht="12.8" hidden="false" customHeight="false" outlineLevel="0" collapsed="false">
      <c r="B30140" s="0" t="s">
        <v>7</v>
      </c>
    </row>
    <row r="30141" customFormat="false" ht="12.8" hidden="false" customHeight="false" outlineLevel="0" collapsed="false">
      <c r="B30141" s="0" t="s">
        <v>1560</v>
      </c>
    </row>
    <row r="30143" customFormat="false" ht="12.8" hidden="false" customHeight="false" outlineLevel="0" collapsed="false">
      <c r="A30143" s="0" t="s">
        <v>11200</v>
      </c>
      <c r="B30143" s="0" t="str">
        <f aca="false">HYPERLINK("https://lindat.mff.cuni.cz/services/teitok/pdtc10/index.php?action=vallex&amp;frame=v-w4172f4", "povstat (v-w4172f4)")</f>
        <v>povstat (v-w4172f4)</v>
      </c>
    </row>
    <row r="30144" customFormat="false" ht="12.8" hidden="false" customHeight="false" outlineLevel="0" collapsed="false">
      <c r="B30144" s="0" t="s">
        <v>7</v>
      </c>
    </row>
    <row r="30145" customFormat="false" ht="12.8" hidden="false" customHeight="false" outlineLevel="0" collapsed="false">
      <c r="B30145" s="0" t="s">
        <v>581</v>
      </c>
    </row>
    <row r="30147" customFormat="false" ht="12.8" hidden="false" customHeight="false" outlineLevel="0" collapsed="false">
      <c r="A30147" s="0" t="s">
        <v>11201</v>
      </c>
      <c r="B30147" s="0" t="str">
        <f aca="false">HYPERLINK("https://lindat.mff.cuni.cz/services/teitok/pdtc10/index.php?action=vallex&amp;frame=v-w4172f3", "povstat (v-w4172f3)")</f>
        <v>povstat (v-w4172f3)</v>
      </c>
    </row>
    <row r="30148" customFormat="false" ht="12.8" hidden="false" customHeight="false" outlineLevel="0" collapsed="false">
      <c r="B30148" s="0" t="s">
        <v>7</v>
      </c>
    </row>
    <row r="30149" customFormat="false" ht="12.8" hidden="false" customHeight="false" outlineLevel="0" collapsed="false">
      <c r="B30149" s="0" t="s">
        <v>459</v>
      </c>
    </row>
    <row r="30151" customFormat="false" ht="12.8" hidden="false" customHeight="false" outlineLevel="0" collapsed="false">
      <c r="A30151" s="0" t="s">
        <v>11202</v>
      </c>
      <c r="B30151" s="0" t="str">
        <f aca="false">HYPERLINK("https://lindat.mff.cuni.cz/services/teitok/pdtc10/index.php?action=vallex&amp;frame=v-w4172f2", "povstat (v-w4172f2)")</f>
        <v>povstat (v-w4172f2)</v>
      </c>
    </row>
    <row r="30152" customFormat="false" ht="12.8" hidden="false" customHeight="false" outlineLevel="0" collapsed="false">
      <c r="B30152" s="0" t="s">
        <v>7</v>
      </c>
    </row>
    <row r="30154" customFormat="false" ht="12.8" hidden="false" customHeight="false" outlineLevel="0" collapsed="false">
      <c r="A30154" s="0" t="s">
        <v>11203</v>
      </c>
      <c r="B30154" s="0" t="str">
        <f aca="false">HYPERLINK("https://lindat.mff.cuni.cz/services/teitok/pdtc10/index.php?action=vallex&amp;frame=v-w4173f1", "povstávat (v-w4173f1)")</f>
        <v>povstávat (v-w4173f1)</v>
      </c>
    </row>
    <row r="30155" customFormat="false" ht="12.8" hidden="false" customHeight="false" outlineLevel="0" collapsed="false">
      <c r="B30155" s="0" t="s">
        <v>7</v>
      </c>
    </row>
    <row r="30156" customFormat="false" ht="12.8" hidden="false" customHeight="false" outlineLevel="0" collapsed="false">
      <c r="B30156" s="0" t="s">
        <v>581</v>
      </c>
    </row>
    <row r="30158" customFormat="false" ht="12.8" hidden="false" customHeight="false" outlineLevel="0" collapsed="false">
      <c r="A30158" s="0" t="s">
        <v>11204</v>
      </c>
      <c r="B30158" s="0" t="str">
        <f aca="false">HYPERLINK("https://lindat.mff.cuni.cz/services/teitok/pdtc10/index.php?action=vallex&amp;frame=v-w11716_ZUf1_ZU", "povykládat (v-w11716_ZUf1_ZU)")</f>
        <v>povykládat (v-w11716_ZUf1_ZU)</v>
      </c>
    </row>
    <row r="30159" customFormat="false" ht="12.8" hidden="false" customHeight="false" outlineLevel="0" collapsed="false">
      <c r="B30159" s="0" t="s">
        <v>7</v>
      </c>
    </row>
    <row r="30160" customFormat="false" ht="12.8" hidden="false" customHeight="false" outlineLevel="0" collapsed="false">
      <c r="B30160" s="0" t="s">
        <v>245</v>
      </c>
    </row>
    <row r="30161" customFormat="false" ht="12.8" hidden="false" customHeight="false" outlineLevel="0" collapsed="false">
      <c r="B30161" s="0" t="s">
        <v>106</v>
      </c>
    </row>
    <row r="30162" customFormat="false" ht="12.8" hidden="false" customHeight="false" outlineLevel="0" collapsed="false">
      <c r="B30162" s="0" t="s">
        <v>363</v>
      </c>
    </row>
    <row r="30164" customFormat="false" ht="12.8" hidden="false" customHeight="false" outlineLevel="0" collapsed="false">
      <c r="A30164" s="0" t="s">
        <v>11205</v>
      </c>
      <c r="B30164" s="0" t="str">
        <f aca="false">HYPERLINK("https://lindat.mff.cuni.cz/services/teitok/pdtc10/index.php?action=vallex&amp;frame=v-whsa_477f1_ZU", "povykládat si (v-whsa_477f1_ZU)")</f>
        <v>povykládat si (v-whsa_477f1_ZU)</v>
      </c>
    </row>
    <row r="30165" customFormat="false" ht="12.8" hidden="false" customHeight="false" outlineLevel="0" collapsed="false">
      <c r="B30165" s="0" t="s">
        <v>7</v>
      </c>
    </row>
    <row r="30166" customFormat="false" ht="12.8" hidden="false" customHeight="false" outlineLevel="0" collapsed="false">
      <c r="B30166" s="0" t="s">
        <v>207</v>
      </c>
    </row>
    <row r="30167" customFormat="false" ht="12.8" hidden="false" customHeight="false" outlineLevel="0" collapsed="false">
      <c r="B30167" s="0" t="s">
        <v>245</v>
      </c>
    </row>
    <row r="30168" customFormat="false" ht="12.8" hidden="false" customHeight="false" outlineLevel="0" collapsed="false">
      <c r="B30168" s="0" t="s">
        <v>363</v>
      </c>
    </row>
    <row r="30170" customFormat="false" ht="12.8" hidden="false" customHeight="false" outlineLevel="0" collapsed="false">
      <c r="A30170" s="0" t="s">
        <v>11205</v>
      </c>
      <c r="B30170" s="0" t="str">
        <f aca="false">HYPERLINK("https://lindat.mff.cuni.cz/services/teitok/pdtc10/index.php?action=vallex&amp;frame=v-whsa_477hsa_478", "povykládat si (v-whsa_477hsa_478) - substituted with v-whsa_477f1_ZU")</f>
        <v>povykládat si (v-whsa_477hsa_478) - substituted with v-whsa_477f1_ZU</v>
      </c>
    </row>
    <row r="30171" customFormat="false" ht="12.8" hidden="false" customHeight="false" outlineLevel="0" collapsed="false">
      <c r="B30171" s="0" t="s">
        <v>7</v>
      </c>
    </row>
    <row r="30172" customFormat="false" ht="12.8" hidden="false" customHeight="false" outlineLevel="0" collapsed="false">
      <c r="B30172" s="0" t="s">
        <v>207</v>
      </c>
    </row>
    <row r="30173" customFormat="false" ht="12.8" hidden="false" customHeight="false" outlineLevel="0" collapsed="false">
      <c r="B30173" s="0" t="s">
        <v>245</v>
      </c>
    </row>
    <row r="30174" customFormat="false" ht="12.8" hidden="false" customHeight="false" outlineLevel="0" collapsed="false">
      <c r="B30174" s="0" t="s">
        <v>363</v>
      </c>
    </row>
    <row r="30176" customFormat="false" ht="12.8" hidden="false" customHeight="false" outlineLevel="0" collapsed="false">
      <c r="A30176" s="0" t="s">
        <v>11206</v>
      </c>
      <c r="B30176" s="0" t="str">
        <f aca="false">HYPERLINK("https://lindat.mff.cuni.cz/services/teitok/pdtc10/index.php?action=vallex&amp;frame=v-whsa_569hsa_570", "povyprávět (v-whsa_569hsa_570)")</f>
        <v>povyprávět (v-whsa_569hsa_570)</v>
      </c>
    </row>
    <row r="30177" customFormat="false" ht="12.8" hidden="false" customHeight="false" outlineLevel="0" collapsed="false">
      <c r="B30177" s="0" t="s">
        <v>7</v>
      </c>
    </row>
    <row r="30178" customFormat="false" ht="12.8" hidden="false" customHeight="false" outlineLevel="0" collapsed="false">
      <c r="B30178" s="0" t="s">
        <v>48</v>
      </c>
    </row>
    <row r="30179" customFormat="false" ht="12.8" hidden="false" customHeight="false" outlineLevel="0" collapsed="false">
      <c r="B30179" s="0" t="s">
        <v>3617</v>
      </c>
    </row>
    <row r="30180" customFormat="false" ht="12.8" hidden="false" customHeight="false" outlineLevel="0" collapsed="false">
      <c r="B30180" s="0" t="s">
        <v>363</v>
      </c>
    </row>
    <row r="30182" customFormat="false" ht="12.8" hidden="false" customHeight="false" outlineLevel="0" collapsed="false">
      <c r="A30182" s="0" t="s">
        <v>11207</v>
      </c>
      <c r="B30182" s="0" t="str">
        <f aca="false">HYPERLINK("https://lindat.mff.cuni.cz/services/teitok/pdtc10/index.php?action=vallex&amp;frame=v-whsb_137hsa_138", "povyrazit si (v-whsb_137hsa_138)")</f>
        <v>povyrazit si (v-whsb_137hsa_138)</v>
      </c>
    </row>
    <row r="30183" customFormat="false" ht="12.8" hidden="false" customHeight="false" outlineLevel="0" collapsed="false">
      <c r="B30183" s="0" t="s">
        <v>7</v>
      </c>
    </row>
    <row r="30184" customFormat="false" ht="12.8" hidden="false" customHeight="false" outlineLevel="0" collapsed="false">
      <c r="B30184" s="0" t="s">
        <v>124</v>
      </c>
    </row>
    <row r="30186" customFormat="false" ht="12.8" hidden="false" customHeight="false" outlineLevel="0" collapsed="false">
      <c r="A30186" s="0" t="s">
        <v>11208</v>
      </c>
      <c r="B30186" s="0" t="str">
        <f aca="false">HYPERLINK("https://lindat.mff.cuni.cz/services/teitok/pdtc10/index.php?action=vallex&amp;frame=v-w4176f1", "povyrůst (v-w4176f1)")</f>
        <v>povyrůst (v-w4176f1)</v>
      </c>
    </row>
    <row r="30187" customFormat="false" ht="12.8" hidden="false" customHeight="false" outlineLevel="0" collapsed="false">
      <c r="B30187" s="0" t="s">
        <v>7</v>
      </c>
    </row>
    <row r="30189" customFormat="false" ht="12.8" hidden="false" customHeight="false" outlineLevel="0" collapsed="false">
      <c r="A30189" s="0" t="s">
        <v>11209</v>
      </c>
      <c r="B30189" s="0" t="str">
        <f aca="false">HYPERLINK("https://lindat.mff.cuni.cz/services/teitok/pdtc10/index.php?action=vallex&amp;frame=v-w4176hsa_651", "povyrůst (v-w4176hsa_651)")</f>
        <v>povyrůst (v-w4176hsa_651)</v>
      </c>
    </row>
    <row r="30190" customFormat="false" ht="12.8" hidden="false" customHeight="false" outlineLevel="0" collapsed="false">
      <c r="B30190" s="0" t="s">
        <v>7</v>
      </c>
      <c r="C30190" s="0" t="s">
        <v>10302</v>
      </c>
      <c r="D30190" s="0" t="s">
        <v>6244</v>
      </c>
      <c r="E30190" s="0" t="s">
        <v>6244</v>
      </c>
      <c r="F30190" s="0" t="s">
        <v>6244</v>
      </c>
    </row>
    <row r="30191" customFormat="false" ht="12.8" hidden="false" customHeight="false" outlineLevel="0" collapsed="false">
      <c r="B30191" s="0" t="s">
        <v>35</v>
      </c>
      <c r="C30191" s="0" t="s">
        <v>6197</v>
      </c>
      <c r="D30191" s="0" t="s">
        <v>4497</v>
      </c>
      <c r="E30191" s="0" t="s">
        <v>4497</v>
      </c>
      <c r="F30191" s="0" t="s">
        <v>4497</v>
      </c>
    </row>
    <row r="30192" customFormat="false" ht="12.8" hidden="false" customHeight="false" outlineLevel="0" collapsed="false">
      <c r="B30192" s="0" t="s">
        <v>63</v>
      </c>
      <c r="C30192" s="0" t="s">
        <v>10356</v>
      </c>
      <c r="D30192" s="0" t="s">
        <v>4496</v>
      </c>
      <c r="E30192" s="0" t="s">
        <v>4496</v>
      </c>
      <c r="F30192" s="0" t="s">
        <v>4496</v>
      </c>
    </row>
    <row r="30194" customFormat="false" ht="12.8" hidden="false" customHeight="false" outlineLevel="0" collapsed="false">
      <c r="A30194" s="0" t="s">
        <v>11210</v>
      </c>
      <c r="B30194" s="0" t="str">
        <f aca="false">HYPERLINK("https://lindat.mff.cuni.cz/services/teitok/pdtc10/index.php?action=vallex&amp;frame=v-w11131f2", "povyšovat (v-w11131f2)")</f>
        <v>povyšovat (v-w11131f2)</v>
      </c>
    </row>
    <row r="30195" customFormat="false" ht="12.8" hidden="false" customHeight="false" outlineLevel="0" collapsed="false">
      <c r="B30195" s="0" t="s">
        <v>7</v>
      </c>
      <c r="C30195" s="0" t="s">
        <v>184</v>
      </c>
      <c r="D30195" s="0" t="s">
        <v>11211</v>
      </c>
      <c r="E30195" s="0" t="s">
        <v>11211</v>
      </c>
      <c r="F30195" s="0" t="s">
        <v>11211</v>
      </c>
    </row>
    <row r="30196" customFormat="false" ht="12.8" hidden="false" customHeight="false" outlineLevel="0" collapsed="false">
      <c r="B30196" s="0" t="s">
        <v>14</v>
      </c>
      <c r="C30196" s="0" t="s">
        <v>567</v>
      </c>
      <c r="D30196" s="0" t="s">
        <v>11212</v>
      </c>
      <c r="E30196" s="0" t="s">
        <v>11212</v>
      </c>
      <c r="F30196" s="0" t="s">
        <v>11212</v>
      </c>
    </row>
    <row r="30197" customFormat="false" ht="12.8" hidden="false" customHeight="false" outlineLevel="0" collapsed="false">
      <c r="B30197" s="0" t="s">
        <v>37</v>
      </c>
      <c r="D30197" s="0" t="s">
        <v>11213</v>
      </c>
      <c r="E30197" s="0" t="s">
        <v>11213</v>
      </c>
      <c r="F30197" s="0" t="s">
        <v>11213</v>
      </c>
    </row>
    <row r="30199" customFormat="false" ht="12.8" hidden="false" customHeight="false" outlineLevel="0" collapsed="false">
      <c r="A30199" s="0" t="s">
        <v>11214</v>
      </c>
      <c r="B30199" s="0" t="str">
        <f aca="false">HYPERLINK("https://lindat.mff.cuni.cz/services/teitok/pdtc10/index.php?action=vallex&amp;frame=v-w12151_ZUf1_ZU", "povyšovat se (v-w12151_ZUf1_ZU)")</f>
        <v>povyšovat se (v-w12151_ZUf1_ZU)</v>
      </c>
    </row>
    <row r="30200" customFormat="false" ht="12.8" hidden="false" customHeight="false" outlineLevel="0" collapsed="false">
      <c r="B30200" s="0" t="s">
        <v>7</v>
      </c>
    </row>
    <row r="30201" customFormat="false" ht="12.8" hidden="false" customHeight="false" outlineLevel="0" collapsed="false">
      <c r="B30201" s="0" t="s">
        <v>3620</v>
      </c>
    </row>
    <row r="30203" customFormat="false" ht="12.8" hidden="false" customHeight="false" outlineLevel="0" collapsed="false">
      <c r="A30203" s="0" t="s">
        <v>11215</v>
      </c>
      <c r="B30203" s="0" t="str">
        <f aca="false">HYPERLINK("https://lindat.mff.cuni.cz/services/teitok/pdtc10/index.php?action=vallex&amp;frame=v-w4179f3_ZU", "povzbudit (v-w4179f3_ZU)")</f>
        <v>povzbudit (v-w4179f3_ZU)</v>
      </c>
    </row>
    <row r="30204" customFormat="false" ht="12.8" hidden="false" customHeight="false" outlineLevel="0" collapsed="false">
      <c r="B30204" s="0" t="s">
        <v>7</v>
      </c>
    </row>
    <row r="30205" customFormat="false" ht="12.8" hidden="false" customHeight="false" outlineLevel="0" collapsed="false">
      <c r="B30205" s="0" t="s">
        <v>11216</v>
      </c>
    </row>
    <row r="30206" customFormat="false" ht="12.8" hidden="false" customHeight="false" outlineLevel="0" collapsed="false">
      <c r="B30206" s="0" t="s">
        <v>81</v>
      </c>
    </row>
    <row r="30208" customFormat="false" ht="12.8" hidden="false" customHeight="false" outlineLevel="0" collapsed="false">
      <c r="A30208" s="0" t="s">
        <v>11215</v>
      </c>
      <c r="B30208" s="0" t="str">
        <f aca="false">HYPERLINK("https://lindat.mff.cuni.cz/services/teitok/pdtc10/index.php?action=vallex&amp;frame=v-w4179f2", "povzbudit (v-w4179f2) - substituted with v-w4179f3_ZU")</f>
        <v>povzbudit (v-w4179f2) - substituted with v-w4179f3_ZU</v>
      </c>
    </row>
    <row r="30209" customFormat="false" ht="12.8" hidden="false" customHeight="false" outlineLevel="0" collapsed="false">
      <c r="B30209" s="0" t="s">
        <v>7</v>
      </c>
      <c r="C30209" s="0" t="s">
        <v>11217</v>
      </c>
      <c r="D30209" s="0" t="s">
        <v>23</v>
      </c>
      <c r="E30209" s="0" t="s">
        <v>23</v>
      </c>
      <c r="F30209" s="0" t="s">
        <v>23</v>
      </c>
    </row>
    <row r="30210" customFormat="false" ht="12.8" hidden="false" customHeight="false" outlineLevel="0" collapsed="false">
      <c r="B30210" s="0" t="s">
        <v>11216</v>
      </c>
      <c r="C30210" s="0" t="s">
        <v>11218</v>
      </c>
      <c r="D30210" s="0" t="s">
        <v>3645</v>
      </c>
      <c r="E30210" s="0" t="s">
        <v>3645</v>
      </c>
      <c r="F30210" s="0" t="s">
        <v>3645</v>
      </c>
    </row>
    <row r="30211" customFormat="false" ht="12.8" hidden="false" customHeight="false" outlineLevel="0" collapsed="false">
      <c r="B30211" s="0" t="s">
        <v>81</v>
      </c>
      <c r="C30211" s="0" t="s">
        <v>11219</v>
      </c>
      <c r="D30211" s="0" t="s">
        <v>11220</v>
      </c>
      <c r="E30211" s="0" t="s">
        <v>11220</v>
      </c>
      <c r="F30211" s="0" t="s">
        <v>11220</v>
      </c>
    </row>
    <row r="30213" customFormat="false" ht="12.8" hidden="false" customHeight="false" outlineLevel="0" collapsed="false">
      <c r="A30213" s="0" t="s">
        <v>11221</v>
      </c>
      <c r="B30213" s="0" t="str">
        <f aca="false">HYPERLINK("https://lindat.mff.cuni.cz/services/teitok/pdtc10/index.php?action=vallex&amp;frame=v-w4179hsa_731", "povzbudit (v-w4179hsa_731)")</f>
        <v>povzbudit (v-w4179hsa_731)</v>
      </c>
    </row>
    <row r="30214" customFormat="false" ht="12.8" hidden="false" customHeight="false" outlineLevel="0" collapsed="false">
      <c r="B30214" s="0" t="s">
        <v>641</v>
      </c>
      <c r="C30214" s="0" t="s">
        <v>10735</v>
      </c>
    </row>
    <row r="30215" customFormat="false" ht="12.8" hidden="false" customHeight="false" outlineLevel="0" collapsed="false">
      <c r="B30215" s="0" t="s">
        <v>14</v>
      </c>
      <c r="C30215" s="0" t="s">
        <v>25</v>
      </c>
    </row>
    <row r="30217" customFormat="false" ht="12.8" hidden="false" customHeight="false" outlineLevel="0" collapsed="false">
      <c r="A30217" s="0" t="s">
        <v>11221</v>
      </c>
      <c r="B30217" s="0" t="str">
        <f aca="false">HYPERLINK("https://lindat.mff.cuni.cz/services/teitok/pdtc10/index.php?action=vallex&amp;frame=v-w4179f1", "povzbudit (v-w4179f1) - substituted with v-w4179hsa_731")</f>
        <v>povzbudit (v-w4179f1) - substituted with v-w4179hsa_731</v>
      </c>
    </row>
    <row r="30218" customFormat="false" ht="12.8" hidden="false" customHeight="false" outlineLevel="0" collapsed="false">
      <c r="B30218" s="0" t="s">
        <v>641</v>
      </c>
      <c r="C30218" s="0" t="s">
        <v>11222</v>
      </c>
    </row>
    <row r="30219" customFormat="false" ht="12.8" hidden="false" customHeight="false" outlineLevel="0" collapsed="false">
      <c r="B30219" s="0" t="s">
        <v>14</v>
      </c>
      <c r="C30219" s="0" t="s">
        <v>2813</v>
      </c>
    </row>
    <row r="30221" customFormat="false" ht="12.8" hidden="false" customHeight="false" outlineLevel="0" collapsed="false">
      <c r="A30221" s="0" t="s">
        <v>11223</v>
      </c>
      <c r="B30221" s="0" t="str">
        <f aca="false">HYPERLINK("https://lindat.mff.cuni.cz/services/teitok/pdtc10/index.php?action=vallex&amp;frame=v-w4182hsa_29", "povzbuzovat (v-w4182hsa_29)")</f>
        <v>povzbuzovat (v-w4182hsa_29)</v>
      </c>
    </row>
    <row r="30222" customFormat="false" ht="12.8" hidden="false" customHeight="false" outlineLevel="0" collapsed="false">
      <c r="B30222" s="0" t="s">
        <v>7</v>
      </c>
      <c r="D30222" s="0" t="s">
        <v>23</v>
      </c>
      <c r="E30222" s="0" t="s">
        <v>23</v>
      </c>
      <c r="F30222" s="0" t="s">
        <v>23</v>
      </c>
    </row>
    <row r="30223" customFormat="false" ht="12.8" hidden="false" customHeight="false" outlineLevel="0" collapsed="false">
      <c r="B30223" s="0" t="s">
        <v>11224</v>
      </c>
      <c r="D30223" s="0" t="s">
        <v>3645</v>
      </c>
      <c r="E30223" s="0" t="s">
        <v>3645</v>
      </c>
      <c r="F30223" s="0" t="s">
        <v>3645</v>
      </c>
    </row>
    <row r="30224" customFormat="false" ht="12.8" hidden="false" customHeight="false" outlineLevel="0" collapsed="false">
      <c r="B30224" s="0" t="s">
        <v>81</v>
      </c>
      <c r="D30224" s="0" t="s">
        <v>11220</v>
      </c>
      <c r="E30224" s="0" t="s">
        <v>11220</v>
      </c>
      <c r="F30224" s="0" t="s">
        <v>11220</v>
      </c>
    </row>
    <row r="30226" customFormat="false" ht="12.8" hidden="false" customHeight="false" outlineLevel="0" collapsed="false">
      <c r="A30226" s="0" t="s">
        <v>11223</v>
      </c>
      <c r="B30226" s="0" t="str">
        <f aca="false">HYPERLINK("https://lindat.mff.cuni.cz/services/teitok/pdtc10/index.php?action=vallex&amp;frame=v-w4182f3", "povzbuzovat (v-w4182f3) - substituted with v-w4182hsa_29")</f>
        <v>povzbuzovat (v-w4182f3) - substituted with v-w4182hsa_29</v>
      </c>
    </row>
    <row r="30227" customFormat="false" ht="12.8" hidden="false" customHeight="false" outlineLevel="0" collapsed="false">
      <c r="B30227" s="0" t="s">
        <v>7</v>
      </c>
      <c r="C30227" s="0" t="s">
        <v>1287</v>
      </c>
    </row>
    <row r="30228" customFormat="false" ht="12.8" hidden="false" customHeight="false" outlineLevel="0" collapsed="false">
      <c r="B30228" s="0" t="s">
        <v>11224</v>
      </c>
      <c r="C30228" s="0" t="s">
        <v>1299</v>
      </c>
    </row>
    <row r="30229" customFormat="false" ht="12.8" hidden="false" customHeight="false" outlineLevel="0" collapsed="false">
      <c r="B30229" s="0" t="s">
        <v>81</v>
      </c>
      <c r="C30229" s="0" t="s">
        <v>10042</v>
      </c>
    </row>
    <row r="30231" customFormat="false" ht="12.8" hidden="false" customHeight="false" outlineLevel="0" collapsed="false">
      <c r="A30231" s="0" t="s">
        <v>11225</v>
      </c>
      <c r="B30231" s="0" t="str">
        <f aca="false">HYPERLINK("https://lindat.mff.cuni.cz/services/teitok/pdtc10/index.php?action=vallex&amp;frame=v-w4182f1", "povzbuzovat (v-w4182f1)")</f>
        <v>povzbuzovat (v-w4182f1)</v>
      </c>
    </row>
    <row r="30232" customFormat="false" ht="12.8" hidden="false" customHeight="false" outlineLevel="0" collapsed="false">
      <c r="B30232" s="0" t="s">
        <v>7</v>
      </c>
      <c r="C30232" s="0" t="s">
        <v>11226</v>
      </c>
      <c r="D30232" s="0" t="s">
        <v>11227</v>
      </c>
      <c r="E30232" s="0" t="s">
        <v>11227</v>
      </c>
      <c r="F30232" s="0" t="s">
        <v>11227</v>
      </c>
    </row>
    <row r="30233" customFormat="false" ht="12.8" hidden="false" customHeight="false" outlineLevel="0" collapsed="false">
      <c r="B30233" s="0" t="s">
        <v>14</v>
      </c>
      <c r="C30233" s="0" t="s">
        <v>1210</v>
      </c>
      <c r="D30233" s="0" t="s">
        <v>11228</v>
      </c>
      <c r="E30233" s="0" t="s">
        <v>11228</v>
      </c>
      <c r="F30233" s="0" t="s">
        <v>11228</v>
      </c>
    </row>
    <row r="30235" customFormat="false" ht="12.8" hidden="false" customHeight="false" outlineLevel="0" collapsed="false">
      <c r="A30235" s="0" t="s">
        <v>11229</v>
      </c>
      <c r="B30235" s="0" t="str">
        <f aca="false">HYPERLINK("https://lindat.mff.cuni.cz/services/teitok/pdtc10/index.php?action=vallex&amp;frame=v-w4184f1", "povzdechnout si (v-w4184f1)")</f>
        <v>povzdechnout si (v-w4184f1)</v>
      </c>
    </row>
    <row r="30236" customFormat="false" ht="12.8" hidden="false" customHeight="false" outlineLevel="0" collapsed="false">
      <c r="B30236" s="0" t="s">
        <v>7</v>
      </c>
    </row>
    <row r="30238" customFormat="false" ht="12.8" hidden="false" customHeight="false" outlineLevel="0" collapsed="false">
      <c r="A30238" s="0" t="s">
        <v>11230</v>
      </c>
      <c r="B30238" s="0" t="str">
        <f aca="false">HYPERLINK("https://lindat.mff.cuni.cz/services/teitok/pdtc10/index.php?action=vallex&amp;frame=v-w11409f1", "povzdychnout si (v-w11409f1)")</f>
        <v>povzdychnout si (v-w11409f1)</v>
      </c>
    </row>
    <row r="30239" customFormat="false" ht="12.8" hidden="false" customHeight="false" outlineLevel="0" collapsed="false">
      <c r="B30239" s="0" t="s">
        <v>7</v>
      </c>
      <c r="C30239" s="0" t="s">
        <v>46</v>
      </c>
      <c r="D30239" s="0" t="s">
        <v>191</v>
      </c>
      <c r="E30239" s="0" t="s">
        <v>191</v>
      </c>
      <c r="F30239" s="0" t="s">
        <v>191</v>
      </c>
    </row>
    <row r="30241" customFormat="false" ht="12.8" hidden="false" customHeight="false" outlineLevel="0" collapsed="false">
      <c r="A30241" s="0" t="s">
        <v>11231</v>
      </c>
      <c r="B30241" s="0" t="str">
        <f aca="false">HYPERLINK("https://lindat.mff.cuni.cz/services/teitok/pdtc10/index.php?action=vallex&amp;frame=v-w11409f2_ZU", "povzdychnout si (v-w11409f2_ZU)")</f>
        <v>povzdychnout si (v-w11409f2_ZU)</v>
      </c>
    </row>
    <row r="30242" customFormat="false" ht="12.8" hidden="false" customHeight="false" outlineLevel="0" collapsed="false">
      <c r="B30242" s="0" t="s">
        <v>7</v>
      </c>
      <c r="C30242" s="0" t="s">
        <v>46</v>
      </c>
      <c r="D30242" s="0" t="s">
        <v>5057</v>
      </c>
      <c r="E30242" s="0" t="s">
        <v>5057</v>
      </c>
      <c r="F30242" s="0" t="s">
        <v>5057</v>
      </c>
    </row>
    <row r="30243" customFormat="false" ht="12.8" hidden="false" customHeight="false" outlineLevel="0" collapsed="false">
      <c r="B30243" s="0" t="s">
        <v>48</v>
      </c>
      <c r="D30243" s="0" t="s">
        <v>7572</v>
      </c>
      <c r="E30243" s="0" t="s">
        <v>7572</v>
      </c>
      <c r="F30243" s="0" t="s">
        <v>7572</v>
      </c>
    </row>
    <row r="30244" customFormat="false" ht="12.8" hidden="false" customHeight="false" outlineLevel="0" collapsed="false">
      <c r="B30244" s="0" t="s">
        <v>3977</v>
      </c>
      <c r="D30244" s="0" t="s">
        <v>11232</v>
      </c>
      <c r="E30244" s="0" t="s">
        <v>11232</v>
      </c>
      <c r="F30244" s="0" t="s">
        <v>11232</v>
      </c>
    </row>
    <row r="30245" customFormat="false" ht="12.8" hidden="false" customHeight="false" outlineLevel="0" collapsed="false">
      <c r="B30245" s="0" t="s">
        <v>363</v>
      </c>
      <c r="D30245" s="0" t="s">
        <v>7481</v>
      </c>
      <c r="E30245" s="0" t="s">
        <v>7481</v>
      </c>
      <c r="F30245" s="0" t="s">
        <v>7481</v>
      </c>
    </row>
    <row r="30247" customFormat="false" ht="12.8" hidden="false" customHeight="false" outlineLevel="0" collapsed="false">
      <c r="A30247" s="0" t="s">
        <v>11231</v>
      </c>
      <c r="B30247" s="0" t="str">
        <f aca="false">HYPERLINK("https://lindat.mff.cuni.cz/services/teitok/pdtc10/index.php?action=vallex&amp;frame=v-w11409hsa_559", "povzdychnout si (v-w11409hsa_559) - substituted with v-w11409f2_ZU")</f>
        <v>povzdychnout si (v-w11409hsa_559) - substituted with v-w11409f2_ZU</v>
      </c>
    </row>
    <row r="30248" customFormat="false" ht="12.8" hidden="false" customHeight="false" outlineLevel="0" collapsed="false">
      <c r="B30248" s="0" t="s">
        <v>7</v>
      </c>
    </row>
    <row r="30249" customFormat="false" ht="12.8" hidden="false" customHeight="false" outlineLevel="0" collapsed="false">
      <c r="B30249" s="0" t="s">
        <v>48</v>
      </c>
    </row>
    <row r="30250" customFormat="false" ht="12.8" hidden="false" customHeight="false" outlineLevel="0" collapsed="false">
      <c r="B30250" s="0" t="s">
        <v>3977</v>
      </c>
    </row>
    <row r="30251" customFormat="false" ht="12.8" hidden="false" customHeight="false" outlineLevel="0" collapsed="false">
      <c r="B30251" s="0" t="s">
        <v>363</v>
      </c>
    </row>
    <row r="30253" customFormat="false" ht="12.8" hidden="false" customHeight="false" outlineLevel="0" collapsed="false">
      <c r="A30253" s="0" t="s">
        <v>11233</v>
      </c>
      <c r="B30253" s="0" t="str">
        <f aca="false">HYPERLINK("https://lindat.mff.cuni.cz/services/teitok/pdtc10/index.php?action=vallex&amp;frame=v-w11964_ZUf1_ZU", "povznést (v-w11964_ZUf1_ZU)")</f>
        <v>povznést (v-w11964_ZUf1_ZU)</v>
      </c>
    </row>
    <row r="30254" customFormat="false" ht="12.8" hidden="false" customHeight="false" outlineLevel="0" collapsed="false">
      <c r="B30254" s="0" t="s">
        <v>7</v>
      </c>
    </row>
    <row r="30255" customFormat="false" ht="12.8" hidden="false" customHeight="false" outlineLevel="0" collapsed="false">
      <c r="B30255" s="0" t="s">
        <v>14</v>
      </c>
    </row>
    <row r="30257" customFormat="false" ht="12.8" hidden="false" customHeight="false" outlineLevel="0" collapsed="false">
      <c r="A30257" s="0" t="s">
        <v>11234</v>
      </c>
      <c r="B30257" s="0" t="str">
        <f aca="false">HYPERLINK("https://lindat.mff.cuni.cz/services/teitok/pdtc10/index.php?action=vallex&amp;frame=v-w4185f1", "povznést se (v-w4185f1)")</f>
        <v>povznést se (v-w4185f1)</v>
      </c>
    </row>
    <row r="30258" customFormat="false" ht="12.8" hidden="false" customHeight="false" outlineLevel="0" collapsed="false">
      <c r="B30258" s="0" t="s">
        <v>7</v>
      </c>
    </row>
    <row r="30259" customFormat="false" ht="12.8" hidden="false" customHeight="false" outlineLevel="0" collapsed="false">
      <c r="B30259" s="0" t="s">
        <v>124</v>
      </c>
    </row>
    <row r="30261" customFormat="false" ht="12.8" hidden="false" customHeight="false" outlineLevel="0" collapsed="false">
      <c r="A30261" s="0" t="s">
        <v>11235</v>
      </c>
      <c r="B30261" s="0" t="str">
        <f aca="false">HYPERLINK("https://lindat.mff.cuni.cz/services/teitok/pdtc10/index.php?action=vallex&amp;frame=v-w4138f1", "povážit (v-w4138f1)")</f>
        <v>povážit (v-w4138f1)</v>
      </c>
    </row>
    <row r="30262" customFormat="false" ht="12.8" hidden="false" customHeight="false" outlineLevel="0" collapsed="false">
      <c r="B30262" s="0" t="s">
        <v>7</v>
      </c>
    </row>
    <row r="30263" customFormat="false" ht="12.8" hidden="false" customHeight="false" outlineLevel="0" collapsed="false">
      <c r="B30263" s="0" t="s">
        <v>11236</v>
      </c>
    </row>
    <row r="30265" customFormat="false" ht="12.8" hidden="false" customHeight="false" outlineLevel="0" collapsed="false">
      <c r="A30265" s="0" t="s">
        <v>11237</v>
      </c>
      <c r="B30265" s="0" t="str">
        <f aca="false">HYPERLINK("https://lindat.mff.cuni.cz/services/teitok/pdtc10/index.php?action=vallex&amp;frame=v-w4154f1", "povést se (v-w4154f1)")</f>
        <v>povést se (v-w4154f1)</v>
      </c>
    </row>
    <row r="30266" customFormat="false" ht="12.8" hidden="false" customHeight="false" outlineLevel="0" collapsed="false">
      <c r="B30266" s="0" t="s">
        <v>603</v>
      </c>
      <c r="C30266" s="0" t="s">
        <v>11238</v>
      </c>
      <c r="D30266" s="0" t="s">
        <v>1495</v>
      </c>
      <c r="E30266" s="0" t="s">
        <v>1495</v>
      </c>
      <c r="F30266" s="0" t="s">
        <v>1495</v>
      </c>
    </row>
    <row r="30267" customFormat="false" ht="12.8" hidden="false" customHeight="false" outlineLevel="0" collapsed="false">
      <c r="B30267" s="0" t="s">
        <v>9897</v>
      </c>
      <c r="C30267" s="0" t="s">
        <v>2818</v>
      </c>
      <c r="D30267" s="0" t="s">
        <v>1497</v>
      </c>
      <c r="E30267" s="0" t="s">
        <v>1497</v>
      </c>
      <c r="F30267" s="0" t="s">
        <v>1497</v>
      </c>
    </row>
    <row r="30269" customFormat="false" ht="12.8" hidden="false" customHeight="false" outlineLevel="0" collapsed="false">
      <c r="A30269" s="0" t="s">
        <v>11239</v>
      </c>
      <c r="B30269" s="0" t="str">
        <f aca="false">HYPERLINK("https://lindat.mff.cuni.cz/services/teitok/pdtc10/index.php?action=vallex&amp;frame=v-w4156f2", "povídat (v-w4156f2)")</f>
        <v>povídat (v-w4156f2)</v>
      </c>
    </row>
    <row r="30270" customFormat="false" ht="12.8" hidden="false" customHeight="false" outlineLevel="0" collapsed="false">
      <c r="B30270" s="0" t="s">
        <v>7</v>
      </c>
      <c r="C30270" s="0" t="s">
        <v>6263</v>
      </c>
      <c r="D30270" s="0" t="s">
        <v>5393</v>
      </c>
      <c r="E30270" s="0" t="s">
        <v>5393</v>
      </c>
      <c r="F30270" s="0" t="s">
        <v>5393</v>
      </c>
    </row>
    <row r="30271" customFormat="false" ht="12.8" hidden="false" customHeight="false" outlineLevel="0" collapsed="false">
      <c r="B30271" s="0" t="s">
        <v>244</v>
      </c>
      <c r="C30271" s="0" t="s">
        <v>624</v>
      </c>
      <c r="D30271" s="0" t="s">
        <v>11240</v>
      </c>
      <c r="E30271" s="0" t="s">
        <v>11240</v>
      </c>
      <c r="F30271" s="0" t="s">
        <v>11240</v>
      </c>
    </row>
    <row r="30272" customFormat="false" ht="12.8" hidden="false" customHeight="false" outlineLevel="0" collapsed="false">
      <c r="B30272" s="0" t="s">
        <v>48</v>
      </c>
      <c r="C30272" s="0" t="s">
        <v>6264</v>
      </c>
      <c r="D30272" s="0" t="s">
        <v>5324</v>
      </c>
      <c r="E30272" s="0" t="s">
        <v>5324</v>
      </c>
      <c r="F30272" s="0" t="s">
        <v>5324</v>
      </c>
    </row>
    <row r="30274" customFormat="false" ht="12.8" hidden="false" customHeight="false" outlineLevel="0" collapsed="false">
      <c r="A30274" s="0" t="s">
        <v>11241</v>
      </c>
      <c r="B30274" s="0" t="str">
        <f aca="false">HYPERLINK("https://lindat.mff.cuni.cz/services/teitok/pdtc10/index.php?action=vallex&amp;frame=v-w4156f1", "povídat (v-w4156f1)")</f>
        <v>povídat (v-w4156f1)</v>
      </c>
    </row>
    <row r="30275" customFormat="false" ht="12.8" hidden="false" customHeight="false" outlineLevel="0" collapsed="false">
      <c r="B30275" s="0" t="s">
        <v>7</v>
      </c>
      <c r="D30275" s="0" t="s">
        <v>164</v>
      </c>
      <c r="E30275" s="0" t="s">
        <v>164</v>
      </c>
      <c r="F30275" s="0" t="s">
        <v>164</v>
      </c>
    </row>
    <row r="30276" customFormat="false" ht="12.8" hidden="false" customHeight="false" outlineLevel="0" collapsed="false">
      <c r="B30276" s="0" t="s">
        <v>48</v>
      </c>
      <c r="D30276" s="0" t="s">
        <v>168</v>
      </c>
      <c r="E30276" s="0" t="s">
        <v>168</v>
      </c>
      <c r="F30276" s="0" t="s">
        <v>168</v>
      </c>
    </row>
    <row r="30277" customFormat="false" ht="12.8" hidden="false" customHeight="false" outlineLevel="0" collapsed="false">
      <c r="B30277" s="0" t="s">
        <v>5518</v>
      </c>
      <c r="D30277" s="0" t="s">
        <v>1766</v>
      </c>
      <c r="E30277" s="0" t="s">
        <v>1766</v>
      </c>
      <c r="F30277" s="0" t="s">
        <v>1766</v>
      </c>
    </row>
    <row r="30278" customFormat="false" ht="12.8" hidden="false" customHeight="false" outlineLevel="0" collapsed="false">
      <c r="B30278" s="0" t="s">
        <v>363</v>
      </c>
      <c r="D30278" s="0" t="s">
        <v>167</v>
      </c>
      <c r="E30278" s="0" t="s">
        <v>167</v>
      </c>
      <c r="F30278" s="0" t="s">
        <v>167</v>
      </c>
    </row>
    <row r="30280" customFormat="false" ht="12.8" hidden="false" customHeight="false" outlineLevel="0" collapsed="false">
      <c r="A30280" s="0" t="s">
        <v>11242</v>
      </c>
      <c r="B30280" s="0" t="str">
        <f aca="false">HYPERLINK("https://lindat.mff.cuni.cz/services/teitok/pdtc10/index.php?action=vallex&amp;frame=v-w4156f3_ZU", "povídat (v-w4156f3_ZU)")</f>
        <v>povídat (v-w4156f3_ZU)</v>
      </c>
    </row>
    <row r="30281" customFormat="false" ht="12.8" hidden="false" customHeight="false" outlineLevel="0" collapsed="false">
      <c r="B30281" s="0" t="s">
        <v>7</v>
      </c>
    </row>
    <row r="30282" customFormat="false" ht="12.8" hidden="false" customHeight="false" outlineLevel="0" collapsed="false">
      <c r="B30282" s="0" t="s">
        <v>48</v>
      </c>
    </row>
    <row r="30283" customFormat="false" ht="12.8" hidden="false" customHeight="false" outlineLevel="0" collapsed="false">
      <c r="B30283" s="0" t="s">
        <v>11243</v>
      </c>
    </row>
    <row r="30284" customFormat="false" ht="12.8" hidden="false" customHeight="false" outlineLevel="0" collapsed="false">
      <c r="B30284" s="0" t="s">
        <v>63</v>
      </c>
    </row>
    <row r="30286" customFormat="false" ht="12.8" hidden="false" customHeight="false" outlineLevel="0" collapsed="false">
      <c r="A30286" s="0" t="s">
        <v>11244</v>
      </c>
      <c r="B30286" s="0" t="str">
        <f aca="false">HYPERLINK("https://lindat.mff.cuni.cz/services/teitok/pdtc10/index.php?action=vallex&amp;frame=v-w4156f4_MM", "povídat (v-w4156f4_MM)")</f>
        <v>povídat (v-w4156f4_MM)</v>
      </c>
    </row>
    <row r="30287" customFormat="false" ht="12.8" hidden="false" customHeight="false" outlineLevel="0" collapsed="false">
      <c r="B30287" s="0" t="s">
        <v>7</v>
      </c>
    </row>
    <row r="30288" customFormat="false" ht="12.8" hidden="false" customHeight="false" outlineLevel="0" collapsed="false">
      <c r="B30288" s="0" t="s">
        <v>48</v>
      </c>
    </row>
    <row r="30289" customFormat="false" ht="12.8" hidden="false" customHeight="false" outlineLevel="0" collapsed="false">
      <c r="B30289" s="0" t="s">
        <v>41</v>
      </c>
    </row>
    <row r="30290" customFormat="false" ht="12.8" hidden="false" customHeight="false" outlineLevel="0" collapsed="false">
      <c r="B30290" s="0" t="s">
        <v>1925</v>
      </c>
    </row>
    <row r="30292" customFormat="false" ht="12.8" hidden="false" customHeight="false" outlineLevel="0" collapsed="false">
      <c r="A30292" s="0" t="s">
        <v>11245</v>
      </c>
      <c r="B30292" s="0" t="str">
        <f aca="false">HYPERLINK("https://lindat.mff.cuni.cz/services/teitok/pdtc10/index.php?action=vallex&amp;frame=v-w4156hsa_503", "povídat (v-w4156hsa_503)")</f>
        <v>povídat (v-w4156hsa_503)</v>
      </c>
    </row>
    <row r="30293" customFormat="false" ht="12.8" hidden="false" customHeight="false" outlineLevel="0" collapsed="false">
      <c r="B30293" s="0" t="s">
        <v>7</v>
      </c>
    </row>
    <row r="30294" customFormat="false" ht="12.8" hidden="false" customHeight="false" outlineLevel="0" collapsed="false">
      <c r="B30294" s="0" t="s">
        <v>48</v>
      </c>
    </row>
    <row r="30295" customFormat="false" ht="12.8" hidden="false" customHeight="false" outlineLevel="0" collapsed="false">
      <c r="B30295" s="0" t="s">
        <v>11246</v>
      </c>
    </row>
    <row r="30297" customFormat="false" ht="12.8" hidden="false" customHeight="false" outlineLevel="0" collapsed="false">
      <c r="A30297" s="0" t="s">
        <v>11247</v>
      </c>
      <c r="B30297" s="0" t="str">
        <f aca="false">HYPERLINK("https://lindat.mff.cuni.cz/services/teitok/pdtc10/index.php?action=vallex&amp;frame=v-w4157f1", "povídat si (v-w4157f1)")</f>
        <v>povídat si (v-w4157f1)</v>
      </c>
    </row>
    <row r="30298" customFormat="false" ht="12.8" hidden="false" customHeight="false" outlineLevel="0" collapsed="false">
      <c r="B30298" s="0" t="s">
        <v>7</v>
      </c>
      <c r="D30298" s="0" t="s">
        <v>209</v>
      </c>
      <c r="E30298" s="0" t="s">
        <v>209</v>
      </c>
      <c r="F30298" s="0" t="s">
        <v>209</v>
      </c>
    </row>
    <row r="30299" customFormat="false" ht="12.8" hidden="false" customHeight="false" outlineLevel="0" collapsed="false">
      <c r="B30299" s="0" t="s">
        <v>207</v>
      </c>
      <c r="D30299" s="0" t="s">
        <v>213</v>
      </c>
      <c r="E30299" s="0" t="s">
        <v>213</v>
      </c>
      <c r="F30299" s="0" t="s">
        <v>213</v>
      </c>
    </row>
    <row r="30300" customFormat="false" ht="12.8" hidden="false" customHeight="false" outlineLevel="0" collapsed="false">
      <c r="B30300" s="0" t="s">
        <v>11248</v>
      </c>
      <c r="D30300" s="0" t="s">
        <v>211</v>
      </c>
      <c r="E30300" s="0" t="s">
        <v>211</v>
      </c>
      <c r="F30300" s="0" t="s">
        <v>211</v>
      </c>
    </row>
    <row r="30302" customFormat="false" ht="12.8" hidden="false" customHeight="false" outlineLevel="0" collapsed="false">
      <c r="A30302" s="0" t="s">
        <v>11249</v>
      </c>
      <c r="B30302" s="0" t="str">
        <f aca="false">HYPERLINK("https://lindat.mff.cuni.cz/services/teitok/pdtc10/index.php?action=vallex&amp;frame=v-w4157f2", "povídat si (v-w4157f2)")</f>
        <v>povídat si (v-w4157f2)</v>
      </c>
    </row>
    <row r="30303" customFormat="false" ht="12.8" hidden="false" customHeight="false" outlineLevel="0" collapsed="false">
      <c r="B30303" s="0" t="s">
        <v>7</v>
      </c>
    </row>
    <row r="30304" customFormat="false" ht="12.8" hidden="false" customHeight="false" outlineLevel="0" collapsed="false">
      <c r="B30304" s="0" t="s">
        <v>207</v>
      </c>
    </row>
    <row r="30305" customFormat="false" ht="12.8" hidden="false" customHeight="false" outlineLevel="0" collapsed="false">
      <c r="B30305" s="0" t="s">
        <v>5518</v>
      </c>
    </row>
    <row r="30306" customFormat="false" ht="12.8" hidden="false" customHeight="false" outlineLevel="0" collapsed="false">
      <c r="B30306" s="0" t="s">
        <v>363</v>
      </c>
    </row>
    <row r="30308" customFormat="false" ht="12.8" hidden="false" customHeight="false" outlineLevel="0" collapsed="false">
      <c r="A30308" s="0" t="s">
        <v>11250</v>
      </c>
      <c r="B30308" s="0" t="str">
        <f aca="false">HYPERLINK("https://lindat.mff.cuni.cz/services/teitok/pdtc10/index.php?action=vallex&amp;frame=v-w4178f1", "povýšit (v-w4178f1)")</f>
        <v>povýšit (v-w4178f1)</v>
      </c>
    </row>
    <row r="30309" customFormat="false" ht="12.8" hidden="false" customHeight="false" outlineLevel="0" collapsed="false">
      <c r="B30309" s="0" t="s">
        <v>7</v>
      </c>
      <c r="C30309" s="0" t="s">
        <v>11251</v>
      </c>
      <c r="D30309" s="0" t="s">
        <v>11252</v>
      </c>
      <c r="E30309" s="0" t="s">
        <v>11252</v>
      </c>
      <c r="F30309" s="0" t="s">
        <v>11252</v>
      </c>
    </row>
    <row r="30310" customFormat="false" ht="12.8" hidden="false" customHeight="false" outlineLevel="0" collapsed="false">
      <c r="B30310" s="0" t="s">
        <v>14</v>
      </c>
      <c r="C30310" s="0" t="s">
        <v>44</v>
      </c>
      <c r="D30310" s="0" t="s">
        <v>11253</v>
      </c>
      <c r="E30310" s="0" t="s">
        <v>11253</v>
      </c>
      <c r="F30310" s="0" t="s">
        <v>11253</v>
      </c>
    </row>
    <row r="30311" customFormat="false" ht="12.8" hidden="false" customHeight="false" outlineLevel="0" collapsed="false">
      <c r="B30311" s="0" t="s">
        <v>37</v>
      </c>
      <c r="C30311" s="0" t="s">
        <v>6439</v>
      </c>
      <c r="D30311" s="0" t="s">
        <v>11254</v>
      </c>
      <c r="E30311" s="0" t="s">
        <v>11254</v>
      </c>
      <c r="F30311" s="0" t="s">
        <v>11254</v>
      </c>
    </row>
    <row r="30313" customFormat="false" ht="12.8" hidden="false" customHeight="false" outlineLevel="0" collapsed="false">
      <c r="A30313" s="0" t="s">
        <v>11255</v>
      </c>
      <c r="B30313" s="0" t="str">
        <f aca="false">HYPERLINK("https://lindat.mff.cuni.cz/services/teitok/pdtc10/index.php?action=vallex&amp;frame=v-w4178f2", "povýšit (v-w4178f2)")</f>
        <v>povýšit (v-w4178f2)</v>
      </c>
    </row>
    <row r="30314" customFormat="false" ht="12.8" hidden="false" customHeight="false" outlineLevel="0" collapsed="false">
      <c r="B30314" s="0" t="s">
        <v>7</v>
      </c>
    </row>
    <row r="30315" customFormat="false" ht="12.8" hidden="false" customHeight="false" outlineLevel="0" collapsed="false">
      <c r="B30315" s="0" t="s">
        <v>41</v>
      </c>
    </row>
    <row r="30317" customFormat="false" ht="12.8" hidden="false" customHeight="false" outlineLevel="0" collapsed="false">
      <c r="A30317" s="0" t="s">
        <v>11256</v>
      </c>
      <c r="B30317" s="0" t="str">
        <f aca="false">HYPERLINK("https://lindat.mff.cuni.cz/services/teitok/pdtc10/index.php?action=vallex&amp;frame=v-w10345hsa_1929", "povědět (v-w10345hsa_1929)")</f>
        <v>povědět (v-w10345hsa_1929)</v>
      </c>
    </row>
    <row r="30318" customFormat="false" ht="12.8" hidden="false" customHeight="false" outlineLevel="0" collapsed="false">
      <c r="B30318" s="0" t="s">
        <v>7</v>
      </c>
    </row>
    <row r="30319" customFormat="false" ht="12.8" hidden="false" customHeight="false" outlineLevel="0" collapsed="false">
      <c r="B30319" s="0" t="s">
        <v>48</v>
      </c>
    </row>
    <row r="30320" customFormat="false" ht="12.8" hidden="false" customHeight="false" outlineLevel="0" collapsed="false">
      <c r="B30320" s="0" t="s">
        <v>5518</v>
      </c>
    </row>
    <row r="30321" customFormat="false" ht="12.8" hidden="false" customHeight="false" outlineLevel="0" collapsed="false">
      <c r="B30321" s="0" t="s">
        <v>10021</v>
      </c>
    </row>
    <row r="30323" customFormat="false" ht="12.8" hidden="false" customHeight="false" outlineLevel="0" collapsed="false">
      <c r="A30323" s="0" t="s">
        <v>11256</v>
      </c>
      <c r="B30323" s="0" t="str">
        <f aca="false">HYPERLINK("https://lindat.mff.cuni.cz/services/teitok/pdtc10/index.php?action=vallex&amp;frame=v-w10345f2", "povědět (v-w10345f2) - substituted with v-w10345hsa_1929")</f>
        <v>povědět (v-w10345f2) - substituted with v-w10345hsa_1929</v>
      </c>
    </row>
    <row r="30324" customFormat="false" ht="12.8" hidden="false" customHeight="false" outlineLevel="0" collapsed="false">
      <c r="B30324" s="0" t="s">
        <v>7</v>
      </c>
      <c r="C30324" s="0" t="s">
        <v>6263</v>
      </c>
      <c r="D30324" s="0" t="s">
        <v>11257</v>
      </c>
      <c r="E30324" s="0" t="s">
        <v>11257</v>
      </c>
      <c r="F30324" s="0" t="s">
        <v>11257</v>
      </c>
    </row>
    <row r="30325" customFormat="false" ht="12.8" hidden="false" customHeight="false" outlineLevel="0" collapsed="false">
      <c r="B30325" s="0" t="s">
        <v>48</v>
      </c>
      <c r="C30325" s="0" t="s">
        <v>6264</v>
      </c>
      <c r="D30325" s="0" t="s">
        <v>11258</v>
      </c>
      <c r="E30325" s="0" t="s">
        <v>11258</v>
      </c>
      <c r="F30325" s="0" t="s">
        <v>11258</v>
      </c>
    </row>
    <row r="30326" customFormat="false" ht="12.8" hidden="false" customHeight="false" outlineLevel="0" collapsed="false">
      <c r="B30326" s="0" t="s">
        <v>5518</v>
      </c>
      <c r="C30326" s="0" t="s">
        <v>2690</v>
      </c>
      <c r="D30326" s="0" t="s">
        <v>11259</v>
      </c>
      <c r="E30326" s="0" t="s">
        <v>11259</v>
      </c>
      <c r="F30326" s="0" t="s">
        <v>11259</v>
      </c>
    </row>
    <row r="30327" customFormat="false" ht="12.8" hidden="false" customHeight="false" outlineLevel="0" collapsed="false">
      <c r="B30327" s="0" t="s">
        <v>10021</v>
      </c>
      <c r="C30327" s="0" t="s">
        <v>624</v>
      </c>
      <c r="D30327" s="0" t="s">
        <v>11260</v>
      </c>
      <c r="E30327" s="0" t="s">
        <v>11260</v>
      </c>
      <c r="F30327" s="0" t="s">
        <v>11260</v>
      </c>
    </row>
    <row r="30329" customFormat="false" ht="12.8" hidden="false" customHeight="false" outlineLevel="0" collapsed="false">
      <c r="A30329" s="0" t="s">
        <v>11261</v>
      </c>
      <c r="B30329" s="0" t="str">
        <f aca="false">HYPERLINK("https://lindat.mff.cuni.cz/services/teitok/pdtc10/index.php?action=vallex&amp;frame=v-w4150f2_ZU", "pověsit (v-w4150f2_ZU)")</f>
        <v>pověsit (v-w4150f2_ZU)</v>
      </c>
    </row>
    <row r="30330" customFormat="false" ht="12.8" hidden="false" customHeight="false" outlineLevel="0" collapsed="false">
      <c r="B30330" s="0" t="s">
        <v>7</v>
      </c>
    </row>
    <row r="30331" customFormat="false" ht="12.8" hidden="false" customHeight="false" outlineLevel="0" collapsed="false">
      <c r="B30331" s="0" t="s">
        <v>14</v>
      </c>
    </row>
    <row r="30333" customFormat="false" ht="12.8" hidden="false" customHeight="false" outlineLevel="0" collapsed="false">
      <c r="A30333" s="0" t="s">
        <v>11261</v>
      </c>
      <c r="B30333" s="0" t="str">
        <f aca="false">HYPERLINK("https://lindat.mff.cuni.cz/services/teitok/pdtc10/index.php?action=vallex&amp;frame=v-w4150f1", "pověsit (v-w4150f1) - substituted with v-w4150f2_ZU")</f>
        <v>pověsit (v-w4150f1) - substituted with v-w4150f2_ZU</v>
      </c>
    </row>
    <row r="30334" customFormat="false" ht="12.8" hidden="false" customHeight="false" outlineLevel="0" collapsed="false">
      <c r="B30334" s="0" t="s">
        <v>7</v>
      </c>
      <c r="C30334" s="0" t="s">
        <v>191</v>
      </c>
      <c r="D30334" s="0" t="s">
        <v>11262</v>
      </c>
      <c r="E30334" s="0" t="s">
        <v>11262</v>
      </c>
      <c r="F30334" s="0" t="s">
        <v>11262</v>
      </c>
    </row>
    <row r="30335" customFormat="false" ht="12.8" hidden="false" customHeight="false" outlineLevel="0" collapsed="false">
      <c r="B30335" s="0" t="s">
        <v>14</v>
      </c>
      <c r="C30335" s="0" t="s">
        <v>78</v>
      </c>
      <c r="D30335" s="0" t="s">
        <v>11263</v>
      </c>
      <c r="E30335" s="0" t="s">
        <v>11263</v>
      </c>
      <c r="F30335" s="0" t="s">
        <v>11263</v>
      </c>
    </row>
    <row r="30337" customFormat="false" ht="12.8" hidden="false" customHeight="false" outlineLevel="0" collapsed="false">
      <c r="A30337" s="0" t="s">
        <v>11264</v>
      </c>
      <c r="B30337" s="0" t="str">
        <f aca="false">HYPERLINK("https://lindat.mff.cuni.cz/services/teitok/pdtc10/index.php?action=vallex&amp;frame=v-w4151f1", "pověsit se (v-w4151f1)")</f>
        <v>pověsit se (v-w4151f1)</v>
      </c>
    </row>
    <row r="30338" customFormat="false" ht="12.8" hidden="false" customHeight="false" outlineLevel="0" collapsed="false">
      <c r="B30338" s="0" t="s">
        <v>7</v>
      </c>
    </row>
    <row r="30339" customFormat="false" ht="12.8" hidden="false" customHeight="false" outlineLevel="0" collapsed="false">
      <c r="B30339" s="0" t="s">
        <v>3421</v>
      </c>
    </row>
    <row r="30340" customFormat="false" ht="12.8" hidden="false" customHeight="false" outlineLevel="0" collapsed="false">
      <c r="B30340" s="0" t="s">
        <v>142</v>
      </c>
    </row>
    <row r="30342" customFormat="false" ht="12.8" hidden="false" customHeight="false" outlineLevel="0" collapsed="false">
      <c r="A30342" s="0" t="s">
        <v>11265</v>
      </c>
      <c r="B30342" s="0" t="str">
        <f aca="false">HYPERLINK("https://lindat.mff.cuni.cz/services/teitok/pdtc10/index.php?action=vallex&amp;frame=v-w4148f1", "pověřit (v-w4148f1)")</f>
        <v>pověřit (v-w4148f1)</v>
      </c>
    </row>
    <row r="30343" customFormat="false" ht="12.8" hidden="false" customHeight="false" outlineLevel="0" collapsed="false">
      <c r="B30343" s="0" t="s">
        <v>7</v>
      </c>
      <c r="C30343" s="0" t="s">
        <v>11266</v>
      </c>
      <c r="D30343" s="0" t="s">
        <v>11267</v>
      </c>
      <c r="E30343" s="0" t="s">
        <v>11267</v>
      </c>
      <c r="F30343" s="0" t="s">
        <v>11267</v>
      </c>
    </row>
    <row r="30344" customFormat="false" ht="12.8" hidden="false" customHeight="false" outlineLevel="0" collapsed="false">
      <c r="B30344" s="0" t="s">
        <v>11268</v>
      </c>
      <c r="C30344" s="0" t="s">
        <v>11269</v>
      </c>
      <c r="D30344" s="0" t="s">
        <v>11270</v>
      </c>
      <c r="E30344" s="0" t="s">
        <v>11270</v>
      </c>
      <c r="F30344" s="0" t="s">
        <v>11270</v>
      </c>
    </row>
    <row r="30345" customFormat="false" ht="12.8" hidden="false" customHeight="false" outlineLevel="0" collapsed="false">
      <c r="B30345" s="0" t="s">
        <v>81</v>
      </c>
      <c r="C30345" s="0" t="s">
        <v>11271</v>
      </c>
      <c r="D30345" s="0" t="s">
        <v>11272</v>
      </c>
      <c r="E30345" s="0" t="s">
        <v>11272</v>
      </c>
      <c r="F30345" s="0" t="s">
        <v>11272</v>
      </c>
    </row>
    <row r="30347" customFormat="false" ht="12.8" hidden="false" customHeight="false" outlineLevel="0" collapsed="false">
      <c r="A30347" s="0" t="s">
        <v>11273</v>
      </c>
      <c r="B30347" s="0" t="str">
        <f aca="false">HYPERLINK("https://lindat.mff.cuni.cz/services/teitok/pdtc10/index.php?action=vallex&amp;frame=v-w4149f1", "pověřovat (v-w4149f1)")</f>
        <v>pověřovat (v-w4149f1)</v>
      </c>
    </row>
    <row r="30348" customFormat="false" ht="12.8" hidden="false" customHeight="false" outlineLevel="0" collapsed="false">
      <c r="B30348" s="0" t="s">
        <v>7</v>
      </c>
      <c r="D30348" s="0" t="s">
        <v>4171</v>
      </c>
      <c r="E30348" s="0" t="s">
        <v>4171</v>
      </c>
      <c r="F30348" s="0" t="s">
        <v>4171</v>
      </c>
    </row>
    <row r="30349" customFormat="false" ht="12.8" hidden="false" customHeight="false" outlineLevel="0" collapsed="false">
      <c r="B30349" s="0" t="s">
        <v>11274</v>
      </c>
      <c r="D30349" s="0" t="s">
        <v>1631</v>
      </c>
      <c r="E30349" s="0" t="s">
        <v>1631</v>
      </c>
      <c r="F30349" s="0" t="s">
        <v>1631</v>
      </c>
    </row>
    <row r="30350" customFormat="false" ht="12.8" hidden="false" customHeight="false" outlineLevel="0" collapsed="false">
      <c r="B30350" s="0" t="s">
        <v>81</v>
      </c>
      <c r="D30350" s="0" t="s">
        <v>11275</v>
      </c>
      <c r="E30350" s="0" t="s">
        <v>11275</v>
      </c>
      <c r="F30350" s="0" t="s">
        <v>11275</v>
      </c>
    </row>
    <row r="30352" customFormat="false" ht="12.8" hidden="false" customHeight="false" outlineLevel="0" collapsed="false">
      <c r="A30352" s="0" t="s">
        <v>11276</v>
      </c>
      <c r="B30352" s="0" t="str">
        <f aca="false">HYPERLINK("https://lindat.mff.cuni.cz/services/teitok/pdtc10/index.php?action=vallex&amp;frame=v-w4174f1", "povšimnout si (v-w4174f1)")</f>
        <v>povšimnout si (v-w4174f1)</v>
      </c>
    </row>
    <row r="30353" customFormat="false" ht="12.8" hidden="false" customHeight="false" outlineLevel="0" collapsed="false">
      <c r="B30353" s="0" t="s">
        <v>7</v>
      </c>
      <c r="C30353" s="0" t="s">
        <v>11277</v>
      </c>
      <c r="D30353" s="0" t="s">
        <v>11278</v>
      </c>
      <c r="E30353" s="0" t="s">
        <v>11278</v>
      </c>
      <c r="F30353" s="0" t="s">
        <v>11278</v>
      </c>
    </row>
    <row r="30354" customFormat="false" ht="12.8" hidden="false" customHeight="false" outlineLevel="0" collapsed="false">
      <c r="B30354" s="0" t="s">
        <v>11279</v>
      </c>
      <c r="C30354" s="0" t="s">
        <v>11280</v>
      </c>
      <c r="D30354" s="0" t="s">
        <v>11281</v>
      </c>
      <c r="E30354" s="0" t="s">
        <v>11281</v>
      </c>
      <c r="F30354" s="0" t="s">
        <v>11281</v>
      </c>
    </row>
    <row r="30356" customFormat="false" ht="12.8" hidden="false" customHeight="false" outlineLevel="0" collapsed="false">
      <c r="A30356" s="0" t="s">
        <v>11282</v>
      </c>
      <c r="B30356" s="0" t="str">
        <f aca="false">HYPERLINK("https://lindat.mff.cuni.cz/services/teitok/pdtc10/index.php?action=vallex&amp;frame=v-w12222_ZUf1_ZU", "pozabíjet (v-w12222_ZUf1_ZU)")</f>
        <v>pozabíjet (v-w12222_ZUf1_ZU)</v>
      </c>
    </row>
    <row r="30357" customFormat="false" ht="12.8" hidden="false" customHeight="false" outlineLevel="0" collapsed="false">
      <c r="B30357" s="0" t="s">
        <v>7</v>
      </c>
    </row>
    <row r="30358" customFormat="false" ht="12.8" hidden="false" customHeight="false" outlineLevel="0" collapsed="false">
      <c r="B30358" s="0" t="s">
        <v>14</v>
      </c>
    </row>
    <row r="30360" customFormat="false" ht="12.8" hidden="false" customHeight="false" outlineLevel="0" collapsed="false">
      <c r="A30360" s="0" t="s">
        <v>11283</v>
      </c>
      <c r="B30360" s="0" t="str">
        <f aca="false">HYPERLINK("https://lindat.mff.cuni.cz/services/teitok/pdtc10/index.php?action=vallex&amp;frame=v-w4188f1", "pozapomenout (v-w4188f1)")</f>
        <v>pozapomenout (v-w4188f1)</v>
      </c>
    </row>
    <row r="30361" customFormat="false" ht="12.8" hidden="false" customHeight="false" outlineLevel="0" collapsed="false">
      <c r="B30361" s="0" t="s">
        <v>7</v>
      </c>
    </row>
    <row r="30362" customFormat="false" ht="12.8" hidden="false" customHeight="false" outlineLevel="0" collapsed="false">
      <c r="B30362" s="0" t="s">
        <v>11284</v>
      </c>
    </row>
    <row r="30364" customFormat="false" ht="12.8" hidden="false" customHeight="false" outlineLevel="0" collapsed="false">
      <c r="A30364" s="0" t="s">
        <v>11285</v>
      </c>
      <c r="B30364" s="0" t="str">
        <f aca="false">HYPERLINK("https://lindat.mff.cuni.cz/services/teitok/pdtc10/index.php?action=vallex&amp;frame=v-w4190f1", "pozastavit (v-w4190f1)")</f>
        <v>pozastavit (v-w4190f1)</v>
      </c>
    </row>
    <row r="30365" customFormat="false" ht="12.8" hidden="false" customHeight="false" outlineLevel="0" collapsed="false">
      <c r="B30365" s="0" t="s">
        <v>7</v>
      </c>
      <c r="C30365" s="0" t="s">
        <v>11286</v>
      </c>
      <c r="D30365" s="0" t="s">
        <v>11287</v>
      </c>
      <c r="E30365" s="0" t="s">
        <v>11287</v>
      </c>
      <c r="F30365" s="0" t="s">
        <v>11287</v>
      </c>
    </row>
    <row r="30366" customFormat="false" ht="12.8" hidden="false" customHeight="false" outlineLevel="0" collapsed="false">
      <c r="B30366" s="0" t="s">
        <v>14</v>
      </c>
      <c r="C30366" s="0" t="s">
        <v>11288</v>
      </c>
      <c r="D30366" s="0" t="s">
        <v>11289</v>
      </c>
      <c r="E30366" s="0" t="s">
        <v>11289</v>
      </c>
      <c r="F30366" s="0" t="s">
        <v>11289</v>
      </c>
    </row>
    <row r="30368" customFormat="false" ht="12.8" hidden="false" customHeight="false" outlineLevel="0" collapsed="false">
      <c r="A30368" s="0" t="s">
        <v>11290</v>
      </c>
      <c r="B30368" s="0" t="str">
        <f aca="false">HYPERLINK("https://lindat.mff.cuni.cz/services/teitok/pdtc10/index.php?action=vallex&amp;frame=v-w4191f1", "pozastavit se (v-w4191f1)")</f>
        <v>pozastavit se (v-w4191f1)</v>
      </c>
    </row>
    <row r="30369" customFormat="false" ht="12.8" hidden="false" customHeight="false" outlineLevel="0" collapsed="false">
      <c r="B30369" s="0" t="s">
        <v>7</v>
      </c>
    </row>
    <row r="30370" customFormat="false" ht="12.8" hidden="false" customHeight="false" outlineLevel="0" collapsed="false">
      <c r="B30370" s="0" t="s">
        <v>223</v>
      </c>
    </row>
    <row r="30372" customFormat="false" ht="12.8" hidden="false" customHeight="false" outlineLevel="0" collapsed="false">
      <c r="A30372" s="0" t="s">
        <v>11291</v>
      </c>
      <c r="B30372" s="0" t="str">
        <f aca="false">HYPERLINK("https://lindat.mff.cuni.cz/services/teitok/pdtc10/index.php?action=vallex&amp;frame=v-w4191f2", "pozastavit se (v-w4191f2)")</f>
        <v>pozastavit se (v-w4191f2)</v>
      </c>
    </row>
    <row r="30373" customFormat="false" ht="12.8" hidden="false" customHeight="false" outlineLevel="0" collapsed="false">
      <c r="B30373" s="0" t="s">
        <v>7</v>
      </c>
    </row>
    <row r="30374" customFormat="false" ht="12.8" hidden="false" customHeight="false" outlineLevel="0" collapsed="false">
      <c r="B30374" s="0" t="s">
        <v>11</v>
      </c>
    </row>
    <row r="30376" customFormat="false" ht="12.8" hidden="false" customHeight="false" outlineLevel="0" collapsed="false">
      <c r="A30376" s="0" t="s">
        <v>11292</v>
      </c>
      <c r="B30376" s="0" t="str">
        <f aca="false">HYPERLINK("https://lindat.mff.cuni.cz/services/teitok/pdtc10/index.php?action=vallex&amp;frame=v-w4191f3", "pozastavit se (v-w4191f3)")</f>
        <v>pozastavit se (v-w4191f3)</v>
      </c>
    </row>
    <row r="30377" customFormat="false" ht="12.8" hidden="false" customHeight="false" outlineLevel="0" collapsed="false">
      <c r="B30377" s="0" t="s">
        <v>7</v>
      </c>
    </row>
    <row r="30379" customFormat="false" ht="12.8" hidden="false" customHeight="false" outlineLevel="0" collapsed="false">
      <c r="A30379" s="0" t="s">
        <v>11293</v>
      </c>
      <c r="B30379" s="0" t="str">
        <f aca="false">HYPERLINK("https://lindat.mff.cuni.cz/services/teitok/pdtc10/index.php?action=vallex&amp;frame=v-w4192f1", "pozastavovat (v-w4192f1)")</f>
        <v>pozastavovat (v-w4192f1)</v>
      </c>
    </row>
    <row r="30380" customFormat="false" ht="12.8" hidden="false" customHeight="false" outlineLevel="0" collapsed="false">
      <c r="B30380" s="0" t="s">
        <v>7</v>
      </c>
      <c r="C30380" s="0" t="s">
        <v>4783</v>
      </c>
      <c r="D30380" s="0" t="s">
        <v>11287</v>
      </c>
      <c r="E30380" s="0" t="s">
        <v>11287</v>
      </c>
      <c r="F30380" s="0" t="s">
        <v>11287</v>
      </c>
    </row>
    <row r="30381" customFormat="false" ht="12.8" hidden="false" customHeight="false" outlineLevel="0" collapsed="false">
      <c r="B30381" s="0" t="s">
        <v>14</v>
      </c>
      <c r="C30381" s="0" t="s">
        <v>3725</v>
      </c>
      <c r="D30381" s="0" t="s">
        <v>11289</v>
      </c>
      <c r="E30381" s="0" t="s">
        <v>11289</v>
      </c>
      <c r="F30381" s="0" t="s">
        <v>11289</v>
      </c>
    </row>
    <row r="30383" customFormat="false" ht="12.8" hidden="false" customHeight="false" outlineLevel="0" collapsed="false">
      <c r="A30383" s="0" t="s">
        <v>11294</v>
      </c>
      <c r="B30383" s="0" t="str">
        <f aca="false">HYPERLINK("https://lindat.mff.cuni.cz/services/teitok/pdtc10/index.php?action=vallex&amp;frame=v-w4192hsa_50", "pozastavovat (v-w4192hsa_50)")</f>
        <v>pozastavovat (v-w4192hsa_50)</v>
      </c>
    </row>
    <row r="30384" customFormat="false" ht="12.8" hidden="false" customHeight="false" outlineLevel="0" collapsed="false">
      <c r="B30384" s="0" t="s">
        <v>7</v>
      </c>
      <c r="C30384" s="0" t="s">
        <v>4783</v>
      </c>
      <c r="D30384" s="0" t="s">
        <v>392</v>
      </c>
      <c r="E30384" s="0" t="s">
        <v>392</v>
      </c>
      <c r="F30384" s="0" t="s">
        <v>392</v>
      </c>
    </row>
    <row r="30385" customFormat="false" ht="12.8" hidden="false" customHeight="false" outlineLevel="0" collapsed="false">
      <c r="B30385" s="0" t="s">
        <v>14</v>
      </c>
      <c r="C30385" s="0" t="s">
        <v>3725</v>
      </c>
      <c r="D30385" s="0" t="s">
        <v>394</v>
      </c>
      <c r="E30385" s="0" t="s">
        <v>394</v>
      </c>
      <c r="F30385" s="0" t="s">
        <v>394</v>
      </c>
    </row>
    <row r="30387" customFormat="false" ht="12.8" hidden="false" customHeight="false" outlineLevel="0" collapsed="false">
      <c r="A30387" s="0" t="s">
        <v>11295</v>
      </c>
      <c r="B30387" s="0" t="str">
        <f aca="false">HYPERLINK("https://lindat.mff.cuni.cz/services/teitok/pdtc10/index.php?action=vallex&amp;frame=v-w4193f1", "pozastavovat se (v-w4193f1)")</f>
        <v>pozastavovat se (v-w4193f1)</v>
      </c>
    </row>
    <row r="30388" customFormat="false" ht="12.8" hidden="false" customHeight="false" outlineLevel="0" collapsed="false">
      <c r="B30388" s="0" t="s">
        <v>7</v>
      </c>
    </row>
    <row r="30389" customFormat="false" ht="12.8" hidden="false" customHeight="false" outlineLevel="0" collapsed="false">
      <c r="B30389" s="0" t="s">
        <v>223</v>
      </c>
    </row>
    <row r="30391" customFormat="false" ht="12.8" hidden="false" customHeight="false" outlineLevel="0" collapsed="false">
      <c r="A30391" s="0" t="s">
        <v>11296</v>
      </c>
      <c r="B30391" s="0" t="str">
        <f aca="false">HYPERLINK("https://lindat.mff.cuni.cz/services/teitok/pdtc10/index.php?action=vallex&amp;frame=v-w4194f1", "pozatýkat (v-w4194f1)")</f>
        <v>pozatýkat (v-w4194f1)</v>
      </c>
    </row>
    <row r="30392" customFormat="false" ht="12.8" hidden="false" customHeight="false" outlineLevel="0" collapsed="false">
      <c r="B30392" s="0" t="s">
        <v>7</v>
      </c>
    </row>
    <row r="30393" customFormat="false" ht="12.8" hidden="false" customHeight="false" outlineLevel="0" collapsed="false">
      <c r="B30393" s="0" t="s">
        <v>14</v>
      </c>
    </row>
    <row r="30395" customFormat="false" ht="12.8" hidden="false" customHeight="false" outlineLevel="0" collapsed="false">
      <c r="A30395" s="0" t="s">
        <v>11297</v>
      </c>
      <c r="B30395" s="0" t="str">
        <f aca="false">HYPERLINK("https://lindat.mff.cuni.cz/services/teitok/pdtc10/index.php?action=vallex&amp;frame=v-w4195f2", "pozbýt (v-w4195f2)")</f>
        <v>pozbýt (v-w4195f2)</v>
      </c>
    </row>
    <row r="30396" customFormat="false" ht="12.8" hidden="false" customHeight="false" outlineLevel="0" collapsed="false">
      <c r="B30396" s="0" t="s">
        <v>7</v>
      </c>
    </row>
    <row r="30397" customFormat="false" ht="12.8" hidden="false" customHeight="false" outlineLevel="0" collapsed="false">
      <c r="B30397" s="0" t="s">
        <v>1087</v>
      </c>
    </row>
    <row r="30399" customFormat="false" ht="12.8" hidden="false" customHeight="false" outlineLevel="0" collapsed="false">
      <c r="A30399" s="0" t="s">
        <v>11298</v>
      </c>
      <c r="B30399" s="0" t="str">
        <f aca="false">HYPERLINK("https://lindat.mff.cuni.cz/services/teitok/pdtc10/index.php?action=vallex&amp;frame=v-w4195f1", "pozbýt (v-w4195f1)")</f>
        <v>pozbýt (v-w4195f1)</v>
      </c>
    </row>
    <row r="30400" customFormat="false" ht="12.8" hidden="false" customHeight="false" outlineLevel="0" collapsed="false">
      <c r="B30400" s="0" t="s">
        <v>7</v>
      </c>
      <c r="F30400" s="0" t="s">
        <v>8860</v>
      </c>
    </row>
    <row r="30401" customFormat="false" ht="12.8" hidden="false" customHeight="false" outlineLevel="0" collapsed="false">
      <c r="B30401" s="0" t="s">
        <v>11299</v>
      </c>
    </row>
    <row r="30403" customFormat="false" ht="12.8" hidden="false" customHeight="false" outlineLevel="0" collapsed="false">
      <c r="A30403" s="0" t="s">
        <v>11300</v>
      </c>
      <c r="B30403" s="0" t="str">
        <f aca="false">HYPERLINK("https://lindat.mff.cuni.cz/services/teitok/pdtc10/index.php?action=vallex&amp;frame=v-w4196f2", "pozbývat (v-w4196f2)")</f>
        <v>pozbývat (v-w4196f2)</v>
      </c>
    </row>
    <row r="30404" customFormat="false" ht="12.8" hidden="false" customHeight="false" outlineLevel="0" collapsed="false">
      <c r="B30404" s="0" t="s">
        <v>7</v>
      </c>
    </row>
    <row r="30405" customFormat="false" ht="12.8" hidden="false" customHeight="false" outlineLevel="0" collapsed="false">
      <c r="B30405" s="0" t="s">
        <v>11301</v>
      </c>
    </row>
    <row r="30407" customFormat="false" ht="12.8" hidden="false" customHeight="false" outlineLevel="0" collapsed="false">
      <c r="A30407" s="0" t="s">
        <v>11300</v>
      </c>
      <c r="B30407" s="0" t="str">
        <f aca="false">HYPERLINK("https://lindat.mff.cuni.cz/services/teitok/pdtc10/index.php?action=vallex&amp;frame=v-w4196f1", "pozbývat (v-w4196f1) - substituted with v-w4196f2")</f>
        <v>pozbývat (v-w4196f1) - substituted with v-w4196f2</v>
      </c>
    </row>
    <row r="30408" customFormat="false" ht="12.8" hidden="false" customHeight="false" outlineLevel="0" collapsed="false">
      <c r="B30408" s="0" t="s">
        <v>7</v>
      </c>
    </row>
    <row r="30409" customFormat="false" ht="12.8" hidden="false" customHeight="false" outlineLevel="0" collapsed="false">
      <c r="B30409" s="0" t="s">
        <v>11301</v>
      </c>
    </row>
    <row r="30411" customFormat="false" ht="12.8" hidden="false" customHeight="false" outlineLevel="0" collapsed="false">
      <c r="A30411" s="0" t="s">
        <v>11302</v>
      </c>
      <c r="B30411" s="0" t="str">
        <f aca="false">HYPERLINK("https://lindat.mff.cuni.cz/services/teitok/pdtc10/index.php?action=vallex&amp;frame=v-w4198f1", "pozdravit (v-w4198f1)")</f>
        <v>pozdravit (v-w4198f1)</v>
      </c>
    </row>
    <row r="30412" customFormat="false" ht="12.8" hidden="false" customHeight="false" outlineLevel="0" collapsed="false">
      <c r="B30412" s="0" t="s">
        <v>7</v>
      </c>
      <c r="E30412" s="0" t="s">
        <v>1874</v>
      </c>
      <c r="F30412" s="0" t="s">
        <v>468</v>
      </c>
    </row>
    <row r="30413" customFormat="false" ht="12.8" hidden="false" customHeight="false" outlineLevel="0" collapsed="false">
      <c r="B30413" s="0" t="s">
        <v>14</v>
      </c>
      <c r="E30413" s="0" t="s">
        <v>2641</v>
      </c>
      <c r="F30413" s="0" t="s">
        <v>11303</v>
      </c>
    </row>
    <row r="30414" customFormat="false" ht="12.8" hidden="false" customHeight="false" outlineLevel="0" collapsed="false">
      <c r="B30414" s="0" t="s">
        <v>441</v>
      </c>
    </row>
    <row r="30416" customFormat="false" ht="12.8" hidden="false" customHeight="false" outlineLevel="0" collapsed="false">
      <c r="A30416" s="0" t="s">
        <v>11304</v>
      </c>
      <c r="B30416" s="0" t="str">
        <f aca="false">HYPERLINK("https://lindat.mff.cuni.cz/services/teitok/pdtc10/index.php?action=vallex&amp;frame=v-w4198hsa_1121", "pozdravit (v-w4198hsa_1121)")</f>
        <v>pozdravit (v-w4198hsa_1121)</v>
      </c>
    </row>
    <row r="30417" customFormat="false" ht="12.8" hidden="false" customHeight="false" outlineLevel="0" collapsed="false">
      <c r="B30417" s="0" t="s">
        <v>7</v>
      </c>
    </row>
    <row r="30418" customFormat="false" ht="12.8" hidden="false" customHeight="false" outlineLevel="0" collapsed="false">
      <c r="B30418" s="0" t="s">
        <v>14</v>
      </c>
    </row>
    <row r="30420" customFormat="false" ht="12.8" hidden="false" customHeight="false" outlineLevel="0" collapsed="false">
      <c r="A30420" s="0" t="s">
        <v>11305</v>
      </c>
      <c r="B30420" s="0" t="str">
        <f aca="false">HYPERLINK("https://lindat.mff.cuni.cz/services/teitok/pdtc10/index.php?action=vallex&amp;frame=v-whsa_1981hsa_1982", "pozdravit se (v-whsa_1981hsa_1982)")</f>
        <v>pozdravit se (v-whsa_1981hsa_1982)</v>
      </c>
    </row>
    <row r="30421" customFormat="false" ht="12.8" hidden="false" customHeight="false" outlineLevel="0" collapsed="false">
      <c r="B30421" s="0" t="s">
        <v>7</v>
      </c>
    </row>
    <row r="30422" customFormat="false" ht="12.8" hidden="false" customHeight="false" outlineLevel="0" collapsed="false">
      <c r="B30422" s="0" t="s">
        <v>548</v>
      </c>
    </row>
    <row r="30424" customFormat="false" ht="12.8" hidden="false" customHeight="false" outlineLevel="0" collapsed="false">
      <c r="A30424" s="0" t="s">
        <v>11306</v>
      </c>
      <c r="B30424" s="0" t="str">
        <f aca="false">HYPERLINK("https://lindat.mff.cuni.cz/services/teitok/pdtc10/index.php?action=vallex&amp;frame=v-w4199f1", "pozdravovat (v-w4199f1)")</f>
        <v>pozdravovat (v-w4199f1)</v>
      </c>
    </row>
    <row r="30425" customFormat="false" ht="12.8" hidden="false" customHeight="false" outlineLevel="0" collapsed="false">
      <c r="B30425" s="0" t="s">
        <v>7</v>
      </c>
      <c r="F30425" s="0" t="s">
        <v>4783</v>
      </c>
    </row>
    <row r="30426" customFormat="false" ht="12.8" hidden="false" customHeight="false" outlineLevel="0" collapsed="false">
      <c r="B30426" s="0" t="s">
        <v>14</v>
      </c>
      <c r="F30426" s="0" t="s">
        <v>2526</v>
      </c>
    </row>
    <row r="30427" customFormat="false" ht="12.8" hidden="false" customHeight="false" outlineLevel="0" collapsed="false">
      <c r="B30427" s="0" t="s">
        <v>441</v>
      </c>
    </row>
    <row r="30429" customFormat="false" ht="12.8" hidden="false" customHeight="false" outlineLevel="0" collapsed="false">
      <c r="A30429" s="0" t="s">
        <v>11307</v>
      </c>
      <c r="B30429" s="0" t="str">
        <f aca="false">HYPERLINK("https://lindat.mff.cuni.cz/services/teitok/pdtc10/index.php?action=vallex&amp;frame=v-w4200f1", "pozdržet (v-w4200f1)")</f>
        <v>pozdržet (v-w4200f1)</v>
      </c>
    </row>
    <row r="30430" customFormat="false" ht="12.8" hidden="false" customHeight="false" outlineLevel="0" collapsed="false">
      <c r="B30430" s="0" t="s">
        <v>7</v>
      </c>
      <c r="C30430" s="0" t="s">
        <v>2530</v>
      </c>
      <c r="D30430" s="0" t="s">
        <v>392</v>
      </c>
      <c r="E30430" s="0" t="s">
        <v>392</v>
      </c>
      <c r="F30430" s="0" t="s">
        <v>392</v>
      </c>
    </row>
    <row r="30431" customFormat="false" ht="12.8" hidden="false" customHeight="false" outlineLevel="0" collapsed="false">
      <c r="B30431" s="0" t="s">
        <v>14</v>
      </c>
      <c r="C30431" s="0" t="s">
        <v>11308</v>
      </c>
      <c r="D30431" s="0" t="s">
        <v>394</v>
      </c>
      <c r="E30431" s="0" t="s">
        <v>394</v>
      </c>
      <c r="F30431" s="0" t="s">
        <v>394</v>
      </c>
    </row>
    <row r="30433" customFormat="false" ht="12.8" hidden="false" customHeight="false" outlineLevel="0" collapsed="false">
      <c r="A30433" s="0" t="s">
        <v>11309</v>
      </c>
      <c r="B30433" s="0" t="str">
        <f aca="false">HYPERLINK("https://lindat.mff.cuni.cz/services/teitok/pdtc10/index.php?action=vallex&amp;frame=v-w11057f3", "pozdržovat (v-w11057f3)")</f>
        <v>pozdržovat (v-w11057f3)</v>
      </c>
    </row>
    <row r="30434" customFormat="false" ht="12.8" hidden="false" customHeight="false" outlineLevel="0" collapsed="false">
      <c r="B30434" s="0" t="s">
        <v>7</v>
      </c>
      <c r="D30434" s="0" t="s">
        <v>392</v>
      </c>
      <c r="E30434" s="0" t="s">
        <v>392</v>
      </c>
      <c r="F30434" s="0" t="s">
        <v>392</v>
      </c>
    </row>
    <row r="30435" customFormat="false" ht="12.8" hidden="false" customHeight="false" outlineLevel="0" collapsed="false">
      <c r="B30435" s="0" t="s">
        <v>14</v>
      </c>
      <c r="D30435" s="0" t="s">
        <v>394</v>
      </c>
      <c r="E30435" s="0" t="s">
        <v>394</v>
      </c>
      <c r="F30435" s="0" t="s">
        <v>394</v>
      </c>
    </row>
    <row r="30437" customFormat="false" ht="12.8" hidden="false" customHeight="false" outlineLevel="0" collapsed="false">
      <c r="A30437" s="0" t="s">
        <v>11310</v>
      </c>
      <c r="B30437" s="0" t="str">
        <f aca="false">HYPERLINK("https://lindat.mff.cuni.cz/services/teitok/pdtc10/index.php?action=vallex&amp;frame=v-w4201f1", "pozdvihnout (v-w4201f1)")</f>
        <v>pozdvihnout (v-w4201f1)</v>
      </c>
    </row>
    <row r="30438" customFormat="false" ht="12.8" hidden="false" customHeight="false" outlineLevel="0" collapsed="false">
      <c r="B30438" s="0" t="s">
        <v>7</v>
      </c>
      <c r="C30438" s="0" t="s">
        <v>623</v>
      </c>
      <c r="D30438" s="0" t="s">
        <v>5017</v>
      </c>
      <c r="E30438" s="0" t="s">
        <v>5017</v>
      </c>
      <c r="F30438" s="0" t="s">
        <v>5017</v>
      </c>
    </row>
    <row r="30439" customFormat="false" ht="12.8" hidden="false" customHeight="false" outlineLevel="0" collapsed="false">
      <c r="B30439" s="0" t="s">
        <v>14</v>
      </c>
      <c r="C30439" s="0" t="s">
        <v>625</v>
      </c>
      <c r="D30439" s="0" t="s">
        <v>5018</v>
      </c>
      <c r="E30439" s="0" t="s">
        <v>5018</v>
      </c>
      <c r="F30439" s="0" t="s">
        <v>5018</v>
      </c>
    </row>
    <row r="30441" customFormat="false" ht="12.8" hidden="false" customHeight="false" outlineLevel="0" collapsed="false">
      <c r="A30441" s="0" t="s">
        <v>11311</v>
      </c>
      <c r="B30441" s="0" t="str">
        <f aca="false">HYPERLINK("https://lindat.mff.cuni.cz/services/teitok/pdtc10/index.php?action=vallex&amp;frame=v-w4202f1", "pozměnit (v-w4202f1)")</f>
        <v>pozměnit (v-w4202f1)</v>
      </c>
    </row>
    <row r="30442" customFormat="false" ht="12.8" hidden="false" customHeight="false" outlineLevel="0" collapsed="false">
      <c r="B30442" s="0" t="s">
        <v>7</v>
      </c>
      <c r="C30442" s="0" t="s">
        <v>3944</v>
      </c>
      <c r="D30442" s="0" t="s">
        <v>32</v>
      </c>
      <c r="E30442" s="0" t="s">
        <v>32</v>
      </c>
      <c r="F30442" s="0" t="s">
        <v>32</v>
      </c>
    </row>
    <row r="30443" customFormat="false" ht="12.8" hidden="false" customHeight="false" outlineLevel="0" collapsed="false">
      <c r="B30443" s="0" t="s">
        <v>14</v>
      </c>
      <c r="C30443" s="0" t="s">
        <v>11312</v>
      </c>
      <c r="D30443" s="0" t="s">
        <v>34</v>
      </c>
      <c r="E30443" s="0" t="s">
        <v>34</v>
      </c>
      <c r="F30443" s="0" t="s">
        <v>34</v>
      </c>
    </row>
    <row r="30444" customFormat="false" ht="12.8" hidden="false" customHeight="false" outlineLevel="0" collapsed="false">
      <c r="B30444" s="0" t="s">
        <v>35</v>
      </c>
      <c r="D30444" s="0" t="s">
        <v>36</v>
      </c>
      <c r="E30444" s="0" t="s">
        <v>36</v>
      </c>
      <c r="F30444" s="0" t="s">
        <v>36</v>
      </c>
    </row>
    <row r="30445" customFormat="false" ht="12.8" hidden="false" customHeight="false" outlineLevel="0" collapsed="false">
      <c r="B30445" s="0" t="s">
        <v>4885</v>
      </c>
      <c r="C30445" s="0" t="s">
        <v>11313</v>
      </c>
      <c r="D30445" s="0" t="s">
        <v>39</v>
      </c>
      <c r="E30445" s="0" t="s">
        <v>39</v>
      </c>
      <c r="F30445" s="0" t="s">
        <v>39</v>
      </c>
    </row>
    <row r="30447" customFormat="false" ht="12.8" hidden="false" customHeight="false" outlineLevel="0" collapsed="false">
      <c r="A30447" s="0" t="s">
        <v>11314</v>
      </c>
      <c r="B30447" s="0" t="str">
        <f aca="false">HYPERLINK("https://lindat.mff.cuni.cz/services/teitok/pdtc10/index.php?action=vallex&amp;frame=v-w4204f1", "pozměňovat (v-w4204f1)")</f>
        <v>pozměňovat (v-w4204f1)</v>
      </c>
    </row>
    <row r="30448" customFormat="false" ht="12.8" hidden="false" customHeight="false" outlineLevel="0" collapsed="false">
      <c r="B30448" s="0" t="s">
        <v>7</v>
      </c>
      <c r="D30448" s="0" t="s">
        <v>32</v>
      </c>
      <c r="E30448" s="0" t="s">
        <v>32</v>
      </c>
      <c r="F30448" s="0" t="s">
        <v>32</v>
      </c>
    </row>
    <row r="30449" customFormat="false" ht="12.8" hidden="false" customHeight="false" outlineLevel="0" collapsed="false">
      <c r="B30449" s="0" t="s">
        <v>14</v>
      </c>
      <c r="D30449" s="0" t="s">
        <v>34</v>
      </c>
      <c r="E30449" s="0" t="s">
        <v>34</v>
      </c>
      <c r="F30449" s="0" t="s">
        <v>34</v>
      </c>
    </row>
    <row r="30450" customFormat="false" ht="12.8" hidden="false" customHeight="false" outlineLevel="0" collapsed="false">
      <c r="B30450" s="0" t="s">
        <v>35</v>
      </c>
      <c r="D30450" s="0" t="s">
        <v>36</v>
      </c>
      <c r="E30450" s="0" t="s">
        <v>36</v>
      </c>
      <c r="F30450" s="0" t="s">
        <v>36</v>
      </c>
    </row>
    <row r="30451" customFormat="false" ht="12.8" hidden="false" customHeight="false" outlineLevel="0" collapsed="false">
      <c r="B30451" s="0" t="s">
        <v>4885</v>
      </c>
      <c r="D30451" s="0" t="s">
        <v>39</v>
      </c>
      <c r="E30451" s="0" t="s">
        <v>39</v>
      </c>
      <c r="F30451" s="0" t="s">
        <v>39</v>
      </c>
    </row>
    <row r="30453" customFormat="false" ht="12.8" hidden="false" customHeight="false" outlineLevel="0" collapsed="false">
      <c r="A30453" s="0" t="s">
        <v>11315</v>
      </c>
      <c r="B30453" s="0" t="str">
        <f aca="false">HYPERLINK("https://lindat.mff.cuni.cz/services/teitok/pdtc10/index.php?action=vallex&amp;frame=v-w4206f3", "poznamenat (v-w4206f3)")</f>
        <v>poznamenat (v-w4206f3)</v>
      </c>
    </row>
    <row r="30454" customFormat="false" ht="12.8" hidden="false" customHeight="false" outlineLevel="0" collapsed="false">
      <c r="B30454" s="0" t="s">
        <v>7</v>
      </c>
      <c r="D30454" s="0" t="s">
        <v>46</v>
      </c>
      <c r="E30454" s="0" t="s">
        <v>46</v>
      </c>
      <c r="F30454" s="0" t="s">
        <v>46</v>
      </c>
    </row>
    <row r="30455" customFormat="false" ht="12.8" hidden="false" customHeight="false" outlineLevel="0" collapsed="false">
      <c r="B30455" s="0" t="s">
        <v>14</v>
      </c>
      <c r="D30455" s="0" t="s">
        <v>6903</v>
      </c>
      <c r="E30455" s="0" t="s">
        <v>6903</v>
      </c>
      <c r="F30455" s="0" t="s">
        <v>6903</v>
      </c>
    </row>
    <row r="30457" customFormat="false" ht="12.8" hidden="false" customHeight="false" outlineLevel="0" collapsed="false">
      <c r="A30457" s="0" t="s">
        <v>11316</v>
      </c>
      <c r="B30457" s="0" t="str">
        <f aca="false">HYPERLINK("https://lindat.mff.cuni.cz/services/teitok/pdtc10/index.php?action=vallex&amp;frame=v-w4206f4", "poznamenat (v-w4206f4)")</f>
        <v>poznamenat (v-w4206f4)</v>
      </c>
    </row>
    <row r="30458" customFormat="false" ht="12.8" hidden="false" customHeight="false" outlineLevel="0" collapsed="false">
      <c r="B30458" s="0" t="s">
        <v>7</v>
      </c>
      <c r="C30458" s="0" t="s">
        <v>11317</v>
      </c>
      <c r="D30458" s="0" t="s">
        <v>2062</v>
      </c>
      <c r="E30458" s="0" t="s">
        <v>10061</v>
      </c>
      <c r="F30458" s="0" t="s">
        <v>10928</v>
      </c>
    </row>
    <row r="30459" customFormat="false" ht="12.8" hidden="false" customHeight="false" outlineLevel="0" collapsed="false">
      <c r="B30459" s="0" t="s">
        <v>14</v>
      </c>
      <c r="C30459" s="0" t="s">
        <v>11318</v>
      </c>
      <c r="D30459" s="0" t="s">
        <v>2065</v>
      </c>
      <c r="E30459" s="0" t="s">
        <v>10062</v>
      </c>
      <c r="F30459" s="0" t="s">
        <v>10930</v>
      </c>
    </row>
    <row r="30461" customFormat="false" ht="12.8" hidden="false" customHeight="false" outlineLevel="0" collapsed="false">
      <c r="A30461" s="0" t="s">
        <v>11319</v>
      </c>
      <c r="B30461" s="0" t="str">
        <f aca="false">HYPERLINK("https://lindat.mff.cuni.cz/services/teitok/pdtc10/index.php?action=vallex&amp;frame=v-w4206f2", "poznamenat (v-w4206f2)")</f>
        <v>poznamenat (v-w4206f2)</v>
      </c>
    </row>
    <row r="30462" customFormat="false" ht="12.8" hidden="false" customHeight="false" outlineLevel="0" collapsed="false">
      <c r="B30462" s="0" t="s">
        <v>7</v>
      </c>
      <c r="C30462" s="0" t="s">
        <v>11320</v>
      </c>
      <c r="D30462" s="0" t="s">
        <v>10017</v>
      </c>
      <c r="E30462" s="0" t="s">
        <v>10017</v>
      </c>
      <c r="F30462" s="0" t="s">
        <v>10017</v>
      </c>
    </row>
    <row r="30463" customFormat="false" ht="12.8" hidden="false" customHeight="false" outlineLevel="0" collapsed="false">
      <c r="B30463" s="0" t="s">
        <v>11321</v>
      </c>
      <c r="C30463" s="0" t="s">
        <v>11322</v>
      </c>
      <c r="D30463" s="0" t="s">
        <v>10020</v>
      </c>
      <c r="E30463" s="0" t="s">
        <v>10020</v>
      </c>
      <c r="F30463" s="0" t="s">
        <v>10020</v>
      </c>
    </row>
    <row r="30464" customFormat="false" ht="12.8" hidden="false" customHeight="false" outlineLevel="0" collapsed="false">
      <c r="B30464" s="0" t="s">
        <v>10021</v>
      </c>
      <c r="C30464" s="0" t="s">
        <v>10022</v>
      </c>
      <c r="D30464" s="0" t="s">
        <v>3440</v>
      </c>
      <c r="E30464" s="0" t="s">
        <v>3440</v>
      </c>
      <c r="F30464" s="0" t="s">
        <v>3440</v>
      </c>
    </row>
    <row r="30466" customFormat="false" ht="12.8" hidden="false" customHeight="false" outlineLevel="0" collapsed="false">
      <c r="A30466" s="0" t="s">
        <v>11323</v>
      </c>
      <c r="B30466" s="0" t="str">
        <f aca="false">HYPERLINK("https://lindat.mff.cuni.cz/services/teitok/pdtc10/index.php?action=vallex&amp;frame=v-w4206f1", "poznamenat (v-w4206f1)")</f>
        <v>poznamenat (v-w4206f1)</v>
      </c>
    </row>
    <row r="30467" customFormat="false" ht="12.8" hidden="false" customHeight="false" outlineLevel="0" collapsed="false">
      <c r="B30467" s="0" t="s">
        <v>7</v>
      </c>
      <c r="C30467" s="0" t="s">
        <v>8538</v>
      </c>
      <c r="D30467" s="0" t="s">
        <v>10017</v>
      </c>
      <c r="E30467" s="0" t="s">
        <v>10017</v>
      </c>
      <c r="F30467" s="0" t="s">
        <v>10017</v>
      </c>
    </row>
    <row r="30468" customFormat="false" ht="12.8" hidden="false" customHeight="false" outlineLevel="0" collapsed="false">
      <c r="B30468" s="0" t="s">
        <v>11324</v>
      </c>
      <c r="C30468" s="0" t="s">
        <v>11325</v>
      </c>
      <c r="D30468" s="0" t="s">
        <v>10020</v>
      </c>
      <c r="E30468" s="0" t="s">
        <v>10020</v>
      </c>
      <c r="F30468" s="0" t="s">
        <v>10020</v>
      </c>
    </row>
    <row r="30469" customFormat="false" ht="12.8" hidden="false" customHeight="false" outlineLevel="0" collapsed="false">
      <c r="B30469" s="0" t="s">
        <v>10021</v>
      </c>
      <c r="C30469" s="0" t="s">
        <v>9635</v>
      </c>
      <c r="D30469" s="0" t="s">
        <v>3440</v>
      </c>
      <c r="E30469" s="0" t="s">
        <v>3440</v>
      </c>
      <c r="F30469" s="0" t="s">
        <v>3440</v>
      </c>
    </row>
    <row r="30471" customFormat="false" ht="12.8" hidden="false" customHeight="false" outlineLevel="0" collapsed="false">
      <c r="A30471" s="0" t="s">
        <v>11326</v>
      </c>
      <c r="B30471" s="0" t="str">
        <f aca="false">HYPERLINK("https://lindat.mff.cuni.cz/services/teitok/pdtc10/index.php?action=vallex&amp;frame=v-w4206hsa_7", "poznamenat (v-w4206hsa_7)")</f>
        <v>poznamenat (v-w4206hsa_7)</v>
      </c>
    </row>
    <row r="30472" customFormat="false" ht="12.8" hidden="false" customHeight="false" outlineLevel="0" collapsed="false">
      <c r="B30472" s="0" t="s">
        <v>7</v>
      </c>
    </row>
    <row r="30473" customFormat="false" ht="12.8" hidden="false" customHeight="false" outlineLevel="0" collapsed="false">
      <c r="B30473" s="0" t="s">
        <v>14</v>
      </c>
    </row>
    <row r="30475" customFormat="false" ht="12.8" hidden="false" customHeight="false" outlineLevel="0" collapsed="false">
      <c r="A30475" s="0" t="s">
        <v>11327</v>
      </c>
      <c r="B30475" s="0" t="str">
        <f aca="false">HYPERLINK("https://lindat.mff.cuni.cz/services/teitok/pdtc10/index.php?action=vallex&amp;frame=v-w11849_ZUf1_ZU", "poznamenat se (v-w11849_ZUf1_ZU)")</f>
        <v>poznamenat se (v-w11849_ZUf1_ZU)</v>
      </c>
    </row>
    <row r="30476" customFormat="false" ht="12.8" hidden="false" customHeight="false" outlineLevel="0" collapsed="false">
      <c r="B30476" s="0" t="s">
        <v>7</v>
      </c>
    </row>
    <row r="30477" customFormat="false" ht="12.8" hidden="false" customHeight="false" outlineLevel="0" collapsed="false">
      <c r="B30477" s="0" t="s">
        <v>220</v>
      </c>
    </row>
    <row r="30479" customFormat="false" ht="12.8" hidden="false" customHeight="false" outlineLevel="0" collapsed="false">
      <c r="A30479" s="0" t="s">
        <v>11328</v>
      </c>
      <c r="B30479" s="0" t="str">
        <f aca="false">HYPERLINK("https://lindat.mff.cuni.cz/services/teitok/pdtc10/index.php?action=vallex&amp;frame=v-w4207f2", "poznamenávat (v-w4207f2)")</f>
        <v>poznamenávat (v-w4207f2)</v>
      </c>
    </row>
    <row r="30480" customFormat="false" ht="12.8" hidden="false" customHeight="false" outlineLevel="0" collapsed="false">
      <c r="B30480" s="0" t="s">
        <v>7</v>
      </c>
      <c r="D30480" s="0" t="s">
        <v>2062</v>
      </c>
      <c r="E30480" s="0" t="s">
        <v>2062</v>
      </c>
      <c r="F30480" s="0" t="s">
        <v>2063</v>
      </c>
    </row>
    <row r="30481" customFormat="false" ht="12.8" hidden="false" customHeight="false" outlineLevel="0" collapsed="false">
      <c r="B30481" s="0" t="s">
        <v>14</v>
      </c>
      <c r="D30481" s="0" t="s">
        <v>2065</v>
      </c>
      <c r="E30481" s="0" t="s">
        <v>2065</v>
      </c>
      <c r="F30481" s="0" t="s">
        <v>2066</v>
      </c>
    </row>
    <row r="30483" customFormat="false" ht="12.8" hidden="false" customHeight="false" outlineLevel="0" collapsed="false">
      <c r="A30483" s="0" t="s">
        <v>11329</v>
      </c>
      <c r="B30483" s="0" t="str">
        <f aca="false">HYPERLINK("https://lindat.mff.cuni.cz/services/teitok/pdtc10/index.php?action=vallex&amp;frame=v-w4207f4", "poznamenávat (v-w4207f4)")</f>
        <v>poznamenávat (v-w4207f4)</v>
      </c>
    </row>
    <row r="30484" customFormat="false" ht="12.8" hidden="false" customHeight="false" outlineLevel="0" collapsed="false">
      <c r="B30484" s="0" t="s">
        <v>7</v>
      </c>
      <c r="D30484" s="0" t="s">
        <v>46</v>
      </c>
      <c r="E30484" s="0" t="s">
        <v>46</v>
      </c>
      <c r="F30484" s="0" t="s">
        <v>46</v>
      </c>
    </row>
    <row r="30485" customFormat="false" ht="12.8" hidden="false" customHeight="false" outlineLevel="0" collapsed="false">
      <c r="B30485" s="0" t="s">
        <v>14</v>
      </c>
      <c r="D30485" s="0" t="s">
        <v>6903</v>
      </c>
      <c r="E30485" s="0" t="s">
        <v>6903</v>
      </c>
      <c r="F30485" s="0" t="s">
        <v>6903</v>
      </c>
    </row>
    <row r="30487" customFormat="false" ht="12.8" hidden="false" customHeight="false" outlineLevel="0" collapsed="false">
      <c r="A30487" s="0" t="s">
        <v>11330</v>
      </c>
      <c r="B30487" s="0" t="str">
        <f aca="false">HYPERLINK("https://lindat.mff.cuni.cz/services/teitok/pdtc10/index.php?action=vallex&amp;frame=v-w4207f1", "poznamenávat (v-w4207f1)")</f>
        <v>poznamenávat (v-w4207f1)</v>
      </c>
    </row>
    <row r="30488" customFormat="false" ht="12.8" hidden="false" customHeight="false" outlineLevel="0" collapsed="false">
      <c r="B30488" s="0" t="s">
        <v>7</v>
      </c>
      <c r="C30488" s="0" t="s">
        <v>431</v>
      </c>
      <c r="D30488" s="0" t="s">
        <v>10017</v>
      </c>
      <c r="E30488" s="0" t="s">
        <v>10017</v>
      </c>
      <c r="F30488" s="0" t="s">
        <v>10017</v>
      </c>
    </row>
    <row r="30489" customFormat="false" ht="12.8" hidden="false" customHeight="false" outlineLevel="0" collapsed="false">
      <c r="B30489" s="0" t="s">
        <v>11324</v>
      </c>
      <c r="C30489" s="0" t="s">
        <v>5576</v>
      </c>
      <c r="D30489" s="0" t="s">
        <v>10020</v>
      </c>
      <c r="E30489" s="0" t="s">
        <v>10020</v>
      </c>
      <c r="F30489" s="0" t="s">
        <v>10020</v>
      </c>
    </row>
    <row r="30490" customFormat="false" ht="12.8" hidden="false" customHeight="false" outlineLevel="0" collapsed="false">
      <c r="B30490" s="0" t="s">
        <v>10021</v>
      </c>
      <c r="C30490" s="0" t="s">
        <v>9635</v>
      </c>
      <c r="D30490" s="0" t="s">
        <v>3440</v>
      </c>
      <c r="E30490" s="0" t="s">
        <v>3440</v>
      </c>
      <c r="F30490" s="0" t="s">
        <v>3440</v>
      </c>
    </row>
    <row r="30492" customFormat="false" ht="12.8" hidden="false" customHeight="false" outlineLevel="0" collapsed="false">
      <c r="A30492" s="0" t="s">
        <v>11331</v>
      </c>
      <c r="B30492" s="0" t="str">
        <f aca="false">HYPERLINK("https://lindat.mff.cuni.cz/services/teitok/pdtc10/index.php?action=vallex&amp;frame=v-w4207f3", "poznamenávat (v-w4207f3)")</f>
        <v>poznamenávat (v-w4207f3)</v>
      </c>
    </row>
    <row r="30493" customFormat="false" ht="12.8" hidden="false" customHeight="false" outlineLevel="0" collapsed="false">
      <c r="B30493" s="0" t="s">
        <v>7</v>
      </c>
      <c r="D30493" s="0" t="s">
        <v>10017</v>
      </c>
      <c r="E30493" s="0" t="s">
        <v>10017</v>
      </c>
      <c r="F30493" s="0" t="s">
        <v>10017</v>
      </c>
    </row>
    <row r="30494" customFormat="false" ht="12.8" hidden="false" customHeight="false" outlineLevel="0" collapsed="false">
      <c r="B30494" s="0" t="s">
        <v>11324</v>
      </c>
      <c r="D30494" s="0" t="s">
        <v>10020</v>
      </c>
      <c r="E30494" s="0" t="s">
        <v>10020</v>
      </c>
      <c r="F30494" s="0" t="s">
        <v>10020</v>
      </c>
    </row>
    <row r="30495" customFormat="false" ht="12.8" hidden="false" customHeight="false" outlineLevel="0" collapsed="false">
      <c r="B30495" s="0" t="s">
        <v>10021</v>
      </c>
      <c r="D30495" s="0" t="s">
        <v>3440</v>
      </c>
      <c r="E30495" s="0" t="s">
        <v>3440</v>
      </c>
      <c r="F30495" s="0" t="s">
        <v>3440</v>
      </c>
    </row>
    <row r="30497" customFormat="false" ht="12.8" hidden="false" customHeight="false" outlineLevel="0" collapsed="false">
      <c r="A30497" s="0" t="s">
        <v>11332</v>
      </c>
      <c r="B30497" s="0" t="str">
        <f aca="false">HYPERLINK("https://lindat.mff.cuni.cz/services/teitok/pdtc10/index.php?action=vallex&amp;frame=v-w4210f4", "poznat (v-w4210f4)")</f>
        <v>poznat (v-w4210f4)</v>
      </c>
    </row>
    <row r="30498" customFormat="false" ht="12.8" hidden="false" customHeight="false" outlineLevel="0" collapsed="false">
      <c r="B30498" s="0" t="s">
        <v>7</v>
      </c>
    </row>
    <row r="30499" customFormat="false" ht="12.8" hidden="false" customHeight="false" outlineLevel="0" collapsed="false">
      <c r="B30499" s="0" t="s">
        <v>14</v>
      </c>
    </row>
    <row r="30500" customFormat="false" ht="12.8" hidden="false" customHeight="false" outlineLevel="0" collapsed="false">
      <c r="B30500" s="0" t="s">
        <v>1592</v>
      </c>
    </row>
    <row r="30502" customFormat="false" ht="12.8" hidden="false" customHeight="false" outlineLevel="0" collapsed="false">
      <c r="A30502" s="0" t="s">
        <v>11333</v>
      </c>
      <c r="B30502" s="0" t="str">
        <f aca="false">HYPERLINK("https://lindat.mff.cuni.cz/services/teitok/pdtc10/index.php?action=vallex&amp;frame=v-w4210f7_MM", "poznat (v-w4210f7_MM)")</f>
        <v>poznat (v-w4210f7_MM)</v>
      </c>
    </row>
    <row r="30503" customFormat="false" ht="12.8" hidden="false" customHeight="false" outlineLevel="0" collapsed="false">
      <c r="B30503" s="0" t="s">
        <v>7</v>
      </c>
    </row>
    <row r="30504" customFormat="false" ht="12.8" hidden="false" customHeight="false" outlineLevel="0" collapsed="false">
      <c r="B30504" s="0" t="s">
        <v>548</v>
      </c>
    </row>
    <row r="30505" customFormat="false" ht="12.8" hidden="false" customHeight="false" outlineLevel="0" collapsed="false">
      <c r="B30505" s="0" t="s">
        <v>1252</v>
      </c>
    </row>
    <row r="30507" customFormat="false" ht="12.8" hidden="false" customHeight="false" outlineLevel="0" collapsed="false">
      <c r="A30507" s="0" t="s">
        <v>11333</v>
      </c>
      <c r="B30507" s="0" t="str">
        <f aca="false">HYPERLINK("https://lindat.mff.cuni.cz/services/teitok/pdtc10/index.php?action=vallex&amp;frame=v-w4210f5", "poznat (v-w4210f5) - substituted with v-w4210f7_MM")</f>
        <v>poznat (v-w4210f5) - substituted with v-w4210f7_MM</v>
      </c>
    </row>
    <row r="30508" customFormat="false" ht="12.8" hidden="false" customHeight="false" outlineLevel="0" collapsed="false">
      <c r="B30508" s="0" t="s">
        <v>7</v>
      </c>
    </row>
    <row r="30509" customFormat="false" ht="12.8" hidden="false" customHeight="false" outlineLevel="0" collapsed="false">
      <c r="B30509" s="0" t="s">
        <v>548</v>
      </c>
    </row>
    <row r="30510" customFormat="false" ht="12.8" hidden="false" customHeight="false" outlineLevel="0" collapsed="false">
      <c r="B30510" s="0" t="s">
        <v>1252</v>
      </c>
    </row>
    <row r="30512" customFormat="false" ht="12.8" hidden="false" customHeight="false" outlineLevel="0" collapsed="false">
      <c r="A30512" s="0" t="s">
        <v>11334</v>
      </c>
      <c r="B30512" s="0" t="str">
        <f aca="false">HYPERLINK("https://lindat.mff.cuni.cz/services/teitok/pdtc10/index.php?action=vallex&amp;frame=v-w4210f1", "poznat (v-w4210f1)")</f>
        <v>poznat (v-w4210f1)</v>
      </c>
    </row>
    <row r="30513" customFormat="false" ht="12.8" hidden="false" customHeight="false" outlineLevel="0" collapsed="false">
      <c r="B30513" s="0" t="s">
        <v>7</v>
      </c>
      <c r="C30513" s="0" t="s">
        <v>11335</v>
      </c>
    </row>
    <row r="30514" customFormat="false" ht="12.8" hidden="false" customHeight="false" outlineLevel="0" collapsed="false">
      <c r="B30514" s="0" t="s">
        <v>11336</v>
      </c>
      <c r="C30514" s="0" t="s">
        <v>11337</v>
      </c>
    </row>
    <row r="30516" customFormat="false" ht="12.8" hidden="false" customHeight="false" outlineLevel="0" collapsed="false">
      <c r="A30516" s="0" t="s">
        <v>11338</v>
      </c>
      <c r="B30516" s="0" t="str">
        <f aca="false">HYPERLINK("https://lindat.mff.cuni.cz/services/teitok/pdtc10/index.php?action=vallex&amp;frame=v-w4210f6_ZU", "poznat (v-w4210f6_ZU)")</f>
        <v>poznat (v-w4210f6_ZU)</v>
      </c>
    </row>
    <row r="30517" customFormat="false" ht="12.8" hidden="false" customHeight="false" outlineLevel="0" collapsed="false">
      <c r="B30517" s="0" t="s">
        <v>7</v>
      </c>
    </row>
    <row r="30518" customFormat="false" ht="12.8" hidden="false" customHeight="false" outlineLevel="0" collapsed="false">
      <c r="B30518" s="0" t="s">
        <v>11339</v>
      </c>
    </row>
    <row r="30520" customFormat="false" ht="12.8" hidden="false" customHeight="false" outlineLevel="0" collapsed="false">
      <c r="A30520" s="0" t="s">
        <v>11338</v>
      </c>
      <c r="B30520" s="0" t="str">
        <f aca="false">HYPERLINK("https://lindat.mff.cuni.cz/services/teitok/pdtc10/index.php?action=vallex&amp;frame=v-w4210f2", "poznat (v-w4210f2) - substituted with v-w4210f6_ZU")</f>
        <v>poznat (v-w4210f2) - substituted with v-w4210f6_ZU</v>
      </c>
    </row>
    <row r="30521" customFormat="false" ht="12.8" hidden="false" customHeight="false" outlineLevel="0" collapsed="false">
      <c r="B30521" s="0" t="s">
        <v>7</v>
      </c>
      <c r="C30521" s="0" t="s">
        <v>11340</v>
      </c>
    </row>
    <row r="30522" customFormat="false" ht="12.8" hidden="false" customHeight="false" outlineLevel="0" collapsed="false">
      <c r="B30522" s="0" t="s">
        <v>11339</v>
      </c>
      <c r="C30522" s="0" t="s">
        <v>11341</v>
      </c>
    </row>
    <row r="30524" customFormat="false" ht="12.8" hidden="false" customHeight="false" outlineLevel="0" collapsed="false">
      <c r="A30524" s="0" t="s">
        <v>11338</v>
      </c>
      <c r="B30524" s="0" t="str">
        <f aca="false">HYPERLINK("https://lindat.mff.cuni.cz/services/teitok/pdtc10/index.php?action=vallex&amp;frame=v-w4210hsa_2060", "poznat (v-w4210hsa_2060) - substituted with v-w4210f6_ZU")</f>
        <v>poznat (v-w4210hsa_2060) - substituted with v-w4210f6_ZU</v>
      </c>
    </row>
    <row r="30525" customFormat="false" ht="12.8" hidden="false" customHeight="false" outlineLevel="0" collapsed="false">
      <c r="B30525" s="0" t="s">
        <v>7</v>
      </c>
    </row>
    <row r="30526" customFormat="false" ht="12.8" hidden="false" customHeight="false" outlineLevel="0" collapsed="false">
      <c r="B30526" s="0" t="s">
        <v>11339</v>
      </c>
    </row>
    <row r="30528" customFormat="false" ht="12.8" hidden="false" customHeight="false" outlineLevel="0" collapsed="false">
      <c r="A30528" s="0" t="s">
        <v>11342</v>
      </c>
      <c r="B30528" s="0" t="str">
        <f aca="false">HYPERLINK("https://lindat.mff.cuni.cz/services/teitok/pdtc10/index.php?action=vallex&amp;frame=v-w4210f3", "poznat (v-w4210f3)")</f>
        <v>poznat (v-w4210f3)</v>
      </c>
    </row>
    <row r="30529" customFormat="false" ht="12.8" hidden="false" customHeight="false" outlineLevel="0" collapsed="false">
      <c r="B30529" s="0" t="s">
        <v>7</v>
      </c>
      <c r="C30529" s="0" t="s">
        <v>4342</v>
      </c>
      <c r="D30529" s="0" t="s">
        <v>88</v>
      </c>
      <c r="E30529" s="0" t="s">
        <v>88</v>
      </c>
      <c r="F30529" s="0" t="s">
        <v>88</v>
      </c>
    </row>
    <row r="30530" customFormat="false" ht="12.8" hidden="false" customHeight="false" outlineLevel="0" collapsed="false">
      <c r="B30530" s="0" t="s">
        <v>14</v>
      </c>
      <c r="C30530" s="0" t="s">
        <v>11343</v>
      </c>
      <c r="D30530" s="0" t="s">
        <v>120</v>
      </c>
      <c r="E30530" s="0" t="s">
        <v>120</v>
      </c>
      <c r="F30530" s="0" t="s">
        <v>120</v>
      </c>
    </row>
    <row r="30532" customFormat="false" ht="12.8" hidden="false" customHeight="false" outlineLevel="0" collapsed="false">
      <c r="A30532" s="0" t="s">
        <v>11344</v>
      </c>
      <c r="B30532" s="0" t="str">
        <f aca="false">HYPERLINK("https://lindat.mff.cuni.cz/services/teitok/pdtc10/index.php?action=vallex&amp;frame=v-whsa_903hsa_904", "poznat se (v-whsa_903hsa_904)")</f>
        <v>poznat se (v-whsa_903hsa_904)</v>
      </c>
    </row>
    <row r="30533" customFormat="false" ht="12.8" hidden="false" customHeight="false" outlineLevel="0" collapsed="false">
      <c r="B30533" s="0" t="s">
        <v>7</v>
      </c>
    </row>
    <row r="30534" customFormat="false" ht="12.8" hidden="false" customHeight="false" outlineLevel="0" collapsed="false">
      <c r="B30534" s="0" t="s">
        <v>548</v>
      </c>
    </row>
    <row r="30536" customFormat="false" ht="12.8" hidden="false" customHeight="false" outlineLevel="0" collapsed="false">
      <c r="A30536" s="0" t="s">
        <v>11345</v>
      </c>
      <c r="B30536" s="0" t="str">
        <f aca="false">HYPERLINK("https://lindat.mff.cuni.cz/services/teitok/pdtc10/index.php?action=vallex&amp;frame=v-w11874_ZUf1_ZU", "poznačit (v-w11874_ZUf1_ZU)")</f>
        <v>poznačit (v-w11874_ZUf1_ZU)</v>
      </c>
    </row>
    <row r="30537" customFormat="false" ht="12.8" hidden="false" customHeight="false" outlineLevel="0" collapsed="false">
      <c r="B30537" s="0" t="s">
        <v>7</v>
      </c>
    </row>
    <row r="30538" customFormat="false" ht="12.8" hidden="false" customHeight="false" outlineLevel="0" collapsed="false">
      <c r="B30538" s="0" t="s">
        <v>14</v>
      </c>
    </row>
    <row r="30540" customFormat="false" ht="12.8" hidden="false" customHeight="false" outlineLevel="0" collapsed="false">
      <c r="A30540" s="0" t="s">
        <v>11346</v>
      </c>
      <c r="B30540" s="0" t="str">
        <f aca="false">HYPERLINK("https://lindat.mff.cuni.cz/services/teitok/pdtc10/index.php?action=vallex&amp;frame=v-w4213f1", "poznávat (v-w4213f1)")</f>
        <v>poznávat (v-w4213f1)</v>
      </c>
    </row>
    <row r="30541" customFormat="false" ht="12.8" hidden="false" customHeight="false" outlineLevel="0" collapsed="false">
      <c r="B30541" s="0" t="s">
        <v>7</v>
      </c>
    </row>
    <row r="30542" customFormat="false" ht="12.8" hidden="false" customHeight="false" outlineLevel="0" collapsed="false">
      <c r="B30542" s="0" t="s">
        <v>1520</v>
      </c>
    </row>
    <row r="30544" customFormat="false" ht="12.8" hidden="false" customHeight="false" outlineLevel="0" collapsed="false">
      <c r="A30544" s="0" t="s">
        <v>11347</v>
      </c>
      <c r="B30544" s="0" t="str">
        <f aca="false">HYPERLINK("https://lindat.mff.cuni.cz/services/teitok/pdtc10/index.php?action=vallex&amp;frame=v-w4213f4_ZU", "poznávat (v-w4213f4_ZU)")</f>
        <v>poznávat (v-w4213f4_ZU)</v>
      </c>
    </row>
    <row r="30545" customFormat="false" ht="12.8" hidden="false" customHeight="false" outlineLevel="0" collapsed="false">
      <c r="B30545" s="0" t="s">
        <v>7</v>
      </c>
    </row>
    <row r="30546" customFormat="false" ht="12.8" hidden="false" customHeight="false" outlineLevel="0" collapsed="false">
      <c r="B30546" s="0" t="s">
        <v>14</v>
      </c>
    </row>
    <row r="30548" customFormat="false" ht="12.8" hidden="false" customHeight="false" outlineLevel="0" collapsed="false">
      <c r="A30548" s="0" t="s">
        <v>11347</v>
      </c>
      <c r="B30548" s="0" t="str">
        <f aca="false">HYPERLINK("https://lindat.mff.cuni.cz/services/teitok/pdtc10/index.php?action=vallex&amp;frame=v-w4213f2", "poznávat (v-w4213f2) - substituted with v-w4213f4_ZU")</f>
        <v>poznávat (v-w4213f2) - substituted with v-w4213f4_ZU</v>
      </c>
    </row>
    <row r="30549" customFormat="false" ht="12.8" hidden="false" customHeight="false" outlineLevel="0" collapsed="false">
      <c r="B30549" s="0" t="s">
        <v>7</v>
      </c>
      <c r="C30549" s="0" t="s">
        <v>184</v>
      </c>
    </row>
    <row r="30550" customFormat="false" ht="12.8" hidden="false" customHeight="false" outlineLevel="0" collapsed="false">
      <c r="B30550" s="0" t="s">
        <v>14</v>
      </c>
      <c r="C30550" s="0" t="s">
        <v>384</v>
      </c>
    </row>
    <row r="30552" customFormat="false" ht="12.8" hidden="false" customHeight="false" outlineLevel="0" collapsed="false">
      <c r="A30552" s="0" t="s">
        <v>11347</v>
      </c>
      <c r="B30552" s="0" t="str">
        <f aca="false">HYPERLINK("https://lindat.mff.cuni.cz/services/teitok/pdtc10/index.php?action=vallex&amp;frame=v-w4213f3_ZU", "poznávat (v-w4213f3_ZU) - substituted with v-w4213f4_ZU")</f>
        <v>poznávat (v-w4213f3_ZU) - substituted with v-w4213f4_ZU</v>
      </c>
    </row>
    <row r="30553" customFormat="false" ht="12.8" hidden="false" customHeight="false" outlineLevel="0" collapsed="false">
      <c r="B30553" s="0" t="s">
        <v>7</v>
      </c>
    </row>
    <row r="30554" customFormat="false" ht="12.8" hidden="false" customHeight="false" outlineLevel="0" collapsed="false">
      <c r="B30554" s="0" t="s">
        <v>14</v>
      </c>
    </row>
    <row r="30556" customFormat="false" ht="12.8" hidden="false" customHeight="false" outlineLevel="0" collapsed="false">
      <c r="A30556" s="0" t="s">
        <v>11348</v>
      </c>
      <c r="B30556" s="0" t="str">
        <f aca="false">HYPERLINK("https://lindat.mff.cuni.cz/services/teitok/pdtc10/index.php?action=vallex&amp;frame=v-w4213f5_ZU", "poznávat (v-w4213f5_ZU)")</f>
        <v>poznávat (v-w4213f5_ZU)</v>
      </c>
    </row>
    <row r="30557" customFormat="false" ht="12.8" hidden="false" customHeight="false" outlineLevel="0" collapsed="false">
      <c r="B30557" s="0" t="s">
        <v>7</v>
      </c>
    </row>
    <row r="30558" customFormat="false" ht="12.8" hidden="false" customHeight="false" outlineLevel="0" collapsed="false">
      <c r="B30558" s="0" t="s">
        <v>14</v>
      </c>
    </row>
    <row r="30560" customFormat="false" ht="12.8" hidden="false" customHeight="false" outlineLevel="0" collapsed="false">
      <c r="A30560" s="0" t="s">
        <v>11349</v>
      </c>
      <c r="B30560" s="0" t="str">
        <f aca="false">HYPERLINK("https://lindat.mff.cuni.cz/services/teitok/pdtc10/index.php?action=vallex&amp;frame=v-w4217f1", "pozorovat (v-w4217f1)")</f>
        <v>pozorovat (v-w4217f1)</v>
      </c>
    </row>
    <row r="30561" customFormat="false" ht="12.8" hidden="false" customHeight="false" outlineLevel="0" collapsed="false">
      <c r="B30561" s="0" t="s">
        <v>7</v>
      </c>
      <c r="C30561" s="0" t="s">
        <v>11350</v>
      </c>
      <c r="D30561" s="0" t="s">
        <v>5452</v>
      </c>
      <c r="E30561" s="0" t="s">
        <v>5452</v>
      </c>
      <c r="F30561" s="0" t="s">
        <v>5452</v>
      </c>
    </row>
    <row r="30562" customFormat="false" ht="12.8" hidden="false" customHeight="false" outlineLevel="0" collapsed="false">
      <c r="B30562" s="0" t="s">
        <v>8144</v>
      </c>
      <c r="C30562" s="0" t="s">
        <v>11351</v>
      </c>
      <c r="D30562" s="0" t="s">
        <v>5454</v>
      </c>
      <c r="E30562" s="0" t="s">
        <v>5454</v>
      </c>
      <c r="F30562" s="0" t="s">
        <v>5454</v>
      </c>
    </row>
    <row r="30564" customFormat="false" ht="12.8" hidden="false" customHeight="false" outlineLevel="0" collapsed="false">
      <c r="A30564" s="0" t="s">
        <v>11352</v>
      </c>
      <c r="B30564" s="0" t="str">
        <f aca="false">HYPERLINK("https://lindat.mff.cuni.cz/services/teitok/pdtc10/index.php?action=vallex&amp;frame=v-w4217f3_ZU", "pozorovat (v-w4217f3_ZU)")</f>
        <v>pozorovat (v-w4217f3_ZU)</v>
      </c>
    </row>
    <row r="30565" customFormat="false" ht="12.8" hidden="false" customHeight="false" outlineLevel="0" collapsed="false">
      <c r="B30565" s="0" t="s">
        <v>7</v>
      </c>
    </row>
    <row r="30566" customFormat="false" ht="12.8" hidden="false" customHeight="false" outlineLevel="0" collapsed="false">
      <c r="B30566" s="0" t="s">
        <v>7585</v>
      </c>
    </row>
    <row r="30568" customFormat="false" ht="12.8" hidden="false" customHeight="false" outlineLevel="0" collapsed="false">
      <c r="A30568" s="0" t="s">
        <v>11352</v>
      </c>
      <c r="B30568" s="0" t="str">
        <f aca="false">HYPERLINK("https://lindat.mff.cuni.cz/services/teitok/pdtc10/index.php?action=vallex&amp;frame=v-w4217f2_ZU", "pozorovat (v-w4217f2_ZU) - substituted with v-w4217f3_ZU")</f>
        <v>pozorovat (v-w4217f2_ZU) - substituted with v-w4217f3_ZU</v>
      </c>
    </row>
    <row r="30569" customFormat="false" ht="12.8" hidden="false" customHeight="false" outlineLevel="0" collapsed="false">
      <c r="B30569" s="0" t="s">
        <v>7</v>
      </c>
    </row>
    <row r="30570" customFormat="false" ht="12.8" hidden="false" customHeight="false" outlineLevel="0" collapsed="false">
      <c r="B30570" s="0" t="s">
        <v>7585</v>
      </c>
    </row>
    <row r="30572" customFormat="false" ht="12.8" hidden="false" customHeight="false" outlineLevel="0" collapsed="false">
      <c r="A30572" s="0" t="s">
        <v>11352</v>
      </c>
      <c r="B30572" s="0" t="str">
        <f aca="false">HYPERLINK("https://lindat.mff.cuni.cz/services/teitok/pdtc10/index.php?action=vallex&amp;frame=v-w4217hsa_1240", "pozorovat (v-w4217hsa_1240) - substituted with v-w4217f3_ZU")</f>
        <v>pozorovat (v-w4217hsa_1240) - substituted with v-w4217f3_ZU</v>
      </c>
    </row>
    <row r="30573" customFormat="false" ht="12.8" hidden="false" customHeight="false" outlineLevel="0" collapsed="false">
      <c r="B30573" s="0" t="s">
        <v>7</v>
      </c>
      <c r="C30573" s="0" t="s">
        <v>11353</v>
      </c>
      <c r="D30573" s="0" t="s">
        <v>7732</v>
      </c>
      <c r="E30573" s="0" t="s">
        <v>11354</v>
      </c>
      <c r="F30573" s="0" t="s">
        <v>11354</v>
      </c>
    </row>
    <row r="30574" customFormat="false" ht="12.8" hidden="false" customHeight="false" outlineLevel="0" collapsed="false">
      <c r="B30574" s="0" t="s">
        <v>7585</v>
      </c>
      <c r="C30574" s="0" t="s">
        <v>9107</v>
      </c>
      <c r="D30574" s="0" t="s">
        <v>10974</v>
      </c>
      <c r="E30574" s="0" t="s">
        <v>11355</v>
      </c>
      <c r="F30574" s="0" t="s">
        <v>11355</v>
      </c>
    </row>
    <row r="30576" customFormat="false" ht="12.8" hidden="false" customHeight="false" outlineLevel="0" collapsed="false">
      <c r="A30576" s="0" t="s">
        <v>11356</v>
      </c>
      <c r="B30576" s="0" t="str">
        <f aca="false">HYPERLINK("https://lindat.mff.cuni.cz/services/teitok/pdtc10/index.php?action=vallex&amp;frame=v-w4219f1", "poztrácet (v-w4219f1)")</f>
        <v>poztrácet (v-w4219f1)</v>
      </c>
    </row>
    <row r="30577" customFormat="false" ht="12.8" hidden="false" customHeight="false" outlineLevel="0" collapsed="false">
      <c r="B30577" s="0" t="s">
        <v>7</v>
      </c>
    </row>
    <row r="30578" customFormat="false" ht="12.8" hidden="false" customHeight="false" outlineLevel="0" collapsed="false">
      <c r="B30578" s="0" t="s">
        <v>14</v>
      </c>
    </row>
    <row r="30580" customFormat="false" ht="12.8" hidden="false" customHeight="false" outlineLevel="0" collapsed="false">
      <c r="A30580" s="0" t="s">
        <v>11357</v>
      </c>
      <c r="B30580" s="0" t="str">
        <f aca="false">HYPERLINK("https://lindat.mff.cuni.cz/services/teitok/pdtc10/index.php?action=vallex&amp;frame=v-w4223f1", "pozvat (v-w4223f1)")</f>
        <v>pozvat (v-w4223f1)</v>
      </c>
    </row>
    <row r="30581" customFormat="false" ht="12.8" hidden="false" customHeight="false" outlineLevel="0" collapsed="false">
      <c r="B30581" s="0" t="s">
        <v>7</v>
      </c>
      <c r="C30581" s="0" t="s">
        <v>3028</v>
      </c>
      <c r="D30581" s="0" t="s">
        <v>118</v>
      </c>
      <c r="E30581" s="0" t="s">
        <v>118</v>
      </c>
      <c r="F30581" s="0" t="s">
        <v>118</v>
      </c>
    </row>
    <row r="30582" customFormat="false" ht="12.8" hidden="false" customHeight="false" outlineLevel="0" collapsed="false">
      <c r="B30582" s="0" t="s">
        <v>14</v>
      </c>
      <c r="C30582" s="0" t="s">
        <v>4772</v>
      </c>
      <c r="D30582" s="0" t="s">
        <v>1289</v>
      </c>
      <c r="E30582" s="0" t="s">
        <v>1289</v>
      </c>
      <c r="F30582" s="0" t="s">
        <v>1289</v>
      </c>
    </row>
    <row r="30584" customFormat="false" ht="12.8" hidden="false" customHeight="false" outlineLevel="0" collapsed="false">
      <c r="A30584" s="0" t="s">
        <v>11358</v>
      </c>
      <c r="B30584" s="0" t="str">
        <f aca="false">HYPERLINK("https://lindat.mff.cuni.cz/services/teitok/pdtc10/index.php?action=vallex&amp;frame=v-w4224f1", "pozvedat (v-w4224f1)")</f>
        <v>pozvedat (v-w4224f1)</v>
      </c>
    </row>
    <row r="30585" customFormat="false" ht="12.8" hidden="false" customHeight="false" outlineLevel="0" collapsed="false">
      <c r="B30585" s="0" t="s">
        <v>7</v>
      </c>
      <c r="D30585" s="0" t="s">
        <v>460</v>
      </c>
      <c r="E30585" s="0" t="s">
        <v>460</v>
      </c>
      <c r="F30585" s="0" t="s">
        <v>460</v>
      </c>
    </row>
    <row r="30586" customFormat="false" ht="12.8" hidden="false" customHeight="false" outlineLevel="0" collapsed="false">
      <c r="B30586" s="0" t="s">
        <v>14</v>
      </c>
      <c r="D30586" s="0" t="s">
        <v>624</v>
      </c>
      <c r="E30586" s="0" t="s">
        <v>624</v>
      </c>
      <c r="F30586" s="0" t="s">
        <v>624</v>
      </c>
    </row>
    <row r="30588" customFormat="false" ht="12.8" hidden="false" customHeight="false" outlineLevel="0" collapsed="false">
      <c r="A30588" s="0" t="s">
        <v>11359</v>
      </c>
      <c r="B30588" s="0" t="str">
        <f aca="false">HYPERLINK("https://lindat.mff.cuni.cz/services/teitok/pdtc10/index.php?action=vallex&amp;frame=v-w4225f2", "pozvednout (v-w4225f2)")</f>
        <v>pozvednout (v-w4225f2)</v>
      </c>
    </row>
    <row r="30589" customFormat="false" ht="12.8" hidden="false" customHeight="false" outlineLevel="0" collapsed="false">
      <c r="B30589" s="0" t="s">
        <v>7</v>
      </c>
    </row>
    <row r="30590" customFormat="false" ht="12.8" hidden="false" customHeight="false" outlineLevel="0" collapsed="false">
      <c r="B30590" s="0" t="s">
        <v>14</v>
      </c>
    </row>
    <row r="30591" customFormat="false" ht="12.8" hidden="false" customHeight="false" outlineLevel="0" collapsed="false">
      <c r="B30591" s="0" t="s">
        <v>459</v>
      </c>
    </row>
    <row r="30593" customFormat="false" ht="12.8" hidden="false" customHeight="false" outlineLevel="0" collapsed="false">
      <c r="A30593" s="0" t="s">
        <v>11360</v>
      </c>
      <c r="B30593" s="0" t="str">
        <f aca="false">HYPERLINK("https://lindat.mff.cuni.cz/services/teitok/pdtc10/index.php?action=vallex&amp;frame=v-w4225f1", "pozvednout (v-w4225f1)")</f>
        <v>pozvednout (v-w4225f1)</v>
      </c>
    </row>
    <row r="30594" customFormat="false" ht="12.8" hidden="false" customHeight="false" outlineLevel="0" collapsed="false">
      <c r="B30594" s="0" t="s">
        <v>7</v>
      </c>
      <c r="C30594" s="0" t="s">
        <v>11361</v>
      </c>
      <c r="D30594" s="0" t="s">
        <v>11362</v>
      </c>
      <c r="E30594" s="0" t="s">
        <v>11362</v>
      </c>
      <c r="F30594" s="0" t="s">
        <v>11362</v>
      </c>
    </row>
    <row r="30595" customFormat="false" ht="12.8" hidden="false" customHeight="false" outlineLevel="0" collapsed="false">
      <c r="B30595" s="0" t="s">
        <v>14</v>
      </c>
      <c r="C30595" s="0" t="s">
        <v>1938</v>
      </c>
      <c r="D30595" s="0" t="s">
        <v>11363</v>
      </c>
      <c r="E30595" s="0" t="s">
        <v>11363</v>
      </c>
      <c r="F30595" s="0" t="s">
        <v>11363</v>
      </c>
    </row>
    <row r="30597" customFormat="false" ht="12.8" hidden="false" customHeight="false" outlineLevel="0" collapsed="false">
      <c r="A30597" s="0" t="s">
        <v>11364</v>
      </c>
      <c r="B30597" s="0" t="str">
        <f aca="false">HYPERLINK("https://lindat.mff.cuni.cz/services/teitok/pdtc10/index.php?action=vallex&amp;frame=v-w4225f3_ZU", "pozvednout (v-w4225f3_ZU)")</f>
        <v>pozvednout (v-w4225f3_ZU)</v>
      </c>
    </row>
    <row r="30598" customFormat="false" ht="12.8" hidden="false" customHeight="false" outlineLevel="0" collapsed="false">
      <c r="B30598" s="0" t="s">
        <v>7</v>
      </c>
      <c r="C30598" s="0" t="s">
        <v>191</v>
      </c>
    </row>
    <row r="30599" customFormat="false" ht="12.8" hidden="false" customHeight="false" outlineLevel="0" collapsed="false">
      <c r="B30599" s="0" t="s">
        <v>11365</v>
      </c>
      <c r="C30599" s="0" t="s">
        <v>532</v>
      </c>
    </row>
    <row r="30601" customFormat="false" ht="12.8" hidden="false" customHeight="false" outlineLevel="0" collapsed="false">
      <c r="A30601" s="0" t="s">
        <v>11364</v>
      </c>
      <c r="B30601" s="0" t="str">
        <f aca="false">HYPERLINK("https://lindat.mff.cuni.cz/services/teitok/pdtc10/index.php?action=vallex&amp;frame=v-w4225hsa_387", "pozvednout (v-w4225hsa_387) - substituted with v-w4225f3_ZU")</f>
        <v>pozvednout (v-w4225hsa_387) - substituted with v-w4225f3_ZU</v>
      </c>
    </row>
    <row r="30602" customFormat="false" ht="12.8" hidden="false" customHeight="false" outlineLevel="0" collapsed="false">
      <c r="B30602" s="0" t="s">
        <v>7</v>
      </c>
    </row>
    <row r="30603" customFormat="false" ht="12.8" hidden="false" customHeight="false" outlineLevel="0" collapsed="false">
      <c r="B30603" s="0" t="s">
        <v>11365</v>
      </c>
    </row>
    <row r="30605" customFormat="false" ht="12.8" hidden="false" customHeight="false" outlineLevel="0" collapsed="false">
      <c r="A30605" s="0" t="s">
        <v>11366</v>
      </c>
      <c r="B30605" s="0" t="str">
        <f aca="false">HYPERLINK("https://lindat.mff.cuni.cz/services/teitok/pdtc10/index.php?action=vallex&amp;frame=v-whsa_543hsa_544", "pozvednout se (v-whsa_543hsa_544)")</f>
        <v>pozvednout se (v-whsa_543hsa_544)</v>
      </c>
    </row>
    <row r="30606" customFormat="false" ht="12.8" hidden="false" customHeight="false" outlineLevel="0" collapsed="false">
      <c r="B30606" s="0" t="s">
        <v>7</v>
      </c>
    </row>
    <row r="30608" customFormat="false" ht="12.8" hidden="false" customHeight="false" outlineLevel="0" collapsed="false">
      <c r="A30608" s="0" t="s">
        <v>11367</v>
      </c>
      <c r="B30608" s="0" t="str">
        <f aca="false">HYPERLINK("https://lindat.mff.cuni.cz/services/teitok/pdtc10/index.php?action=vallex&amp;frame=v-w11120f3", "pozvedávat (v-w11120f3)")</f>
        <v>pozvedávat (v-w11120f3)</v>
      </c>
    </row>
    <row r="30609" customFormat="false" ht="12.8" hidden="false" customHeight="false" outlineLevel="0" collapsed="false">
      <c r="B30609" s="0" t="s">
        <v>7</v>
      </c>
    </row>
    <row r="30610" customFormat="false" ht="12.8" hidden="false" customHeight="false" outlineLevel="0" collapsed="false">
      <c r="B30610" s="0" t="s">
        <v>14</v>
      </c>
    </row>
    <row r="30612" customFormat="false" ht="12.8" hidden="false" customHeight="false" outlineLevel="0" collapsed="false">
      <c r="A30612" s="0" t="s">
        <v>11368</v>
      </c>
      <c r="B30612" s="0" t="str">
        <f aca="false">HYPERLINK("https://lindat.mff.cuni.cz/services/teitok/pdtc10/index.php?action=vallex&amp;frame=v-w11120f2", "pozvedávat (v-w11120f2)")</f>
        <v>pozvedávat (v-w11120f2)</v>
      </c>
    </row>
    <row r="30613" customFormat="false" ht="12.8" hidden="false" customHeight="false" outlineLevel="0" collapsed="false">
      <c r="B30613" s="0" t="s">
        <v>7</v>
      </c>
    </row>
    <row r="30614" customFormat="false" ht="12.8" hidden="false" customHeight="false" outlineLevel="0" collapsed="false">
      <c r="B30614" s="0" t="s">
        <v>14</v>
      </c>
    </row>
    <row r="30616" customFormat="false" ht="12.8" hidden="false" customHeight="false" outlineLevel="0" collapsed="false">
      <c r="A30616" s="0" t="s">
        <v>11369</v>
      </c>
      <c r="B30616" s="0" t="str">
        <f aca="false">HYPERLINK("https://lindat.mff.cuni.cz/services/teitok/pdtc10/index.php?action=vallex&amp;frame=v-w10785f2", "pozřít (v-w10785f2)")</f>
        <v>pozřít (v-w10785f2)</v>
      </c>
    </row>
    <row r="30617" customFormat="false" ht="12.8" hidden="false" customHeight="false" outlineLevel="0" collapsed="false">
      <c r="B30617" s="0" t="s">
        <v>7</v>
      </c>
      <c r="C30617" s="0" t="s">
        <v>4379</v>
      </c>
      <c r="D30617" s="0" t="s">
        <v>4380</v>
      </c>
      <c r="E30617" s="0" t="s">
        <v>4380</v>
      </c>
      <c r="F30617" s="0" t="s">
        <v>4380</v>
      </c>
    </row>
    <row r="30618" customFormat="false" ht="12.8" hidden="false" customHeight="false" outlineLevel="0" collapsed="false">
      <c r="B30618" s="0" t="s">
        <v>14</v>
      </c>
      <c r="C30618" s="0" t="s">
        <v>1315</v>
      </c>
      <c r="D30618" s="0" t="s">
        <v>151</v>
      </c>
      <c r="E30618" s="0" t="s">
        <v>151</v>
      </c>
      <c r="F30618" s="0" t="s">
        <v>151</v>
      </c>
    </row>
    <row r="30620" customFormat="false" ht="12.8" hidden="false" customHeight="false" outlineLevel="0" collapsed="false">
      <c r="A30620" s="0" t="s">
        <v>11370</v>
      </c>
      <c r="B30620" s="0" t="str">
        <f aca="false">HYPERLINK("https://lindat.mff.cuni.cz/services/teitok/pdtc10/index.php?action=vallex&amp;frame=v-w4220f1", "pozůstavit (v-w4220f1)")</f>
        <v>pozůstavit (v-w4220f1)</v>
      </c>
    </row>
    <row r="30621" customFormat="false" ht="12.8" hidden="false" customHeight="false" outlineLevel="0" collapsed="false">
      <c r="B30621" s="0" t="s">
        <v>7</v>
      </c>
    </row>
    <row r="30622" customFormat="false" ht="12.8" hidden="false" customHeight="false" outlineLevel="0" collapsed="false">
      <c r="B30622" s="0" t="s">
        <v>14</v>
      </c>
    </row>
    <row r="30623" customFormat="false" ht="12.8" hidden="false" customHeight="false" outlineLevel="0" collapsed="false">
      <c r="B30623" s="0" t="s">
        <v>48</v>
      </c>
    </row>
    <row r="30625" customFormat="false" ht="12.8" hidden="false" customHeight="false" outlineLevel="0" collapsed="false">
      <c r="A30625" s="0" t="s">
        <v>11371</v>
      </c>
      <c r="B30625" s="0" t="str">
        <f aca="false">HYPERLINK("https://lindat.mff.cuni.cz/services/teitok/pdtc10/index.php?action=vallex&amp;frame=v-w3518f2", "počastovat (v-w3518f2)")</f>
        <v>počastovat (v-w3518f2)</v>
      </c>
    </row>
    <row r="30626" customFormat="false" ht="12.8" hidden="false" customHeight="false" outlineLevel="0" collapsed="false">
      <c r="B30626" s="0" t="s">
        <v>7</v>
      </c>
    </row>
    <row r="30627" customFormat="false" ht="12.8" hidden="false" customHeight="false" outlineLevel="0" collapsed="false">
      <c r="B30627" s="0" t="s">
        <v>14</v>
      </c>
    </row>
    <row r="30629" customFormat="false" ht="12.8" hidden="false" customHeight="false" outlineLevel="0" collapsed="false">
      <c r="A30629" s="0" t="s">
        <v>11371</v>
      </c>
      <c r="B30629" s="0" t="str">
        <f aca="false">HYPERLINK("https://lindat.mff.cuni.cz/services/teitok/pdtc10/index.php?action=vallex&amp;frame=v-w3518f1", "počastovat (v-w3518f1) - substituted with v-w3518f2")</f>
        <v>počastovat (v-w3518f1) - substituted with v-w3518f2</v>
      </c>
    </row>
    <row r="30630" customFormat="false" ht="12.8" hidden="false" customHeight="false" outlineLevel="0" collapsed="false">
      <c r="B30630" s="0" t="s">
        <v>7</v>
      </c>
    </row>
    <row r="30631" customFormat="false" ht="12.8" hidden="false" customHeight="false" outlineLevel="0" collapsed="false">
      <c r="B30631" s="0" t="s">
        <v>14</v>
      </c>
    </row>
    <row r="30633" customFormat="false" ht="12.8" hidden="false" customHeight="false" outlineLevel="0" collapsed="false">
      <c r="A30633" s="0" t="s">
        <v>11372</v>
      </c>
      <c r="B30633" s="0" t="str">
        <f aca="false">HYPERLINK("https://lindat.mff.cuni.cz/services/teitok/pdtc10/index.php?action=vallex&amp;frame=v-w3521f1", "počeštit (v-w3521f1)")</f>
        <v>počeštit (v-w3521f1)</v>
      </c>
    </row>
    <row r="30634" customFormat="false" ht="12.8" hidden="false" customHeight="false" outlineLevel="0" collapsed="false">
      <c r="B30634" s="0" t="s">
        <v>7</v>
      </c>
    </row>
    <row r="30635" customFormat="false" ht="12.8" hidden="false" customHeight="false" outlineLevel="0" collapsed="false">
      <c r="B30635" s="0" t="s">
        <v>14</v>
      </c>
    </row>
    <row r="30637" customFormat="false" ht="12.8" hidden="false" customHeight="false" outlineLevel="0" collapsed="false">
      <c r="A30637" s="0" t="s">
        <v>11373</v>
      </c>
      <c r="B30637" s="0" t="str">
        <f aca="false">HYPERLINK("https://lindat.mff.cuni.cz/services/teitok/pdtc10/index.php?action=vallex&amp;frame=v-w12048_ZUf1_ZU", "počešťovat (v-w12048_ZUf1_ZU)")</f>
        <v>počešťovat (v-w12048_ZUf1_ZU)</v>
      </c>
    </row>
    <row r="30638" customFormat="false" ht="12.8" hidden="false" customHeight="false" outlineLevel="0" collapsed="false">
      <c r="B30638" s="0" t="s">
        <v>7</v>
      </c>
    </row>
    <row r="30639" customFormat="false" ht="12.8" hidden="false" customHeight="false" outlineLevel="0" collapsed="false">
      <c r="B30639" s="0" t="s">
        <v>14</v>
      </c>
    </row>
    <row r="30641" customFormat="false" ht="12.8" hidden="false" customHeight="false" outlineLevel="0" collapsed="false">
      <c r="A30641" s="0" t="s">
        <v>11374</v>
      </c>
      <c r="B30641" s="0" t="str">
        <f aca="false">HYPERLINK("https://lindat.mff.cuni.cz/services/teitok/pdtc10/index.php?action=vallex&amp;frame=v-w3536f3_ZU", "počkat (v-w3536f3_ZU)")</f>
        <v>počkat (v-w3536f3_ZU)</v>
      </c>
    </row>
    <row r="30642" customFormat="false" ht="12.8" hidden="false" customHeight="false" outlineLevel="0" collapsed="false">
      <c r="B30642" s="0" t="s">
        <v>7</v>
      </c>
    </row>
    <row r="30643" customFormat="false" ht="12.8" hidden="false" customHeight="false" outlineLevel="0" collapsed="false">
      <c r="B30643" s="0" t="s">
        <v>11375</v>
      </c>
    </row>
    <row r="30645" customFormat="false" ht="12.8" hidden="false" customHeight="false" outlineLevel="0" collapsed="false">
      <c r="A30645" s="0" t="s">
        <v>11374</v>
      </c>
      <c r="B30645" s="0" t="str">
        <f aca="false">HYPERLINK("https://lindat.mff.cuni.cz/services/teitok/pdtc10/index.php?action=vallex&amp;frame=v-w3536f1", "počkat (v-w3536f1) - substituted with v-w3536f3_ZU")</f>
        <v>počkat (v-w3536f1) - substituted with v-w3536f3_ZU</v>
      </c>
    </row>
    <row r="30646" customFormat="false" ht="12.8" hidden="false" customHeight="false" outlineLevel="0" collapsed="false">
      <c r="B30646" s="0" t="s">
        <v>7</v>
      </c>
      <c r="C30646" s="0" t="s">
        <v>11376</v>
      </c>
    </row>
    <row r="30647" customFormat="false" ht="12.8" hidden="false" customHeight="false" outlineLevel="0" collapsed="false">
      <c r="B30647" s="0" t="s">
        <v>11375</v>
      </c>
      <c r="C30647" s="0" t="s">
        <v>11377</v>
      </c>
    </row>
    <row r="30649" customFormat="false" ht="12.8" hidden="false" customHeight="false" outlineLevel="0" collapsed="false">
      <c r="A30649" s="0" t="s">
        <v>11374</v>
      </c>
      <c r="B30649" s="0" t="str">
        <f aca="false">HYPERLINK("https://lindat.mff.cuni.cz/services/teitok/pdtc10/index.php?action=vallex&amp;frame=v-w3536f2_ZU", "počkat (v-w3536f2_ZU) - substituted with v-w3536f3_ZU")</f>
        <v>počkat (v-w3536f2_ZU) - substituted with v-w3536f3_ZU</v>
      </c>
    </row>
    <row r="30650" customFormat="false" ht="12.8" hidden="false" customHeight="false" outlineLevel="0" collapsed="false">
      <c r="B30650" s="0" t="s">
        <v>7</v>
      </c>
      <c r="C30650" s="0" t="s">
        <v>11378</v>
      </c>
    </row>
    <row r="30651" customFormat="false" ht="12.8" hidden="false" customHeight="false" outlineLevel="0" collapsed="false">
      <c r="B30651" s="0" t="s">
        <v>11375</v>
      </c>
      <c r="C30651" s="0" t="s">
        <v>11379</v>
      </c>
    </row>
    <row r="30653" customFormat="false" ht="12.8" hidden="false" customHeight="false" outlineLevel="0" collapsed="false">
      <c r="A30653" s="0" t="s">
        <v>11374</v>
      </c>
      <c r="B30653" s="0" t="str">
        <f aca="false">HYPERLINK("https://lindat.mff.cuni.cz/services/teitok/pdtc10/index.php?action=vallex&amp;frame=v-w3536hsa_1085", "počkat (v-w3536hsa_1085) - substituted with v-w3536f3_ZU")</f>
        <v>počkat (v-w3536hsa_1085) - substituted with v-w3536f3_ZU</v>
      </c>
    </row>
    <row r="30654" customFormat="false" ht="12.8" hidden="false" customHeight="false" outlineLevel="0" collapsed="false">
      <c r="B30654" s="0" t="s">
        <v>7</v>
      </c>
      <c r="C30654" s="0" t="s">
        <v>11380</v>
      </c>
      <c r="D30654" s="0" t="s">
        <v>9450</v>
      </c>
      <c r="E30654" s="0" t="s">
        <v>9450</v>
      </c>
      <c r="F30654" s="0" t="s">
        <v>9450</v>
      </c>
    </row>
    <row r="30655" customFormat="false" ht="12.8" hidden="false" customHeight="false" outlineLevel="0" collapsed="false">
      <c r="B30655" s="0" t="s">
        <v>11375</v>
      </c>
      <c r="C30655" s="0" t="s">
        <v>11381</v>
      </c>
      <c r="D30655" s="0" t="s">
        <v>9453</v>
      </c>
      <c r="E30655" s="0" t="s">
        <v>9453</v>
      </c>
      <c r="F30655" s="0" t="s">
        <v>9453</v>
      </c>
    </row>
    <row r="30657" customFormat="false" ht="12.8" hidden="false" customHeight="false" outlineLevel="0" collapsed="false">
      <c r="A30657" s="0" t="s">
        <v>11382</v>
      </c>
      <c r="B30657" s="0" t="str">
        <f aca="false">HYPERLINK("https://lindat.mff.cuni.cz/services/teitok/pdtc10/index.php?action=vallex&amp;frame=v-w3537f2_ZU", "počkat si (v-w3537f2_ZU)")</f>
        <v>počkat si (v-w3537f2_ZU)</v>
      </c>
    </row>
    <row r="30658" customFormat="false" ht="12.8" hidden="false" customHeight="false" outlineLevel="0" collapsed="false">
      <c r="B30658" s="0" t="s">
        <v>7</v>
      </c>
    </row>
    <row r="30659" customFormat="false" ht="12.8" hidden="false" customHeight="false" outlineLevel="0" collapsed="false">
      <c r="B30659" s="0" t="s">
        <v>11383</v>
      </c>
    </row>
    <row r="30661" customFormat="false" ht="12.8" hidden="false" customHeight="false" outlineLevel="0" collapsed="false">
      <c r="A30661" s="0" t="s">
        <v>11382</v>
      </c>
      <c r="B30661" s="0" t="str">
        <f aca="false">HYPERLINK("https://lindat.mff.cuni.cz/services/teitok/pdtc10/index.php?action=vallex&amp;frame=v-w3537f1", "počkat si (v-w3537f1) - substituted with v-w3537f2_ZU")</f>
        <v>počkat si (v-w3537f1) - substituted with v-w3537f2_ZU</v>
      </c>
    </row>
    <row r="30662" customFormat="false" ht="12.8" hidden="false" customHeight="false" outlineLevel="0" collapsed="false">
      <c r="B30662" s="0" t="s">
        <v>7</v>
      </c>
      <c r="C30662" s="0" t="s">
        <v>11378</v>
      </c>
      <c r="D30662" s="0" t="s">
        <v>9450</v>
      </c>
      <c r="E30662" s="0" t="s">
        <v>9450</v>
      </c>
      <c r="F30662" s="0" t="s">
        <v>9450</v>
      </c>
    </row>
    <row r="30663" customFormat="false" ht="12.8" hidden="false" customHeight="false" outlineLevel="0" collapsed="false">
      <c r="B30663" s="0" t="s">
        <v>11383</v>
      </c>
      <c r="C30663" s="0" t="s">
        <v>11384</v>
      </c>
      <c r="D30663" s="0" t="s">
        <v>9453</v>
      </c>
      <c r="E30663" s="0" t="s">
        <v>9453</v>
      </c>
      <c r="F30663" s="0" t="s">
        <v>9453</v>
      </c>
    </row>
    <row r="30665" customFormat="false" ht="12.8" hidden="false" customHeight="false" outlineLevel="0" collapsed="false">
      <c r="A30665" s="0" t="s">
        <v>11385</v>
      </c>
      <c r="B30665" s="0" t="str">
        <f aca="false">HYPERLINK("https://lindat.mff.cuni.cz/services/teitok/pdtc10/index.php?action=vallex&amp;frame=v-w11742_ZUf1_ZU", "počurat se (v-w11742_ZUf1_ZU)")</f>
        <v>počurat se (v-w11742_ZUf1_ZU)</v>
      </c>
    </row>
    <row r="30666" customFormat="false" ht="12.8" hidden="false" customHeight="false" outlineLevel="0" collapsed="false">
      <c r="B30666" s="0" t="s">
        <v>7</v>
      </c>
    </row>
    <row r="30668" customFormat="false" ht="12.8" hidden="false" customHeight="false" outlineLevel="0" collapsed="false">
      <c r="A30668" s="0" t="s">
        <v>11386</v>
      </c>
      <c r="B30668" s="0" t="str">
        <f aca="false">HYPERLINK("https://lindat.mff.cuni.cz/services/teitok/pdtc10/index.php?action=vallex&amp;frame=v-w3524f1", "počíhat si (v-w3524f1)")</f>
        <v>počíhat si (v-w3524f1)</v>
      </c>
    </row>
    <row r="30669" customFormat="false" ht="12.8" hidden="false" customHeight="false" outlineLevel="0" collapsed="false">
      <c r="B30669" s="0" t="s">
        <v>7</v>
      </c>
    </row>
    <row r="30670" customFormat="false" ht="12.8" hidden="false" customHeight="false" outlineLevel="0" collapsed="false">
      <c r="B30670" s="0" t="s">
        <v>41</v>
      </c>
    </row>
    <row r="30672" customFormat="false" ht="12.8" hidden="false" customHeight="false" outlineLevel="0" collapsed="false">
      <c r="A30672" s="0" t="s">
        <v>11387</v>
      </c>
      <c r="B30672" s="0" t="str">
        <f aca="false">HYPERLINK("https://lindat.mff.cuni.cz/services/teitok/pdtc10/index.php?action=vallex&amp;frame=v-w3526f1", "počínat (v-w3526f1)")</f>
        <v>počínat (v-w3526f1)</v>
      </c>
    </row>
    <row r="30673" customFormat="false" ht="12.8" hidden="false" customHeight="false" outlineLevel="0" collapsed="false">
      <c r="B30673" s="0" t="s">
        <v>265</v>
      </c>
      <c r="C30673" s="0" t="s">
        <v>11388</v>
      </c>
      <c r="D30673" s="0" t="s">
        <v>288</v>
      </c>
      <c r="E30673" s="0" t="s">
        <v>288</v>
      </c>
      <c r="F30673" s="0" t="s">
        <v>288</v>
      </c>
    </row>
    <row r="30675" customFormat="false" ht="12.8" hidden="false" customHeight="false" outlineLevel="0" collapsed="false">
      <c r="A30675" s="0" t="s">
        <v>11389</v>
      </c>
      <c r="B30675" s="0" t="str">
        <f aca="false">HYPERLINK("https://lindat.mff.cuni.cz/services/teitok/pdtc10/index.php?action=vallex&amp;frame=v-whsa_1172hsa_1173", "počínat se (v-whsa_1172hsa_1173)")</f>
        <v>počínat se (v-whsa_1172hsa_1173)</v>
      </c>
    </row>
    <row r="30676" customFormat="false" ht="12.8" hidden="false" customHeight="false" outlineLevel="0" collapsed="false">
      <c r="B30676" s="0" t="s">
        <v>7</v>
      </c>
    </row>
    <row r="30677" customFormat="false" ht="12.8" hidden="false" customHeight="false" outlineLevel="0" collapsed="false">
      <c r="B30677" s="0" t="s">
        <v>712</v>
      </c>
    </row>
    <row r="30679" customFormat="false" ht="12.8" hidden="false" customHeight="false" outlineLevel="0" collapsed="false">
      <c r="A30679" s="0" t="s">
        <v>11390</v>
      </c>
      <c r="B30679" s="0" t="str">
        <f aca="false">HYPERLINK("https://lindat.mff.cuni.cz/services/teitok/pdtc10/index.php?action=vallex&amp;frame=v-w3527f1", "počínat si (v-w3527f1)")</f>
        <v>počínat si (v-w3527f1)</v>
      </c>
    </row>
    <row r="30680" customFormat="false" ht="12.8" hidden="false" customHeight="false" outlineLevel="0" collapsed="false">
      <c r="B30680" s="0" t="s">
        <v>7</v>
      </c>
    </row>
    <row r="30681" customFormat="false" ht="12.8" hidden="false" customHeight="false" outlineLevel="0" collapsed="false">
      <c r="B30681" s="0" t="s">
        <v>552</v>
      </c>
    </row>
    <row r="30682" customFormat="false" ht="12.8" hidden="false" customHeight="false" outlineLevel="0" collapsed="false">
      <c r="B30682" s="0" t="s">
        <v>474</v>
      </c>
    </row>
    <row r="30683" customFormat="false" ht="12.8" hidden="false" customHeight="false" outlineLevel="0" collapsed="false">
      <c r="B30683" s="0" t="s">
        <v>479</v>
      </c>
    </row>
    <row r="30684" customFormat="false" ht="12.8" hidden="false" customHeight="false" outlineLevel="0" collapsed="false">
      <c r="B30684" s="0" t="s">
        <v>481</v>
      </c>
    </row>
    <row r="30685" customFormat="false" ht="12.8" hidden="false" customHeight="false" outlineLevel="0" collapsed="false">
      <c r="B30685" s="0" t="s">
        <v>483</v>
      </c>
    </row>
    <row r="30687" customFormat="false" ht="12.8" hidden="false" customHeight="false" outlineLevel="0" collapsed="false">
      <c r="A30687" s="0" t="s">
        <v>11391</v>
      </c>
      <c r="B30687" s="0" t="str">
        <f aca="false">HYPERLINK("https://lindat.mff.cuni.cz/services/teitok/pdtc10/index.php?action=vallex&amp;frame=v-w3528f1", "počíst si (v-w3528f1)")</f>
        <v>počíst si (v-w3528f1)</v>
      </c>
    </row>
    <row r="30688" customFormat="false" ht="12.8" hidden="false" customHeight="false" outlineLevel="0" collapsed="false">
      <c r="B30688" s="0" t="s">
        <v>7</v>
      </c>
    </row>
    <row r="30689" customFormat="false" ht="12.8" hidden="false" customHeight="false" outlineLevel="0" collapsed="false">
      <c r="B30689" s="0" t="s">
        <v>363</v>
      </c>
    </row>
    <row r="30690" customFormat="false" ht="12.8" hidden="false" customHeight="false" outlineLevel="0" collapsed="false">
      <c r="B30690" s="0" t="s">
        <v>11392</v>
      </c>
    </row>
    <row r="30692" customFormat="false" ht="12.8" hidden="false" customHeight="false" outlineLevel="0" collapsed="false">
      <c r="A30692" s="0" t="s">
        <v>11393</v>
      </c>
      <c r="B30692" s="0" t="str">
        <f aca="false">HYPERLINK("https://lindat.mff.cuni.cz/services/teitok/pdtc10/index.php?action=vallex&amp;frame=v-w3529f1", "počít (v-w3529f1)")</f>
        <v>počít (v-w3529f1)</v>
      </c>
    </row>
    <row r="30693" customFormat="false" ht="12.8" hidden="false" customHeight="false" outlineLevel="0" collapsed="false">
      <c r="B30693" s="0" t="s">
        <v>7</v>
      </c>
    </row>
    <row r="30694" customFormat="false" ht="12.8" hidden="false" customHeight="false" outlineLevel="0" collapsed="false">
      <c r="B30694" s="0" t="s">
        <v>14</v>
      </c>
    </row>
    <row r="30696" customFormat="false" ht="12.8" hidden="false" customHeight="false" outlineLevel="0" collapsed="false">
      <c r="A30696" s="0" t="s">
        <v>11394</v>
      </c>
      <c r="B30696" s="0" t="str">
        <f aca="false">HYPERLINK("https://lindat.mff.cuni.cz/services/teitok/pdtc10/index.php?action=vallex&amp;frame=v-w3529f2_ZU", "počít (v-w3529f2_ZU)")</f>
        <v>počít (v-w3529f2_ZU)</v>
      </c>
    </row>
    <row r="30697" customFormat="false" ht="12.8" hidden="false" customHeight="false" outlineLevel="0" collapsed="false">
      <c r="B30697" s="0" t="s">
        <v>7</v>
      </c>
      <c r="C30697" s="0" t="s">
        <v>11395</v>
      </c>
      <c r="F30697" s="0" t="s">
        <v>3180</v>
      </c>
    </row>
    <row r="30698" customFormat="false" ht="12.8" hidden="false" customHeight="false" outlineLevel="0" collapsed="false">
      <c r="B30698" s="0" t="s">
        <v>712</v>
      </c>
      <c r="C30698" s="0" t="s">
        <v>11396</v>
      </c>
      <c r="F30698" s="0" t="s">
        <v>1522</v>
      </c>
    </row>
    <row r="30700" customFormat="false" ht="12.8" hidden="false" customHeight="false" outlineLevel="0" collapsed="false">
      <c r="A30700" s="0" t="s">
        <v>11397</v>
      </c>
      <c r="B30700" s="0" t="str">
        <f aca="false">HYPERLINK("https://lindat.mff.cuni.cz/services/teitok/pdtc10/index.php?action=vallex&amp;frame=v-w3534f1", "počít si (v-w3534f1)")</f>
        <v>počít si (v-w3534f1)</v>
      </c>
    </row>
    <row r="30701" customFormat="false" ht="12.8" hidden="false" customHeight="false" outlineLevel="0" collapsed="false">
      <c r="B30701" s="0" t="s">
        <v>7</v>
      </c>
    </row>
    <row r="30702" customFormat="false" ht="12.8" hidden="false" customHeight="false" outlineLevel="0" collapsed="false">
      <c r="B30702" s="0" t="s">
        <v>11398</v>
      </c>
    </row>
    <row r="30703" customFormat="false" ht="12.8" hidden="false" customHeight="false" outlineLevel="0" collapsed="false">
      <c r="B30703" s="0" t="s">
        <v>2871</v>
      </c>
    </row>
    <row r="30705" customFormat="false" ht="12.8" hidden="false" customHeight="false" outlineLevel="0" collapsed="false">
      <c r="A30705" s="0" t="s">
        <v>11399</v>
      </c>
      <c r="B30705" s="0" t="str">
        <f aca="false">HYPERLINK("https://lindat.mff.cuni.cz/services/teitok/pdtc10/index.php?action=vallex&amp;frame=v-w3533f4", "počítat (v-w3533f4)")</f>
        <v>počítat (v-w3533f4)</v>
      </c>
    </row>
    <row r="30706" customFormat="false" ht="12.8" hidden="false" customHeight="false" outlineLevel="0" collapsed="false">
      <c r="B30706" s="0" t="s">
        <v>7</v>
      </c>
    </row>
    <row r="30707" customFormat="false" ht="12.8" hidden="false" customHeight="false" outlineLevel="0" collapsed="false">
      <c r="B30707" s="0" t="s">
        <v>14</v>
      </c>
    </row>
    <row r="30708" customFormat="false" ht="12.8" hidden="false" customHeight="false" outlineLevel="0" collapsed="false">
      <c r="B30708" s="0" t="s">
        <v>48</v>
      </c>
    </row>
    <row r="30709" customFormat="false" ht="12.8" hidden="false" customHeight="false" outlineLevel="0" collapsed="false">
      <c r="B30709" s="0" t="s">
        <v>550</v>
      </c>
    </row>
    <row r="30711" customFormat="false" ht="12.8" hidden="false" customHeight="false" outlineLevel="0" collapsed="false">
      <c r="A30711" s="0" t="s">
        <v>11400</v>
      </c>
      <c r="B30711" s="0" t="str">
        <f aca="false">HYPERLINK("https://lindat.mff.cuni.cz/services/teitok/pdtc10/index.php?action=vallex&amp;frame=v-w3533f5", "počítat (v-w3533f5)")</f>
        <v>počítat (v-w3533f5)</v>
      </c>
    </row>
    <row r="30712" customFormat="false" ht="12.8" hidden="false" customHeight="false" outlineLevel="0" collapsed="false">
      <c r="B30712" s="0" t="s">
        <v>7</v>
      </c>
      <c r="C30712" s="0" t="s">
        <v>1332</v>
      </c>
      <c r="D30712" s="0" t="s">
        <v>11401</v>
      </c>
      <c r="E30712" s="0" t="s">
        <v>11401</v>
      </c>
      <c r="F30712" s="0" t="s">
        <v>11401</v>
      </c>
    </row>
    <row r="30713" customFormat="false" ht="12.8" hidden="false" customHeight="false" outlineLevel="0" collapsed="false">
      <c r="B30713" s="0" t="s">
        <v>297</v>
      </c>
      <c r="C30713" s="0" t="s">
        <v>11402</v>
      </c>
      <c r="D30713" s="0" t="s">
        <v>128</v>
      </c>
      <c r="E30713" s="0" t="s">
        <v>128</v>
      </c>
      <c r="F30713" s="0" t="s">
        <v>128</v>
      </c>
    </row>
    <row r="30714" customFormat="false" ht="12.8" hidden="false" customHeight="false" outlineLevel="0" collapsed="false">
      <c r="B30714" s="0" t="s">
        <v>35</v>
      </c>
    </row>
    <row r="30716" customFormat="false" ht="12.8" hidden="false" customHeight="false" outlineLevel="0" collapsed="false">
      <c r="A30716" s="0" t="s">
        <v>11403</v>
      </c>
      <c r="B30716" s="0" t="str">
        <f aca="false">HYPERLINK("https://lindat.mff.cuni.cz/services/teitok/pdtc10/index.php?action=vallex&amp;frame=v-w3533f6", "počítat (v-w3533f6)")</f>
        <v>počítat (v-w3533f6)</v>
      </c>
    </row>
    <row r="30717" customFormat="false" ht="12.8" hidden="false" customHeight="false" outlineLevel="0" collapsed="false">
      <c r="B30717" s="0" t="s">
        <v>7</v>
      </c>
    </row>
    <row r="30718" customFormat="false" ht="12.8" hidden="false" customHeight="false" outlineLevel="0" collapsed="false">
      <c r="B30718" s="0" t="s">
        <v>14</v>
      </c>
    </row>
    <row r="30719" customFormat="false" ht="12.8" hidden="false" customHeight="false" outlineLevel="0" collapsed="false">
      <c r="B30719" s="0" t="s">
        <v>11404</v>
      </c>
    </row>
    <row r="30721" customFormat="false" ht="12.8" hidden="false" customHeight="false" outlineLevel="0" collapsed="false">
      <c r="A30721" s="0" t="s">
        <v>11405</v>
      </c>
      <c r="B30721" s="0" t="str">
        <f aca="false">HYPERLINK("https://lindat.mff.cuni.cz/services/teitok/pdtc10/index.php?action=vallex&amp;frame=v-w3533f7_ZU", "počítat (v-w3533f7_ZU)")</f>
        <v>počítat (v-w3533f7_ZU)</v>
      </c>
    </row>
    <row r="30722" customFormat="false" ht="12.8" hidden="false" customHeight="false" outlineLevel="0" collapsed="false">
      <c r="B30722" s="0" t="s">
        <v>7</v>
      </c>
      <c r="D30722" s="0" t="s">
        <v>1135</v>
      </c>
      <c r="E30722" s="0" t="s">
        <v>1135</v>
      </c>
      <c r="F30722" s="0" t="s">
        <v>1135</v>
      </c>
    </row>
    <row r="30723" customFormat="false" ht="12.8" hidden="false" customHeight="false" outlineLevel="0" collapsed="false">
      <c r="B30723" s="0" t="s">
        <v>14</v>
      </c>
      <c r="C30723" s="0" t="s">
        <v>74</v>
      </c>
      <c r="D30723" s="0" t="s">
        <v>1137</v>
      </c>
      <c r="E30723" s="0" t="s">
        <v>1137</v>
      </c>
      <c r="F30723" s="0" t="s">
        <v>1137</v>
      </c>
    </row>
    <row r="30724" customFormat="false" ht="12.8" hidden="false" customHeight="false" outlineLevel="0" collapsed="false">
      <c r="B30724" s="0" t="s">
        <v>637</v>
      </c>
      <c r="D30724" s="0" t="s">
        <v>1139</v>
      </c>
      <c r="E30724" s="0" t="s">
        <v>1139</v>
      </c>
      <c r="F30724" s="0" t="s">
        <v>1139</v>
      </c>
    </row>
    <row r="30726" customFormat="false" ht="12.8" hidden="false" customHeight="false" outlineLevel="0" collapsed="false">
      <c r="A30726" s="0" t="s">
        <v>11406</v>
      </c>
      <c r="B30726" s="0" t="str">
        <f aca="false">HYPERLINK("https://lindat.mff.cuni.cz/services/teitok/pdtc10/index.php?action=vallex&amp;frame=v-w3533f3", "počítat (v-w3533f3)")</f>
        <v>počítat (v-w3533f3)</v>
      </c>
    </row>
    <row r="30727" customFormat="false" ht="12.8" hidden="false" customHeight="false" outlineLevel="0" collapsed="false">
      <c r="B30727" s="0" t="s">
        <v>7</v>
      </c>
    </row>
    <row r="30728" customFormat="false" ht="12.8" hidden="false" customHeight="false" outlineLevel="0" collapsed="false">
      <c r="B30728" s="0" t="s">
        <v>14</v>
      </c>
    </row>
    <row r="30729" customFormat="false" ht="12.8" hidden="false" customHeight="false" outlineLevel="0" collapsed="false">
      <c r="B30729" s="0" t="s">
        <v>124</v>
      </c>
    </row>
    <row r="30731" customFormat="false" ht="12.8" hidden="false" customHeight="false" outlineLevel="0" collapsed="false">
      <c r="A30731" s="0" t="s">
        <v>11407</v>
      </c>
      <c r="B30731" s="0" t="str">
        <f aca="false">HYPERLINK("https://lindat.mff.cuni.cz/services/teitok/pdtc10/index.php?action=vallex&amp;frame=v-w3533f2", "počítat (v-w3533f2)")</f>
        <v>počítat (v-w3533f2)</v>
      </c>
    </row>
    <row r="30732" customFormat="false" ht="12.8" hidden="false" customHeight="false" outlineLevel="0" collapsed="false">
      <c r="B30732" s="0" t="s">
        <v>7</v>
      </c>
      <c r="C30732" s="0" t="s">
        <v>11408</v>
      </c>
      <c r="D30732" s="0" t="s">
        <v>11401</v>
      </c>
      <c r="E30732" s="0" t="s">
        <v>11401</v>
      </c>
      <c r="F30732" s="0" t="s">
        <v>11401</v>
      </c>
    </row>
    <row r="30733" customFormat="false" ht="12.8" hidden="false" customHeight="false" outlineLevel="0" collapsed="false">
      <c r="B30733" s="0" t="s">
        <v>11409</v>
      </c>
      <c r="C30733" s="0" t="s">
        <v>11410</v>
      </c>
      <c r="D30733" s="0" t="s">
        <v>128</v>
      </c>
      <c r="E30733" s="0" t="s">
        <v>128</v>
      </c>
      <c r="F30733" s="0" t="s">
        <v>128</v>
      </c>
    </row>
    <row r="30735" customFormat="false" ht="12.8" hidden="false" customHeight="false" outlineLevel="0" collapsed="false">
      <c r="A30735" s="0" t="s">
        <v>11411</v>
      </c>
      <c r="B30735" s="0" t="str">
        <f aca="false">HYPERLINK("https://lindat.mff.cuni.cz/services/teitok/pdtc10/index.php?action=vallex&amp;frame=v-w3533f1", "počítat (v-w3533f1)")</f>
        <v>počítat (v-w3533f1)</v>
      </c>
    </row>
    <row r="30736" customFormat="false" ht="12.8" hidden="false" customHeight="false" outlineLevel="0" collapsed="false">
      <c r="B30736" s="0" t="s">
        <v>7</v>
      </c>
      <c r="C30736" s="0" t="s">
        <v>11412</v>
      </c>
      <c r="D30736" s="0" t="s">
        <v>2431</v>
      </c>
      <c r="E30736" s="0" t="s">
        <v>2431</v>
      </c>
      <c r="F30736" s="0" t="s">
        <v>2431</v>
      </c>
    </row>
    <row r="30737" customFormat="false" ht="12.8" hidden="false" customHeight="false" outlineLevel="0" collapsed="false">
      <c r="B30737" s="0" t="s">
        <v>4559</v>
      </c>
      <c r="C30737" s="0" t="s">
        <v>11413</v>
      </c>
      <c r="D30737" s="0" t="s">
        <v>9050</v>
      </c>
      <c r="E30737" s="0" t="s">
        <v>9050</v>
      </c>
      <c r="F30737" s="0" t="s">
        <v>9050</v>
      </c>
    </row>
    <row r="30739" customFormat="false" ht="12.8" hidden="false" customHeight="false" outlineLevel="0" collapsed="false">
      <c r="A30739" s="0" t="s">
        <v>11414</v>
      </c>
      <c r="B30739" s="0" t="str">
        <f aca="false">HYPERLINK("https://lindat.mff.cuni.cz/services/teitok/pdtc10/index.php?action=vallex&amp;frame=v-w3942f1", "pořezat se (v-w3942f1)")</f>
        <v>pořezat se (v-w3942f1)</v>
      </c>
    </row>
    <row r="30740" customFormat="false" ht="12.8" hidden="false" customHeight="false" outlineLevel="0" collapsed="false">
      <c r="B30740" s="0" t="s">
        <v>7</v>
      </c>
    </row>
    <row r="30742" customFormat="false" ht="12.8" hidden="false" customHeight="false" outlineLevel="0" collapsed="false">
      <c r="A30742" s="0" t="s">
        <v>11415</v>
      </c>
      <c r="B30742" s="0" t="str">
        <f aca="false">HYPERLINK("https://lindat.mff.cuni.cz/services/teitok/pdtc10/index.php?action=vallex&amp;frame=v-w3947f6_ZU", "pořizovat (v-w3947f6_ZU)")</f>
        <v>pořizovat (v-w3947f6_ZU)</v>
      </c>
    </row>
    <row r="30743" customFormat="false" ht="12.8" hidden="false" customHeight="false" outlineLevel="0" collapsed="false">
      <c r="B30743" s="0" t="s">
        <v>7</v>
      </c>
    </row>
    <row r="30744" customFormat="false" ht="12.8" hidden="false" customHeight="false" outlineLevel="0" collapsed="false">
      <c r="B30744" s="0" t="s">
        <v>14</v>
      </c>
    </row>
    <row r="30745" customFormat="false" ht="12.8" hidden="false" customHeight="false" outlineLevel="0" collapsed="false">
      <c r="B30745" s="0" t="s">
        <v>1953</v>
      </c>
    </row>
    <row r="30746" customFormat="false" ht="12.8" hidden="false" customHeight="false" outlineLevel="0" collapsed="false">
      <c r="B30746" s="0" t="s">
        <v>441</v>
      </c>
    </row>
    <row r="30748" customFormat="false" ht="12.8" hidden="false" customHeight="false" outlineLevel="0" collapsed="false">
      <c r="A30748" s="0" t="s">
        <v>11415</v>
      </c>
      <c r="B30748" s="0" t="str">
        <f aca="false">HYPERLINK("https://lindat.mff.cuni.cz/services/teitok/pdtc10/index.php?action=vallex&amp;frame=v-w3947f1", "pořizovat (v-w3947f1) - substituted with v-w3947f6_ZU")</f>
        <v>pořizovat (v-w3947f1) - substituted with v-w3947f6_ZU</v>
      </c>
    </row>
    <row r="30749" customFormat="false" ht="12.8" hidden="false" customHeight="false" outlineLevel="0" collapsed="false">
      <c r="B30749" s="0" t="s">
        <v>7</v>
      </c>
      <c r="D30749" s="0" t="s">
        <v>4927</v>
      </c>
      <c r="E30749" s="0" t="s">
        <v>4927</v>
      </c>
      <c r="F30749" s="0" t="s">
        <v>4927</v>
      </c>
    </row>
    <row r="30750" customFormat="false" ht="12.8" hidden="false" customHeight="false" outlineLevel="0" collapsed="false">
      <c r="B30750" s="0" t="s">
        <v>14</v>
      </c>
      <c r="D30750" s="0" t="s">
        <v>4929</v>
      </c>
      <c r="E30750" s="0" t="s">
        <v>4929</v>
      </c>
      <c r="F30750" s="0" t="s">
        <v>4929</v>
      </c>
    </row>
    <row r="30751" customFormat="false" ht="12.8" hidden="false" customHeight="false" outlineLevel="0" collapsed="false">
      <c r="B30751" s="0" t="s">
        <v>1953</v>
      </c>
      <c r="D30751" s="0" t="s">
        <v>4930</v>
      </c>
      <c r="E30751" s="0" t="s">
        <v>4930</v>
      </c>
      <c r="F30751" s="0" t="s">
        <v>4930</v>
      </c>
    </row>
    <row r="30752" customFormat="false" ht="12.8" hidden="false" customHeight="false" outlineLevel="0" collapsed="false">
      <c r="B30752" s="0" t="s">
        <v>441</v>
      </c>
      <c r="D30752" s="0" t="s">
        <v>4932</v>
      </c>
      <c r="E30752" s="0" t="s">
        <v>4932</v>
      </c>
      <c r="F30752" s="0" t="s">
        <v>4932</v>
      </c>
    </row>
    <row r="30754" customFormat="false" ht="12.8" hidden="false" customHeight="false" outlineLevel="0" collapsed="false">
      <c r="A30754" s="0" t="s">
        <v>11415</v>
      </c>
      <c r="B30754" s="0" t="str">
        <f aca="false">HYPERLINK("https://lindat.mff.cuni.cz/services/teitok/pdtc10/index.php?action=vallex&amp;frame=v-w3947f5_ZU", "pořizovat (v-w3947f5_ZU) - substituted with v-w3947f6_ZU")</f>
        <v>pořizovat (v-w3947f5_ZU) - substituted with v-w3947f6_ZU</v>
      </c>
    </row>
    <row r="30755" customFormat="false" ht="12.8" hidden="false" customHeight="false" outlineLevel="0" collapsed="false">
      <c r="B30755" s="0" t="s">
        <v>7</v>
      </c>
    </row>
    <row r="30756" customFormat="false" ht="12.8" hidden="false" customHeight="false" outlineLevel="0" collapsed="false">
      <c r="B30756" s="0" t="s">
        <v>14</v>
      </c>
    </row>
    <row r="30757" customFormat="false" ht="12.8" hidden="false" customHeight="false" outlineLevel="0" collapsed="false">
      <c r="B30757" s="0" t="s">
        <v>1953</v>
      </c>
    </row>
    <row r="30758" customFormat="false" ht="12.8" hidden="false" customHeight="false" outlineLevel="0" collapsed="false">
      <c r="B30758" s="0" t="s">
        <v>441</v>
      </c>
    </row>
    <row r="30760" customFormat="false" ht="12.8" hidden="false" customHeight="false" outlineLevel="0" collapsed="false">
      <c r="A30760" s="0" t="s">
        <v>11416</v>
      </c>
      <c r="B30760" s="0" t="str">
        <f aca="false">HYPERLINK("https://lindat.mff.cuni.cz/services/teitok/pdtc10/index.php?action=vallex&amp;frame=v-w3947f4_ZU", "pořizovat (v-w3947f4_ZU)")</f>
        <v>pořizovat (v-w3947f4_ZU)</v>
      </c>
    </row>
    <row r="30761" customFormat="false" ht="12.8" hidden="false" customHeight="false" outlineLevel="0" collapsed="false">
      <c r="B30761" s="0" t="s">
        <v>7</v>
      </c>
    </row>
    <row r="30762" customFormat="false" ht="12.8" hidden="false" customHeight="false" outlineLevel="0" collapsed="false">
      <c r="B30762" s="0" t="s">
        <v>11417</v>
      </c>
    </row>
    <row r="30764" customFormat="false" ht="12.8" hidden="false" customHeight="false" outlineLevel="0" collapsed="false">
      <c r="A30764" s="0" t="s">
        <v>11416</v>
      </c>
      <c r="B30764" s="0" t="str">
        <f aca="false">HYPERLINK("https://lindat.mff.cuni.cz/services/teitok/pdtc10/index.php?action=vallex&amp;frame=v-w3947f2", "pořizovat (v-w3947f2) - substituted with v-w3947f4_ZU")</f>
        <v>pořizovat (v-w3947f2) - substituted with v-w3947f4_ZU</v>
      </c>
    </row>
    <row r="30765" customFormat="false" ht="12.8" hidden="false" customHeight="false" outlineLevel="0" collapsed="false">
      <c r="B30765" s="0" t="s">
        <v>7</v>
      </c>
    </row>
    <row r="30766" customFormat="false" ht="12.8" hidden="false" customHeight="false" outlineLevel="0" collapsed="false">
      <c r="B30766" s="0" t="s">
        <v>11417</v>
      </c>
    </row>
    <row r="30768" customFormat="false" ht="12.8" hidden="false" customHeight="false" outlineLevel="0" collapsed="false">
      <c r="A30768" s="0" t="s">
        <v>11416</v>
      </c>
      <c r="B30768" s="0" t="str">
        <f aca="false">HYPERLINK("https://lindat.mff.cuni.cz/services/teitok/pdtc10/index.php?action=vallex&amp;frame=v-w3947hsa_1858", "pořizovat (v-w3947hsa_1858) - substituted with v-w3947f4_ZU")</f>
        <v>pořizovat (v-w3947hsa_1858) - substituted with v-w3947f4_ZU</v>
      </c>
    </row>
    <row r="30769" customFormat="false" ht="12.8" hidden="false" customHeight="false" outlineLevel="0" collapsed="false">
      <c r="B30769" s="0" t="s">
        <v>7</v>
      </c>
    </row>
    <row r="30770" customFormat="false" ht="12.8" hidden="false" customHeight="false" outlineLevel="0" collapsed="false">
      <c r="B30770" s="0" t="s">
        <v>11417</v>
      </c>
    </row>
    <row r="30772" customFormat="false" ht="12.8" hidden="false" customHeight="false" outlineLevel="0" collapsed="false">
      <c r="A30772" s="0" t="s">
        <v>11416</v>
      </c>
      <c r="B30772" s="0" t="str">
        <f aca="false">HYPERLINK("https://lindat.mff.cuni.cz/services/teitok/pdtc10/index.php?action=vallex&amp;frame=v-w3947hsa_991", "pořizovat (v-w3947hsa_991) - substituted with v-w3947f4_ZU")</f>
        <v>pořizovat (v-w3947hsa_991) - substituted with v-w3947f4_ZU</v>
      </c>
    </row>
    <row r="30773" customFormat="false" ht="12.8" hidden="false" customHeight="false" outlineLevel="0" collapsed="false">
      <c r="B30773" s="0" t="s">
        <v>7</v>
      </c>
      <c r="C30773" s="0" t="s">
        <v>11418</v>
      </c>
      <c r="D30773" s="0" t="s">
        <v>4799</v>
      </c>
      <c r="E30773" s="0" t="s">
        <v>4799</v>
      </c>
      <c r="F30773" s="0" t="s">
        <v>4799</v>
      </c>
    </row>
    <row r="30774" customFormat="false" ht="12.8" hidden="false" customHeight="false" outlineLevel="0" collapsed="false">
      <c r="B30774" s="0" t="s">
        <v>11417</v>
      </c>
      <c r="C30774" s="0" t="s">
        <v>11419</v>
      </c>
      <c r="D30774" s="0" t="s">
        <v>11420</v>
      </c>
      <c r="E30774" s="0" t="s">
        <v>11420</v>
      </c>
      <c r="F30774" s="0" t="s">
        <v>11420</v>
      </c>
    </row>
    <row r="30776" customFormat="false" ht="12.8" hidden="false" customHeight="false" outlineLevel="0" collapsed="false">
      <c r="A30776" s="0" t="s">
        <v>11421</v>
      </c>
      <c r="B30776" s="0" t="str">
        <f aca="false">HYPERLINK("https://lindat.mff.cuni.cz/services/teitok/pdtc10/index.php?action=vallex&amp;frame=v-w3947f3_ZU", "pořizovat (v-w3947f3_ZU)")</f>
        <v>pořizovat (v-w3947f3_ZU)</v>
      </c>
    </row>
    <row r="30777" customFormat="false" ht="12.8" hidden="false" customHeight="false" outlineLevel="0" collapsed="false">
      <c r="B30777" s="0" t="s">
        <v>7</v>
      </c>
    </row>
    <row r="30778" customFormat="false" ht="12.8" hidden="false" customHeight="false" outlineLevel="0" collapsed="false">
      <c r="B30778" s="0" t="s">
        <v>14</v>
      </c>
    </row>
    <row r="30780" customFormat="false" ht="12.8" hidden="false" customHeight="false" outlineLevel="0" collapsed="false">
      <c r="A30780" s="0" t="s">
        <v>11422</v>
      </c>
      <c r="B30780" s="0" t="str">
        <f aca="false">HYPERLINK("https://lindat.mff.cuni.cz/services/teitok/pdtc10/index.php?action=vallex&amp;frame=v-w3936f1", "pořádat (v-w3936f1)")</f>
        <v>pořádat (v-w3936f1)</v>
      </c>
    </row>
    <row r="30781" customFormat="false" ht="12.8" hidden="false" customHeight="false" outlineLevel="0" collapsed="false">
      <c r="B30781" s="0" t="s">
        <v>7</v>
      </c>
      <c r="C30781" s="0" t="s">
        <v>11423</v>
      </c>
      <c r="D30781" s="0" t="s">
        <v>11424</v>
      </c>
      <c r="E30781" s="0" t="s">
        <v>11424</v>
      </c>
      <c r="F30781" s="0" t="s">
        <v>11424</v>
      </c>
    </row>
    <row r="30782" customFormat="false" ht="12.8" hidden="false" customHeight="false" outlineLevel="0" collapsed="false">
      <c r="B30782" s="0" t="s">
        <v>14</v>
      </c>
      <c r="C30782" s="0" t="s">
        <v>11425</v>
      </c>
      <c r="D30782" s="0" t="s">
        <v>11426</v>
      </c>
      <c r="E30782" s="0" t="s">
        <v>11426</v>
      </c>
      <c r="F30782" s="0" t="s">
        <v>11426</v>
      </c>
    </row>
    <row r="30784" customFormat="false" ht="12.8" hidden="false" customHeight="false" outlineLevel="0" collapsed="false">
      <c r="A30784" s="0" t="s">
        <v>11427</v>
      </c>
      <c r="B30784" s="0" t="str">
        <f aca="false">HYPERLINK("https://lindat.mff.cuni.cz/services/teitok/pdtc10/index.php?action=vallex&amp;frame=v-w3943f13_ZU", "pořídit (v-w3943f13_ZU)")</f>
        <v>pořídit (v-w3943f13_ZU)</v>
      </c>
    </row>
    <row r="30785" customFormat="false" ht="12.8" hidden="false" customHeight="false" outlineLevel="0" collapsed="false">
      <c r="B30785" s="0" t="s">
        <v>7</v>
      </c>
    </row>
    <row r="30786" customFormat="false" ht="12.8" hidden="false" customHeight="false" outlineLevel="0" collapsed="false">
      <c r="B30786" s="0" t="s">
        <v>14</v>
      </c>
    </row>
    <row r="30787" customFormat="false" ht="12.8" hidden="false" customHeight="false" outlineLevel="0" collapsed="false">
      <c r="B30787" s="0" t="s">
        <v>1953</v>
      </c>
    </row>
    <row r="30788" customFormat="false" ht="12.8" hidden="false" customHeight="false" outlineLevel="0" collapsed="false">
      <c r="B30788" s="0" t="s">
        <v>1349</v>
      </c>
    </row>
    <row r="30790" customFormat="false" ht="12.8" hidden="false" customHeight="false" outlineLevel="0" collapsed="false">
      <c r="A30790" s="0" t="s">
        <v>11427</v>
      </c>
      <c r="B30790" s="0" t="str">
        <f aca="false">HYPERLINK("https://lindat.mff.cuni.cz/services/teitok/pdtc10/index.php?action=vallex&amp;frame=v-w3943f1", "pořídit (v-w3943f1) - substituted with v-w3943f13_ZU")</f>
        <v>pořídit (v-w3943f1) - substituted with v-w3943f13_ZU</v>
      </c>
    </row>
    <row r="30791" customFormat="false" ht="12.8" hidden="false" customHeight="false" outlineLevel="0" collapsed="false">
      <c r="B30791" s="0" t="s">
        <v>7</v>
      </c>
      <c r="C30791" s="0" t="s">
        <v>11428</v>
      </c>
      <c r="D30791" s="0" t="s">
        <v>4927</v>
      </c>
      <c r="E30791" s="0" t="s">
        <v>4927</v>
      </c>
      <c r="F30791" s="0" t="s">
        <v>4927</v>
      </c>
    </row>
    <row r="30792" customFormat="false" ht="12.8" hidden="false" customHeight="false" outlineLevel="0" collapsed="false">
      <c r="B30792" s="0" t="s">
        <v>14</v>
      </c>
      <c r="C30792" s="0" t="s">
        <v>11429</v>
      </c>
      <c r="D30792" s="0" t="s">
        <v>4929</v>
      </c>
      <c r="E30792" s="0" t="s">
        <v>4929</v>
      </c>
      <c r="F30792" s="0" t="s">
        <v>4929</v>
      </c>
    </row>
    <row r="30793" customFormat="false" ht="12.8" hidden="false" customHeight="false" outlineLevel="0" collapsed="false">
      <c r="B30793" s="0" t="s">
        <v>1953</v>
      </c>
      <c r="C30793" s="0" t="s">
        <v>11430</v>
      </c>
      <c r="D30793" s="0" t="s">
        <v>4930</v>
      </c>
      <c r="E30793" s="0" t="s">
        <v>4930</v>
      </c>
      <c r="F30793" s="0" t="s">
        <v>4930</v>
      </c>
    </row>
    <row r="30794" customFormat="false" ht="12.8" hidden="false" customHeight="false" outlineLevel="0" collapsed="false">
      <c r="B30794" s="0" t="s">
        <v>1349</v>
      </c>
      <c r="C30794" s="0" t="s">
        <v>11431</v>
      </c>
      <c r="D30794" s="0" t="s">
        <v>4932</v>
      </c>
      <c r="E30794" s="0" t="s">
        <v>4932</v>
      </c>
      <c r="F30794" s="0" t="s">
        <v>4932</v>
      </c>
    </row>
    <row r="30796" customFormat="false" ht="12.8" hidden="false" customHeight="false" outlineLevel="0" collapsed="false">
      <c r="A30796" s="0" t="s">
        <v>11427</v>
      </c>
      <c r="B30796" s="0" t="str">
        <f aca="false">HYPERLINK("https://lindat.mff.cuni.cz/services/teitok/pdtc10/index.php?action=vallex&amp;frame=v-w3943f8_ZU", "pořídit (v-w3943f8_ZU) - substituted with v-w3943f13_ZU")</f>
        <v>pořídit (v-w3943f8_ZU) - substituted with v-w3943f13_ZU</v>
      </c>
    </row>
    <row r="30797" customFormat="false" ht="12.8" hidden="false" customHeight="false" outlineLevel="0" collapsed="false">
      <c r="B30797" s="0" t="s">
        <v>7</v>
      </c>
    </row>
    <row r="30798" customFormat="false" ht="12.8" hidden="false" customHeight="false" outlineLevel="0" collapsed="false">
      <c r="B30798" s="0" t="s">
        <v>14</v>
      </c>
    </row>
    <row r="30799" customFormat="false" ht="12.8" hidden="false" customHeight="false" outlineLevel="0" collapsed="false">
      <c r="B30799" s="0" t="s">
        <v>1953</v>
      </c>
    </row>
    <row r="30800" customFormat="false" ht="12.8" hidden="false" customHeight="false" outlineLevel="0" collapsed="false">
      <c r="B30800" s="0" t="s">
        <v>1349</v>
      </c>
    </row>
    <row r="30802" customFormat="false" ht="12.8" hidden="false" customHeight="false" outlineLevel="0" collapsed="false">
      <c r="A30802" s="0" t="s">
        <v>11427</v>
      </c>
      <c r="B30802" s="0" t="str">
        <f aca="false">HYPERLINK("https://lindat.mff.cuni.cz/services/teitok/pdtc10/index.php?action=vallex&amp;frame=v-w3943f9_ZU", "pořídit (v-w3943f9_ZU) - substituted with v-w3943f13_ZU")</f>
        <v>pořídit (v-w3943f9_ZU) - substituted with v-w3943f13_ZU</v>
      </c>
    </row>
    <row r="30803" customFormat="false" ht="12.8" hidden="false" customHeight="false" outlineLevel="0" collapsed="false">
      <c r="B30803" s="0" t="s">
        <v>7</v>
      </c>
    </row>
    <row r="30804" customFormat="false" ht="12.8" hidden="false" customHeight="false" outlineLevel="0" collapsed="false">
      <c r="B30804" s="0" t="s">
        <v>14</v>
      </c>
    </row>
    <row r="30805" customFormat="false" ht="12.8" hidden="false" customHeight="false" outlineLevel="0" collapsed="false">
      <c r="B30805" s="0" t="s">
        <v>1953</v>
      </c>
    </row>
    <row r="30806" customFormat="false" ht="12.8" hidden="false" customHeight="false" outlineLevel="0" collapsed="false">
      <c r="B30806" s="0" t="s">
        <v>1349</v>
      </c>
    </row>
    <row r="30808" customFormat="false" ht="12.8" hidden="false" customHeight="false" outlineLevel="0" collapsed="false">
      <c r="A30808" s="0" t="s">
        <v>11432</v>
      </c>
      <c r="B30808" s="0" t="str">
        <f aca="false">HYPERLINK("https://lindat.mff.cuni.cz/services/teitok/pdtc10/index.php?action=vallex&amp;frame=v-w3943f2", "pořídit (v-w3943f2)")</f>
        <v>pořídit (v-w3943f2)</v>
      </c>
    </row>
    <row r="30809" customFormat="false" ht="12.8" hidden="false" customHeight="false" outlineLevel="0" collapsed="false">
      <c r="B30809" s="0" t="s">
        <v>7</v>
      </c>
      <c r="C30809" s="0" t="s">
        <v>410</v>
      </c>
      <c r="D30809" s="0" t="s">
        <v>749</v>
      </c>
      <c r="E30809" s="0" t="s">
        <v>749</v>
      </c>
      <c r="F30809" s="0" t="s">
        <v>749</v>
      </c>
    </row>
    <row r="30810" customFormat="false" ht="12.8" hidden="false" customHeight="false" outlineLevel="0" collapsed="false">
      <c r="B30810" s="0" t="s">
        <v>552</v>
      </c>
      <c r="D30810" s="0" t="s">
        <v>11433</v>
      </c>
      <c r="E30810" s="0" t="s">
        <v>11433</v>
      </c>
      <c r="F30810" s="0" t="s">
        <v>11433</v>
      </c>
    </row>
    <row r="30811" customFormat="false" ht="12.8" hidden="false" customHeight="false" outlineLevel="0" collapsed="false">
      <c r="B30811" s="0" t="s">
        <v>474</v>
      </c>
      <c r="C30811" s="0" t="s">
        <v>3452</v>
      </c>
      <c r="D30811" s="0" t="s">
        <v>752</v>
      </c>
      <c r="E30811" s="0" t="s">
        <v>752</v>
      </c>
      <c r="F30811" s="0" t="s">
        <v>752</v>
      </c>
    </row>
    <row r="30812" customFormat="false" ht="12.8" hidden="false" customHeight="false" outlineLevel="0" collapsed="false">
      <c r="B30812" s="0" t="s">
        <v>477</v>
      </c>
      <c r="D30812" s="0" t="s">
        <v>11434</v>
      </c>
      <c r="E30812" s="0" t="s">
        <v>11434</v>
      </c>
      <c r="F30812" s="0" t="s">
        <v>11434</v>
      </c>
    </row>
    <row r="30813" customFormat="false" ht="12.8" hidden="false" customHeight="false" outlineLevel="0" collapsed="false">
      <c r="B30813" s="0" t="s">
        <v>479</v>
      </c>
      <c r="D30813" s="0" t="s">
        <v>11435</v>
      </c>
      <c r="E30813" s="0" t="s">
        <v>11435</v>
      </c>
      <c r="F30813" s="0" t="s">
        <v>11435</v>
      </c>
    </row>
    <row r="30814" customFormat="false" ht="12.8" hidden="false" customHeight="false" outlineLevel="0" collapsed="false">
      <c r="B30814" s="0" t="s">
        <v>481</v>
      </c>
      <c r="D30814" s="0" t="s">
        <v>11436</v>
      </c>
      <c r="E30814" s="0" t="s">
        <v>11436</v>
      </c>
      <c r="F30814" s="0" t="s">
        <v>11436</v>
      </c>
    </row>
    <row r="30815" customFormat="false" ht="12.8" hidden="false" customHeight="false" outlineLevel="0" collapsed="false">
      <c r="B30815" s="0" t="s">
        <v>483</v>
      </c>
      <c r="D30815" s="0" t="s">
        <v>11437</v>
      </c>
      <c r="E30815" s="0" t="s">
        <v>11437</v>
      </c>
      <c r="F30815" s="0" t="s">
        <v>11437</v>
      </c>
    </row>
    <row r="30817" customFormat="false" ht="12.8" hidden="false" customHeight="false" outlineLevel="0" collapsed="false">
      <c r="A30817" s="0" t="s">
        <v>11438</v>
      </c>
      <c r="B30817" s="0" t="str">
        <f aca="false">HYPERLINK("https://lindat.mff.cuni.cz/services/teitok/pdtc10/index.php?action=vallex&amp;frame=v-w3943f12_ZU", "pořídit (v-w3943f12_ZU)")</f>
        <v>pořídit (v-w3943f12_ZU)</v>
      </c>
    </row>
    <row r="30818" customFormat="false" ht="12.8" hidden="false" customHeight="false" outlineLevel="0" collapsed="false">
      <c r="B30818" s="0" t="s">
        <v>7</v>
      </c>
    </row>
    <row r="30819" customFormat="false" ht="12.8" hidden="false" customHeight="false" outlineLevel="0" collapsed="false">
      <c r="B30819" s="0" t="s">
        <v>11439</v>
      </c>
    </row>
    <row r="30821" customFormat="false" ht="12.8" hidden="false" customHeight="false" outlineLevel="0" collapsed="false">
      <c r="A30821" s="0" t="s">
        <v>11438</v>
      </c>
      <c r="B30821" s="0" t="str">
        <f aca="false">HYPERLINK("https://lindat.mff.cuni.cz/services/teitok/pdtc10/index.php?action=vallex&amp;frame=v-w3943f10_ZU", "pořídit (v-w3943f10_ZU) - substituted with v-w3943f12_ZU")</f>
        <v>pořídit (v-w3943f10_ZU) - substituted with v-w3943f12_ZU</v>
      </c>
    </row>
    <row r="30822" customFormat="false" ht="12.8" hidden="false" customHeight="false" outlineLevel="0" collapsed="false">
      <c r="B30822" s="0" t="s">
        <v>7</v>
      </c>
    </row>
    <row r="30823" customFormat="false" ht="12.8" hidden="false" customHeight="false" outlineLevel="0" collapsed="false">
      <c r="B30823" s="0" t="s">
        <v>11439</v>
      </c>
    </row>
    <row r="30825" customFormat="false" ht="12.8" hidden="false" customHeight="false" outlineLevel="0" collapsed="false">
      <c r="A30825" s="0" t="s">
        <v>11438</v>
      </c>
      <c r="B30825" s="0" t="str">
        <f aca="false">HYPERLINK("https://lindat.mff.cuni.cz/services/teitok/pdtc10/index.php?action=vallex&amp;frame=v-w3943f11_ZU", "pořídit (v-w3943f11_ZU) - substituted with v-w3943f12_ZU")</f>
        <v>pořídit (v-w3943f11_ZU) - substituted with v-w3943f12_ZU</v>
      </c>
    </row>
    <row r="30826" customFormat="false" ht="12.8" hidden="false" customHeight="false" outlineLevel="0" collapsed="false">
      <c r="B30826" s="0" t="s">
        <v>7</v>
      </c>
    </row>
    <row r="30827" customFormat="false" ht="12.8" hidden="false" customHeight="false" outlineLevel="0" collapsed="false">
      <c r="B30827" s="0" t="s">
        <v>11439</v>
      </c>
    </row>
    <row r="30829" customFormat="false" ht="12.8" hidden="false" customHeight="false" outlineLevel="0" collapsed="false">
      <c r="A30829" s="0" t="s">
        <v>11438</v>
      </c>
      <c r="B30829" s="0" t="str">
        <f aca="false">HYPERLINK("https://lindat.mff.cuni.cz/services/teitok/pdtc10/index.php?action=vallex&amp;frame=v-w3943f3", "pořídit (v-w3943f3) - substituted with v-w3943f12_ZU")</f>
        <v>pořídit (v-w3943f3) - substituted with v-w3943f12_ZU</v>
      </c>
    </row>
    <row r="30830" customFormat="false" ht="12.8" hidden="false" customHeight="false" outlineLevel="0" collapsed="false">
      <c r="B30830" s="0" t="s">
        <v>7</v>
      </c>
      <c r="D30830" s="0" t="s">
        <v>4799</v>
      </c>
      <c r="E30830" s="0" t="s">
        <v>4799</v>
      </c>
      <c r="F30830" s="0" t="s">
        <v>4799</v>
      </c>
    </row>
    <row r="30831" customFormat="false" ht="12.8" hidden="false" customHeight="false" outlineLevel="0" collapsed="false">
      <c r="B30831" s="0" t="s">
        <v>11439</v>
      </c>
      <c r="D30831" s="0" t="s">
        <v>11420</v>
      </c>
      <c r="E30831" s="0" t="s">
        <v>11420</v>
      </c>
      <c r="F30831" s="0" t="s">
        <v>11420</v>
      </c>
    </row>
    <row r="30833" customFormat="false" ht="12.8" hidden="false" customHeight="false" outlineLevel="0" collapsed="false">
      <c r="A30833" s="0" t="s">
        <v>11438</v>
      </c>
      <c r="B30833" s="0" t="str">
        <f aca="false">HYPERLINK("https://lindat.mff.cuni.cz/services/teitok/pdtc10/index.php?action=vallex&amp;frame=v-w3943f4_ZU", "pořídit (v-w3943f4_ZU) - substituted with v-w3943f12_ZU")</f>
        <v>pořídit (v-w3943f4_ZU) - substituted with v-w3943f12_ZU</v>
      </c>
    </row>
    <row r="30834" customFormat="false" ht="12.8" hidden="false" customHeight="false" outlineLevel="0" collapsed="false">
      <c r="B30834" s="0" t="s">
        <v>7</v>
      </c>
    </row>
    <row r="30835" customFormat="false" ht="12.8" hidden="false" customHeight="false" outlineLevel="0" collapsed="false">
      <c r="B30835" s="0" t="s">
        <v>11439</v>
      </c>
    </row>
    <row r="30837" customFormat="false" ht="12.8" hidden="false" customHeight="false" outlineLevel="0" collapsed="false">
      <c r="A30837" s="0" t="s">
        <v>11438</v>
      </c>
      <c r="B30837" s="0" t="str">
        <f aca="false">HYPERLINK("https://lindat.mff.cuni.cz/services/teitok/pdtc10/index.php?action=vallex&amp;frame=v-w3943f6_ZU", "pořídit (v-w3943f6_ZU) - substituted with v-w3943f12_ZU")</f>
        <v>pořídit (v-w3943f6_ZU) - substituted with v-w3943f12_ZU</v>
      </c>
    </row>
    <row r="30838" customFormat="false" ht="12.8" hidden="false" customHeight="false" outlineLevel="0" collapsed="false">
      <c r="B30838" s="0" t="s">
        <v>7</v>
      </c>
    </row>
    <row r="30839" customFormat="false" ht="12.8" hidden="false" customHeight="false" outlineLevel="0" collapsed="false">
      <c r="B30839" s="0" t="s">
        <v>11439</v>
      </c>
    </row>
    <row r="30841" customFormat="false" ht="12.8" hidden="false" customHeight="false" outlineLevel="0" collapsed="false">
      <c r="A30841" s="0" t="s">
        <v>11438</v>
      </c>
      <c r="B30841" s="0" t="str">
        <f aca="false">HYPERLINK("https://lindat.mff.cuni.cz/services/teitok/pdtc10/index.php?action=vallex&amp;frame=v-w3943hsa_933", "pořídit (v-w3943hsa_933) - substituted with v-w3943f12_ZU")</f>
        <v>pořídit (v-w3943hsa_933) - substituted with v-w3943f12_ZU</v>
      </c>
    </row>
    <row r="30842" customFormat="false" ht="12.8" hidden="false" customHeight="false" outlineLevel="0" collapsed="false">
      <c r="B30842" s="0" t="s">
        <v>7</v>
      </c>
    </row>
    <row r="30843" customFormat="false" ht="12.8" hidden="false" customHeight="false" outlineLevel="0" collapsed="false">
      <c r="B30843" s="0" t="s">
        <v>11439</v>
      </c>
    </row>
    <row r="30845" customFormat="false" ht="12.8" hidden="false" customHeight="false" outlineLevel="0" collapsed="false">
      <c r="A30845" s="0" t="s">
        <v>11440</v>
      </c>
      <c r="B30845" s="0" t="str">
        <f aca="false">HYPERLINK("https://lindat.mff.cuni.cz/services/teitok/pdtc10/index.php?action=vallex&amp;frame=v-w3943f5_ZU", "pořídit (v-w3943f5_ZU)")</f>
        <v>pořídit (v-w3943f5_ZU)</v>
      </c>
    </row>
    <row r="30846" customFormat="false" ht="12.8" hidden="false" customHeight="false" outlineLevel="0" collapsed="false">
      <c r="B30846" s="0" t="s">
        <v>7</v>
      </c>
    </row>
    <row r="30847" customFormat="false" ht="12.8" hidden="false" customHeight="false" outlineLevel="0" collapsed="false">
      <c r="B30847" s="0" t="s">
        <v>14</v>
      </c>
    </row>
    <row r="30848" customFormat="false" ht="12.8" hidden="false" customHeight="false" outlineLevel="0" collapsed="false">
      <c r="B30848" s="0" t="s">
        <v>2767</v>
      </c>
    </row>
    <row r="30850" customFormat="false" ht="12.8" hidden="false" customHeight="false" outlineLevel="0" collapsed="false">
      <c r="A30850" s="0" t="s">
        <v>11441</v>
      </c>
      <c r="B30850" s="0" t="str">
        <f aca="false">HYPERLINK("https://lindat.mff.cuni.cz/services/teitok/pdtc10/index.php?action=vallex&amp;frame=v-w3943f7_ZU", "pořídit (v-w3943f7_ZU)")</f>
        <v>pořídit (v-w3943f7_ZU)</v>
      </c>
    </row>
    <row r="30851" customFormat="false" ht="12.8" hidden="false" customHeight="false" outlineLevel="0" collapsed="false">
      <c r="B30851" s="0" t="s">
        <v>7</v>
      </c>
    </row>
    <row r="30852" customFormat="false" ht="12.8" hidden="false" customHeight="false" outlineLevel="0" collapsed="false">
      <c r="B30852" s="0" t="s">
        <v>14</v>
      </c>
    </row>
    <row r="30854" customFormat="false" ht="12.8" hidden="false" customHeight="false" outlineLevel="0" collapsed="false">
      <c r="A30854" s="0" t="s">
        <v>11442</v>
      </c>
      <c r="B30854" s="0" t="str">
        <f aca="false">HYPERLINK("https://lindat.mff.cuni.cz/services/teitok/pdtc10/index.php?action=vallex&amp;frame=v-w12362_MMf1_MM", "pošeptat (v-w12362_MMf1_MM)")</f>
        <v>pošeptat (v-w12362_MMf1_MM)</v>
      </c>
    </row>
    <row r="30855" customFormat="false" ht="12.8" hidden="false" customHeight="false" outlineLevel="0" collapsed="false">
      <c r="B30855" s="0" t="s">
        <v>7</v>
      </c>
    </row>
    <row r="30856" customFormat="false" ht="12.8" hidden="false" customHeight="false" outlineLevel="0" collapsed="false">
      <c r="B30856" s="0" t="s">
        <v>48</v>
      </c>
    </row>
    <row r="30857" customFormat="false" ht="12.8" hidden="false" customHeight="false" outlineLevel="0" collapsed="false">
      <c r="B30857" s="0" t="s">
        <v>11443</v>
      </c>
    </row>
    <row r="30858" customFormat="false" ht="12.8" hidden="false" customHeight="false" outlineLevel="0" collapsed="false">
      <c r="B30858" s="0" t="s">
        <v>363</v>
      </c>
    </row>
    <row r="30860" customFormat="false" ht="12.8" hidden="false" customHeight="false" outlineLevel="0" collapsed="false">
      <c r="A30860" s="0" t="s">
        <v>11444</v>
      </c>
      <c r="B30860" s="0" t="str">
        <f aca="false">HYPERLINK("https://lindat.mff.cuni.cz/services/teitok/pdtc10/index.php?action=vallex&amp;frame=v-w4047f1", "poškodit (v-w4047f1)")</f>
        <v>poškodit (v-w4047f1)</v>
      </c>
    </row>
    <row r="30861" customFormat="false" ht="12.8" hidden="false" customHeight="false" outlineLevel="0" collapsed="false">
      <c r="B30861" s="0" t="s">
        <v>7</v>
      </c>
      <c r="C30861" s="0" t="s">
        <v>11445</v>
      </c>
      <c r="D30861" s="0" t="s">
        <v>10061</v>
      </c>
      <c r="E30861" s="0" t="s">
        <v>10061</v>
      </c>
      <c r="F30861" s="0" t="s">
        <v>10928</v>
      </c>
    </row>
    <row r="30862" customFormat="false" ht="12.8" hidden="false" customHeight="false" outlineLevel="0" collapsed="false">
      <c r="B30862" s="0" t="s">
        <v>14</v>
      </c>
      <c r="C30862" s="0" t="s">
        <v>11446</v>
      </c>
      <c r="D30862" s="0" t="s">
        <v>10062</v>
      </c>
      <c r="E30862" s="0" t="s">
        <v>10062</v>
      </c>
      <c r="F30862" s="0" t="s">
        <v>10930</v>
      </c>
    </row>
    <row r="30864" customFormat="false" ht="12.8" hidden="false" customHeight="false" outlineLevel="0" collapsed="false">
      <c r="A30864" s="0" t="s">
        <v>11447</v>
      </c>
      <c r="B30864" s="0" t="str">
        <f aca="false">HYPERLINK("https://lindat.mff.cuni.cz/services/teitok/pdtc10/index.php?action=vallex&amp;frame=v-w11685_ZUf1_ZU", "poškorpit se (v-w11685_ZUf1_ZU)")</f>
        <v>poškorpit se (v-w11685_ZUf1_ZU)</v>
      </c>
    </row>
    <row r="30865" customFormat="false" ht="12.8" hidden="false" customHeight="false" outlineLevel="0" collapsed="false">
      <c r="B30865" s="0" t="s">
        <v>7</v>
      </c>
    </row>
    <row r="30866" customFormat="false" ht="12.8" hidden="false" customHeight="false" outlineLevel="0" collapsed="false">
      <c r="B30866" s="0" t="s">
        <v>207</v>
      </c>
    </row>
    <row r="30867" customFormat="false" ht="12.8" hidden="false" customHeight="false" outlineLevel="0" collapsed="false">
      <c r="B30867" s="0" t="s">
        <v>11448</v>
      </c>
    </row>
    <row r="30869" customFormat="false" ht="12.8" hidden="false" customHeight="false" outlineLevel="0" collapsed="false">
      <c r="A30869" s="0" t="s">
        <v>11449</v>
      </c>
      <c r="B30869" s="0" t="str">
        <f aca="false">HYPERLINK("https://lindat.mff.cuni.cz/services/teitok/pdtc10/index.php?action=vallex&amp;frame=v-w4051f1", "poškozovat (v-w4051f1)")</f>
        <v>poškozovat (v-w4051f1)</v>
      </c>
    </row>
    <row r="30870" customFormat="false" ht="12.8" hidden="false" customHeight="false" outlineLevel="0" collapsed="false">
      <c r="B30870" s="0" t="s">
        <v>7</v>
      </c>
      <c r="C30870" s="0" t="s">
        <v>11450</v>
      </c>
      <c r="D30870" s="0" t="s">
        <v>10061</v>
      </c>
      <c r="E30870" s="0" t="s">
        <v>10061</v>
      </c>
      <c r="F30870" s="0" t="s">
        <v>10928</v>
      </c>
    </row>
    <row r="30871" customFormat="false" ht="12.8" hidden="false" customHeight="false" outlineLevel="0" collapsed="false">
      <c r="B30871" s="0" t="s">
        <v>14</v>
      </c>
      <c r="C30871" s="0" t="s">
        <v>11451</v>
      </c>
      <c r="D30871" s="0" t="s">
        <v>10062</v>
      </c>
      <c r="E30871" s="0" t="s">
        <v>10062</v>
      </c>
      <c r="F30871" s="0" t="s">
        <v>10930</v>
      </c>
    </row>
    <row r="30873" customFormat="false" ht="12.8" hidden="false" customHeight="false" outlineLevel="0" collapsed="false">
      <c r="A30873" s="0" t="s">
        <v>11452</v>
      </c>
      <c r="B30873" s="0" t="str">
        <f aca="false">HYPERLINK("https://lindat.mff.cuni.cz/services/teitok/pdtc10/index.php?action=vallex&amp;frame=v-w4053f1", "poškrábat (v-w4053f1)")</f>
        <v>poškrábat (v-w4053f1)</v>
      </c>
    </row>
    <row r="30874" customFormat="false" ht="12.8" hidden="false" customHeight="false" outlineLevel="0" collapsed="false">
      <c r="B30874" s="0" t="s">
        <v>7</v>
      </c>
    </row>
    <row r="30875" customFormat="false" ht="12.8" hidden="false" customHeight="false" outlineLevel="0" collapsed="false">
      <c r="B30875" s="0" t="s">
        <v>14</v>
      </c>
    </row>
    <row r="30877" customFormat="false" ht="12.8" hidden="false" customHeight="false" outlineLevel="0" collapsed="false">
      <c r="A30877" s="0" t="s">
        <v>11453</v>
      </c>
      <c r="B30877" s="0" t="str">
        <f aca="false">HYPERLINK("https://lindat.mff.cuni.cz/services/teitok/pdtc10/index.php?action=vallex&amp;frame=v-w4056f1", "pošlapávat (v-w4056f1)")</f>
        <v>pošlapávat (v-w4056f1)</v>
      </c>
    </row>
    <row r="30878" customFormat="false" ht="12.8" hidden="false" customHeight="false" outlineLevel="0" collapsed="false">
      <c r="B30878" s="0" t="s">
        <v>7</v>
      </c>
    </row>
    <row r="30879" customFormat="false" ht="12.8" hidden="false" customHeight="false" outlineLevel="0" collapsed="false">
      <c r="B30879" s="0" t="s">
        <v>14</v>
      </c>
    </row>
    <row r="30881" customFormat="false" ht="12.8" hidden="false" customHeight="false" outlineLevel="0" collapsed="false">
      <c r="A30881" s="0" t="s">
        <v>11454</v>
      </c>
      <c r="B30881" s="0" t="str">
        <f aca="false">HYPERLINK("https://lindat.mff.cuni.cz/services/teitok/pdtc10/index.php?action=vallex&amp;frame=v-w10172f2", "pošpinit (v-w10172f2)")</f>
        <v>pošpinit (v-w10172f2)</v>
      </c>
    </row>
    <row r="30882" customFormat="false" ht="12.8" hidden="false" customHeight="false" outlineLevel="0" collapsed="false">
      <c r="B30882" s="0" t="s">
        <v>7</v>
      </c>
      <c r="C30882" s="0" t="s">
        <v>335</v>
      </c>
      <c r="D30882" s="0" t="s">
        <v>11455</v>
      </c>
      <c r="E30882" s="0" t="s">
        <v>11455</v>
      </c>
      <c r="F30882" s="0" t="s">
        <v>11455</v>
      </c>
    </row>
    <row r="30883" customFormat="false" ht="12.8" hidden="false" customHeight="false" outlineLevel="0" collapsed="false">
      <c r="B30883" s="0" t="s">
        <v>14</v>
      </c>
      <c r="C30883" s="0" t="s">
        <v>115</v>
      </c>
      <c r="D30883" s="0" t="s">
        <v>11456</v>
      </c>
      <c r="E30883" s="0" t="s">
        <v>11456</v>
      </c>
      <c r="F30883" s="0" t="s">
        <v>11456</v>
      </c>
    </row>
    <row r="30885" customFormat="false" ht="12.8" hidden="false" customHeight="false" outlineLevel="0" collapsed="false">
      <c r="A30885" s="0" t="s">
        <v>11457</v>
      </c>
      <c r="B30885" s="0" t="str">
        <f aca="false">HYPERLINK("https://lindat.mff.cuni.cz/services/teitok/pdtc10/index.php?action=vallex&amp;frame=v-w4058f1", "pošramotit (v-w4058f1)")</f>
        <v>pošramotit (v-w4058f1)</v>
      </c>
    </row>
    <row r="30886" customFormat="false" ht="12.8" hidden="false" customHeight="false" outlineLevel="0" collapsed="false">
      <c r="B30886" s="0" t="s">
        <v>7</v>
      </c>
      <c r="C30886" s="0" t="s">
        <v>1580</v>
      </c>
      <c r="D30886" s="0" t="s">
        <v>11458</v>
      </c>
      <c r="E30886" s="0" t="s">
        <v>11458</v>
      </c>
      <c r="F30886" s="0" t="s">
        <v>11458</v>
      </c>
    </row>
    <row r="30887" customFormat="false" ht="12.8" hidden="false" customHeight="false" outlineLevel="0" collapsed="false">
      <c r="B30887" s="0" t="s">
        <v>14</v>
      </c>
      <c r="C30887" s="0" t="s">
        <v>384</v>
      </c>
      <c r="D30887" s="0" t="s">
        <v>11459</v>
      </c>
      <c r="E30887" s="0" t="s">
        <v>11459</v>
      </c>
      <c r="F30887" s="0" t="s">
        <v>11459</v>
      </c>
    </row>
    <row r="30889" customFormat="false" ht="12.8" hidden="false" customHeight="false" outlineLevel="0" collapsed="false">
      <c r="A30889" s="0" t="s">
        <v>11460</v>
      </c>
      <c r="B30889" s="0" t="str">
        <f aca="false">HYPERLINK("https://lindat.mff.cuni.cz/services/teitok/pdtc10/index.php?action=vallex&amp;frame=v-w4061f2_ZU", "poštvat (v-w4061f2_ZU)")</f>
        <v>poštvat (v-w4061f2_ZU)</v>
      </c>
    </row>
    <row r="30890" customFormat="false" ht="12.8" hidden="false" customHeight="false" outlineLevel="0" collapsed="false">
      <c r="B30890" s="0" t="s">
        <v>7</v>
      </c>
    </row>
    <row r="30891" customFormat="false" ht="12.8" hidden="false" customHeight="false" outlineLevel="0" collapsed="false">
      <c r="B30891" s="0" t="s">
        <v>11461</v>
      </c>
    </row>
    <row r="30892" customFormat="false" ht="12.8" hidden="false" customHeight="false" outlineLevel="0" collapsed="false">
      <c r="B30892" s="0" t="s">
        <v>81</v>
      </c>
    </row>
    <row r="30894" customFormat="false" ht="12.8" hidden="false" customHeight="false" outlineLevel="0" collapsed="false">
      <c r="A30894" s="0" t="s">
        <v>11460</v>
      </c>
      <c r="B30894" s="0" t="str">
        <f aca="false">HYPERLINK("https://lindat.mff.cuni.cz/services/teitok/pdtc10/index.php?action=vallex&amp;frame=v-w4061f1", "poštvat (v-w4061f1) - substituted with v-w4061f2_ZU")</f>
        <v>poštvat (v-w4061f1) - substituted with v-w4061f2_ZU</v>
      </c>
    </row>
    <row r="30895" customFormat="false" ht="12.8" hidden="false" customHeight="false" outlineLevel="0" collapsed="false">
      <c r="B30895" s="0" t="s">
        <v>7</v>
      </c>
      <c r="C30895" s="0" t="s">
        <v>191</v>
      </c>
      <c r="D30895" s="0" t="s">
        <v>191</v>
      </c>
      <c r="E30895" s="0" t="s">
        <v>191</v>
      </c>
      <c r="F30895" s="0" t="s">
        <v>191</v>
      </c>
    </row>
    <row r="30896" customFormat="false" ht="12.8" hidden="false" customHeight="false" outlineLevel="0" collapsed="false">
      <c r="B30896" s="0" t="s">
        <v>11461</v>
      </c>
      <c r="C30896" s="0" t="s">
        <v>1544</v>
      </c>
      <c r="D30896" s="0" t="s">
        <v>1544</v>
      </c>
      <c r="E30896" s="0" t="s">
        <v>1544</v>
      </c>
      <c r="F30896" s="0" t="s">
        <v>1544</v>
      </c>
    </row>
    <row r="30897" customFormat="false" ht="12.8" hidden="false" customHeight="false" outlineLevel="0" collapsed="false">
      <c r="B30897" s="0" t="s">
        <v>81</v>
      </c>
      <c r="C30897" s="0" t="s">
        <v>3323</v>
      </c>
      <c r="D30897" s="0" t="s">
        <v>3323</v>
      </c>
      <c r="E30897" s="0" t="s">
        <v>3323</v>
      </c>
      <c r="F30897" s="0" t="s">
        <v>3323</v>
      </c>
    </row>
    <row r="30899" customFormat="false" ht="12.8" hidden="false" customHeight="false" outlineLevel="0" collapsed="false">
      <c r="A30899" s="0" t="s">
        <v>11462</v>
      </c>
      <c r="B30899" s="0" t="str">
        <f aca="false">HYPERLINK("https://lindat.mff.cuni.cz/services/teitok/pdtc10/index.php?action=vallex&amp;frame=v-w10938f2", "poštvávat (v-w10938f2)")</f>
        <v>poštvávat (v-w10938f2)</v>
      </c>
    </row>
    <row r="30900" customFormat="false" ht="12.8" hidden="false" customHeight="false" outlineLevel="0" collapsed="false">
      <c r="B30900" s="0" t="s">
        <v>7</v>
      </c>
      <c r="C30900" s="0" t="s">
        <v>191</v>
      </c>
      <c r="D30900" s="0" t="s">
        <v>191</v>
      </c>
      <c r="E30900" s="0" t="s">
        <v>191</v>
      </c>
      <c r="F30900" s="0" t="s">
        <v>191</v>
      </c>
    </row>
    <row r="30901" customFormat="false" ht="12.8" hidden="false" customHeight="false" outlineLevel="0" collapsed="false">
      <c r="B30901" s="0" t="s">
        <v>4406</v>
      </c>
      <c r="C30901" s="0" t="s">
        <v>1544</v>
      </c>
      <c r="D30901" s="0" t="s">
        <v>1544</v>
      </c>
      <c r="E30901" s="0" t="s">
        <v>1544</v>
      </c>
      <c r="F30901" s="0" t="s">
        <v>1544</v>
      </c>
    </row>
    <row r="30902" customFormat="false" ht="12.8" hidden="false" customHeight="false" outlineLevel="0" collapsed="false">
      <c r="B30902" s="0" t="s">
        <v>81</v>
      </c>
      <c r="C30902" s="0" t="s">
        <v>3323</v>
      </c>
      <c r="D30902" s="0" t="s">
        <v>3323</v>
      </c>
      <c r="E30902" s="0" t="s">
        <v>3323</v>
      </c>
      <c r="F30902" s="0" t="s">
        <v>3323</v>
      </c>
    </row>
    <row r="30904" customFormat="false" ht="12.8" hidden="false" customHeight="false" outlineLevel="0" collapsed="false">
      <c r="A30904" s="0" t="s">
        <v>11463</v>
      </c>
      <c r="B30904" s="0" t="str">
        <f aca="false">HYPERLINK("https://lindat.mff.cuni.cz/services/teitok/pdtc10/index.php?action=vallex&amp;frame=v-whsa_1102hsa_1103", "poštípat (v-whsa_1102hsa_1103)")</f>
        <v>poštípat (v-whsa_1102hsa_1103)</v>
      </c>
    </row>
    <row r="30905" customFormat="false" ht="12.8" hidden="false" customHeight="false" outlineLevel="0" collapsed="false">
      <c r="B30905" s="0" t="s">
        <v>7</v>
      </c>
    </row>
    <row r="30906" customFormat="false" ht="12.8" hidden="false" customHeight="false" outlineLevel="0" collapsed="false">
      <c r="B30906" s="0" t="s">
        <v>14</v>
      </c>
    </row>
    <row r="30908" customFormat="false" ht="12.8" hidden="false" customHeight="false" outlineLevel="0" collapsed="false">
      <c r="A30908" s="0" t="s">
        <v>11464</v>
      </c>
      <c r="B30908" s="0" t="str">
        <f aca="false">HYPERLINK("https://lindat.mff.cuni.cz/services/teitok/pdtc10/index.php?action=vallex&amp;frame=v-w4060f1", "poštěstit se (v-w4060f1)")</f>
        <v>poštěstit se (v-w4060f1)</v>
      </c>
    </row>
    <row r="30909" customFormat="false" ht="12.8" hidden="false" customHeight="false" outlineLevel="0" collapsed="false">
      <c r="B30909" s="0" t="s">
        <v>603</v>
      </c>
    </row>
    <row r="30910" customFormat="false" ht="12.8" hidden="false" customHeight="false" outlineLevel="0" collapsed="false">
      <c r="B30910" s="0" t="s">
        <v>9897</v>
      </c>
    </row>
    <row r="30912" customFormat="false" ht="12.8" hidden="false" customHeight="false" outlineLevel="0" collapsed="false">
      <c r="A30912" s="0" t="s">
        <v>11465</v>
      </c>
      <c r="B30912" s="0" t="str">
        <f aca="false">HYPERLINK("https://lindat.mff.cuni.cz/services/teitok/pdtc10/index.php?action=vallex&amp;frame=v-w10477f2", "pošupovat (v-w10477f2)")</f>
        <v>pošupovat (v-w10477f2)</v>
      </c>
    </row>
    <row r="30913" customFormat="false" ht="12.8" hidden="false" customHeight="false" outlineLevel="0" collapsed="false">
      <c r="B30913" s="0" t="s">
        <v>7</v>
      </c>
    </row>
    <row r="30914" customFormat="false" ht="12.8" hidden="false" customHeight="false" outlineLevel="0" collapsed="false">
      <c r="B30914" s="0" t="s">
        <v>216</v>
      </c>
    </row>
    <row r="30916" customFormat="false" ht="12.8" hidden="false" customHeight="false" outlineLevel="0" collapsed="false">
      <c r="A30916" s="0" t="s">
        <v>11466</v>
      </c>
      <c r="B30916" s="0" t="str">
        <f aca="false">HYPERLINK("https://lindat.mff.cuni.cz/services/teitok/pdtc10/index.php?action=vallex&amp;frame=v-w4062f1", "pošušňávat si (v-w4062f1)")</f>
        <v>pošušňávat si (v-w4062f1)</v>
      </c>
    </row>
    <row r="30917" customFormat="false" ht="12.8" hidden="false" customHeight="false" outlineLevel="0" collapsed="false">
      <c r="B30917" s="0" t="s">
        <v>7</v>
      </c>
    </row>
    <row r="30918" customFormat="false" ht="12.8" hidden="false" customHeight="false" outlineLevel="0" collapsed="false">
      <c r="B30918" s="0" t="s">
        <v>3200</v>
      </c>
    </row>
    <row r="30920" customFormat="false" ht="12.8" hidden="false" customHeight="false" outlineLevel="0" collapsed="false">
      <c r="A30920" s="0" t="s">
        <v>11467</v>
      </c>
      <c r="B30920" s="0" t="str">
        <f aca="false">HYPERLINK("https://lindat.mff.cuni.cz/services/teitok/pdtc10/index.php?action=vallex&amp;frame=v-whsb_288hsa_289", "pošťuchovat se (v-whsb_288hsa_289)")</f>
        <v>pošťuchovat se (v-whsb_288hsa_289)</v>
      </c>
    </row>
    <row r="30921" customFormat="false" ht="12.8" hidden="false" customHeight="false" outlineLevel="0" collapsed="false">
      <c r="B30921" s="0" t="s">
        <v>7</v>
      </c>
    </row>
    <row r="30922" customFormat="false" ht="12.8" hidden="false" customHeight="false" outlineLevel="0" collapsed="false">
      <c r="B30922" s="0" t="s">
        <v>548</v>
      </c>
    </row>
    <row r="30924" customFormat="false" ht="12.8" hidden="false" customHeight="false" outlineLevel="0" collapsed="false">
      <c r="A30924" s="0" t="s">
        <v>11468</v>
      </c>
      <c r="B30924" s="0" t="str">
        <f aca="false">HYPERLINK("https://lindat.mff.cuni.cz/services/teitok/pdtc10/index.php?action=vallex&amp;frame=v-w4230f1", "požadovat (v-w4230f1)")</f>
        <v>požadovat (v-w4230f1)</v>
      </c>
    </row>
    <row r="30925" customFormat="false" ht="12.8" hidden="false" customHeight="false" outlineLevel="0" collapsed="false">
      <c r="B30925" s="0" t="s">
        <v>7</v>
      </c>
      <c r="C30925" s="0" t="s">
        <v>11469</v>
      </c>
      <c r="D30925" s="0" t="s">
        <v>11470</v>
      </c>
      <c r="E30925" s="0" t="s">
        <v>11470</v>
      </c>
      <c r="F30925" s="0" t="s">
        <v>11470</v>
      </c>
    </row>
    <row r="30926" customFormat="false" ht="12.8" hidden="false" customHeight="false" outlineLevel="0" collapsed="false">
      <c r="B30926" s="0" t="s">
        <v>11471</v>
      </c>
      <c r="C30926" s="0" t="s">
        <v>11472</v>
      </c>
      <c r="D30926" s="0" t="s">
        <v>11473</v>
      </c>
      <c r="E30926" s="0" t="s">
        <v>11473</v>
      </c>
      <c r="F30926" s="0" t="s">
        <v>11473</v>
      </c>
    </row>
    <row r="30927" customFormat="false" ht="12.8" hidden="false" customHeight="false" outlineLevel="0" collapsed="false">
      <c r="B30927" s="0" t="s">
        <v>11474</v>
      </c>
      <c r="C30927" s="0" t="s">
        <v>11475</v>
      </c>
      <c r="D30927" s="0" t="s">
        <v>1249</v>
      </c>
      <c r="E30927" s="0" t="s">
        <v>1249</v>
      </c>
      <c r="F30927" s="0" t="s">
        <v>1249</v>
      </c>
    </row>
    <row r="30929" customFormat="false" ht="12.8" hidden="false" customHeight="false" outlineLevel="0" collapsed="false">
      <c r="A30929" s="0" t="s">
        <v>11476</v>
      </c>
      <c r="B30929" s="0" t="str">
        <f aca="false">HYPERLINK("https://lindat.mff.cuni.cz/services/teitok/pdtc10/index.php?action=vallex&amp;frame=v-w4234f1", "požehnat (v-w4234f1)")</f>
        <v>požehnat (v-w4234f1)</v>
      </c>
    </row>
    <row r="30930" customFormat="false" ht="12.8" hidden="false" customHeight="false" outlineLevel="0" collapsed="false">
      <c r="B30930" s="0" t="s">
        <v>7</v>
      </c>
    </row>
    <row r="30931" customFormat="false" ht="12.8" hidden="false" customHeight="false" outlineLevel="0" collapsed="false">
      <c r="B30931" s="0" t="s">
        <v>142</v>
      </c>
    </row>
    <row r="30933" customFormat="false" ht="12.8" hidden="false" customHeight="false" outlineLevel="0" collapsed="false">
      <c r="A30933" s="0" t="s">
        <v>11477</v>
      </c>
      <c r="B30933" s="0" t="str">
        <f aca="false">HYPERLINK("https://lindat.mff.cuni.cz/services/teitok/pdtc10/index.php?action=vallex&amp;frame=v-w4234f2", "požehnat (v-w4234f2)")</f>
        <v>požehnat (v-w4234f2)</v>
      </c>
    </row>
    <row r="30934" customFormat="false" ht="12.8" hidden="false" customHeight="false" outlineLevel="0" collapsed="false">
      <c r="B30934" s="0" t="s">
        <v>7</v>
      </c>
    </row>
    <row r="30935" customFormat="false" ht="12.8" hidden="false" customHeight="false" outlineLevel="0" collapsed="false">
      <c r="B30935" s="0" t="s">
        <v>14</v>
      </c>
    </row>
    <row r="30937" customFormat="false" ht="12.8" hidden="false" customHeight="false" outlineLevel="0" collapsed="false">
      <c r="A30937" s="0" t="s">
        <v>11478</v>
      </c>
      <c r="B30937" s="0" t="str">
        <f aca="false">HYPERLINK("https://lindat.mff.cuni.cz/services/teitok/pdtc10/index.php?action=vallex&amp;frame=v-w4227hsa_121", "požádat (v-w4227hsa_121)")</f>
        <v>požádat (v-w4227hsa_121)</v>
      </c>
    </row>
    <row r="30938" customFormat="false" ht="12.8" hidden="false" customHeight="false" outlineLevel="0" collapsed="false">
      <c r="B30938" s="0" t="s">
        <v>7</v>
      </c>
    </row>
    <row r="30939" customFormat="false" ht="12.8" hidden="false" customHeight="false" outlineLevel="0" collapsed="false">
      <c r="B30939" s="0" t="s">
        <v>11479</v>
      </c>
    </row>
    <row r="30940" customFormat="false" ht="12.8" hidden="false" customHeight="false" outlineLevel="0" collapsed="false">
      <c r="B30940" s="0" t="s">
        <v>81</v>
      </c>
    </row>
    <row r="30942" customFormat="false" ht="12.8" hidden="false" customHeight="false" outlineLevel="0" collapsed="false">
      <c r="A30942" s="0" t="s">
        <v>11478</v>
      </c>
      <c r="B30942" s="0" t="str">
        <f aca="false">HYPERLINK("https://lindat.mff.cuni.cz/services/teitok/pdtc10/index.php?action=vallex&amp;frame=v-w4227f1", "požádat (v-w4227f1) - substituted with v-w4227hsa_121")</f>
        <v>požádat (v-w4227f1) - substituted with v-w4227hsa_121</v>
      </c>
    </row>
    <row r="30943" customFormat="false" ht="12.8" hidden="false" customHeight="false" outlineLevel="0" collapsed="false">
      <c r="B30943" s="0" t="s">
        <v>7</v>
      </c>
      <c r="C30943" s="0" t="s">
        <v>11480</v>
      </c>
      <c r="D30943" s="0" t="s">
        <v>1243</v>
      </c>
      <c r="E30943" s="0" t="s">
        <v>1243</v>
      </c>
      <c r="F30943" s="0" t="s">
        <v>1243</v>
      </c>
    </row>
    <row r="30944" customFormat="false" ht="12.8" hidden="false" customHeight="false" outlineLevel="0" collapsed="false">
      <c r="B30944" s="0" t="s">
        <v>11479</v>
      </c>
      <c r="C30944" s="0" t="s">
        <v>11481</v>
      </c>
      <c r="D30944" s="0" t="s">
        <v>1246</v>
      </c>
      <c r="E30944" s="0" t="s">
        <v>1246</v>
      </c>
      <c r="F30944" s="0" t="s">
        <v>1246</v>
      </c>
    </row>
    <row r="30945" customFormat="false" ht="12.8" hidden="false" customHeight="false" outlineLevel="0" collapsed="false">
      <c r="B30945" s="0" t="s">
        <v>81</v>
      </c>
      <c r="C30945" s="0" t="s">
        <v>11482</v>
      </c>
      <c r="D30945" s="0" t="s">
        <v>11483</v>
      </c>
      <c r="E30945" s="0" t="s">
        <v>11483</v>
      </c>
      <c r="F30945" s="0" t="s">
        <v>11483</v>
      </c>
    </row>
    <row r="30947" customFormat="false" ht="12.8" hidden="false" customHeight="false" outlineLevel="0" collapsed="false">
      <c r="A30947" s="0" t="s">
        <v>11484</v>
      </c>
      <c r="B30947" s="0" t="str">
        <f aca="false">HYPERLINK("https://lindat.mff.cuni.cz/services/teitok/pdtc10/index.php?action=vallex&amp;frame=v-w4235f1", "požírat (v-w4235f1)")</f>
        <v>požírat (v-w4235f1)</v>
      </c>
    </row>
    <row r="30948" customFormat="false" ht="12.8" hidden="false" customHeight="false" outlineLevel="0" collapsed="false">
      <c r="B30948" s="0" t="s">
        <v>7</v>
      </c>
    </row>
    <row r="30949" customFormat="false" ht="12.8" hidden="false" customHeight="false" outlineLevel="0" collapsed="false">
      <c r="B30949" s="0" t="s">
        <v>14</v>
      </c>
    </row>
    <row r="30951" customFormat="false" ht="12.8" hidden="false" customHeight="false" outlineLevel="0" collapsed="false">
      <c r="A30951" s="0" t="s">
        <v>11485</v>
      </c>
      <c r="B30951" s="0" t="str">
        <f aca="false">HYPERLINK("https://lindat.mff.cuni.cz/services/teitok/pdtc10/index.php?action=vallex&amp;frame=v-w4235f2", "požírat (v-w4235f2)")</f>
        <v>požírat (v-w4235f2)</v>
      </c>
    </row>
    <row r="30952" customFormat="false" ht="12.8" hidden="false" customHeight="false" outlineLevel="0" collapsed="false">
      <c r="B30952" s="0" t="s">
        <v>7</v>
      </c>
    </row>
    <row r="30953" customFormat="false" ht="12.8" hidden="false" customHeight="false" outlineLevel="0" collapsed="false">
      <c r="B30953" s="0" t="s">
        <v>14</v>
      </c>
    </row>
    <row r="30955" customFormat="false" ht="12.8" hidden="false" customHeight="false" outlineLevel="0" collapsed="false">
      <c r="A30955" s="0" t="s">
        <v>11486</v>
      </c>
      <c r="B30955" s="0" t="str">
        <f aca="false">HYPERLINK("https://lindat.mff.cuni.cz/services/teitok/pdtc10/index.php?action=vallex&amp;frame=v-w4236f1", "požít (v-w4236f1)")</f>
        <v>požít (v-w4236f1)</v>
      </c>
    </row>
    <row r="30956" customFormat="false" ht="12.8" hidden="false" customHeight="false" outlineLevel="0" collapsed="false">
      <c r="B30956" s="0" t="s">
        <v>7</v>
      </c>
    </row>
    <row r="30957" customFormat="false" ht="12.8" hidden="false" customHeight="false" outlineLevel="0" collapsed="false">
      <c r="B30957" s="0" t="s">
        <v>14</v>
      </c>
    </row>
    <row r="30959" customFormat="false" ht="12.8" hidden="false" customHeight="false" outlineLevel="0" collapsed="false">
      <c r="A30959" s="0" t="s">
        <v>11487</v>
      </c>
      <c r="B30959" s="0" t="str">
        <f aca="false">HYPERLINK("https://lindat.mff.cuni.cz/services/teitok/pdtc10/index.php?action=vallex&amp;frame=v-w4240f1", "požívat (v-w4240f1)")</f>
        <v>požívat (v-w4240f1)</v>
      </c>
    </row>
    <row r="30960" customFormat="false" ht="12.8" hidden="false" customHeight="false" outlineLevel="0" collapsed="false">
      <c r="B30960" s="0" t="s">
        <v>7</v>
      </c>
      <c r="C30960" s="0" t="s">
        <v>3944</v>
      </c>
    </row>
    <row r="30961" customFormat="false" ht="12.8" hidden="false" customHeight="false" outlineLevel="0" collapsed="false">
      <c r="B30961" s="0" t="s">
        <v>1145</v>
      </c>
      <c r="C30961" s="0" t="s">
        <v>312</v>
      </c>
    </row>
    <row r="30963" customFormat="false" ht="12.8" hidden="false" customHeight="false" outlineLevel="0" collapsed="false">
      <c r="A30963" s="0" t="s">
        <v>11488</v>
      </c>
      <c r="B30963" s="0" t="str">
        <f aca="false">HYPERLINK("https://lindat.mff.cuni.cz/services/teitok/pdtc10/index.php?action=vallex&amp;frame=v-w4240f2_ZU", "požívat (v-w4240f2_ZU)")</f>
        <v>požívat (v-w4240f2_ZU)</v>
      </c>
    </row>
    <row r="30964" customFormat="false" ht="12.8" hidden="false" customHeight="false" outlineLevel="0" collapsed="false">
      <c r="B30964" s="0" t="s">
        <v>7</v>
      </c>
      <c r="C30964" s="0" t="s">
        <v>1226</v>
      </c>
    </row>
    <row r="30965" customFormat="false" ht="12.8" hidden="false" customHeight="false" outlineLevel="0" collapsed="false">
      <c r="B30965" s="0" t="s">
        <v>14</v>
      </c>
      <c r="C30965" s="0" t="s">
        <v>3860</v>
      </c>
    </row>
    <row r="30967" customFormat="false" ht="12.8" hidden="false" customHeight="false" outlineLevel="0" collapsed="false">
      <c r="A30967" s="0" t="s">
        <v>11489</v>
      </c>
      <c r="B30967" s="0" t="str">
        <f aca="false">HYPERLINK("https://lindat.mff.cuni.cz/services/teitok/pdtc10/index.php?action=vallex&amp;frame=v-w4243f3", "pracovat (v-w4243f3)")</f>
        <v>pracovat (v-w4243f3)</v>
      </c>
    </row>
    <row r="30968" customFormat="false" ht="12.8" hidden="false" customHeight="false" outlineLevel="0" collapsed="false">
      <c r="B30968" s="0" t="s">
        <v>7</v>
      </c>
      <c r="C30968" s="0" t="s">
        <v>11490</v>
      </c>
      <c r="D30968" s="0" t="s">
        <v>11491</v>
      </c>
      <c r="E30968" s="0" t="s">
        <v>11491</v>
      </c>
      <c r="F30968" s="0" t="s">
        <v>11491</v>
      </c>
    </row>
    <row r="30969" customFormat="false" ht="12.8" hidden="false" customHeight="false" outlineLevel="0" collapsed="false">
      <c r="B30969" s="0" t="s">
        <v>220</v>
      </c>
      <c r="C30969" s="0" t="s">
        <v>11492</v>
      </c>
      <c r="D30969" s="0" t="s">
        <v>11493</v>
      </c>
      <c r="E30969" s="0" t="s">
        <v>11493</v>
      </c>
      <c r="F30969" s="0" t="s">
        <v>11493</v>
      </c>
    </row>
    <row r="30971" customFormat="false" ht="12.8" hidden="false" customHeight="false" outlineLevel="0" collapsed="false">
      <c r="A30971" s="0" t="s">
        <v>11494</v>
      </c>
      <c r="B30971" s="0" t="str">
        <f aca="false">HYPERLINK("https://lindat.mff.cuni.cz/services/teitok/pdtc10/index.php?action=vallex&amp;frame=v-w4243f5", "pracovat (v-w4243f5)")</f>
        <v>pracovat (v-w4243f5)</v>
      </c>
    </row>
    <row r="30972" customFormat="false" ht="12.8" hidden="false" customHeight="false" outlineLevel="0" collapsed="false">
      <c r="B30972" s="0" t="s">
        <v>7</v>
      </c>
      <c r="C30972" s="0" t="s">
        <v>11495</v>
      </c>
      <c r="D30972" s="0" t="s">
        <v>8943</v>
      </c>
      <c r="E30972" s="0" t="s">
        <v>8943</v>
      </c>
      <c r="F30972" s="0" t="s">
        <v>8943</v>
      </c>
    </row>
    <row r="30973" customFormat="false" ht="12.8" hidden="false" customHeight="false" outlineLevel="0" collapsed="false">
      <c r="B30973" s="0" t="s">
        <v>548</v>
      </c>
      <c r="C30973" s="0" t="s">
        <v>11496</v>
      </c>
      <c r="D30973" s="0" t="s">
        <v>8944</v>
      </c>
      <c r="E30973" s="0" t="s">
        <v>8944</v>
      </c>
      <c r="F30973" s="0" t="s">
        <v>8944</v>
      </c>
    </row>
    <row r="30975" customFormat="false" ht="12.8" hidden="false" customHeight="false" outlineLevel="0" collapsed="false">
      <c r="A30975" s="0" t="s">
        <v>11497</v>
      </c>
      <c r="B30975" s="0" t="str">
        <f aca="false">HYPERLINK("https://lindat.mff.cuni.cz/services/teitok/pdtc10/index.php?action=vallex&amp;frame=v-w4243f6", "pracovat (v-w4243f6)")</f>
        <v>pracovat (v-w4243f6)</v>
      </c>
    </row>
    <row r="30976" customFormat="false" ht="12.8" hidden="false" customHeight="false" outlineLevel="0" collapsed="false">
      <c r="B30976" s="0" t="s">
        <v>7</v>
      </c>
      <c r="C30976" s="0" t="s">
        <v>11498</v>
      </c>
      <c r="D30976" s="0" t="s">
        <v>8943</v>
      </c>
      <c r="E30976" s="0" t="s">
        <v>8943</v>
      </c>
      <c r="F30976" s="0" t="s">
        <v>8943</v>
      </c>
    </row>
    <row r="30977" customFormat="false" ht="12.8" hidden="false" customHeight="false" outlineLevel="0" collapsed="false">
      <c r="B30977" s="0" t="s">
        <v>548</v>
      </c>
      <c r="C30977" s="0" t="s">
        <v>11499</v>
      </c>
      <c r="D30977" s="0" t="s">
        <v>8944</v>
      </c>
      <c r="E30977" s="0" t="s">
        <v>8944</v>
      </c>
      <c r="F30977" s="0" t="s">
        <v>8944</v>
      </c>
    </row>
    <row r="30979" customFormat="false" ht="12.8" hidden="false" customHeight="false" outlineLevel="0" collapsed="false">
      <c r="A30979" s="0" t="s">
        <v>11500</v>
      </c>
      <c r="B30979" s="0" t="str">
        <f aca="false">HYPERLINK("https://lindat.mff.cuni.cz/services/teitok/pdtc10/index.php?action=vallex&amp;frame=v-w4243f7_ZU", "pracovat (v-w4243f7_ZU)")</f>
        <v>pracovat (v-w4243f7_ZU)</v>
      </c>
    </row>
    <row r="30980" customFormat="false" ht="12.8" hidden="false" customHeight="false" outlineLevel="0" collapsed="false">
      <c r="B30980" s="0" t="s">
        <v>7</v>
      </c>
    </row>
    <row r="30982" customFormat="false" ht="12.8" hidden="false" customHeight="false" outlineLevel="0" collapsed="false">
      <c r="A30982" s="0" t="s">
        <v>11500</v>
      </c>
      <c r="B30982" s="0" t="str">
        <f aca="false">HYPERLINK("https://lindat.mff.cuni.cz/services/teitok/pdtc10/index.php?action=vallex&amp;frame=v-w4243f1", "pracovat (v-w4243f1) - substituted with v-w4243f7_ZU")</f>
        <v>pracovat (v-w4243f1) - substituted with v-w4243f7_ZU</v>
      </c>
    </row>
    <row r="30983" customFormat="false" ht="12.8" hidden="false" customHeight="false" outlineLevel="0" collapsed="false">
      <c r="B30983" s="0" t="s">
        <v>7</v>
      </c>
      <c r="C30983" s="0" t="s">
        <v>11501</v>
      </c>
      <c r="D30983" s="0" t="s">
        <v>11502</v>
      </c>
      <c r="E30983" s="0" t="s">
        <v>11502</v>
      </c>
      <c r="F30983" s="0" t="s">
        <v>11502</v>
      </c>
    </row>
    <row r="30985" customFormat="false" ht="12.8" hidden="false" customHeight="false" outlineLevel="0" collapsed="false">
      <c r="A30985" s="0" t="s">
        <v>11503</v>
      </c>
      <c r="B30985" s="0" t="str">
        <f aca="false">HYPERLINK("https://lindat.mff.cuni.cz/services/teitok/pdtc10/index.php?action=vallex&amp;frame=v-w4243f2", "pracovat (v-w4243f2)")</f>
        <v>pracovat (v-w4243f2)</v>
      </c>
    </row>
    <row r="30986" customFormat="false" ht="12.8" hidden="false" customHeight="false" outlineLevel="0" collapsed="false">
      <c r="B30986" s="0" t="s">
        <v>7</v>
      </c>
      <c r="C30986" s="0" t="s">
        <v>11504</v>
      </c>
      <c r="D30986" s="0" t="s">
        <v>3585</v>
      </c>
      <c r="E30986" s="0" t="s">
        <v>3585</v>
      </c>
      <c r="F30986" s="0" t="s">
        <v>3585</v>
      </c>
    </row>
    <row r="30988" customFormat="false" ht="12.8" hidden="false" customHeight="false" outlineLevel="0" collapsed="false">
      <c r="A30988" s="0" t="s">
        <v>11505</v>
      </c>
      <c r="B30988" s="0" t="str">
        <f aca="false">HYPERLINK("https://lindat.mff.cuni.cz/services/teitok/pdtc10/index.php?action=vallex&amp;frame=v-w4243f4", "pracovat (v-w4243f4)")</f>
        <v>pracovat (v-w4243f4)</v>
      </c>
    </row>
    <row r="30989" customFormat="false" ht="12.8" hidden="false" customHeight="false" outlineLevel="0" collapsed="false">
      <c r="B30989" s="0" t="s">
        <v>7</v>
      </c>
      <c r="C30989" s="0" t="s">
        <v>2156</v>
      </c>
    </row>
    <row r="30991" customFormat="false" ht="12.8" hidden="false" customHeight="false" outlineLevel="0" collapsed="false">
      <c r="A30991" s="0" t="s">
        <v>11506</v>
      </c>
      <c r="B30991" s="0" t="str">
        <f aca="false">HYPERLINK("https://lindat.mff.cuni.cz/services/teitok/pdtc10/index.php?action=vallex&amp;frame=v-w4246f1", "prahnout (v-w4246f1)")</f>
        <v>prahnout (v-w4246f1)</v>
      </c>
    </row>
    <row r="30992" customFormat="false" ht="12.8" hidden="false" customHeight="false" outlineLevel="0" collapsed="false">
      <c r="B30992" s="0" t="s">
        <v>7</v>
      </c>
      <c r="C30992" s="0" t="s">
        <v>184</v>
      </c>
      <c r="D30992" s="0" t="s">
        <v>88</v>
      </c>
      <c r="E30992" s="0" t="s">
        <v>88</v>
      </c>
      <c r="F30992" s="0" t="s">
        <v>88</v>
      </c>
    </row>
    <row r="30993" customFormat="false" ht="12.8" hidden="false" customHeight="false" outlineLevel="0" collapsed="false">
      <c r="B30993" s="0" t="s">
        <v>2937</v>
      </c>
      <c r="C30993" s="0" t="s">
        <v>155</v>
      </c>
      <c r="D30993" s="0" t="s">
        <v>74</v>
      </c>
      <c r="E30993" s="0" t="s">
        <v>74</v>
      </c>
      <c r="F30993" s="0" t="s">
        <v>74</v>
      </c>
    </row>
    <row r="30995" customFormat="false" ht="12.8" hidden="false" customHeight="false" outlineLevel="0" collapsed="false">
      <c r="A30995" s="0" t="s">
        <v>11507</v>
      </c>
      <c r="B30995" s="0" t="str">
        <f aca="false">HYPERLINK("https://lindat.mff.cuni.cz/services/teitok/pdtc10/index.php?action=vallex&amp;frame=v-w4248f1", "praktikovat (v-w4248f1)")</f>
        <v>praktikovat (v-w4248f1)</v>
      </c>
    </row>
    <row r="30996" customFormat="false" ht="12.8" hidden="false" customHeight="false" outlineLevel="0" collapsed="false">
      <c r="B30996" s="0" t="s">
        <v>7</v>
      </c>
      <c r="C30996" s="0" t="s">
        <v>113</v>
      </c>
    </row>
    <row r="30997" customFormat="false" ht="12.8" hidden="false" customHeight="false" outlineLevel="0" collapsed="false">
      <c r="B30997" s="0" t="s">
        <v>14</v>
      </c>
      <c r="C30997" s="0" t="s">
        <v>487</v>
      </c>
    </row>
    <row r="30999" customFormat="false" ht="12.8" hidden="false" customHeight="false" outlineLevel="0" collapsed="false">
      <c r="A30999" s="0" t="s">
        <v>11508</v>
      </c>
      <c r="B30999" s="0" t="str">
        <f aca="false">HYPERLINK("https://lindat.mff.cuni.cz/services/teitok/pdtc10/index.php?action=vallex&amp;frame=v-w4249f1", "pramenit (v-w4249f1)")</f>
        <v>pramenit (v-w4249f1)</v>
      </c>
    </row>
    <row r="31000" customFormat="false" ht="12.8" hidden="false" customHeight="false" outlineLevel="0" collapsed="false">
      <c r="B31000" s="0" t="s">
        <v>7</v>
      </c>
      <c r="C31000" s="0" t="s">
        <v>11509</v>
      </c>
      <c r="D31000" s="0" t="s">
        <v>9818</v>
      </c>
      <c r="E31000" s="0" t="s">
        <v>9818</v>
      </c>
      <c r="F31000" s="0" t="s">
        <v>9818</v>
      </c>
    </row>
    <row r="31001" customFormat="false" ht="12.8" hidden="false" customHeight="false" outlineLevel="0" collapsed="false">
      <c r="B31001" s="0" t="s">
        <v>11510</v>
      </c>
      <c r="C31001" s="0" t="s">
        <v>11511</v>
      </c>
      <c r="D31001" s="0" t="s">
        <v>9820</v>
      </c>
      <c r="E31001" s="0" t="s">
        <v>9820</v>
      </c>
      <c r="F31001" s="0" t="s">
        <v>9820</v>
      </c>
    </row>
    <row r="31003" customFormat="false" ht="12.8" hidden="false" customHeight="false" outlineLevel="0" collapsed="false">
      <c r="A31003" s="0" t="s">
        <v>11512</v>
      </c>
      <c r="B31003" s="0" t="str">
        <f aca="false">HYPERLINK("https://lindat.mff.cuni.cz/services/teitok/pdtc10/index.php?action=vallex&amp;frame=v-w4249f2", "pramenit (v-w4249f2)")</f>
        <v>pramenit (v-w4249f2)</v>
      </c>
    </row>
    <row r="31004" customFormat="false" ht="12.8" hidden="false" customHeight="false" outlineLevel="0" collapsed="false">
      <c r="B31004" s="0" t="s">
        <v>7</v>
      </c>
    </row>
    <row r="31006" customFormat="false" ht="12.8" hidden="false" customHeight="false" outlineLevel="0" collapsed="false">
      <c r="A31006" s="0" t="s">
        <v>11513</v>
      </c>
      <c r="B31006" s="0" t="str">
        <f aca="false">HYPERLINK("https://lindat.mff.cuni.cz/services/teitok/pdtc10/index.php?action=vallex&amp;frame=v-w4251f1", "pranýřovat (v-w4251f1)")</f>
        <v>pranýřovat (v-w4251f1)</v>
      </c>
    </row>
    <row r="31007" customFormat="false" ht="12.8" hidden="false" customHeight="false" outlineLevel="0" collapsed="false">
      <c r="B31007" s="0" t="s">
        <v>7</v>
      </c>
      <c r="D31007" s="0" t="s">
        <v>4960</v>
      </c>
      <c r="E31007" s="0" t="s">
        <v>4960</v>
      </c>
      <c r="F31007" s="0" t="s">
        <v>4960</v>
      </c>
    </row>
    <row r="31008" customFormat="false" ht="12.8" hidden="false" customHeight="false" outlineLevel="0" collapsed="false">
      <c r="B31008" s="0" t="s">
        <v>14</v>
      </c>
      <c r="C31008" s="0" t="s">
        <v>155</v>
      </c>
      <c r="D31008" s="0" t="s">
        <v>1631</v>
      </c>
      <c r="E31008" s="0" t="s">
        <v>1631</v>
      </c>
      <c r="F31008" s="0" t="s">
        <v>1631</v>
      </c>
    </row>
    <row r="31010" customFormat="false" ht="12.8" hidden="false" customHeight="false" outlineLevel="0" collapsed="false">
      <c r="A31010" s="0" t="s">
        <v>11514</v>
      </c>
      <c r="B31010" s="0" t="str">
        <f aca="false">HYPERLINK("https://lindat.mff.cuni.cz/services/teitok/pdtc10/index.php?action=vallex&amp;frame=v-w4252f2", "praskat (v-w4252f2)")</f>
        <v>praskat (v-w4252f2)</v>
      </c>
    </row>
    <row r="31011" customFormat="false" ht="12.8" hidden="false" customHeight="false" outlineLevel="0" collapsed="false">
      <c r="B31011" s="0" t="s">
        <v>7</v>
      </c>
      <c r="C31011" s="0" t="s">
        <v>7092</v>
      </c>
      <c r="D31011" s="0" t="s">
        <v>10626</v>
      </c>
      <c r="E31011" s="0" t="s">
        <v>10626</v>
      </c>
      <c r="F31011" s="0" t="s">
        <v>10626</v>
      </c>
    </row>
    <row r="31013" customFormat="false" ht="12.8" hidden="false" customHeight="false" outlineLevel="0" collapsed="false">
      <c r="A31013" s="0" t="s">
        <v>11515</v>
      </c>
      <c r="B31013" s="0" t="str">
        <f aca="false">HYPERLINK("https://lindat.mff.cuni.cz/services/teitok/pdtc10/index.php?action=vallex&amp;frame=v-w4252f1", "praskat (v-w4252f1)")</f>
        <v>praskat (v-w4252f1)</v>
      </c>
    </row>
    <row r="31014" customFormat="false" ht="12.8" hidden="false" customHeight="false" outlineLevel="0" collapsed="false">
      <c r="B31014" s="0" t="s">
        <v>7</v>
      </c>
    </row>
    <row r="31015" customFormat="false" ht="12.8" hidden="false" customHeight="false" outlineLevel="0" collapsed="false">
      <c r="B31015" s="0" t="s">
        <v>11516</v>
      </c>
    </row>
    <row r="31017" customFormat="false" ht="12.8" hidden="false" customHeight="false" outlineLevel="0" collapsed="false">
      <c r="A31017" s="0" t="s">
        <v>11517</v>
      </c>
      <c r="B31017" s="0" t="str">
        <f aca="false">HYPERLINK("https://lindat.mff.cuni.cz/services/teitok/pdtc10/index.php?action=vallex&amp;frame=v-w4253f1", "prasknout (v-w4253f1)")</f>
        <v>prasknout (v-w4253f1)</v>
      </c>
    </row>
    <row r="31018" customFormat="false" ht="12.8" hidden="false" customHeight="false" outlineLevel="0" collapsed="false">
      <c r="B31018" s="0" t="s">
        <v>7</v>
      </c>
      <c r="C31018" s="0" t="s">
        <v>176</v>
      </c>
      <c r="D31018" s="0" t="s">
        <v>10626</v>
      </c>
      <c r="E31018" s="0" t="s">
        <v>10626</v>
      </c>
      <c r="F31018" s="0" t="s">
        <v>10626</v>
      </c>
    </row>
    <row r="31020" customFormat="false" ht="12.8" hidden="false" customHeight="false" outlineLevel="0" collapsed="false">
      <c r="A31020" s="0" t="s">
        <v>11518</v>
      </c>
      <c r="B31020" s="0" t="str">
        <f aca="false">HYPERLINK("https://lindat.mff.cuni.cz/services/teitok/pdtc10/index.php?action=vallex&amp;frame=v-w4253f3_ZU", "prasknout (v-w4253f3_ZU)")</f>
        <v>prasknout (v-w4253f3_ZU)</v>
      </c>
    </row>
    <row r="31021" customFormat="false" ht="12.8" hidden="false" customHeight="false" outlineLevel="0" collapsed="false">
      <c r="B31021" s="0" t="s">
        <v>641</v>
      </c>
    </row>
    <row r="31023" customFormat="false" ht="12.8" hidden="false" customHeight="false" outlineLevel="0" collapsed="false">
      <c r="A31023" s="0" t="s">
        <v>11518</v>
      </c>
      <c r="B31023" s="0" t="str">
        <f aca="false">HYPERLINK("https://lindat.mff.cuni.cz/services/teitok/pdtc10/index.php?action=vallex&amp;frame=v-w4253f2_ZU", "prasknout (v-w4253f2_ZU) - substituted with v-w4253f3_ZU")</f>
        <v>prasknout (v-w4253f2_ZU) - substituted with v-w4253f3_ZU</v>
      </c>
    </row>
    <row r="31024" customFormat="false" ht="12.8" hidden="false" customHeight="false" outlineLevel="0" collapsed="false">
      <c r="B31024" s="0" t="s">
        <v>641</v>
      </c>
    </row>
    <row r="31026" customFormat="false" ht="12.8" hidden="false" customHeight="false" outlineLevel="0" collapsed="false">
      <c r="A31026" s="0" t="s">
        <v>11519</v>
      </c>
      <c r="B31026" s="0" t="str">
        <f aca="false">HYPERLINK("https://lindat.mff.cuni.cz/services/teitok/pdtc10/index.php?action=vallex&amp;frame=v-w4260f3", "pravit (v-w4260f3)")</f>
        <v>pravit (v-w4260f3)</v>
      </c>
    </row>
    <row r="31027" customFormat="false" ht="12.8" hidden="false" customHeight="false" outlineLevel="0" collapsed="false">
      <c r="B31027" s="0" t="s">
        <v>7</v>
      </c>
    </row>
    <row r="31028" customFormat="false" ht="12.8" hidden="false" customHeight="false" outlineLevel="0" collapsed="false">
      <c r="B31028" s="0" t="s">
        <v>244</v>
      </c>
    </row>
    <row r="31029" customFormat="false" ht="12.8" hidden="false" customHeight="false" outlineLevel="0" collapsed="false">
      <c r="B31029" s="0" t="s">
        <v>48</v>
      </c>
    </row>
    <row r="31031" customFormat="false" ht="12.8" hidden="false" customHeight="false" outlineLevel="0" collapsed="false">
      <c r="A31031" s="0" t="s">
        <v>11520</v>
      </c>
      <c r="B31031" s="0" t="str">
        <f aca="false">HYPERLINK("https://lindat.mff.cuni.cz/services/teitok/pdtc10/index.php?action=vallex&amp;frame=v-w4260f2", "pravit (v-w4260f2)")</f>
        <v>pravit (v-w4260f2)</v>
      </c>
    </row>
    <row r="31032" customFormat="false" ht="12.8" hidden="false" customHeight="false" outlineLevel="0" collapsed="false">
      <c r="B31032" s="0" t="s">
        <v>7</v>
      </c>
    </row>
    <row r="31033" customFormat="false" ht="12.8" hidden="false" customHeight="false" outlineLevel="0" collapsed="false">
      <c r="B31033" s="0" t="s">
        <v>11521</v>
      </c>
    </row>
    <row r="31034" customFormat="false" ht="12.8" hidden="false" customHeight="false" outlineLevel="0" collapsed="false">
      <c r="B31034" s="0" t="s">
        <v>106</v>
      </c>
    </row>
    <row r="31036" customFormat="false" ht="12.8" hidden="false" customHeight="false" outlineLevel="0" collapsed="false">
      <c r="A31036" s="0" t="s">
        <v>11522</v>
      </c>
      <c r="B31036" s="0" t="str">
        <f aca="false">HYPERLINK("https://lindat.mff.cuni.cz/services/teitok/pdtc10/index.php?action=vallex&amp;frame=v-w4260f1", "pravit (v-w4260f1)")</f>
        <v>pravit (v-w4260f1)</v>
      </c>
    </row>
    <row r="31037" customFormat="false" ht="12.8" hidden="false" customHeight="false" outlineLevel="0" collapsed="false">
      <c r="B31037" s="0" t="s">
        <v>7</v>
      </c>
      <c r="C31037" s="0" t="s">
        <v>3976</v>
      </c>
      <c r="D31037" s="0" t="s">
        <v>164</v>
      </c>
      <c r="E31037" s="0" t="s">
        <v>164</v>
      </c>
      <c r="F31037" s="0" t="s">
        <v>164</v>
      </c>
    </row>
    <row r="31038" customFormat="false" ht="12.8" hidden="false" customHeight="false" outlineLevel="0" collapsed="false">
      <c r="B31038" s="0" t="s">
        <v>48</v>
      </c>
      <c r="C31038" s="0" t="s">
        <v>3829</v>
      </c>
      <c r="D31038" s="0" t="s">
        <v>168</v>
      </c>
      <c r="E31038" s="0" t="s">
        <v>168</v>
      </c>
      <c r="F31038" s="0" t="s">
        <v>168</v>
      </c>
    </row>
    <row r="31039" customFormat="false" ht="12.8" hidden="false" customHeight="false" outlineLevel="0" collapsed="false">
      <c r="B31039" s="0" t="s">
        <v>11523</v>
      </c>
      <c r="C31039" s="0" t="s">
        <v>3978</v>
      </c>
      <c r="D31039" s="0" t="s">
        <v>1766</v>
      </c>
      <c r="E31039" s="0" t="s">
        <v>1766</v>
      </c>
      <c r="F31039" s="0" t="s">
        <v>1766</v>
      </c>
    </row>
    <row r="31040" customFormat="false" ht="12.8" hidden="false" customHeight="false" outlineLevel="0" collapsed="false">
      <c r="B31040" s="0" t="s">
        <v>363</v>
      </c>
      <c r="C31040" s="0" t="s">
        <v>1768</v>
      </c>
      <c r="D31040" s="0" t="s">
        <v>167</v>
      </c>
      <c r="E31040" s="0" t="s">
        <v>167</v>
      </c>
      <c r="F31040" s="0" t="s">
        <v>167</v>
      </c>
    </row>
    <row r="31042" customFormat="false" ht="12.8" hidden="false" customHeight="false" outlineLevel="0" collapsed="false">
      <c r="A31042" s="0" t="s">
        <v>11524</v>
      </c>
      <c r="B31042" s="0" t="str">
        <f aca="false">HYPERLINK("https://lindat.mff.cuni.cz/services/teitok/pdtc10/index.php?action=vallex&amp;frame=v-w4255f1", "praštit (v-w4255f1)")</f>
        <v>praštit (v-w4255f1)</v>
      </c>
    </row>
    <row r="31043" customFormat="false" ht="12.8" hidden="false" customHeight="false" outlineLevel="0" collapsed="false">
      <c r="B31043" s="0" t="s">
        <v>7</v>
      </c>
    </row>
    <row r="31044" customFormat="false" ht="12.8" hidden="false" customHeight="false" outlineLevel="0" collapsed="false">
      <c r="B31044" s="0" t="s">
        <v>14</v>
      </c>
    </row>
    <row r="31046" customFormat="false" ht="12.8" hidden="false" customHeight="false" outlineLevel="0" collapsed="false">
      <c r="A31046" s="0" t="s">
        <v>11525</v>
      </c>
      <c r="B31046" s="0" t="str">
        <f aca="false">HYPERLINK("https://lindat.mff.cuni.cz/services/teitok/pdtc10/index.php?action=vallex&amp;frame=v-w4255f6_MM", "praštit (v-w4255f6_MM)")</f>
        <v>praštit (v-w4255f6_MM)</v>
      </c>
    </row>
    <row r="31047" customFormat="false" ht="12.8" hidden="false" customHeight="false" outlineLevel="0" collapsed="false">
      <c r="B31047" s="0" t="s">
        <v>7</v>
      </c>
    </row>
    <row r="31048" customFormat="false" ht="12.8" hidden="false" customHeight="false" outlineLevel="0" collapsed="false">
      <c r="B31048" s="0" t="s">
        <v>3760</v>
      </c>
    </row>
    <row r="31050" customFormat="false" ht="12.8" hidden="false" customHeight="false" outlineLevel="0" collapsed="false">
      <c r="A31050" s="0" t="s">
        <v>11525</v>
      </c>
      <c r="B31050" s="0" t="str">
        <f aca="false">HYPERLINK("https://lindat.mff.cuni.cz/services/teitok/pdtc10/index.php?action=vallex&amp;frame=v-w4255f3", "praštit (v-w4255f3) - substituted with v-w4255f6_MM")</f>
        <v>praštit (v-w4255f3) - substituted with v-w4255f6_MM</v>
      </c>
    </row>
    <row r="31051" customFormat="false" ht="12.8" hidden="false" customHeight="false" outlineLevel="0" collapsed="false">
      <c r="B31051" s="0" t="s">
        <v>7</v>
      </c>
      <c r="C31051" s="0" t="s">
        <v>191</v>
      </c>
      <c r="D31051" s="0" t="s">
        <v>46</v>
      </c>
      <c r="E31051" s="0" t="s">
        <v>341</v>
      </c>
      <c r="F31051" s="0" t="s">
        <v>341</v>
      </c>
    </row>
    <row r="31052" customFormat="false" ht="12.8" hidden="false" customHeight="false" outlineLevel="0" collapsed="false">
      <c r="B31052" s="0" t="s">
        <v>3760</v>
      </c>
      <c r="D31052" s="0" t="s">
        <v>155</v>
      </c>
      <c r="E31052" s="0" t="s">
        <v>342</v>
      </c>
      <c r="F31052" s="0" t="s">
        <v>342</v>
      </c>
    </row>
    <row r="31054" customFormat="false" ht="12.8" hidden="false" customHeight="false" outlineLevel="0" collapsed="false">
      <c r="A31054" s="0" t="s">
        <v>11526</v>
      </c>
      <c r="B31054" s="0" t="str">
        <f aca="false">HYPERLINK("https://lindat.mff.cuni.cz/services/teitok/pdtc10/index.php?action=vallex&amp;frame=v-w4255f5_ZU", "praštit (v-w4255f5_ZU)")</f>
        <v>praštit (v-w4255f5_ZU)</v>
      </c>
    </row>
    <row r="31055" customFormat="false" ht="12.8" hidden="false" customHeight="false" outlineLevel="0" collapsed="false">
      <c r="B31055" s="0" t="s">
        <v>7</v>
      </c>
    </row>
    <row r="31056" customFormat="false" ht="12.8" hidden="false" customHeight="false" outlineLevel="0" collapsed="false">
      <c r="B31056" s="0" t="s">
        <v>548</v>
      </c>
    </row>
    <row r="31058" customFormat="false" ht="12.8" hidden="false" customHeight="false" outlineLevel="0" collapsed="false">
      <c r="A31058" s="0" t="s">
        <v>11526</v>
      </c>
      <c r="B31058" s="0" t="str">
        <f aca="false">HYPERLINK("https://lindat.mff.cuni.cz/services/teitok/pdtc10/index.php?action=vallex&amp;frame=v-w4255f4_ZU", "praštit (v-w4255f4_ZU) - substituted with v-w4255f5_ZU")</f>
        <v>praštit (v-w4255f4_ZU) - substituted with v-w4255f5_ZU</v>
      </c>
    </row>
    <row r="31059" customFormat="false" ht="12.8" hidden="false" customHeight="false" outlineLevel="0" collapsed="false">
      <c r="B31059" s="0" t="s">
        <v>7</v>
      </c>
    </row>
    <row r="31060" customFormat="false" ht="12.8" hidden="false" customHeight="false" outlineLevel="0" collapsed="false">
      <c r="B31060" s="0" t="s">
        <v>548</v>
      </c>
    </row>
    <row r="31062" customFormat="false" ht="12.8" hidden="false" customHeight="false" outlineLevel="0" collapsed="false">
      <c r="A31062" s="0" t="s">
        <v>11527</v>
      </c>
      <c r="B31062" s="0" t="str">
        <f aca="false">HYPERLINK("https://lindat.mff.cuni.cz/services/teitok/pdtc10/index.php?action=vallex&amp;frame=v-w4254f1", "praštět (v-w4254f1)")</f>
        <v>praštět (v-w4254f1)</v>
      </c>
    </row>
    <row r="31064" customFormat="false" ht="12.8" hidden="false" customHeight="false" outlineLevel="0" collapsed="false">
      <c r="A31064" s="0" t="s">
        <v>11528</v>
      </c>
      <c r="B31064" s="0" t="str">
        <f aca="false">HYPERLINK("https://lindat.mff.cuni.cz/services/teitok/pdtc10/index.php?action=vallex&amp;frame=v-whsb_1142hsa_1143", "pražit (v-whsb_1142hsa_1143)")</f>
        <v>pražit (v-whsb_1142hsa_1143)</v>
      </c>
    </row>
    <row r="31065" customFormat="false" ht="12.8" hidden="false" customHeight="false" outlineLevel="0" collapsed="false">
      <c r="B31065" s="0" t="s">
        <v>7</v>
      </c>
    </row>
    <row r="31067" customFormat="false" ht="12.8" hidden="false" customHeight="false" outlineLevel="0" collapsed="false">
      <c r="A31067" s="0" t="s">
        <v>11529</v>
      </c>
      <c r="B31067" s="0" t="str">
        <f aca="false">HYPERLINK("https://lindat.mff.cuni.cz/services/teitok/pdtc10/index.php?action=vallex&amp;frame=v-w4279f1", "prchat (v-w4279f1)")</f>
        <v>prchat (v-w4279f1)</v>
      </c>
    </row>
    <row r="31068" customFormat="false" ht="12.8" hidden="false" customHeight="false" outlineLevel="0" collapsed="false">
      <c r="B31068" s="0" t="s">
        <v>7</v>
      </c>
      <c r="C31068" s="0" t="s">
        <v>118</v>
      </c>
    </row>
    <row r="31069" customFormat="false" ht="12.8" hidden="false" customHeight="false" outlineLevel="0" collapsed="false">
      <c r="B31069" s="0" t="s">
        <v>11530</v>
      </c>
    </row>
    <row r="31071" customFormat="false" ht="12.8" hidden="false" customHeight="false" outlineLevel="0" collapsed="false">
      <c r="A31071" s="0" t="s">
        <v>11531</v>
      </c>
      <c r="B31071" s="0" t="str">
        <f aca="false">HYPERLINK("https://lindat.mff.cuni.cz/services/teitok/pdtc10/index.php?action=vallex&amp;frame=v-w4279f2_ZU", "prchat (v-w4279f2_ZU)")</f>
        <v>prchat (v-w4279f2_ZU)</v>
      </c>
    </row>
    <row r="31072" customFormat="false" ht="12.8" hidden="false" customHeight="false" outlineLevel="0" collapsed="false">
      <c r="B31072" s="0" t="s">
        <v>7</v>
      </c>
    </row>
    <row r="31074" customFormat="false" ht="12.8" hidden="false" customHeight="false" outlineLevel="0" collapsed="false">
      <c r="A31074" s="0" t="s">
        <v>11532</v>
      </c>
      <c r="B31074" s="0" t="str">
        <f aca="false">HYPERLINK("https://lindat.mff.cuni.cz/services/teitok/pdtc10/index.php?action=vallex&amp;frame=v-whsa_324f1_ZU", "prchnout (v-whsa_324f1_ZU)")</f>
        <v>prchnout (v-whsa_324f1_ZU)</v>
      </c>
    </row>
    <row r="31075" customFormat="false" ht="12.8" hidden="false" customHeight="false" outlineLevel="0" collapsed="false">
      <c r="B31075" s="0" t="s">
        <v>7</v>
      </c>
      <c r="C31075" s="0" t="s">
        <v>149</v>
      </c>
    </row>
    <row r="31076" customFormat="false" ht="12.8" hidden="false" customHeight="false" outlineLevel="0" collapsed="false">
      <c r="B31076" s="0" t="s">
        <v>11530</v>
      </c>
    </row>
    <row r="31078" customFormat="false" ht="12.8" hidden="false" customHeight="false" outlineLevel="0" collapsed="false">
      <c r="A31078" s="0" t="s">
        <v>11532</v>
      </c>
      <c r="B31078" s="0" t="str">
        <f aca="false">HYPERLINK("https://lindat.mff.cuni.cz/services/teitok/pdtc10/index.php?action=vallex&amp;frame=v-whsa_324hsa_325", "prchnout (v-whsa_324hsa_325) - substituted with v-whsa_324f1_ZU")</f>
        <v>prchnout (v-whsa_324hsa_325) - substituted with v-whsa_324f1_ZU</v>
      </c>
    </row>
    <row r="31079" customFormat="false" ht="12.8" hidden="false" customHeight="false" outlineLevel="0" collapsed="false">
      <c r="B31079" s="0" t="s">
        <v>7</v>
      </c>
    </row>
    <row r="31080" customFormat="false" ht="12.8" hidden="false" customHeight="false" outlineLevel="0" collapsed="false">
      <c r="B31080" s="0" t="s">
        <v>11530</v>
      </c>
    </row>
    <row r="31082" customFormat="false" ht="12.8" hidden="false" customHeight="false" outlineLevel="0" collapsed="false">
      <c r="A31082" s="0" t="s">
        <v>11533</v>
      </c>
      <c r="B31082" s="0" t="str">
        <f aca="false">HYPERLINK("https://lindat.mff.cuni.cz/services/teitok/pdtc10/index.php?action=vallex&amp;frame=v-w10351f3_ZU", "predisponovat (v-w10351f3_ZU)")</f>
        <v>predisponovat (v-w10351f3_ZU)</v>
      </c>
    </row>
    <row r="31083" customFormat="false" ht="12.8" hidden="false" customHeight="false" outlineLevel="0" collapsed="false">
      <c r="B31083" s="0" t="s">
        <v>7</v>
      </c>
      <c r="C31083" s="0" t="s">
        <v>46</v>
      </c>
    </row>
    <row r="31084" customFormat="false" ht="12.8" hidden="false" customHeight="false" outlineLevel="0" collapsed="false">
      <c r="B31084" s="0" t="s">
        <v>14</v>
      </c>
      <c r="C31084" s="0" t="s">
        <v>47</v>
      </c>
    </row>
    <row r="31086" customFormat="false" ht="12.8" hidden="false" customHeight="false" outlineLevel="0" collapsed="false">
      <c r="A31086" s="0" t="s">
        <v>11533</v>
      </c>
      <c r="B31086" s="0" t="str">
        <f aca="false">HYPERLINK("https://lindat.mff.cuni.cz/services/teitok/pdtc10/index.php?action=vallex&amp;frame=v-w10351f2", "predisponovat (v-w10351f2) - substituted with v-w10351f3_ZU")</f>
        <v>predisponovat (v-w10351f2) - substituted with v-w10351f3_ZU</v>
      </c>
    </row>
    <row r="31087" customFormat="false" ht="12.8" hidden="false" customHeight="false" outlineLevel="0" collapsed="false">
      <c r="B31087" s="0" t="s">
        <v>7</v>
      </c>
    </row>
    <row r="31088" customFormat="false" ht="12.8" hidden="false" customHeight="false" outlineLevel="0" collapsed="false">
      <c r="B31088" s="0" t="s">
        <v>14</v>
      </c>
    </row>
    <row r="31090" customFormat="false" ht="12.8" hidden="false" customHeight="false" outlineLevel="0" collapsed="false">
      <c r="A31090" s="0" t="s">
        <v>11534</v>
      </c>
      <c r="B31090" s="0" t="str">
        <f aca="false">HYPERLINK("https://lindat.mff.cuni.cz/services/teitok/pdtc10/index.php?action=vallex&amp;frame=v-w4267f1", "preferovat (v-w4267f1)")</f>
        <v>preferovat (v-w4267f1)</v>
      </c>
    </row>
    <row r="31091" customFormat="false" ht="12.8" hidden="false" customHeight="false" outlineLevel="0" collapsed="false">
      <c r="B31091" s="0" t="s">
        <v>7</v>
      </c>
      <c r="C31091" s="0" t="s">
        <v>10888</v>
      </c>
      <c r="D31091" s="0" t="s">
        <v>3054</v>
      </c>
      <c r="E31091" s="0" t="s">
        <v>3054</v>
      </c>
      <c r="F31091" s="0" t="s">
        <v>3054</v>
      </c>
    </row>
    <row r="31092" customFormat="false" ht="12.8" hidden="false" customHeight="false" outlineLevel="0" collapsed="false">
      <c r="B31092" s="0" t="s">
        <v>14</v>
      </c>
      <c r="C31092" s="0" t="s">
        <v>11535</v>
      </c>
      <c r="D31092" s="0" t="s">
        <v>4344</v>
      </c>
      <c r="E31092" s="0" t="s">
        <v>4344</v>
      </c>
      <c r="F31092" s="0" t="s">
        <v>4344</v>
      </c>
    </row>
    <row r="31093" customFormat="false" ht="12.8" hidden="false" customHeight="false" outlineLevel="0" collapsed="false">
      <c r="B31093" s="0" t="s">
        <v>11536</v>
      </c>
      <c r="C31093" s="0" t="s">
        <v>10846</v>
      </c>
      <c r="D31093" s="0" t="s">
        <v>10846</v>
      </c>
      <c r="E31093" s="0" t="s">
        <v>10846</v>
      </c>
      <c r="F31093" s="0" t="s">
        <v>10846</v>
      </c>
    </row>
    <row r="31095" customFormat="false" ht="12.8" hidden="false" customHeight="false" outlineLevel="0" collapsed="false">
      <c r="A31095" s="0" t="s">
        <v>11537</v>
      </c>
      <c r="B31095" s="0" t="str">
        <f aca="false">HYPERLINK("https://lindat.mff.cuni.cz/services/teitok/pdtc10/index.php?action=vallex&amp;frame=v-w4277f2", "prezentovat (v-w4277f2)")</f>
        <v>prezentovat (v-w4277f2)</v>
      </c>
    </row>
    <row r="31096" customFormat="false" ht="12.8" hidden="false" customHeight="false" outlineLevel="0" collapsed="false">
      <c r="B31096" s="0" t="s">
        <v>7</v>
      </c>
      <c r="C31096" s="0" t="s">
        <v>7605</v>
      </c>
      <c r="D31096" s="0" t="s">
        <v>1553</v>
      </c>
      <c r="E31096" s="0" t="s">
        <v>1553</v>
      </c>
      <c r="F31096" s="0" t="s">
        <v>1553</v>
      </c>
    </row>
    <row r="31097" customFormat="false" ht="12.8" hidden="false" customHeight="false" outlineLevel="0" collapsed="false">
      <c r="B31097" s="0" t="s">
        <v>367</v>
      </c>
      <c r="C31097" s="0" t="s">
        <v>110</v>
      </c>
      <c r="D31097" s="0" t="s">
        <v>1555</v>
      </c>
      <c r="E31097" s="0" t="s">
        <v>1555</v>
      </c>
      <c r="F31097" s="0" t="s">
        <v>1555</v>
      </c>
    </row>
    <row r="31098" customFormat="false" ht="12.8" hidden="false" customHeight="false" outlineLevel="0" collapsed="false">
      <c r="B31098" s="0" t="s">
        <v>48</v>
      </c>
      <c r="C31098" s="0" t="s">
        <v>11538</v>
      </c>
      <c r="D31098" s="0" t="s">
        <v>1556</v>
      </c>
      <c r="E31098" s="0" t="s">
        <v>1556</v>
      </c>
      <c r="F31098" s="0" t="s">
        <v>1556</v>
      </c>
    </row>
    <row r="31100" customFormat="false" ht="12.8" hidden="false" customHeight="false" outlineLevel="0" collapsed="false">
      <c r="A31100" s="0" t="s">
        <v>11539</v>
      </c>
      <c r="B31100" s="0" t="str">
        <f aca="false">HYPERLINK("https://lindat.mff.cuni.cz/services/teitok/pdtc10/index.php?action=vallex&amp;frame=v-w4277f1", "prezentovat (v-w4277f1)")</f>
        <v>prezentovat (v-w4277f1)</v>
      </c>
    </row>
    <row r="31101" customFormat="false" ht="12.8" hidden="false" customHeight="false" outlineLevel="0" collapsed="false">
      <c r="B31101" s="0" t="s">
        <v>7</v>
      </c>
      <c r="C31101" s="0" t="s">
        <v>4379</v>
      </c>
      <c r="D31101" s="0" t="s">
        <v>1553</v>
      </c>
      <c r="E31101" s="0" t="s">
        <v>1553</v>
      </c>
      <c r="F31101" s="0" t="s">
        <v>1553</v>
      </c>
    </row>
    <row r="31102" customFormat="false" ht="12.8" hidden="false" customHeight="false" outlineLevel="0" collapsed="false">
      <c r="B31102" s="0" t="s">
        <v>14</v>
      </c>
      <c r="C31102" s="0" t="s">
        <v>2642</v>
      </c>
      <c r="D31102" s="0" t="s">
        <v>1555</v>
      </c>
      <c r="E31102" s="0" t="s">
        <v>1555</v>
      </c>
      <c r="F31102" s="0" t="s">
        <v>1555</v>
      </c>
    </row>
    <row r="31103" customFormat="false" ht="12.8" hidden="false" customHeight="false" outlineLevel="0" collapsed="false">
      <c r="B31103" s="0" t="s">
        <v>293</v>
      </c>
      <c r="C31103" s="0" t="s">
        <v>11538</v>
      </c>
      <c r="D31103" s="0" t="s">
        <v>1556</v>
      </c>
      <c r="E31103" s="0" t="s">
        <v>1556</v>
      </c>
      <c r="F31103" s="0" t="s">
        <v>1556</v>
      </c>
    </row>
    <row r="31105" customFormat="false" ht="12.8" hidden="false" customHeight="false" outlineLevel="0" collapsed="false">
      <c r="A31105" s="0" t="s">
        <v>11540</v>
      </c>
      <c r="B31105" s="0" t="str">
        <f aca="false">HYPERLINK("https://lindat.mff.cuni.cz/services/teitok/pdtc10/index.php?action=vallex&amp;frame=v-w4278f2", "prezentovat se (v-w4278f2)")</f>
        <v>prezentovat se (v-w4278f2)</v>
      </c>
    </row>
    <row r="31106" customFormat="false" ht="12.8" hidden="false" customHeight="false" outlineLevel="0" collapsed="false">
      <c r="B31106" s="0" t="s">
        <v>7</v>
      </c>
      <c r="C31106" s="0" t="s">
        <v>335</v>
      </c>
      <c r="D31106" s="0" t="s">
        <v>184</v>
      </c>
      <c r="E31106" s="0" t="s">
        <v>184</v>
      </c>
      <c r="F31106" s="0" t="s">
        <v>11541</v>
      </c>
    </row>
    <row r="31107" customFormat="false" ht="12.8" hidden="false" customHeight="false" outlineLevel="0" collapsed="false">
      <c r="B31107" s="0" t="s">
        <v>119</v>
      </c>
      <c r="D31107" s="0" t="s">
        <v>567</v>
      </c>
      <c r="E31107" s="0" t="s">
        <v>567</v>
      </c>
      <c r="F31107" s="0" t="s">
        <v>342</v>
      </c>
    </row>
    <row r="31109" customFormat="false" ht="12.8" hidden="false" customHeight="false" outlineLevel="0" collapsed="false">
      <c r="A31109" s="0" t="s">
        <v>11542</v>
      </c>
      <c r="B31109" s="0" t="str">
        <f aca="false">HYPERLINK("https://lindat.mff.cuni.cz/services/teitok/pdtc10/index.php?action=vallex&amp;frame=v-w4278f1", "prezentovat se (v-w4278f1)")</f>
        <v>prezentovat se (v-w4278f1)</v>
      </c>
    </row>
    <row r="31110" customFormat="false" ht="12.8" hidden="false" customHeight="false" outlineLevel="0" collapsed="false">
      <c r="B31110" s="0" t="s">
        <v>7</v>
      </c>
      <c r="C31110" s="0" t="s">
        <v>3243</v>
      </c>
      <c r="D31110" s="0" t="s">
        <v>749</v>
      </c>
      <c r="E31110" s="0" t="s">
        <v>749</v>
      </c>
      <c r="F31110" s="0" t="s">
        <v>749</v>
      </c>
    </row>
    <row r="31111" customFormat="false" ht="12.8" hidden="false" customHeight="false" outlineLevel="0" collapsed="false">
      <c r="B31111" s="0" t="s">
        <v>474</v>
      </c>
      <c r="C31111" s="0" t="s">
        <v>11543</v>
      </c>
      <c r="D31111" s="0" t="s">
        <v>752</v>
      </c>
      <c r="E31111" s="0" t="s">
        <v>752</v>
      </c>
      <c r="F31111" s="0" t="s">
        <v>752</v>
      </c>
    </row>
    <row r="31112" customFormat="false" ht="12.8" hidden="false" customHeight="false" outlineLevel="0" collapsed="false">
      <c r="B31112" s="0" t="s">
        <v>477</v>
      </c>
      <c r="D31112" s="0" t="s">
        <v>11434</v>
      </c>
      <c r="E31112" s="0" t="s">
        <v>11434</v>
      </c>
      <c r="F31112" s="0" t="s">
        <v>11434</v>
      </c>
    </row>
    <row r="31113" customFormat="false" ht="12.8" hidden="false" customHeight="false" outlineLevel="0" collapsed="false">
      <c r="B31113" s="0" t="s">
        <v>479</v>
      </c>
      <c r="D31113" s="0" t="s">
        <v>11435</v>
      </c>
      <c r="E31113" s="0" t="s">
        <v>11435</v>
      </c>
      <c r="F31113" s="0" t="s">
        <v>11435</v>
      </c>
    </row>
    <row r="31114" customFormat="false" ht="12.8" hidden="false" customHeight="false" outlineLevel="0" collapsed="false">
      <c r="B31114" s="0" t="s">
        <v>481</v>
      </c>
      <c r="D31114" s="0" t="s">
        <v>11436</v>
      </c>
      <c r="E31114" s="0" t="s">
        <v>11436</v>
      </c>
      <c r="F31114" s="0" t="s">
        <v>11436</v>
      </c>
    </row>
    <row r="31115" customFormat="false" ht="12.8" hidden="false" customHeight="false" outlineLevel="0" collapsed="false">
      <c r="B31115" s="0" t="s">
        <v>483</v>
      </c>
      <c r="D31115" s="0" t="s">
        <v>11437</v>
      </c>
      <c r="E31115" s="0" t="s">
        <v>11437</v>
      </c>
      <c r="F31115" s="0" t="s">
        <v>11437</v>
      </c>
    </row>
    <row r="31117" customFormat="false" ht="12.8" hidden="false" customHeight="false" outlineLevel="0" collapsed="false">
      <c r="A31117" s="0" t="s">
        <v>11544</v>
      </c>
      <c r="B31117" s="0" t="str">
        <f aca="false">HYPERLINK("https://lindat.mff.cuni.cz/services/teitok/pdtc10/index.php?action=vallex&amp;frame=v-w4284f1", "privatizovat (v-w4284f1)")</f>
        <v>privatizovat (v-w4284f1)</v>
      </c>
    </row>
    <row r="31118" customFormat="false" ht="12.8" hidden="false" customHeight="false" outlineLevel="0" collapsed="false">
      <c r="B31118" s="0" t="s">
        <v>7</v>
      </c>
      <c r="C31118" s="0" t="s">
        <v>46</v>
      </c>
      <c r="D31118" s="0" t="s">
        <v>184</v>
      </c>
      <c r="E31118" s="0" t="s">
        <v>184</v>
      </c>
      <c r="F31118" s="0" t="s">
        <v>184</v>
      </c>
    </row>
    <row r="31119" customFormat="false" ht="12.8" hidden="false" customHeight="false" outlineLevel="0" collapsed="false">
      <c r="B31119" s="0" t="s">
        <v>14</v>
      </c>
      <c r="C31119" s="0" t="s">
        <v>384</v>
      </c>
      <c r="D31119" s="0" t="s">
        <v>33</v>
      </c>
      <c r="E31119" s="0" t="s">
        <v>33</v>
      </c>
      <c r="F31119" s="0" t="s">
        <v>33</v>
      </c>
    </row>
    <row r="31121" customFormat="false" ht="12.8" hidden="false" customHeight="false" outlineLevel="0" collapsed="false">
      <c r="A31121" s="0" t="s">
        <v>11545</v>
      </c>
      <c r="B31121" s="0" t="str">
        <f aca="false">HYPERLINK("https://lindat.mff.cuni.cz/services/teitok/pdtc10/index.php?action=vallex&amp;frame=v-w12359_MMf1_MM", "probarvovat (v-w12359_MMf1_MM)")</f>
        <v>probarvovat (v-w12359_MMf1_MM)</v>
      </c>
    </row>
    <row r="31122" customFormat="false" ht="12.8" hidden="false" customHeight="false" outlineLevel="0" collapsed="false">
      <c r="B31122" s="0" t="s">
        <v>7</v>
      </c>
    </row>
    <row r="31123" customFormat="false" ht="12.8" hidden="false" customHeight="false" outlineLevel="0" collapsed="false">
      <c r="B31123" s="0" t="s">
        <v>14</v>
      </c>
    </row>
    <row r="31125" customFormat="false" ht="12.8" hidden="false" customHeight="false" outlineLevel="0" collapsed="false">
      <c r="A31125" s="0" t="s">
        <v>11546</v>
      </c>
      <c r="B31125" s="0" t="str">
        <f aca="false">HYPERLINK("https://lindat.mff.cuni.cz/services/teitok/pdtc10/index.php?action=vallex&amp;frame=v-whsa_506hsa_507", "probdít (v-whsa_506hsa_507)")</f>
        <v>probdít (v-whsa_506hsa_507)</v>
      </c>
    </row>
    <row r="31126" customFormat="false" ht="12.8" hidden="false" customHeight="false" outlineLevel="0" collapsed="false">
      <c r="B31126" s="0" t="s">
        <v>7</v>
      </c>
    </row>
    <row r="31127" customFormat="false" ht="12.8" hidden="false" customHeight="false" outlineLevel="0" collapsed="false">
      <c r="B31127" s="0" t="s">
        <v>14</v>
      </c>
    </row>
    <row r="31129" customFormat="false" ht="12.8" hidden="false" customHeight="false" outlineLevel="0" collapsed="false">
      <c r="A31129" s="0" t="s">
        <v>11547</v>
      </c>
      <c r="B31129" s="0" t="str">
        <f aca="false">HYPERLINK("https://lindat.mff.cuni.cz/services/teitok/pdtc10/index.php?action=vallex&amp;frame=v-w4293f1", "problematizovat (v-w4293f1)")</f>
        <v>problematizovat (v-w4293f1)</v>
      </c>
    </row>
    <row r="31130" customFormat="false" ht="12.8" hidden="false" customHeight="false" outlineLevel="0" collapsed="false">
      <c r="B31130" s="0" t="s">
        <v>7</v>
      </c>
    </row>
    <row r="31131" customFormat="false" ht="12.8" hidden="false" customHeight="false" outlineLevel="0" collapsed="false">
      <c r="B31131" s="0" t="s">
        <v>14</v>
      </c>
    </row>
    <row r="31133" customFormat="false" ht="12.8" hidden="false" customHeight="false" outlineLevel="0" collapsed="false">
      <c r="A31133" s="0" t="s">
        <v>11548</v>
      </c>
      <c r="B31133" s="0" t="str">
        <f aca="false">HYPERLINK("https://lindat.mff.cuni.cz/services/teitok/pdtc10/index.php?action=vallex&amp;frame=v-w10055f2", "problesknout (v-w10055f2)")</f>
        <v>problesknout (v-w10055f2)</v>
      </c>
    </row>
    <row r="31134" customFormat="false" ht="12.8" hidden="false" customHeight="false" outlineLevel="0" collapsed="false">
      <c r="B31134" s="0" t="s">
        <v>7</v>
      </c>
      <c r="D31134" s="0" t="s">
        <v>11549</v>
      </c>
      <c r="E31134" s="0" t="s">
        <v>11549</v>
      </c>
      <c r="F31134" s="0" t="s">
        <v>11549</v>
      </c>
    </row>
    <row r="31136" customFormat="false" ht="12.8" hidden="false" customHeight="false" outlineLevel="0" collapsed="false">
      <c r="A31136" s="0" t="s">
        <v>11550</v>
      </c>
      <c r="B31136" s="0" t="str">
        <f aca="false">HYPERLINK("https://lindat.mff.cuni.cz/services/teitok/pdtc10/index.php?action=vallex&amp;frame=v-w4294f1", "probleskovat (v-w4294f1)")</f>
        <v>probleskovat (v-w4294f1)</v>
      </c>
    </row>
    <row r="31137" customFormat="false" ht="12.8" hidden="false" customHeight="false" outlineLevel="0" collapsed="false">
      <c r="B31137" s="0" t="s">
        <v>7</v>
      </c>
      <c r="D31137" s="0" t="s">
        <v>11549</v>
      </c>
      <c r="E31137" s="0" t="s">
        <v>11549</v>
      </c>
      <c r="F31137" s="0" t="s">
        <v>11549</v>
      </c>
    </row>
    <row r="31139" customFormat="false" ht="12.8" hidden="false" customHeight="false" outlineLevel="0" collapsed="false">
      <c r="A31139" s="0" t="s">
        <v>11551</v>
      </c>
      <c r="B31139" s="0" t="str">
        <f aca="false">HYPERLINK("https://lindat.mff.cuni.cz/services/teitok/pdtc10/index.php?action=vallex&amp;frame=v-w4295f1", "probodnout (v-w4295f1)")</f>
        <v>probodnout (v-w4295f1)</v>
      </c>
    </row>
    <row r="31140" customFormat="false" ht="12.8" hidden="false" customHeight="false" outlineLevel="0" collapsed="false">
      <c r="B31140" s="0" t="s">
        <v>7</v>
      </c>
      <c r="E31140" s="0" t="s">
        <v>5057</v>
      </c>
      <c r="F31140" s="0" t="s">
        <v>5057</v>
      </c>
    </row>
    <row r="31141" customFormat="false" ht="12.8" hidden="false" customHeight="false" outlineLevel="0" collapsed="false">
      <c r="B31141" s="0" t="s">
        <v>14</v>
      </c>
      <c r="E31141" s="0" t="s">
        <v>8042</v>
      </c>
      <c r="F31141" s="0" t="s">
        <v>8042</v>
      </c>
    </row>
    <row r="31143" customFormat="false" ht="12.8" hidden="false" customHeight="false" outlineLevel="0" collapsed="false">
      <c r="A31143" s="0" t="s">
        <v>11552</v>
      </c>
      <c r="B31143" s="0" t="str">
        <f aca="false">HYPERLINK("https://lindat.mff.cuni.cz/services/teitok/pdtc10/index.php?action=vallex&amp;frame=v-w4296f1", "probojovat se (v-w4296f1)")</f>
        <v>probojovat se (v-w4296f1)</v>
      </c>
    </row>
    <row r="31144" customFormat="false" ht="12.8" hidden="false" customHeight="false" outlineLevel="0" collapsed="false">
      <c r="B31144" s="0" t="s">
        <v>7</v>
      </c>
      <c r="C31144" s="0" t="s">
        <v>184</v>
      </c>
    </row>
    <row r="31145" customFormat="false" ht="12.8" hidden="false" customHeight="false" outlineLevel="0" collapsed="false">
      <c r="B31145" s="0" t="s">
        <v>124</v>
      </c>
    </row>
    <row r="31147" customFormat="false" ht="12.8" hidden="false" customHeight="false" outlineLevel="0" collapsed="false">
      <c r="A31147" s="0" t="s">
        <v>11553</v>
      </c>
      <c r="B31147" s="0" t="str">
        <f aca="false">HYPERLINK("https://lindat.mff.cuni.cz/services/teitok/pdtc10/index.php?action=vallex&amp;frame=v-w4297f2_ZU", "probouzet (v-w4297f2_ZU)")</f>
        <v>probouzet (v-w4297f2_ZU)</v>
      </c>
    </row>
    <row r="31148" customFormat="false" ht="12.8" hidden="false" customHeight="false" outlineLevel="0" collapsed="false">
      <c r="B31148" s="0" t="s">
        <v>7</v>
      </c>
    </row>
    <row r="31149" customFormat="false" ht="12.8" hidden="false" customHeight="false" outlineLevel="0" collapsed="false">
      <c r="B31149" s="0" t="s">
        <v>11554</v>
      </c>
    </row>
    <row r="31151" customFormat="false" ht="12.8" hidden="false" customHeight="false" outlineLevel="0" collapsed="false">
      <c r="A31151" s="0" t="s">
        <v>11553</v>
      </c>
      <c r="B31151" s="0" t="str">
        <f aca="false">HYPERLINK("https://lindat.mff.cuni.cz/services/teitok/pdtc10/index.php?action=vallex&amp;frame=v-w4297f1", "probouzet (v-w4297f1) - substituted with v-w4297f2_ZU")</f>
        <v>probouzet (v-w4297f1) - substituted with v-w4297f2_ZU</v>
      </c>
    </row>
    <row r="31152" customFormat="false" ht="12.8" hidden="false" customHeight="false" outlineLevel="0" collapsed="false">
      <c r="B31152" s="0" t="s">
        <v>7</v>
      </c>
    </row>
    <row r="31153" customFormat="false" ht="12.8" hidden="false" customHeight="false" outlineLevel="0" collapsed="false">
      <c r="B31153" s="0" t="s">
        <v>11554</v>
      </c>
    </row>
    <row r="31155" customFormat="false" ht="12.8" hidden="false" customHeight="false" outlineLevel="0" collapsed="false">
      <c r="A31155" s="0" t="s">
        <v>11555</v>
      </c>
      <c r="B31155" s="0" t="str">
        <f aca="false">HYPERLINK("https://lindat.mff.cuni.cz/services/teitok/pdtc10/index.php?action=vallex&amp;frame=v-w4297f3_ZU", "probouzet (v-w4297f3_ZU)")</f>
        <v>probouzet (v-w4297f3_ZU)</v>
      </c>
    </row>
    <row r="31156" customFormat="false" ht="12.8" hidden="false" customHeight="false" outlineLevel="0" collapsed="false">
      <c r="B31156" s="0" t="s">
        <v>7</v>
      </c>
    </row>
    <row r="31157" customFormat="false" ht="12.8" hidden="false" customHeight="false" outlineLevel="0" collapsed="false">
      <c r="B31157" s="0" t="s">
        <v>14</v>
      </c>
    </row>
    <row r="31158" customFormat="false" ht="12.8" hidden="false" customHeight="false" outlineLevel="0" collapsed="false">
      <c r="B31158" s="0" t="s">
        <v>35</v>
      </c>
    </row>
    <row r="31160" customFormat="false" ht="12.8" hidden="false" customHeight="false" outlineLevel="0" collapsed="false">
      <c r="A31160" s="0" t="s">
        <v>11556</v>
      </c>
      <c r="B31160" s="0" t="str">
        <f aca="false">HYPERLINK("https://lindat.mff.cuni.cz/services/teitok/pdtc10/index.php?action=vallex&amp;frame=v-w4298f1", "probouzet se (v-w4298f1)")</f>
        <v>probouzet se (v-w4298f1)</v>
      </c>
    </row>
    <row r="31161" customFormat="false" ht="12.8" hidden="false" customHeight="false" outlineLevel="0" collapsed="false">
      <c r="B31161" s="0" t="s">
        <v>7</v>
      </c>
      <c r="C31161" s="0" t="s">
        <v>11557</v>
      </c>
      <c r="D31161" s="0" t="s">
        <v>580</v>
      </c>
      <c r="E31161" s="0" t="s">
        <v>580</v>
      </c>
      <c r="F31161" s="0" t="s">
        <v>580</v>
      </c>
    </row>
    <row r="31162" customFormat="false" ht="12.8" hidden="false" customHeight="false" outlineLevel="0" collapsed="false">
      <c r="B31162" s="0" t="s">
        <v>581</v>
      </c>
    </row>
    <row r="31164" customFormat="false" ht="12.8" hidden="false" customHeight="false" outlineLevel="0" collapsed="false">
      <c r="A31164" s="0" t="s">
        <v>11558</v>
      </c>
      <c r="B31164" s="0" t="str">
        <f aca="false">HYPERLINK("https://lindat.mff.cuni.cz/services/teitok/pdtc10/index.php?action=vallex&amp;frame=v-whsa_1647hsa_1648", "probořit se (v-whsa_1647hsa_1648)")</f>
        <v>probořit se (v-whsa_1647hsa_1648)</v>
      </c>
    </row>
    <row r="31165" customFormat="false" ht="12.8" hidden="false" customHeight="false" outlineLevel="0" collapsed="false">
      <c r="B31165" s="0" t="s">
        <v>7</v>
      </c>
    </row>
    <row r="31167" customFormat="false" ht="12.8" hidden="false" customHeight="false" outlineLevel="0" collapsed="false">
      <c r="A31167" s="0" t="s">
        <v>11559</v>
      </c>
      <c r="B31167" s="0" t="str">
        <f aca="false">HYPERLINK("https://lindat.mff.cuni.cz/services/teitok/pdtc10/index.php?action=vallex&amp;frame=v-w4299f1", "probrat (v-w4299f1)")</f>
        <v>probrat (v-w4299f1)</v>
      </c>
    </row>
    <row r="31168" customFormat="false" ht="12.8" hidden="false" customHeight="false" outlineLevel="0" collapsed="false">
      <c r="B31168" s="0" t="s">
        <v>7</v>
      </c>
      <c r="C31168" s="0" t="s">
        <v>11560</v>
      </c>
      <c r="D31168" s="0" t="s">
        <v>209</v>
      </c>
      <c r="E31168" s="0" t="s">
        <v>209</v>
      </c>
      <c r="F31168" s="0" t="s">
        <v>209</v>
      </c>
    </row>
    <row r="31169" customFormat="false" ht="12.8" hidden="false" customHeight="false" outlineLevel="0" collapsed="false">
      <c r="B31169" s="0" t="s">
        <v>172</v>
      </c>
      <c r="C31169" s="0" t="s">
        <v>2813</v>
      </c>
      <c r="D31169" s="0" t="s">
        <v>211</v>
      </c>
      <c r="E31169" s="0" t="s">
        <v>211</v>
      </c>
      <c r="F31169" s="0" t="s">
        <v>211</v>
      </c>
    </row>
    <row r="31170" customFormat="false" ht="12.8" hidden="false" customHeight="false" outlineLevel="0" collapsed="false">
      <c r="B31170" s="0" t="s">
        <v>207</v>
      </c>
      <c r="C31170" s="0" t="s">
        <v>1512</v>
      </c>
      <c r="D31170" s="0" t="s">
        <v>213</v>
      </c>
      <c r="E31170" s="0" t="s">
        <v>213</v>
      </c>
      <c r="F31170" s="0" t="s">
        <v>213</v>
      </c>
    </row>
    <row r="31172" customFormat="false" ht="12.8" hidden="false" customHeight="false" outlineLevel="0" collapsed="false">
      <c r="A31172" s="0" t="s">
        <v>11561</v>
      </c>
      <c r="B31172" s="0" t="str">
        <f aca="false">HYPERLINK("https://lindat.mff.cuni.cz/services/teitok/pdtc10/index.php?action=vallex&amp;frame=v-w4299f3", "probrat (v-w4299f3)")</f>
        <v>probrat (v-w4299f3)</v>
      </c>
    </row>
    <row r="31173" customFormat="false" ht="12.8" hidden="false" customHeight="false" outlineLevel="0" collapsed="false">
      <c r="B31173" s="0" t="s">
        <v>7</v>
      </c>
      <c r="D31173" s="0" t="s">
        <v>46</v>
      </c>
      <c r="E31173" s="0" t="s">
        <v>46</v>
      </c>
      <c r="F31173" s="0" t="s">
        <v>46</v>
      </c>
    </row>
    <row r="31174" customFormat="false" ht="12.8" hidden="false" customHeight="false" outlineLevel="0" collapsed="false">
      <c r="B31174" s="0" t="s">
        <v>14</v>
      </c>
      <c r="D31174" s="0" t="s">
        <v>567</v>
      </c>
      <c r="E31174" s="0" t="s">
        <v>567</v>
      </c>
      <c r="F31174" s="0" t="s">
        <v>567</v>
      </c>
    </row>
    <row r="31175" customFormat="false" ht="12.8" hidden="false" customHeight="false" outlineLevel="0" collapsed="false">
      <c r="B31175" s="0" t="s">
        <v>35</v>
      </c>
    </row>
    <row r="31177" customFormat="false" ht="12.8" hidden="false" customHeight="false" outlineLevel="0" collapsed="false">
      <c r="A31177" s="0" t="s">
        <v>11562</v>
      </c>
      <c r="B31177" s="0" t="str">
        <f aca="false">HYPERLINK("https://lindat.mff.cuni.cz/services/teitok/pdtc10/index.php?action=vallex&amp;frame=v-w4299f2", "probrat (v-w4299f2)")</f>
        <v>probrat (v-w4299f2)</v>
      </c>
    </row>
    <row r="31178" customFormat="false" ht="12.8" hidden="false" customHeight="false" outlineLevel="0" collapsed="false">
      <c r="B31178" s="0" t="s">
        <v>7</v>
      </c>
    </row>
    <row r="31179" customFormat="false" ht="12.8" hidden="false" customHeight="false" outlineLevel="0" collapsed="false">
      <c r="B31179" s="0" t="s">
        <v>14</v>
      </c>
    </row>
    <row r="31181" customFormat="false" ht="12.8" hidden="false" customHeight="false" outlineLevel="0" collapsed="false">
      <c r="A31181" s="0" t="s">
        <v>11563</v>
      </c>
      <c r="B31181" s="0" t="str">
        <f aca="false">HYPERLINK("https://lindat.mff.cuni.cz/services/teitok/pdtc10/index.php?action=vallex&amp;frame=v-w4299f4_ZU", "probrat (v-w4299f4_ZU)")</f>
        <v>probrat (v-w4299f4_ZU)</v>
      </c>
    </row>
    <row r="31182" customFormat="false" ht="12.8" hidden="false" customHeight="false" outlineLevel="0" collapsed="false">
      <c r="B31182" s="0" t="s">
        <v>7</v>
      </c>
      <c r="D31182" s="0" t="s">
        <v>191</v>
      </c>
      <c r="E31182" s="0" t="s">
        <v>191</v>
      </c>
      <c r="F31182" s="0" t="s">
        <v>191</v>
      </c>
    </row>
    <row r="31183" customFormat="false" ht="12.8" hidden="false" customHeight="false" outlineLevel="0" collapsed="false">
      <c r="B31183" s="0" t="s">
        <v>14</v>
      </c>
      <c r="D31183" s="0" t="s">
        <v>33</v>
      </c>
      <c r="E31183" s="0" t="s">
        <v>33</v>
      </c>
      <c r="F31183" s="0" t="s">
        <v>33</v>
      </c>
    </row>
    <row r="31185" customFormat="false" ht="12.8" hidden="false" customHeight="false" outlineLevel="0" collapsed="false">
      <c r="A31185" s="0" t="s">
        <v>11564</v>
      </c>
      <c r="B31185" s="0" t="str">
        <f aca="false">HYPERLINK("https://lindat.mff.cuni.cz/services/teitok/pdtc10/index.php?action=vallex&amp;frame=v-w4300f1", "probrat se (v-w4300f1)")</f>
        <v>probrat se (v-w4300f1)</v>
      </c>
    </row>
    <row r="31186" customFormat="false" ht="12.8" hidden="false" customHeight="false" outlineLevel="0" collapsed="false">
      <c r="B31186" s="0" t="s">
        <v>7</v>
      </c>
      <c r="C31186" s="0" t="s">
        <v>272</v>
      </c>
      <c r="D31186" s="0" t="s">
        <v>580</v>
      </c>
      <c r="E31186" s="0" t="s">
        <v>580</v>
      </c>
      <c r="F31186" s="0" t="s">
        <v>580</v>
      </c>
    </row>
    <row r="31187" customFormat="false" ht="12.8" hidden="false" customHeight="false" outlineLevel="0" collapsed="false">
      <c r="B31187" s="0" t="s">
        <v>581</v>
      </c>
    </row>
    <row r="31189" customFormat="false" ht="12.8" hidden="false" customHeight="false" outlineLevel="0" collapsed="false">
      <c r="A31189" s="0" t="s">
        <v>11565</v>
      </c>
      <c r="B31189" s="0" t="str">
        <f aca="false">HYPERLINK("https://lindat.mff.cuni.cz/services/teitok/pdtc10/index.php?action=vallex&amp;frame=v-w4300f2_ZU", "probrat se (v-w4300f2_ZU)")</f>
        <v>probrat se (v-w4300f2_ZU)</v>
      </c>
    </row>
    <row r="31190" customFormat="false" ht="12.8" hidden="false" customHeight="false" outlineLevel="0" collapsed="false">
      <c r="B31190" s="0" t="s">
        <v>7</v>
      </c>
      <c r="C31190" s="0" t="s">
        <v>191</v>
      </c>
      <c r="D31190" s="0" t="s">
        <v>191</v>
      </c>
      <c r="E31190" s="0" t="s">
        <v>191</v>
      </c>
      <c r="F31190" s="0" t="s">
        <v>191</v>
      </c>
    </row>
    <row r="31191" customFormat="false" ht="12.8" hidden="false" customHeight="false" outlineLevel="0" collapsed="false">
      <c r="B31191" s="0" t="s">
        <v>4324</v>
      </c>
      <c r="C31191" s="0" t="s">
        <v>11566</v>
      </c>
      <c r="D31191" s="0" t="s">
        <v>11566</v>
      </c>
      <c r="E31191" s="0" t="s">
        <v>11566</v>
      </c>
      <c r="F31191" s="0" t="s">
        <v>11566</v>
      </c>
    </row>
    <row r="31193" customFormat="false" ht="12.8" hidden="false" customHeight="false" outlineLevel="0" collapsed="false">
      <c r="A31193" s="0" t="s">
        <v>11567</v>
      </c>
      <c r="B31193" s="0" t="str">
        <f aca="false">HYPERLINK("https://lindat.mff.cuni.cz/services/teitok/pdtc10/index.php?action=vallex&amp;frame=v-w4301f4_ZU", "probudit (v-w4301f4_ZU)")</f>
        <v>probudit (v-w4301f4_ZU)</v>
      </c>
    </row>
    <row r="31194" customFormat="false" ht="12.8" hidden="false" customHeight="false" outlineLevel="0" collapsed="false">
      <c r="B31194" s="0" t="s">
        <v>979</v>
      </c>
    </row>
    <row r="31195" customFormat="false" ht="12.8" hidden="false" customHeight="false" outlineLevel="0" collapsed="false">
      <c r="B31195" s="0" t="s">
        <v>14</v>
      </c>
    </row>
    <row r="31196" customFormat="false" ht="12.8" hidden="false" customHeight="false" outlineLevel="0" collapsed="false">
      <c r="B31196" s="0" t="s">
        <v>35</v>
      </c>
    </row>
    <row r="31198" customFormat="false" ht="12.8" hidden="false" customHeight="false" outlineLevel="0" collapsed="false">
      <c r="A31198" s="0" t="s">
        <v>11567</v>
      </c>
      <c r="B31198" s="0" t="str">
        <f aca="false">HYPERLINK("https://lindat.mff.cuni.cz/services/teitok/pdtc10/index.php?action=vallex&amp;frame=v-w4301f2", "probudit (v-w4301f2) - substituted with v-w4301f4_ZU")</f>
        <v>probudit (v-w4301f2) - substituted with v-w4301f4_ZU</v>
      </c>
    </row>
    <row r="31199" customFormat="false" ht="12.8" hidden="false" customHeight="false" outlineLevel="0" collapsed="false">
      <c r="B31199" s="0" t="s">
        <v>979</v>
      </c>
      <c r="C31199" s="0" t="s">
        <v>191</v>
      </c>
      <c r="D31199" s="0" t="s">
        <v>11568</v>
      </c>
      <c r="E31199" s="0" t="s">
        <v>11568</v>
      </c>
      <c r="F31199" s="0" t="s">
        <v>11568</v>
      </c>
    </row>
    <row r="31200" customFormat="false" ht="12.8" hidden="false" customHeight="false" outlineLevel="0" collapsed="false">
      <c r="B31200" s="0" t="s">
        <v>14</v>
      </c>
      <c r="C31200" s="0" t="s">
        <v>33</v>
      </c>
      <c r="D31200" s="0" t="s">
        <v>11569</v>
      </c>
      <c r="E31200" s="0" t="s">
        <v>11569</v>
      </c>
      <c r="F31200" s="0" t="s">
        <v>11569</v>
      </c>
    </row>
    <row r="31201" customFormat="false" ht="12.8" hidden="false" customHeight="false" outlineLevel="0" collapsed="false">
      <c r="B31201" s="0" t="s">
        <v>35</v>
      </c>
    </row>
    <row r="31203" customFormat="false" ht="12.8" hidden="false" customHeight="false" outlineLevel="0" collapsed="false">
      <c r="A31203" s="0" t="s">
        <v>11570</v>
      </c>
      <c r="B31203" s="0" t="str">
        <f aca="false">HYPERLINK("https://lindat.mff.cuni.cz/services/teitok/pdtc10/index.php?action=vallex&amp;frame=v-w4301f3", "probudit (v-w4301f3)")</f>
        <v>probudit (v-w4301f3)</v>
      </c>
    </row>
    <row r="31204" customFormat="false" ht="12.8" hidden="false" customHeight="false" outlineLevel="0" collapsed="false">
      <c r="B31204" s="0" t="s">
        <v>7</v>
      </c>
    </row>
    <row r="31205" customFormat="false" ht="12.8" hidden="false" customHeight="false" outlineLevel="0" collapsed="false">
      <c r="B31205" s="0" t="s">
        <v>14</v>
      </c>
    </row>
    <row r="31206" customFormat="false" ht="12.8" hidden="false" customHeight="false" outlineLevel="0" collapsed="false">
      <c r="B31206" s="0" t="s">
        <v>11</v>
      </c>
    </row>
    <row r="31208" customFormat="false" ht="12.8" hidden="false" customHeight="false" outlineLevel="0" collapsed="false">
      <c r="A31208" s="0" t="s">
        <v>11571</v>
      </c>
      <c r="B31208" s="0" t="str">
        <f aca="false">HYPERLINK("https://lindat.mff.cuni.cz/services/teitok/pdtc10/index.php?action=vallex&amp;frame=v-w4301hsa_1035", "probudit (v-w4301hsa_1035)")</f>
        <v>probudit (v-w4301hsa_1035)</v>
      </c>
    </row>
    <row r="31209" customFormat="false" ht="12.8" hidden="false" customHeight="false" outlineLevel="0" collapsed="false">
      <c r="B31209" s="0" t="s">
        <v>7</v>
      </c>
      <c r="C31209" s="0" t="s">
        <v>2736</v>
      </c>
    </row>
    <row r="31210" customFormat="false" ht="12.8" hidden="false" customHeight="false" outlineLevel="0" collapsed="false">
      <c r="B31210" s="0" t="s">
        <v>11572</v>
      </c>
    </row>
    <row r="31211" customFormat="false" ht="12.8" hidden="false" customHeight="false" outlineLevel="0" collapsed="false">
      <c r="B31211" s="0" t="s">
        <v>11</v>
      </c>
      <c r="C31211" s="0" t="s">
        <v>11573</v>
      </c>
    </row>
    <row r="31213" customFormat="false" ht="12.8" hidden="false" customHeight="false" outlineLevel="0" collapsed="false">
      <c r="A31213" s="0" t="s">
        <v>11571</v>
      </c>
      <c r="B31213" s="0" t="str">
        <f aca="false">HYPERLINK("https://lindat.mff.cuni.cz/services/teitok/pdtc10/index.php?action=vallex&amp;frame=v-w4301f1", "probudit (v-w4301f1) - substituted with v-w4301hsa_1035")</f>
        <v>probudit (v-w4301f1) - substituted with v-w4301hsa_1035</v>
      </c>
    </row>
    <row r="31214" customFormat="false" ht="12.8" hidden="false" customHeight="false" outlineLevel="0" collapsed="false">
      <c r="B31214" s="0" t="s">
        <v>7</v>
      </c>
    </row>
    <row r="31215" customFormat="false" ht="12.8" hidden="false" customHeight="false" outlineLevel="0" collapsed="false">
      <c r="B31215" s="0" t="s">
        <v>11572</v>
      </c>
    </row>
    <row r="31216" customFormat="false" ht="12.8" hidden="false" customHeight="false" outlineLevel="0" collapsed="false">
      <c r="B31216" s="0" t="s">
        <v>11</v>
      </c>
    </row>
    <row r="31218" customFormat="false" ht="12.8" hidden="false" customHeight="false" outlineLevel="0" collapsed="false">
      <c r="A31218" s="0" t="s">
        <v>11574</v>
      </c>
      <c r="B31218" s="0" t="str">
        <f aca="false">HYPERLINK("https://lindat.mff.cuni.cz/services/teitok/pdtc10/index.php?action=vallex&amp;frame=v-w4302f1", "probudit se (v-w4302f1)")</f>
        <v>probudit se (v-w4302f1)</v>
      </c>
    </row>
    <row r="31219" customFormat="false" ht="12.8" hidden="false" customHeight="false" outlineLevel="0" collapsed="false">
      <c r="B31219" s="0" t="s">
        <v>7</v>
      </c>
      <c r="C31219" s="0" t="s">
        <v>272</v>
      </c>
      <c r="D31219" s="0" t="s">
        <v>580</v>
      </c>
      <c r="E31219" s="0" t="s">
        <v>580</v>
      </c>
      <c r="F31219" s="0" t="s">
        <v>580</v>
      </c>
    </row>
    <row r="31220" customFormat="false" ht="12.8" hidden="false" customHeight="false" outlineLevel="0" collapsed="false">
      <c r="B31220" s="0" t="s">
        <v>581</v>
      </c>
    </row>
    <row r="31222" customFormat="false" ht="12.8" hidden="false" customHeight="false" outlineLevel="0" collapsed="false">
      <c r="A31222" s="0" t="s">
        <v>11575</v>
      </c>
      <c r="B31222" s="0" t="str">
        <f aca="false">HYPERLINK("https://lindat.mff.cuni.cz/services/teitok/pdtc10/index.php?action=vallex&amp;frame=v-w4302f2", "probudit se (v-w4302f2)")</f>
        <v>probudit se (v-w4302f2)</v>
      </c>
    </row>
    <row r="31223" customFormat="false" ht="12.8" hidden="false" customHeight="false" outlineLevel="0" collapsed="false">
      <c r="B31223" s="0" t="s">
        <v>7</v>
      </c>
      <c r="C31223" s="0" t="s">
        <v>272</v>
      </c>
      <c r="D31223" s="0" t="s">
        <v>580</v>
      </c>
      <c r="E31223" s="0" t="s">
        <v>580</v>
      </c>
      <c r="F31223" s="0" t="s">
        <v>580</v>
      </c>
    </row>
    <row r="31224" customFormat="false" ht="12.8" hidden="false" customHeight="false" outlineLevel="0" collapsed="false">
      <c r="B31224" s="0" t="s">
        <v>581</v>
      </c>
    </row>
    <row r="31226" customFormat="false" ht="12.8" hidden="false" customHeight="false" outlineLevel="0" collapsed="false">
      <c r="A31226" s="0" t="s">
        <v>11576</v>
      </c>
      <c r="B31226" s="0" t="str">
        <f aca="false">HYPERLINK("https://lindat.mff.cuni.cz/services/teitok/pdtc10/index.php?action=vallex&amp;frame=v-w4302f3_ZU", "probudit se (v-w4302f3_ZU)")</f>
        <v>probudit se (v-w4302f3_ZU)</v>
      </c>
    </row>
    <row r="31227" customFormat="false" ht="12.8" hidden="false" customHeight="false" outlineLevel="0" collapsed="false">
      <c r="B31227" s="0" t="s">
        <v>7</v>
      </c>
      <c r="C31227" s="0" t="s">
        <v>200</v>
      </c>
      <c r="D31227" s="0" t="s">
        <v>288</v>
      </c>
      <c r="E31227" s="0" t="s">
        <v>288</v>
      </c>
      <c r="F31227" s="0" t="s">
        <v>288</v>
      </c>
    </row>
    <row r="31228" customFormat="false" ht="12.8" hidden="false" customHeight="false" outlineLevel="0" collapsed="false">
      <c r="B31228" s="0" t="s">
        <v>11577</v>
      </c>
      <c r="C31228" s="0" t="s">
        <v>7798</v>
      </c>
    </row>
    <row r="31230" customFormat="false" ht="12.8" hidden="false" customHeight="false" outlineLevel="0" collapsed="false">
      <c r="A31230" s="0" t="s">
        <v>11578</v>
      </c>
      <c r="B31230" s="0" t="str">
        <f aca="false">HYPERLINK("https://lindat.mff.cuni.cz/services/teitok/pdtc10/index.php?action=vallex&amp;frame=v-w11665_ZUf1_ZU", "probádat (v-w11665_ZUf1_ZU)")</f>
        <v>probádat (v-w11665_ZUf1_ZU)</v>
      </c>
    </row>
    <row r="31231" customFormat="false" ht="12.8" hidden="false" customHeight="false" outlineLevel="0" collapsed="false">
      <c r="B31231" s="0" t="s">
        <v>7</v>
      </c>
      <c r="C31231" s="0" t="s">
        <v>2736</v>
      </c>
      <c r="D31231" s="0" t="s">
        <v>92</v>
      </c>
      <c r="E31231" s="0" t="s">
        <v>92</v>
      </c>
      <c r="F31231" s="0" t="s">
        <v>92</v>
      </c>
    </row>
    <row r="31232" customFormat="false" ht="12.8" hidden="false" customHeight="false" outlineLevel="0" collapsed="false">
      <c r="B31232" s="0" t="s">
        <v>14</v>
      </c>
      <c r="C31232" s="0" t="s">
        <v>1571</v>
      </c>
      <c r="D31232" s="0" t="s">
        <v>95</v>
      </c>
      <c r="E31232" s="0" t="s">
        <v>95</v>
      </c>
      <c r="F31232" s="0" t="s">
        <v>95</v>
      </c>
    </row>
    <row r="31234" customFormat="false" ht="12.8" hidden="false" customHeight="false" outlineLevel="0" collapsed="false">
      <c r="A31234" s="0" t="s">
        <v>11579</v>
      </c>
      <c r="B31234" s="0" t="str">
        <f aca="false">HYPERLINK("https://lindat.mff.cuni.cz/services/teitok/pdtc10/index.php?action=vallex&amp;frame=v-w4287f2", "probíhat (v-w4287f2)")</f>
        <v>probíhat (v-w4287f2)</v>
      </c>
    </row>
    <row r="31235" customFormat="false" ht="12.8" hidden="false" customHeight="false" outlineLevel="0" collapsed="false">
      <c r="B31235" s="0" t="s">
        <v>7</v>
      </c>
    </row>
    <row r="31236" customFormat="false" ht="12.8" hidden="false" customHeight="false" outlineLevel="0" collapsed="false">
      <c r="B31236" s="0" t="s">
        <v>259</v>
      </c>
    </row>
    <row r="31238" customFormat="false" ht="12.8" hidden="false" customHeight="false" outlineLevel="0" collapsed="false">
      <c r="A31238" s="0" t="s">
        <v>11580</v>
      </c>
      <c r="B31238" s="0" t="str">
        <f aca="false">HYPERLINK("https://lindat.mff.cuni.cz/services/teitok/pdtc10/index.php?action=vallex&amp;frame=v-w4287f1", "probíhat (v-w4287f1)")</f>
        <v>probíhat (v-w4287f1)</v>
      </c>
    </row>
    <row r="31239" customFormat="false" ht="12.8" hidden="false" customHeight="false" outlineLevel="0" collapsed="false">
      <c r="B31239" s="0" t="s">
        <v>7</v>
      </c>
      <c r="C31239" s="0" t="s">
        <v>11581</v>
      </c>
      <c r="D31239" s="0" t="s">
        <v>1108</v>
      </c>
      <c r="E31239" s="0" t="s">
        <v>1108</v>
      </c>
      <c r="F31239" s="0" t="s">
        <v>1108</v>
      </c>
    </row>
    <row r="31241" customFormat="false" ht="12.8" hidden="false" customHeight="false" outlineLevel="0" collapsed="false">
      <c r="A31241" s="0" t="s">
        <v>11582</v>
      </c>
      <c r="B31241" s="0" t="str">
        <f aca="false">HYPERLINK("https://lindat.mff.cuni.cz/services/teitok/pdtc10/index.php?action=vallex&amp;frame=v-w4287f3", "probíhat (v-w4287f3)")</f>
        <v>probíhat (v-w4287f3)</v>
      </c>
    </row>
    <row r="31242" customFormat="false" ht="12.8" hidden="false" customHeight="false" outlineLevel="0" collapsed="false">
      <c r="B31242" s="0" t="s">
        <v>7</v>
      </c>
    </row>
    <row r="31243" customFormat="false" ht="12.8" hidden="false" customHeight="false" outlineLevel="0" collapsed="false">
      <c r="B31243" s="0" t="s">
        <v>11583</v>
      </c>
    </row>
    <row r="31245" customFormat="false" ht="12.8" hidden="false" customHeight="false" outlineLevel="0" collapsed="false">
      <c r="A31245" s="0" t="s">
        <v>11584</v>
      </c>
      <c r="B31245" s="0" t="str">
        <f aca="false">HYPERLINK("https://lindat.mff.cuni.cz/services/teitok/pdtc10/index.php?action=vallex&amp;frame=v-w4287f4_ZU", "probíhat (v-w4287f4_ZU)")</f>
        <v>probíhat (v-w4287f4_ZU)</v>
      </c>
    </row>
    <row r="31246" customFormat="false" ht="12.8" hidden="false" customHeight="false" outlineLevel="0" collapsed="false">
      <c r="B31246" s="0" t="s">
        <v>7</v>
      </c>
    </row>
    <row r="31248" customFormat="false" ht="12.8" hidden="false" customHeight="false" outlineLevel="0" collapsed="false">
      <c r="A31248" s="0" t="s">
        <v>11585</v>
      </c>
      <c r="B31248" s="0" t="str">
        <f aca="false">HYPERLINK("https://lindat.mff.cuni.cz/services/teitok/pdtc10/index.php?action=vallex&amp;frame=v-w4289f2", "probírat (v-w4289f2)")</f>
        <v>probírat (v-w4289f2)</v>
      </c>
    </row>
    <row r="31249" customFormat="false" ht="12.8" hidden="false" customHeight="false" outlineLevel="0" collapsed="false">
      <c r="B31249" s="0" t="s">
        <v>7</v>
      </c>
      <c r="C31249" s="0" t="s">
        <v>1509</v>
      </c>
      <c r="D31249" s="0" t="s">
        <v>209</v>
      </c>
      <c r="E31249" s="0" t="s">
        <v>209</v>
      </c>
      <c r="F31249" s="0" t="s">
        <v>209</v>
      </c>
    </row>
    <row r="31250" customFormat="false" ht="12.8" hidden="false" customHeight="false" outlineLevel="0" collapsed="false">
      <c r="B31250" s="0" t="s">
        <v>54</v>
      </c>
      <c r="C31250" s="0" t="s">
        <v>1511</v>
      </c>
      <c r="D31250" s="0" t="s">
        <v>211</v>
      </c>
      <c r="E31250" s="0" t="s">
        <v>211</v>
      </c>
      <c r="F31250" s="0" t="s">
        <v>211</v>
      </c>
    </row>
    <row r="31251" customFormat="false" ht="12.8" hidden="false" customHeight="false" outlineLevel="0" collapsed="false">
      <c r="B31251" s="0" t="s">
        <v>207</v>
      </c>
      <c r="C31251" s="0" t="s">
        <v>1512</v>
      </c>
      <c r="D31251" s="0" t="s">
        <v>213</v>
      </c>
      <c r="E31251" s="0" t="s">
        <v>213</v>
      </c>
      <c r="F31251" s="0" t="s">
        <v>213</v>
      </c>
    </row>
    <row r="31253" customFormat="false" ht="12.8" hidden="false" customHeight="false" outlineLevel="0" collapsed="false">
      <c r="A31253" s="0" t="s">
        <v>11586</v>
      </c>
      <c r="B31253" s="0" t="str">
        <f aca="false">HYPERLINK("https://lindat.mff.cuni.cz/services/teitok/pdtc10/index.php?action=vallex&amp;frame=v-w4289f3", "probírat (v-w4289f3)")</f>
        <v>probírat (v-w4289f3)</v>
      </c>
    </row>
    <row r="31254" customFormat="false" ht="12.8" hidden="false" customHeight="false" outlineLevel="0" collapsed="false">
      <c r="B31254" s="0" t="s">
        <v>7</v>
      </c>
      <c r="D31254" s="0" t="s">
        <v>46</v>
      </c>
      <c r="E31254" s="0" t="s">
        <v>46</v>
      </c>
      <c r="F31254" s="0" t="s">
        <v>46</v>
      </c>
    </row>
    <row r="31255" customFormat="false" ht="12.8" hidden="false" customHeight="false" outlineLevel="0" collapsed="false">
      <c r="B31255" s="0" t="s">
        <v>14</v>
      </c>
      <c r="D31255" s="0" t="s">
        <v>567</v>
      </c>
      <c r="E31255" s="0" t="s">
        <v>567</v>
      </c>
      <c r="F31255" s="0" t="s">
        <v>567</v>
      </c>
    </row>
    <row r="31256" customFormat="false" ht="12.8" hidden="false" customHeight="false" outlineLevel="0" collapsed="false">
      <c r="B31256" s="0" t="s">
        <v>35</v>
      </c>
    </row>
    <row r="31258" customFormat="false" ht="12.8" hidden="false" customHeight="false" outlineLevel="0" collapsed="false">
      <c r="A31258" s="0" t="s">
        <v>11587</v>
      </c>
      <c r="B31258" s="0" t="str">
        <f aca="false">HYPERLINK("https://lindat.mff.cuni.cz/services/teitok/pdtc10/index.php?action=vallex&amp;frame=v-w4289f1", "probírat (v-w4289f1)")</f>
        <v>probírat (v-w4289f1)</v>
      </c>
    </row>
    <row r="31259" customFormat="false" ht="12.8" hidden="false" customHeight="false" outlineLevel="0" collapsed="false">
      <c r="B31259" s="0" t="s">
        <v>7</v>
      </c>
      <c r="D31259" s="0" t="s">
        <v>191</v>
      </c>
      <c r="E31259" s="0" t="s">
        <v>191</v>
      </c>
      <c r="F31259" s="0" t="s">
        <v>191</v>
      </c>
    </row>
    <row r="31260" customFormat="false" ht="12.8" hidden="false" customHeight="false" outlineLevel="0" collapsed="false">
      <c r="B31260" s="0" t="s">
        <v>14</v>
      </c>
      <c r="C31260" s="0" t="s">
        <v>567</v>
      </c>
      <c r="D31260" s="0" t="s">
        <v>33</v>
      </c>
      <c r="E31260" s="0" t="s">
        <v>33</v>
      </c>
      <c r="F31260" s="0" t="s">
        <v>33</v>
      </c>
    </row>
    <row r="31262" customFormat="false" ht="12.8" hidden="false" customHeight="false" outlineLevel="0" collapsed="false">
      <c r="A31262" s="0" t="s">
        <v>11588</v>
      </c>
      <c r="B31262" s="0" t="str">
        <f aca="false">HYPERLINK("https://lindat.mff.cuni.cz/services/teitok/pdtc10/index.php?action=vallex&amp;frame=v-w4289f4_ZU", "probírat (v-w4289f4_ZU)")</f>
        <v>probírat (v-w4289f4_ZU)</v>
      </c>
    </row>
    <row r="31263" customFormat="false" ht="12.8" hidden="false" customHeight="false" outlineLevel="0" collapsed="false">
      <c r="B31263" s="0" t="s">
        <v>7</v>
      </c>
      <c r="C31263" s="0" t="s">
        <v>3028</v>
      </c>
    </row>
    <row r="31264" customFormat="false" ht="12.8" hidden="false" customHeight="false" outlineLevel="0" collapsed="false">
      <c r="B31264" s="0" t="s">
        <v>14</v>
      </c>
      <c r="C31264" s="0" t="s">
        <v>324</v>
      </c>
    </row>
    <row r="31266" customFormat="false" ht="12.8" hidden="false" customHeight="false" outlineLevel="0" collapsed="false">
      <c r="A31266" s="0" t="s">
        <v>11588</v>
      </c>
      <c r="B31266" s="0" t="str">
        <f aca="false">HYPERLINK("https://lindat.mff.cuni.cz/services/teitok/pdtc10/index.php?action=vallex&amp;frame=v-w4289hsa_982", "probírat (v-w4289hsa_982) - substituted with v-w4289f4_ZU")</f>
        <v>probírat (v-w4289hsa_982) - substituted with v-w4289f4_ZU</v>
      </c>
    </row>
    <row r="31267" customFormat="false" ht="12.8" hidden="false" customHeight="false" outlineLevel="0" collapsed="false">
      <c r="B31267" s="0" t="s">
        <v>7</v>
      </c>
    </row>
    <row r="31268" customFormat="false" ht="12.8" hidden="false" customHeight="false" outlineLevel="0" collapsed="false">
      <c r="B31268" s="0" t="s">
        <v>14</v>
      </c>
    </row>
    <row r="31270" customFormat="false" ht="12.8" hidden="false" customHeight="false" outlineLevel="0" collapsed="false">
      <c r="A31270" s="0" t="s">
        <v>11589</v>
      </c>
      <c r="B31270" s="0" t="str">
        <f aca="false">HYPERLINK("https://lindat.mff.cuni.cz/services/teitok/pdtc10/index.php?action=vallex&amp;frame=v-w4290f1", "probírat se (v-w4290f1)")</f>
        <v>probírat se (v-w4290f1)</v>
      </c>
    </row>
    <row r="31271" customFormat="false" ht="12.8" hidden="false" customHeight="false" outlineLevel="0" collapsed="false">
      <c r="B31271" s="0" t="s">
        <v>7</v>
      </c>
    </row>
    <row r="31272" customFormat="false" ht="12.8" hidden="false" customHeight="false" outlineLevel="0" collapsed="false">
      <c r="B31272" s="0" t="s">
        <v>216</v>
      </c>
    </row>
    <row r="31274" customFormat="false" ht="12.8" hidden="false" customHeight="false" outlineLevel="0" collapsed="false">
      <c r="A31274" s="0" t="s">
        <v>11590</v>
      </c>
      <c r="B31274" s="0" t="str">
        <f aca="false">HYPERLINK("https://lindat.mff.cuni.cz/services/teitok/pdtc10/index.php?action=vallex&amp;frame=v-w4290hsa_947", "probírat se (v-w4290hsa_947)")</f>
        <v>probírat se (v-w4290hsa_947)</v>
      </c>
    </row>
    <row r="31275" customFormat="false" ht="12.8" hidden="false" customHeight="false" outlineLevel="0" collapsed="false">
      <c r="B31275" s="0" t="s">
        <v>7</v>
      </c>
      <c r="D31275" s="0" t="s">
        <v>191</v>
      </c>
      <c r="E31275" s="0" t="s">
        <v>191</v>
      </c>
      <c r="F31275" s="0" t="s">
        <v>191</v>
      </c>
    </row>
    <row r="31276" customFormat="false" ht="12.8" hidden="false" customHeight="false" outlineLevel="0" collapsed="false">
      <c r="B31276" s="0" t="s">
        <v>259</v>
      </c>
      <c r="D31276" s="0" t="s">
        <v>11566</v>
      </c>
      <c r="E31276" s="0" t="s">
        <v>11566</v>
      </c>
      <c r="F31276" s="0" t="s">
        <v>11566</v>
      </c>
    </row>
    <row r="31278" customFormat="false" ht="12.8" hidden="false" customHeight="false" outlineLevel="0" collapsed="false">
      <c r="A31278" s="0" t="s">
        <v>11591</v>
      </c>
      <c r="B31278" s="0" t="str">
        <f aca="false">HYPERLINK("https://lindat.mff.cuni.cz/services/teitok/pdtc10/index.php?action=vallex&amp;frame=v-w4291f1", "probít se (v-w4291f1)")</f>
        <v>probít se (v-w4291f1)</v>
      </c>
    </row>
    <row r="31279" customFormat="false" ht="12.8" hidden="false" customHeight="false" outlineLevel="0" collapsed="false">
      <c r="B31279" s="0" t="s">
        <v>7</v>
      </c>
    </row>
    <row r="31280" customFormat="false" ht="12.8" hidden="false" customHeight="false" outlineLevel="0" collapsed="false">
      <c r="B31280" s="0" t="s">
        <v>259</v>
      </c>
    </row>
    <row r="31282" customFormat="false" ht="12.8" hidden="false" customHeight="false" outlineLevel="0" collapsed="false">
      <c r="A31282" s="0" t="s">
        <v>11592</v>
      </c>
      <c r="B31282" s="0" t="str">
        <f aca="false">HYPERLINK("https://lindat.mff.cuni.cz/services/teitok/pdtc10/index.php?action=vallex&amp;frame=v-w4286f3_ZU", "proběhnout (v-w4286f3_ZU)")</f>
        <v>proběhnout (v-w4286f3_ZU)</v>
      </c>
    </row>
    <row r="31283" customFormat="false" ht="12.8" hidden="false" customHeight="false" outlineLevel="0" collapsed="false">
      <c r="B31283" s="0" t="s">
        <v>7</v>
      </c>
      <c r="C31283" s="0" t="s">
        <v>9967</v>
      </c>
    </row>
    <row r="31284" customFormat="false" ht="12.8" hidden="false" customHeight="false" outlineLevel="0" collapsed="false">
      <c r="B31284" s="0" t="s">
        <v>14</v>
      </c>
      <c r="C31284" s="0" t="s">
        <v>2278</v>
      </c>
    </row>
    <row r="31286" customFormat="false" ht="12.8" hidden="false" customHeight="false" outlineLevel="0" collapsed="false">
      <c r="A31286" s="0" t="s">
        <v>11593</v>
      </c>
      <c r="B31286" s="0" t="str">
        <f aca="false">HYPERLINK("https://lindat.mff.cuni.cz/services/teitok/pdtc10/index.php?action=vallex&amp;frame=v-w4286f2", "proběhnout (v-w4286f2)")</f>
        <v>proběhnout (v-w4286f2)</v>
      </c>
    </row>
    <row r="31287" customFormat="false" ht="12.8" hidden="false" customHeight="false" outlineLevel="0" collapsed="false">
      <c r="B31287" s="0" t="s">
        <v>7</v>
      </c>
      <c r="C31287" s="0" t="s">
        <v>184</v>
      </c>
    </row>
    <row r="31288" customFormat="false" ht="12.8" hidden="false" customHeight="false" outlineLevel="0" collapsed="false">
      <c r="B31288" s="0" t="s">
        <v>259</v>
      </c>
    </row>
    <row r="31290" customFormat="false" ht="12.8" hidden="false" customHeight="false" outlineLevel="0" collapsed="false">
      <c r="A31290" s="0" t="s">
        <v>11594</v>
      </c>
      <c r="B31290" s="0" t="str">
        <f aca="false">HYPERLINK("https://lindat.mff.cuni.cz/services/teitok/pdtc10/index.php?action=vallex&amp;frame=v-w4286f1", "proběhnout (v-w4286f1)")</f>
        <v>proběhnout (v-w4286f1)</v>
      </c>
    </row>
    <row r="31291" customFormat="false" ht="12.8" hidden="false" customHeight="false" outlineLevel="0" collapsed="false">
      <c r="B31291" s="0" t="s">
        <v>7</v>
      </c>
      <c r="C31291" s="0" t="s">
        <v>11595</v>
      </c>
      <c r="D31291" s="0" t="s">
        <v>288</v>
      </c>
      <c r="E31291" s="0" t="s">
        <v>288</v>
      </c>
      <c r="F31291" s="0" t="s">
        <v>288</v>
      </c>
    </row>
    <row r="31293" customFormat="false" ht="12.8" hidden="false" customHeight="false" outlineLevel="0" collapsed="false">
      <c r="A31293" s="0" t="s">
        <v>11596</v>
      </c>
      <c r="B31293" s="0" t="str">
        <f aca="false">HYPERLINK("https://lindat.mff.cuni.cz/services/teitok/pdtc10/index.php?action=vallex&amp;frame=v-w4286hsa_1675", "proběhnout (v-w4286hsa_1675)")</f>
        <v>proběhnout (v-w4286hsa_1675)</v>
      </c>
    </row>
    <row r="31294" customFormat="false" ht="12.8" hidden="false" customHeight="false" outlineLevel="0" collapsed="false">
      <c r="B31294" s="0" t="s">
        <v>7</v>
      </c>
    </row>
    <row r="31295" customFormat="false" ht="12.8" hidden="false" customHeight="false" outlineLevel="0" collapsed="false">
      <c r="B31295" s="0" t="s">
        <v>259</v>
      </c>
    </row>
    <row r="31297" customFormat="false" ht="12.8" hidden="false" customHeight="false" outlineLevel="0" collapsed="false">
      <c r="A31297" s="0" t="s">
        <v>11597</v>
      </c>
      <c r="B31297" s="0" t="str">
        <f aca="false">HYPERLINK("https://lindat.mff.cuni.cz/services/teitok/pdtc10/index.php?action=vallex&amp;frame=v-whsa_1712hsa_1713", "proběhnout se (v-whsa_1712hsa_1713)")</f>
        <v>proběhnout se (v-whsa_1712hsa_1713)</v>
      </c>
    </row>
    <row r="31298" customFormat="false" ht="12.8" hidden="false" customHeight="false" outlineLevel="0" collapsed="false">
      <c r="B31298" s="0" t="s">
        <v>7</v>
      </c>
    </row>
    <row r="31300" customFormat="false" ht="12.8" hidden="false" customHeight="false" outlineLevel="0" collapsed="false">
      <c r="A31300" s="0" t="s">
        <v>11598</v>
      </c>
      <c r="B31300" s="0" t="str">
        <f aca="false">HYPERLINK("https://lindat.mff.cuni.cz/services/teitok/pdtc10/index.php?action=vallex&amp;frame=v-w4304f1", "procedit (v-w4304f1)")</f>
        <v>procedit (v-w4304f1)</v>
      </c>
    </row>
    <row r="31301" customFormat="false" ht="12.8" hidden="false" customHeight="false" outlineLevel="0" collapsed="false">
      <c r="B31301" s="0" t="s">
        <v>7</v>
      </c>
    </row>
    <row r="31302" customFormat="false" ht="12.8" hidden="false" customHeight="false" outlineLevel="0" collapsed="false">
      <c r="B31302" s="0" t="s">
        <v>14</v>
      </c>
    </row>
    <row r="31303" customFormat="false" ht="12.8" hidden="false" customHeight="false" outlineLevel="0" collapsed="false">
      <c r="B31303" s="0" t="s">
        <v>106</v>
      </c>
    </row>
    <row r="31305" customFormat="false" ht="12.8" hidden="false" customHeight="false" outlineLevel="0" collapsed="false">
      <c r="A31305" s="0" t="s">
        <v>11599</v>
      </c>
      <c r="B31305" s="0" t="str">
        <f aca="false">HYPERLINK("https://lindat.mff.cuni.cz/services/teitok/pdtc10/index.php?action=vallex&amp;frame=v-w4304f2", "procedit (v-w4304f2)")</f>
        <v>procedit (v-w4304f2)</v>
      </c>
    </row>
    <row r="31306" customFormat="false" ht="12.8" hidden="false" customHeight="false" outlineLevel="0" collapsed="false">
      <c r="B31306" s="0" t="s">
        <v>7</v>
      </c>
    </row>
    <row r="31307" customFormat="false" ht="12.8" hidden="false" customHeight="false" outlineLevel="0" collapsed="false">
      <c r="B31307" s="0" t="s">
        <v>14</v>
      </c>
    </row>
    <row r="31309" customFormat="false" ht="12.8" hidden="false" customHeight="false" outlineLevel="0" collapsed="false">
      <c r="A31309" s="0" t="s">
        <v>11600</v>
      </c>
      <c r="B31309" s="0" t="str">
        <f aca="false">HYPERLINK("https://lindat.mff.cuni.cz/services/teitok/pdtc10/index.php?action=vallex&amp;frame=v-whsb_48hsa_49", "procestovat (v-whsb_48hsa_49)")</f>
        <v>procestovat (v-whsb_48hsa_49)</v>
      </c>
    </row>
    <row r="31310" customFormat="false" ht="12.8" hidden="false" customHeight="false" outlineLevel="0" collapsed="false">
      <c r="B31310" s="0" t="s">
        <v>7</v>
      </c>
    </row>
    <row r="31311" customFormat="false" ht="12.8" hidden="false" customHeight="false" outlineLevel="0" collapsed="false">
      <c r="B31311" s="0" t="s">
        <v>14</v>
      </c>
    </row>
    <row r="31313" customFormat="false" ht="12.8" hidden="false" customHeight="false" outlineLevel="0" collapsed="false">
      <c r="A31313" s="0" t="s">
        <v>11601</v>
      </c>
      <c r="B31313" s="0" t="str">
        <f aca="false">HYPERLINK("https://lindat.mff.cuni.cz/services/teitok/pdtc10/index.php?action=vallex&amp;frame=v-whsa_1944hsa_1945", "prochodit (v-whsa_1944hsa_1945)")</f>
        <v>prochodit (v-whsa_1944hsa_1945)</v>
      </c>
    </row>
    <row r="31314" customFormat="false" ht="12.8" hidden="false" customHeight="false" outlineLevel="0" collapsed="false">
      <c r="B31314" s="0" t="s">
        <v>7</v>
      </c>
    </row>
    <row r="31315" customFormat="false" ht="12.8" hidden="false" customHeight="false" outlineLevel="0" collapsed="false">
      <c r="B31315" s="0" t="s">
        <v>14</v>
      </c>
    </row>
    <row r="31317" customFormat="false" ht="12.8" hidden="false" customHeight="false" outlineLevel="0" collapsed="false">
      <c r="A31317" s="0" t="s">
        <v>11602</v>
      </c>
      <c r="B31317" s="0" t="str">
        <f aca="false">HYPERLINK("https://lindat.mff.cuni.cz/services/teitok/pdtc10/index.php?action=vallex&amp;frame=v-w4377f2", "procházet (v-w4377f2)")</f>
        <v>procházet (v-w4377f2)</v>
      </c>
    </row>
    <row r="31318" customFormat="false" ht="12.8" hidden="false" customHeight="false" outlineLevel="0" collapsed="false">
      <c r="B31318" s="0" t="s">
        <v>7</v>
      </c>
    </row>
    <row r="31319" customFormat="false" ht="12.8" hidden="false" customHeight="false" outlineLevel="0" collapsed="false">
      <c r="B31319" s="0" t="s">
        <v>14</v>
      </c>
    </row>
    <row r="31321" customFormat="false" ht="12.8" hidden="false" customHeight="false" outlineLevel="0" collapsed="false">
      <c r="A31321" s="0" t="s">
        <v>11603</v>
      </c>
      <c r="B31321" s="0" t="str">
        <f aca="false">HYPERLINK("https://lindat.mff.cuni.cz/services/teitok/pdtc10/index.php?action=vallex&amp;frame=v-w4377f4_ZU", "procházet (v-w4377f4_ZU)")</f>
        <v>procházet (v-w4377f4_ZU)</v>
      </c>
    </row>
    <row r="31322" customFormat="false" ht="12.8" hidden="false" customHeight="false" outlineLevel="0" collapsed="false">
      <c r="B31322" s="0" t="s">
        <v>7</v>
      </c>
      <c r="C31322" s="0" t="s">
        <v>3664</v>
      </c>
      <c r="D31322" s="0" t="s">
        <v>118</v>
      </c>
      <c r="E31322" s="0" t="s">
        <v>118</v>
      </c>
      <c r="F31322" s="0" t="s">
        <v>118</v>
      </c>
    </row>
    <row r="31323" customFormat="false" ht="12.8" hidden="false" customHeight="false" outlineLevel="0" collapsed="false">
      <c r="B31323" s="0" t="s">
        <v>14</v>
      </c>
      <c r="C31323" s="0" t="s">
        <v>1146</v>
      </c>
      <c r="D31323" s="0" t="s">
        <v>120</v>
      </c>
      <c r="E31323" s="0" t="s">
        <v>120</v>
      </c>
      <c r="F31323" s="0" t="s">
        <v>120</v>
      </c>
    </row>
    <row r="31325" customFormat="false" ht="12.8" hidden="false" customHeight="false" outlineLevel="0" collapsed="false">
      <c r="A31325" s="0" t="s">
        <v>11604</v>
      </c>
      <c r="B31325" s="0" t="str">
        <f aca="false">HYPERLINK("https://lindat.mff.cuni.cz/services/teitok/pdtc10/index.php?action=vallex&amp;frame=v-w4377f1", "procházet (v-w4377f1)")</f>
        <v>procházet (v-w4377f1)</v>
      </c>
    </row>
    <row r="31326" customFormat="false" ht="12.8" hidden="false" customHeight="false" outlineLevel="0" collapsed="false">
      <c r="B31326" s="0" t="s">
        <v>7</v>
      </c>
      <c r="C31326" s="0" t="s">
        <v>11605</v>
      </c>
      <c r="D31326" s="0" t="s">
        <v>10078</v>
      </c>
      <c r="E31326" s="0" t="s">
        <v>10078</v>
      </c>
      <c r="F31326" s="0" t="s">
        <v>10078</v>
      </c>
    </row>
    <row r="31327" customFormat="false" ht="12.8" hidden="false" customHeight="false" outlineLevel="0" collapsed="false">
      <c r="B31327" s="0" t="s">
        <v>259</v>
      </c>
      <c r="C31327" s="0" t="s">
        <v>11606</v>
      </c>
      <c r="D31327" s="0" t="s">
        <v>11607</v>
      </c>
      <c r="E31327" s="0" t="s">
        <v>11607</v>
      </c>
      <c r="F31327" s="0" t="s">
        <v>11607</v>
      </c>
    </row>
    <row r="31329" customFormat="false" ht="12.8" hidden="false" customHeight="false" outlineLevel="0" collapsed="false">
      <c r="A31329" s="0" t="s">
        <v>11608</v>
      </c>
      <c r="B31329" s="0" t="str">
        <f aca="false">HYPERLINK("https://lindat.mff.cuni.cz/services/teitok/pdtc10/index.php?action=vallex&amp;frame=v-w4377f3", "procházet (v-w4377f3)")</f>
        <v>procházet (v-w4377f3)</v>
      </c>
    </row>
    <row r="31330" customFormat="false" ht="12.8" hidden="false" customHeight="false" outlineLevel="0" collapsed="false">
      <c r="B31330" s="0" t="s">
        <v>7</v>
      </c>
      <c r="C31330" s="0" t="s">
        <v>11609</v>
      </c>
      <c r="D31330" s="0" t="s">
        <v>11610</v>
      </c>
      <c r="E31330" s="0" t="s">
        <v>11610</v>
      </c>
      <c r="F31330" s="0" t="s">
        <v>11611</v>
      </c>
    </row>
    <row r="31331" customFormat="false" ht="12.8" hidden="false" customHeight="false" outlineLevel="0" collapsed="false">
      <c r="B31331" s="0" t="s">
        <v>259</v>
      </c>
      <c r="F31331" s="0" t="s">
        <v>11612</v>
      </c>
    </row>
    <row r="31333" customFormat="false" ht="12.8" hidden="false" customHeight="false" outlineLevel="0" collapsed="false">
      <c r="A31333" s="0" t="s">
        <v>11613</v>
      </c>
      <c r="B31333" s="0" t="str">
        <f aca="false">HYPERLINK("https://lindat.mff.cuni.cz/services/teitok/pdtc10/index.php?action=vallex&amp;frame=v-w4377f5_ZU", "procházet (v-w4377f5_ZU)")</f>
        <v>procházet (v-w4377f5_ZU)</v>
      </c>
    </row>
    <row r="31334" customFormat="false" ht="12.8" hidden="false" customHeight="false" outlineLevel="0" collapsed="false">
      <c r="B31334" s="0" t="s">
        <v>7</v>
      </c>
      <c r="C31334" s="0" t="s">
        <v>176</v>
      </c>
      <c r="D31334" s="0" t="s">
        <v>10078</v>
      </c>
      <c r="E31334" s="0" t="s">
        <v>10078</v>
      </c>
      <c r="F31334" s="0" t="s">
        <v>10078</v>
      </c>
    </row>
    <row r="31335" customFormat="false" ht="12.8" hidden="false" customHeight="false" outlineLevel="0" collapsed="false">
      <c r="B31335" s="0" t="s">
        <v>11614</v>
      </c>
      <c r="C31335" s="0" t="s">
        <v>11615</v>
      </c>
      <c r="D31335" s="0" t="s">
        <v>11616</v>
      </c>
      <c r="E31335" s="0" t="s">
        <v>11616</v>
      </c>
      <c r="F31335" s="0" t="s">
        <v>11616</v>
      </c>
    </row>
    <row r="31337" customFormat="false" ht="12.8" hidden="false" customHeight="false" outlineLevel="0" collapsed="false">
      <c r="A31337" s="0" t="s">
        <v>11613</v>
      </c>
      <c r="B31337" s="0" t="str">
        <f aca="false">HYPERLINK("https://lindat.mff.cuni.cz/services/teitok/pdtc10/index.php?action=vallex&amp;frame=v-w4377hsa_125", "procházet (v-w4377hsa_125) - substituted with v-w4377f5_ZU")</f>
        <v>procházet (v-w4377hsa_125) - substituted with v-w4377f5_ZU</v>
      </c>
    </row>
    <row r="31338" customFormat="false" ht="12.8" hidden="false" customHeight="false" outlineLevel="0" collapsed="false">
      <c r="B31338" s="0" t="s">
        <v>7</v>
      </c>
    </row>
    <row r="31339" customFormat="false" ht="12.8" hidden="false" customHeight="false" outlineLevel="0" collapsed="false">
      <c r="B31339" s="0" t="s">
        <v>11614</v>
      </c>
    </row>
    <row r="31341" customFormat="false" ht="12.8" hidden="false" customHeight="false" outlineLevel="0" collapsed="false">
      <c r="A31341" s="0" t="s">
        <v>11617</v>
      </c>
      <c r="B31341" s="0" t="str">
        <f aca="false">HYPERLINK("https://lindat.mff.cuni.cz/services/teitok/pdtc10/index.php?action=vallex&amp;frame=v-w4377f6_ZU", "procházet (v-w4377f6_ZU)")</f>
        <v>procházet (v-w4377f6_ZU)</v>
      </c>
    </row>
    <row r="31342" customFormat="false" ht="12.8" hidden="false" customHeight="false" outlineLevel="0" collapsed="false">
      <c r="B31342" s="0" t="s">
        <v>7</v>
      </c>
    </row>
    <row r="31343" customFormat="false" ht="12.8" hidden="false" customHeight="false" outlineLevel="0" collapsed="false">
      <c r="B31343" s="0" t="s">
        <v>142</v>
      </c>
    </row>
    <row r="31345" customFormat="false" ht="12.8" hidden="false" customHeight="false" outlineLevel="0" collapsed="false">
      <c r="A31345" s="0" t="s">
        <v>11618</v>
      </c>
      <c r="B31345" s="0" t="str">
        <f aca="false">HYPERLINK("https://lindat.mff.cuni.cz/services/teitok/pdtc10/index.php?action=vallex&amp;frame=v-w4378f1", "procházet se (v-w4378f1)")</f>
        <v>procházet se (v-w4378f1)</v>
      </c>
    </row>
    <row r="31346" customFormat="false" ht="12.8" hidden="false" customHeight="false" outlineLevel="0" collapsed="false">
      <c r="B31346" s="0" t="s">
        <v>7</v>
      </c>
      <c r="C31346" s="0" t="s">
        <v>191</v>
      </c>
      <c r="D31346" s="0" t="s">
        <v>126</v>
      </c>
      <c r="E31346" s="0" t="s">
        <v>194</v>
      </c>
      <c r="F31346" s="0" t="s">
        <v>194</v>
      </c>
    </row>
    <row r="31348" customFormat="false" ht="12.8" hidden="false" customHeight="false" outlineLevel="0" collapsed="false">
      <c r="A31348" s="0" t="s">
        <v>11619</v>
      </c>
      <c r="B31348" s="0" t="str">
        <f aca="false">HYPERLINK("https://lindat.mff.cuni.cz/services/teitok/pdtc10/index.php?action=vallex&amp;frame=v-w4307f1", "procitnout (v-w4307f1)")</f>
        <v>procitnout (v-w4307f1)</v>
      </c>
    </row>
    <row r="31349" customFormat="false" ht="12.8" hidden="false" customHeight="false" outlineLevel="0" collapsed="false">
      <c r="B31349" s="0" t="s">
        <v>7</v>
      </c>
    </row>
    <row r="31350" customFormat="false" ht="12.8" hidden="false" customHeight="false" outlineLevel="0" collapsed="false">
      <c r="B31350" s="0" t="s">
        <v>581</v>
      </c>
    </row>
    <row r="31352" customFormat="false" ht="12.8" hidden="false" customHeight="false" outlineLevel="0" collapsed="false">
      <c r="A31352" s="0" t="s">
        <v>11620</v>
      </c>
      <c r="B31352" s="0" t="str">
        <f aca="false">HYPERLINK("https://lindat.mff.cuni.cz/services/teitok/pdtc10/index.php?action=vallex&amp;frame=v-w4308f1", "proclít (v-w4308f1)")</f>
        <v>proclít (v-w4308f1)</v>
      </c>
    </row>
    <row r="31353" customFormat="false" ht="12.8" hidden="false" customHeight="false" outlineLevel="0" collapsed="false">
      <c r="B31353" s="0" t="s">
        <v>7</v>
      </c>
    </row>
    <row r="31354" customFormat="false" ht="12.8" hidden="false" customHeight="false" outlineLevel="0" collapsed="false">
      <c r="B31354" s="0" t="s">
        <v>14</v>
      </c>
    </row>
    <row r="31356" customFormat="false" ht="12.8" hidden="false" customHeight="false" outlineLevel="0" collapsed="false">
      <c r="A31356" s="0" t="s">
        <v>11621</v>
      </c>
      <c r="B31356" s="0" t="str">
        <f aca="false">HYPERLINK("https://lindat.mff.cuni.cz/services/teitok/pdtc10/index.php?action=vallex&amp;frame=v-w4309f1", "proclívat (v-w4309f1)")</f>
        <v>proclívat (v-w4309f1)</v>
      </c>
    </row>
    <row r="31357" customFormat="false" ht="12.8" hidden="false" customHeight="false" outlineLevel="0" collapsed="false">
      <c r="B31357" s="0" t="s">
        <v>7</v>
      </c>
    </row>
    <row r="31358" customFormat="false" ht="12.8" hidden="false" customHeight="false" outlineLevel="0" collapsed="false">
      <c r="B31358" s="0" t="s">
        <v>14</v>
      </c>
    </row>
    <row r="31360" customFormat="false" ht="12.8" hidden="false" customHeight="false" outlineLevel="0" collapsed="false">
      <c r="A31360" s="0" t="s">
        <v>11622</v>
      </c>
      <c r="B31360" s="0" t="str">
        <f aca="false">HYPERLINK("https://lindat.mff.cuni.cz/services/teitok/pdtc10/index.php?action=vallex&amp;frame=v-whsa_690f1_ZU", "procvičit (v-whsa_690f1_ZU)")</f>
        <v>procvičit (v-whsa_690f1_ZU)</v>
      </c>
    </row>
    <row r="31361" customFormat="false" ht="12.8" hidden="false" customHeight="false" outlineLevel="0" collapsed="false">
      <c r="B31361" s="0" t="s">
        <v>7</v>
      </c>
    </row>
    <row r="31362" customFormat="false" ht="12.8" hidden="false" customHeight="false" outlineLevel="0" collapsed="false">
      <c r="B31362" s="0" t="s">
        <v>14</v>
      </c>
    </row>
    <row r="31364" customFormat="false" ht="12.8" hidden="false" customHeight="false" outlineLevel="0" collapsed="false">
      <c r="A31364" s="0" t="s">
        <v>11623</v>
      </c>
      <c r="B31364" s="0" t="str">
        <f aca="false">HYPERLINK("https://lindat.mff.cuni.cz/services/teitok/pdtc10/index.php?action=vallex&amp;frame=v-whsa_690hsa_691", "procvičit (v-whsa_690hsa_691)")</f>
        <v>procvičit (v-whsa_690hsa_691)</v>
      </c>
    </row>
    <row r="31365" customFormat="false" ht="12.8" hidden="false" customHeight="false" outlineLevel="0" collapsed="false">
      <c r="B31365" s="0" t="s">
        <v>7</v>
      </c>
    </row>
    <row r="31366" customFormat="false" ht="12.8" hidden="false" customHeight="false" outlineLevel="0" collapsed="false">
      <c r="B31366" s="0" t="s">
        <v>14</v>
      </c>
    </row>
    <row r="31368" customFormat="false" ht="12.8" hidden="false" customHeight="false" outlineLevel="0" collapsed="false">
      <c r="A31368" s="0" t="s">
        <v>11624</v>
      </c>
      <c r="B31368" s="0" t="str">
        <f aca="false">HYPERLINK("https://lindat.mff.cuni.cz/services/teitok/pdtc10/index.php?action=vallex&amp;frame=v-w4310f1", "procvičovat (v-w4310f1)")</f>
        <v>procvičovat (v-w4310f1)</v>
      </c>
    </row>
    <row r="31369" customFormat="false" ht="12.8" hidden="false" customHeight="false" outlineLevel="0" collapsed="false">
      <c r="B31369" s="0" t="s">
        <v>7</v>
      </c>
      <c r="C31369" s="0" t="s">
        <v>184</v>
      </c>
    </row>
    <row r="31370" customFormat="false" ht="12.8" hidden="false" customHeight="false" outlineLevel="0" collapsed="false">
      <c r="B31370" s="0" t="s">
        <v>14</v>
      </c>
      <c r="C31370" s="0" t="s">
        <v>1209</v>
      </c>
    </row>
    <row r="31372" customFormat="false" ht="12.8" hidden="false" customHeight="false" outlineLevel="0" collapsed="false">
      <c r="A31372" s="0" t="s">
        <v>11625</v>
      </c>
      <c r="B31372" s="0" t="str">
        <f aca="false">HYPERLINK("https://lindat.mff.cuni.cz/services/teitok/pdtc10/index.php?action=vallex&amp;frame=v-w4310hsa_1477", "procvičovat (v-w4310hsa_1477)")</f>
        <v>procvičovat (v-w4310hsa_1477)</v>
      </c>
    </row>
    <row r="31373" customFormat="false" ht="12.8" hidden="false" customHeight="false" outlineLevel="0" collapsed="false">
      <c r="B31373" s="0" t="s">
        <v>7</v>
      </c>
    </row>
    <row r="31374" customFormat="false" ht="12.8" hidden="false" customHeight="false" outlineLevel="0" collapsed="false">
      <c r="B31374" s="0" t="s">
        <v>14</v>
      </c>
    </row>
    <row r="31376" customFormat="false" ht="12.8" hidden="false" customHeight="false" outlineLevel="0" collapsed="false">
      <c r="A31376" s="0" t="s">
        <v>11626</v>
      </c>
      <c r="B31376" s="0" t="str">
        <f aca="false">HYPERLINK("https://lindat.mff.cuni.cz/services/teitok/pdtc10/index.php?action=vallex&amp;frame=v-w4313f1", "prodat (v-w4313f1)")</f>
        <v>prodat (v-w4313f1)</v>
      </c>
    </row>
    <row r="31377" customFormat="false" ht="12.8" hidden="false" customHeight="false" outlineLevel="0" collapsed="false">
      <c r="B31377" s="0" t="s">
        <v>7</v>
      </c>
      <c r="C31377" s="0" t="s">
        <v>11627</v>
      </c>
      <c r="D31377" s="0" t="s">
        <v>8397</v>
      </c>
      <c r="E31377" s="0" t="s">
        <v>8397</v>
      </c>
      <c r="F31377" s="0" t="s">
        <v>8397</v>
      </c>
    </row>
    <row r="31378" customFormat="false" ht="12.8" hidden="false" customHeight="false" outlineLevel="0" collapsed="false">
      <c r="B31378" s="0" t="s">
        <v>14</v>
      </c>
      <c r="C31378" s="0" t="s">
        <v>11628</v>
      </c>
      <c r="D31378" s="0" t="s">
        <v>8399</v>
      </c>
      <c r="E31378" s="0" t="s">
        <v>8399</v>
      </c>
      <c r="F31378" s="0" t="s">
        <v>8399</v>
      </c>
    </row>
    <row r="31379" customFormat="false" ht="12.8" hidden="false" customHeight="false" outlineLevel="0" collapsed="false">
      <c r="B31379" s="0" t="s">
        <v>48</v>
      </c>
      <c r="C31379" s="0" t="s">
        <v>11629</v>
      </c>
      <c r="D31379" s="0" t="s">
        <v>8400</v>
      </c>
      <c r="E31379" s="0" t="s">
        <v>8400</v>
      </c>
      <c r="F31379" s="0" t="s">
        <v>8400</v>
      </c>
    </row>
    <row r="31381" customFormat="false" ht="12.8" hidden="false" customHeight="false" outlineLevel="0" collapsed="false">
      <c r="A31381" s="0" t="s">
        <v>11630</v>
      </c>
      <c r="B31381" s="0" t="str">
        <f aca="false">HYPERLINK("https://lindat.mff.cuni.cz/services/teitok/pdtc10/index.php?action=vallex&amp;frame=v-whsa_552f1_ZU", "prodchnout (v-whsa_552f1_ZU)")</f>
        <v>prodchnout (v-whsa_552f1_ZU)</v>
      </c>
    </row>
    <row r="31382" customFormat="false" ht="12.8" hidden="false" customHeight="false" outlineLevel="0" collapsed="false">
      <c r="B31382" s="0" t="s">
        <v>7</v>
      </c>
      <c r="D31382" s="0" t="s">
        <v>4116</v>
      </c>
      <c r="E31382" s="0" t="s">
        <v>4116</v>
      </c>
      <c r="F31382" s="0" t="s">
        <v>4116</v>
      </c>
    </row>
    <row r="31383" customFormat="false" ht="12.8" hidden="false" customHeight="false" outlineLevel="0" collapsed="false">
      <c r="B31383" s="0" t="s">
        <v>14</v>
      </c>
      <c r="D31383" s="0" t="s">
        <v>11631</v>
      </c>
      <c r="E31383" s="0" t="s">
        <v>11631</v>
      </c>
      <c r="F31383" s="0" t="s">
        <v>11631</v>
      </c>
    </row>
    <row r="31385" customFormat="false" ht="12.8" hidden="false" customHeight="false" outlineLevel="0" collapsed="false">
      <c r="A31385" s="0" t="s">
        <v>11630</v>
      </c>
      <c r="B31385" s="0" t="str">
        <f aca="false">HYPERLINK("https://lindat.mff.cuni.cz/services/teitok/pdtc10/index.php?action=vallex&amp;frame=v-whsa_552hsa_553", "prodchnout (v-whsa_552hsa_553) - substituted with v-whsa_552f1_ZU")</f>
        <v>prodchnout (v-whsa_552hsa_553) - substituted with v-whsa_552f1_ZU</v>
      </c>
    </row>
    <row r="31386" customFormat="false" ht="12.8" hidden="false" customHeight="false" outlineLevel="0" collapsed="false">
      <c r="B31386" s="0" t="s">
        <v>7</v>
      </c>
    </row>
    <row r="31387" customFormat="false" ht="12.8" hidden="false" customHeight="false" outlineLevel="0" collapsed="false">
      <c r="B31387" s="0" t="s">
        <v>14</v>
      </c>
    </row>
    <row r="31389" customFormat="false" ht="12.8" hidden="false" customHeight="false" outlineLevel="0" collapsed="false">
      <c r="A31389" s="0" t="s">
        <v>11632</v>
      </c>
      <c r="B31389" s="0" t="str">
        <f aca="false">HYPERLINK("https://lindat.mff.cuni.cz/services/teitok/pdtc10/index.php?action=vallex&amp;frame=v-w4324f1", "prodiskutovat (v-w4324f1)")</f>
        <v>prodiskutovat (v-w4324f1)</v>
      </c>
    </row>
    <row r="31390" customFormat="false" ht="12.8" hidden="false" customHeight="false" outlineLevel="0" collapsed="false">
      <c r="B31390" s="0" t="s">
        <v>7</v>
      </c>
      <c r="C31390" s="0" t="s">
        <v>1509</v>
      </c>
      <c r="D31390" s="0" t="s">
        <v>209</v>
      </c>
      <c r="E31390" s="0" t="s">
        <v>209</v>
      </c>
      <c r="F31390" s="0" t="s">
        <v>209</v>
      </c>
    </row>
    <row r="31391" customFormat="false" ht="12.8" hidden="false" customHeight="false" outlineLevel="0" collapsed="false">
      <c r="B31391" s="0" t="s">
        <v>14</v>
      </c>
      <c r="C31391" s="0" t="s">
        <v>1511</v>
      </c>
      <c r="D31391" s="0" t="s">
        <v>211</v>
      </c>
      <c r="E31391" s="0" t="s">
        <v>211</v>
      </c>
      <c r="F31391" s="0" t="s">
        <v>211</v>
      </c>
    </row>
    <row r="31392" customFormat="false" ht="12.8" hidden="false" customHeight="false" outlineLevel="0" collapsed="false">
      <c r="B31392" s="0" t="s">
        <v>207</v>
      </c>
      <c r="C31392" s="0" t="s">
        <v>1512</v>
      </c>
      <c r="D31392" s="0" t="s">
        <v>213</v>
      </c>
      <c r="E31392" s="0" t="s">
        <v>213</v>
      </c>
      <c r="F31392" s="0" t="s">
        <v>213</v>
      </c>
    </row>
    <row r="31394" customFormat="false" ht="12.8" hidden="false" customHeight="false" outlineLevel="0" collapsed="false">
      <c r="A31394" s="0" t="s">
        <v>11633</v>
      </c>
      <c r="B31394" s="0" t="str">
        <f aca="false">HYPERLINK("https://lindat.mff.cuni.cz/services/teitok/pdtc10/index.php?action=vallex&amp;frame=v-w11564_ZUf1_ZU", "prodiskutovávat (v-w11564_ZUf1_ZU)")</f>
        <v>prodiskutovávat (v-w11564_ZUf1_ZU)</v>
      </c>
    </row>
    <row r="31395" customFormat="false" ht="12.8" hidden="false" customHeight="false" outlineLevel="0" collapsed="false">
      <c r="B31395" s="0" t="s">
        <v>7</v>
      </c>
      <c r="C31395" s="0" t="s">
        <v>1509</v>
      </c>
      <c r="D31395" s="0" t="s">
        <v>209</v>
      </c>
      <c r="E31395" s="0" t="s">
        <v>209</v>
      </c>
      <c r="F31395" s="0" t="s">
        <v>209</v>
      </c>
    </row>
    <row r="31396" customFormat="false" ht="12.8" hidden="false" customHeight="false" outlineLevel="0" collapsed="false">
      <c r="B31396" s="0" t="s">
        <v>14</v>
      </c>
      <c r="C31396" s="0" t="s">
        <v>1511</v>
      </c>
      <c r="D31396" s="0" t="s">
        <v>211</v>
      </c>
      <c r="E31396" s="0" t="s">
        <v>211</v>
      </c>
      <c r="F31396" s="0" t="s">
        <v>211</v>
      </c>
    </row>
    <row r="31397" customFormat="false" ht="12.8" hidden="false" customHeight="false" outlineLevel="0" collapsed="false">
      <c r="B31397" s="0" t="s">
        <v>207</v>
      </c>
      <c r="C31397" s="0" t="s">
        <v>1512</v>
      </c>
      <c r="D31397" s="0" t="s">
        <v>213</v>
      </c>
      <c r="E31397" s="0" t="s">
        <v>213</v>
      </c>
      <c r="F31397" s="0" t="s">
        <v>213</v>
      </c>
    </row>
    <row r="31399" customFormat="false" ht="12.8" hidden="false" customHeight="false" outlineLevel="0" collapsed="false">
      <c r="A31399" s="0" t="s">
        <v>11634</v>
      </c>
      <c r="B31399" s="0" t="str">
        <f aca="false">HYPERLINK("https://lindat.mff.cuni.cz/services/teitok/pdtc10/index.php?action=vallex&amp;frame=v-w4326f1", "prodloužit (v-w4326f1)")</f>
        <v>prodloužit (v-w4326f1)</v>
      </c>
    </row>
    <row r="31400" customFormat="false" ht="12.8" hidden="false" customHeight="false" outlineLevel="0" collapsed="false">
      <c r="B31400" s="0" t="s">
        <v>7</v>
      </c>
      <c r="C31400" s="0" t="s">
        <v>11635</v>
      </c>
      <c r="D31400" s="0" t="s">
        <v>8058</v>
      </c>
      <c r="E31400" s="0" t="s">
        <v>8058</v>
      </c>
      <c r="F31400" s="0" t="s">
        <v>11636</v>
      </c>
    </row>
    <row r="31401" customFormat="false" ht="12.8" hidden="false" customHeight="false" outlineLevel="0" collapsed="false">
      <c r="B31401" s="0" t="s">
        <v>14</v>
      </c>
      <c r="C31401" s="0" t="s">
        <v>11637</v>
      </c>
      <c r="D31401" s="0" t="s">
        <v>469</v>
      </c>
      <c r="E31401" s="0" t="s">
        <v>469</v>
      </c>
      <c r="F31401" s="0" t="s">
        <v>11638</v>
      </c>
    </row>
    <row r="31402" customFormat="false" ht="12.8" hidden="false" customHeight="false" outlineLevel="0" collapsed="false">
      <c r="B31402" s="0" t="s">
        <v>35</v>
      </c>
      <c r="C31402" s="0" t="s">
        <v>11639</v>
      </c>
      <c r="D31402" s="0" t="s">
        <v>1526</v>
      </c>
      <c r="E31402" s="0" t="s">
        <v>1526</v>
      </c>
      <c r="F31402" s="0" t="s">
        <v>6246</v>
      </c>
    </row>
    <row r="31403" customFormat="false" ht="12.8" hidden="false" customHeight="false" outlineLevel="0" collapsed="false">
      <c r="B31403" s="0" t="s">
        <v>84</v>
      </c>
      <c r="C31403" s="0" t="s">
        <v>11640</v>
      </c>
      <c r="D31403" s="0" t="s">
        <v>6873</v>
      </c>
      <c r="E31403" s="0" t="s">
        <v>6873</v>
      </c>
      <c r="F31403" s="0" t="s">
        <v>11641</v>
      </c>
    </row>
    <row r="31405" customFormat="false" ht="12.8" hidden="false" customHeight="false" outlineLevel="0" collapsed="false">
      <c r="A31405" s="0" t="s">
        <v>11642</v>
      </c>
      <c r="B31405" s="0" t="str">
        <f aca="false">HYPERLINK("https://lindat.mff.cuni.cz/services/teitok/pdtc10/index.php?action=vallex&amp;frame=v-w4327f1", "prodloužit se (v-w4327f1)")</f>
        <v>prodloužit se (v-w4327f1)</v>
      </c>
    </row>
    <row r="31406" customFormat="false" ht="12.8" hidden="false" customHeight="false" outlineLevel="0" collapsed="false">
      <c r="B31406" s="0" t="s">
        <v>7</v>
      </c>
      <c r="D31406" s="0" t="s">
        <v>396</v>
      </c>
      <c r="E31406" s="0" t="s">
        <v>396</v>
      </c>
      <c r="F31406" s="0" t="s">
        <v>11643</v>
      </c>
    </row>
    <row r="31408" customFormat="false" ht="12.8" hidden="false" customHeight="false" outlineLevel="0" collapsed="false">
      <c r="A31408" s="0" t="s">
        <v>11644</v>
      </c>
      <c r="B31408" s="0" t="str">
        <f aca="false">HYPERLINK("https://lindat.mff.cuni.cz/services/teitok/pdtc10/index.php?action=vallex&amp;frame=v-w4329f1", "prodlužovat (v-w4329f1)")</f>
        <v>prodlužovat (v-w4329f1)</v>
      </c>
    </row>
    <row r="31409" customFormat="false" ht="12.8" hidden="false" customHeight="false" outlineLevel="0" collapsed="false">
      <c r="B31409" s="0" t="s">
        <v>7</v>
      </c>
      <c r="C31409" s="0" t="s">
        <v>3844</v>
      </c>
      <c r="D31409" s="0" t="s">
        <v>8058</v>
      </c>
      <c r="E31409" s="0" t="s">
        <v>8058</v>
      </c>
      <c r="F31409" s="0" t="s">
        <v>11636</v>
      </c>
    </row>
    <row r="31410" customFormat="false" ht="12.8" hidden="false" customHeight="false" outlineLevel="0" collapsed="false">
      <c r="B31410" s="0" t="s">
        <v>14</v>
      </c>
      <c r="C31410" s="0" t="s">
        <v>899</v>
      </c>
      <c r="D31410" s="0" t="s">
        <v>469</v>
      </c>
      <c r="E31410" s="0" t="s">
        <v>469</v>
      </c>
      <c r="F31410" s="0" t="s">
        <v>11638</v>
      </c>
    </row>
    <row r="31411" customFormat="false" ht="12.8" hidden="false" customHeight="false" outlineLevel="0" collapsed="false">
      <c r="B31411" s="0" t="s">
        <v>35</v>
      </c>
      <c r="C31411" s="0" t="s">
        <v>1526</v>
      </c>
      <c r="D31411" s="0" t="s">
        <v>1526</v>
      </c>
      <c r="E31411" s="0" t="s">
        <v>1526</v>
      </c>
      <c r="F31411" s="0" t="s">
        <v>6246</v>
      </c>
    </row>
    <row r="31412" customFormat="false" ht="12.8" hidden="false" customHeight="false" outlineLevel="0" collapsed="false">
      <c r="B31412" s="0" t="s">
        <v>84</v>
      </c>
      <c r="C31412" s="0" t="s">
        <v>6873</v>
      </c>
      <c r="D31412" s="0" t="s">
        <v>6873</v>
      </c>
      <c r="E31412" s="0" t="s">
        <v>6873</v>
      </c>
      <c r="F31412" s="0" t="s">
        <v>11641</v>
      </c>
    </row>
    <row r="31414" customFormat="false" ht="12.8" hidden="false" customHeight="false" outlineLevel="0" collapsed="false">
      <c r="A31414" s="0" t="s">
        <v>11645</v>
      </c>
      <c r="B31414" s="0" t="str">
        <f aca="false">HYPERLINK("https://lindat.mff.cuni.cz/services/teitok/pdtc10/index.php?action=vallex&amp;frame=v-w4330f1", "prodlužovat se (v-w4330f1)")</f>
        <v>prodlužovat se (v-w4330f1)</v>
      </c>
    </row>
    <row r="31415" customFormat="false" ht="12.8" hidden="false" customHeight="false" outlineLevel="0" collapsed="false">
      <c r="B31415" s="0" t="s">
        <v>7</v>
      </c>
      <c r="C31415" s="0" t="s">
        <v>7602</v>
      </c>
      <c r="F31415" s="0" t="s">
        <v>11646</v>
      </c>
    </row>
    <row r="31417" customFormat="false" ht="12.8" hidden="false" customHeight="false" outlineLevel="0" collapsed="false">
      <c r="A31417" s="0" t="s">
        <v>11647</v>
      </c>
      <c r="B31417" s="0" t="str">
        <f aca="false">HYPERLINK("https://lindat.mff.cuni.cz/services/teitok/pdtc10/index.php?action=vallex&amp;frame=v-w4331f2", "prodrat se (v-w4331f2)")</f>
        <v>prodrat se (v-w4331f2)</v>
      </c>
    </row>
    <row r="31418" customFormat="false" ht="12.8" hidden="false" customHeight="false" outlineLevel="0" collapsed="false">
      <c r="B31418" s="0" t="s">
        <v>7</v>
      </c>
      <c r="D31418" s="0" t="s">
        <v>8314</v>
      </c>
      <c r="E31418" s="0" t="s">
        <v>8314</v>
      </c>
      <c r="F31418" s="0" t="s">
        <v>8314</v>
      </c>
    </row>
    <row r="31419" customFormat="false" ht="12.8" hidden="false" customHeight="false" outlineLevel="0" collapsed="false">
      <c r="B31419" s="0" t="s">
        <v>259</v>
      </c>
      <c r="D31419" s="0" t="s">
        <v>11648</v>
      </c>
      <c r="E31419" s="0" t="s">
        <v>11648</v>
      </c>
      <c r="F31419" s="0" t="s">
        <v>11648</v>
      </c>
    </row>
    <row r="31421" customFormat="false" ht="12.8" hidden="false" customHeight="false" outlineLevel="0" collapsed="false">
      <c r="A31421" s="0" t="s">
        <v>11649</v>
      </c>
      <c r="B31421" s="0" t="str">
        <f aca="false">HYPERLINK("https://lindat.mff.cuni.cz/services/teitok/pdtc10/index.php?action=vallex&amp;frame=v-w4331f1", "prodrat se (v-w4331f1)")</f>
        <v>prodrat se (v-w4331f1)</v>
      </c>
    </row>
    <row r="31422" customFormat="false" ht="12.8" hidden="false" customHeight="false" outlineLevel="0" collapsed="false">
      <c r="B31422" s="0" t="s">
        <v>7</v>
      </c>
    </row>
    <row r="31423" customFormat="false" ht="12.8" hidden="false" customHeight="false" outlineLevel="0" collapsed="false">
      <c r="B31423" s="0" t="s">
        <v>124</v>
      </c>
    </row>
    <row r="31425" customFormat="false" ht="12.8" hidden="false" customHeight="false" outlineLevel="0" collapsed="false">
      <c r="A31425" s="0" t="s">
        <v>11650</v>
      </c>
      <c r="B31425" s="0" t="str">
        <f aca="false">HYPERLINK("https://lindat.mff.cuni.cz/services/teitok/pdtc10/index.php?action=vallex&amp;frame=v-w4332f1", "prodražit (v-w4332f1)")</f>
        <v>prodražit (v-w4332f1)</v>
      </c>
    </row>
    <row r="31426" customFormat="false" ht="12.8" hidden="false" customHeight="false" outlineLevel="0" collapsed="false">
      <c r="B31426" s="0" t="s">
        <v>7</v>
      </c>
    </row>
    <row r="31427" customFormat="false" ht="12.8" hidden="false" customHeight="false" outlineLevel="0" collapsed="false">
      <c r="B31427" s="0" t="s">
        <v>14</v>
      </c>
    </row>
    <row r="31429" customFormat="false" ht="12.8" hidden="false" customHeight="false" outlineLevel="0" collapsed="false">
      <c r="A31429" s="0" t="s">
        <v>11651</v>
      </c>
      <c r="B31429" s="0" t="str">
        <f aca="false">HYPERLINK("https://lindat.mff.cuni.cz/services/teitok/pdtc10/index.php?action=vallex&amp;frame=v-w4333f1", "prodražit se (v-w4333f1)")</f>
        <v>prodražit se (v-w4333f1)</v>
      </c>
    </row>
    <row r="31430" customFormat="false" ht="12.8" hidden="false" customHeight="false" outlineLevel="0" collapsed="false">
      <c r="B31430" s="0" t="s">
        <v>7</v>
      </c>
    </row>
    <row r="31432" customFormat="false" ht="12.8" hidden="false" customHeight="false" outlineLevel="0" collapsed="false">
      <c r="A31432" s="0" t="s">
        <v>11652</v>
      </c>
      <c r="B31432" s="0" t="str">
        <f aca="false">HYPERLINK("https://lindat.mff.cuni.cz/services/teitok/pdtc10/index.php?action=vallex&amp;frame=v-w4334f1", "prodražovat (v-w4334f1)")</f>
        <v>prodražovat (v-w4334f1)</v>
      </c>
    </row>
    <row r="31433" customFormat="false" ht="12.8" hidden="false" customHeight="false" outlineLevel="0" collapsed="false">
      <c r="B31433" s="0" t="s">
        <v>7</v>
      </c>
    </row>
    <row r="31434" customFormat="false" ht="12.8" hidden="false" customHeight="false" outlineLevel="0" collapsed="false">
      <c r="B31434" s="0" t="s">
        <v>14</v>
      </c>
    </row>
    <row r="31436" customFormat="false" ht="12.8" hidden="false" customHeight="false" outlineLevel="0" collapsed="false">
      <c r="A31436" s="0" t="s">
        <v>11653</v>
      </c>
      <c r="B31436" s="0" t="str">
        <f aca="false">HYPERLINK("https://lindat.mff.cuni.cz/services/teitok/pdtc10/index.php?action=vallex&amp;frame=v-w4335f1", "prodražovat se (v-w4335f1)")</f>
        <v>prodražovat se (v-w4335f1)</v>
      </c>
    </row>
    <row r="31437" customFormat="false" ht="12.8" hidden="false" customHeight="false" outlineLevel="0" collapsed="false">
      <c r="B31437" s="0" t="s">
        <v>7</v>
      </c>
    </row>
    <row r="31439" customFormat="false" ht="12.8" hidden="false" customHeight="false" outlineLevel="0" collapsed="false">
      <c r="A31439" s="0" t="s">
        <v>11654</v>
      </c>
      <c r="B31439" s="0" t="str">
        <f aca="false">HYPERLINK("https://lindat.mff.cuni.cz/services/teitok/pdtc10/index.php?action=vallex&amp;frame=v-w4338f1", "produkovat (v-w4338f1)")</f>
        <v>produkovat (v-w4338f1)</v>
      </c>
    </row>
    <row r="31440" customFormat="false" ht="12.8" hidden="false" customHeight="false" outlineLevel="0" collapsed="false">
      <c r="B31440" s="0" t="s">
        <v>7</v>
      </c>
      <c r="C31440" s="0" t="s">
        <v>11655</v>
      </c>
      <c r="D31440" s="0" t="s">
        <v>11656</v>
      </c>
      <c r="E31440" s="0" t="s">
        <v>11656</v>
      </c>
      <c r="F31440" s="0" t="s">
        <v>11656</v>
      </c>
    </row>
    <row r="31441" customFormat="false" ht="12.8" hidden="false" customHeight="false" outlineLevel="0" collapsed="false">
      <c r="B31441" s="0" t="s">
        <v>14</v>
      </c>
      <c r="C31441" s="0" t="s">
        <v>11657</v>
      </c>
      <c r="D31441" s="0" t="s">
        <v>11658</v>
      </c>
      <c r="E31441" s="0" t="s">
        <v>11658</v>
      </c>
      <c r="F31441" s="0" t="s">
        <v>11658</v>
      </c>
    </row>
    <row r="31442" customFormat="false" ht="12.8" hidden="false" customHeight="false" outlineLevel="0" collapsed="false">
      <c r="B31442" s="0" t="s">
        <v>35</v>
      </c>
      <c r="C31442" s="0" t="s">
        <v>5460</v>
      </c>
      <c r="D31442" s="0" t="s">
        <v>11659</v>
      </c>
      <c r="E31442" s="0" t="s">
        <v>11659</v>
      </c>
      <c r="F31442" s="0" t="s">
        <v>11659</v>
      </c>
    </row>
    <row r="31444" customFormat="false" ht="12.8" hidden="false" customHeight="false" outlineLevel="0" collapsed="false">
      <c r="A31444" s="0" t="s">
        <v>11660</v>
      </c>
      <c r="B31444" s="0" t="str">
        <f aca="false">HYPERLINK("https://lindat.mff.cuni.cz/services/teitok/pdtc10/index.php?action=vallex&amp;frame=v-w4316f1", "prodávat (v-w4316f1)")</f>
        <v>prodávat (v-w4316f1)</v>
      </c>
    </row>
    <row r="31445" customFormat="false" ht="12.8" hidden="false" customHeight="false" outlineLevel="0" collapsed="false">
      <c r="B31445" s="0" t="s">
        <v>7</v>
      </c>
      <c r="C31445" s="0" t="s">
        <v>11661</v>
      </c>
      <c r="D31445" s="0" t="s">
        <v>8397</v>
      </c>
      <c r="E31445" s="0" t="s">
        <v>8397</v>
      </c>
      <c r="F31445" s="0" t="s">
        <v>8397</v>
      </c>
    </row>
    <row r="31446" customFormat="false" ht="12.8" hidden="false" customHeight="false" outlineLevel="0" collapsed="false">
      <c r="B31446" s="0" t="s">
        <v>14</v>
      </c>
      <c r="C31446" s="0" t="s">
        <v>11662</v>
      </c>
      <c r="D31446" s="0" t="s">
        <v>8399</v>
      </c>
      <c r="E31446" s="0" t="s">
        <v>8399</v>
      </c>
      <c r="F31446" s="0" t="s">
        <v>8399</v>
      </c>
    </row>
    <row r="31447" customFormat="false" ht="12.8" hidden="false" customHeight="false" outlineLevel="0" collapsed="false">
      <c r="B31447" s="0" t="s">
        <v>48</v>
      </c>
      <c r="C31447" s="0" t="s">
        <v>11663</v>
      </c>
      <c r="D31447" s="0" t="s">
        <v>8400</v>
      </c>
      <c r="E31447" s="0" t="s">
        <v>8400</v>
      </c>
      <c r="F31447" s="0" t="s">
        <v>8400</v>
      </c>
    </row>
    <row r="31449" customFormat="false" ht="12.8" hidden="false" customHeight="false" outlineLevel="0" collapsed="false">
      <c r="A31449" s="0" t="s">
        <v>11664</v>
      </c>
      <c r="B31449" s="0" t="str">
        <f aca="false">HYPERLINK("https://lindat.mff.cuni.cz/services/teitok/pdtc10/index.php?action=vallex&amp;frame=v-w4323f1", "prodírat se (v-w4323f1)")</f>
        <v>prodírat se (v-w4323f1)</v>
      </c>
    </row>
    <row r="31450" customFormat="false" ht="12.8" hidden="false" customHeight="false" outlineLevel="0" collapsed="false">
      <c r="B31450" s="0" t="s">
        <v>7</v>
      </c>
    </row>
    <row r="31452" customFormat="false" ht="12.8" hidden="false" customHeight="false" outlineLevel="0" collapsed="false">
      <c r="A31452" s="0" t="s">
        <v>11665</v>
      </c>
      <c r="B31452" s="0" t="str">
        <f aca="false">HYPERLINK("https://lindat.mff.cuni.cz/services/teitok/pdtc10/index.php?action=vallex&amp;frame=v-w4320f2", "prodělat (v-w4320f2)")</f>
        <v>prodělat (v-w4320f2)</v>
      </c>
    </row>
    <row r="31453" customFormat="false" ht="12.8" hidden="false" customHeight="false" outlineLevel="0" collapsed="false">
      <c r="B31453" s="0" t="s">
        <v>7</v>
      </c>
      <c r="C31453" s="0" t="s">
        <v>11666</v>
      </c>
      <c r="D31453" s="0" t="s">
        <v>113</v>
      </c>
      <c r="E31453" s="0" t="s">
        <v>113</v>
      </c>
      <c r="F31453" s="0" t="s">
        <v>113</v>
      </c>
    </row>
    <row r="31454" customFormat="false" ht="12.8" hidden="false" customHeight="false" outlineLevel="0" collapsed="false">
      <c r="B31454" s="0" t="s">
        <v>14</v>
      </c>
      <c r="C31454" s="0" t="s">
        <v>11667</v>
      </c>
      <c r="D31454" s="0" t="s">
        <v>1588</v>
      </c>
      <c r="E31454" s="0" t="s">
        <v>1588</v>
      </c>
      <c r="F31454" s="0" t="s">
        <v>1588</v>
      </c>
    </row>
    <row r="31455" customFormat="false" ht="12.8" hidden="false" customHeight="false" outlineLevel="0" collapsed="false">
      <c r="B31455" s="0" t="s">
        <v>586</v>
      </c>
    </row>
    <row r="31457" customFormat="false" ht="12.8" hidden="false" customHeight="false" outlineLevel="0" collapsed="false">
      <c r="A31457" s="0" t="s">
        <v>11668</v>
      </c>
      <c r="B31457" s="0" t="str">
        <f aca="false">HYPERLINK("https://lindat.mff.cuni.cz/services/teitok/pdtc10/index.php?action=vallex&amp;frame=v-w4320f1", "prodělat (v-w4320f1)")</f>
        <v>prodělat (v-w4320f1)</v>
      </c>
    </row>
    <row r="31458" customFormat="false" ht="12.8" hidden="false" customHeight="false" outlineLevel="0" collapsed="false">
      <c r="B31458" s="0" t="s">
        <v>7</v>
      </c>
      <c r="C31458" s="0" t="s">
        <v>11669</v>
      </c>
      <c r="D31458" s="0" t="s">
        <v>10078</v>
      </c>
      <c r="E31458" s="0" t="s">
        <v>10078</v>
      </c>
      <c r="F31458" s="0" t="s">
        <v>10078</v>
      </c>
    </row>
    <row r="31459" customFormat="false" ht="12.8" hidden="false" customHeight="false" outlineLevel="0" collapsed="false">
      <c r="B31459" s="0" t="s">
        <v>14</v>
      </c>
      <c r="C31459" s="0" t="s">
        <v>11670</v>
      </c>
      <c r="D31459" s="0" t="s">
        <v>10080</v>
      </c>
      <c r="E31459" s="0" t="s">
        <v>10080</v>
      </c>
      <c r="F31459" s="0" t="s">
        <v>10080</v>
      </c>
    </row>
    <row r="31461" customFormat="false" ht="12.8" hidden="false" customHeight="false" outlineLevel="0" collapsed="false">
      <c r="A31461" s="0" t="s">
        <v>11671</v>
      </c>
      <c r="B31461" s="0" t="str">
        <f aca="false">HYPERLINK("https://lindat.mff.cuni.cz/services/teitok/pdtc10/index.php?action=vallex&amp;frame=v-w4321f1", "prodělávat (v-w4321f1)")</f>
        <v>prodělávat (v-w4321f1)</v>
      </c>
    </row>
    <row r="31462" customFormat="false" ht="12.8" hidden="false" customHeight="false" outlineLevel="0" collapsed="false">
      <c r="B31462" s="0" t="s">
        <v>7</v>
      </c>
      <c r="C31462" s="0" t="s">
        <v>7871</v>
      </c>
      <c r="D31462" s="0" t="s">
        <v>113</v>
      </c>
      <c r="E31462" s="0" t="s">
        <v>113</v>
      </c>
      <c r="F31462" s="0" t="s">
        <v>113</v>
      </c>
    </row>
    <row r="31463" customFormat="false" ht="12.8" hidden="false" customHeight="false" outlineLevel="0" collapsed="false">
      <c r="B31463" s="0" t="s">
        <v>14</v>
      </c>
      <c r="C31463" s="0" t="s">
        <v>3662</v>
      </c>
      <c r="D31463" s="0" t="s">
        <v>1588</v>
      </c>
      <c r="E31463" s="0" t="s">
        <v>1588</v>
      </c>
      <c r="F31463" s="0" t="s">
        <v>1588</v>
      </c>
    </row>
    <row r="31464" customFormat="false" ht="12.8" hidden="false" customHeight="false" outlineLevel="0" collapsed="false">
      <c r="B31464" s="0" t="s">
        <v>586</v>
      </c>
    </row>
    <row r="31466" customFormat="false" ht="12.8" hidden="false" customHeight="false" outlineLevel="0" collapsed="false">
      <c r="A31466" s="0" t="s">
        <v>11672</v>
      </c>
      <c r="B31466" s="0" t="str">
        <f aca="false">HYPERLINK("https://lindat.mff.cuni.cz/services/teitok/pdtc10/index.php?action=vallex&amp;frame=v-w4321f2", "prodělávat (v-w4321f2)")</f>
        <v>prodělávat (v-w4321f2)</v>
      </c>
    </row>
    <row r="31467" customFormat="false" ht="12.8" hidden="false" customHeight="false" outlineLevel="0" collapsed="false">
      <c r="B31467" s="0" t="s">
        <v>7</v>
      </c>
      <c r="D31467" s="0" t="s">
        <v>10078</v>
      </c>
      <c r="E31467" s="0" t="s">
        <v>10078</v>
      </c>
      <c r="F31467" s="0" t="s">
        <v>10078</v>
      </c>
    </row>
    <row r="31468" customFormat="false" ht="12.8" hidden="false" customHeight="false" outlineLevel="0" collapsed="false">
      <c r="B31468" s="0" t="s">
        <v>14</v>
      </c>
      <c r="D31468" s="0" t="s">
        <v>10080</v>
      </c>
      <c r="E31468" s="0" t="s">
        <v>10080</v>
      </c>
      <c r="F31468" s="0" t="s">
        <v>10080</v>
      </c>
    </row>
    <row r="31470" customFormat="false" ht="12.8" hidden="false" customHeight="false" outlineLevel="0" collapsed="false">
      <c r="A31470" s="0" t="s">
        <v>11673</v>
      </c>
      <c r="B31470" s="0" t="str">
        <f aca="false">HYPERLINK("https://lindat.mff.cuni.cz/services/teitok/pdtc10/index.php?action=vallex&amp;frame=v-w4342f1", "profanovat (v-w4342f1)")</f>
        <v>profanovat (v-w4342f1)</v>
      </c>
    </row>
    <row r="31471" customFormat="false" ht="12.8" hidden="false" customHeight="false" outlineLevel="0" collapsed="false">
      <c r="B31471" s="0" t="s">
        <v>7</v>
      </c>
    </row>
    <row r="31472" customFormat="false" ht="12.8" hidden="false" customHeight="false" outlineLevel="0" collapsed="false">
      <c r="B31472" s="0" t="s">
        <v>14</v>
      </c>
    </row>
    <row r="31474" customFormat="false" ht="12.8" hidden="false" customHeight="false" outlineLevel="0" collapsed="false">
      <c r="A31474" s="0" t="s">
        <v>11674</v>
      </c>
      <c r="B31474" s="0" t="str">
        <f aca="false">HYPERLINK("https://lindat.mff.cuni.cz/services/teitok/pdtc10/index.php?action=vallex&amp;frame=v-w4344f1", "profesionalizovat (v-w4344f1)")</f>
        <v>profesionalizovat (v-w4344f1)</v>
      </c>
    </row>
    <row r="31475" customFormat="false" ht="12.8" hidden="false" customHeight="false" outlineLevel="0" collapsed="false">
      <c r="B31475" s="0" t="s">
        <v>7</v>
      </c>
    </row>
    <row r="31476" customFormat="false" ht="12.8" hidden="false" customHeight="false" outlineLevel="0" collapsed="false">
      <c r="B31476" s="0" t="s">
        <v>14</v>
      </c>
    </row>
    <row r="31478" customFormat="false" ht="12.8" hidden="false" customHeight="false" outlineLevel="0" collapsed="false">
      <c r="A31478" s="0" t="s">
        <v>11675</v>
      </c>
      <c r="B31478" s="0" t="str">
        <f aca="false">HYPERLINK("https://lindat.mff.cuni.cz/services/teitok/pdtc10/index.php?action=vallex&amp;frame=v-w4346f1", "profilovat (v-w4346f1)")</f>
        <v>profilovat (v-w4346f1)</v>
      </c>
    </row>
    <row r="31479" customFormat="false" ht="12.8" hidden="false" customHeight="false" outlineLevel="0" collapsed="false">
      <c r="B31479" s="0" t="s">
        <v>7</v>
      </c>
    </row>
    <row r="31480" customFormat="false" ht="12.8" hidden="false" customHeight="false" outlineLevel="0" collapsed="false">
      <c r="B31480" s="0" t="s">
        <v>14</v>
      </c>
    </row>
    <row r="31482" customFormat="false" ht="12.8" hidden="false" customHeight="false" outlineLevel="0" collapsed="false">
      <c r="A31482" s="0" t="s">
        <v>11676</v>
      </c>
      <c r="B31482" s="0" t="str">
        <f aca="false">HYPERLINK("https://lindat.mff.cuni.cz/services/teitok/pdtc10/index.php?action=vallex&amp;frame=v-w4347f3_ZU", "profitovat (v-w4347f3_ZU)")</f>
        <v>profitovat (v-w4347f3_ZU)</v>
      </c>
    </row>
    <row r="31483" customFormat="false" ht="12.8" hidden="false" customHeight="false" outlineLevel="0" collapsed="false">
      <c r="B31483" s="0" t="s">
        <v>7</v>
      </c>
      <c r="C31483" s="0" t="s">
        <v>11677</v>
      </c>
      <c r="D31483" s="0" t="s">
        <v>11678</v>
      </c>
      <c r="E31483" s="0" t="s">
        <v>11678</v>
      </c>
      <c r="F31483" s="0" t="s">
        <v>11678</v>
      </c>
    </row>
    <row r="31484" customFormat="false" ht="12.8" hidden="false" customHeight="false" outlineLevel="0" collapsed="false">
      <c r="B31484" s="0" t="s">
        <v>11679</v>
      </c>
      <c r="C31484" s="0" t="s">
        <v>11680</v>
      </c>
      <c r="D31484" s="0" t="s">
        <v>11681</v>
      </c>
      <c r="E31484" s="0" t="s">
        <v>11681</v>
      </c>
      <c r="F31484" s="0" t="s">
        <v>11681</v>
      </c>
    </row>
    <row r="31486" customFormat="false" ht="12.8" hidden="false" customHeight="false" outlineLevel="0" collapsed="false">
      <c r="A31486" s="0" t="s">
        <v>11676</v>
      </c>
      <c r="B31486" s="0" t="str">
        <f aca="false">HYPERLINK("https://lindat.mff.cuni.cz/services/teitok/pdtc10/index.php?action=vallex&amp;frame=v-w4347f1", "profitovat (v-w4347f1) - substituted with v-w4347f3_ZU")</f>
        <v>profitovat (v-w4347f1) - substituted with v-w4347f3_ZU</v>
      </c>
    </row>
    <row r="31487" customFormat="false" ht="12.8" hidden="false" customHeight="false" outlineLevel="0" collapsed="false">
      <c r="B31487" s="0" t="s">
        <v>7</v>
      </c>
      <c r="C31487" s="0" t="s">
        <v>11682</v>
      </c>
    </row>
    <row r="31488" customFormat="false" ht="12.8" hidden="false" customHeight="false" outlineLevel="0" collapsed="false">
      <c r="B31488" s="0" t="s">
        <v>11679</v>
      </c>
      <c r="C31488" s="0" t="s">
        <v>11683</v>
      </c>
    </row>
    <row r="31490" customFormat="false" ht="12.8" hidden="false" customHeight="false" outlineLevel="0" collapsed="false">
      <c r="A31490" s="0" t="s">
        <v>11676</v>
      </c>
      <c r="B31490" s="0" t="str">
        <f aca="false">HYPERLINK("https://lindat.mff.cuni.cz/services/teitok/pdtc10/index.php?action=vallex&amp;frame=v-w4347f2_ZU", "profitovat (v-w4347f2_ZU) - substituted with v-w4347f3_ZU")</f>
        <v>profitovat (v-w4347f2_ZU) - substituted with v-w4347f3_ZU</v>
      </c>
    </row>
    <row r="31491" customFormat="false" ht="12.8" hidden="false" customHeight="false" outlineLevel="0" collapsed="false">
      <c r="B31491" s="0" t="s">
        <v>7</v>
      </c>
    </row>
    <row r="31492" customFormat="false" ht="12.8" hidden="false" customHeight="false" outlineLevel="0" collapsed="false">
      <c r="B31492" s="0" t="s">
        <v>11679</v>
      </c>
    </row>
    <row r="31494" customFormat="false" ht="12.8" hidden="false" customHeight="false" outlineLevel="0" collapsed="false">
      <c r="A31494" s="0" t="s">
        <v>11684</v>
      </c>
      <c r="B31494" s="0" t="str">
        <f aca="false">HYPERLINK("https://lindat.mff.cuni.cz/services/teitok/pdtc10/index.php?action=vallex&amp;frame=v-w4348f1", "profrčet (v-w4348f1)")</f>
        <v>profrčet (v-w4348f1)</v>
      </c>
    </row>
    <row r="31495" customFormat="false" ht="12.8" hidden="false" customHeight="false" outlineLevel="0" collapsed="false">
      <c r="B31495" s="0" t="s">
        <v>7</v>
      </c>
    </row>
    <row r="31496" customFormat="false" ht="12.8" hidden="false" customHeight="false" outlineLevel="0" collapsed="false">
      <c r="B31496" s="0" t="s">
        <v>259</v>
      </c>
    </row>
    <row r="31498" customFormat="false" ht="12.8" hidden="false" customHeight="false" outlineLevel="0" collapsed="false">
      <c r="A31498" s="0" t="s">
        <v>11685</v>
      </c>
      <c r="B31498" s="0" t="str">
        <f aca="false">HYPERLINK("https://lindat.mff.cuni.cz/services/teitok/pdtc10/index.php?action=vallex&amp;frame=v-w4350f1", "prognózovat (v-w4350f1)")</f>
        <v>prognózovat (v-w4350f1)</v>
      </c>
    </row>
    <row r="31499" customFormat="false" ht="12.8" hidden="false" customHeight="false" outlineLevel="0" collapsed="false">
      <c r="B31499" s="0" t="s">
        <v>7</v>
      </c>
    </row>
    <row r="31500" customFormat="false" ht="12.8" hidden="false" customHeight="false" outlineLevel="0" collapsed="false">
      <c r="B31500" s="0" t="s">
        <v>54</v>
      </c>
    </row>
    <row r="31502" customFormat="false" ht="12.8" hidden="false" customHeight="false" outlineLevel="0" collapsed="false">
      <c r="A31502" s="0" t="s">
        <v>11686</v>
      </c>
      <c r="B31502" s="0" t="str">
        <f aca="false">HYPERLINK("https://lindat.mff.cuni.cz/services/teitok/pdtc10/index.php?action=vallex&amp;frame=v-w10110f2", "programovat (v-w10110f2)")</f>
        <v>programovat (v-w10110f2)</v>
      </c>
    </row>
    <row r="31503" customFormat="false" ht="12.8" hidden="false" customHeight="false" outlineLevel="0" collapsed="false">
      <c r="B31503" s="0" t="s">
        <v>7</v>
      </c>
      <c r="C31503" s="0" t="s">
        <v>191</v>
      </c>
      <c r="D31503" s="0" t="s">
        <v>191</v>
      </c>
      <c r="E31503" s="0" t="s">
        <v>191</v>
      </c>
      <c r="F31503" s="0" t="s">
        <v>191</v>
      </c>
    </row>
    <row r="31504" customFormat="false" ht="12.8" hidden="false" customHeight="false" outlineLevel="0" collapsed="false">
      <c r="B31504" s="0" t="s">
        <v>14</v>
      </c>
      <c r="C31504" s="0" t="s">
        <v>6832</v>
      </c>
      <c r="D31504" s="0" t="s">
        <v>6832</v>
      </c>
      <c r="E31504" s="0" t="s">
        <v>6832</v>
      </c>
      <c r="F31504" s="0" t="s">
        <v>6832</v>
      </c>
    </row>
    <row r="31506" customFormat="false" ht="12.8" hidden="false" customHeight="false" outlineLevel="0" collapsed="false">
      <c r="A31506" s="0" t="s">
        <v>11687</v>
      </c>
      <c r="B31506" s="0" t="str">
        <f aca="false">HYPERLINK("https://lindat.mff.cuni.cz/services/teitok/pdtc10/index.php?action=vallex&amp;frame=v-w4353f1", "prohazovat (v-w4353f1)")</f>
        <v>prohazovat (v-w4353f1)</v>
      </c>
    </row>
    <row r="31507" customFormat="false" ht="12.8" hidden="false" customHeight="false" outlineLevel="0" collapsed="false">
      <c r="B31507" s="0" t="s">
        <v>7</v>
      </c>
    </row>
    <row r="31508" customFormat="false" ht="12.8" hidden="false" customHeight="false" outlineLevel="0" collapsed="false">
      <c r="B31508" s="0" t="s">
        <v>14</v>
      </c>
    </row>
    <row r="31510" customFormat="false" ht="12.8" hidden="false" customHeight="false" outlineLevel="0" collapsed="false">
      <c r="A31510" s="0" t="s">
        <v>11688</v>
      </c>
      <c r="B31510" s="0" t="str">
        <f aca="false">HYPERLINK("https://lindat.mff.cuni.cz/services/teitok/pdtc10/index.php?action=vallex&amp;frame=v-w4353hsa_1610", "prohazovat (v-w4353hsa_1610)")</f>
        <v>prohazovat (v-w4353hsa_1610)</v>
      </c>
    </row>
    <row r="31511" customFormat="false" ht="12.8" hidden="false" customHeight="false" outlineLevel="0" collapsed="false">
      <c r="B31511" s="0" t="s">
        <v>7</v>
      </c>
    </row>
    <row r="31512" customFormat="false" ht="12.8" hidden="false" customHeight="false" outlineLevel="0" collapsed="false">
      <c r="B31512" s="0" t="s">
        <v>14</v>
      </c>
    </row>
    <row r="31514" customFormat="false" ht="12.8" hidden="false" customHeight="false" outlineLevel="0" collapsed="false">
      <c r="A31514" s="0" t="s">
        <v>11689</v>
      </c>
      <c r="B31514" s="0" t="str">
        <f aca="false">HYPERLINK("https://lindat.mff.cuni.cz/services/teitok/pdtc10/index.php?action=vallex&amp;frame=v-w4357f2", "prohlašovat (v-w4357f2)")</f>
        <v>prohlašovat (v-w4357f2)</v>
      </c>
    </row>
    <row r="31515" customFormat="false" ht="12.8" hidden="false" customHeight="false" outlineLevel="0" collapsed="false">
      <c r="B31515" s="0" t="s">
        <v>7</v>
      </c>
      <c r="C31515" s="0" t="s">
        <v>11690</v>
      </c>
      <c r="D31515" s="0" t="s">
        <v>410</v>
      </c>
      <c r="E31515" s="0" t="s">
        <v>410</v>
      </c>
      <c r="F31515" s="0" t="s">
        <v>410</v>
      </c>
    </row>
    <row r="31516" customFormat="false" ht="12.8" hidden="false" customHeight="false" outlineLevel="0" collapsed="false">
      <c r="B31516" s="0" t="s">
        <v>14</v>
      </c>
      <c r="C31516" s="0" t="s">
        <v>1170</v>
      </c>
      <c r="D31516" s="0" t="s">
        <v>3725</v>
      </c>
      <c r="E31516" s="0" t="s">
        <v>3725</v>
      </c>
      <c r="F31516" s="0" t="s">
        <v>3725</v>
      </c>
    </row>
    <row r="31517" customFormat="false" ht="12.8" hidden="false" customHeight="false" outlineLevel="0" collapsed="false">
      <c r="B31517" s="0" t="s">
        <v>11691</v>
      </c>
      <c r="C31517" s="0" t="s">
        <v>11692</v>
      </c>
      <c r="D31517" s="0" t="s">
        <v>11693</v>
      </c>
      <c r="E31517" s="0" t="s">
        <v>11693</v>
      </c>
      <c r="F31517" s="0" t="s">
        <v>11693</v>
      </c>
    </row>
    <row r="31519" customFormat="false" ht="12.8" hidden="false" customHeight="false" outlineLevel="0" collapsed="false">
      <c r="A31519" s="0" t="s">
        <v>11694</v>
      </c>
      <c r="B31519" s="0" t="str">
        <f aca="false">HYPERLINK("https://lindat.mff.cuni.cz/services/teitok/pdtc10/index.php?action=vallex&amp;frame=v-w4357f3", "prohlašovat (v-w4357f3)")</f>
        <v>prohlašovat (v-w4357f3)</v>
      </c>
    </row>
    <row r="31520" customFormat="false" ht="12.8" hidden="false" customHeight="false" outlineLevel="0" collapsed="false">
      <c r="B31520" s="0" t="s">
        <v>7</v>
      </c>
    </row>
    <row r="31521" customFormat="false" ht="12.8" hidden="false" customHeight="false" outlineLevel="0" collapsed="false">
      <c r="B31521" s="0" t="s">
        <v>14</v>
      </c>
    </row>
    <row r="31523" customFormat="false" ht="12.8" hidden="false" customHeight="false" outlineLevel="0" collapsed="false">
      <c r="A31523" s="0" t="s">
        <v>11695</v>
      </c>
      <c r="B31523" s="0" t="str">
        <f aca="false">HYPERLINK("https://lindat.mff.cuni.cz/services/teitok/pdtc10/index.php?action=vallex&amp;frame=v-w4357f1", "prohlašovat (v-w4357f1)")</f>
        <v>prohlašovat (v-w4357f1)</v>
      </c>
    </row>
    <row r="31524" customFormat="false" ht="12.8" hidden="false" customHeight="false" outlineLevel="0" collapsed="false">
      <c r="B31524" s="0" t="s">
        <v>7</v>
      </c>
      <c r="C31524" s="0" t="s">
        <v>11696</v>
      </c>
      <c r="D31524" s="0" t="s">
        <v>164</v>
      </c>
      <c r="E31524" s="0" t="s">
        <v>164</v>
      </c>
      <c r="F31524" s="0" t="s">
        <v>164</v>
      </c>
    </row>
    <row r="31525" customFormat="false" ht="12.8" hidden="false" customHeight="false" outlineLevel="0" collapsed="false">
      <c r="B31525" s="0" t="s">
        <v>5525</v>
      </c>
      <c r="C31525" s="0" t="s">
        <v>11697</v>
      </c>
      <c r="D31525" s="0" t="s">
        <v>1766</v>
      </c>
      <c r="E31525" s="0" t="s">
        <v>1766</v>
      </c>
      <c r="F31525" s="0" t="s">
        <v>1766</v>
      </c>
    </row>
    <row r="31526" customFormat="false" ht="12.8" hidden="false" customHeight="false" outlineLevel="0" collapsed="false">
      <c r="B31526" s="0" t="s">
        <v>10021</v>
      </c>
      <c r="C31526" s="0" t="s">
        <v>1768</v>
      </c>
      <c r="D31526" s="0" t="s">
        <v>167</v>
      </c>
      <c r="E31526" s="0" t="s">
        <v>167</v>
      </c>
      <c r="F31526" s="0" t="s">
        <v>167</v>
      </c>
    </row>
    <row r="31528" customFormat="false" ht="12.8" hidden="false" customHeight="false" outlineLevel="0" collapsed="false">
      <c r="A31528" s="0" t="s">
        <v>11698</v>
      </c>
      <c r="B31528" s="0" t="str">
        <f aca="false">HYPERLINK("https://lindat.mff.cuni.cz/services/teitok/pdtc10/index.php?action=vallex&amp;frame=v-w4358f1", "prohledat (v-w4358f1)")</f>
        <v>prohledat (v-w4358f1)</v>
      </c>
    </row>
    <row r="31529" customFormat="false" ht="12.8" hidden="false" customHeight="false" outlineLevel="0" collapsed="false">
      <c r="B31529" s="0" t="s">
        <v>7</v>
      </c>
      <c r="C31529" s="0" t="s">
        <v>46</v>
      </c>
      <c r="D31529" s="0" t="s">
        <v>118</v>
      </c>
      <c r="E31529" s="0" t="s">
        <v>118</v>
      </c>
      <c r="F31529" s="0" t="s">
        <v>118</v>
      </c>
    </row>
    <row r="31530" customFormat="false" ht="12.8" hidden="false" customHeight="false" outlineLevel="0" collapsed="false">
      <c r="B31530" s="0" t="s">
        <v>14</v>
      </c>
      <c r="C31530" s="0" t="s">
        <v>567</v>
      </c>
      <c r="D31530" s="0" t="s">
        <v>120</v>
      </c>
      <c r="E31530" s="0" t="s">
        <v>120</v>
      </c>
      <c r="F31530" s="0" t="s">
        <v>120</v>
      </c>
    </row>
    <row r="31532" customFormat="false" ht="12.8" hidden="false" customHeight="false" outlineLevel="0" collapsed="false">
      <c r="A31532" s="0" t="s">
        <v>11699</v>
      </c>
      <c r="B31532" s="0" t="str">
        <f aca="false">HYPERLINK("https://lindat.mff.cuni.cz/services/teitok/pdtc10/index.php?action=vallex&amp;frame=v-w10979f2", "prohledávat (v-w10979f2)")</f>
        <v>prohledávat (v-w10979f2)</v>
      </c>
    </row>
    <row r="31533" customFormat="false" ht="12.8" hidden="false" customHeight="false" outlineLevel="0" collapsed="false">
      <c r="B31533" s="0" t="s">
        <v>7</v>
      </c>
      <c r="C31533" s="0" t="s">
        <v>113</v>
      </c>
      <c r="D31533" s="0" t="s">
        <v>3918</v>
      </c>
      <c r="E31533" s="0" t="s">
        <v>1263</v>
      </c>
      <c r="F31533" s="0" t="s">
        <v>1263</v>
      </c>
    </row>
    <row r="31534" customFormat="false" ht="12.8" hidden="false" customHeight="false" outlineLevel="0" collapsed="false">
      <c r="B31534" s="0" t="s">
        <v>14</v>
      </c>
      <c r="C31534" s="0" t="s">
        <v>567</v>
      </c>
      <c r="D31534" s="0" t="s">
        <v>487</v>
      </c>
      <c r="E31534" s="0" t="s">
        <v>487</v>
      </c>
      <c r="F31534" s="0" t="s">
        <v>487</v>
      </c>
    </row>
    <row r="31536" customFormat="false" ht="12.8" hidden="false" customHeight="false" outlineLevel="0" collapsed="false">
      <c r="A31536" s="0" t="s">
        <v>11700</v>
      </c>
      <c r="B31536" s="0" t="str">
        <f aca="false">HYPERLINK("https://lindat.mff.cuni.cz/services/teitok/pdtc10/index.php?action=vallex&amp;frame=v-w4366f1", "prohloubit (v-w4366f1)")</f>
        <v>prohloubit (v-w4366f1)</v>
      </c>
    </row>
    <row r="31537" customFormat="false" ht="12.8" hidden="false" customHeight="false" outlineLevel="0" collapsed="false">
      <c r="B31537" s="0" t="s">
        <v>7</v>
      </c>
      <c r="C31537" s="0" t="s">
        <v>11701</v>
      </c>
      <c r="D31537" s="0" t="s">
        <v>2012</v>
      </c>
      <c r="E31537" s="0" t="s">
        <v>2012</v>
      </c>
      <c r="F31537" s="0" t="s">
        <v>2012</v>
      </c>
    </row>
    <row r="31538" customFormat="false" ht="12.8" hidden="false" customHeight="false" outlineLevel="0" collapsed="false">
      <c r="B31538" s="0" t="s">
        <v>14</v>
      </c>
      <c r="C31538" s="0" t="s">
        <v>11702</v>
      </c>
      <c r="D31538" s="0" t="s">
        <v>11703</v>
      </c>
      <c r="E31538" s="0" t="s">
        <v>11703</v>
      </c>
      <c r="F31538" s="0" t="s">
        <v>11703</v>
      </c>
    </row>
    <row r="31540" customFormat="false" ht="12.8" hidden="false" customHeight="false" outlineLevel="0" collapsed="false">
      <c r="A31540" s="0" t="s">
        <v>11704</v>
      </c>
      <c r="B31540" s="0" t="str">
        <f aca="false">HYPERLINK("https://lindat.mff.cuni.cz/services/teitok/pdtc10/index.php?action=vallex&amp;frame=v-w4366f2", "prohloubit (v-w4366f2)")</f>
        <v>prohloubit (v-w4366f2)</v>
      </c>
    </row>
    <row r="31541" customFormat="false" ht="12.8" hidden="false" customHeight="false" outlineLevel="0" collapsed="false">
      <c r="B31541" s="0" t="s">
        <v>7</v>
      </c>
    </row>
    <row r="31542" customFormat="false" ht="12.8" hidden="false" customHeight="false" outlineLevel="0" collapsed="false">
      <c r="B31542" s="0" t="s">
        <v>14</v>
      </c>
    </row>
    <row r="31544" customFormat="false" ht="12.8" hidden="false" customHeight="false" outlineLevel="0" collapsed="false">
      <c r="A31544" s="0" t="s">
        <v>11705</v>
      </c>
      <c r="B31544" s="0" t="str">
        <f aca="false">HYPERLINK("https://lindat.mff.cuni.cz/services/teitok/pdtc10/index.php?action=vallex&amp;frame=v-w4367f1", "prohloubit se (v-w4367f1)")</f>
        <v>prohloubit se (v-w4367f1)</v>
      </c>
    </row>
    <row r="31545" customFormat="false" ht="12.8" hidden="false" customHeight="false" outlineLevel="0" collapsed="false">
      <c r="B31545" s="0" t="s">
        <v>7</v>
      </c>
      <c r="C31545" s="0" t="s">
        <v>11706</v>
      </c>
    </row>
    <row r="31546" customFormat="false" ht="12.8" hidden="false" customHeight="false" outlineLevel="0" collapsed="false">
      <c r="B31546" s="0" t="s">
        <v>63</v>
      </c>
      <c r="C31546" s="0" t="s">
        <v>11707</v>
      </c>
    </row>
    <row r="31547" customFormat="false" ht="12.8" hidden="false" customHeight="false" outlineLevel="0" collapsed="false">
      <c r="B31547" s="0" t="s">
        <v>35</v>
      </c>
      <c r="C31547" s="0" t="s">
        <v>11708</v>
      </c>
    </row>
    <row r="31549" customFormat="false" ht="12.8" hidden="false" customHeight="false" outlineLevel="0" collapsed="false">
      <c r="A31549" s="0" t="s">
        <v>11709</v>
      </c>
      <c r="B31549" s="0" t="str">
        <f aca="false">HYPERLINK("https://lindat.mff.cuni.cz/services/teitok/pdtc10/index.php?action=vallex&amp;frame=v-w4367f2_ZU", "prohloubit se (v-w4367f2_ZU)")</f>
        <v>prohloubit se (v-w4367f2_ZU)</v>
      </c>
    </row>
    <row r="31550" customFormat="false" ht="12.8" hidden="false" customHeight="false" outlineLevel="0" collapsed="false">
      <c r="B31550" s="0" t="s">
        <v>7</v>
      </c>
    </row>
    <row r="31552" customFormat="false" ht="12.8" hidden="false" customHeight="false" outlineLevel="0" collapsed="false">
      <c r="A31552" s="0" t="s">
        <v>11710</v>
      </c>
      <c r="B31552" s="0" t="str">
        <f aca="false">HYPERLINK("https://lindat.mff.cuni.cz/services/teitok/pdtc10/index.php?action=vallex&amp;frame=v-w4369f1", "prohlubovat (v-w4369f1)")</f>
        <v>prohlubovat (v-w4369f1)</v>
      </c>
    </row>
    <row r="31553" customFormat="false" ht="12.8" hidden="false" customHeight="false" outlineLevel="0" collapsed="false">
      <c r="B31553" s="0" t="s">
        <v>7</v>
      </c>
      <c r="D31553" s="0" t="s">
        <v>2012</v>
      </c>
      <c r="E31553" s="0" t="s">
        <v>2012</v>
      </c>
      <c r="F31553" s="0" t="s">
        <v>2012</v>
      </c>
    </row>
    <row r="31554" customFormat="false" ht="12.8" hidden="false" customHeight="false" outlineLevel="0" collapsed="false">
      <c r="B31554" s="0" t="s">
        <v>14</v>
      </c>
      <c r="D31554" s="0" t="s">
        <v>11703</v>
      </c>
      <c r="E31554" s="0" t="s">
        <v>11703</v>
      </c>
      <c r="F31554" s="0" t="s">
        <v>11703</v>
      </c>
    </row>
    <row r="31556" customFormat="false" ht="12.8" hidden="false" customHeight="false" outlineLevel="0" collapsed="false">
      <c r="A31556" s="0" t="s">
        <v>11711</v>
      </c>
      <c r="B31556" s="0" t="str">
        <f aca="false">HYPERLINK("https://lindat.mff.cuni.cz/services/teitok/pdtc10/index.php?action=vallex&amp;frame=v-w4369f2", "prohlubovat (v-w4369f2)")</f>
        <v>prohlubovat (v-w4369f2)</v>
      </c>
    </row>
    <row r="31557" customFormat="false" ht="12.8" hidden="false" customHeight="false" outlineLevel="0" collapsed="false">
      <c r="B31557" s="0" t="s">
        <v>7</v>
      </c>
    </row>
    <row r="31558" customFormat="false" ht="12.8" hidden="false" customHeight="false" outlineLevel="0" collapsed="false">
      <c r="B31558" s="0" t="s">
        <v>14</v>
      </c>
    </row>
    <row r="31560" customFormat="false" ht="12.8" hidden="false" customHeight="false" outlineLevel="0" collapsed="false">
      <c r="A31560" s="0" t="s">
        <v>11712</v>
      </c>
      <c r="B31560" s="0" t="str">
        <f aca="false">HYPERLINK("https://lindat.mff.cuni.cz/services/teitok/pdtc10/index.php?action=vallex&amp;frame=v-w4370f1", "prohlubovat se (v-w4370f1)")</f>
        <v>prohlubovat se (v-w4370f1)</v>
      </c>
    </row>
    <row r="31561" customFormat="false" ht="12.8" hidden="false" customHeight="false" outlineLevel="0" collapsed="false">
      <c r="B31561" s="0" t="s">
        <v>7</v>
      </c>
      <c r="C31561" s="0" t="s">
        <v>278</v>
      </c>
    </row>
    <row r="31562" customFormat="false" ht="12.8" hidden="false" customHeight="false" outlineLevel="0" collapsed="false">
      <c r="B31562" s="0" t="s">
        <v>63</v>
      </c>
      <c r="C31562" s="0" t="s">
        <v>11713</v>
      </c>
    </row>
    <row r="31563" customFormat="false" ht="12.8" hidden="false" customHeight="false" outlineLevel="0" collapsed="false">
      <c r="B31563" s="0" t="s">
        <v>35</v>
      </c>
      <c r="C31563" s="0" t="s">
        <v>11714</v>
      </c>
    </row>
    <row r="31565" customFormat="false" ht="12.8" hidden="false" customHeight="false" outlineLevel="0" collapsed="false">
      <c r="A31565" s="0" t="s">
        <v>11715</v>
      </c>
      <c r="B31565" s="0" t="str">
        <f aca="false">HYPERLINK("https://lindat.mff.cuni.cz/services/teitok/pdtc10/index.php?action=vallex&amp;frame=v-w4354f4_ZU", "prohlásit (v-w4354f4_ZU)")</f>
        <v>prohlásit (v-w4354f4_ZU)</v>
      </c>
    </row>
    <row r="31566" customFormat="false" ht="12.8" hidden="false" customHeight="false" outlineLevel="0" collapsed="false">
      <c r="B31566" s="0" t="s">
        <v>7</v>
      </c>
      <c r="C31566" s="0" t="s">
        <v>108</v>
      </c>
      <c r="D31566" s="0" t="s">
        <v>410</v>
      </c>
      <c r="E31566" s="0" t="s">
        <v>410</v>
      </c>
      <c r="F31566" s="0" t="s">
        <v>410</v>
      </c>
    </row>
    <row r="31567" customFormat="false" ht="12.8" hidden="false" customHeight="false" outlineLevel="0" collapsed="false">
      <c r="B31567" s="0" t="s">
        <v>14</v>
      </c>
      <c r="C31567" s="0" t="s">
        <v>120</v>
      </c>
      <c r="D31567" s="0" t="s">
        <v>3725</v>
      </c>
      <c r="E31567" s="0" t="s">
        <v>3725</v>
      </c>
      <c r="F31567" s="0" t="s">
        <v>3725</v>
      </c>
    </row>
    <row r="31568" customFormat="false" ht="12.8" hidden="false" customHeight="false" outlineLevel="0" collapsed="false">
      <c r="B31568" s="0" t="s">
        <v>11716</v>
      </c>
      <c r="C31568" s="0" t="s">
        <v>11717</v>
      </c>
      <c r="D31568" s="0" t="s">
        <v>11693</v>
      </c>
      <c r="E31568" s="0" t="s">
        <v>11693</v>
      </c>
      <c r="F31568" s="0" t="s">
        <v>11693</v>
      </c>
    </row>
    <row r="31570" customFormat="false" ht="12.8" hidden="false" customHeight="false" outlineLevel="0" collapsed="false">
      <c r="A31570" s="0" t="s">
        <v>11715</v>
      </c>
      <c r="B31570" s="0" t="str">
        <f aca="false">HYPERLINK("https://lindat.mff.cuni.cz/services/teitok/pdtc10/index.php?action=vallex&amp;frame=v-w4354f2", "prohlásit (v-w4354f2) - substituted with v-w4354f4_ZU")</f>
        <v>prohlásit (v-w4354f2) - substituted with v-w4354f4_ZU</v>
      </c>
    </row>
    <row r="31571" customFormat="false" ht="12.8" hidden="false" customHeight="false" outlineLevel="0" collapsed="false">
      <c r="B31571" s="0" t="s">
        <v>7</v>
      </c>
      <c r="C31571" s="0" t="s">
        <v>11718</v>
      </c>
    </row>
    <row r="31572" customFormat="false" ht="12.8" hidden="false" customHeight="false" outlineLevel="0" collapsed="false">
      <c r="B31572" s="0" t="s">
        <v>14</v>
      </c>
      <c r="C31572" s="0" t="s">
        <v>11719</v>
      </c>
    </row>
    <row r="31573" customFormat="false" ht="12.8" hidden="false" customHeight="false" outlineLevel="0" collapsed="false">
      <c r="B31573" s="0" t="s">
        <v>11716</v>
      </c>
      <c r="C31573" s="0" t="s">
        <v>11720</v>
      </c>
    </row>
    <row r="31575" customFormat="false" ht="12.8" hidden="false" customHeight="false" outlineLevel="0" collapsed="false">
      <c r="A31575" s="0" t="s">
        <v>11721</v>
      </c>
      <c r="B31575" s="0" t="str">
        <f aca="false">HYPERLINK("https://lindat.mff.cuni.cz/services/teitok/pdtc10/index.php?action=vallex&amp;frame=v-w4354f3", "prohlásit (v-w4354f3)")</f>
        <v>prohlásit (v-w4354f3)</v>
      </c>
    </row>
    <row r="31576" customFormat="false" ht="12.8" hidden="false" customHeight="false" outlineLevel="0" collapsed="false">
      <c r="B31576" s="0" t="s">
        <v>7</v>
      </c>
    </row>
    <row r="31577" customFormat="false" ht="12.8" hidden="false" customHeight="false" outlineLevel="0" collapsed="false">
      <c r="B31577" s="0" t="s">
        <v>14</v>
      </c>
    </row>
    <row r="31579" customFormat="false" ht="12.8" hidden="false" customHeight="false" outlineLevel="0" collapsed="false">
      <c r="A31579" s="0" t="s">
        <v>11722</v>
      </c>
      <c r="B31579" s="0" t="str">
        <f aca="false">HYPERLINK("https://lindat.mff.cuni.cz/services/teitok/pdtc10/index.php?action=vallex&amp;frame=v-w4354f1", "prohlásit (v-w4354f1)")</f>
        <v>prohlásit (v-w4354f1)</v>
      </c>
    </row>
    <row r="31580" customFormat="false" ht="12.8" hidden="false" customHeight="false" outlineLevel="0" collapsed="false">
      <c r="B31580" s="0" t="s">
        <v>7</v>
      </c>
      <c r="C31580" s="0" t="s">
        <v>11723</v>
      </c>
      <c r="D31580" s="0" t="s">
        <v>164</v>
      </c>
      <c r="E31580" s="0" t="s">
        <v>164</v>
      </c>
      <c r="F31580" s="0" t="s">
        <v>164</v>
      </c>
    </row>
    <row r="31581" customFormat="false" ht="12.8" hidden="false" customHeight="false" outlineLevel="0" collapsed="false">
      <c r="B31581" s="0" t="s">
        <v>5525</v>
      </c>
      <c r="C31581" s="0" t="s">
        <v>11724</v>
      </c>
      <c r="D31581" s="0" t="s">
        <v>1766</v>
      </c>
      <c r="E31581" s="0" t="s">
        <v>1766</v>
      </c>
      <c r="F31581" s="0" t="s">
        <v>1766</v>
      </c>
    </row>
    <row r="31582" customFormat="false" ht="12.8" hidden="false" customHeight="false" outlineLevel="0" collapsed="false">
      <c r="B31582" s="0" t="s">
        <v>10021</v>
      </c>
      <c r="C31582" s="0" t="s">
        <v>9425</v>
      </c>
      <c r="D31582" s="0" t="s">
        <v>167</v>
      </c>
      <c r="E31582" s="0" t="s">
        <v>167</v>
      </c>
      <c r="F31582" s="0" t="s">
        <v>167</v>
      </c>
    </row>
    <row r="31584" customFormat="false" ht="12.8" hidden="false" customHeight="false" outlineLevel="0" collapsed="false">
      <c r="A31584" s="0" t="s">
        <v>11725</v>
      </c>
      <c r="B31584" s="0" t="str">
        <f aca="false">HYPERLINK("https://lindat.mff.cuni.cz/services/teitok/pdtc10/index.php?action=vallex&amp;frame=v-w4360f1", "prohlédnout (v-w4360f1)")</f>
        <v>prohlédnout (v-w4360f1)</v>
      </c>
    </row>
    <row r="31585" customFormat="false" ht="12.8" hidden="false" customHeight="false" outlineLevel="0" collapsed="false">
      <c r="B31585" s="0" t="s">
        <v>7</v>
      </c>
      <c r="E31585" s="0" t="s">
        <v>11726</v>
      </c>
      <c r="F31585" s="0" t="s">
        <v>11726</v>
      </c>
    </row>
    <row r="31586" customFormat="false" ht="12.8" hidden="false" customHeight="false" outlineLevel="0" collapsed="false">
      <c r="B31586" s="0" t="s">
        <v>1814</v>
      </c>
      <c r="E31586" s="0" t="s">
        <v>11727</v>
      </c>
      <c r="F31586" s="0" t="s">
        <v>11727</v>
      </c>
    </row>
    <row r="31588" customFormat="false" ht="12.8" hidden="false" customHeight="false" outlineLevel="0" collapsed="false">
      <c r="A31588" s="0" t="s">
        <v>11728</v>
      </c>
      <c r="B31588" s="0" t="str">
        <f aca="false">HYPERLINK("https://lindat.mff.cuni.cz/services/teitok/pdtc10/index.php?action=vallex&amp;frame=v-w4361hsa_563", "prohlédnout si (v-w4361hsa_563)")</f>
        <v>prohlédnout si (v-w4361hsa_563)</v>
      </c>
    </row>
    <row r="31589" customFormat="false" ht="12.8" hidden="false" customHeight="false" outlineLevel="0" collapsed="false">
      <c r="B31589" s="0" t="s">
        <v>7</v>
      </c>
    </row>
    <row r="31590" customFormat="false" ht="12.8" hidden="false" customHeight="false" outlineLevel="0" collapsed="false">
      <c r="B31590" s="0" t="s">
        <v>232</v>
      </c>
    </row>
    <row r="31592" customFormat="false" ht="12.8" hidden="false" customHeight="false" outlineLevel="0" collapsed="false">
      <c r="A31592" s="0" t="s">
        <v>11728</v>
      </c>
      <c r="B31592" s="0" t="str">
        <f aca="false">HYPERLINK("https://lindat.mff.cuni.cz/services/teitok/pdtc10/index.php?action=vallex&amp;frame=v-w4361f1", "prohlédnout si (v-w4361f1) - substituted with v-w4361hsa_563")</f>
        <v>prohlédnout si (v-w4361f1) - substituted with v-w4361hsa_563</v>
      </c>
    </row>
    <row r="31593" customFormat="false" ht="12.8" hidden="false" customHeight="false" outlineLevel="0" collapsed="false">
      <c r="B31593" s="0" t="s">
        <v>7</v>
      </c>
      <c r="C31593" s="0" t="s">
        <v>468</v>
      </c>
      <c r="D31593" s="0" t="s">
        <v>3410</v>
      </c>
      <c r="E31593" s="0" t="s">
        <v>3410</v>
      </c>
      <c r="F31593" s="0" t="s">
        <v>3410</v>
      </c>
    </row>
    <row r="31594" customFormat="false" ht="12.8" hidden="false" customHeight="false" outlineLevel="0" collapsed="false">
      <c r="B31594" s="0" t="s">
        <v>232</v>
      </c>
      <c r="C31594" s="0" t="s">
        <v>567</v>
      </c>
      <c r="D31594" s="0" t="s">
        <v>11729</v>
      </c>
      <c r="E31594" s="0" t="s">
        <v>11729</v>
      </c>
      <c r="F31594" s="0" t="s">
        <v>11729</v>
      </c>
    </row>
    <row r="31596" customFormat="false" ht="12.8" hidden="false" customHeight="false" outlineLevel="0" collapsed="false">
      <c r="A31596" s="0" t="s">
        <v>11730</v>
      </c>
      <c r="B31596" s="0" t="str">
        <f aca="false">HYPERLINK("https://lindat.mff.cuni.cz/services/teitok/pdtc10/index.php?action=vallex&amp;frame=v-whsa_1911f1_ZU", "prohlídnout (v-whsa_1911f1_ZU)")</f>
        <v>prohlídnout (v-whsa_1911f1_ZU)</v>
      </c>
    </row>
    <row r="31597" customFormat="false" ht="12.8" hidden="false" customHeight="false" outlineLevel="0" collapsed="false">
      <c r="B31597" s="0" t="s">
        <v>7</v>
      </c>
    </row>
    <row r="31598" customFormat="false" ht="12.8" hidden="false" customHeight="false" outlineLevel="0" collapsed="false">
      <c r="B31598" s="0" t="s">
        <v>1814</v>
      </c>
    </row>
    <row r="31600" customFormat="false" ht="12.8" hidden="false" customHeight="false" outlineLevel="0" collapsed="false">
      <c r="A31600" s="0" t="s">
        <v>11730</v>
      </c>
      <c r="B31600" s="0" t="str">
        <f aca="false">HYPERLINK("https://lindat.mff.cuni.cz/services/teitok/pdtc10/index.php?action=vallex&amp;frame=v-whsa_1911hsa_1912", "prohlídnout (v-whsa_1911hsa_1912) - substituted with v-whsa_1911f1_ZU")</f>
        <v>prohlídnout (v-whsa_1911hsa_1912) - substituted with v-whsa_1911f1_ZU</v>
      </c>
    </row>
    <row r="31601" customFormat="false" ht="12.8" hidden="false" customHeight="false" outlineLevel="0" collapsed="false">
      <c r="B31601" s="0" t="s">
        <v>7</v>
      </c>
    </row>
    <row r="31602" customFormat="false" ht="12.8" hidden="false" customHeight="false" outlineLevel="0" collapsed="false">
      <c r="B31602" s="0" t="s">
        <v>1814</v>
      </c>
    </row>
    <row r="31604" customFormat="false" ht="12.8" hidden="false" customHeight="false" outlineLevel="0" collapsed="false">
      <c r="A31604" s="0" t="s">
        <v>11731</v>
      </c>
      <c r="B31604" s="0" t="str">
        <f aca="false">HYPERLINK("https://lindat.mff.cuni.cz/services/teitok/pdtc10/index.php?action=vallex&amp;frame=v-whsa_1209hsa_1210", "prohlídnout si (v-whsa_1209hsa_1210)")</f>
        <v>prohlídnout si (v-whsa_1209hsa_1210)</v>
      </c>
    </row>
    <row r="31605" customFormat="false" ht="12.8" hidden="false" customHeight="false" outlineLevel="0" collapsed="false">
      <c r="B31605" s="0" t="s">
        <v>7</v>
      </c>
    </row>
    <row r="31606" customFormat="false" ht="12.8" hidden="false" customHeight="false" outlineLevel="0" collapsed="false">
      <c r="B31606" s="0" t="s">
        <v>14</v>
      </c>
    </row>
    <row r="31608" customFormat="false" ht="12.8" hidden="false" customHeight="false" outlineLevel="0" collapsed="false">
      <c r="A31608" s="0" t="s">
        <v>11732</v>
      </c>
      <c r="B31608" s="0" t="str">
        <f aca="false">HYPERLINK("https://lindat.mff.cuni.cz/services/teitok/pdtc10/index.php?action=vallex&amp;frame=v-w4363f1", "prohlížet (v-w4363f1)")</f>
        <v>prohlížet (v-w4363f1)</v>
      </c>
    </row>
    <row r="31609" customFormat="false" ht="12.8" hidden="false" customHeight="false" outlineLevel="0" collapsed="false">
      <c r="B31609" s="0" t="s">
        <v>7</v>
      </c>
    </row>
    <row r="31610" customFormat="false" ht="12.8" hidden="false" customHeight="false" outlineLevel="0" collapsed="false">
      <c r="B31610" s="0" t="s">
        <v>14</v>
      </c>
    </row>
    <row r="31612" customFormat="false" ht="12.8" hidden="false" customHeight="false" outlineLevel="0" collapsed="false">
      <c r="A31612" s="0" t="s">
        <v>11733</v>
      </c>
      <c r="B31612" s="0" t="str">
        <f aca="false">HYPERLINK("https://lindat.mff.cuni.cz/services/teitok/pdtc10/index.php?action=vallex&amp;frame=v-w4363f2", "prohlížet (v-w4363f2)")</f>
        <v>prohlížet (v-w4363f2)</v>
      </c>
    </row>
    <row r="31613" customFormat="false" ht="12.8" hidden="false" customHeight="false" outlineLevel="0" collapsed="false">
      <c r="B31613" s="0" t="s">
        <v>7</v>
      </c>
      <c r="C31613" s="0" t="s">
        <v>845</v>
      </c>
      <c r="E31613" s="0" t="s">
        <v>3410</v>
      </c>
      <c r="F31613" s="0" t="s">
        <v>3410</v>
      </c>
    </row>
    <row r="31614" customFormat="false" ht="12.8" hidden="false" customHeight="false" outlineLevel="0" collapsed="false">
      <c r="B31614" s="0" t="s">
        <v>14</v>
      </c>
      <c r="C31614" s="0" t="s">
        <v>2726</v>
      </c>
      <c r="E31614" s="0" t="s">
        <v>11729</v>
      </c>
      <c r="F31614" s="0" t="s">
        <v>11729</v>
      </c>
    </row>
    <row r="31616" customFormat="false" ht="12.8" hidden="false" customHeight="false" outlineLevel="0" collapsed="false">
      <c r="A31616" s="0" t="s">
        <v>11734</v>
      </c>
      <c r="B31616" s="0" t="str">
        <f aca="false">HYPERLINK("https://lindat.mff.cuni.cz/services/teitok/pdtc10/index.php?action=vallex&amp;frame=v-w4364f1", "prohlížet si (v-w4364f1)")</f>
        <v>prohlížet si (v-w4364f1)</v>
      </c>
    </row>
    <row r="31617" customFormat="false" ht="12.8" hidden="false" customHeight="false" outlineLevel="0" collapsed="false">
      <c r="B31617" s="0" t="s">
        <v>7</v>
      </c>
      <c r="C31617" s="0" t="s">
        <v>163</v>
      </c>
      <c r="D31617" s="0" t="s">
        <v>428</v>
      </c>
      <c r="E31617" s="0" t="s">
        <v>428</v>
      </c>
      <c r="F31617" s="0" t="s">
        <v>428</v>
      </c>
    </row>
    <row r="31618" customFormat="false" ht="12.8" hidden="false" customHeight="false" outlineLevel="0" collapsed="false">
      <c r="B31618" s="0" t="s">
        <v>14</v>
      </c>
      <c r="C31618" s="0" t="s">
        <v>1918</v>
      </c>
      <c r="D31618" s="0" t="s">
        <v>7622</v>
      </c>
      <c r="E31618" s="0" t="s">
        <v>7622</v>
      </c>
      <c r="F31618" s="0" t="s">
        <v>7622</v>
      </c>
    </row>
    <row r="31620" customFormat="false" ht="12.8" hidden="false" customHeight="false" outlineLevel="0" collapsed="false">
      <c r="A31620" s="0" t="s">
        <v>11735</v>
      </c>
      <c r="B31620" s="0" t="str">
        <f aca="false">HYPERLINK("https://lindat.mff.cuni.cz/services/teitok/pdtc10/index.php?action=vallex&amp;frame=v-w11385f2", "prohnat se (v-w11385f2)")</f>
        <v>prohnat se (v-w11385f2)</v>
      </c>
    </row>
    <row r="31621" customFormat="false" ht="12.8" hidden="false" customHeight="false" outlineLevel="0" collapsed="false">
      <c r="B31621" s="0" t="s">
        <v>7</v>
      </c>
      <c r="C31621" s="0" t="s">
        <v>113</v>
      </c>
      <c r="D31621" s="0" t="s">
        <v>11736</v>
      </c>
      <c r="E31621" s="0" t="s">
        <v>11736</v>
      </c>
      <c r="F31621" s="0" t="s">
        <v>11736</v>
      </c>
    </row>
    <row r="31622" customFormat="false" ht="12.8" hidden="false" customHeight="false" outlineLevel="0" collapsed="false">
      <c r="B31622" s="0" t="s">
        <v>259</v>
      </c>
    </row>
    <row r="31624" customFormat="false" ht="12.8" hidden="false" customHeight="false" outlineLevel="0" collapsed="false">
      <c r="A31624" s="0" t="s">
        <v>11737</v>
      </c>
      <c r="B31624" s="0" t="str">
        <f aca="false">HYPERLINK("https://lindat.mff.cuni.cz/services/teitok/pdtc10/index.php?action=vallex&amp;frame=v-whsa_425hsa_426", "prohnout (v-whsa_425hsa_426)")</f>
        <v>prohnout (v-whsa_425hsa_426)</v>
      </c>
    </row>
    <row r="31625" customFormat="false" ht="12.8" hidden="false" customHeight="false" outlineLevel="0" collapsed="false">
      <c r="B31625" s="0" t="s">
        <v>7</v>
      </c>
    </row>
    <row r="31626" customFormat="false" ht="12.8" hidden="false" customHeight="false" outlineLevel="0" collapsed="false">
      <c r="B31626" s="0" t="s">
        <v>14</v>
      </c>
    </row>
    <row r="31628" customFormat="false" ht="12.8" hidden="false" customHeight="false" outlineLevel="0" collapsed="false">
      <c r="A31628" s="0" t="s">
        <v>11738</v>
      </c>
      <c r="B31628" s="0" t="str">
        <f aca="false">HYPERLINK("https://lindat.mff.cuni.cz/services/teitok/pdtc10/index.php?action=vallex&amp;frame=v-w11391f1", "prohnout se (v-w11391f1)")</f>
        <v>prohnout se (v-w11391f1)</v>
      </c>
    </row>
    <row r="31629" customFormat="false" ht="12.8" hidden="false" customHeight="false" outlineLevel="0" collapsed="false">
      <c r="B31629" s="0" t="s">
        <v>7</v>
      </c>
      <c r="C31629" s="0" t="s">
        <v>4651</v>
      </c>
      <c r="D31629" s="0" t="s">
        <v>708</v>
      </c>
      <c r="E31629" s="0" t="s">
        <v>708</v>
      </c>
      <c r="F31629" s="0" t="s">
        <v>708</v>
      </c>
    </row>
    <row r="31631" customFormat="false" ht="12.8" hidden="false" customHeight="false" outlineLevel="0" collapsed="false">
      <c r="A31631" s="0" t="s">
        <v>11739</v>
      </c>
      <c r="B31631" s="0" t="str">
        <f aca="false">HYPERLINK("https://lindat.mff.cuni.cz/services/teitok/pdtc10/index.php?action=vallex&amp;frame=v-w11391hsa_1854", "prohnout se (v-w11391hsa_1854)")</f>
        <v>prohnout se (v-w11391hsa_1854)</v>
      </c>
    </row>
    <row r="31632" customFormat="false" ht="12.8" hidden="false" customHeight="false" outlineLevel="0" collapsed="false">
      <c r="B31632" s="0" t="s">
        <v>7</v>
      </c>
    </row>
    <row r="31634" customFormat="false" ht="12.8" hidden="false" customHeight="false" outlineLevel="0" collapsed="false">
      <c r="A31634" s="0" t="s">
        <v>11740</v>
      </c>
      <c r="B31634" s="0" t="str">
        <f aca="false">HYPERLINK("https://lindat.mff.cuni.cz/services/teitok/pdtc10/index.php?action=vallex&amp;frame=v-w4371f1", "prohodit (v-w4371f1)")</f>
        <v>prohodit (v-w4371f1)</v>
      </c>
    </row>
    <row r="31635" customFormat="false" ht="12.8" hidden="false" customHeight="false" outlineLevel="0" collapsed="false">
      <c r="B31635" s="0" t="s">
        <v>7</v>
      </c>
    </row>
    <row r="31636" customFormat="false" ht="12.8" hidden="false" customHeight="false" outlineLevel="0" collapsed="false">
      <c r="B31636" s="0" t="s">
        <v>14</v>
      </c>
    </row>
    <row r="31637" customFormat="false" ht="12.8" hidden="false" customHeight="false" outlineLevel="0" collapsed="false">
      <c r="B31637" s="0" t="s">
        <v>207</v>
      </c>
    </row>
    <row r="31639" customFormat="false" ht="12.8" hidden="false" customHeight="false" outlineLevel="0" collapsed="false">
      <c r="A31639" s="0" t="s">
        <v>11741</v>
      </c>
      <c r="B31639" s="0" t="str">
        <f aca="false">HYPERLINK("https://lindat.mff.cuni.cz/services/teitok/pdtc10/index.php?action=vallex&amp;frame=v-w4371f2", "prohodit (v-w4371f2)")</f>
        <v>prohodit (v-w4371f2)</v>
      </c>
    </row>
    <row r="31640" customFormat="false" ht="12.8" hidden="false" customHeight="false" outlineLevel="0" collapsed="false">
      <c r="B31640" s="0" t="s">
        <v>7</v>
      </c>
    </row>
    <row r="31641" customFormat="false" ht="12.8" hidden="false" customHeight="false" outlineLevel="0" collapsed="false">
      <c r="B31641" s="0" t="s">
        <v>14</v>
      </c>
    </row>
    <row r="31642" customFormat="false" ht="12.8" hidden="false" customHeight="false" outlineLevel="0" collapsed="false">
      <c r="B31642" s="0" t="s">
        <v>9733</v>
      </c>
    </row>
    <row r="31644" customFormat="false" ht="12.8" hidden="false" customHeight="false" outlineLevel="0" collapsed="false">
      <c r="A31644" s="0" t="s">
        <v>11742</v>
      </c>
      <c r="B31644" s="0" t="str">
        <f aca="false">HYPERLINK("https://lindat.mff.cuni.cz/services/teitok/pdtc10/index.php?action=vallex&amp;frame=v-w4371f3", "prohodit (v-w4371f3)")</f>
        <v>prohodit (v-w4371f3)</v>
      </c>
    </row>
    <row r="31645" customFormat="false" ht="12.8" hidden="false" customHeight="false" outlineLevel="0" collapsed="false">
      <c r="B31645" s="0" t="s">
        <v>7</v>
      </c>
    </row>
    <row r="31646" customFormat="false" ht="12.8" hidden="false" customHeight="false" outlineLevel="0" collapsed="false">
      <c r="B31646" s="0" t="s">
        <v>14</v>
      </c>
    </row>
    <row r="31648" customFormat="false" ht="12.8" hidden="false" customHeight="false" outlineLevel="0" collapsed="false">
      <c r="A31648" s="0" t="s">
        <v>11743</v>
      </c>
      <c r="B31648" s="0" t="str">
        <f aca="false">HYPERLINK("https://lindat.mff.cuni.cz/services/teitok/pdtc10/index.php?action=vallex&amp;frame=v-w4371f5_ZU", "prohodit (v-w4371f5_ZU)")</f>
        <v>prohodit (v-w4371f5_ZU)</v>
      </c>
    </row>
    <row r="31649" customFormat="false" ht="12.8" hidden="false" customHeight="false" outlineLevel="0" collapsed="false">
      <c r="B31649" s="0" t="s">
        <v>7</v>
      </c>
    </row>
    <row r="31650" customFormat="false" ht="12.8" hidden="false" customHeight="false" outlineLevel="0" collapsed="false">
      <c r="B31650" s="0" t="s">
        <v>1123</v>
      </c>
    </row>
    <row r="31652" customFormat="false" ht="12.8" hidden="false" customHeight="false" outlineLevel="0" collapsed="false">
      <c r="A31652" s="0" t="s">
        <v>11743</v>
      </c>
      <c r="B31652" s="0" t="str">
        <f aca="false">HYPERLINK("https://lindat.mff.cuni.cz/services/teitok/pdtc10/index.php?action=vallex&amp;frame=v-w4371f4_ZU", "prohodit (v-w4371f4_ZU) - substituted with v-w4371f5_ZU")</f>
        <v>prohodit (v-w4371f4_ZU) - substituted with v-w4371f5_ZU</v>
      </c>
    </row>
    <row r="31653" customFormat="false" ht="12.8" hidden="false" customHeight="false" outlineLevel="0" collapsed="false">
      <c r="B31653" s="0" t="s">
        <v>7</v>
      </c>
    </row>
    <row r="31654" customFormat="false" ht="12.8" hidden="false" customHeight="false" outlineLevel="0" collapsed="false">
      <c r="B31654" s="0" t="s">
        <v>1123</v>
      </c>
    </row>
    <row r="31656" customFormat="false" ht="12.8" hidden="false" customHeight="false" outlineLevel="0" collapsed="false">
      <c r="A31656" s="0" t="s">
        <v>11744</v>
      </c>
      <c r="B31656" s="0" t="str">
        <f aca="false">HYPERLINK("https://lindat.mff.cuni.cz/services/teitok/pdtc10/index.php?action=vallex&amp;frame=v-w11455f2", "prohodit si (v-w11455f2)")</f>
        <v>prohodit si (v-w11455f2)</v>
      </c>
    </row>
    <row r="31657" customFormat="false" ht="12.8" hidden="false" customHeight="false" outlineLevel="0" collapsed="false">
      <c r="B31657" s="0" t="s">
        <v>7</v>
      </c>
    </row>
    <row r="31658" customFormat="false" ht="12.8" hidden="false" customHeight="false" outlineLevel="0" collapsed="false">
      <c r="B31658" s="0" t="s">
        <v>14</v>
      </c>
    </row>
    <row r="31659" customFormat="false" ht="12.8" hidden="false" customHeight="false" outlineLevel="0" collapsed="false">
      <c r="B31659" s="0" t="s">
        <v>2767</v>
      </c>
    </row>
    <row r="31660" customFormat="false" ht="12.8" hidden="false" customHeight="false" outlineLevel="0" collapsed="false">
      <c r="B31660" s="0" t="s">
        <v>550</v>
      </c>
    </row>
    <row r="31662" customFormat="false" ht="12.8" hidden="false" customHeight="false" outlineLevel="0" collapsed="false">
      <c r="A31662" s="0" t="s">
        <v>11745</v>
      </c>
      <c r="B31662" s="0" t="str">
        <f aca="false">HYPERLINK("https://lindat.mff.cuni.cz/services/teitok/pdtc10/index.php?action=vallex&amp;frame=v-w11686_ZUf1_ZU", "prohovořit (v-w11686_ZUf1_ZU)")</f>
        <v>prohovořit (v-w11686_ZUf1_ZU)</v>
      </c>
    </row>
    <row r="31663" customFormat="false" ht="12.8" hidden="false" customHeight="false" outlineLevel="0" collapsed="false">
      <c r="B31663" s="0" t="s">
        <v>7</v>
      </c>
    </row>
    <row r="31664" customFormat="false" ht="12.8" hidden="false" customHeight="false" outlineLevel="0" collapsed="false">
      <c r="B31664" s="0" t="s">
        <v>14</v>
      </c>
    </row>
    <row r="31665" customFormat="false" ht="12.8" hidden="false" customHeight="false" outlineLevel="0" collapsed="false">
      <c r="B31665" s="0" t="s">
        <v>207</v>
      </c>
    </row>
    <row r="31667" customFormat="false" ht="12.8" hidden="false" customHeight="false" outlineLevel="0" collapsed="false">
      <c r="A31667" s="0" t="s">
        <v>11746</v>
      </c>
      <c r="B31667" s="0" t="str">
        <f aca="false">HYPERLINK("https://lindat.mff.cuni.cz/services/teitok/pdtc10/index.php?action=vallex&amp;frame=v-w12240_ZUf1_ZU", "prohrabovat (v-w12240_ZUf1_ZU)")</f>
        <v>prohrabovat (v-w12240_ZUf1_ZU)</v>
      </c>
    </row>
    <row r="31668" customFormat="false" ht="12.8" hidden="false" customHeight="false" outlineLevel="0" collapsed="false">
      <c r="B31668" s="0" t="s">
        <v>7</v>
      </c>
    </row>
    <row r="31669" customFormat="false" ht="12.8" hidden="false" customHeight="false" outlineLevel="0" collapsed="false">
      <c r="B31669" s="0" t="s">
        <v>14</v>
      </c>
    </row>
    <row r="31671" customFormat="false" ht="12.8" hidden="false" customHeight="false" outlineLevel="0" collapsed="false">
      <c r="A31671" s="0" t="s">
        <v>11747</v>
      </c>
      <c r="B31671" s="0" t="str">
        <f aca="false">HYPERLINK("https://lindat.mff.cuni.cz/services/teitok/pdtc10/index.php?action=vallex&amp;frame=v-w10455f2", "prohrabávat (v-w10455f2)")</f>
        <v>prohrabávat (v-w10455f2)</v>
      </c>
    </row>
    <row r="31672" customFormat="false" ht="12.8" hidden="false" customHeight="false" outlineLevel="0" collapsed="false">
      <c r="B31672" s="0" t="s">
        <v>7</v>
      </c>
      <c r="D31672" s="0" t="s">
        <v>46</v>
      </c>
      <c r="E31672" s="0" t="s">
        <v>46</v>
      </c>
      <c r="F31672" s="0" t="s">
        <v>46</v>
      </c>
    </row>
    <row r="31673" customFormat="false" ht="12.8" hidden="false" customHeight="false" outlineLevel="0" collapsed="false">
      <c r="B31673" s="0" t="s">
        <v>14</v>
      </c>
      <c r="D31673" s="0" t="s">
        <v>33</v>
      </c>
      <c r="E31673" s="0" t="s">
        <v>33</v>
      </c>
      <c r="F31673" s="0" t="s">
        <v>33</v>
      </c>
    </row>
    <row r="31675" customFormat="false" ht="12.8" hidden="false" customHeight="false" outlineLevel="0" collapsed="false">
      <c r="A31675" s="0" t="s">
        <v>11748</v>
      </c>
      <c r="B31675" s="0" t="str">
        <f aca="false">HYPERLINK("https://lindat.mff.cuni.cz/services/teitok/pdtc10/index.php?action=vallex&amp;frame=v-w11929_ZUf1_ZU", "prohrabávat se (v-w11929_ZUf1_ZU)")</f>
        <v>prohrabávat se (v-w11929_ZUf1_ZU)</v>
      </c>
    </row>
    <row r="31676" customFormat="false" ht="12.8" hidden="false" customHeight="false" outlineLevel="0" collapsed="false">
      <c r="B31676" s="0" t="s">
        <v>7</v>
      </c>
    </row>
    <row r="31677" customFormat="false" ht="12.8" hidden="false" customHeight="false" outlineLevel="0" collapsed="false">
      <c r="B31677" s="0" t="s">
        <v>4324</v>
      </c>
    </row>
    <row r="31679" customFormat="false" ht="12.8" hidden="false" customHeight="false" outlineLevel="0" collapsed="false">
      <c r="A31679" s="0" t="s">
        <v>11749</v>
      </c>
      <c r="B31679" s="0" t="str">
        <f aca="false">HYPERLINK("https://lindat.mff.cuni.cz/services/teitok/pdtc10/index.php?action=vallex&amp;frame=v-w4374f2_ZU", "prohrát (v-w4374f2_ZU)")</f>
        <v>prohrát (v-w4374f2_ZU)</v>
      </c>
    </row>
    <row r="31680" customFormat="false" ht="12.8" hidden="false" customHeight="false" outlineLevel="0" collapsed="false">
      <c r="B31680" s="0" t="s">
        <v>7</v>
      </c>
    </row>
    <row r="31681" customFormat="false" ht="12.8" hidden="false" customHeight="false" outlineLevel="0" collapsed="false">
      <c r="B31681" s="0" t="s">
        <v>11750</v>
      </c>
    </row>
    <row r="31682" customFormat="false" ht="12.8" hidden="false" customHeight="false" outlineLevel="0" collapsed="false">
      <c r="B31682" s="0" t="s">
        <v>2722</v>
      </c>
    </row>
    <row r="31684" customFormat="false" ht="12.8" hidden="false" customHeight="false" outlineLevel="0" collapsed="false">
      <c r="A31684" s="0" t="s">
        <v>11749</v>
      </c>
      <c r="B31684" s="0" t="str">
        <f aca="false">HYPERLINK("https://lindat.mff.cuni.cz/services/teitok/pdtc10/index.php?action=vallex&amp;frame=v-w4374f1", "prohrát (v-w4374f1) - substituted with v-w4374f2_ZU")</f>
        <v>prohrát (v-w4374f1) - substituted with v-w4374f2_ZU</v>
      </c>
    </row>
    <row r="31685" customFormat="false" ht="12.8" hidden="false" customHeight="false" outlineLevel="0" collapsed="false">
      <c r="B31685" s="0" t="s">
        <v>7</v>
      </c>
      <c r="C31685" s="0" t="s">
        <v>11751</v>
      </c>
      <c r="D31685" s="0" t="s">
        <v>309</v>
      </c>
      <c r="E31685" s="0" t="s">
        <v>309</v>
      </c>
      <c r="F31685" s="0" t="s">
        <v>309</v>
      </c>
    </row>
    <row r="31686" customFormat="false" ht="12.8" hidden="false" customHeight="false" outlineLevel="0" collapsed="false">
      <c r="B31686" s="0" t="s">
        <v>11750</v>
      </c>
      <c r="C31686" s="0" t="s">
        <v>11752</v>
      </c>
      <c r="D31686" s="0" t="s">
        <v>11753</v>
      </c>
      <c r="E31686" s="0" t="s">
        <v>11753</v>
      </c>
      <c r="F31686" s="0" t="s">
        <v>11753</v>
      </c>
    </row>
    <row r="31687" customFormat="false" ht="12.8" hidden="false" customHeight="false" outlineLevel="0" collapsed="false">
      <c r="B31687" s="0" t="s">
        <v>2722</v>
      </c>
      <c r="C31687" s="0" t="s">
        <v>11754</v>
      </c>
      <c r="D31687" s="0" t="s">
        <v>1165</v>
      </c>
      <c r="E31687" s="0" t="s">
        <v>1165</v>
      </c>
      <c r="F31687" s="0" t="s">
        <v>1165</v>
      </c>
    </row>
    <row r="31689" customFormat="false" ht="12.8" hidden="false" customHeight="false" outlineLevel="0" collapsed="false">
      <c r="A31689" s="0" t="s">
        <v>11755</v>
      </c>
      <c r="B31689" s="0" t="str">
        <f aca="false">HYPERLINK("https://lindat.mff.cuni.cz/services/teitok/pdtc10/index.php?action=vallex&amp;frame=v-w4375f1", "prohrávat (v-w4375f1)")</f>
        <v>prohrávat (v-w4375f1)</v>
      </c>
    </row>
    <row r="31690" customFormat="false" ht="12.8" hidden="false" customHeight="false" outlineLevel="0" collapsed="false">
      <c r="B31690" s="0" t="s">
        <v>7</v>
      </c>
      <c r="C31690" s="0" t="s">
        <v>1154</v>
      </c>
      <c r="D31690" s="0" t="s">
        <v>309</v>
      </c>
      <c r="E31690" s="0" t="s">
        <v>309</v>
      </c>
      <c r="F31690" s="0" t="s">
        <v>309</v>
      </c>
    </row>
    <row r="31691" customFormat="false" ht="12.8" hidden="false" customHeight="false" outlineLevel="0" collapsed="false">
      <c r="B31691" s="0" t="s">
        <v>11750</v>
      </c>
      <c r="C31691" s="0" t="s">
        <v>11756</v>
      </c>
      <c r="D31691" s="0" t="s">
        <v>11753</v>
      </c>
      <c r="E31691" s="0" t="s">
        <v>11753</v>
      </c>
      <c r="F31691" s="0" t="s">
        <v>11753</v>
      </c>
    </row>
    <row r="31692" customFormat="false" ht="12.8" hidden="false" customHeight="false" outlineLevel="0" collapsed="false">
      <c r="B31692" s="0" t="s">
        <v>2722</v>
      </c>
      <c r="C31692" s="0" t="s">
        <v>1165</v>
      </c>
      <c r="D31692" s="0" t="s">
        <v>1165</v>
      </c>
      <c r="E31692" s="0" t="s">
        <v>1165</v>
      </c>
      <c r="F31692" s="0" t="s">
        <v>1165</v>
      </c>
    </row>
    <row r="31694" customFormat="false" ht="12.8" hidden="false" customHeight="false" outlineLevel="0" collapsed="false">
      <c r="A31694" s="0" t="s">
        <v>11757</v>
      </c>
      <c r="B31694" s="0" t="str">
        <f aca="false">HYPERLINK("https://lindat.mff.cuni.cz/services/teitok/pdtc10/index.php?action=vallex&amp;frame=v-whsa_1562hsa_1563", "prohánět (v-whsa_1562hsa_1563)")</f>
        <v>prohánět (v-whsa_1562hsa_1563)</v>
      </c>
    </row>
    <row r="31695" customFormat="false" ht="12.8" hidden="false" customHeight="false" outlineLevel="0" collapsed="false">
      <c r="B31695" s="0" t="s">
        <v>7</v>
      </c>
    </row>
    <row r="31696" customFormat="false" ht="12.8" hidden="false" customHeight="false" outlineLevel="0" collapsed="false">
      <c r="B31696" s="0" t="s">
        <v>14</v>
      </c>
    </row>
    <row r="31698" customFormat="false" ht="12.8" hidden="false" customHeight="false" outlineLevel="0" collapsed="false">
      <c r="A31698" s="0" t="s">
        <v>11758</v>
      </c>
      <c r="B31698" s="0" t="str">
        <f aca="false">HYPERLINK("https://lindat.mff.cuni.cz/services/teitok/pdtc10/index.php?action=vallex&amp;frame=v-whsa_443f1_ZU", "prohánět se (v-whsa_443f1_ZU)")</f>
        <v>prohánět se (v-whsa_443f1_ZU)</v>
      </c>
    </row>
    <row r="31699" customFormat="false" ht="12.8" hidden="false" customHeight="false" outlineLevel="0" collapsed="false">
      <c r="B31699" s="0" t="s">
        <v>7</v>
      </c>
    </row>
    <row r="31701" customFormat="false" ht="12.8" hidden="false" customHeight="false" outlineLevel="0" collapsed="false">
      <c r="A31701" s="0" t="s">
        <v>11759</v>
      </c>
      <c r="B31701" s="0" t="str">
        <f aca="false">HYPERLINK("https://lindat.mff.cuni.cz/services/teitok/pdtc10/index.php?action=vallex&amp;frame=v-whsa_443hsa_444", "prohánět se (v-whsa_443hsa_444)")</f>
        <v>prohánět se (v-whsa_443hsa_444)</v>
      </c>
    </row>
    <row r="31702" customFormat="false" ht="12.8" hidden="false" customHeight="false" outlineLevel="0" collapsed="false">
      <c r="B31702" s="0" t="s">
        <v>7</v>
      </c>
    </row>
    <row r="31703" customFormat="false" ht="12.8" hidden="false" customHeight="false" outlineLevel="0" collapsed="false">
      <c r="B31703" s="0" t="s">
        <v>259</v>
      </c>
    </row>
    <row r="31705" customFormat="false" ht="12.8" hidden="false" customHeight="false" outlineLevel="0" collapsed="false">
      <c r="A31705" s="0" t="s">
        <v>11760</v>
      </c>
      <c r="B31705" s="0" t="str">
        <f aca="false">HYPERLINK("https://lindat.mff.cuni.cz/services/teitok/pdtc10/index.php?action=vallex&amp;frame=v-whsb_618hsa_619", "proházet (v-whsb_618hsa_619)")</f>
        <v>proházet (v-whsb_618hsa_619)</v>
      </c>
    </row>
    <row r="31706" customFormat="false" ht="12.8" hidden="false" customHeight="false" outlineLevel="0" collapsed="false">
      <c r="B31706" s="0" t="s">
        <v>7</v>
      </c>
    </row>
    <row r="31707" customFormat="false" ht="12.8" hidden="false" customHeight="false" outlineLevel="0" collapsed="false">
      <c r="B31707" s="0" t="s">
        <v>14</v>
      </c>
    </row>
    <row r="31709" customFormat="false" ht="12.8" hidden="false" customHeight="false" outlineLevel="0" collapsed="false">
      <c r="A31709" s="0" t="s">
        <v>11761</v>
      </c>
      <c r="B31709" s="0" t="str">
        <f aca="false">HYPERLINK("https://lindat.mff.cuni.cz/services/teitok/pdtc10/index.php?action=vallex&amp;frame=v-w4376f1", "prohřešit se (v-w4376f1)")</f>
        <v>prohřešit se (v-w4376f1)</v>
      </c>
    </row>
    <row r="31710" customFormat="false" ht="12.8" hidden="false" customHeight="false" outlineLevel="0" collapsed="false">
      <c r="B31710" s="0" t="s">
        <v>7</v>
      </c>
    </row>
    <row r="31712" customFormat="false" ht="12.8" hidden="false" customHeight="false" outlineLevel="0" collapsed="false">
      <c r="A31712" s="0" t="s">
        <v>11762</v>
      </c>
      <c r="B31712" s="0" t="str">
        <f aca="false">HYPERLINK("https://lindat.mff.cuni.cz/services/teitok/pdtc10/index.php?action=vallex&amp;frame=v-w12115_ZUf1_ZU", "prohřívat (v-w12115_ZUf1_ZU)")</f>
        <v>prohřívat (v-w12115_ZUf1_ZU)</v>
      </c>
    </row>
    <row r="31713" customFormat="false" ht="12.8" hidden="false" customHeight="false" outlineLevel="0" collapsed="false">
      <c r="B31713" s="0" t="s">
        <v>7</v>
      </c>
    </row>
    <row r="31714" customFormat="false" ht="12.8" hidden="false" customHeight="false" outlineLevel="0" collapsed="false">
      <c r="B31714" s="0" t="s">
        <v>14</v>
      </c>
    </row>
    <row r="31716" customFormat="false" ht="12.8" hidden="false" customHeight="false" outlineLevel="0" collapsed="false">
      <c r="A31716" s="0" t="s">
        <v>11763</v>
      </c>
      <c r="B31716" s="0" t="str">
        <f aca="false">HYPERLINK("https://lindat.mff.cuni.cz/services/teitok/pdtc10/index.php?action=vallex&amp;frame=v-w11130f2", "proinvestovat (v-w11130f2)")</f>
        <v>proinvestovat (v-w11130f2)</v>
      </c>
    </row>
    <row r="31717" customFormat="false" ht="12.8" hidden="false" customHeight="false" outlineLevel="0" collapsed="false">
      <c r="B31717" s="0" t="s">
        <v>7</v>
      </c>
      <c r="C31717" s="0" t="s">
        <v>8623</v>
      </c>
    </row>
    <row r="31718" customFormat="false" ht="12.8" hidden="false" customHeight="false" outlineLevel="0" collapsed="false">
      <c r="B31718" s="0" t="s">
        <v>14</v>
      </c>
      <c r="C31718" s="0" t="s">
        <v>11764</v>
      </c>
    </row>
    <row r="31720" customFormat="false" ht="12.8" hidden="false" customHeight="false" outlineLevel="0" collapsed="false">
      <c r="A31720" s="0" t="s">
        <v>11765</v>
      </c>
      <c r="B31720" s="0" t="str">
        <f aca="false">HYPERLINK("https://lindat.mff.cuni.cz/services/teitok/pdtc10/index.php?action=vallex&amp;frame=v-w4381f2", "projednat (v-w4381f2)")</f>
        <v>projednat (v-w4381f2)</v>
      </c>
    </row>
    <row r="31721" customFormat="false" ht="12.8" hidden="false" customHeight="false" outlineLevel="0" collapsed="false">
      <c r="B31721" s="0" t="s">
        <v>7</v>
      </c>
      <c r="C31721" s="0" t="s">
        <v>11766</v>
      </c>
      <c r="D31721" s="0" t="s">
        <v>11767</v>
      </c>
      <c r="E31721" s="0" t="s">
        <v>11767</v>
      </c>
      <c r="F31721" s="0" t="s">
        <v>11767</v>
      </c>
    </row>
    <row r="31722" customFormat="false" ht="12.8" hidden="false" customHeight="false" outlineLevel="0" collapsed="false">
      <c r="B31722" s="0" t="s">
        <v>14</v>
      </c>
      <c r="C31722" s="0" t="s">
        <v>11768</v>
      </c>
      <c r="D31722" s="0" t="s">
        <v>11769</v>
      </c>
      <c r="E31722" s="0" t="s">
        <v>11769</v>
      </c>
      <c r="F31722" s="0" t="s">
        <v>11769</v>
      </c>
    </row>
    <row r="31723" customFormat="false" ht="12.8" hidden="false" customHeight="false" outlineLevel="0" collapsed="false">
      <c r="B31723" s="0" t="s">
        <v>207</v>
      </c>
      <c r="C31723" s="0" t="s">
        <v>1871</v>
      </c>
      <c r="D31723" s="0" t="s">
        <v>11770</v>
      </c>
      <c r="E31723" s="0" t="s">
        <v>11770</v>
      </c>
      <c r="F31723" s="0" t="s">
        <v>11770</v>
      </c>
    </row>
    <row r="31725" customFormat="false" ht="12.8" hidden="false" customHeight="false" outlineLevel="0" collapsed="false">
      <c r="A31725" s="0" t="s">
        <v>11771</v>
      </c>
      <c r="B31725" s="0" t="str">
        <f aca="false">HYPERLINK("https://lindat.mff.cuni.cz/services/teitok/pdtc10/index.php?action=vallex&amp;frame=v-w4381f1", "projednat (v-w4381f1)")</f>
        <v>projednat (v-w4381f1)</v>
      </c>
    </row>
    <row r="31726" customFormat="false" ht="12.8" hidden="false" customHeight="false" outlineLevel="0" collapsed="false">
      <c r="B31726" s="0" t="s">
        <v>7</v>
      </c>
      <c r="C31726" s="0" t="s">
        <v>11772</v>
      </c>
      <c r="D31726" s="0" t="s">
        <v>1801</v>
      </c>
      <c r="E31726" s="0" t="s">
        <v>1801</v>
      </c>
      <c r="F31726" s="0" t="s">
        <v>1801</v>
      </c>
    </row>
    <row r="31727" customFormat="false" ht="12.8" hidden="false" customHeight="false" outlineLevel="0" collapsed="false">
      <c r="B31727" s="0" t="s">
        <v>11773</v>
      </c>
      <c r="C31727" s="0" t="s">
        <v>11774</v>
      </c>
      <c r="D31727" s="0" t="s">
        <v>1804</v>
      </c>
      <c r="E31727" s="0" t="s">
        <v>1804</v>
      </c>
      <c r="F31727" s="0" t="s">
        <v>1804</v>
      </c>
    </row>
    <row r="31729" customFormat="false" ht="12.8" hidden="false" customHeight="false" outlineLevel="0" collapsed="false">
      <c r="A31729" s="0" t="s">
        <v>11775</v>
      </c>
      <c r="B31729" s="0" t="str">
        <f aca="false">HYPERLINK("https://lindat.mff.cuni.cz/services/teitok/pdtc10/index.php?action=vallex&amp;frame=v-w4384f2", "projednávat (v-w4384f2)")</f>
        <v>projednávat (v-w4384f2)</v>
      </c>
    </row>
    <row r="31730" customFormat="false" ht="12.8" hidden="false" customHeight="false" outlineLevel="0" collapsed="false">
      <c r="B31730" s="0" t="s">
        <v>7</v>
      </c>
      <c r="C31730" s="0" t="s">
        <v>2156</v>
      </c>
      <c r="D31730" s="0" t="s">
        <v>11767</v>
      </c>
      <c r="E31730" s="0" t="s">
        <v>11767</v>
      </c>
      <c r="F31730" s="0" t="s">
        <v>11767</v>
      </c>
    </row>
    <row r="31731" customFormat="false" ht="12.8" hidden="false" customHeight="false" outlineLevel="0" collapsed="false">
      <c r="B31731" s="0" t="s">
        <v>14</v>
      </c>
      <c r="C31731" s="0" t="s">
        <v>11776</v>
      </c>
      <c r="D31731" s="0" t="s">
        <v>11769</v>
      </c>
      <c r="E31731" s="0" t="s">
        <v>11769</v>
      </c>
      <c r="F31731" s="0" t="s">
        <v>11769</v>
      </c>
    </row>
    <row r="31732" customFormat="false" ht="12.8" hidden="false" customHeight="false" outlineLevel="0" collapsed="false">
      <c r="B31732" s="0" t="s">
        <v>207</v>
      </c>
      <c r="C31732" s="0" t="s">
        <v>11777</v>
      </c>
      <c r="D31732" s="0" t="s">
        <v>11770</v>
      </c>
      <c r="E31732" s="0" t="s">
        <v>11770</v>
      </c>
      <c r="F31732" s="0" t="s">
        <v>11770</v>
      </c>
    </row>
    <row r="31734" customFormat="false" ht="12.8" hidden="false" customHeight="false" outlineLevel="0" collapsed="false">
      <c r="A31734" s="0" t="s">
        <v>11778</v>
      </c>
      <c r="B31734" s="0" t="str">
        <f aca="false">HYPERLINK("https://lindat.mff.cuni.cz/services/teitok/pdtc10/index.php?action=vallex&amp;frame=v-w4384f1", "projednávat (v-w4384f1)")</f>
        <v>projednávat (v-w4384f1)</v>
      </c>
    </row>
    <row r="31735" customFormat="false" ht="12.8" hidden="false" customHeight="false" outlineLevel="0" collapsed="false">
      <c r="B31735" s="0" t="s">
        <v>7</v>
      </c>
      <c r="C31735" s="0" t="s">
        <v>11779</v>
      </c>
      <c r="D31735" s="0" t="s">
        <v>1801</v>
      </c>
      <c r="E31735" s="0" t="s">
        <v>1801</v>
      </c>
      <c r="F31735" s="0" t="s">
        <v>1801</v>
      </c>
    </row>
    <row r="31736" customFormat="false" ht="12.8" hidden="false" customHeight="false" outlineLevel="0" collapsed="false">
      <c r="B31736" s="0" t="s">
        <v>11773</v>
      </c>
      <c r="C31736" s="0" t="s">
        <v>11780</v>
      </c>
      <c r="D31736" s="0" t="s">
        <v>1804</v>
      </c>
      <c r="E31736" s="0" t="s">
        <v>1804</v>
      </c>
      <c r="F31736" s="0" t="s">
        <v>1804</v>
      </c>
    </row>
    <row r="31738" customFormat="false" ht="12.8" hidden="false" customHeight="false" outlineLevel="0" collapsed="false">
      <c r="A31738" s="0" t="s">
        <v>11781</v>
      </c>
      <c r="B31738" s="0" t="str">
        <f aca="false">HYPERLINK("https://lindat.mff.cuni.cz/services/teitok/pdtc10/index.php?action=vallex&amp;frame=v-w4388f1", "projektovat (v-w4388f1)")</f>
        <v>projektovat (v-w4388f1)</v>
      </c>
    </row>
    <row r="31739" customFormat="false" ht="12.8" hidden="false" customHeight="false" outlineLevel="0" collapsed="false">
      <c r="B31739" s="0" t="s">
        <v>7</v>
      </c>
      <c r="C31739" s="0" t="s">
        <v>391</v>
      </c>
    </row>
    <row r="31740" customFormat="false" ht="12.8" hidden="false" customHeight="false" outlineLevel="0" collapsed="false">
      <c r="B31740" s="0" t="s">
        <v>14</v>
      </c>
      <c r="C31740" s="0" t="s">
        <v>2641</v>
      </c>
    </row>
    <row r="31742" customFormat="false" ht="12.8" hidden="false" customHeight="false" outlineLevel="0" collapsed="false">
      <c r="A31742" s="0" t="s">
        <v>11782</v>
      </c>
      <c r="B31742" s="0" t="str">
        <f aca="false">HYPERLINK("https://lindat.mff.cuni.cz/services/teitok/pdtc10/index.php?action=vallex&amp;frame=v-w4389f6_ZU", "projet (v-w4389f6_ZU)")</f>
        <v>projet (v-w4389f6_ZU)</v>
      </c>
    </row>
    <row r="31743" customFormat="false" ht="12.8" hidden="false" customHeight="false" outlineLevel="0" collapsed="false">
      <c r="B31743" s="0" t="s">
        <v>7</v>
      </c>
    </row>
    <row r="31744" customFormat="false" ht="12.8" hidden="false" customHeight="false" outlineLevel="0" collapsed="false">
      <c r="B31744" s="0" t="s">
        <v>232</v>
      </c>
    </row>
    <row r="31746" customFormat="false" ht="12.8" hidden="false" customHeight="false" outlineLevel="0" collapsed="false">
      <c r="A31746" s="0" t="s">
        <v>11782</v>
      </c>
      <c r="B31746" s="0" t="str">
        <f aca="false">HYPERLINK("https://lindat.mff.cuni.cz/services/teitok/pdtc10/index.php?action=vallex&amp;frame=v-w4389f3", "projet (v-w4389f3) - substituted with v-w4389f6_ZU")</f>
        <v>projet (v-w4389f3) - substituted with v-w4389f6_ZU</v>
      </c>
    </row>
    <row r="31747" customFormat="false" ht="12.8" hidden="false" customHeight="false" outlineLevel="0" collapsed="false">
      <c r="B31747" s="0" t="s">
        <v>7</v>
      </c>
      <c r="C31747" s="0" t="s">
        <v>184</v>
      </c>
    </row>
    <row r="31748" customFormat="false" ht="12.8" hidden="false" customHeight="false" outlineLevel="0" collapsed="false">
      <c r="B31748" s="0" t="s">
        <v>232</v>
      </c>
      <c r="C31748" s="0" t="s">
        <v>33</v>
      </c>
    </row>
    <row r="31750" customFormat="false" ht="12.8" hidden="false" customHeight="false" outlineLevel="0" collapsed="false">
      <c r="A31750" s="0" t="s">
        <v>11783</v>
      </c>
      <c r="B31750" s="0" t="str">
        <f aca="false">HYPERLINK("https://lindat.mff.cuni.cz/services/teitok/pdtc10/index.php?action=vallex&amp;frame=v-w4389f2", "projet (v-w4389f2)")</f>
        <v>projet (v-w4389f2)</v>
      </c>
    </row>
    <row r="31751" customFormat="false" ht="12.8" hidden="false" customHeight="false" outlineLevel="0" collapsed="false">
      <c r="B31751" s="0" t="s">
        <v>7</v>
      </c>
    </row>
    <row r="31752" customFormat="false" ht="12.8" hidden="false" customHeight="false" outlineLevel="0" collapsed="false">
      <c r="B31752" s="0" t="s">
        <v>14</v>
      </c>
    </row>
    <row r="31754" customFormat="false" ht="12.8" hidden="false" customHeight="false" outlineLevel="0" collapsed="false">
      <c r="A31754" s="0" t="s">
        <v>11784</v>
      </c>
      <c r="B31754" s="0" t="str">
        <f aca="false">HYPERLINK("https://lindat.mff.cuni.cz/services/teitok/pdtc10/index.php?action=vallex&amp;frame=v-w4389f1", "projet (v-w4389f1)")</f>
        <v>projet (v-w4389f1)</v>
      </c>
    </row>
    <row r="31755" customFormat="false" ht="12.8" hidden="false" customHeight="false" outlineLevel="0" collapsed="false">
      <c r="B31755" s="0" t="s">
        <v>7</v>
      </c>
      <c r="C31755" s="0" t="s">
        <v>4041</v>
      </c>
      <c r="D31755" s="0" t="s">
        <v>2170</v>
      </c>
      <c r="E31755" s="0" t="s">
        <v>1226</v>
      </c>
      <c r="F31755" s="0" t="s">
        <v>2656</v>
      </c>
    </row>
    <row r="31756" customFormat="false" ht="12.8" hidden="false" customHeight="false" outlineLevel="0" collapsed="false">
      <c r="B31756" s="0" t="s">
        <v>259</v>
      </c>
      <c r="C31756" s="0" t="s">
        <v>11785</v>
      </c>
      <c r="D31756" s="0" t="s">
        <v>11786</v>
      </c>
      <c r="E31756" s="0" t="s">
        <v>11787</v>
      </c>
      <c r="F31756" s="0" t="s">
        <v>11788</v>
      </c>
    </row>
    <row r="31758" customFormat="false" ht="12.8" hidden="false" customHeight="false" outlineLevel="0" collapsed="false">
      <c r="A31758" s="0" t="s">
        <v>11789</v>
      </c>
      <c r="B31758" s="0" t="str">
        <f aca="false">HYPERLINK("https://lindat.mff.cuni.cz/services/teitok/pdtc10/index.php?action=vallex&amp;frame=v-w4389f4_ZU", "projet (v-w4389f4_ZU)")</f>
        <v>projet (v-w4389f4_ZU)</v>
      </c>
    </row>
    <row r="31759" customFormat="false" ht="12.8" hidden="false" customHeight="false" outlineLevel="0" collapsed="false">
      <c r="B31759" s="0" t="s">
        <v>7</v>
      </c>
    </row>
    <row r="31760" customFormat="false" ht="12.8" hidden="false" customHeight="false" outlineLevel="0" collapsed="false">
      <c r="B31760" s="0" t="s">
        <v>14</v>
      </c>
    </row>
    <row r="31762" customFormat="false" ht="12.8" hidden="false" customHeight="false" outlineLevel="0" collapsed="false">
      <c r="A31762" s="0" t="s">
        <v>11789</v>
      </c>
      <c r="B31762" s="0" t="str">
        <f aca="false">HYPERLINK("https://lindat.mff.cuni.cz/services/teitok/pdtc10/index.php?action=vallex&amp;frame=v-w4389hsa_798", "projet (v-w4389hsa_798) - substituted with v-w4389f4_ZU")</f>
        <v>projet (v-w4389hsa_798) - substituted with v-w4389f4_ZU</v>
      </c>
    </row>
    <row r="31763" customFormat="false" ht="12.8" hidden="false" customHeight="false" outlineLevel="0" collapsed="false">
      <c r="B31763" s="0" t="s">
        <v>7</v>
      </c>
    </row>
    <row r="31764" customFormat="false" ht="12.8" hidden="false" customHeight="false" outlineLevel="0" collapsed="false">
      <c r="B31764" s="0" t="s">
        <v>14</v>
      </c>
    </row>
    <row r="31766" customFormat="false" ht="12.8" hidden="false" customHeight="false" outlineLevel="0" collapsed="false">
      <c r="A31766" s="0" t="s">
        <v>11790</v>
      </c>
      <c r="B31766" s="0" t="str">
        <f aca="false">HYPERLINK("https://lindat.mff.cuni.cz/services/teitok/pdtc10/index.php?action=vallex&amp;frame=v-w4389f5_ZU", "projet (v-w4389f5_ZU)")</f>
        <v>projet (v-w4389f5_ZU)</v>
      </c>
    </row>
    <row r="31767" customFormat="false" ht="12.8" hidden="false" customHeight="false" outlineLevel="0" collapsed="false">
      <c r="B31767" s="0" t="s">
        <v>7</v>
      </c>
    </row>
    <row r="31768" customFormat="false" ht="12.8" hidden="false" customHeight="false" outlineLevel="0" collapsed="false">
      <c r="B31768" s="0" t="s">
        <v>216</v>
      </c>
    </row>
    <row r="31770" customFormat="false" ht="12.8" hidden="false" customHeight="false" outlineLevel="0" collapsed="false">
      <c r="A31770" s="0" t="s">
        <v>11791</v>
      </c>
      <c r="B31770" s="0" t="str">
        <f aca="false">HYPERLINK("https://lindat.mff.cuni.cz/services/teitok/pdtc10/index.php?action=vallex&amp;frame=v-w4390f1", "projet se (v-w4390f1)")</f>
        <v>projet se (v-w4390f1)</v>
      </c>
    </row>
    <row r="31771" customFormat="false" ht="12.8" hidden="false" customHeight="false" outlineLevel="0" collapsed="false">
      <c r="B31771" s="0" t="s">
        <v>7</v>
      </c>
    </row>
    <row r="31773" customFormat="false" ht="12.8" hidden="false" customHeight="false" outlineLevel="0" collapsed="false">
      <c r="A31773" s="0" t="s">
        <v>11792</v>
      </c>
      <c r="B31773" s="0" t="str">
        <f aca="false">HYPERLINK("https://lindat.mff.cuni.cz/services/teitok/pdtc10/index.php?action=vallex&amp;frame=v-w4392f3", "projevit (v-w4392f3)")</f>
        <v>projevit (v-w4392f3)</v>
      </c>
    </row>
    <row r="31774" customFormat="false" ht="12.8" hidden="false" customHeight="false" outlineLevel="0" collapsed="false">
      <c r="B31774" s="0" t="s">
        <v>7</v>
      </c>
      <c r="C31774" s="0" t="s">
        <v>309</v>
      </c>
    </row>
    <row r="31775" customFormat="false" ht="12.8" hidden="false" customHeight="false" outlineLevel="0" collapsed="false">
      <c r="B31775" s="0" t="s">
        <v>232</v>
      </c>
      <c r="C31775" s="0" t="s">
        <v>11793</v>
      </c>
    </row>
    <row r="31777" customFormat="false" ht="12.8" hidden="false" customHeight="false" outlineLevel="0" collapsed="false">
      <c r="A31777" s="0" t="s">
        <v>11794</v>
      </c>
      <c r="B31777" s="0" t="str">
        <f aca="false">HYPERLINK("https://lindat.mff.cuni.cz/services/teitok/pdtc10/index.php?action=vallex&amp;frame=v-w4392f6_ZU", "projevit (v-w4392f6_ZU)")</f>
        <v>projevit (v-w4392f6_ZU)</v>
      </c>
    </row>
    <row r="31778" customFormat="false" ht="12.8" hidden="false" customHeight="false" outlineLevel="0" collapsed="false">
      <c r="B31778" s="0" t="s">
        <v>7</v>
      </c>
      <c r="C31778" s="0" t="s">
        <v>9062</v>
      </c>
    </row>
    <row r="31779" customFormat="false" ht="12.8" hidden="false" customHeight="false" outlineLevel="0" collapsed="false">
      <c r="B31779" s="0" t="s">
        <v>11795</v>
      </c>
      <c r="C31779" s="0" t="s">
        <v>11796</v>
      </c>
    </row>
    <row r="31780" customFormat="false" ht="12.8" hidden="false" customHeight="false" outlineLevel="0" collapsed="false">
      <c r="B31780" s="0" t="s">
        <v>106</v>
      </c>
      <c r="C31780" s="0" t="s">
        <v>8104</v>
      </c>
    </row>
    <row r="31782" customFormat="false" ht="12.8" hidden="false" customHeight="false" outlineLevel="0" collapsed="false">
      <c r="A31782" s="0" t="s">
        <v>11794</v>
      </c>
      <c r="B31782" s="0" t="str">
        <f aca="false">HYPERLINK("https://lindat.mff.cuni.cz/services/teitok/pdtc10/index.php?action=vallex&amp;frame=v-w4392f2", "projevit (v-w4392f2) - substituted with v-w4392f6_ZU")</f>
        <v>projevit (v-w4392f2) - substituted with v-w4392f6_ZU</v>
      </c>
    </row>
    <row r="31783" customFormat="false" ht="12.8" hidden="false" customHeight="false" outlineLevel="0" collapsed="false">
      <c r="B31783" s="0" t="s">
        <v>7</v>
      </c>
    </row>
    <row r="31784" customFormat="false" ht="12.8" hidden="false" customHeight="false" outlineLevel="0" collapsed="false">
      <c r="B31784" s="0" t="s">
        <v>11795</v>
      </c>
    </row>
    <row r="31785" customFormat="false" ht="12.8" hidden="false" customHeight="false" outlineLevel="0" collapsed="false">
      <c r="B31785" s="0" t="s">
        <v>106</v>
      </c>
    </row>
    <row r="31787" customFormat="false" ht="12.8" hidden="false" customHeight="false" outlineLevel="0" collapsed="false">
      <c r="A31787" s="0" t="s">
        <v>11797</v>
      </c>
      <c r="B31787" s="0" t="str">
        <f aca="false">HYPERLINK("https://lindat.mff.cuni.cz/services/teitok/pdtc10/index.php?action=vallex&amp;frame=v-w4392hsa_443", "projevit (v-w4392hsa_443)")</f>
        <v>projevit (v-w4392hsa_443)</v>
      </c>
    </row>
    <row r="31788" customFormat="false" ht="12.8" hidden="false" customHeight="false" outlineLevel="0" collapsed="false">
      <c r="B31788" s="0" t="s">
        <v>7</v>
      </c>
      <c r="D31788" s="0" t="s">
        <v>11798</v>
      </c>
      <c r="E31788" s="0" t="s">
        <v>11798</v>
      </c>
      <c r="F31788" s="0" t="s">
        <v>11798</v>
      </c>
    </row>
    <row r="31789" customFormat="false" ht="12.8" hidden="false" customHeight="false" outlineLevel="0" collapsed="false">
      <c r="B31789" s="0" t="s">
        <v>11799</v>
      </c>
      <c r="C31789" s="0" t="s">
        <v>11796</v>
      </c>
      <c r="D31789" s="0" t="s">
        <v>11800</v>
      </c>
      <c r="E31789" s="0" t="s">
        <v>11800</v>
      </c>
      <c r="F31789" s="0" t="s">
        <v>11800</v>
      </c>
    </row>
    <row r="31791" customFormat="false" ht="12.8" hidden="false" customHeight="false" outlineLevel="0" collapsed="false">
      <c r="A31791" s="0" t="s">
        <v>11797</v>
      </c>
      <c r="B31791" s="0" t="str">
        <f aca="false">HYPERLINK("https://lindat.mff.cuni.cz/services/teitok/pdtc10/index.php?action=vallex&amp;frame=v-w4392f1", "projevit (v-w4392f1) - substituted with v-w4392hsa_443")</f>
        <v>projevit (v-w4392f1) - substituted with v-w4392hsa_443</v>
      </c>
    </row>
    <row r="31792" customFormat="false" ht="12.8" hidden="false" customHeight="false" outlineLevel="0" collapsed="false">
      <c r="B31792" s="0" t="s">
        <v>7</v>
      </c>
      <c r="C31792" s="0" t="s">
        <v>11801</v>
      </c>
    </row>
    <row r="31793" customFormat="false" ht="12.8" hidden="false" customHeight="false" outlineLevel="0" collapsed="false">
      <c r="B31793" s="0" t="s">
        <v>11799</v>
      </c>
      <c r="C31793" s="0" t="s">
        <v>11802</v>
      </c>
    </row>
    <row r="31795" customFormat="false" ht="12.8" hidden="false" customHeight="false" outlineLevel="0" collapsed="false">
      <c r="A31795" s="0" t="s">
        <v>11797</v>
      </c>
      <c r="B31795" s="0" t="str">
        <f aca="false">HYPERLINK("https://lindat.mff.cuni.cz/services/teitok/pdtc10/index.php?action=vallex&amp;frame=v-w4392f4_ZU", "projevit (v-w4392f4_ZU) - substituted with v-w4392hsa_443")</f>
        <v>projevit (v-w4392f4_ZU) - substituted with v-w4392hsa_443</v>
      </c>
    </row>
    <row r="31796" customFormat="false" ht="12.8" hidden="false" customHeight="false" outlineLevel="0" collapsed="false">
      <c r="B31796" s="0" t="s">
        <v>7</v>
      </c>
    </row>
    <row r="31797" customFormat="false" ht="12.8" hidden="false" customHeight="false" outlineLevel="0" collapsed="false">
      <c r="B31797" s="0" t="s">
        <v>11799</v>
      </c>
    </row>
    <row r="31799" customFormat="false" ht="12.8" hidden="false" customHeight="false" outlineLevel="0" collapsed="false">
      <c r="A31799" s="0" t="s">
        <v>11797</v>
      </c>
      <c r="B31799" s="0" t="str">
        <f aca="false">HYPERLINK("https://lindat.mff.cuni.cz/services/teitok/pdtc10/index.php?action=vallex&amp;frame=v-w4392f5_ZU", "projevit (v-w4392f5_ZU) - substituted with v-w4392hsa_443")</f>
        <v>projevit (v-w4392f5_ZU) - substituted with v-w4392hsa_443</v>
      </c>
    </row>
    <row r="31800" customFormat="false" ht="12.8" hidden="false" customHeight="false" outlineLevel="0" collapsed="false">
      <c r="B31800" s="0" t="s">
        <v>7</v>
      </c>
      <c r="C31800" s="0" t="s">
        <v>11803</v>
      </c>
    </row>
    <row r="31801" customFormat="false" ht="12.8" hidden="false" customHeight="false" outlineLevel="0" collapsed="false">
      <c r="B31801" s="0" t="s">
        <v>11799</v>
      </c>
      <c r="C31801" s="0" t="s">
        <v>11804</v>
      </c>
    </row>
    <row r="31803" customFormat="false" ht="12.8" hidden="false" customHeight="false" outlineLevel="0" collapsed="false">
      <c r="A31803" s="0" t="s">
        <v>11805</v>
      </c>
      <c r="B31803" s="0" t="str">
        <f aca="false">HYPERLINK("https://lindat.mff.cuni.cz/services/teitok/pdtc10/index.php?action=vallex&amp;frame=v-w4393f2", "projevit se (v-w4393f2)")</f>
        <v>projevit se (v-w4393f2)</v>
      </c>
    </row>
    <row r="31804" customFormat="false" ht="12.8" hidden="false" customHeight="false" outlineLevel="0" collapsed="false">
      <c r="B31804" s="0" t="s">
        <v>7</v>
      </c>
      <c r="C31804" s="0" t="s">
        <v>4767</v>
      </c>
    </row>
    <row r="31805" customFormat="false" ht="12.8" hidden="false" customHeight="false" outlineLevel="0" collapsed="false">
      <c r="B31805" s="0" t="s">
        <v>11806</v>
      </c>
      <c r="C31805" s="0" t="s">
        <v>384</v>
      </c>
    </row>
    <row r="31807" customFormat="false" ht="12.8" hidden="false" customHeight="false" outlineLevel="0" collapsed="false">
      <c r="A31807" s="0" t="s">
        <v>11807</v>
      </c>
      <c r="B31807" s="0" t="str">
        <f aca="false">HYPERLINK("https://lindat.mff.cuni.cz/services/teitok/pdtc10/index.php?action=vallex&amp;frame=v-w4393f1", "projevit se (v-w4393f1)")</f>
        <v>projevit se (v-w4393f1)</v>
      </c>
    </row>
    <row r="31808" customFormat="false" ht="12.8" hidden="false" customHeight="false" outlineLevel="0" collapsed="false">
      <c r="B31808" s="0" t="s">
        <v>7</v>
      </c>
      <c r="C31808" s="0" t="s">
        <v>11808</v>
      </c>
      <c r="D31808" s="0" t="s">
        <v>1715</v>
      </c>
      <c r="E31808" s="0" t="s">
        <v>1715</v>
      </c>
      <c r="F31808" s="0" t="s">
        <v>1715</v>
      </c>
    </row>
    <row r="31810" customFormat="false" ht="12.8" hidden="false" customHeight="false" outlineLevel="0" collapsed="false">
      <c r="A31810" s="0" t="s">
        <v>11809</v>
      </c>
      <c r="B31810" s="0" t="str">
        <f aca="false">HYPERLINK("https://lindat.mff.cuni.cz/services/teitok/pdtc10/index.php?action=vallex&amp;frame=v-w4393f3", "projevit se (v-w4393f3)")</f>
        <v>projevit se (v-w4393f3)</v>
      </c>
    </row>
    <row r="31811" customFormat="false" ht="12.8" hidden="false" customHeight="false" outlineLevel="0" collapsed="false">
      <c r="B31811" s="0" t="s">
        <v>7</v>
      </c>
      <c r="D31811" s="0" t="s">
        <v>4304</v>
      </c>
      <c r="E31811" s="0" t="s">
        <v>4304</v>
      </c>
      <c r="F31811" s="0" t="s">
        <v>4304</v>
      </c>
    </row>
    <row r="31812" customFormat="false" ht="12.8" hidden="false" customHeight="false" outlineLevel="0" collapsed="false">
      <c r="B31812" s="0" t="s">
        <v>552</v>
      </c>
      <c r="D31812" s="0" t="s">
        <v>11810</v>
      </c>
      <c r="E31812" s="0" t="s">
        <v>11810</v>
      </c>
      <c r="F31812" s="0" t="s">
        <v>11810</v>
      </c>
    </row>
    <row r="31813" customFormat="false" ht="12.8" hidden="false" customHeight="false" outlineLevel="0" collapsed="false">
      <c r="B31813" s="0" t="s">
        <v>474</v>
      </c>
      <c r="C31813" s="0" t="s">
        <v>11811</v>
      </c>
      <c r="D31813" s="0" t="s">
        <v>4314</v>
      </c>
      <c r="E31813" s="0" t="s">
        <v>4314</v>
      </c>
      <c r="F31813" s="0" t="s">
        <v>4314</v>
      </c>
    </row>
    <row r="31814" customFormat="false" ht="12.8" hidden="false" customHeight="false" outlineLevel="0" collapsed="false">
      <c r="B31814" s="0" t="s">
        <v>477</v>
      </c>
      <c r="D31814" s="0" t="s">
        <v>11812</v>
      </c>
      <c r="E31814" s="0" t="s">
        <v>11812</v>
      </c>
      <c r="F31814" s="0" t="s">
        <v>11812</v>
      </c>
    </row>
    <row r="31815" customFormat="false" ht="12.8" hidden="false" customHeight="false" outlineLevel="0" collapsed="false">
      <c r="B31815" s="0" t="s">
        <v>479</v>
      </c>
      <c r="D31815" s="0" t="s">
        <v>11813</v>
      </c>
      <c r="E31815" s="0" t="s">
        <v>11813</v>
      </c>
      <c r="F31815" s="0" t="s">
        <v>11813</v>
      </c>
    </row>
    <row r="31816" customFormat="false" ht="12.8" hidden="false" customHeight="false" outlineLevel="0" collapsed="false">
      <c r="B31816" s="0" t="s">
        <v>481</v>
      </c>
      <c r="D31816" s="0" t="s">
        <v>11814</v>
      </c>
      <c r="E31816" s="0" t="s">
        <v>11814</v>
      </c>
      <c r="F31816" s="0" t="s">
        <v>11814</v>
      </c>
    </row>
    <row r="31817" customFormat="false" ht="12.8" hidden="false" customHeight="false" outlineLevel="0" collapsed="false">
      <c r="B31817" s="0" t="s">
        <v>483</v>
      </c>
      <c r="D31817" s="0" t="s">
        <v>11815</v>
      </c>
      <c r="E31817" s="0" t="s">
        <v>11815</v>
      </c>
      <c r="F31817" s="0" t="s">
        <v>11815</v>
      </c>
    </row>
    <row r="31819" customFormat="false" ht="12.8" hidden="false" customHeight="false" outlineLevel="0" collapsed="false">
      <c r="A31819" s="0" t="s">
        <v>11816</v>
      </c>
      <c r="B31819" s="0" t="str">
        <f aca="false">HYPERLINK("https://lindat.mff.cuni.cz/services/teitok/pdtc10/index.php?action=vallex&amp;frame=v-w4394f2", "projevovat (v-w4394f2)")</f>
        <v>projevovat (v-w4394f2)</v>
      </c>
    </row>
    <row r="31820" customFormat="false" ht="12.8" hidden="false" customHeight="false" outlineLevel="0" collapsed="false">
      <c r="B31820" s="0" t="s">
        <v>7</v>
      </c>
      <c r="C31820" s="0" t="s">
        <v>8623</v>
      </c>
      <c r="D31820" s="0" t="s">
        <v>4198</v>
      </c>
      <c r="E31820" s="0" t="s">
        <v>4198</v>
      </c>
      <c r="F31820" s="0" t="s">
        <v>4198</v>
      </c>
    </row>
    <row r="31821" customFormat="false" ht="12.8" hidden="false" customHeight="false" outlineLevel="0" collapsed="false">
      <c r="B31821" s="0" t="s">
        <v>232</v>
      </c>
      <c r="C31821" s="0" t="s">
        <v>11817</v>
      </c>
      <c r="D31821" s="0" t="s">
        <v>4200</v>
      </c>
      <c r="E31821" s="0" t="s">
        <v>4200</v>
      </c>
      <c r="F31821" s="0" t="s">
        <v>4200</v>
      </c>
    </row>
    <row r="31823" customFormat="false" ht="12.8" hidden="false" customHeight="false" outlineLevel="0" collapsed="false">
      <c r="A31823" s="0" t="s">
        <v>11818</v>
      </c>
      <c r="B31823" s="0" t="str">
        <f aca="false">HYPERLINK("https://lindat.mff.cuni.cz/services/teitok/pdtc10/index.php?action=vallex&amp;frame=v-w4394f3", "projevovat (v-w4394f3)")</f>
        <v>projevovat (v-w4394f3)</v>
      </c>
    </row>
    <row r="31824" customFormat="false" ht="12.8" hidden="false" customHeight="false" outlineLevel="0" collapsed="false">
      <c r="B31824" s="0" t="s">
        <v>7</v>
      </c>
    </row>
    <row r="31825" customFormat="false" ht="12.8" hidden="false" customHeight="false" outlineLevel="0" collapsed="false">
      <c r="B31825" s="0" t="s">
        <v>11819</v>
      </c>
    </row>
    <row r="31826" customFormat="false" ht="12.8" hidden="false" customHeight="false" outlineLevel="0" collapsed="false">
      <c r="B31826" s="0" t="s">
        <v>48</v>
      </c>
    </row>
    <row r="31828" customFormat="false" ht="12.8" hidden="false" customHeight="false" outlineLevel="0" collapsed="false">
      <c r="A31828" s="0" t="s">
        <v>11820</v>
      </c>
      <c r="B31828" s="0" t="str">
        <f aca="false">HYPERLINK("https://lindat.mff.cuni.cz/services/teitok/pdtc10/index.php?action=vallex&amp;frame=v-w4394hsa_723", "projevovat (v-w4394hsa_723)")</f>
        <v>projevovat (v-w4394hsa_723)</v>
      </c>
    </row>
    <row r="31829" customFormat="false" ht="12.8" hidden="false" customHeight="false" outlineLevel="0" collapsed="false">
      <c r="B31829" s="0" t="s">
        <v>7</v>
      </c>
      <c r="D31829" s="0" t="s">
        <v>618</v>
      </c>
      <c r="E31829" s="0" t="s">
        <v>618</v>
      </c>
      <c r="F31829" s="0" t="s">
        <v>618</v>
      </c>
    </row>
    <row r="31830" customFormat="false" ht="12.8" hidden="false" customHeight="false" outlineLevel="0" collapsed="false">
      <c r="B31830" s="0" t="s">
        <v>11821</v>
      </c>
      <c r="C31830" s="0" t="s">
        <v>4301</v>
      </c>
    </row>
    <row r="31832" customFormat="false" ht="12.8" hidden="false" customHeight="false" outlineLevel="0" collapsed="false">
      <c r="A31832" s="0" t="s">
        <v>11820</v>
      </c>
      <c r="B31832" s="0" t="str">
        <f aca="false">HYPERLINK("https://lindat.mff.cuni.cz/services/teitok/pdtc10/index.php?action=vallex&amp;frame=v-w4394f1", "projevovat (v-w4394f1) - substituted with v-w4394hsa_723")</f>
        <v>projevovat (v-w4394f1) - substituted with v-w4394hsa_723</v>
      </c>
    </row>
    <row r="31833" customFormat="false" ht="12.8" hidden="false" customHeight="false" outlineLevel="0" collapsed="false">
      <c r="B31833" s="0" t="s">
        <v>7</v>
      </c>
      <c r="C31833" s="0" t="s">
        <v>157</v>
      </c>
    </row>
    <row r="31834" customFormat="false" ht="12.8" hidden="false" customHeight="false" outlineLevel="0" collapsed="false">
      <c r="B31834" s="0" t="s">
        <v>11821</v>
      </c>
      <c r="C31834" s="0" t="s">
        <v>11822</v>
      </c>
    </row>
    <row r="31836" customFormat="false" ht="12.8" hidden="false" customHeight="false" outlineLevel="0" collapsed="false">
      <c r="A31836" s="0" t="s">
        <v>11823</v>
      </c>
      <c r="B31836" s="0" t="str">
        <f aca="false">HYPERLINK("https://lindat.mff.cuni.cz/services/teitok/pdtc10/index.php?action=vallex&amp;frame=v-w4395f2", "projevovat se (v-w4395f2)")</f>
        <v>projevovat se (v-w4395f2)</v>
      </c>
    </row>
    <row r="31837" customFormat="false" ht="12.8" hidden="false" customHeight="false" outlineLevel="0" collapsed="false">
      <c r="B31837" s="0" t="s">
        <v>7</v>
      </c>
    </row>
    <row r="31838" customFormat="false" ht="12.8" hidden="false" customHeight="false" outlineLevel="0" collapsed="false">
      <c r="B31838" s="0" t="s">
        <v>11824</v>
      </c>
    </row>
    <row r="31840" customFormat="false" ht="12.8" hidden="false" customHeight="false" outlineLevel="0" collapsed="false">
      <c r="A31840" s="0" t="s">
        <v>11825</v>
      </c>
      <c r="B31840" s="0" t="str">
        <f aca="false">HYPERLINK("https://lindat.mff.cuni.cz/services/teitok/pdtc10/index.php?action=vallex&amp;frame=v-w4395f1", "projevovat se (v-w4395f1)")</f>
        <v>projevovat se (v-w4395f1)</v>
      </c>
    </row>
    <row r="31841" customFormat="false" ht="12.8" hidden="false" customHeight="false" outlineLevel="0" collapsed="false">
      <c r="B31841" s="0" t="s">
        <v>641</v>
      </c>
      <c r="C31841" s="0" t="s">
        <v>11826</v>
      </c>
      <c r="D31841" s="0" t="s">
        <v>1715</v>
      </c>
      <c r="E31841" s="0" t="s">
        <v>1715</v>
      </c>
      <c r="F31841" s="0" t="s">
        <v>1715</v>
      </c>
    </row>
    <row r="31843" customFormat="false" ht="12.8" hidden="false" customHeight="false" outlineLevel="0" collapsed="false">
      <c r="A31843" s="0" t="s">
        <v>11827</v>
      </c>
      <c r="B31843" s="0" t="str">
        <f aca="false">HYPERLINK("https://lindat.mff.cuni.cz/services/teitok/pdtc10/index.php?action=vallex&amp;frame=v-w4395f3", "projevovat se (v-w4395f3)")</f>
        <v>projevovat se (v-w4395f3)</v>
      </c>
    </row>
    <row r="31844" customFormat="false" ht="12.8" hidden="false" customHeight="false" outlineLevel="0" collapsed="false">
      <c r="B31844" s="0" t="s">
        <v>7</v>
      </c>
      <c r="C31844" s="0" t="s">
        <v>11828</v>
      </c>
      <c r="D31844" s="0" t="s">
        <v>4304</v>
      </c>
      <c r="E31844" s="0" t="s">
        <v>4304</v>
      </c>
      <c r="F31844" s="0" t="s">
        <v>4304</v>
      </c>
    </row>
    <row r="31845" customFormat="false" ht="12.8" hidden="false" customHeight="false" outlineLevel="0" collapsed="false">
      <c r="B31845" s="0" t="s">
        <v>552</v>
      </c>
      <c r="D31845" s="0" t="s">
        <v>11810</v>
      </c>
      <c r="E31845" s="0" t="s">
        <v>11810</v>
      </c>
      <c r="F31845" s="0" t="s">
        <v>11810</v>
      </c>
    </row>
    <row r="31846" customFormat="false" ht="12.8" hidden="false" customHeight="false" outlineLevel="0" collapsed="false">
      <c r="B31846" s="0" t="s">
        <v>474</v>
      </c>
      <c r="C31846" s="0" t="s">
        <v>11829</v>
      </c>
      <c r="D31846" s="0" t="s">
        <v>4314</v>
      </c>
      <c r="E31846" s="0" t="s">
        <v>4314</v>
      </c>
      <c r="F31846" s="0" t="s">
        <v>4314</v>
      </c>
    </row>
    <row r="31847" customFormat="false" ht="12.8" hidden="false" customHeight="false" outlineLevel="0" collapsed="false">
      <c r="B31847" s="0" t="s">
        <v>479</v>
      </c>
      <c r="D31847" s="0" t="s">
        <v>11813</v>
      </c>
      <c r="E31847" s="0" t="s">
        <v>11813</v>
      </c>
      <c r="F31847" s="0" t="s">
        <v>11813</v>
      </c>
    </row>
    <row r="31848" customFormat="false" ht="12.8" hidden="false" customHeight="false" outlineLevel="0" collapsed="false">
      <c r="B31848" s="0" t="s">
        <v>481</v>
      </c>
      <c r="D31848" s="0" t="s">
        <v>11830</v>
      </c>
      <c r="E31848" s="0" t="s">
        <v>11830</v>
      </c>
      <c r="F31848" s="0" t="s">
        <v>11830</v>
      </c>
    </row>
    <row r="31849" customFormat="false" ht="12.8" hidden="false" customHeight="false" outlineLevel="0" collapsed="false">
      <c r="B31849" s="0" t="s">
        <v>483</v>
      </c>
      <c r="D31849" s="0" t="s">
        <v>11815</v>
      </c>
      <c r="E31849" s="0" t="s">
        <v>11815</v>
      </c>
      <c r="F31849" s="0" t="s">
        <v>11815</v>
      </c>
    </row>
    <row r="31850" customFormat="false" ht="12.8" hidden="false" customHeight="false" outlineLevel="0" collapsed="false">
      <c r="B31850" s="0" t="s">
        <v>2406</v>
      </c>
      <c r="D31850" s="0" t="s">
        <v>11831</v>
      </c>
      <c r="E31850" s="0" t="s">
        <v>11831</v>
      </c>
      <c r="F31850" s="0" t="s">
        <v>11831</v>
      </c>
    </row>
    <row r="31852" customFormat="false" ht="12.8" hidden="false" customHeight="false" outlineLevel="0" collapsed="false">
      <c r="A31852" s="0" t="s">
        <v>11832</v>
      </c>
      <c r="B31852" s="0" t="str">
        <f aca="false">HYPERLINK("https://lindat.mff.cuni.cz/services/teitok/pdtc10/index.php?action=vallex&amp;frame=v-whsa_173f1_ZU", "projezdit (v-whsa_173f1_ZU)")</f>
        <v>projezdit (v-whsa_173f1_ZU)</v>
      </c>
    </row>
    <row r="31853" customFormat="false" ht="12.8" hidden="false" customHeight="false" outlineLevel="0" collapsed="false">
      <c r="B31853" s="0" t="s">
        <v>7</v>
      </c>
    </row>
    <row r="31854" customFormat="false" ht="12.8" hidden="false" customHeight="false" outlineLevel="0" collapsed="false">
      <c r="B31854" s="0" t="s">
        <v>14</v>
      </c>
    </row>
    <row r="31856" customFormat="false" ht="12.8" hidden="false" customHeight="false" outlineLevel="0" collapsed="false">
      <c r="A31856" s="0" t="s">
        <v>11832</v>
      </c>
      <c r="B31856" s="0" t="str">
        <f aca="false">HYPERLINK("https://lindat.mff.cuni.cz/services/teitok/pdtc10/index.php?action=vallex&amp;frame=v-whsa_173hsa_174", "projezdit (v-whsa_173hsa_174) - substituted with v-whsa_173f1_ZU")</f>
        <v>projezdit (v-whsa_173hsa_174) - substituted with v-whsa_173f1_ZU</v>
      </c>
    </row>
    <row r="31857" customFormat="false" ht="12.8" hidden="false" customHeight="false" outlineLevel="0" collapsed="false">
      <c r="B31857" s="0" t="s">
        <v>7</v>
      </c>
    </row>
    <row r="31858" customFormat="false" ht="12.8" hidden="false" customHeight="false" outlineLevel="0" collapsed="false">
      <c r="B31858" s="0" t="s">
        <v>14</v>
      </c>
    </row>
    <row r="31860" customFormat="false" ht="12.8" hidden="false" customHeight="false" outlineLevel="0" collapsed="false">
      <c r="A31860" s="0" t="s">
        <v>11833</v>
      </c>
      <c r="B31860" s="0" t="str">
        <f aca="false">HYPERLINK("https://lindat.mff.cuni.cz/services/teitok/pdtc10/index.php?action=vallex&amp;frame=v-w4396f4", "projít (v-w4396f4)")</f>
        <v>projít (v-w4396f4)</v>
      </c>
    </row>
    <row r="31861" customFormat="false" ht="12.8" hidden="false" customHeight="false" outlineLevel="0" collapsed="false">
      <c r="B31861" s="0" t="s">
        <v>7</v>
      </c>
    </row>
    <row r="31862" customFormat="false" ht="12.8" hidden="false" customHeight="false" outlineLevel="0" collapsed="false">
      <c r="B31862" s="0" t="s">
        <v>14</v>
      </c>
    </row>
    <row r="31864" customFormat="false" ht="12.8" hidden="false" customHeight="false" outlineLevel="0" collapsed="false">
      <c r="A31864" s="0" t="s">
        <v>11834</v>
      </c>
      <c r="B31864" s="0" t="str">
        <f aca="false">HYPERLINK("https://lindat.mff.cuni.cz/services/teitok/pdtc10/index.php?action=vallex&amp;frame=v-w4396f5", "projít (v-w4396f5)")</f>
        <v>projít (v-w4396f5)</v>
      </c>
    </row>
    <row r="31865" customFormat="false" ht="12.8" hidden="false" customHeight="false" outlineLevel="0" collapsed="false">
      <c r="B31865" s="0" t="s">
        <v>7</v>
      </c>
      <c r="C31865" s="0" t="s">
        <v>176</v>
      </c>
      <c r="D31865" s="0" t="s">
        <v>118</v>
      </c>
      <c r="E31865" s="0" t="s">
        <v>118</v>
      </c>
      <c r="F31865" s="0" t="s">
        <v>118</v>
      </c>
    </row>
    <row r="31866" customFormat="false" ht="12.8" hidden="false" customHeight="false" outlineLevel="0" collapsed="false">
      <c r="B31866" s="0" t="s">
        <v>14</v>
      </c>
      <c r="C31866" s="0" t="s">
        <v>11835</v>
      </c>
      <c r="D31866" s="0" t="s">
        <v>120</v>
      </c>
      <c r="E31866" s="0" t="s">
        <v>120</v>
      </c>
      <c r="F31866" s="0" t="s">
        <v>120</v>
      </c>
    </row>
    <row r="31868" customFormat="false" ht="12.8" hidden="false" customHeight="false" outlineLevel="0" collapsed="false">
      <c r="A31868" s="0" t="s">
        <v>11836</v>
      </c>
      <c r="B31868" s="0" t="str">
        <f aca="false">HYPERLINK("https://lindat.mff.cuni.cz/services/teitok/pdtc10/index.php?action=vallex&amp;frame=v-w4396f11_ZU", "projít (v-w4396f11_ZU)")</f>
        <v>projít (v-w4396f11_ZU)</v>
      </c>
    </row>
    <row r="31869" customFormat="false" ht="12.8" hidden="false" customHeight="false" outlineLevel="0" collapsed="false">
      <c r="B31869" s="0" t="s">
        <v>7</v>
      </c>
    </row>
    <row r="31870" customFormat="false" ht="12.8" hidden="false" customHeight="false" outlineLevel="0" collapsed="false">
      <c r="B31870" s="0" t="s">
        <v>9318</v>
      </c>
    </row>
    <row r="31872" customFormat="false" ht="12.8" hidden="false" customHeight="false" outlineLevel="0" collapsed="false">
      <c r="A31872" s="0" t="s">
        <v>11836</v>
      </c>
      <c r="B31872" s="0" t="str">
        <f aca="false">HYPERLINK("https://lindat.mff.cuni.cz/services/teitok/pdtc10/index.php?action=vallex&amp;frame=v-w4396f10_ZU", "projít (v-w4396f10_ZU) - substituted with v-w4396f11_ZU")</f>
        <v>projít (v-w4396f10_ZU) - substituted with v-w4396f11_ZU</v>
      </c>
    </row>
    <row r="31873" customFormat="false" ht="12.8" hidden="false" customHeight="false" outlineLevel="0" collapsed="false">
      <c r="B31873" s="0" t="s">
        <v>7</v>
      </c>
    </row>
    <row r="31874" customFormat="false" ht="12.8" hidden="false" customHeight="false" outlineLevel="0" collapsed="false">
      <c r="B31874" s="0" t="s">
        <v>9318</v>
      </c>
    </row>
    <row r="31876" customFormat="false" ht="12.8" hidden="false" customHeight="false" outlineLevel="0" collapsed="false">
      <c r="A31876" s="0" t="s">
        <v>11836</v>
      </c>
      <c r="B31876" s="0" t="str">
        <f aca="false">HYPERLINK("https://lindat.mff.cuni.cz/services/teitok/pdtc10/index.php?action=vallex&amp;frame=v-w4396f7", "projít (v-w4396f7) - substituted with v-w4396f11_ZU")</f>
        <v>projít (v-w4396f7) - substituted with v-w4396f11_ZU</v>
      </c>
    </row>
    <row r="31877" customFormat="false" ht="12.8" hidden="false" customHeight="false" outlineLevel="0" collapsed="false">
      <c r="B31877" s="0" t="s">
        <v>7</v>
      </c>
      <c r="C31877" s="0" t="s">
        <v>11837</v>
      </c>
      <c r="D31877" s="0" t="s">
        <v>10078</v>
      </c>
      <c r="E31877" s="0" t="s">
        <v>10078</v>
      </c>
      <c r="F31877" s="0" t="s">
        <v>10078</v>
      </c>
    </row>
    <row r="31878" customFormat="false" ht="12.8" hidden="false" customHeight="false" outlineLevel="0" collapsed="false">
      <c r="B31878" s="0" t="s">
        <v>9318</v>
      </c>
      <c r="C31878" s="0" t="s">
        <v>11838</v>
      </c>
      <c r="D31878" s="0" t="s">
        <v>10080</v>
      </c>
      <c r="E31878" s="0" t="s">
        <v>10080</v>
      </c>
      <c r="F31878" s="0" t="s">
        <v>10080</v>
      </c>
    </row>
    <row r="31880" customFormat="false" ht="12.8" hidden="false" customHeight="false" outlineLevel="0" collapsed="false">
      <c r="A31880" s="0" t="s">
        <v>11836</v>
      </c>
      <c r="B31880" s="0" t="str">
        <f aca="false">HYPERLINK("https://lindat.mff.cuni.cz/services/teitok/pdtc10/index.php?action=vallex&amp;frame=v-w4396hsa_1956", "projít (v-w4396hsa_1956) - substituted with v-w4396f11_ZU")</f>
        <v>projít (v-w4396hsa_1956) - substituted with v-w4396f11_ZU</v>
      </c>
    </row>
    <row r="31881" customFormat="false" ht="12.8" hidden="false" customHeight="false" outlineLevel="0" collapsed="false">
      <c r="B31881" s="0" t="s">
        <v>7</v>
      </c>
    </row>
    <row r="31882" customFormat="false" ht="12.8" hidden="false" customHeight="false" outlineLevel="0" collapsed="false">
      <c r="B31882" s="0" t="s">
        <v>9318</v>
      </c>
    </row>
    <row r="31884" customFormat="false" ht="12.8" hidden="false" customHeight="false" outlineLevel="0" collapsed="false">
      <c r="A31884" s="0" t="s">
        <v>11839</v>
      </c>
      <c r="B31884" s="0" t="str">
        <f aca="false">HYPERLINK("https://lindat.mff.cuni.cz/services/teitok/pdtc10/index.php?action=vallex&amp;frame=v-w4396f3", "projít (v-w4396f3)")</f>
        <v>projít (v-w4396f3)</v>
      </c>
    </row>
    <row r="31885" customFormat="false" ht="12.8" hidden="false" customHeight="false" outlineLevel="0" collapsed="false">
      <c r="B31885" s="0" t="s">
        <v>641</v>
      </c>
      <c r="C31885" s="0" t="s">
        <v>11840</v>
      </c>
      <c r="D31885" s="0" t="s">
        <v>396</v>
      </c>
      <c r="E31885" s="0" t="s">
        <v>396</v>
      </c>
      <c r="F31885" s="0" t="s">
        <v>396</v>
      </c>
    </row>
    <row r="31886" customFormat="false" ht="12.8" hidden="false" customHeight="false" outlineLevel="0" collapsed="false">
      <c r="B31886" s="0" t="s">
        <v>119</v>
      </c>
      <c r="C31886" s="0" t="s">
        <v>2052</v>
      </c>
      <c r="D31886" s="0" t="s">
        <v>2052</v>
      </c>
      <c r="E31886" s="0" t="s">
        <v>2052</v>
      </c>
      <c r="F31886" s="0" t="s">
        <v>2052</v>
      </c>
    </row>
    <row r="31888" customFormat="false" ht="12.8" hidden="false" customHeight="false" outlineLevel="0" collapsed="false">
      <c r="A31888" s="0" t="s">
        <v>11841</v>
      </c>
      <c r="B31888" s="0" t="str">
        <f aca="false">HYPERLINK("https://lindat.mff.cuni.cz/services/teitok/pdtc10/index.php?action=vallex&amp;frame=v-w4396f1", "projít (v-w4396f1)")</f>
        <v>projít (v-w4396f1)</v>
      </c>
    </row>
    <row r="31889" customFormat="false" ht="12.8" hidden="false" customHeight="false" outlineLevel="0" collapsed="false">
      <c r="B31889" s="0" t="s">
        <v>7</v>
      </c>
      <c r="C31889" s="0" t="s">
        <v>11842</v>
      </c>
      <c r="D31889" s="0" t="s">
        <v>11843</v>
      </c>
      <c r="E31889" s="0" t="s">
        <v>11843</v>
      </c>
      <c r="F31889" s="0" t="s">
        <v>11844</v>
      </c>
    </row>
    <row r="31890" customFormat="false" ht="12.8" hidden="false" customHeight="false" outlineLevel="0" collapsed="false">
      <c r="B31890" s="0" t="s">
        <v>259</v>
      </c>
      <c r="C31890" s="0" t="s">
        <v>11845</v>
      </c>
      <c r="F31890" s="0" t="s">
        <v>11612</v>
      </c>
    </row>
    <row r="31892" customFormat="false" ht="12.8" hidden="false" customHeight="false" outlineLevel="0" collapsed="false">
      <c r="A31892" s="0" t="s">
        <v>11846</v>
      </c>
      <c r="B31892" s="0" t="str">
        <f aca="false">HYPERLINK("https://lindat.mff.cuni.cz/services/teitok/pdtc10/index.php?action=vallex&amp;frame=v-w4396f2", "projít (v-w4396f2)")</f>
        <v>projít (v-w4396f2)</v>
      </c>
    </row>
    <row r="31893" customFormat="false" ht="12.8" hidden="false" customHeight="false" outlineLevel="0" collapsed="false">
      <c r="B31893" s="0" t="s">
        <v>7</v>
      </c>
      <c r="C31893" s="0" t="s">
        <v>11847</v>
      </c>
      <c r="D31893" s="0" t="s">
        <v>11848</v>
      </c>
      <c r="E31893" s="0" t="s">
        <v>11849</v>
      </c>
      <c r="F31893" s="0" t="s">
        <v>11849</v>
      </c>
    </row>
    <row r="31895" customFormat="false" ht="12.8" hidden="false" customHeight="false" outlineLevel="0" collapsed="false">
      <c r="A31895" s="0" t="s">
        <v>11850</v>
      </c>
      <c r="B31895" s="0" t="str">
        <f aca="false">HYPERLINK("https://lindat.mff.cuni.cz/services/teitok/pdtc10/index.php?action=vallex&amp;frame=v-w4396f9", "projít (v-w4396f9)")</f>
        <v>projít (v-w4396f9)</v>
      </c>
    </row>
    <row r="31896" customFormat="false" ht="12.8" hidden="false" customHeight="false" outlineLevel="0" collapsed="false">
      <c r="B31896" s="0" t="s">
        <v>7</v>
      </c>
    </row>
    <row r="31898" customFormat="false" ht="12.8" hidden="false" customHeight="false" outlineLevel="0" collapsed="false">
      <c r="A31898" s="0" t="s">
        <v>11851</v>
      </c>
      <c r="B31898" s="0" t="str">
        <f aca="false">HYPERLINK("https://lindat.mff.cuni.cz/services/teitok/pdtc10/index.php?action=vallex&amp;frame=v-w4396f8", "projít (v-w4396f8)")</f>
        <v>projít (v-w4396f8)</v>
      </c>
    </row>
    <row r="31899" customFormat="false" ht="12.8" hidden="false" customHeight="false" outlineLevel="0" collapsed="false">
      <c r="B31899" s="0" t="s">
        <v>7</v>
      </c>
    </row>
    <row r="31901" customFormat="false" ht="12.8" hidden="false" customHeight="false" outlineLevel="0" collapsed="false">
      <c r="A31901" s="0" t="s">
        <v>11852</v>
      </c>
      <c r="B31901" s="0" t="str">
        <f aca="false">HYPERLINK("https://lindat.mff.cuni.cz/services/teitok/pdtc10/index.php?action=vallex&amp;frame=v-w4396f6", "projít (v-w4396f6)")</f>
        <v>projít (v-w4396f6)</v>
      </c>
    </row>
    <row r="31902" customFormat="false" ht="12.8" hidden="false" customHeight="false" outlineLevel="0" collapsed="false">
      <c r="B31902" s="0" t="s">
        <v>7</v>
      </c>
    </row>
    <row r="31903" customFormat="false" ht="12.8" hidden="false" customHeight="false" outlineLevel="0" collapsed="false">
      <c r="B31903" s="0" t="s">
        <v>5224</v>
      </c>
    </row>
    <row r="31904" customFormat="false" ht="12.8" hidden="false" customHeight="false" outlineLevel="0" collapsed="false">
      <c r="B31904" s="0" t="s">
        <v>142</v>
      </c>
    </row>
    <row r="31906" customFormat="false" ht="12.8" hidden="false" customHeight="false" outlineLevel="0" collapsed="false">
      <c r="A31906" s="0" t="s">
        <v>11853</v>
      </c>
      <c r="B31906" s="0" t="str">
        <f aca="false">HYPERLINK("https://lindat.mff.cuni.cz/services/teitok/pdtc10/index.php?action=vallex&amp;frame=v-w4396f12_ZU", "projít (v-w4396f12_ZU)")</f>
        <v>projít (v-w4396f12_ZU)</v>
      </c>
    </row>
    <row r="31907" customFormat="false" ht="12.8" hidden="false" customHeight="false" outlineLevel="0" collapsed="false">
      <c r="B31907" s="0" t="s">
        <v>7</v>
      </c>
    </row>
    <row r="31908" customFormat="false" ht="12.8" hidden="false" customHeight="false" outlineLevel="0" collapsed="false">
      <c r="B31908" s="0" t="s">
        <v>4324</v>
      </c>
    </row>
    <row r="31910" customFormat="false" ht="12.8" hidden="false" customHeight="false" outlineLevel="0" collapsed="false">
      <c r="A31910" s="0" t="s">
        <v>11854</v>
      </c>
      <c r="B31910" s="0" t="str">
        <f aca="false">HYPERLINK("https://lindat.mff.cuni.cz/services/teitok/pdtc10/index.php?action=vallex&amp;frame=v-w4397f1", "projít se (v-w4397f1)")</f>
        <v>projít se (v-w4397f1)</v>
      </c>
    </row>
    <row r="31911" customFormat="false" ht="12.8" hidden="false" customHeight="false" outlineLevel="0" collapsed="false">
      <c r="B31911" s="0" t="s">
        <v>7</v>
      </c>
    </row>
    <row r="31913" customFormat="false" ht="12.8" hidden="false" customHeight="false" outlineLevel="0" collapsed="false">
      <c r="A31913" s="0" t="s">
        <v>11855</v>
      </c>
      <c r="B31913" s="0" t="str">
        <f aca="false">HYPERLINK("https://lindat.mff.cuni.cz/services/teitok/pdtc10/index.php?action=vallex&amp;frame=v-w11565_ZUf3_ZU", "projít si (v-w11565_ZUf3_ZU)")</f>
        <v>projít si (v-w11565_ZUf3_ZU)</v>
      </c>
    </row>
    <row r="31914" customFormat="false" ht="12.8" hidden="false" customHeight="false" outlineLevel="0" collapsed="false">
      <c r="B31914" s="0" t="s">
        <v>7</v>
      </c>
    </row>
    <row r="31915" customFormat="false" ht="12.8" hidden="false" customHeight="false" outlineLevel="0" collapsed="false">
      <c r="B31915" s="0" t="s">
        <v>216</v>
      </c>
    </row>
    <row r="31917" customFormat="false" ht="12.8" hidden="false" customHeight="false" outlineLevel="0" collapsed="false">
      <c r="A31917" s="0" t="s">
        <v>11855</v>
      </c>
      <c r="B31917" s="0" t="str">
        <f aca="false">HYPERLINK("https://lindat.mff.cuni.cz/services/teitok/pdtc10/index.php?action=vallex&amp;frame=v-w11565_ZUf1_ZU", "projít si (v-w11565_ZUf1_ZU) - substituted with v-w11565_ZUf3_ZU")</f>
        <v>projít si (v-w11565_ZUf1_ZU) - substituted with v-w11565_ZUf3_ZU</v>
      </c>
    </row>
    <row r="31918" customFormat="false" ht="12.8" hidden="false" customHeight="false" outlineLevel="0" collapsed="false">
      <c r="B31918" s="0" t="s">
        <v>7</v>
      </c>
    </row>
    <row r="31919" customFormat="false" ht="12.8" hidden="false" customHeight="false" outlineLevel="0" collapsed="false">
      <c r="B31919" s="0" t="s">
        <v>216</v>
      </c>
    </row>
    <row r="31921" customFormat="false" ht="12.8" hidden="false" customHeight="false" outlineLevel="0" collapsed="false">
      <c r="A31921" s="0" t="s">
        <v>11856</v>
      </c>
      <c r="B31921" s="0" t="str">
        <f aca="false">HYPERLINK("https://lindat.mff.cuni.cz/services/teitok/pdtc10/index.php?action=vallex&amp;frame=v-w11565_ZUf2_ZU", "projít si (v-w11565_ZUf2_ZU)")</f>
        <v>projít si (v-w11565_ZUf2_ZU)</v>
      </c>
    </row>
    <row r="31922" customFormat="false" ht="12.8" hidden="false" customHeight="false" outlineLevel="0" collapsed="false">
      <c r="B31922" s="0" t="s">
        <v>7</v>
      </c>
    </row>
    <row r="31923" customFormat="false" ht="12.8" hidden="false" customHeight="false" outlineLevel="0" collapsed="false">
      <c r="B31923" s="0" t="s">
        <v>14</v>
      </c>
    </row>
    <row r="31925" customFormat="false" ht="12.8" hidden="false" customHeight="false" outlineLevel="0" collapsed="false">
      <c r="A31925" s="0" t="s">
        <v>11857</v>
      </c>
      <c r="B31925" s="0" t="str">
        <f aca="false">HYPERLINK("https://lindat.mff.cuni.cz/services/teitok/pdtc10/index.php?action=vallex&amp;frame=v-w4398f1", "projíždět (v-w4398f1)")</f>
        <v>projíždět (v-w4398f1)</v>
      </c>
    </row>
    <row r="31926" customFormat="false" ht="12.8" hidden="false" customHeight="false" outlineLevel="0" collapsed="false">
      <c r="B31926" s="0" t="s">
        <v>7</v>
      </c>
      <c r="C31926" s="0" t="s">
        <v>11858</v>
      </c>
      <c r="D31926" s="0" t="s">
        <v>2170</v>
      </c>
      <c r="E31926" s="0" t="s">
        <v>1226</v>
      </c>
      <c r="F31926" s="0" t="s">
        <v>2656</v>
      </c>
    </row>
    <row r="31927" customFormat="false" ht="12.8" hidden="false" customHeight="false" outlineLevel="0" collapsed="false">
      <c r="B31927" s="0" t="s">
        <v>259</v>
      </c>
      <c r="D31927" s="0" t="s">
        <v>11786</v>
      </c>
      <c r="E31927" s="0" t="s">
        <v>11787</v>
      </c>
      <c r="F31927" s="0" t="s">
        <v>11788</v>
      </c>
    </row>
    <row r="31929" customFormat="false" ht="12.8" hidden="false" customHeight="false" outlineLevel="0" collapsed="false">
      <c r="A31929" s="0" t="s">
        <v>11859</v>
      </c>
      <c r="B31929" s="0" t="str">
        <f aca="false">HYPERLINK("https://lindat.mff.cuni.cz/services/teitok/pdtc10/index.php?action=vallex&amp;frame=v-w4398f2_ZU", "projíždět (v-w4398f2_ZU)")</f>
        <v>projíždět (v-w4398f2_ZU)</v>
      </c>
    </row>
    <row r="31930" customFormat="false" ht="12.8" hidden="false" customHeight="false" outlineLevel="0" collapsed="false">
      <c r="B31930" s="0" t="s">
        <v>7</v>
      </c>
      <c r="C31930" s="0" t="s">
        <v>191</v>
      </c>
      <c r="D31930" s="0" t="s">
        <v>2797</v>
      </c>
      <c r="E31930" s="0" t="s">
        <v>2668</v>
      </c>
      <c r="F31930" s="0" t="s">
        <v>2668</v>
      </c>
    </row>
    <row r="31931" customFormat="false" ht="12.8" hidden="false" customHeight="false" outlineLevel="0" collapsed="false">
      <c r="B31931" s="0" t="s">
        <v>14</v>
      </c>
      <c r="C31931" s="0" t="s">
        <v>155</v>
      </c>
      <c r="D31931" s="0" t="s">
        <v>1209</v>
      </c>
      <c r="E31931" s="0" t="s">
        <v>173</v>
      </c>
      <c r="F31931" s="0" t="s">
        <v>173</v>
      </c>
    </row>
    <row r="31933" customFormat="false" ht="12.8" hidden="false" customHeight="false" outlineLevel="0" collapsed="false">
      <c r="A31933" s="0" t="s">
        <v>11859</v>
      </c>
      <c r="B31933" s="0" t="str">
        <f aca="false">HYPERLINK("https://lindat.mff.cuni.cz/services/teitok/pdtc10/index.php?action=vallex&amp;frame=v-w4398hsa_359", "projíždět (v-w4398hsa_359) - substituted with v-w4398f2_ZU")</f>
        <v>projíždět (v-w4398hsa_359) - substituted with v-w4398f2_ZU</v>
      </c>
    </row>
    <row r="31934" customFormat="false" ht="12.8" hidden="false" customHeight="false" outlineLevel="0" collapsed="false">
      <c r="B31934" s="0" t="s">
        <v>7</v>
      </c>
    </row>
    <row r="31935" customFormat="false" ht="12.8" hidden="false" customHeight="false" outlineLevel="0" collapsed="false">
      <c r="B31935" s="0" t="s">
        <v>14</v>
      </c>
    </row>
    <row r="31937" customFormat="false" ht="12.8" hidden="false" customHeight="false" outlineLevel="0" collapsed="false">
      <c r="A31937" s="0" t="s">
        <v>11860</v>
      </c>
      <c r="B31937" s="0" t="str">
        <f aca="false">HYPERLINK("https://lindat.mff.cuni.cz/services/teitok/pdtc10/index.php?action=vallex&amp;frame=v-whsa_1810hsa_1811", "projíždět se (v-whsa_1810hsa_1811)")</f>
        <v>projíždět se (v-whsa_1810hsa_1811)</v>
      </c>
    </row>
    <row r="31938" customFormat="false" ht="12.8" hidden="false" customHeight="false" outlineLevel="0" collapsed="false">
      <c r="B31938" s="0" t="s">
        <v>7</v>
      </c>
    </row>
    <row r="31940" customFormat="false" ht="12.8" hidden="false" customHeight="false" outlineLevel="0" collapsed="false">
      <c r="A31940" s="0" t="s">
        <v>11861</v>
      </c>
      <c r="B31940" s="0" t="str">
        <f aca="false">HYPERLINK("https://lindat.mff.cuni.cz/services/teitok/pdtc10/index.php?action=vallex&amp;frame=v-w4402f3_ZU", "prokazovat (v-w4402f3_ZU)")</f>
        <v>prokazovat (v-w4402f3_ZU)</v>
      </c>
    </row>
    <row r="31941" customFormat="false" ht="12.8" hidden="false" customHeight="false" outlineLevel="0" collapsed="false">
      <c r="B31941" s="0" t="s">
        <v>7</v>
      </c>
    </row>
    <row r="31942" customFormat="false" ht="12.8" hidden="false" customHeight="false" outlineLevel="0" collapsed="false">
      <c r="B31942" s="0" t="s">
        <v>14</v>
      </c>
    </row>
    <row r="31943" customFormat="false" ht="12.8" hidden="false" customHeight="false" outlineLevel="0" collapsed="false">
      <c r="B31943" s="0" t="s">
        <v>48</v>
      </c>
    </row>
    <row r="31945" customFormat="false" ht="12.8" hidden="false" customHeight="false" outlineLevel="0" collapsed="false">
      <c r="A31945" s="0" t="s">
        <v>11862</v>
      </c>
      <c r="B31945" s="0" t="str">
        <f aca="false">HYPERLINK("https://lindat.mff.cuni.cz/services/teitok/pdtc10/index.php?action=vallex&amp;frame=v-w4402f4_ZU", "prokazovat (v-w4402f4_ZU)")</f>
        <v>prokazovat (v-w4402f4_ZU)</v>
      </c>
    </row>
    <row r="31946" customFormat="false" ht="12.8" hidden="false" customHeight="false" outlineLevel="0" collapsed="false">
      <c r="B31946" s="0" t="s">
        <v>7</v>
      </c>
      <c r="D31946" s="0" t="s">
        <v>391</v>
      </c>
      <c r="E31946" s="0" t="s">
        <v>391</v>
      </c>
      <c r="F31946" s="0" t="s">
        <v>391</v>
      </c>
    </row>
    <row r="31947" customFormat="false" ht="12.8" hidden="false" customHeight="false" outlineLevel="0" collapsed="false">
      <c r="B31947" s="0" t="s">
        <v>8144</v>
      </c>
      <c r="C31947" s="0" t="s">
        <v>8036</v>
      </c>
      <c r="D31947" s="0" t="s">
        <v>1278</v>
      </c>
      <c r="E31947" s="0" t="s">
        <v>1278</v>
      </c>
      <c r="F31947" s="0" t="s">
        <v>1278</v>
      </c>
    </row>
    <row r="31948" customFormat="false" ht="12.8" hidden="false" customHeight="false" outlineLevel="0" collapsed="false">
      <c r="B31948" s="0" t="s">
        <v>106</v>
      </c>
    </row>
    <row r="31950" customFormat="false" ht="12.8" hidden="false" customHeight="false" outlineLevel="0" collapsed="false">
      <c r="A31950" s="0" t="s">
        <v>11862</v>
      </c>
      <c r="B31950" s="0" t="str">
        <f aca="false">HYPERLINK("https://lindat.mff.cuni.cz/services/teitok/pdtc10/index.php?action=vallex&amp;frame=v-w4402f1", "prokazovat (v-w4402f1) - substituted with v-w4402f4_ZU")</f>
        <v>prokazovat (v-w4402f1) - substituted with v-w4402f4_ZU</v>
      </c>
    </row>
    <row r="31951" customFormat="false" ht="12.8" hidden="false" customHeight="false" outlineLevel="0" collapsed="false">
      <c r="B31951" s="0" t="s">
        <v>7</v>
      </c>
      <c r="C31951" s="0" t="s">
        <v>1386</v>
      </c>
    </row>
    <row r="31952" customFormat="false" ht="12.8" hidden="false" customHeight="false" outlineLevel="0" collapsed="false">
      <c r="B31952" s="0" t="s">
        <v>8144</v>
      </c>
      <c r="C31952" s="0" t="s">
        <v>11863</v>
      </c>
    </row>
    <row r="31953" customFormat="false" ht="12.8" hidden="false" customHeight="false" outlineLevel="0" collapsed="false">
      <c r="B31953" s="0" t="s">
        <v>106</v>
      </c>
      <c r="C31953" s="0" t="s">
        <v>3018</v>
      </c>
    </row>
    <row r="31955" customFormat="false" ht="12.8" hidden="false" customHeight="false" outlineLevel="0" collapsed="false">
      <c r="A31955" s="0" t="s">
        <v>11864</v>
      </c>
      <c r="B31955" s="0" t="str">
        <f aca="false">HYPERLINK("https://lindat.mff.cuni.cz/services/teitok/pdtc10/index.php?action=vallex&amp;frame=v-w4402f2", "prokazovat (v-w4402f2)")</f>
        <v>prokazovat (v-w4402f2)</v>
      </c>
    </row>
    <row r="31956" customFormat="false" ht="12.8" hidden="false" customHeight="false" outlineLevel="0" collapsed="false">
      <c r="B31956" s="0" t="s">
        <v>7</v>
      </c>
      <c r="D31956" s="0" t="s">
        <v>1922</v>
      </c>
      <c r="E31956" s="0" t="s">
        <v>1922</v>
      </c>
      <c r="F31956" s="0" t="s">
        <v>1922</v>
      </c>
    </row>
    <row r="31957" customFormat="false" ht="12.8" hidden="false" customHeight="false" outlineLevel="0" collapsed="false">
      <c r="B31957" s="0" t="s">
        <v>54</v>
      </c>
      <c r="C31957" s="0" t="s">
        <v>11865</v>
      </c>
      <c r="D31957" s="0" t="s">
        <v>899</v>
      </c>
      <c r="E31957" s="0" t="s">
        <v>899</v>
      </c>
      <c r="F31957" s="0" t="s">
        <v>899</v>
      </c>
    </row>
    <row r="31959" customFormat="false" ht="12.8" hidden="false" customHeight="false" outlineLevel="0" collapsed="false">
      <c r="A31959" s="0" t="s">
        <v>11866</v>
      </c>
      <c r="B31959" s="0" t="str">
        <f aca="false">HYPERLINK("https://lindat.mff.cuni.cz/services/teitok/pdtc10/index.php?action=vallex&amp;frame=v-w4407f1", "proklamovat (v-w4407f1)")</f>
        <v>proklamovat (v-w4407f1)</v>
      </c>
    </row>
    <row r="31960" customFormat="false" ht="12.8" hidden="false" customHeight="false" outlineLevel="0" collapsed="false">
      <c r="B31960" s="0" t="s">
        <v>7</v>
      </c>
    </row>
    <row r="31961" customFormat="false" ht="12.8" hidden="false" customHeight="false" outlineLevel="0" collapsed="false">
      <c r="B31961" s="0" t="s">
        <v>54</v>
      </c>
    </row>
    <row r="31963" customFormat="false" ht="12.8" hidden="false" customHeight="false" outlineLevel="0" collapsed="false">
      <c r="A31963" s="0" t="s">
        <v>11867</v>
      </c>
      <c r="B31963" s="0" t="str">
        <f aca="false">HYPERLINK("https://lindat.mff.cuni.cz/services/teitok/pdtc10/index.php?action=vallex&amp;frame=v-w4408f1", "proklestit (v-w4408f1)")</f>
        <v>proklestit (v-w4408f1)</v>
      </c>
    </row>
    <row r="31964" customFormat="false" ht="12.8" hidden="false" customHeight="false" outlineLevel="0" collapsed="false">
      <c r="B31964" s="0" t="s">
        <v>7</v>
      </c>
      <c r="C31964" s="0" t="s">
        <v>46</v>
      </c>
      <c r="D31964" s="0" t="s">
        <v>113</v>
      </c>
      <c r="E31964" s="0" t="s">
        <v>113</v>
      </c>
      <c r="F31964" s="0" t="s">
        <v>113</v>
      </c>
    </row>
    <row r="31965" customFormat="false" ht="12.8" hidden="false" customHeight="false" outlineLevel="0" collapsed="false">
      <c r="B31965" s="0" t="s">
        <v>14</v>
      </c>
      <c r="C31965" s="0" t="s">
        <v>47</v>
      </c>
      <c r="D31965" s="0" t="s">
        <v>47</v>
      </c>
      <c r="E31965" s="0" t="s">
        <v>47</v>
      </c>
      <c r="F31965" s="0" t="s">
        <v>47</v>
      </c>
    </row>
    <row r="31967" customFormat="false" ht="12.8" hidden="false" customHeight="false" outlineLevel="0" collapsed="false">
      <c r="A31967" s="0" t="s">
        <v>11868</v>
      </c>
      <c r="B31967" s="0" t="str">
        <f aca="false">HYPERLINK("https://lindat.mff.cuni.cz/services/teitok/pdtc10/index.php?action=vallex&amp;frame=v-w12237_ZUf1_ZU", "proklimbat (v-w12237_ZUf1_ZU)")</f>
        <v>proklimbat (v-w12237_ZUf1_ZU)</v>
      </c>
    </row>
    <row r="31968" customFormat="false" ht="12.8" hidden="false" customHeight="false" outlineLevel="0" collapsed="false">
      <c r="B31968" s="0" t="s">
        <v>7</v>
      </c>
    </row>
    <row r="31969" customFormat="false" ht="12.8" hidden="false" customHeight="false" outlineLevel="0" collapsed="false">
      <c r="B31969" s="0" t="s">
        <v>14</v>
      </c>
    </row>
    <row r="31971" customFormat="false" ht="12.8" hidden="false" customHeight="false" outlineLevel="0" collapsed="false">
      <c r="A31971" s="0" t="s">
        <v>11869</v>
      </c>
      <c r="B31971" s="0" t="str">
        <f aca="false">HYPERLINK("https://lindat.mff.cuni.cz/services/teitok/pdtc10/index.php?action=vallex&amp;frame=v-w10619f2", "prokličkovat (v-w10619f2)")</f>
        <v>prokličkovat (v-w10619f2)</v>
      </c>
    </row>
    <row r="31972" customFormat="false" ht="12.8" hidden="false" customHeight="false" outlineLevel="0" collapsed="false">
      <c r="B31972" s="0" t="s">
        <v>7</v>
      </c>
    </row>
    <row r="31973" customFormat="false" ht="12.8" hidden="false" customHeight="false" outlineLevel="0" collapsed="false">
      <c r="B31973" s="0" t="s">
        <v>259</v>
      </c>
    </row>
    <row r="31975" customFormat="false" ht="12.8" hidden="false" customHeight="false" outlineLevel="0" collapsed="false">
      <c r="A31975" s="0" t="s">
        <v>11870</v>
      </c>
      <c r="B31975" s="0" t="str">
        <f aca="false">HYPERLINK("https://lindat.mff.cuni.cz/services/teitok/pdtc10/index.php?action=vallex&amp;frame=v-w10135f2", "proklouznout (v-w10135f2)")</f>
        <v>proklouznout (v-w10135f2)</v>
      </c>
    </row>
    <row r="31976" customFormat="false" ht="12.8" hidden="false" customHeight="false" outlineLevel="0" collapsed="false">
      <c r="B31976" s="0" t="s">
        <v>7</v>
      </c>
      <c r="C31976" s="0" t="s">
        <v>184</v>
      </c>
      <c r="D31976" s="0" t="s">
        <v>1705</v>
      </c>
      <c r="E31976" s="0" t="s">
        <v>1706</v>
      </c>
      <c r="F31976" s="0" t="s">
        <v>1706</v>
      </c>
    </row>
    <row r="31977" customFormat="false" ht="12.8" hidden="false" customHeight="false" outlineLevel="0" collapsed="false">
      <c r="B31977" s="0" t="s">
        <v>124</v>
      </c>
      <c r="D31977" s="0" t="s">
        <v>1707</v>
      </c>
      <c r="E31977" s="0" t="s">
        <v>1707</v>
      </c>
      <c r="F31977" s="0" t="s">
        <v>1707</v>
      </c>
    </row>
    <row r="31979" customFormat="false" ht="12.8" hidden="false" customHeight="false" outlineLevel="0" collapsed="false">
      <c r="A31979" s="0" t="s">
        <v>11871</v>
      </c>
      <c r="B31979" s="0" t="str">
        <f aca="false">HYPERLINK("https://lindat.mff.cuni.cz/services/teitok/pdtc10/index.php?action=vallex&amp;frame=v-w10220f2", "prokládat (v-w10220f2)")</f>
        <v>prokládat (v-w10220f2)</v>
      </c>
    </row>
    <row r="31980" customFormat="false" ht="12.8" hidden="false" customHeight="false" outlineLevel="0" collapsed="false">
      <c r="B31980" s="0" t="s">
        <v>7</v>
      </c>
      <c r="C31980" s="0" t="s">
        <v>191</v>
      </c>
    </row>
    <row r="31981" customFormat="false" ht="12.8" hidden="false" customHeight="false" outlineLevel="0" collapsed="false">
      <c r="B31981" s="0" t="s">
        <v>14</v>
      </c>
      <c r="C31981" s="0" t="s">
        <v>155</v>
      </c>
    </row>
    <row r="31982" customFormat="false" ht="12.8" hidden="false" customHeight="false" outlineLevel="0" collapsed="false">
      <c r="B31982" s="0" t="s">
        <v>6292</v>
      </c>
    </row>
    <row r="31984" customFormat="false" ht="12.8" hidden="false" customHeight="false" outlineLevel="0" collapsed="false">
      <c r="A31984" s="0" t="s">
        <v>11872</v>
      </c>
      <c r="B31984" s="0" t="str">
        <f aca="false">HYPERLINK("https://lindat.mff.cuni.cz/services/teitok/pdtc10/index.php?action=vallex&amp;frame=v-whsa_1964hsa_1965", "proklít (v-whsa_1964hsa_1965)")</f>
        <v>proklít (v-whsa_1964hsa_1965)</v>
      </c>
    </row>
    <row r="31985" customFormat="false" ht="12.8" hidden="false" customHeight="false" outlineLevel="0" collapsed="false">
      <c r="B31985" s="0" t="s">
        <v>7</v>
      </c>
    </row>
    <row r="31986" customFormat="false" ht="12.8" hidden="false" customHeight="false" outlineLevel="0" collapsed="false">
      <c r="B31986" s="0" t="s">
        <v>14</v>
      </c>
    </row>
    <row r="31988" customFormat="false" ht="12.8" hidden="false" customHeight="false" outlineLevel="0" collapsed="false">
      <c r="A31988" s="0" t="s">
        <v>11873</v>
      </c>
      <c r="B31988" s="0" t="str">
        <f aca="false">HYPERLINK("https://lindat.mff.cuni.cz/services/teitok/pdtc10/index.php?action=vallex&amp;frame=v-whsa_818f1_ZU", "prokopat se (v-whsa_818f1_ZU)")</f>
        <v>prokopat se (v-whsa_818f1_ZU)</v>
      </c>
    </row>
    <row r="31989" customFormat="false" ht="12.8" hidden="false" customHeight="false" outlineLevel="0" collapsed="false">
      <c r="B31989" s="0" t="s">
        <v>7</v>
      </c>
      <c r="C31989" s="0" t="s">
        <v>191</v>
      </c>
    </row>
    <row r="31991" customFormat="false" ht="12.8" hidden="false" customHeight="false" outlineLevel="0" collapsed="false">
      <c r="A31991" s="0" t="s">
        <v>11873</v>
      </c>
      <c r="B31991" s="0" t="str">
        <f aca="false">HYPERLINK("https://lindat.mff.cuni.cz/services/teitok/pdtc10/index.php?action=vallex&amp;frame=v-whsa_818hsa_819", "prokopat se (v-whsa_818hsa_819) - substituted with v-whsa_818f1_ZU")</f>
        <v>prokopat se (v-whsa_818hsa_819) - substituted with v-whsa_818f1_ZU</v>
      </c>
    </row>
    <row r="31992" customFormat="false" ht="12.8" hidden="false" customHeight="false" outlineLevel="0" collapsed="false">
      <c r="B31992" s="0" t="s">
        <v>7</v>
      </c>
    </row>
    <row r="31994" customFormat="false" ht="12.8" hidden="false" customHeight="false" outlineLevel="0" collapsed="false">
      <c r="A31994" s="0" t="s">
        <v>11874</v>
      </c>
      <c r="B31994" s="0" t="str">
        <f aca="false">HYPERLINK("https://lindat.mff.cuni.cz/services/teitok/pdtc10/index.php?action=vallex&amp;frame=v-w11406f2", "prokopnout se (v-w11406f2)")</f>
        <v>prokopnout se (v-w11406f2)</v>
      </c>
    </row>
    <row r="31995" customFormat="false" ht="12.8" hidden="false" customHeight="false" outlineLevel="0" collapsed="false">
      <c r="B31995" s="0" t="s">
        <v>7</v>
      </c>
    </row>
    <row r="31997" customFormat="false" ht="12.8" hidden="false" customHeight="false" outlineLevel="0" collapsed="false">
      <c r="A31997" s="0" t="s">
        <v>11875</v>
      </c>
      <c r="B31997" s="0" t="str">
        <f aca="false">HYPERLINK("https://lindat.mff.cuni.cz/services/teitok/pdtc10/index.php?action=vallex&amp;frame=v-w4410f1", "prokouknout (v-w4410f1)")</f>
        <v>prokouknout (v-w4410f1)</v>
      </c>
    </row>
    <row r="31998" customFormat="false" ht="12.8" hidden="false" customHeight="false" outlineLevel="0" collapsed="false">
      <c r="B31998" s="0" t="s">
        <v>7</v>
      </c>
      <c r="C31998" s="0" t="s">
        <v>191</v>
      </c>
      <c r="D31998" s="0" t="s">
        <v>3243</v>
      </c>
      <c r="E31998" s="0" t="s">
        <v>3243</v>
      </c>
      <c r="F31998" s="0" t="s">
        <v>3243</v>
      </c>
    </row>
    <row r="31999" customFormat="false" ht="12.8" hidden="false" customHeight="false" outlineLevel="0" collapsed="false">
      <c r="B31999" s="0" t="s">
        <v>14</v>
      </c>
      <c r="D31999" s="0" t="s">
        <v>4158</v>
      </c>
      <c r="E31999" s="0" t="s">
        <v>4158</v>
      </c>
      <c r="F31999" s="0" t="s">
        <v>4158</v>
      </c>
    </row>
    <row r="32001" customFormat="false" ht="12.8" hidden="false" customHeight="false" outlineLevel="0" collapsed="false">
      <c r="A32001" s="0" t="s">
        <v>11876</v>
      </c>
      <c r="B32001" s="0" t="str">
        <f aca="false">HYPERLINK("https://lindat.mff.cuni.cz/services/teitok/pdtc10/index.php?action=vallex&amp;frame=v-w4411f1", "prokousat se (v-w4411f1)")</f>
        <v>prokousat se (v-w4411f1)</v>
      </c>
    </row>
    <row r="32002" customFormat="false" ht="12.8" hidden="false" customHeight="false" outlineLevel="0" collapsed="false">
      <c r="B32002" s="0" t="s">
        <v>7</v>
      </c>
      <c r="C32002" s="0" t="s">
        <v>184</v>
      </c>
      <c r="D32002" s="0" t="s">
        <v>8314</v>
      </c>
      <c r="E32002" s="0" t="s">
        <v>8314</v>
      </c>
      <c r="F32002" s="0" t="s">
        <v>8314</v>
      </c>
    </row>
    <row r="32003" customFormat="false" ht="12.8" hidden="false" customHeight="false" outlineLevel="0" collapsed="false">
      <c r="B32003" s="0" t="s">
        <v>259</v>
      </c>
      <c r="D32003" s="0" t="s">
        <v>11648</v>
      </c>
      <c r="E32003" s="0" t="s">
        <v>11648</v>
      </c>
      <c r="F32003" s="0" t="s">
        <v>11648</v>
      </c>
    </row>
    <row r="32005" customFormat="false" ht="12.8" hidden="false" customHeight="false" outlineLevel="0" collapsed="false">
      <c r="A32005" s="0" t="s">
        <v>11877</v>
      </c>
      <c r="B32005" s="0" t="str">
        <f aca="false">HYPERLINK("https://lindat.mff.cuni.cz/services/teitok/pdtc10/index.php?action=vallex&amp;frame=v-w11396f1", "prokousávat se (v-w11396f1)")</f>
        <v>prokousávat se (v-w11396f1)</v>
      </c>
    </row>
    <row r="32006" customFormat="false" ht="12.8" hidden="false" customHeight="false" outlineLevel="0" collapsed="false">
      <c r="B32006" s="0" t="s">
        <v>7</v>
      </c>
      <c r="D32006" s="0" t="s">
        <v>8314</v>
      </c>
      <c r="E32006" s="0" t="s">
        <v>8314</v>
      </c>
      <c r="F32006" s="0" t="s">
        <v>8314</v>
      </c>
    </row>
    <row r="32007" customFormat="false" ht="12.8" hidden="false" customHeight="false" outlineLevel="0" collapsed="false">
      <c r="B32007" s="0" t="s">
        <v>259</v>
      </c>
      <c r="D32007" s="0" t="s">
        <v>11648</v>
      </c>
      <c r="E32007" s="0" t="s">
        <v>11648</v>
      </c>
      <c r="F32007" s="0" t="s">
        <v>11648</v>
      </c>
    </row>
    <row r="32009" customFormat="false" ht="12.8" hidden="false" customHeight="false" outlineLevel="0" collapsed="false">
      <c r="A32009" s="0" t="s">
        <v>11878</v>
      </c>
      <c r="B32009" s="0" t="str">
        <f aca="false">HYPERLINK("https://lindat.mff.cuni.cz/services/teitok/pdtc10/index.php?action=vallex&amp;frame=v-w11357f1", "prokrvovat se (v-w11357f1)")</f>
        <v>prokrvovat se (v-w11357f1)</v>
      </c>
    </row>
    <row r="32010" customFormat="false" ht="12.8" hidden="false" customHeight="false" outlineLevel="0" collapsed="false">
      <c r="B32010" s="0" t="s">
        <v>7</v>
      </c>
    </row>
    <row r="32012" customFormat="false" ht="12.8" hidden="false" customHeight="false" outlineLevel="0" collapsed="false">
      <c r="A32012" s="0" t="s">
        <v>11879</v>
      </c>
      <c r="B32012" s="0" t="str">
        <f aca="false">HYPERLINK("https://lindat.mff.cuni.cz/services/teitok/pdtc10/index.php?action=vallex&amp;frame=v-w4400f3_ZU", "prokázat (v-w4400f3_ZU)")</f>
        <v>prokázat (v-w4400f3_ZU)</v>
      </c>
    </row>
    <row r="32013" customFormat="false" ht="12.8" hidden="false" customHeight="false" outlineLevel="0" collapsed="false">
      <c r="B32013" s="0" t="s">
        <v>7</v>
      </c>
      <c r="C32013" s="0" t="s">
        <v>11880</v>
      </c>
      <c r="D32013" s="0" t="s">
        <v>1922</v>
      </c>
      <c r="E32013" s="0" t="s">
        <v>1922</v>
      </c>
      <c r="F32013" s="0" t="s">
        <v>1922</v>
      </c>
    </row>
    <row r="32014" customFormat="false" ht="12.8" hidden="false" customHeight="false" outlineLevel="0" collapsed="false">
      <c r="B32014" s="0" t="s">
        <v>8144</v>
      </c>
      <c r="C32014" s="0" t="s">
        <v>11881</v>
      </c>
      <c r="D32014" s="0" t="s">
        <v>899</v>
      </c>
      <c r="E32014" s="0" t="s">
        <v>899</v>
      </c>
      <c r="F32014" s="0" t="s">
        <v>899</v>
      </c>
    </row>
    <row r="32015" customFormat="false" ht="12.8" hidden="false" customHeight="false" outlineLevel="0" collapsed="false">
      <c r="B32015" s="0" t="s">
        <v>106</v>
      </c>
      <c r="C32015" s="0" t="s">
        <v>1843</v>
      </c>
      <c r="D32015" s="0" t="s">
        <v>1927</v>
      </c>
      <c r="E32015" s="0" t="s">
        <v>1927</v>
      </c>
      <c r="F32015" s="0" t="s">
        <v>1927</v>
      </c>
    </row>
    <row r="32017" customFormat="false" ht="12.8" hidden="false" customHeight="false" outlineLevel="0" collapsed="false">
      <c r="A32017" s="0" t="s">
        <v>11879</v>
      </c>
      <c r="B32017" s="0" t="str">
        <f aca="false">HYPERLINK("https://lindat.mff.cuni.cz/services/teitok/pdtc10/index.php?action=vallex&amp;frame=v-w4400f1", "prokázat (v-w4400f1) - substituted with v-w4400f3_ZU")</f>
        <v>prokázat (v-w4400f1) - substituted with v-w4400f3_ZU</v>
      </c>
    </row>
    <row r="32018" customFormat="false" ht="12.8" hidden="false" customHeight="false" outlineLevel="0" collapsed="false">
      <c r="B32018" s="0" t="s">
        <v>7</v>
      </c>
      <c r="C32018" s="0" t="s">
        <v>4568</v>
      </c>
    </row>
    <row r="32019" customFormat="false" ht="12.8" hidden="false" customHeight="false" outlineLevel="0" collapsed="false">
      <c r="B32019" s="0" t="s">
        <v>8144</v>
      </c>
      <c r="C32019" s="0" t="s">
        <v>11882</v>
      </c>
    </row>
    <row r="32020" customFormat="false" ht="12.8" hidden="false" customHeight="false" outlineLevel="0" collapsed="false">
      <c r="B32020" s="0" t="s">
        <v>106</v>
      </c>
      <c r="C32020" s="0" t="s">
        <v>1927</v>
      </c>
    </row>
    <row r="32022" customFormat="false" ht="12.8" hidden="false" customHeight="false" outlineLevel="0" collapsed="false">
      <c r="A32022" s="0" t="s">
        <v>11883</v>
      </c>
      <c r="B32022" s="0" t="str">
        <f aca="false">HYPERLINK("https://lindat.mff.cuni.cz/services/teitok/pdtc10/index.php?action=vallex&amp;frame=v-w4400f2", "prokázat (v-w4400f2)")</f>
        <v>prokázat (v-w4400f2)</v>
      </c>
    </row>
    <row r="32023" customFormat="false" ht="12.8" hidden="false" customHeight="false" outlineLevel="0" collapsed="false">
      <c r="B32023" s="0" t="s">
        <v>7</v>
      </c>
      <c r="C32023" s="0" t="s">
        <v>11884</v>
      </c>
      <c r="D32023" s="0" t="s">
        <v>1922</v>
      </c>
      <c r="E32023" s="0" t="s">
        <v>1922</v>
      </c>
      <c r="F32023" s="0" t="s">
        <v>1922</v>
      </c>
    </row>
    <row r="32024" customFormat="false" ht="12.8" hidden="false" customHeight="false" outlineLevel="0" collapsed="false">
      <c r="B32024" s="0" t="s">
        <v>54</v>
      </c>
      <c r="C32024" s="0" t="s">
        <v>11885</v>
      </c>
      <c r="D32024" s="0" t="s">
        <v>899</v>
      </c>
      <c r="E32024" s="0" t="s">
        <v>899</v>
      </c>
      <c r="F32024" s="0" t="s">
        <v>899</v>
      </c>
    </row>
    <row r="32026" customFormat="false" ht="12.8" hidden="false" customHeight="false" outlineLevel="0" collapsed="false">
      <c r="A32026" s="0" t="s">
        <v>11886</v>
      </c>
      <c r="B32026" s="0" t="str">
        <f aca="false">HYPERLINK("https://lindat.mff.cuni.cz/services/teitok/pdtc10/index.php?action=vallex&amp;frame=v-w4400hsa_1241", "prokázat (v-w4400hsa_1241)")</f>
        <v>prokázat (v-w4400hsa_1241)</v>
      </c>
    </row>
    <row r="32027" customFormat="false" ht="12.8" hidden="false" customHeight="false" outlineLevel="0" collapsed="false">
      <c r="B32027" s="0" t="s">
        <v>7</v>
      </c>
    </row>
    <row r="32028" customFormat="false" ht="12.8" hidden="false" customHeight="false" outlineLevel="0" collapsed="false">
      <c r="B32028" s="0" t="s">
        <v>14</v>
      </c>
    </row>
    <row r="32029" customFormat="false" ht="12.8" hidden="false" customHeight="false" outlineLevel="0" collapsed="false">
      <c r="B32029" s="0" t="s">
        <v>48</v>
      </c>
    </row>
    <row r="32031" customFormat="false" ht="12.8" hidden="false" customHeight="false" outlineLevel="0" collapsed="false">
      <c r="A32031" s="0" t="s">
        <v>11887</v>
      </c>
      <c r="B32031" s="0" t="str">
        <f aca="false">HYPERLINK("https://lindat.mff.cuni.cz/services/teitok/pdtc10/index.php?action=vallex&amp;frame=v-w4401f2", "prokázat se (v-w4401f2)")</f>
        <v>prokázat se (v-w4401f2)</v>
      </c>
    </row>
    <row r="32032" customFormat="false" ht="12.8" hidden="false" customHeight="false" outlineLevel="0" collapsed="false">
      <c r="B32032" s="0" t="s">
        <v>7</v>
      </c>
    </row>
    <row r="32033" customFormat="false" ht="12.8" hidden="false" customHeight="false" outlineLevel="0" collapsed="false">
      <c r="B32033" s="0" t="s">
        <v>216</v>
      </c>
    </row>
    <row r="32035" customFormat="false" ht="12.8" hidden="false" customHeight="false" outlineLevel="0" collapsed="false">
      <c r="A32035" s="0" t="s">
        <v>11888</v>
      </c>
      <c r="B32035" s="0" t="str">
        <f aca="false">HYPERLINK("https://lindat.mff.cuni.cz/services/teitok/pdtc10/index.php?action=vallex&amp;frame=v-w4401f3_ZU", "prokázat se (v-w4401f3_ZU)")</f>
        <v>prokázat se (v-w4401f3_ZU)</v>
      </c>
    </row>
    <row r="32036" customFormat="false" ht="12.8" hidden="false" customHeight="false" outlineLevel="0" collapsed="false">
      <c r="B32036" s="0" t="s">
        <v>7</v>
      </c>
      <c r="C32036" s="0" t="s">
        <v>569</v>
      </c>
    </row>
    <row r="32037" customFormat="false" ht="12.8" hidden="false" customHeight="false" outlineLevel="0" collapsed="false">
      <c r="B32037" s="0" t="s">
        <v>11889</v>
      </c>
      <c r="C32037" s="0" t="s">
        <v>4706</v>
      </c>
    </row>
    <row r="32039" customFormat="false" ht="12.8" hidden="false" customHeight="false" outlineLevel="0" collapsed="false">
      <c r="A32039" s="0" t="s">
        <v>11890</v>
      </c>
      <c r="B32039" s="0" t="str">
        <f aca="false">HYPERLINK("https://lindat.mff.cuni.cz/services/teitok/pdtc10/index.php?action=vallex&amp;frame=v-w4401f1", "prokázat se (v-w4401f1)")</f>
        <v>prokázat se (v-w4401f1)</v>
      </c>
    </row>
    <row r="32040" customFormat="false" ht="12.8" hidden="false" customHeight="false" outlineLevel="0" collapsed="false">
      <c r="B32040" s="0" t="s">
        <v>11891</v>
      </c>
      <c r="C32040" s="0" t="s">
        <v>11892</v>
      </c>
    </row>
    <row r="32042" customFormat="false" ht="12.8" hidden="false" customHeight="false" outlineLevel="0" collapsed="false">
      <c r="A32042" s="0" t="s">
        <v>11893</v>
      </c>
      <c r="B32042" s="0" t="str">
        <f aca="false">HYPERLINK("https://lindat.mff.cuni.cz/services/teitok/pdtc10/index.php?action=vallex&amp;frame=v-w4409f1", "prokňučet (v-w4409f1)")</f>
        <v>prokňučet (v-w4409f1)</v>
      </c>
    </row>
    <row r="32043" customFormat="false" ht="12.8" hidden="false" customHeight="false" outlineLevel="0" collapsed="false">
      <c r="B32043" s="0" t="s">
        <v>7</v>
      </c>
    </row>
    <row r="32044" customFormat="false" ht="12.8" hidden="false" customHeight="false" outlineLevel="0" collapsed="false">
      <c r="B32044" s="0" t="s">
        <v>14</v>
      </c>
    </row>
    <row r="32046" customFormat="false" ht="12.8" hidden="false" customHeight="false" outlineLevel="0" collapsed="false">
      <c r="A32046" s="0" t="s">
        <v>11894</v>
      </c>
      <c r="B32046" s="0" t="str">
        <f aca="false">HYPERLINK("https://lindat.mff.cuni.cz/services/teitok/pdtc10/index.php?action=vallex&amp;frame=v-w11321f1", "prokřičet se (v-w11321f1)")</f>
        <v>prokřičet se (v-w11321f1)</v>
      </c>
    </row>
    <row r="32047" customFormat="false" ht="12.8" hidden="false" customHeight="false" outlineLevel="0" collapsed="false">
      <c r="B32047" s="0" t="s">
        <v>7</v>
      </c>
    </row>
    <row r="32048" customFormat="false" ht="12.8" hidden="false" customHeight="false" outlineLevel="0" collapsed="false">
      <c r="B32048" s="0" t="s">
        <v>259</v>
      </c>
    </row>
    <row r="32050" customFormat="false" ht="12.8" hidden="false" customHeight="false" outlineLevel="0" collapsed="false">
      <c r="A32050" s="0" t="s">
        <v>11895</v>
      </c>
      <c r="B32050" s="0" t="str">
        <f aca="false">HYPERLINK("https://lindat.mff.cuni.cz/services/teitok/pdtc10/index.php?action=vallex&amp;frame=v-w4413f1", "prolamovat (v-w4413f1)")</f>
        <v>prolamovat (v-w4413f1)</v>
      </c>
    </row>
    <row r="32051" customFormat="false" ht="12.8" hidden="false" customHeight="false" outlineLevel="0" collapsed="false">
      <c r="B32051" s="0" t="s">
        <v>7</v>
      </c>
      <c r="C32051" s="0" t="s">
        <v>157</v>
      </c>
      <c r="D32051" s="0" t="s">
        <v>335</v>
      </c>
      <c r="E32051" s="0" t="s">
        <v>335</v>
      </c>
      <c r="F32051" s="0" t="s">
        <v>335</v>
      </c>
    </row>
    <row r="32052" customFormat="false" ht="12.8" hidden="false" customHeight="false" outlineLevel="0" collapsed="false">
      <c r="B32052" s="0" t="s">
        <v>14</v>
      </c>
      <c r="C32052" s="0" t="s">
        <v>152</v>
      </c>
      <c r="D32052" s="0" t="s">
        <v>1170</v>
      </c>
      <c r="E32052" s="0" t="s">
        <v>1170</v>
      </c>
      <c r="F32052" s="0" t="s">
        <v>1170</v>
      </c>
    </row>
    <row r="32054" customFormat="false" ht="12.8" hidden="false" customHeight="false" outlineLevel="0" collapsed="false">
      <c r="A32054" s="0" t="s">
        <v>11896</v>
      </c>
      <c r="B32054" s="0" t="str">
        <f aca="false">HYPERLINK("https://lindat.mff.cuni.cz/services/teitok/pdtc10/index.php?action=vallex&amp;frame=v-w11566_ZUf1_ZU", "proletět (v-w11566_ZUf1_ZU)")</f>
        <v>proletět (v-w11566_ZUf1_ZU)</v>
      </c>
    </row>
    <row r="32055" customFormat="false" ht="12.8" hidden="false" customHeight="false" outlineLevel="0" collapsed="false">
      <c r="B32055" s="0" t="s">
        <v>7</v>
      </c>
    </row>
    <row r="32056" customFormat="false" ht="12.8" hidden="false" customHeight="false" outlineLevel="0" collapsed="false">
      <c r="B32056" s="0" t="s">
        <v>4324</v>
      </c>
    </row>
    <row r="32058" customFormat="false" ht="12.8" hidden="false" customHeight="false" outlineLevel="0" collapsed="false">
      <c r="A32058" s="0" t="s">
        <v>11897</v>
      </c>
      <c r="B32058" s="0" t="str">
        <f aca="false">HYPERLINK("https://lindat.mff.cuni.cz/services/teitok/pdtc10/index.php?action=vallex&amp;frame=v-whsb_882hsa_883", "proletět se (v-whsb_882hsa_883)")</f>
        <v>proletět se (v-whsb_882hsa_883)</v>
      </c>
    </row>
    <row r="32059" customFormat="false" ht="12.8" hidden="false" customHeight="false" outlineLevel="0" collapsed="false">
      <c r="B32059" s="0" t="s">
        <v>7</v>
      </c>
    </row>
    <row r="32061" customFormat="false" ht="12.8" hidden="false" customHeight="false" outlineLevel="0" collapsed="false">
      <c r="A32061" s="0" t="s">
        <v>11898</v>
      </c>
      <c r="B32061" s="0" t="str">
        <f aca="false">HYPERLINK("https://lindat.mff.cuni.cz/services/teitok/pdtc10/index.php?action=vallex&amp;frame=v-w4414f1", "proležet (v-w4414f1)")</f>
        <v>proležet (v-w4414f1)</v>
      </c>
    </row>
    <row r="32062" customFormat="false" ht="12.8" hidden="false" customHeight="false" outlineLevel="0" collapsed="false">
      <c r="B32062" s="0" t="s">
        <v>7</v>
      </c>
    </row>
    <row r="32063" customFormat="false" ht="12.8" hidden="false" customHeight="false" outlineLevel="0" collapsed="false">
      <c r="B32063" s="0" t="s">
        <v>14</v>
      </c>
    </row>
    <row r="32065" customFormat="false" ht="12.8" hidden="false" customHeight="false" outlineLevel="0" collapsed="false">
      <c r="A32065" s="0" t="s">
        <v>11899</v>
      </c>
      <c r="B32065" s="0" t="str">
        <f aca="false">HYPERLINK("https://lindat.mff.cuni.cz/services/teitok/pdtc10/index.php?action=vallex&amp;frame=v-w4414f2", "proležet (v-w4414f2)")</f>
        <v>proležet (v-w4414f2)</v>
      </c>
    </row>
    <row r="32066" customFormat="false" ht="12.8" hidden="false" customHeight="false" outlineLevel="0" collapsed="false">
      <c r="B32066" s="0" t="s">
        <v>7</v>
      </c>
    </row>
    <row r="32067" customFormat="false" ht="12.8" hidden="false" customHeight="false" outlineLevel="0" collapsed="false">
      <c r="B32067" s="0" t="s">
        <v>14</v>
      </c>
    </row>
    <row r="32069" customFormat="false" ht="12.8" hidden="false" customHeight="false" outlineLevel="0" collapsed="false">
      <c r="A32069" s="0" t="s">
        <v>11900</v>
      </c>
      <c r="B32069" s="0" t="str">
        <f aca="false">HYPERLINK("https://lindat.mff.cuni.cz/services/teitok/pdtc10/index.php?action=vallex&amp;frame=v-w4417f1", "prolistovat (v-w4417f1)")</f>
        <v>prolistovat (v-w4417f1)</v>
      </c>
    </row>
    <row r="32070" customFormat="false" ht="12.8" hidden="false" customHeight="false" outlineLevel="0" collapsed="false">
      <c r="B32070" s="0" t="s">
        <v>7</v>
      </c>
    </row>
    <row r="32071" customFormat="false" ht="12.8" hidden="false" customHeight="false" outlineLevel="0" collapsed="false">
      <c r="B32071" s="0" t="s">
        <v>14</v>
      </c>
    </row>
    <row r="32073" customFormat="false" ht="12.8" hidden="false" customHeight="false" outlineLevel="0" collapsed="false">
      <c r="A32073" s="0" t="s">
        <v>11901</v>
      </c>
      <c r="B32073" s="0" t="str">
        <f aca="false">HYPERLINK("https://lindat.mff.cuni.cz/services/teitok/pdtc10/index.php?action=vallex&amp;frame=v-w4418f1", "prolnout (v-w4418f1)")</f>
        <v>prolnout (v-w4418f1)</v>
      </c>
    </row>
    <row r="32074" customFormat="false" ht="12.8" hidden="false" customHeight="false" outlineLevel="0" collapsed="false">
      <c r="B32074" s="0" t="s">
        <v>7</v>
      </c>
    </row>
    <row r="32075" customFormat="false" ht="12.8" hidden="false" customHeight="false" outlineLevel="0" collapsed="false">
      <c r="B32075" s="0" t="s">
        <v>14</v>
      </c>
    </row>
    <row r="32077" customFormat="false" ht="12.8" hidden="false" customHeight="false" outlineLevel="0" collapsed="false">
      <c r="A32077" s="0" t="s">
        <v>11902</v>
      </c>
      <c r="B32077" s="0" t="str">
        <f aca="false">HYPERLINK("https://lindat.mff.cuni.cz/services/teitok/pdtc10/index.php?action=vallex&amp;frame=v-w4421f1", "prolomit (v-w4421f1)")</f>
        <v>prolomit (v-w4421f1)</v>
      </c>
    </row>
    <row r="32078" customFormat="false" ht="12.8" hidden="false" customHeight="false" outlineLevel="0" collapsed="false">
      <c r="B32078" s="0" t="s">
        <v>7</v>
      </c>
      <c r="C32078" s="0" t="s">
        <v>4783</v>
      </c>
      <c r="D32078" s="0" t="s">
        <v>335</v>
      </c>
      <c r="E32078" s="0" t="s">
        <v>335</v>
      </c>
      <c r="F32078" s="0" t="s">
        <v>335</v>
      </c>
    </row>
    <row r="32079" customFormat="false" ht="12.8" hidden="false" customHeight="false" outlineLevel="0" collapsed="false">
      <c r="B32079" s="0" t="s">
        <v>14</v>
      </c>
      <c r="C32079" s="0" t="s">
        <v>324</v>
      </c>
      <c r="D32079" s="0" t="s">
        <v>1170</v>
      </c>
      <c r="E32079" s="0" t="s">
        <v>1170</v>
      </c>
      <c r="F32079" s="0" t="s">
        <v>1170</v>
      </c>
    </row>
    <row r="32081" customFormat="false" ht="12.8" hidden="false" customHeight="false" outlineLevel="0" collapsed="false">
      <c r="A32081" s="0" t="s">
        <v>11903</v>
      </c>
      <c r="B32081" s="0" t="str">
        <f aca="false">HYPERLINK("https://lindat.mff.cuni.cz/services/teitok/pdtc10/index.php?action=vallex&amp;frame=v-w4421hsa_5", "prolomit (v-w4421hsa_5)")</f>
        <v>prolomit (v-w4421hsa_5)</v>
      </c>
    </row>
    <row r="32082" customFormat="false" ht="12.8" hidden="false" customHeight="false" outlineLevel="0" collapsed="false">
      <c r="B32082" s="0" t="s">
        <v>7</v>
      </c>
      <c r="C32082" s="0" t="s">
        <v>157</v>
      </c>
      <c r="D32082" s="0" t="s">
        <v>335</v>
      </c>
      <c r="E32082" s="0" t="s">
        <v>335</v>
      </c>
      <c r="F32082" s="0" t="s">
        <v>335</v>
      </c>
    </row>
    <row r="32083" customFormat="false" ht="12.8" hidden="false" customHeight="false" outlineLevel="0" collapsed="false">
      <c r="B32083" s="0" t="s">
        <v>14</v>
      </c>
      <c r="C32083" s="0" t="s">
        <v>152</v>
      </c>
      <c r="D32083" s="0" t="s">
        <v>1170</v>
      </c>
      <c r="E32083" s="0" t="s">
        <v>1170</v>
      </c>
      <c r="F32083" s="0" t="s">
        <v>1170</v>
      </c>
    </row>
    <row r="32085" customFormat="false" ht="12.8" hidden="false" customHeight="false" outlineLevel="0" collapsed="false">
      <c r="A32085" s="0" t="s">
        <v>11904</v>
      </c>
      <c r="B32085" s="0" t="str">
        <f aca="false">HYPERLINK("https://lindat.mff.cuni.cz/services/teitok/pdtc10/index.php?action=vallex&amp;frame=v-whsa_1234hsa_1235", "prolomit se (v-whsa_1234hsa_1235)")</f>
        <v>prolomit se (v-whsa_1234hsa_1235)</v>
      </c>
    </row>
    <row r="32086" customFormat="false" ht="12.8" hidden="false" customHeight="false" outlineLevel="0" collapsed="false">
      <c r="B32086" s="0" t="s">
        <v>7</v>
      </c>
      <c r="C32086" s="0" t="s">
        <v>11905</v>
      </c>
    </row>
    <row r="32087" customFormat="false" ht="12.8" hidden="false" customHeight="false" outlineLevel="0" collapsed="false">
      <c r="B32087" s="0" t="s">
        <v>124</v>
      </c>
    </row>
    <row r="32089" customFormat="false" ht="12.8" hidden="false" customHeight="false" outlineLevel="0" collapsed="false">
      <c r="A32089" s="0" t="s">
        <v>11906</v>
      </c>
      <c r="B32089" s="0" t="str">
        <f aca="false">HYPERLINK("https://lindat.mff.cuni.cz/services/teitok/pdtc10/index.php?action=vallex&amp;frame=v-whsa_1234f1_ZU", "prolomit se (v-whsa_1234f1_ZU)")</f>
        <v>prolomit se (v-whsa_1234f1_ZU)</v>
      </c>
    </row>
    <row r="32090" customFormat="false" ht="12.8" hidden="false" customHeight="false" outlineLevel="0" collapsed="false">
      <c r="B32090" s="0" t="s">
        <v>7</v>
      </c>
    </row>
    <row r="32092" customFormat="false" ht="12.8" hidden="false" customHeight="false" outlineLevel="0" collapsed="false">
      <c r="A32092" s="0" t="s">
        <v>11907</v>
      </c>
      <c r="B32092" s="0" t="str">
        <f aca="false">HYPERLINK("https://lindat.mff.cuni.cz/services/teitok/pdtc10/index.php?action=vallex&amp;frame=v-w11179f2", "prolongovat (v-w11179f2)")</f>
        <v>prolongovat (v-w11179f2)</v>
      </c>
    </row>
    <row r="32093" customFormat="false" ht="12.8" hidden="false" customHeight="false" outlineLevel="0" collapsed="false">
      <c r="B32093" s="0" t="s">
        <v>7</v>
      </c>
    </row>
    <row r="32094" customFormat="false" ht="12.8" hidden="false" customHeight="false" outlineLevel="0" collapsed="false">
      <c r="B32094" s="0" t="s">
        <v>14</v>
      </c>
    </row>
    <row r="32096" customFormat="false" ht="12.8" hidden="false" customHeight="false" outlineLevel="0" collapsed="false">
      <c r="A32096" s="0" t="s">
        <v>11908</v>
      </c>
      <c r="B32096" s="0" t="str">
        <f aca="false">HYPERLINK("https://lindat.mff.cuni.cz/services/teitok/pdtc10/index.php?action=vallex&amp;frame=v-whsa_486hsa_487", "prolétnout (v-whsa_486hsa_487)")</f>
        <v>prolétnout (v-whsa_486hsa_487)</v>
      </c>
    </row>
    <row r="32097" customFormat="false" ht="12.8" hidden="false" customHeight="false" outlineLevel="0" collapsed="false">
      <c r="B32097" s="0" t="s">
        <v>7</v>
      </c>
    </row>
    <row r="32098" customFormat="false" ht="12.8" hidden="false" customHeight="false" outlineLevel="0" collapsed="false">
      <c r="B32098" s="0" t="s">
        <v>124</v>
      </c>
    </row>
    <row r="32100" customFormat="false" ht="12.8" hidden="false" customHeight="false" outlineLevel="0" collapsed="false">
      <c r="A32100" s="0" t="s">
        <v>11909</v>
      </c>
      <c r="B32100" s="0" t="str">
        <f aca="false">HYPERLINK("https://lindat.mff.cuni.cz/services/teitok/pdtc10/index.php?action=vallex&amp;frame=v-whsb_663f2_ZU", "prolévat (v-whsb_663f2_ZU)")</f>
        <v>prolévat (v-whsb_663f2_ZU)</v>
      </c>
    </row>
    <row r="32101" customFormat="false" ht="12.8" hidden="false" customHeight="false" outlineLevel="0" collapsed="false">
      <c r="B32101" s="0" t="s">
        <v>7</v>
      </c>
    </row>
    <row r="32102" customFormat="false" ht="12.8" hidden="false" customHeight="false" outlineLevel="0" collapsed="false">
      <c r="B32102" s="0" t="s">
        <v>11029</v>
      </c>
    </row>
    <row r="32104" customFormat="false" ht="12.8" hidden="false" customHeight="false" outlineLevel="0" collapsed="false">
      <c r="A32104" s="0" t="s">
        <v>11909</v>
      </c>
      <c r="B32104" s="0" t="str">
        <f aca="false">HYPERLINK("https://lindat.mff.cuni.cz/services/teitok/pdtc10/index.php?action=vallex&amp;frame=v-whsb_663f1_ZU", "prolévat (v-whsb_663f1_ZU) - substituted with v-whsb_663f2_ZU")</f>
        <v>prolévat (v-whsb_663f1_ZU) - substituted with v-whsb_663f2_ZU</v>
      </c>
    </row>
    <row r="32105" customFormat="false" ht="12.8" hidden="false" customHeight="false" outlineLevel="0" collapsed="false">
      <c r="B32105" s="0" t="s">
        <v>7</v>
      </c>
    </row>
    <row r="32106" customFormat="false" ht="12.8" hidden="false" customHeight="false" outlineLevel="0" collapsed="false">
      <c r="B32106" s="0" t="s">
        <v>11029</v>
      </c>
    </row>
    <row r="32108" customFormat="false" ht="12.8" hidden="false" customHeight="false" outlineLevel="0" collapsed="false">
      <c r="A32108" s="0" t="s">
        <v>11909</v>
      </c>
      <c r="B32108" s="0" t="str">
        <f aca="false">HYPERLINK("https://lindat.mff.cuni.cz/services/teitok/pdtc10/index.php?action=vallex&amp;frame=v-whsb_663hsa_664", "prolévat (v-whsb_663hsa_664) - substituted with v-whsb_663f2_ZU")</f>
        <v>prolévat (v-whsb_663hsa_664) - substituted with v-whsb_663f2_ZU</v>
      </c>
    </row>
    <row r="32109" customFormat="false" ht="12.8" hidden="false" customHeight="false" outlineLevel="0" collapsed="false">
      <c r="B32109" s="0" t="s">
        <v>7</v>
      </c>
    </row>
    <row r="32110" customFormat="false" ht="12.8" hidden="false" customHeight="false" outlineLevel="0" collapsed="false">
      <c r="B32110" s="0" t="s">
        <v>11029</v>
      </c>
    </row>
    <row r="32112" customFormat="false" ht="12.8" hidden="false" customHeight="false" outlineLevel="0" collapsed="false">
      <c r="A32112" s="0" t="s">
        <v>11910</v>
      </c>
      <c r="B32112" s="0" t="str">
        <f aca="false">HYPERLINK("https://lindat.mff.cuni.cz/services/teitok/pdtc10/index.php?action=vallex&amp;frame=v-whsb_1278hsa_1279", "prolézat (v-whsb_1278hsa_1279)")</f>
        <v>prolézat (v-whsb_1278hsa_1279)</v>
      </c>
    </row>
    <row r="32113" customFormat="false" ht="12.8" hidden="false" customHeight="false" outlineLevel="0" collapsed="false">
      <c r="B32113" s="0" t="s">
        <v>7</v>
      </c>
    </row>
    <row r="32114" customFormat="false" ht="12.8" hidden="false" customHeight="false" outlineLevel="0" collapsed="false">
      <c r="B32114" s="0" t="s">
        <v>14</v>
      </c>
    </row>
    <row r="32116" customFormat="false" ht="12.8" hidden="false" customHeight="false" outlineLevel="0" collapsed="false">
      <c r="A32116" s="0" t="s">
        <v>11911</v>
      </c>
      <c r="B32116" s="0" t="str">
        <f aca="false">HYPERLINK("https://lindat.mff.cuni.cz/services/teitok/pdtc10/index.php?action=vallex&amp;frame=v-whsb_676hsa_677", "prolézt (v-whsb_676hsa_677)")</f>
        <v>prolézt (v-whsb_676hsa_677)</v>
      </c>
    </row>
    <row r="32117" customFormat="false" ht="12.8" hidden="false" customHeight="false" outlineLevel="0" collapsed="false">
      <c r="B32117" s="0" t="s">
        <v>7</v>
      </c>
    </row>
    <row r="32118" customFormat="false" ht="12.8" hidden="false" customHeight="false" outlineLevel="0" collapsed="false">
      <c r="B32118" s="0" t="s">
        <v>124</v>
      </c>
    </row>
    <row r="32120" customFormat="false" ht="12.8" hidden="false" customHeight="false" outlineLevel="0" collapsed="false">
      <c r="A32120" s="0" t="s">
        <v>11912</v>
      </c>
      <c r="B32120" s="0" t="str">
        <f aca="false">HYPERLINK("https://lindat.mff.cuni.cz/services/teitok/pdtc10/index.php?action=vallex&amp;frame=v-w4416f1", "prolínat se (v-w4416f1)")</f>
        <v>prolínat se (v-w4416f1)</v>
      </c>
    </row>
    <row r="32121" customFormat="false" ht="12.8" hidden="false" customHeight="false" outlineLevel="0" collapsed="false">
      <c r="B32121" s="0" t="s">
        <v>7</v>
      </c>
    </row>
    <row r="32122" customFormat="false" ht="12.8" hidden="false" customHeight="false" outlineLevel="0" collapsed="false">
      <c r="B32122" s="0" t="s">
        <v>548</v>
      </c>
    </row>
    <row r="32124" customFormat="false" ht="12.8" hidden="false" customHeight="false" outlineLevel="0" collapsed="false">
      <c r="A32124" s="0" t="s">
        <v>11913</v>
      </c>
      <c r="B32124" s="0" t="str">
        <f aca="false">HYPERLINK("https://lindat.mff.cuni.cz/services/teitok/pdtc10/index.php?action=vallex&amp;frame=v-w4416f2_MM", "prolínat se (v-w4416f2_MM)")</f>
        <v>prolínat se (v-w4416f2_MM)</v>
      </c>
    </row>
    <row r="32125" customFormat="false" ht="12.8" hidden="false" customHeight="false" outlineLevel="0" collapsed="false">
      <c r="B32125" s="0" t="s">
        <v>7</v>
      </c>
    </row>
    <row r="32126" customFormat="false" ht="12.8" hidden="false" customHeight="false" outlineLevel="0" collapsed="false">
      <c r="B32126" s="0" t="s">
        <v>259</v>
      </c>
    </row>
    <row r="32128" customFormat="false" ht="12.8" hidden="false" customHeight="false" outlineLevel="0" collapsed="false">
      <c r="A32128" s="0" t="s">
        <v>11914</v>
      </c>
      <c r="B32128" s="0" t="str">
        <f aca="false">HYPERLINK("https://lindat.mff.cuni.cz/services/teitok/pdtc10/index.php?action=vallex&amp;frame=v-w12281_ZUf1_ZU", "prolítnout (v-w12281_ZUf1_ZU)")</f>
        <v>prolítnout (v-w12281_ZUf1_ZU)</v>
      </c>
    </row>
    <row r="32129" customFormat="false" ht="12.8" hidden="false" customHeight="false" outlineLevel="0" collapsed="false">
      <c r="B32129" s="0" t="s">
        <v>7</v>
      </c>
    </row>
    <row r="32130" customFormat="false" ht="12.8" hidden="false" customHeight="false" outlineLevel="0" collapsed="false">
      <c r="B32130" s="0" t="s">
        <v>11915</v>
      </c>
    </row>
    <row r="32131" customFormat="false" ht="12.8" hidden="false" customHeight="false" outlineLevel="0" collapsed="false">
      <c r="B32131" s="0" t="s">
        <v>142</v>
      </c>
    </row>
    <row r="32133" customFormat="false" ht="12.8" hidden="false" customHeight="false" outlineLevel="0" collapsed="false">
      <c r="A32133" s="0" t="s">
        <v>11916</v>
      </c>
      <c r="B32133" s="0" t="str">
        <f aca="false">HYPERLINK("https://lindat.mff.cuni.cz/services/teitok/pdtc10/index.php?action=vallex&amp;frame=v-w4422f1", "promarnit (v-w4422f1)")</f>
        <v>promarnit (v-w4422f1)</v>
      </c>
    </row>
    <row r="32134" customFormat="false" ht="12.8" hidden="false" customHeight="false" outlineLevel="0" collapsed="false">
      <c r="B32134" s="0" t="s">
        <v>7</v>
      </c>
      <c r="C32134" s="0" t="s">
        <v>6178</v>
      </c>
      <c r="D32134" s="0" t="s">
        <v>1263</v>
      </c>
      <c r="E32134" s="0" t="s">
        <v>1263</v>
      </c>
      <c r="F32134" s="0" t="s">
        <v>1263</v>
      </c>
    </row>
    <row r="32135" customFormat="false" ht="12.8" hidden="false" customHeight="false" outlineLevel="0" collapsed="false">
      <c r="B32135" s="0" t="s">
        <v>14</v>
      </c>
      <c r="C32135" s="0" t="s">
        <v>11917</v>
      </c>
      <c r="D32135" s="0" t="s">
        <v>159</v>
      </c>
      <c r="E32135" s="0" t="s">
        <v>159</v>
      </c>
      <c r="F32135" s="0" t="s">
        <v>159</v>
      </c>
    </row>
    <row r="32137" customFormat="false" ht="12.8" hidden="false" customHeight="false" outlineLevel="0" collapsed="false">
      <c r="A32137" s="0" t="s">
        <v>11918</v>
      </c>
      <c r="B32137" s="0" t="str">
        <f aca="false">HYPERLINK("https://lindat.mff.cuni.cz/services/teitok/pdtc10/index.php?action=vallex&amp;frame=v-w4423f1", "promarodit (v-w4423f1)")</f>
        <v>promarodit (v-w4423f1)</v>
      </c>
    </row>
    <row r="32138" customFormat="false" ht="12.8" hidden="false" customHeight="false" outlineLevel="0" collapsed="false">
      <c r="B32138" s="0" t="s">
        <v>7</v>
      </c>
    </row>
    <row r="32139" customFormat="false" ht="12.8" hidden="false" customHeight="false" outlineLevel="0" collapsed="false">
      <c r="B32139" s="0" t="s">
        <v>14</v>
      </c>
    </row>
    <row r="32141" customFormat="false" ht="12.8" hidden="false" customHeight="false" outlineLevel="0" collapsed="false">
      <c r="A32141" s="0" t="s">
        <v>11919</v>
      </c>
      <c r="B32141" s="0" t="str">
        <f aca="false">HYPERLINK("https://lindat.mff.cuni.cz/services/teitok/pdtc10/index.php?action=vallex&amp;frame=v-w12162_ZUf1_ZU", "promenádovat se (v-w12162_ZUf1_ZU)")</f>
        <v>promenádovat se (v-w12162_ZUf1_ZU)</v>
      </c>
    </row>
    <row r="32142" customFormat="false" ht="12.8" hidden="false" customHeight="false" outlineLevel="0" collapsed="false">
      <c r="B32142" s="0" t="s">
        <v>7</v>
      </c>
    </row>
    <row r="32144" customFormat="false" ht="12.8" hidden="false" customHeight="false" outlineLevel="0" collapsed="false">
      <c r="A32144" s="0" t="s">
        <v>11920</v>
      </c>
      <c r="B32144" s="0" t="str">
        <f aca="false">HYPERLINK("https://lindat.mff.cuni.cz/services/teitok/pdtc10/index.php?action=vallex&amp;frame=v-w10778f2", "promeškat (v-w10778f2)")</f>
        <v>promeškat (v-w10778f2)</v>
      </c>
    </row>
    <row r="32145" customFormat="false" ht="12.8" hidden="false" customHeight="false" outlineLevel="0" collapsed="false">
      <c r="B32145" s="0" t="s">
        <v>7</v>
      </c>
      <c r="C32145" s="0" t="s">
        <v>708</v>
      </c>
      <c r="D32145" s="0" t="s">
        <v>11921</v>
      </c>
      <c r="E32145" s="0" t="s">
        <v>11921</v>
      </c>
      <c r="F32145" s="0" t="s">
        <v>11921</v>
      </c>
    </row>
    <row r="32146" customFormat="false" ht="12.8" hidden="false" customHeight="false" outlineLevel="0" collapsed="false">
      <c r="B32146" s="0" t="s">
        <v>14</v>
      </c>
      <c r="C32146" s="0" t="s">
        <v>4706</v>
      </c>
      <c r="D32146" s="0" t="s">
        <v>11922</v>
      </c>
      <c r="E32146" s="0" t="s">
        <v>11922</v>
      </c>
      <c r="F32146" s="0" t="s">
        <v>11922</v>
      </c>
    </row>
    <row r="32148" customFormat="false" ht="12.8" hidden="false" customHeight="false" outlineLevel="0" collapsed="false">
      <c r="A32148" s="0" t="s">
        <v>11923</v>
      </c>
      <c r="B32148" s="0" t="str">
        <f aca="false">HYPERLINK("https://lindat.mff.cuni.cz/services/teitok/pdtc10/index.php?action=vallex&amp;frame=v-w4433f1", "prominout (v-w4433f1)")</f>
        <v>prominout (v-w4433f1)</v>
      </c>
    </row>
    <row r="32149" customFormat="false" ht="12.8" hidden="false" customHeight="false" outlineLevel="0" collapsed="false">
      <c r="B32149" s="0" t="s">
        <v>7</v>
      </c>
      <c r="C32149" s="0" t="s">
        <v>149</v>
      </c>
      <c r="D32149" s="0" t="s">
        <v>46</v>
      </c>
      <c r="E32149" s="0" t="s">
        <v>46</v>
      </c>
      <c r="F32149" s="0" t="s">
        <v>46</v>
      </c>
    </row>
    <row r="32150" customFormat="false" ht="12.8" hidden="false" customHeight="false" outlineLevel="0" collapsed="false">
      <c r="B32150" s="0" t="s">
        <v>54</v>
      </c>
      <c r="C32150" s="0" t="s">
        <v>11924</v>
      </c>
      <c r="D32150" s="0" t="s">
        <v>274</v>
      </c>
      <c r="E32150" s="0" t="s">
        <v>274</v>
      </c>
      <c r="F32150" s="0" t="s">
        <v>274</v>
      </c>
    </row>
    <row r="32151" customFormat="false" ht="12.8" hidden="false" customHeight="false" outlineLevel="0" collapsed="false">
      <c r="B32151" s="0" t="s">
        <v>48</v>
      </c>
      <c r="C32151" s="0" t="s">
        <v>397</v>
      </c>
      <c r="D32151" s="0" t="s">
        <v>397</v>
      </c>
      <c r="E32151" s="0" t="s">
        <v>397</v>
      </c>
      <c r="F32151" s="0" t="s">
        <v>397</v>
      </c>
    </row>
    <row r="32153" customFormat="false" ht="12.8" hidden="false" customHeight="false" outlineLevel="0" collapsed="false">
      <c r="A32153" s="0" t="s">
        <v>11925</v>
      </c>
      <c r="B32153" s="0" t="str">
        <f aca="false">HYPERLINK("https://lindat.mff.cuni.cz/services/teitok/pdtc10/index.php?action=vallex&amp;frame=v-w4442f1", "promlouvat (v-w4442f1)")</f>
        <v>promlouvat (v-w4442f1)</v>
      </c>
    </row>
    <row r="32154" customFormat="false" ht="12.8" hidden="false" customHeight="false" outlineLevel="0" collapsed="false">
      <c r="B32154" s="0" t="s">
        <v>7</v>
      </c>
      <c r="C32154" s="0" t="s">
        <v>184</v>
      </c>
      <c r="D32154" s="0" t="s">
        <v>209</v>
      </c>
      <c r="E32154" s="0" t="s">
        <v>209</v>
      </c>
      <c r="F32154" s="0" t="s">
        <v>209</v>
      </c>
    </row>
    <row r="32155" customFormat="false" ht="12.8" hidden="false" customHeight="false" outlineLevel="0" collapsed="false">
      <c r="B32155" s="0" t="s">
        <v>10405</v>
      </c>
      <c r="D32155" s="0" t="s">
        <v>211</v>
      </c>
      <c r="E32155" s="0" t="s">
        <v>211</v>
      </c>
      <c r="F32155" s="0" t="s">
        <v>211</v>
      </c>
    </row>
    <row r="32156" customFormat="false" ht="12.8" hidden="false" customHeight="false" outlineLevel="0" collapsed="false">
      <c r="B32156" s="0" t="s">
        <v>11926</v>
      </c>
      <c r="D32156" s="0" t="s">
        <v>213</v>
      </c>
      <c r="E32156" s="0" t="s">
        <v>213</v>
      </c>
      <c r="F32156" s="0" t="s">
        <v>213</v>
      </c>
    </row>
    <row r="32158" customFormat="false" ht="12.8" hidden="false" customHeight="false" outlineLevel="0" collapsed="false">
      <c r="A32158" s="0" t="s">
        <v>11927</v>
      </c>
      <c r="B32158" s="0" t="str">
        <f aca="false">HYPERLINK("https://lindat.mff.cuni.cz/services/teitok/pdtc10/index.php?action=vallex&amp;frame=v-w4444f1", "promluvit (v-w4444f1)")</f>
        <v>promluvit (v-w4444f1)</v>
      </c>
    </row>
    <row r="32159" customFormat="false" ht="12.8" hidden="false" customHeight="false" outlineLevel="0" collapsed="false">
      <c r="B32159" s="0" t="s">
        <v>7</v>
      </c>
      <c r="C32159" s="0" t="s">
        <v>11928</v>
      </c>
      <c r="D32159" s="0" t="s">
        <v>209</v>
      </c>
      <c r="E32159" s="0" t="s">
        <v>209</v>
      </c>
      <c r="F32159" s="0" t="s">
        <v>209</v>
      </c>
    </row>
    <row r="32160" customFormat="false" ht="12.8" hidden="false" customHeight="false" outlineLevel="0" collapsed="false">
      <c r="B32160" s="0" t="s">
        <v>363</v>
      </c>
      <c r="C32160" s="0" t="s">
        <v>414</v>
      </c>
      <c r="D32160" s="0" t="s">
        <v>211</v>
      </c>
      <c r="E32160" s="0" t="s">
        <v>211</v>
      </c>
      <c r="F32160" s="0" t="s">
        <v>211</v>
      </c>
    </row>
    <row r="32161" customFormat="false" ht="12.8" hidden="false" customHeight="false" outlineLevel="0" collapsed="false">
      <c r="B32161" s="0" t="s">
        <v>11926</v>
      </c>
      <c r="C32161" s="0" t="s">
        <v>5391</v>
      </c>
      <c r="D32161" s="0" t="s">
        <v>213</v>
      </c>
      <c r="E32161" s="0" t="s">
        <v>213</v>
      </c>
      <c r="F32161" s="0" t="s">
        <v>213</v>
      </c>
    </row>
    <row r="32163" customFormat="false" ht="12.8" hidden="false" customHeight="false" outlineLevel="0" collapsed="false">
      <c r="A32163" s="0" t="s">
        <v>11929</v>
      </c>
      <c r="B32163" s="0" t="str">
        <f aca="false">HYPERLINK("https://lindat.mff.cuni.cz/services/teitok/pdtc10/index.php?action=vallex&amp;frame=v-w4444f2", "promluvit (v-w4444f2)")</f>
        <v>promluvit (v-w4444f2)</v>
      </c>
    </row>
    <row r="32164" customFormat="false" ht="12.8" hidden="false" customHeight="false" outlineLevel="0" collapsed="false">
      <c r="B32164" s="0" t="s">
        <v>7</v>
      </c>
    </row>
    <row r="32165" customFormat="false" ht="12.8" hidden="false" customHeight="false" outlineLevel="0" collapsed="false">
      <c r="B32165" s="0" t="s">
        <v>985</v>
      </c>
    </row>
    <row r="32167" customFormat="false" ht="12.8" hidden="false" customHeight="false" outlineLevel="0" collapsed="false">
      <c r="A32167" s="0" t="s">
        <v>11930</v>
      </c>
      <c r="B32167" s="0" t="str">
        <f aca="false">HYPERLINK("https://lindat.mff.cuni.cz/services/teitok/pdtc10/index.php?action=vallex&amp;frame=v-w4444f3", "promluvit (v-w4444f3)")</f>
        <v>promluvit (v-w4444f3)</v>
      </c>
    </row>
    <row r="32168" customFormat="false" ht="12.8" hidden="false" customHeight="false" outlineLevel="0" collapsed="false">
      <c r="B32168" s="0" t="s">
        <v>7</v>
      </c>
    </row>
    <row r="32169" customFormat="false" ht="12.8" hidden="false" customHeight="false" outlineLevel="0" collapsed="false">
      <c r="B32169" s="0" t="s">
        <v>41</v>
      </c>
    </row>
    <row r="32171" customFormat="false" ht="12.8" hidden="false" customHeight="false" outlineLevel="0" collapsed="false">
      <c r="A32171" s="0" t="s">
        <v>11931</v>
      </c>
      <c r="B32171" s="0" t="str">
        <f aca="false">HYPERLINK("https://lindat.mff.cuni.cz/services/teitok/pdtc10/index.php?action=vallex&amp;frame=v-w4444f4", "promluvit (v-w4444f4)")</f>
        <v>promluvit (v-w4444f4)</v>
      </c>
    </row>
    <row r="32172" customFormat="false" ht="12.8" hidden="false" customHeight="false" outlineLevel="0" collapsed="false">
      <c r="B32172" s="0" t="s">
        <v>7</v>
      </c>
    </row>
    <row r="32174" customFormat="false" ht="12.8" hidden="false" customHeight="false" outlineLevel="0" collapsed="false">
      <c r="A32174" s="0" t="s">
        <v>11932</v>
      </c>
      <c r="B32174" s="0" t="str">
        <f aca="false">HYPERLINK("https://lindat.mff.cuni.cz/services/teitok/pdtc10/index.php?action=vallex&amp;frame=v-w4445f1", "promluvit si (v-w4445f1)")</f>
        <v>promluvit si (v-w4445f1)</v>
      </c>
    </row>
    <row r="32175" customFormat="false" ht="12.8" hidden="false" customHeight="false" outlineLevel="0" collapsed="false">
      <c r="B32175" s="0" t="s">
        <v>7</v>
      </c>
      <c r="C32175" s="0" t="s">
        <v>2012</v>
      </c>
      <c r="D32175" s="0" t="s">
        <v>209</v>
      </c>
      <c r="E32175" s="0" t="s">
        <v>209</v>
      </c>
      <c r="F32175" s="0" t="s">
        <v>209</v>
      </c>
    </row>
    <row r="32176" customFormat="false" ht="12.8" hidden="false" customHeight="false" outlineLevel="0" collapsed="false">
      <c r="B32176" s="0" t="s">
        <v>244</v>
      </c>
      <c r="C32176" s="0" t="s">
        <v>2013</v>
      </c>
      <c r="D32176" s="0" t="s">
        <v>211</v>
      </c>
      <c r="E32176" s="0" t="s">
        <v>211</v>
      </c>
      <c r="F32176" s="0" t="s">
        <v>211</v>
      </c>
    </row>
    <row r="32177" customFormat="false" ht="12.8" hidden="false" customHeight="false" outlineLevel="0" collapsed="false">
      <c r="B32177" s="0" t="s">
        <v>207</v>
      </c>
      <c r="C32177" s="0" t="s">
        <v>212</v>
      </c>
      <c r="D32177" s="0" t="s">
        <v>213</v>
      </c>
      <c r="E32177" s="0" t="s">
        <v>213</v>
      </c>
      <c r="F32177" s="0" t="s">
        <v>213</v>
      </c>
    </row>
    <row r="32179" customFormat="false" ht="12.8" hidden="false" customHeight="false" outlineLevel="0" collapsed="false">
      <c r="A32179" s="0" t="s">
        <v>11933</v>
      </c>
      <c r="B32179" s="0" t="str">
        <f aca="false">HYPERLINK("https://lindat.mff.cuni.cz/services/teitok/pdtc10/index.php?action=vallex&amp;frame=v-w4441f1", "promlčet (v-w4441f1)")</f>
        <v>promlčet (v-w4441f1)</v>
      </c>
    </row>
    <row r="32180" customFormat="false" ht="12.8" hidden="false" customHeight="false" outlineLevel="0" collapsed="false">
      <c r="B32180" s="0" t="s">
        <v>7</v>
      </c>
    </row>
    <row r="32181" customFormat="false" ht="12.8" hidden="false" customHeight="false" outlineLevel="0" collapsed="false">
      <c r="B32181" s="0" t="s">
        <v>11934</v>
      </c>
    </row>
    <row r="32183" customFormat="false" ht="12.8" hidden="false" customHeight="false" outlineLevel="0" collapsed="false">
      <c r="A32183" s="0" t="s">
        <v>11935</v>
      </c>
      <c r="B32183" s="0" t="str">
        <f aca="false">HYPERLINK("https://lindat.mff.cuni.cz/services/teitok/pdtc10/index.php?action=vallex&amp;frame=v-w11986_ZUf1_ZU", "promnout (v-w11986_ZUf1_ZU)")</f>
        <v>promnout (v-w11986_ZUf1_ZU)</v>
      </c>
    </row>
    <row r="32184" customFormat="false" ht="12.8" hidden="false" customHeight="false" outlineLevel="0" collapsed="false">
      <c r="B32184" s="0" t="s">
        <v>7</v>
      </c>
    </row>
    <row r="32185" customFormat="false" ht="12.8" hidden="false" customHeight="false" outlineLevel="0" collapsed="false">
      <c r="B32185" s="0" t="s">
        <v>14</v>
      </c>
    </row>
    <row r="32187" customFormat="false" ht="12.8" hidden="false" customHeight="false" outlineLevel="0" collapsed="false">
      <c r="A32187" s="0" t="s">
        <v>11936</v>
      </c>
      <c r="B32187" s="0" t="str">
        <f aca="false">HYPERLINK("https://lindat.mff.cuni.cz/services/teitok/pdtc10/index.php?action=vallex&amp;frame=v-w11987_ZUf1_ZU", "promnout se (v-w11987_ZUf1_ZU)")</f>
        <v>promnout se (v-w11987_ZUf1_ZU)</v>
      </c>
    </row>
    <row r="32188" customFormat="false" ht="12.8" hidden="false" customHeight="false" outlineLevel="0" collapsed="false">
      <c r="B32188" s="0" t="s">
        <v>7</v>
      </c>
    </row>
    <row r="32189" customFormat="false" ht="12.8" hidden="false" customHeight="false" outlineLevel="0" collapsed="false">
      <c r="B32189" s="0" t="s">
        <v>548</v>
      </c>
    </row>
    <row r="32191" customFormat="false" ht="12.8" hidden="false" customHeight="false" outlineLevel="0" collapsed="false">
      <c r="A32191" s="0" t="s">
        <v>11937</v>
      </c>
      <c r="B32191" s="0" t="str">
        <f aca="false">HYPERLINK("https://lindat.mff.cuni.cz/services/teitok/pdtc10/index.php?action=vallex&amp;frame=v-whsa_196hsa_197", "promovat (v-whsa_196hsa_197)")</f>
        <v>promovat (v-whsa_196hsa_197)</v>
      </c>
    </row>
    <row r="32192" customFormat="false" ht="12.8" hidden="false" customHeight="false" outlineLevel="0" collapsed="false">
      <c r="B32192" s="0" t="s">
        <v>7</v>
      </c>
    </row>
    <row r="32194" customFormat="false" ht="12.8" hidden="false" customHeight="false" outlineLevel="0" collapsed="false">
      <c r="A32194" s="0" t="s">
        <v>11938</v>
      </c>
      <c r="B32194" s="0" t="str">
        <f aca="false">HYPERLINK("https://lindat.mff.cuni.cz/services/teitok/pdtc10/index.php?action=vallex&amp;frame=v-whsa_368hsa_369", "promočit (v-whsa_368hsa_369)")</f>
        <v>promočit (v-whsa_368hsa_369)</v>
      </c>
    </row>
    <row r="32195" customFormat="false" ht="12.8" hidden="false" customHeight="false" outlineLevel="0" collapsed="false">
      <c r="B32195" s="0" t="s">
        <v>7</v>
      </c>
    </row>
    <row r="32196" customFormat="false" ht="12.8" hidden="false" customHeight="false" outlineLevel="0" collapsed="false">
      <c r="B32196" s="0" t="s">
        <v>14</v>
      </c>
    </row>
    <row r="32198" customFormat="false" ht="12.8" hidden="false" customHeight="false" outlineLevel="0" collapsed="false">
      <c r="A32198" s="0" t="s">
        <v>11939</v>
      </c>
      <c r="B32198" s="0" t="str">
        <f aca="false">HYPERLINK("https://lindat.mff.cuni.cz/services/teitok/pdtc10/index.php?action=vallex&amp;frame=v-w11104f2", "promrhat (v-w11104f2)")</f>
        <v>promrhat (v-w11104f2)</v>
      </c>
    </row>
    <row r="32199" customFormat="false" ht="12.8" hidden="false" customHeight="false" outlineLevel="0" collapsed="false">
      <c r="B32199" s="0" t="s">
        <v>7</v>
      </c>
      <c r="C32199" s="0" t="s">
        <v>569</v>
      </c>
      <c r="D32199" s="0" t="s">
        <v>1263</v>
      </c>
      <c r="E32199" s="0" t="s">
        <v>1263</v>
      </c>
      <c r="F32199" s="0" t="s">
        <v>1263</v>
      </c>
    </row>
    <row r="32200" customFormat="false" ht="12.8" hidden="false" customHeight="false" outlineLevel="0" collapsed="false">
      <c r="B32200" s="0" t="s">
        <v>14</v>
      </c>
      <c r="C32200" s="0" t="s">
        <v>1209</v>
      </c>
      <c r="D32200" s="0" t="s">
        <v>159</v>
      </c>
      <c r="E32200" s="0" t="s">
        <v>159</v>
      </c>
      <c r="F32200" s="0" t="s">
        <v>159</v>
      </c>
    </row>
    <row r="32202" customFormat="false" ht="12.8" hidden="false" customHeight="false" outlineLevel="0" collapsed="false">
      <c r="A32202" s="0" t="s">
        <v>11940</v>
      </c>
      <c r="B32202" s="0" t="str">
        <f aca="false">HYPERLINK("https://lindat.mff.cuni.cz/services/teitok/pdtc10/index.php?action=vallex&amp;frame=v-w10360f2", "promrhávat (v-w10360f2)")</f>
        <v>promrhávat (v-w10360f2)</v>
      </c>
    </row>
    <row r="32203" customFormat="false" ht="12.8" hidden="false" customHeight="false" outlineLevel="0" collapsed="false">
      <c r="B32203" s="0" t="s">
        <v>7</v>
      </c>
      <c r="C32203" s="0" t="s">
        <v>113</v>
      </c>
      <c r="D32203" s="0" t="s">
        <v>1263</v>
      </c>
      <c r="E32203" s="0" t="s">
        <v>1263</v>
      </c>
      <c r="F32203" s="0" t="s">
        <v>1263</v>
      </c>
    </row>
    <row r="32204" customFormat="false" ht="12.8" hidden="false" customHeight="false" outlineLevel="0" collapsed="false">
      <c r="B32204" s="0" t="s">
        <v>14</v>
      </c>
      <c r="C32204" s="0" t="s">
        <v>74</v>
      </c>
      <c r="D32204" s="0" t="s">
        <v>159</v>
      </c>
      <c r="E32204" s="0" t="s">
        <v>159</v>
      </c>
      <c r="F32204" s="0" t="s">
        <v>159</v>
      </c>
    </row>
    <row r="32206" customFormat="false" ht="12.8" hidden="false" customHeight="false" outlineLevel="0" collapsed="false">
      <c r="A32206" s="0" t="s">
        <v>11941</v>
      </c>
      <c r="B32206" s="0" t="str">
        <f aca="false">HYPERLINK("https://lindat.mff.cuni.cz/services/teitok/pdtc10/index.php?action=vallex&amp;frame=v-w11951_ZUf1_ZU", "promrzat (v-w11951_ZUf1_ZU)")</f>
        <v>promrzat (v-w11951_ZUf1_ZU)</v>
      </c>
    </row>
    <row r="32207" customFormat="false" ht="12.8" hidden="false" customHeight="false" outlineLevel="0" collapsed="false">
      <c r="B32207" s="0" t="s">
        <v>7</v>
      </c>
    </row>
    <row r="32209" customFormat="false" ht="12.8" hidden="false" customHeight="false" outlineLevel="0" collapsed="false">
      <c r="A32209" s="0" t="s">
        <v>11942</v>
      </c>
      <c r="B32209" s="0" t="str">
        <f aca="false">HYPERLINK("https://lindat.mff.cuni.cz/services/teitok/pdtc10/index.php?action=vallex&amp;frame=v-w4446f1", "promyslet (v-w4446f1)")</f>
        <v>promyslet (v-w4446f1)</v>
      </c>
    </row>
    <row r="32210" customFormat="false" ht="12.8" hidden="false" customHeight="false" outlineLevel="0" collapsed="false">
      <c r="B32210" s="0" t="s">
        <v>7</v>
      </c>
      <c r="D32210" s="0" t="s">
        <v>46</v>
      </c>
      <c r="E32210" s="0" t="s">
        <v>46</v>
      </c>
      <c r="F32210" s="0" t="s">
        <v>46</v>
      </c>
    </row>
    <row r="32211" customFormat="false" ht="12.8" hidden="false" customHeight="false" outlineLevel="0" collapsed="false">
      <c r="B32211" s="0" t="s">
        <v>2030</v>
      </c>
      <c r="D32211" s="0" t="s">
        <v>384</v>
      </c>
      <c r="E32211" s="0" t="s">
        <v>384</v>
      </c>
      <c r="F32211" s="0" t="s">
        <v>384</v>
      </c>
    </row>
    <row r="32213" customFormat="false" ht="12.8" hidden="false" customHeight="false" outlineLevel="0" collapsed="false">
      <c r="A32213" s="0" t="s">
        <v>11943</v>
      </c>
      <c r="B32213" s="0" t="str">
        <f aca="false">HYPERLINK("https://lindat.mff.cuni.cz/services/teitok/pdtc10/index.php?action=vallex&amp;frame=v-w4447f1", "promyslit (v-w4447f1)")</f>
        <v>promyslit (v-w4447f1)</v>
      </c>
    </row>
    <row r="32214" customFormat="false" ht="12.8" hidden="false" customHeight="false" outlineLevel="0" collapsed="false">
      <c r="B32214" s="0" t="s">
        <v>7</v>
      </c>
    </row>
    <row r="32215" customFormat="false" ht="12.8" hidden="false" customHeight="false" outlineLevel="0" collapsed="false">
      <c r="B32215" s="0" t="s">
        <v>2030</v>
      </c>
    </row>
    <row r="32217" customFormat="false" ht="12.8" hidden="false" customHeight="false" outlineLevel="0" collapsed="false">
      <c r="A32217" s="0" t="s">
        <v>11944</v>
      </c>
      <c r="B32217" s="0" t="str">
        <f aca="false">HYPERLINK("https://lindat.mff.cuni.cz/services/teitok/pdtc10/index.php?action=vallex&amp;frame=v-w10984f2", "promáčet (v-w10984f2)")</f>
        <v>promáčet (v-w10984f2)</v>
      </c>
    </row>
    <row r="32218" customFormat="false" ht="12.8" hidden="false" customHeight="false" outlineLevel="0" collapsed="false">
      <c r="B32218" s="0" t="s">
        <v>7</v>
      </c>
    </row>
    <row r="32219" customFormat="false" ht="12.8" hidden="false" customHeight="false" outlineLevel="0" collapsed="false">
      <c r="B32219" s="0" t="s">
        <v>14</v>
      </c>
    </row>
    <row r="32221" customFormat="false" ht="12.8" hidden="false" customHeight="false" outlineLevel="0" collapsed="false">
      <c r="A32221" s="0" t="s">
        <v>11945</v>
      </c>
      <c r="B32221" s="0" t="str">
        <f aca="false">HYPERLINK("https://lindat.mff.cuni.cz/services/teitok/pdtc10/index.php?action=vallex&amp;frame=v-w4430f1", "promíchat (v-w4430f1)")</f>
        <v>promíchat (v-w4430f1)</v>
      </c>
    </row>
    <row r="32222" customFormat="false" ht="12.8" hidden="false" customHeight="false" outlineLevel="0" collapsed="false">
      <c r="B32222" s="0" t="s">
        <v>7</v>
      </c>
      <c r="C32222" s="0" t="s">
        <v>335</v>
      </c>
      <c r="D32222" s="0" t="s">
        <v>4721</v>
      </c>
      <c r="E32222" s="0" t="s">
        <v>4721</v>
      </c>
      <c r="F32222" s="0" t="s">
        <v>4721</v>
      </c>
    </row>
    <row r="32223" customFormat="false" ht="12.8" hidden="false" customHeight="false" outlineLevel="0" collapsed="false">
      <c r="B32223" s="0" t="s">
        <v>14</v>
      </c>
      <c r="C32223" s="0" t="s">
        <v>384</v>
      </c>
      <c r="D32223" s="0" t="s">
        <v>11946</v>
      </c>
      <c r="E32223" s="0" t="s">
        <v>11946</v>
      </c>
      <c r="F32223" s="0" t="s">
        <v>11946</v>
      </c>
    </row>
    <row r="32225" customFormat="false" ht="12.8" hidden="false" customHeight="false" outlineLevel="0" collapsed="false">
      <c r="A32225" s="0" t="s">
        <v>11947</v>
      </c>
      <c r="B32225" s="0" t="str">
        <f aca="false">HYPERLINK("https://lindat.mff.cuni.cz/services/teitok/pdtc10/index.php?action=vallex&amp;frame=v-w4430hsa_1941", "promíchat (v-w4430hsa_1941)")</f>
        <v>promíchat (v-w4430hsa_1941)</v>
      </c>
    </row>
    <row r="32226" customFormat="false" ht="12.8" hidden="false" customHeight="false" outlineLevel="0" collapsed="false">
      <c r="B32226" s="0" t="s">
        <v>7</v>
      </c>
    </row>
    <row r="32227" customFormat="false" ht="12.8" hidden="false" customHeight="false" outlineLevel="0" collapsed="false">
      <c r="B32227" s="0" t="s">
        <v>14</v>
      </c>
    </row>
    <row r="32229" customFormat="false" ht="12.8" hidden="false" customHeight="false" outlineLevel="0" collapsed="false">
      <c r="A32229" s="0" t="s">
        <v>11948</v>
      </c>
      <c r="B32229" s="0" t="str">
        <f aca="false">HYPERLINK("https://lindat.mff.cuni.cz/services/teitok/pdtc10/index.php?action=vallex&amp;frame=v-w10224f3", "promíjet (v-w10224f3)")</f>
        <v>promíjet (v-w10224f3)</v>
      </c>
    </row>
    <row r="32230" customFormat="false" ht="12.8" hidden="false" customHeight="false" outlineLevel="0" collapsed="false">
      <c r="B32230" s="0" t="s">
        <v>7</v>
      </c>
      <c r="C32230" s="0" t="s">
        <v>46</v>
      </c>
      <c r="D32230" s="0" t="s">
        <v>46</v>
      </c>
      <c r="E32230" s="0" t="s">
        <v>46</v>
      </c>
      <c r="F32230" s="0" t="s">
        <v>46</v>
      </c>
    </row>
    <row r="32231" customFormat="false" ht="12.8" hidden="false" customHeight="false" outlineLevel="0" collapsed="false">
      <c r="B32231" s="0" t="s">
        <v>54</v>
      </c>
      <c r="C32231" s="0" t="s">
        <v>274</v>
      </c>
      <c r="D32231" s="0" t="s">
        <v>274</v>
      </c>
      <c r="E32231" s="0" t="s">
        <v>274</v>
      </c>
      <c r="F32231" s="0" t="s">
        <v>274</v>
      </c>
    </row>
    <row r="32232" customFormat="false" ht="12.8" hidden="false" customHeight="false" outlineLevel="0" collapsed="false">
      <c r="B32232" s="0" t="s">
        <v>48</v>
      </c>
      <c r="C32232" s="0" t="s">
        <v>397</v>
      </c>
      <c r="D32232" s="0" t="s">
        <v>397</v>
      </c>
      <c r="E32232" s="0" t="s">
        <v>397</v>
      </c>
      <c r="F32232" s="0" t="s">
        <v>397</v>
      </c>
    </row>
    <row r="32234" customFormat="false" ht="12.8" hidden="false" customHeight="false" outlineLevel="0" collapsed="false">
      <c r="A32234" s="0" t="s">
        <v>11949</v>
      </c>
      <c r="B32234" s="0" t="str">
        <f aca="false">HYPERLINK("https://lindat.mff.cuni.cz/services/teitok/pdtc10/index.php?action=vallex&amp;frame=v-w4436f1", "promítat (v-w4436f1)")</f>
        <v>promítat (v-w4436f1)</v>
      </c>
    </row>
    <row r="32235" customFormat="false" ht="12.8" hidden="false" customHeight="false" outlineLevel="0" collapsed="false">
      <c r="B32235" s="0" t="s">
        <v>7</v>
      </c>
      <c r="C32235" s="0" t="s">
        <v>6810</v>
      </c>
      <c r="D32235" s="0" t="s">
        <v>8652</v>
      </c>
      <c r="E32235" s="0" t="s">
        <v>8652</v>
      </c>
      <c r="F32235" s="0" t="s">
        <v>8652</v>
      </c>
    </row>
    <row r="32236" customFormat="false" ht="12.8" hidden="false" customHeight="false" outlineLevel="0" collapsed="false">
      <c r="B32236" s="0" t="s">
        <v>14</v>
      </c>
      <c r="C32236" s="0" t="s">
        <v>11950</v>
      </c>
      <c r="D32236" s="0" t="s">
        <v>152</v>
      </c>
      <c r="E32236" s="0" t="s">
        <v>152</v>
      </c>
      <c r="F32236" s="0" t="s">
        <v>152</v>
      </c>
    </row>
    <row r="32238" customFormat="false" ht="12.8" hidden="false" customHeight="false" outlineLevel="0" collapsed="false">
      <c r="A32238" s="0" t="s">
        <v>11951</v>
      </c>
      <c r="B32238" s="0" t="str">
        <f aca="false">HYPERLINK("https://lindat.mff.cuni.cz/services/teitok/pdtc10/index.php?action=vallex&amp;frame=v-w4437f2", "promítat se (v-w4437f2)")</f>
        <v>promítat se (v-w4437f2)</v>
      </c>
    </row>
    <row r="32239" customFormat="false" ht="12.8" hidden="false" customHeight="false" outlineLevel="0" collapsed="false">
      <c r="B32239" s="0" t="s">
        <v>7</v>
      </c>
    </row>
    <row r="32240" customFormat="false" ht="12.8" hidden="false" customHeight="false" outlineLevel="0" collapsed="false">
      <c r="B32240" s="0" t="s">
        <v>11</v>
      </c>
    </row>
    <row r="32242" customFormat="false" ht="12.8" hidden="false" customHeight="false" outlineLevel="0" collapsed="false">
      <c r="A32242" s="0" t="s">
        <v>11952</v>
      </c>
      <c r="B32242" s="0" t="str">
        <f aca="false">HYPERLINK("https://lindat.mff.cuni.cz/services/teitok/pdtc10/index.php?action=vallex&amp;frame=v-w4437f1", "promítat se (v-w4437f1)")</f>
        <v>promítat se (v-w4437f1)</v>
      </c>
    </row>
    <row r="32243" customFormat="false" ht="12.8" hidden="false" customHeight="false" outlineLevel="0" collapsed="false">
      <c r="B32243" s="0" t="s">
        <v>7</v>
      </c>
      <c r="C32243" s="0" t="s">
        <v>4147</v>
      </c>
      <c r="D32243" s="0" t="s">
        <v>4651</v>
      </c>
      <c r="E32243" s="0" t="s">
        <v>4651</v>
      </c>
      <c r="F32243" s="0" t="s">
        <v>4651</v>
      </c>
    </row>
    <row r="32244" customFormat="false" ht="12.8" hidden="false" customHeight="false" outlineLevel="0" collapsed="false">
      <c r="B32244" s="0" t="s">
        <v>124</v>
      </c>
      <c r="C32244" s="0" t="s">
        <v>11953</v>
      </c>
      <c r="D32244" s="0" t="s">
        <v>11954</v>
      </c>
      <c r="E32244" s="0" t="s">
        <v>11954</v>
      </c>
      <c r="F32244" s="0" t="s">
        <v>11954</v>
      </c>
    </row>
    <row r="32246" customFormat="false" ht="12.8" hidden="false" customHeight="false" outlineLevel="0" collapsed="false">
      <c r="A32246" s="0" t="s">
        <v>11955</v>
      </c>
      <c r="B32246" s="0" t="str">
        <f aca="false">HYPERLINK("https://lindat.mff.cuni.cz/services/teitok/pdtc10/index.php?action=vallex&amp;frame=v-w4438f3", "promítnout (v-w4438f3)")</f>
        <v>promítnout (v-w4438f3)</v>
      </c>
    </row>
    <row r="32247" customFormat="false" ht="12.8" hidden="false" customHeight="false" outlineLevel="0" collapsed="false">
      <c r="B32247" s="0" t="s">
        <v>7</v>
      </c>
    </row>
    <row r="32248" customFormat="false" ht="12.8" hidden="false" customHeight="false" outlineLevel="0" collapsed="false">
      <c r="B32248" s="0" t="s">
        <v>14</v>
      </c>
    </row>
    <row r="32249" customFormat="false" ht="12.8" hidden="false" customHeight="false" outlineLevel="0" collapsed="false">
      <c r="B32249" s="0" t="s">
        <v>11</v>
      </c>
    </row>
    <row r="32251" customFormat="false" ht="12.8" hidden="false" customHeight="false" outlineLevel="0" collapsed="false">
      <c r="A32251" s="0" t="s">
        <v>11956</v>
      </c>
      <c r="B32251" s="0" t="str">
        <f aca="false">HYPERLINK("https://lindat.mff.cuni.cz/services/teitok/pdtc10/index.php?action=vallex&amp;frame=v-w4438f1", "promítnout (v-w4438f1)")</f>
        <v>promítnout (v-w4438f1)</v>
      </c>
    </row>
    <row r="32252" customFormat="false" ht="12.8" hidden="false" customHeight="false" outlineLevel="0" collapsed="false">
      <c r="B32252" s="0" t="s">
        <v>7</v>
      </c>
    </row>
    <row r="32253" customFormat="false" ht="12.8" hidden="false" customHeight="false" outlineLevel="0" collapsed="false">
      <c r="B32253" s="0" t="s">
        <v>14</v>
      </c>
    </row>
    <row r="32254" customFormat="false" ht="12.8" hidden="false" customHeight="false" outlineLevel="0" collapsed="false">
      <c r="B32254" s="0" t="s">
        <v>124</v>
      </c>
    </row>
    <row r="32256" customFormat="false" ht="12.8" hidden="false" customHeight="false" outlineLevel="0" collapsed="false">
      <c r="A32256" s="0" t="s">
        <v>11957</v>
      </c>
      <c r="B32256" s="0" t="str">
        <f aca="false">HYPERLINK("https://lindat.mff.cuni.cz/services/teitok/pdtc10/index.php?action=vallex&amp;frame=v-w4438f2", "promítnout (v-w4438f2)")</f>
        <v>promítnout (v-w4438f2)</v>
      </c>
    </row>
    <row r="32257" customFormat="false" ht="12.8" hidden="false" customHeight="false" outlineLevel="0" collapsed="false">
      <c r="B32257" s="0" t="s">
        <v>7</v>
      </c>
      <c r="C32257" s="0" t="s">
        <v>88</v>
      </c>
    </row>
    <row r="32258" customFormat="false" ht="12.8" hidden="false" customHeight="false" outlineLevel="0" collapsed="false">
      <c r="B32258" s="0" t="s">
        <v>14</v>
      </c>
      <c r="C32258" s="0" t="s">
        <v>493</v>
      </c>
    </row>
    <row r="32260" customFormat="false" ht="12.8" hidden="false" customHeight="false" outlineLevel="0" collapsed="false">
      <c r="A32260" s="0" t="s">
        <v>11958</v>
      </c>
      <c r="B32260" s="0" t="str">
        <f aca="false">HYPERLINK("https://lindat.mff.cuni.cz/services/teitok/pdtc10/index.php?action=vallex&amp;frame=v-w4439f2", "promítnout se (v-w4439f2)")</f>
        <v>promítnout se (v-w4439f2)</v>
      </c>
    </row>
    <row r="32261" customFormat="false" ht="12.8" hidden="false" customHeight="false" outlineLevel="0" collapsed="false">
      <c r="B32261" s="0" t="s">
        <v>7</v>
      </c>
      <c r="C32261" s="0" t="s">
        <v>4651</v>
      </c>
      <c r="D32261" s="0" t="s">
        <v>4651</v>
      </c>
      <c r="E32261" s="0" t="s">
        <v>4651</v>
      </c>
      <c r="F32261" s="0" t="s">
        <v>4651</v>
      </c>
    </row>
    <row r="32262" customFormat="false" ht="12.8" hidden="false" customHeight="false" outlineLevel="0" collapsed="false">
      <c r="B32262" s="0" t="s">
        <v>11</v>
      </c>
      <c r="C32262" s="0" t="s">
        <v>11959</v>
      </c>
      <c r="D32262" s="0" t="s">
        <v>11959</v>
      </c>
      <c r="E32262" s="0" t="s">
        <v>11959</v>
      </c>
      <c r="F32262" s="0" t="s">
        <v>11959</v>
      </c>
    </row>
    <row r="32264" customFormat="false" ht="12.8" hidden="false" customHeight="false" outlineLevel="0" collapsed="false">
      <c r="A32264" s="0" t="s">
        <v>11960</v>
      </c>
      <c r="B32264" s="0" t="str">
        <f aca="false">HYPERLINK("https://lindat.mff.cuni.cz/services/teitok/pdtc10/index.php?action=vallex&amp;frame=v-w4439f1", "promítnout se (v-w4439f1)")</f>
        <v>promítnout se (v-w4439f1)</v>
      </c>
    </row>
    <row r="32265" customFormat="false" ht="12.8" hidden="false" customHeight="false" outlineLevel="0" collapsed="false">
      <c r="B32265" s="0" t="s">
        <v>7</v>
      </c>
      <c r="C32265" s="0" t="s">
        <v>11961</v>
      </c>
      <c r="D32265" s="0" t="s">
        <v>4651</v>
      </c>
      <c r="E32265" s="0" t="s">
        <v>4651</v>
      </c>
      <c r="F32265" s="0" t="s">
        <v>4651</v>
      </c>
    </row>
    <row r="32266" customFormat="false" ht="12.8" hidden="false" customHeight="false" outlineLevel="0" collapsed="false">
      <c r="B32266" s="0" t="s">
        <v>124</v>
      </c>
      <c r="C32266" s="0" t="s">
        <v>11962</v>
      </c>
      <c r="D32266" s="0" t="s">
        <v>11954</v>
      </c>
      <c r="E32266" s="0" t="s">
        <v>11954</v>
      </c>
      <c r="F32266" s="0" t="s">
        <v>11954</v>
      </c>
    </row>
    <row r="32268" customFormat="false" ht="12.8" hidden="false" customHeight="false" outlineLevel="0" collapsed="false">
      <c r="A32268" s="0" t="s">
        <v>11963</v>
      </c>
      <c r="B32268" s="0" t="str">
        <f aca="false">HYPERLINK("https://lindat.mff.cuni.cz/services/teitok/pdtc10/index.php?action=vallex&amp;frame=v-w12180_ZUf1_ZU", "promítnout si (v-w12180_ZUf1_ZU)")</f>
        <v>promítnout si (v-w12180_ZUf1_ZU)</v>
      </c>
    </row>
    <row r="32269" customFormat="false" ht="12.8" hidden="false" customHeight="false" outlineLevel="0" collapsed="false">
      <c r="B32269" s="0" t="s">
        <v>7</v>
      </c>
    </row>
    <row r="32270" customFormat="false" ht="12.8" hidden="false" customHeight="false" outlineLevel="0" collapsed="false">
      <c r="B32270" s="0" t="s">
        <v>14</v>
      </c>
    </row>
    <row r="32272" customFormat="false" ht="12.8" hidden="false" customHeight="false" outlineLevel="0" collapsed="false">
      <c r="A32272" s="0" t="s">
        <v>11964</v>
      </c>
      <c r="B32272" s="0" t="str">
        <f aca="false">HYPERLINK("https://lindat.mff.cuni.cz/services/teitok/pdtc10/index.php?action=vallex&amp;frame=v-w4449f1", "promýšlet (v-w4449f1)")</f>
        <v>promýšlet (v-w4449f1)</v>
      </c>
    </row>
    <row r="32273" customFormat="false" ht="12.8" hidden="false" customHeight="false" outlineLevel="0" collapsed="false">
      <c r="B32273" s="0" t="s">
        <v>7</v>
      </c>
      <c r="C32273" s="0" t="s">
        <v>46</v>
      </c>
      <c r="D32273" s="0" t="s">
        <v>46</v>
      </c>
      <c r="E32273" s="0" t="s">
        <v>46</v>
      </c>
      <c r="F32273" s="0" t="s">
        <v>46</v>
      </c>
    </row>
    <row r="32274" customFormat="false" ht="12.8" hidden="false" customHeight="false" outlineLevel="0" collapsed="false">
      <c r="B32274" s="0" t="s">
        <v>11965</v>
      </c>
      <c r="C32274" s="0" t="s">
        <v>384</v>
      </c>
      <c r="D32274" s="0" t="s">
        <v>384</v>
      </c>
      <c r="E32274" s="0" t="s">
        <v>384</v>
      </c>
      <c r="F32274" s="0" t="s">
        <v>384</v>
      </c>
    </row>
    <row r="32276" customFormat="false" ht="12.8" hidden="false" customHeight="false" outlineLevel="0" collapsed="false">
      <c r="A32276" s="0" t="s">
        <v>11966</v>
      </c>
      <c r="B32276" s="0" t="str">
        <f aca="false">HYPERLINK("https://lindat.mff.cuni.cz/services/teitok/pdtc10/index.php?action=vallex&amp;frame=v-w4426f2", "proměnit (v-w4426f2)")</f>
        <v>proměnit (v-w4426f2)</v>
      </c>
    </row>
    <row r="32277" customFormat="false" ht="12.8" hidden="false" customHeight="false" outlineLevel="0" collapsed="false">
      <c r="B32277" s="0" t="s">
        <v>7</v>
      </c>
      <c r="C32277" s="0" t="s">
        <v>11967</v>
      </c>
      <c r="D32277" s="0" t="s">
        <v>32</v>
      </c>
      <c r="E32277" s="0" t="s">
        <v>32</v>
      </c>
      <c r="F32277" s="0" t="s">
        <v>32</v>
      </c>
    </row>
    <row r="32278" customFormat="false" ht="12.8" hidden="false" customHeight="false" outlineLevel="0" collapsed="false">
      <c r="B32278" s="0" t="s">
        <v>14</v>
      </c>
      <c r="C32278" s="0" t="s">
        <v>11968</v>
      </c>
      <c r="D32278" s="0" t="s">
        <v>34</v>
      </c>
      <c r="E32278" s="0" t="s">
        <v>34</v>
      </c>
      <c r="F32278" s="0" t="s">
        <v>34</v>
      </c>
    </row>
    <row r="32279" customFormat="false" ht="12.8" hidden="false" customHeight="false" outlineLevel="0" collapsed="false">
      <c r="B32279" s="0" t="s">
        <v>35</v>
      </c>
      <c r="C32279" s="0" t="s">
        <v>11969</v>
      </c>
      <c r="D32279" s="0" t="s">
        <v>36</v>
      </c>
      <c r="E32279" s="0" t="s">
        <v>36</v>
      </c>
      <c r="F32279" s="0" t="s">
        <v>36</v>
      </c>
    </row>
    <row r="32280" customFormat="false" ht="12.8" hidden="false" customHeight="false" outlineLevel="0" collapsed="false">
      <c r="B32280" s="0" t="s">
        <v>4831</v>
      </c>
      <c r="C32280" s="0" t="s">
        <v>11970</v>
      </c>
      <c r="D32280" s="0" t="s">
        <v>39</v>
      </c>
      <c r="E32280" s="0" t="s">
        <v>39</v>
      </c>
      <c r="F32280" s="0" t="s">
        <v>39</v>
      </c>
    </row>
    <row r="32282" customFormat="false" ht="12.8" hidden="false" customHeight="false" outlineLevel="0" collapsed="false">
      <c r="A32282" s="0" t="s">
        <v>11971</v>
      </c>
      <c r="B32282" s="0" t="str">
        <f aca="false">HYPERLINK("https://lindat.mff.cuni.cz/services/teitok/pdtc10/index.php?action=vallex&amp;frame=v-w4426f1", "proměnit (v-w4426f1)")</f>
        <v>proměnit (v-w4426f1)</v>
      </c>
    </row>
    <row r="32283" customFormat="false" ht="12.8" hidden="false" customHeight="false" outlineLevel="0" collapsed="false">
      <c r="B32283" s="0" t="s">
        <v>7</v>
      </c>
      <c r="C32283" s="0" t="s">
        <v>11401</v>
      </c>
      <c r="D32283" s="0" t="s">
        <v>32</v>
      </c>
      <c r="E32283" s="0" t="s">
        <v>32</v>
      </c>
      <c r="F32283" s="0" t="s">
        <v>11972</v>
      </c>
    </row>
    <row r="32284" customFormat="false" ht="12.8" hidden="false" customHeight="false" outlineLevel="0" collapsed="false">
      <c r="B32284" s="0" t="s">
        <v>14</v>
      </c>
      <c r="C32284" s="0" t="s">
        <v>11312</v>
      </c>
      <c r="D32284" s="0" t="s">
        <v>34</v>
      </c>
      <c r="E32284" s="0" t="s">
        <v>34</v>
      </c>
      <c r="F32284" s="0" t="s">
        <v>11973</v>
      </c>
    </row>
    <row r="32285" customFormat="false" ht="12.8" hidden="false" customHeight="false" outlineLevel="0" collapsed="false">
      <c r="B32285" s="0" t="s">
        <v>11974</v>
      </c>
      <c r="C32285" s="0" t="s">
        <v>11975</v>
      </c>
      <c r="D32285" s="0" t="s">
        <v>39</v>
      </c>
      <c r="E32285" s="0" t="s">
        <v>39</v>
      </c>
      <c r="F32285" s="0" t="s">
        <v>11976</v>
      </c>
    </row>
    <row r="32287" customFormat="false" ht="12.8" hidden="false" customHeight="false" outlineLevel="0" collapsed="false">
      <c r="A32287" s="0" t="s">
        <v>11977</v>
      </c>
      <c r="B32287" s="0" t="str">
        <f aca="false">HYPERLINK("https://lindat.mff.cuni.cz/services/teitok/pdtc10/index.php?action=vallex&amp;frame=v-w4426f3_ZU", "proměnit (v-w4426f3_ZU)")</f>
        <v>proměnit (v-w4426f3_ZU)</v>
      </c>
    </row>
    <row r="32288" customFormat="false" ht="12.8" hidden="false" customHeight="false" outlineLevel="0" collapsed="false">
      <c r="B32288" s="0" t="s">
        <v>7</v>
      </c>
      <c r="D32288" s="0" t="s">
        <v>6182</v>
      </c>
      <c r="E32288" s="0" t="s">
        <v>6182</v>
      </c>
      <c r="F32288" s="0" t="s">
        <v>6182</v>
      </c>
    </row>
    <row r="32289" customFormat="false" ht="12.8" hidden="false" customHeight="false" outlineLevel="0" collapsed="false">
      <c r="B32289" s="0" t="s">
        <v>14</v>
      </c>
      <c r="D32289" s="0" t="s">
        <v>6184</v>
      </c>
      <c r="E32289" s="0" t="s">
        <v>6184</v>
      </c>
      <c r="F32289" s="0" t="s">
        <v>6184</v>
      </c>
    </row>
    <row r="32290" customFormat="false" ht="12.8" hidden="false" customHeight="false" outlineLevel="0" collapsed="false">
      <c r="B32290" s="0" t="s">
        <v>2767</v>
      </c>
      <c r="D32290" s="0" t="s">
        <v>6185</v>
      </c>
      <c r="E32290" s="0" t="s">
        <v>6185</v>
      </c>
      <c r="F32290" s="0" t="s">
        <v>6185</v>
      </c>
    </row>
    <row r="32291" customFormat="false" ht="12.8" hidden="false" customHeight="false" outlineLevel="0" collapsed="false">
      <c r="B32291" s="0" t="s">
        <v>11978</v>
      </c>
      <c r="D32291" s="0" t="s">
        <v>6187</v>
      </c>
      <c r="E32291" s="0" t="s">
        <v>6187</v>
      </c>
      <c r="F32291" s="0" t="s">
        <v>6187</v>
      </c>
    </row>
    <row r="32293" customFormat="false" ht="12.8" hidden="false" customHeight="false" outlineLevel="0" collapsed="false">
      <c r="A32293" s="0" t="s">
        <v>11977</v>
      </c>
      <c r="B32293" s="0" t="str">
        <f aca="false">HYPERLINK("https://lindat.mff.cuni.cz/services/teitok/pdtc10/index.php?action=vallex&amp;frame=v-w4426hsa_386", "proměnit (v-w4426hsa_386) - substituted with v-w4426f3_ZU")</f>
        <v>proměnit (v-w4426hsa_386) - substituted with v-w4426f3_ZU</v>
      </c>
    </row>
    <row r="32294" customFormat="false" ht="12.8" hidden="false" customHeight="false" outlineLevel="0" collapsed="false">
      <c r="B32294" s="0" t="s">
        <v>7</v>
      </c>
    </row>
    <row r="32295" customFormat="false" ht="12.8" hidden="false" customHeight="false" outlineLevel="0" collapsed="false">
      <c r="B32295" s="0" t="s">
        <v>14</v>
      </c>
    </row>
    <row r="32296" customFormat="false" ht="12.8" hidden="false" customHeight="false" outlineLevel="0" collapsed="false">
      <c r="B32296" s="0" t="s">
        <v>2767</v>
      </c>
    </row>
    <row r="32297" customFormat="false" ht="12.8" hidden="false" customHeight="false" outlineLevel="0" collapsed="false">
      <c r="B32297" s="0" t="s">
        <v>11978</v>
      </c>
    </row>
    <row r="32299" customFormat="false" ht="12.8" hidden="false" customHeight="false" outlineLevel="0" collapsed="false">
      <c r="A32299" s="0" t="s">
        <v>11979</v>
      </c>
      <c r="B32299" s="0" t="str">
        <f aca="false">HYPERLINK("https://lindat.mff.cuni.cz/services/teitok/pdtc10/index.php?action=vallex&amp;frame=v-w4427f1", "proměnit se (v-w4427f1)")</f>
        <v>proměnit se (v-w4427f1)</v>
      </c>
    </row>
    <row r="32300" customFormat="false" ht="12.8" hidden="false" customHeight="false" outlineLevel="0" collapsed="false">
      <c r="B32300" s="0" t="s">
        <v>7</v>
      </c>
      <c r="C32300" s="0" t="s">
        <v>11980</v>
      </c>
      <c r="D32300" s="0" t="s">
        <v>6207</v>
      </c>
      <c r="E32300" s="0" t="s">
        <v>6207</v>
      </c>
      <c r="F32300" s="0" t="s">
        <v>6208</v>
      </c>
    </row>
    <row r="32301" customFormat="false" ht="12.8" hidden="false" customHeight="false" outlineLevel="0" collapsed="false">
      <c r="B32301" s="0" t="s">
        <v>11981</v>
      </c>
      <c r="C32301" s="0" t="s">
        <v>11982</v>
      </c>
      <c r="D32301" s="0" t="s">
        <v>6211</v>
      </c>
      <c r="E32301" s="0" t="s">
        <v>6211</v>
      </c>
      <c r="F32301" s="0" t="s">
        <v>6212</v>
      </c>
    </row>
    <row r="32302" customFormat="false" ht="12.8" hidden="false" customHeight="false" outlineLevel="0" collapsed="false">
      <c r="B32302" s="0" t="s">
        <v>35</v>
      </c>
      <c r="C32302" s="0" t="s">
        <v>11969</v>
      </c>
      <c r="D32302" s="0" t="s">
        <v>6214</v>
      </c>
      <c r="E32302" s="0" t="s">
        <v>6214</v>
      </c>
      <c r="F32302" s="0" t="s">
        <v>6215</v>
      </c>
    </row>
    <row r="32304" customFormat="false" ht="12.8" hidden="false" customHeight="false" outlineLevel="0" collapsed="false">
      <c r="A32304" s="0" t="s">
        <v>11983</v>
      </c>
      <c r="B32304" s="0" t="str">
        <f aca="false">HYPERLINK("https://lindat.mff.cuni.cz/services/teitok/pdtc10/index.php?action=vallex&amp;frame=v-w4428f2", "proměňovat (v-w4428f2)")</f>
        <v>proměňovat (v-w4428f2)</v>
      </c>
    </row>
    <row r="32305" customFormat="false" ht="12.8" hidden="false" customHeight="false" outlineLevel="0" collapsed="false">
      <c r="B32305" s="0" t="s">
        <v>7</v>
      </c>
      <c r="C32305" s="0" t="s">
        <v>194</v>
      </c>
      <c r="D32305" s="0" t="s">
        <v>32</v>
      </c>
      <c r="E32305" s="0" t="s">
        <v>32</v>
      </c>
      <c r="F32305" s="0" t="s">
        <v>32</v>
      </c>
    </row>
    <row r="32306" customFormat="false" ht="12.8" hidden="false" customHeight="false" outlineLevel="0" collapsed="false">
      <c r="B32306" s="0" t="s">
        <v>14</v>
      </c>
      <c r="C32306" s="0" t="s">
        <v>7728</v>
      </c>
      <c r="D32306" s="0" t="s">
        <v>34</v>
      </c>
      <c r="E32306" s="0" t="s">
        <v>34</v>
      </c>
      <c r="F32306" s="0" t="s">
        <v>34</v>
      </c>
    </row>
    <row r="32307" customFormat="false" ht="12.8" hidden="false" customHeight="false" outlineLevel="0" collapsed="false">
      <c r="B32307" s="0" t="s">
        <v>35</v>
      </c>
      <c r="D32307" s="0" t="s">
        <v>36</v>
      </c>
      <c r="E32307" s="0" t="s">
        <v>36</v>
      </c>
      <c r="F32307" s="0" t="s">
        <v>36</v>
      </c>
    </row>
    <row r="32308" customFormat="false" ht="12.8" hidden="false" customHeight="false" outlineLevel="0" collapsed="false">
      <c r="B32308" s="0" t="s">
        <v>4831</v>
      </c>
      <c r="C32308" s="0" t="s">
        <v>5188</v>
      </c>
      <c r="D32308" s="0" t="s">
        <v>39</v>
      </c>
      <c r="E32308" s="0" t="s">
        <v>39</v>
      </c>
      <c r="F32308" s="0" t="s">
        <v>39</v>
      </c>
    </row>
    <row r="32310" customFormat="false" ht="12.8" hidden="false" customHeight="false" outlineLevel="0" collapsed="false">
      <c r="A32310" s="0" t="s">
        <v>11984</v>
      </c>
      <c r="B32310" s="0" t="str">
        <f aca="false">HYPERLINK("https://lindat.mff.cuni.cz/services/teitok/pdtc10/index.php?action=vallex&amp;frame=v-w4428f1", "proměňovat (v-w4428f1)")</f>
        <v>proměňovat (v-w4428f1)</v>
      </c>
    </row>
    <row r="32311" customFormat="false" ht="12.8" hidden="false" customHeight="false" outlineLevel="0" collapsed="false">
      <c r="B32311" s="0" t="s">
        <v>7</v>
      </c>
      <c r="F32311" s="0" t="s">
        <v>11401</v>
      </c>
    </row>
    <row r="32312" customFormat="false" ht="12.8" hidden="false" customHeight="false" outlineLevel="0" collapsed="false">
      <c r="B32312" s="0" t="s">
        <v>14</v>
      </c>
      <c r="F32312" s="0" t="s">
        <v>11985</v>
      </c>
    </row>
    <row r="32313" customFormat="false" ht="12.8" hidden="false" customHeight="false" outlineLevel="0" collapsed="false">
      <c r="B32313" s="0" t="s">
        <v>7729</v>
      </c>
      <c r="F32313" s="0" t="s">
        <v>11975</v>
      </c>
    </row>
    <row r="32315" customFormat="false" ht="12.8" hidden="false" customHeight="false" outlineLevel="0" collapsed="false">
      <c r="A32315" s="0" t="s">
        <v>11986</v>
      </c>
      <c r="B32315" s="0" t="str">
        <f aca="false">HYPERLINK("https://lindat.mff.cuni.cz/services/teitok/pdtc10/index.php?action=vallex&amp;frame=v-w4429f1", "proměňovat se (v-w4429f1)")</f>
        <v>proměňovat se (v-w4429f1)</v>
      </c>
    </row>
    <row r="32316" customFormat="false" ht="12.8" hidden="false" customHeight="false" outlineLevel="0" collapsed="false">
      <c r="B32316" s="0" t="s">
        <v>7</v>
      </c>
      <c r="C32316" s="0" t="s">
        <v>11843</v>
      </c>
      <c r="D32316" s="0" t="s">
        <v>6207</v>
      </c>
      <c r="E32316" s="0" t="s">
        <v>6207</v>
      </c>
      <c r="F32316" s="0" t="s">
        <v>6208</v>
      </c>
    </row>
    <row r="32317" customFormat="false" ht="12.8" hidden="false" customHeight="false" outlineLevel="0" collapsed="false">
      <c r="B32317" s="0" t="s">
        <v>11981</v>
      </c>
      <c r="D32317" s="0" t="s">
        <v>6211</v>
      </c>
      <c r="E32317" s="0" t="s">
        <v>6211</v>
      </c>
      <c r="F32317" s="0" t="s">
        <v>6212</v>
      </c>
    </row>
    <row r="32318" customFormat="false" ht="12.8" hidden="false" customHeight="false" outlineLevel="0" collapsed="false">
      <c r="B32318" s="0" t="s">
        <v>35</v>
      </c>
      <c r="D32318" s="0" t="s">
        <v>6214</v>
      </c>
      <c r="E32318" s="0" t="s">
        <v>6214</v>
      </c>
      <c r="F32318" s="0" t="s">
        <v>6215</v>
      </c>
    </row>
    <row r="32320" customFormat="false" ht="12.8" hidden="false" customHeight="false" outlineLevel="0" collapsed="false">
      <c r="A32320" s="0" t="s">
        <v>11987</v>
      </c>
      <c r="B32320" s="0" t="str">
        <f aca="false">HYPERLINK("https://lindat.mff.cuni.cz/services/teitok/pdtc10/index.php?action=vallex&amp;frame=v-w4454f1", "pronajmout (v-w4454f1)")</f>
        <v>pronajmout (v-w4454f1)</v>
      </c>
    </row>
    <row r="32321" customFormat="false" ht="12.8" hidden="false" customHeight="false" outlineLevel="0" collapsed="false">
      <c r="B32321" s="0" t="s">
        <v>7</v>
      </c>
      <c r="C32321" s="0" t="s">
        <v>3918</v>
      </c>
      <c r="D32321" s="0" t="s">
        <v>623</v>
      </c>
      <c r="E32321" s="0" t="s">
        <v>623</v>
      </c>
      <c r="F32321" s="0" t="s">
        <v>623</v>
      </c>
    </row>
    <row r="32322" customFormat="false" ht="12.8" hidden="false" customHeight="false" outlineLevel="0" collapsed="false">
      <c r="B32322" s="0" t="s">
        <v>14</v>
      </c>
      <c r="C32322" s="0" t="s">
        <v>24</v>
      </c>
      <c r="D32322" s="0" t="s">
        <v>625</v>
      </c>
      <c r="E32322" s="0" t="s">
        <v>625</v>
      </c>
      <c r="F32322" s="0" t="s">
        <v>625</v>
      </c>
    </row>
    <row r="32323" customFormat="false" ht="12.8" hidden="false" customHeight="false" outlineLevel="0" collapsed="false">
      <c r="B32323" s="0" t="s">
        <v>48</v>
      </c>
      <c r="C32323" s="0" t="s">
        <v>7572</v>
      </c>
      <c r="D32323" s="0" t="s">
        <v>5534</v>
      </c>
      <c r="E32323" s="0" t="s">
        <v>5534</v>
      </c>
      <c r="F32323" s="0" t="s">
        <v>5534</v>
      </c>
    </row>
    <row r="32325" customFormat="false" ht="12.8" hidden="false" customHeight="false" outlineLevel="0" collapsed="false">
      <c r="A32325" s="0" t="s">
        <v>11988</v>
      </c>
      <c r="B32325" s="0" t="str">
        <f aca="false">HYPERLINK("https://lindat.mff.cuni.cz/services/teitok/pdtc10/index.php?action=vallex&amp;frame=v-w4454f2", "pronajmout (v-w4454f2)")</f>
        <v>pronajmout (v-w4454f2)</v>
      </c>
    </row>
    <row r="32326" customFormat="false" ht="12.8" hidden="false" customHeight="false" outlineLevel="0" collapsed="false">
      <c r="B32326" s="0" t="s">
        <v>7</v>
      </c>
      <c r="C32326" s="0" t="s">
        <v>569</v>
      </c>
      <c r="D32326" s="0" t="s">
        <v>569</v>
      </c>
      <c r="E32326" s="0" t="s">
        <v>569</v>
      </c>
      <c r="F32326" s="0" t="s">
        <v>569</v>
      </c>
    </row>
    <row r="32327" customFormat="false" ht="12.8" hidden="false" customHeight="false" outlineLevel="0" collapsed="false">
      <c r="B32327" s="0" t="s">
        <v>14</v>
      </c>
      <c r="C32327" s="0" t="s">
        <v>74</v>
      </c>
      <c r="D32327" s="0" t="s">
        <v>74</v>
      </c>
      <c r="E32327" s="0" t="s">
        <v>74</v>
      </c>
      <c r="F32327" s="0" t="s">
        <v>74</v>
      </c>
    </row>
    <row r="32328" customFormat="false" ht="12.8" hidden="false" customHeight="false" outlineLevel="0" collapsed="false">
      <c r="B32328" s="0" t="s">
        <v>441</v>
      </c>
      <c r="C32328" s="0" t="s">
        <v>4253</v>
      </c>
      <c r="D32328" s="0" t="s">
        <v>4253</v>
      </c>
      <c r="E32328" s="0" t="s">
        <v>4253</v>
      </c>
      <c r="F32328" s="0" t="s">
        <v>4253</v>
      </c>
    </row>
    <row r="32330" customFormat="false" ht="12.8" hidden="false" customHeight="false" outlineLevel="0" collapsed="false">
      <c r="A32330" s="0" t="s">
        <v>11989</v>
      </c>
      <c r="B32330" s="0" t="str">
        <f aca="false">HYPERLINK("https://lindat.mff.cuni.cz/services/teitok/pdtc10/index.php?action=vallex&amp;frame=v-w4452f1", "pronajímat (v-w4452f1)")</f>
        <v>pronajímat (v-w4452f1)</v>
      </c>
    </row>
    <row r="32331" customFormat="false" ht="12.8" hidden="false" customHeight="false" outlineLevel="0" collapsed="false">
      <c r="B32331" s="0" t="s">
        <v>7</v>
      </c>
      <c r="C32331" s="0" t="s">
        <v>623</v>
      </c>
      <c r="D32331" s="0" t="s">
        <v>623</v>
      </c>
      <c r="E32331" s="0" t="s">
        <v>623</v>
      </c>
      <c r="F32331" s="0" t="s">
        <v>623</v>
      </c>
    </row>
    <row r="32332" customFormat="false" ht="12.8" hidden="false" customHeight="false" outlineLevel="0" collapsed="false">
      <c r="B32332" s="0" t="s">
        <v>14</v>
      </c>
      <c r="C32332" s="0" t="s">
        <v>1315</v>
      </c>
      <c r="D32332" s="0" t="s">
        <v>625</v>
      </c>
      <c r="E32332" s="0" t="s">
        <v>625</v>
      </c>
      <c r="F32332" s="0" t="s">
        <v>625</v>
      </c>
    </row>
    <row r="32333" customFormat="false" ht="12.8" hidden="false" customHeight="false" outlineLevel="0" collapsed="false">
      <c r="B32333" s="0" t="s">
        <v>48</v>
      </c>
      <c r="C32333" s="0" t="s">
        <v>7572</v>
      </c>
      <c r="D32333" s="0" t="s">
        <v>5534</v>
      </c>
      <c r="E32333" s="0" t="s">
        <v>5534</v>
      </c>
      <c r="F32333" s="0" t="s">
        <v>5534</v>
      </c>
    </row>
    <row r="32335" customFormat="false" ht="12.8" hidden="false" customHeight="false" outlineLevel="0" collapsed="false">
      <c r="A32335" s="0" t="s">
        <v>11990</v>
      </c>
      <c r="B32335" s="0" t="str">
        <f aca="false">HYPERLINK("https://lindat.mff.cuni.cz/services/teitok/pdtc10/index.php?action=vallex&amp;frame=v-w4452f2", "pronajímat (v-w4452f2)")</f>
        <v>pronajímat (v-w4452f2)</v>
      </c>
    </row>
    <row r="32336" customFormat="false" ht="12.8" hidden="false" customHeight="false" outlineLevel="0" collapsed="false">
      <c r="B32336" s="0" t="s">
        <v>7</v>
      </c>
      <c r="C32336" s="0" t="s">
        <v>2736</v>
      </c>
      <c r="D32336" s="0" t="s">
        <v>569</v>
      </c>
      <c r="E32336" s="0" t="s">
        <v>569</v>
      </c>
      <c r="F32336" s="0" t="s">
        <v>569</v>
      </c>
    </row>
    <row r="32337" customFormat="false" ht="12.8" hidden="false" customHeight="false" outlineLevel="0" collapsed="false">
      <c r="B32337" s="0" t="s">
        <v>14</v>
      </c>
      <c r="C32337" s="0" t="s">
        <v>173</v>
      </c>
      <c r="D32337" s="0" t="s">
        <v>74</v>
      </c>
      <c r="E32337" s="0" t="s">
        <v>74</v>
      </c>
      <c r="F32337" s="0" t="s">
        <v>74</v>
      </c>
    </row>
    <row r="32338" customFormat="false" ht="12.8" hidden="false" customHeight="false" outlineLevel="0" collapsed="false">
      <c r="B32338" s="0" t="s">
        <v>441</v>
      </c>
      <c r="C32338" s="0" t="s">
        <v>4253</v>
      </c>
      <c r="D32338" s="0" t="s">
        <v>4253</v>
      </c>
      <c r="E32338" s="0" t="s">
        <v>4253</v>
      </c>
      <c r="F32338" s="0" t="s">
        <v>4253</v>
      </c>
    </row>
    <row r="32340" customFormat="false" ht="12.8" hidden="false" customHeight="false" outlineLevel="0" collapsed="false">
      <c r="A32340" s="0" t="s">
        <v>11991</v>
      </c>
      <c r="B32340" s="0" t="str">
        <f aca="false">HYPERLINK("https://lindat.mff.cuni.cz/services/teitok/pdtc10/index.php?action=vallex&amp;frame=v-w4461f1", "pronikat (v-w4461f1)")</f>
        <v>pronikat (v-w4461f1)</v>
      </c>
    </row>
    <row r="32341" customFormat="false" ht="12.8" hidden="false" customHeight="false" outlineLevel="0" collapsed="false">
      <c r="B32341" s="0" t="s">
        <v>7</v>
      </c>
      <c r="C32341" s="0" t="s">
        <v>11992</v>
      </c>
      <c r="D32341" s="0" t="s">
        <v>1705</v>
      </c>
      <c r="E32341" s="0" t="s">
        <v>1706</v>
      </c>
      <c r="F32341" s="0" t="s">
        <v>1706</v>
      </c>
    </row>
    <row r="32342" customFormat="false" ht="12.8" hidden="false" customHeight="false" outlineLevel="0" collapsed="false">
      <c r="B32342" s="0" t="s">
        <v>124</v>
      </c>
      <c r="C32342" s="0" t="s">
        <v>4037</v>
      </c>
      <c r="D32342" s="0" t="s">
        <v>1707</v>
      </c>
      <c r="E32342" s="0" t="s">
        <v>1707</v>
      </c>
      <c r="F32342" s="0" t="s">
        <v>1707</v>
      </c>
    </row>
    <row r="32344" customFormat="false" ht="12.8" hidden="false" customHeight="false" outlineLevel="0" collapsed="false">
      <c r="A32344" s="0" t="s">
        <v>11993</v>
      </c>
      <c r="B32344" s="0" t="str">
        <f aca="false">HYPERLINK("https://lindat.mff.cuni.cz/services/teitok/pdtc10/index.php?action=vallex&amp;frame=v-w4462f2", "proniknout (v-w4462f2)")</f>
        <v>proniknout (v-w4462f2)</v>
      </c>
    </row>
    <row r="32345" customFormat="false" ht="12.8" hidden="false" customHeight="false" outlineLevel="0" collapsed="false">
      <c r="B32345" s="0" t="s">
        <v>7</v>
      </c>
    </row>
    <row r="32346" customFormat="false" ht="12.8" hidden="false" customHeight="false" outlineLevel="0" collapsed="false">
      <c r="B32346" s="0" t="s">
        <v>14</v>
      </c>
    </row>
    <row r="32348" customFormat="false" ht="12.8" hidden="false" customHeight="false" outlineLevel="0" collapsed="false">
      <c r="A32348" s="0" t="s">
        <v>11994</v>
      </c>
      <c r="B32348" s="0" t="str">
        <f aca="false">HYPERLINK("https://lindat.mff.cuni.cz/services/teitok/pdtc10/index.php?action=vallex&amp;frame=v-w4462f3", "proniknout (v-w4462f3)")</f>
        <v>proniknout (v-w4462f3)</v>
      </c>
    </row>
    <row r="32349" customFormat="false" ht="12.8" hidden="false" customHeight="false" outlineLevel="0" collapsed="false">
      <c r="B32349" s="0" t="s">
        <v>7</v>
      </c>
    </row>
    <row r="32350" customFormat="false" ht="12.8" hidden="false" customHeight="false" outlineLevel="0" collapsed="false">
      <c r="B32350" s="0" t="s">
        <v>259</v>
      </c>
    </row>
    <row r="32352" customFormat="false" ht="12.8" hidden="false" customHeight="false" outlineLevel="0" collapsed="false">
      <c r="A32352" s="0" t="s">
        <v>11995</v>
      </c>
      <c r="B32352" s="0" t="str">
        <f aca="false">HYPERLINK("https://lindat.mff.cuni.cz/services/teitok/pdtc10/index.php?action=vallex&amp;frame=v-w4462f1", "proniknout (v-w4462f1)")</f>
        <v>proniknout (v-w4462f1)</v>
      </c>
    </row>
    <row r="32353" customFormat="false" ht="12.8" hidden="false" customHeight="false" outlineLevel="0" collapsed="false">
      <c r="B32353" s="0" t="s">
        <v>7</v>
      </c>
      <c r="C32353" s="0" t="s">
        <v>11996</v>
      </c>
      <c r="D32353" s="0" t="s">
        <v>1705</v>
      </c>
      <c r="E32353" s="0" t="s">
        <v>1706</v>
      </c>
      <c r="F32353" s="0" t="s">
        <v>1706</v>
      </c>
    </row>
    <row r="32354" customFormat="false" ht="12.8" hidden="false" customHeight="false" outlineLevel="0" collapsed="false">
      <c r="B32354" s="0" t="s">
        <v>124</v>
      </c>
      <c r="C32354" s="0" t="s">
        <v>7772</v>
      </c>
      <c r="D32354" s="0" t="s">
        <v>1707</v>
      </c>
      <c r="E32354" s="0" t="s">
        <v>1707</v>
      </c>
      <c r="F32354" s="0" t="s">
        <v>1707</v>
      </c>
    </row>
    <row r="32356" customFormat="false" ht="12.8" hidden="false" customHeight="false" outlineLevel="0" collapsed="false">
      <c r="A32356" s="0" t="s">
        <v>11997</v>
      </c>
      <c r="B32356" s="0" t="str">
        <f aca="false">HYPERLINK("https://lindat.mff.cuni.cz/services/teitok/pdtc10/index.php?action=vallex&amp;frame=v-w4462hsa_187", "proniknout (v-w4462hsa_187)")</f>
        <v>proniknout (v-w4462hsa_187)</v>
      </c>
    </row>
    <row r="32357" customFormat="false" ht="12.8" hidden="false" customHeight="false" outlineLevel="0" collapsed="false">
      <c r="B32357" s="0" t="s">
        <v>7</v>
      </c>
      <c r="C32357" s="0" t="s">
        <v>184</v>
      </c>
    </row>
    <row r="32358" customFormat="false" ht="12.8" hidden="false" customHeight="false" outlineLevel="0" collapsed="false">
      <c r="B32358" s="0" t="s">
        <v>985</v>
      </c>
    </row>
    <row r="32360" customFormat="false" ht="12.8" hidden="false" customHeight="false" outlineLevel="0" collapsed="false">
      <c r="A32360" s="0" t="s">
        <v>11998</v>
      </c>
      <c r="B32360" s="0" t="str">
        <f aca="false">HYPERLINK("https://lindat.mff.cuni.cz/services/teitok/pdtc10/index.php?action=vallex&amp;frame=v-w4457f1", "pronásledovat (v-w4457f1)")</f>
        <v>pronásledovat (v-w4457f1)</v>
      </c>
    </row>
    <row r="32361" customFormat="false" ht="12.8" hidden="false" customHeight="false" outlineLevel="0" collapsed="false">
      <c r="B32361" s="0" t="s">
        <v>7</v>
      </c>
      <c r="C32361" s="0" t="s">
        <v>309</v>
      </c>
      <c r="D32361" s="0" t="s">
        <v>149</v>
      </c>
      <c r="E32361" s="0" t="s">
        <v>149</v>
      </c>
      <c r="F32361" s="0" t="s">
        <v>149</v>
      </c>
    </row>
    <row r="32362" customFormat="false" ht="12.8" hidden="false" customHeight="false" outlineLevel="0" collapsed="false">
      <c r="B32362" s="0" t="s">
        <v>14</v>
      </c>
      <c r="C32362" s="0" t="s">
        <v>11999</v>
      </c>
      <c r="D32362" s="0" t="s">
        <v>1405</v>
      </c>
      <c r="E32362" s="0" t="s">
        <v>1405</v>
      </c>
      <c r="F32362" s="0" t="s">
        <v>1405</v>
      </c>
    </row>
    <row r="32364" customFormat="false" ht="12.8" hidden="false" customHeight="false" outlineLevel="0" collapsed="false">
      <c r="A32364" s="0" t="s">
        <v>12000</v>
      </c>
      <c r="B32364" s="0" t="str">
        <f aca="false">HYPERLINK("https://lindat.mff.cuni.cz/services/teitok/pdtc10/index.php?action=vallex&amp;frame=v-w4458f1", "pronášet (v-w4458f1)")</f>
        <v>pronášet (v-w4458f1)</v>
      </c>
    </row>
    <row r="32365" customFormat="false" ht="12.8" hidden="false" customHeight="false" outlineLevel="0" collapsed="false">
      <c r="B32365" s="0" t="s">
        <v>7</v>
      </c>
    </row>
    <row r="32366" customFormat="false" ht="12.8" hidden="false" customHeight="false" outlineLevel="0" collapsed="false">
      <c r="B32366" s="0" t="s">
        <v>14</v>
      </c>
    </row>
    <row r="32368" customFormat="false" ht="12.8" hidden="false" customHeight="false" outlineLevel="0" collapsed="false">
      <c r="A32368" s="0" t="s">
        <v>12001</v>
      </c>
      <c r="B32368" s="0" t="str">
        <f aca="false">HYPERLINK("https://lindat.mff.cuni.cz/services/teitok/pdtc10/index.php?action=vallex&amp;frame=v-w4458f2", "pronášet (v-w4458f2)")</f>
        <v>pronášet (v-w4458f2)</v>
      </c>
    </row>
    <row r="32369" customFormat="false" ht="12.8" hidden="false" customHeight="false" outlineLevel="0" collapsed="false">
      <c r="B32369" s="0" t="s">
        <v>7</v>
      </c>
      <c r="C32369" s="0" t="s">
        <v>1637</v>
      </c>
      <c r="D32369" s="0" t="s">
        <v>164</v>
      </c>
      <c r="E32369" s="0" t="s">
        <v>164</v>
      </c>
      <c r="F32369" s="0" t="s">
        <v>164</v>
      </c>
    </row>
    <row r="32370" customFormat="false" ht="12.8" hidden="false" customHeight="false" outlineLevel="0" collapsed="false">
      <c r="B32370" s="0" t="s">
        <v>5525</v>
      </c>
      <c r="C32370" s="0" t="s">
        <v>12002</v>
      </c>
      <c r="D32370" s="0" t="s">
        <v>1766</v>
      </c>
      <c r="E32370" s="0" t="s">
        <v>1766</v>
      </c>
      <c r="F32370" s="0" t="s">
        <v>1766</v>
      </c>
    </row>
    <row r="32371" customFormat="false" ht="12.8" hidden="false" customHeight="false" outlineLevel="0" collapsed="false">
      <c r="B32371" s="0" t="s">
        <v>363</v>
      </c>
      <c r="D32371" s="0" t="s">
        <v>167</v>
      </c>
      <c r="E32371" s="0" t="s">
        <v>167</v>
      </c>
      <c r="F32371" s="0" t="s">
        <v>167</v>
      </c>
    </row>
    <row r="32373" customFormat="false" ht="12.8" hidden="false" customHeight="false" outlineLevel="0" collapsed="false">
      <c r="A32373" s="0" t="s">
        <v>12003</v>
      </c>
      <c r="B32373" s="0" t="str">
        <f aca="false">HYPERLINK("https://lindat.mff.cuni.cz/services/teitok/pdtc10/index.php?action=vallex&amp;frame=v-w4459f1", "pronést (v-w4459f1)")</f>
        <v>pronést (v-w4459f1)</v>
      </c>
    </row>
    <row r="32374" customFormat="false" ht="12.8" hidden="false" customHeight="false" outlineLevel="0" collapsed="false">
      <c r="B32374" s="0" t="s">
        <v>7</v>
      </c>
      <c r="C32374" s="0" t="s">
        <v>12004</v>
      </c>
    </row>
    <row r="32375" customFormat="false" ht="12.8" hidden="false" customHeight="false" outlineLevel="0" collapsed="false">
      <c r="B32375" s="0" t="s">
        <v>14</v>
      </c>
      <c r="C32375" s="0" t="s">
        <v>12005</v>
      </c>
    </row>
    <row r="32376" customFormat="false" ht="12.8" hidden="false" customHeight="false" outlineLevel="0" collapsed="false">
      <c r="B32376" s="0" t="s">
        <v>10221</v>
      </c>
      <c r="C32376" s="0" t="s">
        <v>3829</v>
      </c>
    </row>
    <row r="32378" customFormat="false" ht="12.8" hidden="false" customHeight="false" outlineLevel="0" collapsed="false">
      <c r="A32378" s="0" t="s">
        <v>12006</v>
      </c>
      <c r="B32378" s="0" t="str">
        <f aca="false">HYPERLINK("https://lindat.mff.cuni.cz/services/teitok/pdtc10/index.php?action=vallex&amp;frame=v-w4459f2", "pronést (v-w4459f2)")</f>
        <v>pronést (v-w4459f2)</v>
      </c>
    </row>
    <row r="32379" customFormat="false" ht="12.8" hidden="false" customHeight="false" outlineLevel="0" collapsed="false">
      <c r="B32379" s="0" t="s">
        <v>7</v>
      </c>
      <c r="C32379" s="0" t="s">
        <v>12007</v>
      </c>
      <c r="D32379" s="0" t="s">
        <v>164</v>
      </c>
      <c r="E32379" s="0" t="s">
        <v>164</v>
      </c>
      <c r="F32379" s="0" t="s">
        <v>164</v>
      </c>
    </row>
    <row r="32380" customFormat="false" ht="12.8" hidden="false" customHeight="false" outlineLevel="0" collapsed="false">
      <c r="B32380" s="0" t="s">
        <v>5525</v>
      </c>
      <c r="C32380" s="0" t="s">
        <v>12008</v>
      </c>
      <c r="D32380" s="0" t="s">
        <v>1766</v>
      </c>
      <c r="E32380" s="0" t="s">
        <v>1766</v>
      </c>
      <c r="F32380" s="0" t="s">
        <v>1766</v>
      </c>
    </row>
    <row r="32381" customFormat="false" ht="12.8" hidden="false" customHeight="false" outlineLevel="0" collapsed="false">
      <c r="B32381" s="0" t="s">
        <v>363</v>
      </c>
      <c r="C32381" s="0" t="s">
        <v>1768</v>
      </c>
      <c r="D32381" s="0" t="s">
        <v>167</v>
      </c>
      <c r="E32381" s="0" t="s">
        <v>167</v>
      </c>
      <c r="F32381" s="0" t="s">
        <v>167</v>
      </c>
    </row>
    <row r="32383" customFormat="false" ht="12.8" hidden="false" customHeight="false" outlineLevel="0" collapsed="false">
      <c r="A32383" s="0" t="s">
        <v>12009</v>
      </c>
      <c r="B32383" s="0" t="str">
        <f aca="false">HYPERLINK("https://lindat.mff.cuni.cz/services/teitok/pdtc10/index.php?action=vallex&amp;frame=v-w4466f1", "propadat (v-w4466f1)")</f>
        <v>propadat (v-w4466f1)</v>
      </c>
    </row>
    <row r="32384" customFormat="false" ht="12.8" hidden="false" customHeight="false" outlineLevel="0" collapsed="false">
      <c r="B32384" s="0" t="s">
        <v>7</v>
      </c>
      <c r="C32384" s="0" t="s">
        <v>2281</v>
      </c>
    </row>
    <row r="32385" customFormat="false" ht="12.8" hidden="false" customHeight="false" outlineLevel="0" collapsed="false">
      <c r="B32385" s="0" t="s">
        <v>142</v>
      </c>
      <c r="C32385" s="0" t="s">
        <v>12010</v>
      </c>
    </row>
    <row r="32387" customFormat="false" ht="12.8" hidden="false" customHeight="false" outlineLevel="0" collapsed="false">
      <c r="A32387" s="0" t="s">
        <v>12011</v>
      </c>
      <c r="B32387" s="0" t="str">
        <f aca="false">HYPERLINK("https://lindat.mff.cuni.cz/services/teitok/pdtc10/index.php?action=vallex&amp;frame=v-w4466f2", "propadat (v-w4466f2)")</f>
        <v>propadat (v-w4466f2)</v>
      </c>
    </row>
    <row r="32388" customFormat="false" ht="12.8" hidden="false" customHeight="false" outlineLevel="0" collapsed="false">
      <c r="B32388" s="0" t="s">
        <v>7</v>
      </c>
    </row>
    <row r="32390" customFormat="false" ht="12.8" hidden="false" customHeight="false" outlineLevel="0" collapsed="false">
      <c r="A32390" s="0" t="s">
        <v>12012</v>
      </c>
      <c r="B32390" s="0" t="str">
        <f aca="false">HYPERLINK("https://lindat.mff.cuni.cz/services/teitok/pdtc10/index.php?action=vallex&amp;frame=v-w4466hsa_621", "propadat (v-w4466hsa_621)")</f>
        <v>propadat (v-w4466hsa_621)</v>
      </c>
    </row>
    <row r="32391" customFormat="false" ht="12.8" hidden="false" customHeight="false" outlineLevel="0" collapsed="false">
      <c r="B32391" s="0" t="s">
        <v>7</v>
      </c>
      <c r="D32391" s="0" t="s">
        <v>1902</v>
      </c>
      <c r="E32391" s="0" t="s">
        <v>1902</v>
      </c>
      <c r="F32391" s="0" t="s">
        <v>1902</v>
      </c>
    </row>
    <row r="32393" customFormat="false" ht="12.8" hidden="false" customHeight="false" outlineLevel="0" collapsed="false">
      <c r="A32393" s="0" t="s">
        <v>12013</v>
      </c>
      <c r="B32393" s="0" t="str">
        <f aca="false">HYPERLINK("https://lindat.mff.cuni.cz/services/teitok/pdtc10/index.php?action=vallex&amp;frame=v-w4466hsa_622", "propadat (v-w4466hsa_622)")</f>
        <v>propadat (v-w4466hsa_622)</v>
      </c>
    </row>
    <row r="32394" customFormat="false" ht="12.8" hidden="false" customHeight="false" outlineLevel="0" collapsed="false">
      <c r="B32394" s="0" t="s">
        <v>7</v>
      </c>
    </row>
    <row r="32396" customFormat="false" ht="12.8" hidden="false" customHeight="false" outlineLevel="0" collapsed="false">
      <c r="A32396" s="0" t="s">
        <v>12014</v>
      </c>
      <c r="B32396" s="0" t="str">
        <f aca="false">HYPERLINK("https://lindat.mff.cuni.cz/services/teitok/pdtc10/index.php?action=vallex&amp;frame=v-w11567_ZUf3_ZU", "propadat se (v-w11567_ZUf3_ZU)")</f>
        <v>propadat se (v-w11567_ZUf3_ZU)</v>
      </c>
    </row>
    <row r="32397" customFormat="false" ht="12.8" hidden="false" customHeight="false" outlineLevel="0" collapsed="false">
      <c r="B32397" s="0" t="s">
        <v>7</v>
      </c>
      <c r="C32397" s="0" t="s">
        <v>12015</v>
      </c>
      <c r="D32397" s="0" t="s">
        <v>4614</v>
      </c>
      <c r="E32397" s="0" t="s">
        <v>4615</v>
      </c>
      <c r="F32397" s="0" t="s">
        <v>4615</v>
      </c>
    </row>
    <row r="32398" customFormat="false" ht="12.8" hidden="false" customHeight="false" outlineLevel="0" collapsed="false">
      <c r="B32398" s="0" t="s">
        <v>3568</v>
      </c>
      <c r="C32398" s="0" t="s">
        <v>12016</v>
      </c>
      <c r="D32398" s="0" t="s">
        <v>4617</v>
      </c>
      <c r="E32398" s="0" t="s">
        <v>4618</v>
      </c>
      <c r="F32398" s="0" t="s">
        <v>4618</v>
      </c>
    </row>
    <row r="32399" customFormat="false" ht="12.8" hidden="false" customHeight="false" outlineLevel="0" collapsed="false">
      <c r="B32399" s="0" t="s">
        <v>35</v>
      </c>
      <c r="C32399" s="0" t="s">
        <v>12017</v>
      </c>
      <c r="D32399" s="0" t="s">
        <v>4620</v>
      </c>
      <c r="E32399" s="0" t="s">
        <v>4621</v>
      </c>
      <c r="F32399" s="0" t="s">
        <v>4621</v>
      </c>
    </row>
    <row r="32401" customFormat="false" ht="12.8" hidden="false" customHeight="false" outlineLevel="0" collapsed="false">
      <c r="A32401" s="0" t="s">
        <v>12014</v>
      </c>
      <c r="B32401" s="0" t="str">
        <f aca="false">HYPERLINK("https://lindat.mff.cuni.cz/services/teitok/pdtc10/index.php?action=vallex&amp;frame=v-w11567_ZUf1_ZU", "propadat se (v-w11567_ZUf1_ZU) - substituted with v-w11567_ZUf3_ZU")</f>
        <v>propadat se (v-w11567_ZUf1_ZU) - substituted with v-w11567_ZUf3_ZU</v>
      </c>
    </row>
    <row r="32402" customFormat="false" ht="12.8" hidden="false" customHeight="false" outlineLevel="0" collapsed="false">
      <c r="B32402" s="0" t="s">
        <v>7</v>
      </c>
      <c r="C32402" s="0" t="s">
        <v>12018</v>
      </c>
    </row>
    <row r="32403" customFormat="false" ht="12.8" hidden="false" customHeight="false" outlineLevel="0" collapsed="false">
      <c r="B32403" s="0" t="s">
        <v>3568</v>
      </c>
      <c r="C32403" s="0" t="s">
        <v>12019</v>
      </c>
    </row>
    <row r="32404" customFormat="false" ht="12.8" hidden="false" customHeight="false" outlineLevel="0" collapsed="false">
      <c r="B32404" s="0" t="s">
        <v>35</v>
      </c>
      <c r="C32404" s="0" t="s">
        <v>12020</v>
      </c>
    </row>
    <row r="32406" customFormat="false" ht="12.8" hidden="false" customHeight="false" outlineLevel="0" collapsed="false">
      <c r="A32406" s="0" t="s">
        <v>12014</v>
      </c>
      <c r="B32406" s="0" t="str">
        <f aca="false">HYPERLINK("https://lindat.mff.cuni.cz/services/teitok/pdtc10/index.php?action=vallex&amp;frame=v-w11567_ZUf2_ZU", "propadat se (v-w11567_ZUf2_ZU) - substituted with v-w11567_ZUf3_ZU")</f>
        <v>propadat se (v-w11567_ZUf2_ZU) - substituted with v-w11567_ZUf3_ZU</v>
      </c>
    </row>
    <row r="32407" customFormat="false" ht="12.8" hidden="false" customHeight="false" outlineLevel="0" collapsed="false">
      <c r="B32407" s="0" t="s">
        <v>7</v>
      </c>
    </row>
    <row r="32408" customFormat="false" ht="12.8" hidden="false" customHeight="false" outlineLevel="0" collapsed="false">
      <c r="B32408" s="0" t="s">
        <v>3568</v>
      </c>
    </row>
    <row r="32409" customFormat="false" ht="12.8" hidden="false" customHeight="false" outlineLevel="0" collapsed="false">
      <c r="B32409" s="0" t="s">
        <v>35</v>
      </c>
    </row>
    <row r="32411" customFormat="false" ht="12.8" hidden="false" customHeight="false" outlineLevel="0" collapsed="false">
      <c r="A32411" s="0" t="s">
        <v>12021</v>
      </c>
      <c r="B32411" s="0" t="str">
        <f aca="false">HYPERLINK("https://lindat.mff.cuni.cz/services/teitok/pdtc10/index.php?action=vallex&amp;frame=v-w11567_ZUf4_ZU", "propadat se (v-w11567_ZUf4_ZU)")</f>
        <v>propadat se (v-w11567_ZUf4_ZU)</v>
      </c>
    </row>
    <row r="32412" customFormat="false" ht="12.8" hidden="false" customHeight="false" outlineLevel="0" collapsed="false">
      <c r="B32412" s="0" t="s">
        <v>7</v>
      </c>
      <c r="C32412" s="0" t="s">
        <v>16</v>
      </c>
      <c r="D32412" s="0" t="s">
        <v>11052</v>
      </c>
      <c r="E32412" s="0" t="s">
        <v>11053</v>
      </c>
      <c r="F32412" s="0" t="s">
        <v>11053</v>
      </c>
    </row>
    <row r="32414" customFormat="false" ht="12.8" hidden="false" customHeight="false" outlineLevel="0" collapsed="false">
      <c r="A32414" s="0" t="s">
        <v>12022</v>
      </c>
      <c r="B32414" s="0" t="str">
        <f aca="false">HYPERLINK("https://lindat.mff.cuni.cz/services/teitok/pdtc10/index.php?action=vallex&amp;frame=v-w4467f5_ZU", "propadnout (v-w4467f5_ZU)")</f>
        <v>propadnout (v-w4467f5_ZU)</v>
      </c>
    </row>
    <row r="32415" customFormat="false" ht="12.8" hidden="false" customHeight="false" outlineLevel="0" collapsed="false">
      <c r="B32415" s="0" t="s">
        <v>7</v>
      </c>
      <c r="C32415" s="0" t="s">
        <v>12023</v>
      </c>
      <c r="D32415" s="0" t="s">
        <v>9114</v>
      </c>
      <c r="E32415" s="0" t="s">
        <v>4615</v>
      </c>
      <c r="F32415" s="0" t="s">
        <v>4615</v>
      </c>
    </row>
    <row r="32416" customFormat="false" ht="12.8" hidden="false" customHeight="false" outlineLevel="0" collapsed="false">
      <c r="B32416" s="0" t="s">
        <v>63</v>
      </c>
      <c r="C32416" s="0" t="s">
        <v>12024</v>
      </c>
      <c r="D32416" s="0" t="s">
        <v>9116</v>
      </c>
      <c r="E32416" s="0" t="s">
        <v>4618</v>
      </c>
      <c r="F32416" s="0" t="s">
        <v>4618</v>
      </c>
    </row>
    <row r="32417" customFormat="false" ht="12.8" hidden="false" customHeight="false" outlineLevel="0" collapsed="false">
      <c r="B32417" s="0" t="s">
        <v>35</v>
      </c>
      <c r="C32417" s="0" t="s">
        <v>12025</v>
      </c>
      <c r="D32417" s="0" t="s">
        <v>9118</v>
      </c>
      <c r="E32417" s="0" t="s">
        <v>4621</v>
      </c>
      <c r="F32417" s="0" t="s">
        <v>4621</v>
      </c>
    </row>
    <row r="32419" customFormat="false" ht="12.8" hidden="false" customHeight="false" outlineLevel="0" collapsed="false">
      <c r="A32419" s="0" t="s">
        <v>12026</v>
      </c>
      <c r="B32419" s="0" t="str">
        <f aca="false">HYPERLINK("https://lindat.mff.cuni.cz/services/teitok/pdtc10/index.php?action=vallex&amp;frame=v-w4467f2", "propadnout (v-w4467f2)")</f>
        <v>propadnout (v-w4467f2)</v>
      </c>
    </row>
    <row r="32420" customFormat="false" ht="12.8" hidden="false" customHeight="false" outlineLevel="0" collapsed="false">
      <c r="B32420" s="0" t="s">
        <v>7</v>
      </c>
    </row>
    <row r="32421" customFormat="false" ht="12.8" hidden="false" customHeight="false" outlineLevel="0" collapsed="false">
      <c r="B32421" s="0" t="s">
        <v>142</v>
      </c>
    </row>
    <row r="32423" customFormat="false" ht="12.8" hidden="false" customHeight="false" outlineLevel="0" collapsed="false">
      <c r="A32423" s="0" t="s">
        <v>12027</v>
      </c>
      <c r="B32423" s="0" t="str">
        <f aca="false">HYPERLINK("https://lindat.mff.cuni.cz/services/teitok/pdtc10/index.php?action=vallex&amp;frame=v-w4467f1", "propadnout (v-w4467f1)")</f>
        <v>propadnout (v-w4467f1)</v>
      </c>
    </row>
    <row r="32424" customFormat="false" ht="12.8" hidden="false" customHeight="false" outlineLevel="0" collapsed="false">
      <c r="B32424" s="0" t="s">
        <v>7</v>
      </c>
      <c r="C32424" s="0" t="s">
        <v>3693</v>
      </c>
    </row>
    <row r="32426" customFormat="false" ht="12.8" hidden="false" customHeight="false" outlineLevel="0" collapsed="false">
      <c r="A32426" s="0" t="s">
        <v>12028</v>
      </c>
      <c r="B32426" s="0" t="str">
        <f aca="false">HYPERLINK("https://lindat.mff.cuni.cz/services/teitok/pdtc10/index.php?action=vallex&amp;frame=v-w4467f3", "propadnout (v-w4467f3)")</f>
        <v>propadnout (v-w4467f3)</v>
      </c>
    </row>
    <row r="32427" customFormat="false" ht="12.8" hidden="false" customHeight="false" outlineLevel="0" collapsed="false">
      <c r="B32427" s="0" t="s">
        <v>7</v>
      </c>
      <c r="C32427" s="0" t="s">
        <v>12029</v>
      </c>
    </row>
    <row r="32429" customFormat="false" ht="12.8" hidden="false" customHeight="false" outlineLevel="0" collapsed="false">
      <c r="A32429" s="0" t="s">
        <v>12030</v>
      </c>
      <c r="B32429" s="0" t="str">
        <f aca="false">HYPERLINK("https://lindat.mff.cuni.cz/services/teitok/pdtc10/index.php?action=vallex&amp;frame=v-w4467f4_ZU", "propadnout (v-w4467f4_ZU)")</f>
        <v>propadnout (v-w4467f4_ZU)</v>
      </c>
    </row>
    <row r="32430" customFormat="false" ht="12.8" hidden="false" customHeight="false" outlineLevel="0" collapsed="false">
      <c r="B32430" s="0" t="s">
        <v>7</v>
      </c>
      <c r="C32430" s="0" t="s">
        <v>7671</v>
      </c>
      <c r="D32430" s="0" t="s">
        <v>9560</v>
      </c>
      <c r="E32430" s="0" t="s">
        <v>9561</v>
      </c>
      <c r="F32430" s="0" t="s">
        <v>9561</v>
      </c>
    </row>
    <row r="32432" customFormat="false" ht="12.8" hidden="false" customHeight="false" outlineLevel="0" collapsed="false">
      <c r="A32432" s="0" t="s">
        <v>12031</v>
      </c>
      <c r="B32432" s="0" t="str">
        <f aca="false">HYPERLINK("https://lindat.mff.cuni.cz/services/teitok/pdtc10/index.php?action=vallex&amp;frame=v-w4468f5_ZU", "propadnout se (v-w4468f5_ZU)")</f>
        <v>propadnout se (v-w4468f5_ZU)</v>
      </c>
    </row>
    <row r="32433" customFormat="false" ht="12.8" hidden="false" customHeight="false" outlineLevel="0" collapsed="false">
      <c r="B32433" s="0" t="s">
        <v>7</v>
      </c>
      <c r="C32433" s="0" t="s">
        <v>12032</v>
      </c>
      <c r="D32433" s="0" t="s">
        <v>4614</v>
      </c>
      <c r="E32433" s="0" t="s">
        <v>4615</v>
      </c>
      <c r="F32433" s="0" t="s">
        <v>4615</v>
      </c>
    </row>
    <row r="32434" customFormat="false" ht="12.8" hidden="false" customHeight="false" outlineLevel="0" collapsed="false">
      <c r="B32434" s="0" t="s">
        <v>63</v>
      </c>
      <c r="C32434" s="0" t="s">
        <v>12033</v>
      </c>
      <c r="D32434" s="0" t="s">
        <v>4617</v>
      </c>
      <c r="E32434" s="0" t="s">
        <v>4618</v>
      </c>
      <c r="F32434" s="0" t="s">
        <v>4618</v>
      </c>
    </row>
    <row r="32435" customFormat="false" ht="12.8" hidden="false" customHeight="false" outlineLevel="0" collapsed="false">
      <c r="B32435" s="0" t="s">
        <v>35</v>
      </c>
      <c r="C32435" s="0" t="s">
        <v>12034</v>
      </c>
      <c r="D32435" s="0" t="s">
        <v>4620</v>
      </c>
      <c r="E32435" s="0" t="s">
        <v>4621</v>
      </c>
      <c r="F32435" s="0" t="s">
        <v>4621</v>
      </c>
    </row>
    <row r="32437" customFormat="false" ht="12.8" hidden="false" customHeight="false" outlineLevel="0" collapsed="false">
      <c r="A32437" s="0" t="s">
        <v>12031</v>
      </c>
      <c r="B32437" s="0" t="str">
        <f aca="false">HYPERLINK("https://lindat.mff.cuni.cz/services/teitok/pdtc10/index.php?action=vallex&amp;frame=v-w4468f1", "propadnout se (v-w4468f1) - substituted with v-w4468f5_ZU")</f>
        <v>propadnout se (v-w4468f1) - substituted with v-w4468f5_ZU</v>
      </c>
    </row>
    <row r="32438" customFormat="false" ht="12.8" hidden="false" customHeight="false" outlineLevel="0" collapsed="false">
      <c r="B32438" s="0" t="s">
        <v>7</v>
      </c>
      <c r="C32438" s="0" t="s">
        <v>12035</v>
      </c>
    </row>
    <row r="32439" customFormat="false" ht="12.8" hidden="false" customHeight="false" outlineLevel="0" collapsed="false">
      <c r="B32439" s="0" t="s">
        <v>63</v>
      </c>
      <c r="C32439" s="0" t="s">
        <v>4631</v>
      </c>
    </row>
    <row r="32440" customFormat="false" ht="12.8" hidden="false" customHeight="false" outlineLevel="0" collapsed="false">
      <c r="B32440" s="0" t="s">
        <v>35</v>
      </c>
      <c r="C32440" s="0" t="s">
        <v>4632</v>
      </c>
    </row>
    <row r="32442" customFormat="false" ht="12.8" hidden="false" customHeight="false" outlineLevel="0" collapsed="false">
      <c r="A32442" s="0" t="s">
        <v>12031</v>
      </c>
      <c r="B32442" s="0" t="str">
        <f aca="false">HYPERLINK("https://lindat.mff.cuni.cz/services/teitok/pdtc10/index.php?action=vallex&amp;frame=v-w4468f2_ZU", "propadnout se (v-w4468f2_ZU) - substituted with v-w4468f5_ZU")</f>
        <v>propadnout se (v-w4468f2_ZU) - substituted with v-w4468f5_ZU</v>
      </c>
    </row>
    <row r="32443" customFormat="false" ht="12.8" hidden="false" customHeight="false" outlineLevel="0" collapsed="false">
      <c r="B32443" s="0" t="s">
        <v>7</v>
      </c>
      <c r="C32443" s="0" t="s">
        <v>12036</v>
      </c>
    </row>
    <row r="32444" customFormat="false" ht="12.8" hidden="false" customHeight="false" outlineLevel="0" collapsed="false">
      <c r="B32444" s="0" t="s">
        <v>63</v>
      </c>
      <c r="C32444" s="0" t="s">
        <v>12037</v>
      </c>
    </row>
    <row r="32445" customFormat="false" ht="12.8" hidden="false" customHeight="false" outlineLevel="0" collapsed="false">
      <c r="B32445" s="0" t="s">
        <v>35</v>
      </c>
      <c r="C32445" s="0" t="s">
        <v>12038</v>
      </c>
    </row>
    <row r="32447" customFormat="false" ht="12.8" hidden="false" customHeight="false" outlineLevel="0" collapsed="false">
      <c r="A32447" s="0" t="s">
        <v>12031</v>
      </c>
      <c r="B32447" s="0" t="str">
        <f aca="false">HYPERLINK("https://lindat.mff.cuni.cz/services/teitok/pdtc10/index.php?action=vallex&amp;frame=v-w4468f3_ZU", "propadnout se (v-w4468f3_ZU) - substituted with v-w4468f5_ZU")</f>
        <v>propadnout se (v-w4468f3_ZU) - substituted with v-w4468f5_ZU</v>
      </c>
    </row>
    <row r="32448" customFormat="false" ht="12.8" hidden="false" customHeight="false" outlineLevel="0" collapsed="false">
      <c r="B32448" s="0" t="s">
        <v>7</v>
      </c>
      <c r="C32448" s="0" t="s">
        <v>12029</v>
      </c>
    </row>
    <row r="32449" customFormat="false" ht="12.8" hidden="false" customHeight="false" outlineLevel="0" collapsed="false">
      <c r="B32449" s="0" t="s">
        <v>63</v>
      </c>
      <c r="C32449" s="0" t="s">
        <v>12039</v>
      </c>
    </row>
    <row r="32450" customFormat="false" ht="12.8" hidden="false" customHeight="false" outlineLevel="0" collapsed="false">
      <c r="B32450" s="0" t="s">
        <v>35</v>
      </c>
      <c r="C32450" s="0" t="s">
        <v>12040</v>
      </c>
    </row>
    <row r="32452" customFormat="false" ht="12.8" hidden="false" customHeight="false" outlineLevel="0" collapsed="false">
      <c r="A32452" s="0" t="s">
        <v>12031</v>
      </c>
      <c r="B32452" s="0" t="str">
        <f aca="false">HYPERLINK("https://lindat.mff.cuni.cz/services/teitok/pdtc10/index.php?action=vallex&amp;frame=v-w4468f4_ZU", "propadnout se (v-w4468f4_ZU) - substituted with v-w4468f5_ZU")</f>
        <v>propadnout se (v-w4468f4_ZU) - substituted with v-w4468f5_ZU</v>
      </c>
    </row>
    <row r="32453" customFormat="false" ht="12.8" hidden="false" customHeight="false" outlineLevel="0" collapsed="false">
      <c r="B32453" s="0" t="s">
        <v>7</v>
      </c>
    </row>
    <row r="32454" customFormat="false" ht="12.8" hidden="false" customHeight="false" outlineLevel="0" collapsed="false">
      <c r="B32454" s="0" t="s">
        <v>63</v>
      </c>
    </row>
    <row r="32455" customFormat="false" ht="12.8" hidden="false" customHeight="false" outlineLevel="0" collapsed="false">
      <c r="B32455" s="0" t="s">
        <v>35</v>
      </c>
    </row>
    <row r="32457" customFormat="false" ht="12.8" hidden="false" customHeight="false" outlineLevel="0" collapsed="false">
      <c r="A32457" s="0" t="s">
        <v>12041</v>
      </c>
      <c r="B32457" s="0" t="str">
        <f aca="false">HYPERLINK("https://lindat.mff.cuni.cz/services/teitok/pdtc10/index.php?action=vallex&amp;frame=v-w4468f6_MM", "propadnout se (v-w4468f6_MM)")</f>
        <v>propadnout se (v-w4468f6_MM)</v>
      </c>
    </row>
    <row r="32458" customFormat="false" ht="12.8" hidden="false" customHeight="false" outlineLevel="0" collapsed="false">
      <c r="B32458" s="0" t="s">
        <v>7</v>
      </c>
    </row>
    <row r="32460" customFormat="false" ht="12.8" hidden="false" customHeight="false" outlineLevel="0" collapsed="false">
      <c r="A32460" s="0" t="s">
        <v>12042</v>
      </c>
      <c r="B32460" s="0" t="str">
        <f aca="false">HYPERLINK("https://lindat.mff.cuni.cz/services/teitok/pdtc10/index.php?action=vallex&amp;frame=v-w4474f1", "propagovat (v-w4474f1)")</f>
        <v>propagovat (v-w4474f1)</v>
      </c>
    </row>
    <row r="32461" customFormat="false" ht="12.8" hidden="false" customHeight="false" outlineLevel="0" collapsed="false">
      <c r="B32461" s="0" t="s">
        <v>7</v>
      </c>
      <c r="C32461" s="0" t="s">
        <v>12043</v>
      </c>
      <c r="D32461" s="0" t="s">
        <v>157</v>
      </c>
      <c r="E32461" s="0" t="s">
        <v>157</v>
      </c>
      <c r="F32461" s="0" t="s">
        <v>157</v>
      </c>
    </row>
    <row r="32462" customFormat="false" ht="12.8" hidden="false" customHeight="false" outlineLevel="0" collapsed="false">
      <c r="B32462" s="0" t="s">
        <v>54</v>
      </c>
      <c r="C32462" s="0" t="s">
        <v>12044</v>
      </c>
      <c r="D32462" s="0" t="s">
        <v>2850</v>
      </c>
      <c r="E32462" s="0" t="s">
        <v>2850</v>
      </c>
      <c r="F32462" s="0" t="s">
        <v>2850</v>
      </c>
    </row>
    <row r="32464" customFormat="false" ht="12.8" hidden="false" customHeight="false" outlineLevel="0" collapsed="false">
      <c r="A32464" s="0" t="s">
        <v>12045</v>
      </c>
      <c r="B32464" s="0" t="str">
        <f aca="false">HYPERLINK("https://lindat.mff.cuni.cz/services/teitok/pdtc10/index.php?action=vallex&amp;frame=v-w4479f1", "propašovat (v-w4479f1)")</f>
        <v>propašovat (v-w4479f1)</v>
      </c>
    </row>
    <row r="32465" customFormat="false" ht="12.8" hidden="false" customHeight="false" outlineLevel="0" collapsed="false">
      <c r="B32465" s="0" t="s">
        <v>7</v>
      </c>
      <c r="D32465" s="0" t="s">
        <v>12046</v>
      </c>
      <c r="E32465" s="0" t="s">
        <v>12046</v>
      </c>
      <c r="F32465" s="0" t="s">
        <v>12046</v>
      </c>
    </row>
    <row r="32466" customFormat="false" ht="12.8" hidden="false" customHeight="false" outlineLevel="0" collapsed="false">
      <c r="B32466" s="0" t="s">
        <v>14</v>
      </c>
      <c r="C32466" s="0" t="s">
        <v>47</v>
      </c>
      <c r="D32466" s="0" t="s">
        <v>12047</v>
      </c>
      <c r="E32466" s="0" t="s">
        <v>12047</v>
      </c>
      <c r="F32466" s="0" t="s">
        <v>12047</v>
      </c>
    </row>
    <row r="32467" customFormat="false" ht="12.8" hidden="false" customHeight="false" outlineLevel="0" collapsed="false">
      <c r="B32467" s="0" t="s">
        <v>124</v>
      </c>
      <c r="D32467" s="0" t="s">
        <v>12048</v>
      </c>
      <c r="E32467" s="0" t="s">
        <v>12048</v>
      </c>
      <c r="F32467" s="0" t="s">
        <v>12048</v>
      </c>
    </row>
    <row r="32469" customFormat="false" ht="12.8" hidden="false" customHeight="false" outlineLevel="0" collapsed="false">
      <c r="A32469" s="0" t="s">
        <v>12049</v>
      </c>
      <c r="B32469" s="0" t="str">
        <f aca="false">HYPERLINK("https://lindat.mff.cuni.cz/services/teitok/pdtc10/index.php?action=vallex&amp;frame=v-whsa_597hsa_598", "proplachovat (v-whsa_597hsa_598)")</f>
        <v>proplachovat (v-whsa_597hsa_598)</v>
      </c>
    </row>
    <row r="32470" customFormat="false" ht="12.8" hidden="false" customHeight="false" outlineLevel="0" collapsed="false">
      <c r="B32470" s="0" t="s">
        <v>7</v>
      </c>
    </row>
    <row r="32471" customFormat="false" ht="12.8" hidden="false" customHeight="false" outlineLevel="0" collapsed="false">
      <c r="B32471" s="0" t="s">
        <v>14</v>
      </c>
    </row>
    <row r="32473" customFormat="false" ht="12.8" hidden="false" customHeight="false" outlineLevel="0" collapsed="false">
      <c r="A32473" s="0" t="s">
        <v>12050</v>
      </c>
      <c r="B32473" s="0" t="str">
        <f aca="false">HYPERLINK("https://lindat.mff.cuni.cz/services/teitok/pdtc10/index.php?action=vallex&amp;frame=v-w11954_ZUf1_ZU", "proplakat (v-w11954_ZUf1_ZU)")</f>
        <v>proplakat (v-w11954_ZUf1_ZU)</v>
      </c>
    </row>
    <row r="32474" customFormat="false" ht="12.8" hidden="false" customHeight="false" outlineLevel="0" collapsed="false">
      <c r="B32474" s="0" t="s">
        <v>7</v>
      </c>
    </row>
    <row r="32475" customFormat="false" ht="12.8" hidden="false" customHeight="false" outlineLevel="0" collapsed="false">
      <c r="B32475" s="0" t="s">
        <v>14</v>
      </c>
    </row>
    <row r="32477" customFormat="false" ht="12.8" hidden="false" customHeight="false" outlineLevel="0" collapsed="false">
      <c r="A32477" s="0" t="s">
        <v>12051</v>
      </c>
      <c r="B32477" s="0" t="str">
        <f aca="false">HYPERLINK("https://lindat.mff.cuni.cz/services/teitok/pdtc10/index.php?action=vallex&amp;frame=v-w4485f1", "proplatit (v-w4485f1)")</f>
        <v>proplatit (v-w4485f1)</v>
      </c>
    </row>
    <row r="32478" customFormat="false" ht="12.8" hidden="false" customHeight="false" outlineLevel="0" collapsed="false">
      <c r="B32478" s="0" t="s">
        <v>7</v>
      </c>
      <c r="C32478" s="0" t="s">
        <v>623</v>
      </c>
    </row>
    <row r="32479" customFormat="false" ht="12.8" hidden="false" customHeight="false" outlineLevel="0" collapsed="false">
      <c r="B32479" s="0" t="s">
        <v>14</v>
      </c>
      <c r="C32479" s="0" t="s">
        <v>12052</v>
      </c>
    </row>
    <row r="32480" customFormat="false" ht="12.8" hidden="false" customHeight="false" outlineLevel="0" collapsed="false">
      <c r="B32480" s="0" t="s">
        <v>48</v>
      </c>
    </row>
    <row r="32482" customFormat="false" ht="12.8" hidden="false" customHeight="false" outlineLevel="0" collapsed="false">
      <c r="A32482" s="0" t="s">
        <v>12053</v>
      </c>
      <c r="B32482" s="0" t="str">
        <f aca="false">HYPERLINK("https://lindat.mff.cuni.cz/services/teitok/pdtc10/index.php?action=vallex&amp;frame=v-whsa_1820hsa_1821", "proplout (v-whsa_1820hsa_1821)")</f>
        <v>proplout (v-whsa_1820hsa_1821)</v>
      </c>
    </row>
    <row r="32483" customFormat="false" ht="12.8" hidden="false" customHeight="false" outlineLevel="0" collapsed="false">
      <c r="B32483" s="0" t="s">
        <v>7</v>
      </c>
    </row>
    <row r="32484" customFormat="false" ht="12.8" hidden="false" customHeight="false" outlineLevel="0" collapsed="false">
      <c r="B32484" s="0" t="s">
        <v>259</v>
      </c>
    </row>
    <row r="32486" customFormat="false" ht="12.8" hidden="false" customHeight="false" outlineLevel="0" collapsed="false">
      <c r="A32486" s="0" t="s">
        <v>12054</v>
      </c>
      <c r="B32486" s="0" t="str">
        <f aca="false">HYPERLINK("https://lindat.mff.cuni.cz/services/teitok/pdtc10/index.php?action=vallex&amp;frame=v-whsa_1736hsa_1737", "proplouvat (v-whsa_1736hsa_1737)")</f>
        <v>proplouvat (v-whsa_1736hsa_1737)</v>
      </c>
    </row>
    <row r="32487" customFormat="false" ht="12.8" hidden="false" customHeight="false" outlineLevel="0" collapsed="false">
      <c r="B32487" s="0" t="s">
        <v>7</v>
      </c>
    </row>
    <row r="32488" customFormat="false" ht="12.8" hidden="false" customHeight="false" outlineLevel="0" collapsed="false">
      <c r="B32488" s="0" t="s">
        <v>259</v>
      </c>
    </row>
    <row r="32490" customFormat="false" ht="12.8" hidden="false" customHeight="false" outlineLevel="0" collapsed="false">
      <c r="A32490" s="0" t="s">
        <v>12055</v>
      </c>
      <c r="B32490" s="0" t="str">
        <f aca="false">HYPERLINK("https://lindat.mff.cuni.cz/services/teitok/pdtc10/index.php?action=vallex&amp;frame=v-w4484f1", "proplácet (v-w4484f1)")</f>
        <v>proplácet (v-w4484f1)</v>
      </c>
    </row>
    <row r="32491" customFormat="false" ht="12.8" hidden="false" customHeight="false" outlineLevel="0" collapsed="false">
      <c r="B32491" s="0" t="s">
        <v>7</v>
      </c>
      <c r="C32491" s="0" t="s">
        <v>12056</v>
      </c>
    </row>
    <row r="32492" customFormat="false" ht="12.8" hidden="false" customHeight="false" outlineLevel="0" collapsed="false">
      <c r="B32492" s="0" t="s">
        <v>14</v>
      </c>
      <c r="C32492" s="0" t="s">
        <v>12057</v>
      </c>
    </row>
    <row r="32493" customFormat="false" ht="12.8" hidden="false" customHeight="false" outlineLevel="0" collapsed="false">
      <c r="B32493" s="0" t="s">
        <v>48</v>
      </c>
      <c r="C32493" s="0" t="s">
        <v>11538</v>
      </c>
    </row>
    <row r="32495" customFormat="false" ht="12.8" hidden="false" customHeight="false" outlineLevel="0" collapsed="false">
      <c r="A32495" s="0" t="s">
        <v>12058</v>
      </c>
      <c r="B32495" s="0" t="str">
        <f aca="false">HYPERLINK("https://lindat.mff.cuni.cz/services/teitok/pdtc10/index.php?action=vallex&amp;frame=v-w11183f2", "proplést (v-w11183f2)")</f>
        <v>proplést (v-w11183f2)</v>
      </c>
    </row>
    <row r="32496" customFormat="false" ht="12.8" hidden="false" customHeight="false" outlineLevel="0" collapsed="false">
      <c r="B32496" s="0" t="s">
        <v>7</v>
      </c>
      <c r="D32496" s="0" t="s">
        <v>88</v>
      </c>
      <c r="E32496" s="0" t="s">
        <v>88</v>
      </c>
      <c r="F32496" s="0" t="s">
        <v>88</v>
      </c>
    </row>
    <row r="32497" customFormat="false" ht="12.8" hidden="false" customHeight="false" outlineLevel="0" collapsed="false">
      <c r="B32497" s="0" t="s">
        <v>14</v>
      </c>
      <c r="C32497" s="0" t="s">
        <v>47</v>
      </c>
      <c r="D32497" s="0" t="s">
        <v>24</v>
      </c>
      <c r="E32497" s="0" t="s">
        <v>24</v>
      </c>
      <c r="F32497" s="0" t="s">
        <v>24</v>
      </c>
    </row>
    <row r="32498" customFormat="false" ht="12.8" hidden="false" customHeight="false" outlineLevel="0" collapsed="false">
      <c r="B32498" s="0" t="s">
        <v>207</v>
      </c>
      <c r="C32498" s="0" t="s">
        <v>1843</v>
      </c>
      <c r="D32498" s="0" t="s">
        <v>4219</v>
      </c>
      <c r="E32498" s="0" t="s">
        <v>4219</v>
      </c>
      <c r="F32498" s="0" t="s">
        <v>4219</v>
      </c>
    </row>
    <row r="32499" customFormat="false" ht="12.8" hidden="false" customHeight="false" outlineLevel="0" collapsed="false">
      <c r="B32499" s="0" t="s">
        <v>2571</v>
      </c>
    </row>
    <row r="32501" customFormat="false" ht="12.8" hidden="false" customHeight="false" outlineLevel="0" collapsed="false">
      <c r="A32501" s="0" t="s">
        <v>12059</v>
      </c>
      <c r="B32501" s="0" t="str">
        <f aca="false">HYPERLINK("https://lindat.mff.cuni.cz/services/teitok/pdtc10/index.php?action=vallex&amp;frame=v-w4486f1", "proplétat (v-w4486f1)")</f>
        <v>proplétat (v-w4486f1)</v>
      </c>
    </row>
    <row r="32502" customFormat="false" ht="12.8" hidden="false" customHeight="false" outlineLevel="0" collapsed="false">
      <c r="B32502" s="0" t="s">
        <v>7</v>
      </c>
    </row>
    <row r="32503" customFormat="false" ht="12.8" hidden="false" customHeight="false" outlineLevel="0" collapsed="false">
      <c r="B32503" s="0" t="s">
        <v>14</v>
      </c>
    </row>
    <row r="32504" customFormat="false" ht="12.8" hidden="false" customHeight="false" outlineLevel="0" collapsed="false">
      <c r="B32504" s="0" t="s">
        <v>3086</v>
      </c>
    </row>
    <row r="32506" customFormat="false" ht="12.8" hidden="false" customHeight="false" outlineLevel="0" collapsed="false">
      <c r="A32506" s="0" t="s">
        <v>12060</v>
      </c>
      <c r="B32506" s="0" t="str">
        <f aca="false">HYPERLINK("https://lindat.mff.cuni.cz/services/teitok/pdtc10/index.php?action=vallex&amp;frame=v-w4487f1", "proplétat se (v-w4487f1)")</f>
        <v>proplétat se (v-w4487f1)</v>
      </c>
    </row>
    <row r="32507" customFormat="false" ht="12.8" hidden="false" customHeight="false" outlineLevel="0" collapsed="false">
      <c r="B32507" s="0" t="s">
        <v>7</v>
      </c>
    </row>
    <row r="32508" customFormat="false" ht="12.8" hidden="false" customHeight="false" outlineLevel="0" collapsed="false">
      <c r="B32508" s="0" t="s">
        <v>259</v>
      </c>
    </row>
    <row r="32510" customFormat="false" ht="12.8" hidden="false" customHeight="false" outlineLevel="0" collapsed="false">
      <c r="A32510" s="0" t="s">
        <v>12061</v>
      </c>
      <c r="B32510" s="0" t="str">
        <f aca="false">HYPERLINK("https://lindat.mff.cuni.cz/services/teitok/pdtc10/index.php?action=vallex&amp;frame=v-w4487f2_ZU", "proplétat se (v-w4487f2_ZU)")</f>
        <v>proplétat se (v-w4487f2_ZU)</v>
      </c>
    </row>
    <row r="32511" customFormat="false" ht="12.8" hidden="false" customHeight="false" outlineLevel="0" collapsed="false">
      <c r="B32511" s="0" t="s">
        <v>7</v>
      </c>
    </row>
    <row r="32512" customFormat="false" ht="12.8" hidden="false" customHeight="false" outlineLevel="0" collapsed="false">
      <c r="B32512" s="0" t="s">
        <v>1059</v>
      </c>
    </row>
    <row r="32514" customFormat="false" ht="12.8" hidden="false" customHeight="false" outlineLevel="0" collapsed="false">
      <c r="A32514" s="0" t="s">
        <v>12062</v>
      </c>
      <c r="B32514" s="0" t="str">
        <f aca="false">HYPERLINK("https://lindat.mff.cuni.cz/services/teitok/pdtc10/index.php?action=vallex&amp;frame=v-w4487f3_ZU", "proplétat se (v-w4487f3_ZU)")</f>
        <v>proplétat se (v-w4487f3_ZU)</v>
      </c>
    </row>
    <row r="32515" customFormat="false" ht="12.8" hidden="false" customHeight="false" outlineLevel="0" collapsed="false">
      <c r="B32515" s="0" t="s">
        <v>7</v>
      </c>
    </row>
    <row r="32516" customFormat="false" ht="12.8" hidden="false" customHeight="false" outlineLevel="0" collapsed="false">
      <c r="B32516" s="0" t="s">
        <v>548</v>
      </c>
    </row>
    <row r="32518" customFormat="false" ht="12.8" hidden="false" customHeight="false" outlineLevel="0" collapsed="false">
      <c r="A32518" s="0" t="s">
        <v>12063</v>
      </c>
      <c r="B32518" s="0" t="str">
        <f aca="false">HYPERLINK("https://lindat.mff.cuni.cz/services/teitok/pdtc10/index.php?action=vallex&amp;frame=v-whsa_1784hsa_1785", "proplít (v-whsa_1784hsa_1785)")</f>
        <v>proplít (v-whsa_1784hsa_1785)</v>
      </c>
    </row>
    <row r="32519" customFormat="false" ht="12.8" hidden="false" customHeight="false" outlineLevel="0" collapsed="false">
      <c r="B32519" s="0" t="s">
        <v>7</v>
      </c>
    </row>
    <row r="32520" customFormat="false" ht="12.8" hidden="false" customHeight="false" outlineLevel="0" collapsed="false">
      <c r="B32520" s="0" t="s">
        <v>14</v>
      </c>
    </row>
    <row r="32522" customFormat="false" ht="12.8" hidden="false" customHeight="false" outlineLevel="0" collapsed="false">
      <c r="A32522" s="0" t="s">
        <v>12064</v>
      </c>
      <c r="B32522" s="0" t="str">
        <f aca="false">HYPERLINK("https://lindat.mff.cuni.cz/services/teitok/pdtc10/index.php?action=vallex&amp;frame=v-w11382f1", "proplížit se (v-w11382f1)")</f>
        <v>proplížit se (v-w11382f1)</v>
      </c>
    </row>
    <row r="32523" customFormat="false" ht="12.8" hidden="false" customHeight="false" outlineLevel="0" collapsed="false">
      <c r="B32523" s="0" t="s">
        <v>7</v>
      </c>
      <c r="C32523" s="0" t="s">
        <v>184</v>
      </c>
      <c r="D32523" s="0" t="s">
        <v>157</v>
      </c>
      <c r="E32523" s="0" t="s">
        <v>157</v>
      </c>
      <c r="F32523" s="0" t="s">
        <v>157</v>
      </c>
    </row>
    <row r="32524" customFormat="false" ht="12.8" hidden="false" customHeight="false" outlineLevel="0" collapsed="false">
      <c r="B32524" s="0" t="s">
        <v>279</v>
      </c>
      <c r="D32524" s="0" t="s">
        <v>12065</v>
      </c>
      <c r="E32524" s="0" t="s">
        <v>12065</v>
      </c>
      <c r="F32524" s="0" t="s">
        <v>12065</v>
      </c>
    </row>
    <row r="32526" customFormat="false" ht="12.8" hidden="false" customHeight="false" outlineLevel="0" collapsed="false">
      <c r="A32526" s="0" t="s">
        <v>12066</v>
      </c>
      <c r="B32526" s="0" t="str">
        <f aca="false">HYPERLINK("https://lindat.mff.cuni.cz/services/teitok/pdtc10/index.php?action=vallex&amp;frame=v-w10540f2", "proplýtvat (v-w10540f2)")</f>
        <v>proplýtvat (v-w10540f2)</v>
      </c>
    </row>
    <row r="32527" customFormat="false" ht="12.8" hidden="false" customHeight="false" outlineLevel="0" collapsed="false">
      <c r="B32527" s="0" t="s">
        <v>7</v>
      </c>
    </row>
    <row r="32528" customFormat="false" ht="12.8" hidden="false" customHeight="false" outlineLevel="0" collapsed="false">
      <c r="B32528" s="0" t="s">
        <v>14</v>
      </c>
    </row>
    <row r="32530" customFormat="false" ht="12.8" hidden="false" customHeight="false" outlineLevel="0" collapsed="false">
      <c r="A32530" s="0" t="s">
        <v>12067</v>
      </c>
      <c r="B32530" s="0" t="str">
        <f aca="false">HYPERLINK("https://lindat.mff.cuni.cz/services/teitok/pdtc10/index.php?action=vallex&amp;frame=v-w4493f3", "propojit (v-w4493f3)")</f>
        <v>propojit (v-w4493f3)</v>
      </c>
    </row>
    <row r="32531" customFormat="false" ht="12.8" hidden="false" customHeight="false" outlineLevel="0" collapsed="false">
      <c r="B32531" s="0" t="s">
        <v>7</v>
      </c>
      <c r="C32531" s="0" t="s">
        <v>2736</v>
      </c>
      <c r="D32531" s="0" t="s">
        <v>468</v>
      </c>
      <c r="E32531" s="0" t="s">
        <v>468</v>
      </c>
      <c r="F32531" s="0" t="s">
        <v>468</v>
      </c>
    </row>
    <row r="32532" customFormat="false" ht="12.8" hidden="false" customHeight="false" outlineLevel="0" collapsed="false">
      <c r="B32532" s="0" t="s">
        <v>14</v>
      </c>
      <c r="C32532" s="0" t="s">
        <v>466</v>
      </c>
      <c r="D32532" s="0" t="s">
        <v>12068</v>
      </c>
      <c r="E32532" s="0" t="s">
        <v>12068</v>
      </c>
      <c r="F32532" s="0" t="s">
        <v>12068</v>
      </c>
    </row>
    <row r="32533" customFormat="false" ht="12.8" hidden="false" customHeight="false" outlineLevel="0" collapsed="false">
      <c r="B32533" s="0" t="s">
        <v>207</v>
      </c>
      <c r="C32533" s="0" t="s">
        <v>12069</v>
      </c>
      <c r="D32533" s="0" t="s">
        <v>12070</v>
      </c>
      <c r="E32533" s="0" t="s">
        <v>12070</v>
      </c>
      <c r="F32533" s="0" t="s">
        <v>12070</v>
      </c>
    </row>
    <row r="32534" customFormat="false" ht="12.8" hidden="false" customHeight="false" outlineLevel="0" collapsed="false">
      <c r="B32534" s="0" t="s">
        <v>12071</v>
      </c>
      <c r="D32534" s="0" t="s">
        <v>4220</v>
      </c>
      <c r="E32534" s="0" t="s">
        <v>4220</v>
      </c>
      <c r="F32534" s="0" t="s">
        <v>4220</v>
      </c>
    </row>
    <row r="32536" customFormat="false" ht="12.8" hidden="false" customHeight="false" outlineLevel="0" collapsed="false">
      <c r="A32536" s="0" t="s">
        <v>12072</v>
      </c>
      <c r="B32536" s="0" t="str">
        <f aca="false">HYPERLINK("https://lindat.mff.cuni.cz/services/teitok/pdtc10/index.php?action=vallex&amp;frame=v-w4493f4_ZU", "propojit (v-w4493f4_ZU)")</f>
        <v>propojit (v-w4493f4_ZU)</v>
      </c>
    </row>
    <row r="32537" customFormat="false" ht="12.8" hidden="false" customHeight="false" outlineLevel="0" collapsed="false">
      <c r="B32537" s="0" t="s">
        <v>7</v>
      </c>
    </row>
    <row r="32538" customFormat="false" ht="12.8" hidden="false" customHeight="false" outlineLevel="0" collapsed="false">
      <c r="B32538" s="0" t="s">
        <v>14</v>
      </c>
    </row>
    <row r="32539" customFormat="false" ht="12.8" hidden="false" customHeight="false" outlineLevel="0" collapsed="false">
      <c r="B32539" s="0" t="s">
        <v>12073</v>
      </c>
    </row>
    <row r="32541" customFormat="false" ht="12.8" hidden="false" customHeight="false" outlineLevel="0" collapsed="false">
      <c r="A32541" s="0" t="s">
        <v>12072</v>
      </c>
      <c r="B32541" s="0" t="str">
        <f aca="false">HYPERLINK("https://lindat.mff.cuni.cz/services/teitok/pdtc10/index.php?action=vallex&amp;frame=v-w4493f2", "propojit (v-w4493f2) - substituted with v-w4493f4_ZU")</f>
        <v>propojit (v-w4493f2) - substituted with v-w4493f4_ZU</v>
      </c>
    </row>
    <row r="32542" customFormat="false" ht="12.8" hidden="false" customHeight="false" outlineLevel="0" collapsed="false">
      <c r="B32542" s="0" t="s">
        <v>7</v>
      </c>
      <c r="C32542" s="0" t="s">
        <v>149</v>
      </c>
      <c r="D32542" s="0" t="s">
        <v>4116</v>
      </c>
      <c r="E32542" s="0" t="s">
        <v>4116</v>
      </c>
      <c r="F32542" s="0" t="s">
        <v>4116</v>
      </c>
    </row>
    <row r="32543" customFormat="false" ht="12.8" hidden="false" customHeight="false" outlineLevel="0" collapsed="false">
      <c r="B32543" s="0" t="s">
        <v>14</v>
      </c>
      <c r="C32543" s="0" t="s">
        <v>1210</v>
      </c>
      <c r="D32543" s="0" t="s">
        <v>11631</v>
      </c>
      <c r="E32543" s="0" t="s">
        <v>11631</v>
      </c>
      <c r="F32543" s="0" t="s">
        <v>11631</v>
      </c>
    </row>
    <row r="32544" customFormat="false" ht="12.8" hidden="false" customHeight="false" outlineLevel="0" collapsed="false">
      <c r="B32544" s="0" t="s">
        <v>12073</v>
      </c>
      <c r="C32544" s="0" t="s">
        <v>12074</v>
      </c>
      <c r="D32544" s="0" t="s">
        <v>12075</v>
      </c>
      <c r="E32544" s="0" t="s">
        <v>12075</v>
      </c>
      <c r="F32544" s="0" t="s">
        <v>12075</v>
      </c>
    </row>
    <row r="32546" customFormat="false" ht="12.8" hidden="false" customHeight="false" outlineLevel="0" collapsed="false">
      <c r="A32546" s="0" t="s">
        <v>12076</v>
      </c>
      <c r="B32546" s="0" t="str">
        <f aca="false">HYPERLINK("https://lindat.mff.cuni.cz/services/teitok/pdtc10/index.php?action=vallex&amp;frame=v-w4493f1", "propojit (v-w4493f1)")</f>
        <v>propojit (v-w4493f1)</v>
      </c>
    </row>
    <row r="32547" customFormat="false" ht="12.8" hidden="false" customHeight="false" outlineLevel="0" collapsed="false">
      <c r="B32547" s="0" t="s">
        <v>7</v>
      </c>
    </row>
    <row r="32548" customFormat="false" ht="12.8" hidden="false" customHeight="false" outlineLevel="0" collapsed="false">
      <c r="B32548" s="0" t="s">
        <v>14</v>
      </c>
    </row>
    <row r="32549" customFormat="false" ht="12.8" hidden="false" customHeight="false" outlineLevel="0" collapsed="false">
      <c r="B32549" s="0" t="s">
        <v>3086</v>
      </c>
    </row>
    <row r="32551" customFormat="false" ht="12.8" hidden="false" customHeight="false" outlineLevel="0" collapsed="false">
      <c r="A32551" s="0" t="s">
        <v>12077</v>
      </c>
      <c r="B32551" s="0" t="str">
        <f aca="false">HYPERLINK("https://lindat.mff.cuni.cz/services/teitok/pdtc10/index.php?action=vallex&amp;frame=v-w4493hsa_1948", "propojit (v-w4493hsa_1948)")</f>
        <v>propojit (v-w4493hsa_1948)</v>
      </c>
    </row>
    <row r="32552" customFormat="false" ht="12.8" hidden="false" customHeight="false" outlineLevel="0" collapsed="false">
      <c r="B32552" s="0" t="s">
        <v>7</v>
      </c>
    </row>
    <row r="32553" customFormat="false" ht="12.8" hidden="false" customHeight="false" outlineLevel="0" collapsed="false">
      <c r="B32553" s="0" t="s">
        <v>14</v>
      </c>
    </row>
    <row r="32554" customFormat="false" ht="12.8" hidden="false" customHeight="false" outlineLevel="0" collapsed="false">
      <c r="B32554" s="0" t="s">
        <v>459</v>
      </c>
    </row>
    <row r="32555" customFormat="false" ht="12.8" hidden="false" customHeight="false" outlineLevel="0" collapsed="false">
      <c r="B32555" s="0" t="s">
        <v>124</v>
      </c>
    </row>
    <row r="32557" customFormat="false" ht="12.8" hidden="false" customHeight="false" outlineLevel="0" collapsed="false">
      <c r="A32557" s="0" t="s">
        <v>12078</v>
      </c>
      <c r="B32557" s="0" t="str">
        <f aca="false">HYPERLINK("https://lindat.mff.cuni.cz/services/teitok/pdtc10/index.php?action=vallex&amp;frame=v-w4494f1", "propojit se (v-w4494f1)")</f>
        <v>propojit se (v-w4494f1)</v>
      </c>
    </row>
    <row r="32558" customFormat="false" ht="12.8" hidden="false" customHeight="false" outlineLevel="0" collapsed="false">
      <c r="B32558" s="0" t="s">
        <v>7</v>
      </c>
    </row>
    <row r="32559" customFormat="false" ht="12.8" hidden="false" customHeight="false" outlineLevel="0" collapsed="false">
      <c r="B32559" s="0" t="s">
        <v>548</v>
      </c>
    </row>
    <row r="32561" customFormat="false" ht="12.8" hidden="false" customHeight="false" outlineLevel="0" collapsed="false">
      <c r="A32561" s="0" t="s">
        <v>12079</v>
      </c>
      <c r="B32561" s="0" t="str">
        <f aca="false">HYPERLINK("https://lindat.mff.cuni.cz/services/teitok/pdtc10/index.php?action=vallex&amp;frame=v-w4496f2", "propojovat (v-w4496f2)")</f>
        <v>propojovat (v-w4496f2)</v>
      </c>
    </row>
    <row r="32562" customFormat="false" ht="12.8" hidden="false" customHeight="false" outlineLevel="0" collapsed="false">
      <c r="B32562" s="0" t="s">
        <v>7</v>
      </c>
      <c r="D32562" s="0" t="s">
        <v>88</v>
      </c>
      <c r="E32562" s="0" t="s">
        <v>88</v>
      </c>
      <c r="F32562" s="0" t="s">
        <v>88</v>
      </c>
    </row>
    <row r="32563" customFormat="false" ht="12.8" hidden="false" customHeight="false" outlineLevel="0" collapsed="false">
      <c r="B32563" s="0" t="s">
        <v>14</v>
      </c>
      <c r="D32563" s="0" t="s">
        <v>24</v>
      </c>
      <c r="E32563" s="0" t="s">
        <v>24</v>
      </c>
      <c r="F32563" s="0" t="s">
        <v>24</v>
      </c>
    </row>
    <row r="32564" customFormat="false" ht="12.8" hidden="false" customHeight="false" outlineLevel="0" collapsed="false">
      <c r="B32564" s="0" t="s">
        <v>207</v>
      </c>
      <c r="D32564" s="0" t="s">
        <v>4219</v>
      </c>
      <c r="E32564" s="0" t="s">
        <v>4219</v>
      </c>
      <c r="F32564" s="0" t="s">
        <v>4219</v>
      </c>
    </row>
    <row r="32565" customFormat="false" ht="12.8" hidden="false" customHeight="false" outlineLevel="0" collapsed="false">
      <c r="B32565" s="0" t="s">
        <v>2571</v>
      </c>
      <c r="D32565" s="0" t="s">
        <v>4220</v>
      </c>
      <c r="E32565" s="0" t="s">
        <v>4220</v>
      </c>
      <c r="F32565" s="0" t="s">
        <v>4220</v>
      </c>
    </row>
    <row r="32567" customFormat="false" ht="12.8" hidden="false" customHeight="false" outlineLevel="0" collapsed="false">
      <c r="A32567" s="0" t="s">
        <v>12080</v>
      </c>
      <c r="B32567" s="0" t="str">
        <f aca="false">HYPERLINK("https://lindat.mff.cuni.cz/services/teitok/pdtc10/index.php?action=vallex&amp;frame=v-w4496f1", "propojovat (v-w4496f1)")</f>
        <v>propojovat (v-w4496f1)</v>
      </c>
    </row>
    <row r="32568" customFormat="false" ht="12.8" hidden="false" customHeight="false" outlineLevel="0" collapsed="false">
      <c r="B32568" s="0" t="s">
        <v>7</v>
      </c>
      <c r="D32568" s="0" t="s">
        <v>4116</v>
      </c>
      <c r="E32568" s="0" t="s">
        <v>4116</v>
      </c>
      <c r="F32568" s="0" t="s">
        <v>4116</v>
      </c>
    </row>
    <row r="32569" customFormat="false" ht="12.8" hidden="false" customHeight="false" outlineLevel="0" collapsed="false">
      <c r="B32569" s="0" t="s">
        <v>14</v>
      </c>
      <c r="D32569" s="0" t="s">
        <v>11631</v>
      </c>
      <c r="E32569" s="0" t="s">
        <v>11631</v>
      </c>
      <c r="F32569" s="0" t="s">
        <v>11631</v>
      </c>
    </row>
    <row r="32570" customFormat="false" ht="12.8" hidden="false" customHeight="false" outlineLevel="0" collapsed="false">
      <c r="B32570" s="0" t="s">
        <v>207</v>
      </c>
      <c r="D32570" s="0" t="s">
        <v>12075</v>
      </c>
      <c r="E32570" s="0" t="s">
        <v>12075</v>
      </c>
      <c r="F32570" s="0" t="s">
        <v>12075</v>
      </c>
    </row>
    <row r="32572" customFormat="false" ht="12.8" hidden="false" customHeight="false" outlineLevel="0" collapsed="false">
      <c r="A32572" s="0" t="s">
        <v>12081</v>
      </c>
      <c r="B32572" s="0" t="str">
        <f aca="false">HYPERLINK("https://lindat.mff.cuni.cz/services/teitok/pdtc10/index.php?action=vallex&amp;frame=v-w4498f3_ZU", "propouštět (v-w4498f3_ZU)")</f>
        <v>propouštět (v-w4498f3_ZU)</v>
      </c>
    </row>
    <row r="32573" customFormat="false" ht="12.8" hidden="false" customHeight="false" outlineLevel="0" collapsed="false">
      <c r="B32573" s="0" t="s">
        <v>7</v>
      </c>
    </row>
    <row r="32574" customFormat="false" ht="12.8" hidden="false" customHeight="false" outlineLevel="0" collapsed="false">
      <c r="B32574" s="0" t="s">
        <v>14</v>
      </c>
    </row>
    <row r="32575" customFormat="false" ht="12.8" hidden="false" customHeight="false" outlineLevel="0" collapsed="false">
      <c r="B32575" s="0" t="s">
        <v>5382</v>
      </c>
    </row>
    <row r="32577" customFormat="false" ht="12.8" hidden="false" customHeight="false" outlineLevel="0" collapsed="false">
      <c r="A32577" s="0" t="s">
        <v>12081</v>
      </c>
      <c r="B32577" s="0" t="str">
        <f aca="false">HYPERLINK("https://lindat.mff.cuni.cz/services/teitok/pdtc10/index.php?action=vallex&amp;frame=v-w4498f1", "propouštět (v-w4498f1) - substituted with v-w4498f3_ZU")</f>
        <v>propouštět (v-w4498f1) - substituted with v-w4498f3_ZU</v>
      </c>
    </row>
    <row r="32578" customFormat="false" ht="12.8" hidden="false" customHeight="false" outlineLevel="0" collapsed="false">
      <c r="B32578" s="0" t="s">
        <v>7</v>
      </c>
      <c r="C32578" s="0" t="s">
        <v>3610</v>
      </c>
      <c r="D32578" s="0" t="s">
        <v>1567</v>
      </c>
      <c r="E32578" s="0" t="s">
        <v>1567</v>
      </c>
      <c r="F32578" s="0" t="s">
        <v>1567</v>
      </c>
    </row>
    <row r="32579" customFormat="false" ht="12.8" hidden="false" customHeight="false" outlineLevel="0" collapsed="false">
      <c r="B32579" s="0" t="s">
        <v>14</v>
      </c>
      <c r="C32579" s="0" t="s">
        <v>7637</v>
      </c>
      <c r="D32579" s="0" t="s">
        <v>1568</v>
      </c>
      <c r="E32579" s="0" t="s">
        <v>1568</v>
      </c>
      <c r="F32579" s="0" t="s">
        <v>1568</v>
      </c>
    </row>
    <row r="32580" customFormat="false" ht="12.8" hidden="false" customHeight="false" outlineLevel="0" collapsed="false">
      <c r="B32580" s="0" t="s">
        <v>5382</v>
      </c>
    </row>
    <row r="32582" customFormat="false" ht="12.8" hidden="false" customHeight="false" outlineLevel="0" collapsed="false">
      <c r="A32582" s="0" t="s">
        <v>12082</v>
      </c>
      <c r="B32582" s="0" t="str">
        <f aca="false">HYPERLINK("https://lindat.mff.cuni.cz/services/teitok/pdtc10/index.php?action=vallex&amp;frame=v-w4498f2_ZU", "propouštět (v-w4498f2_ZU)")</f>
        <v>propouštět (v-w4498f2_ZU)</v>
      </c>
    </row>
    <row r="32583" customFormat="false" ht="12.8" hidden="false" customHeight="false" outlineLevel="0" collapsed="false">
      <c r="B32583" s="0" t="s">
        <v>7</v>
      </c>
    </row>
    <row r="32584" customFormat="false" ht="12.8" hidden="false" customHeight="false" outlineLevel="0" collapsed="false">
      <c r="B32584" s="0" t="s">
        <v>14</v>
      </c>
    </row>
    <row r="32586" customFormat="false" ht="12.8" hidden="false" customHeight="false" outlineLevel="0" collapsed="false">
      <c r="A32586" s="0" t="s">
        <v>12083</v>
      </c>
      <c r="B32586" s="0" t="str">
        <f aca="false">HYPERLINK("https://lindat.mff.cuni.cz/services/teitok/pdtc10/index.php?action=vallex&amp;frame=v-w4490f1", "propočíst (v-w4490f1)")</f>
        <v>propočíst (v-w4490f1)</v>
      </c>
    </row>
    <row r="32587" customFormat="false" ht="12.8" hidden="false" customHeight="false" outlineLevel="0" collapsed="false">
      <c r="B32587" s="0" t="s">
        <v>7</v>
      </c>
    </row>
    <row r="32588" customFormat="false" ht="12.8" hidden="false" customHeight="false" outlineLevel="0" collapsed="false">
      <c r="B32588" s="0" t="s">
        <v>1520</v>
      </c>
    </row>
    <row r="32589" customFormat="false" ht="12.8" hidden="false" customHeight="false" outlineLevel="0" collapsed="false">
      <c r="B32589" s="0" t="s">
        <v>35</v>
      </c>
    </row>
    <row r="32590" customFormat="false" ht="12.8" hidden="false" customHeight="false" outlineLevel="0" collapsed="false">
      <c r="B32590" s="0" t="s">
        <v>84</v>
      </c>
    </row>
    <row r="32592" customFormat="false" ht="12.8" hidden="false" customHeight="false" outlineLevel="0" collapsed="false">
      <c r="A32592" s="0" t="s">
        <v>12084</v>
      </c>
      <c r="B32592" s="0" t="str">
        <f aca="false">HYPERLINK("https://lindat.mff.cuni.cz/services/teitok/pdtc10/index.php?action=vallex&amp;frame=v-w4491f1", "propočítávat (v-w4491f1)")</f>
        <v>propočítávat (v-w4491f1)</v>
      </c>
    </row>
    <row r="32593" customFormat="false" ht="12.8" hidden="false" customHeight="false" outlineLevel="0" collapsed="false">
      <c r="B32593" s="0" t="s">
        <v>7</v>
      </c>
    </row>
    <row r="32594" customFormat="false" ht="12.8" hidden="false" customHeight="false" outlineLevel="0" collapsed="false">
      <c r="B32594" s="0" t="s">
        <v>1520</v>
      </c>
    </row>
    <row r="32595" customFormat="false" ht="12.8" hidden="false" customHeight="false" outlineLevel="0" collapsed="false">
      <c r="B32595" s="0" t="s">
        <v>35</v>
      </c>
    </row>
    <row r="32597" customFormat="false" ht="12.8" hidden="false" customHeight="false" outlineLevel="0" collapsed="false">
      <c r="A32597" s="0" t="s">
        <v>12085</v>
      </c>
      <c r="B32597" s="0" t="str">
        <f aca="false">HYPERLINK("https://lindat.mff.cuni.cz/services/teitok/pdtc10/index.php?action=vallex&amp;frame=v-w4501f1", "propracovat (v-w4501f1)")</f>
        <v>propracovat (v-w4501f1)</v>
      </c>
    </row>
    <row r="32598" customFormat="false" ht="12.8" hidden="false" customHeight="false" outlineLevel="0" collapsed="false">
      <c r="B32598" s="0" t="s">
        <v>7</v>
      </c>
      <c r="C32598" s="0" t="s">
        <v>191</v>
      </c>
    </row>
    <row r="32599" customFormat="false" ht="12.8" hidden="false" customHeight="false" outlineLevel="0" collapsed="false">
      <c r="B32599" s="0" t="s">
        <v>14</v>
      </c>
      <c r="C32599" s="0" t="s">
        <v>567</v>
      </c>
    </row>
    <row r="32601" customFormat="false" ht="12.8" hidden="false" customHeight="false" outlineLevel="0" collapsed="false">
      <c r="A32601" s="0" t="s">
        <v>12086</v>
      </c>
      <c r="B32601" s="0" t="str">
        <f aca="false">HYPERLINK("https://lindat.mff.cuni.cz/services/teitok/pdtc10/index.php?action=vallex&amp;frame=v-w4502f2", "propracovat se (v-w4502f2)")</f>
        <v>propracovat se (v-w4502f2)</v>
      </c>
    </row>
    <row r="32602" customFormat="false" ht="12.8" hidden="false" customHeight="false" outlineLevel="0" collapsed="false">
      <c r="B32602" s="0" t="s">
        <v>7</v>
      </c>
    </row>
    <row r="32603" customFormat="false" ht="12.8" hidden="false" customHeight="false" outlineLevel="0" collapsed="false">
      <c r="B32603" s="0" t="s">
        <v>41</v>
      </c>
    </row>
    <row r="32605" customFormat="false" ht="12.8" hidden="false" customHeight="false" outlineLevel="0" collapsed="false">
      <c r="A32605" s="0" t="s">
        <v>12087</v>
      </c>
      <c r="B32605" s="0" t="str">
        <f aca="false">HYPERLINK("https://lindat.mff.cuni.cz/services/teitok/pdtc10/index.php?action=vallex&amp;frame=v-w4502f1", "propracovat se (v-w4502f1)")</f>
        <v>propracovat se (v-w4502f1)</v>
      </c>
    </row>
    <row r="32606" customFormat="false" ht="12.8" hidden="false" customHeight="false" outlineLevel="0" collapsed="false">
      <c r="B32606" s="0" t="s">
        <v>7</v>
      </c>
    </row>
    <row r="32607" customFormat="false" ht="12.8" hidden="false" customHeight="false" outlineLevel="0" collapsed="false">
      <c r="B32607" s="0" t="s">
        <v>124</v>
      </c>
    </row>
    <row r="32609" customFormat="false" ht="12.8" hidden="false" customHeight="false" outlineLevel="0" collapsed="false">
      <c r="A32609" s="0" t="s">
        <v>12088</v>
      </c>
      <c r="B32609" s="0" t="str">
        <f aca="false">HYPERLINK("https://lindat.mff.cuni.cz/services/teitok/pdtc10/index.php?action=vallex&amp;frame=v-w4503f1", "propracovávat se (v-w4503f1)")</f>
        <v>propracovávat se (v-w4503f1)</v>
      </c>
    </row>
    <row r="32610" customFormat="false" ht="12.8" hidden="false" customHeight="false" outlineLevel="0" collapsed="false">
      <c r="B32610" s="0" t="s">
        <v>7</v>
      </c>
    </row>
    <row r="32611" customFormat="false" ht="12.8" hidden="false" customHeight="false" outlineLevel="0" collapsed="false">
      <c r="B32611" s="0" t="s">
        <v>124</v>
      </c>
    </row>
    <row r="32613" customFormat="false" ht="12.8" hidden="false" customHeight="false" outlineLevel="0" collapsed="false">
      <c r="A32613" s="0" t="s">
        <v>12089</v>
      </c>
      <c r="B32613" s="0" t="str">
        <f aca="false">HYPERLINK("https://lindat.mff.cuni.cz/services/teitok/pdtc10/index.php?action=vallex&amp;frame=v-w11972_ZUf1_ZU", "propršet (v-w11972_ZUf1_ZU)")</f>
        <v>propršet (v-w11972_ZUf1_ZU)</v>
      </c>
    </row>
    <row r="32614" customFormat="false" ht="12.8" hidden="false" customHeight="false" outlineLevel="0" collapsed="false">
      <c r="B32614" s="0" t="s">
        <v>7</v>
      </c>
    </row>
    <row r="32616" customFormat="false" ht="12.8" hidden="false" customHeight="false" outlineLevel="0" collapsed="false">
      <c r="A32616" s="0" t="s">
        <v>12090</v>
      </c>
      <c r="B32616" s="0" t="str">
        <f aca="false">HYPERLINK("https://lindat.mff.cuni.cz/services/teitok/pdtc10/index.php?action=vallex&amp;frame=v-whsa_2039hsa_2040", "propsat (v-whsa_2039hsa_2040)")</f>
        <v>propsat (v-whsa_2039hsa_2040)</v>
      </c>
    </row>
    <row r="32617" customFormat="false" ht="12.8" hidden="false" customHeight="false" outlineLevel="0" collapsed="false">
      <c r="B32617" s="0" t="s">
        <v>7</v>
      </c>
    </row>
    <row r="32618" customFormat="false" ht="12.8" hidden="false" customHeight="false" outlineLevel="0" collapsed="false">
      <c r="B32618" s="0" t="s">
        <v>14</v>
      </c>
    </row>
    <row r="32620" customFormat="false" ht="12.8" hidden="false" customHeight="false" outlineLevel="0" collapsed="false">
      <c r="A32620" s="0" t="s">
        <v>12091</v>
      </c>
      <c r="B32620" s="0" t="str">
        <f aca="false">HYPERLINK("https://lindat.mff.cuni.cz/services/teitok/pdtc10/index.php?action=vallex&amp;frame=v-whsa_980hsa_981", "propukat (v-whsa_980hsa_981)")</f>
        <v>propukat (v-whsa_980hsa_981)</v>
      </c>
    </row>
    <row r="32621" customFormat="false" ht="12.8" hidden="false" customHeight="false" outlineLevel="0" collapsed="false">
      <c r="B32621" s="0" t="s">
        <v>7</v>
      </c>
      <c r="C32621" s="0" t="s">
        <v>247</v>
      </c>
      <c r="D32621" s="0" t="s">
        <v>1899</v>
      </c>
      <c r="E32621" s="0" t="s">
        <v>1899</v>
      </c>
      <c r="F32621" s="0" t="s">
        <v>1899</v>
      </c>
    </row>
    <row r="32623" customFormat="false" ht="12.8" hidden="false" customHeight="false" outlineLevel="0" collapsed="false">
      <c r="A32623" s="0" t="s">
        <v>12092</v>
      </c>
      <c r="B32623" s="0" t="str">
        <f aca="false">HYPERLINK("https://lindat.mff.cuni.cz/services/teitok/pdtc10/index.php?action=vallex&amp;frame=v-w4506f1", "propuknout (v-w4506f1)")</f>
        <v>propuknout (v-w4506f1)</v>
      </c>
    </row>
    <row r="32624" customFormat="false" ht="12.8" hidden="false" customHeight="false" outlineLevel="0" collapsed="false">
      <c r="B32624" s="0" t="s">
        <v>7</v>
      </c>
      <c r="C32624" s="0" t="s">
        <v>12093</v>
      </c>
      <c r="D32624" s="0" t="s">
        <v>1716</v>
      </c>
      <c r="E32624" s="0" t="s">
        <v>1716</v>
      </c>
      <c r="F32624" s="0" t="s">
        <v>1716</v>
      </c>
    </row>
    <row r="32626" customFormat="false" ht="12.8" hidden="false" customHeight="false" outlineLevel="0" collapsed="false">
      <c r="A32626" s="0" t="s">
        <v>12094</v>
      </c>
      <c r="B32626" s="0" t="str">
        <f aca="false">HYPERLINK("https://lindat.mff.cuni.cz/services/teitok/pdtc10/index.php?action=vallex&amp;frame=v-w4506hsa_1773", "propuknout (v-w4506hsa_1773)")</f>
        <v>propuknout (v-w4506hsa_1773)</v>
      </c>
    </row>
    <row r="32627" customFormat="false" ht="12.8" hidden="false" customHeight="false" outlineLevel="0" collapsed="false">
      <c r="B32627" s="0" t="s">
        <v>7</v>
      </c>
    </row>
    <row r="32628" customFormat="false" ht="12.8" hidden="false" customHeight="false" outlineLevel="0" collapsed="false">
      <c r="B32628" s="0" t="s">
        <v>2275</v>
      </c>
    </row>
    <row r="32630" customFormat="false" ht="12.8" hidden="false" customHeight="false" outlineLevel="0" collapsed="false">
      <c r="A32630" s="0" t="s">
        <v>12095</v>
      </c>
      <c r="B32630" s="0" t="str">
        <f aca="false">HYPERLINK("https://lindat.mff.cuni.cz/services/teitok/pdtc10/index.php?action=vallex&amp;frame=v-w4508f1", "propustit (v-w4508f1)")</f>
        <v>propustit (v-w4508f1)</v>
      </c>
    </row>
    <row r="32631" customFormat="false" ht="12.8" hidden="false" customHeight="false" outlineLevel="0" collapsed="false">
      <c r="B32631" s="0" t="s">
        <v>7</v>
      </c>
      <c r="C32631" s="0" t="s">
        <v>12096</v>
      </c>
      <c r="D32631" s="0" t="s">
        <v>1567</v>
      </c>
      <c r="E32631" s="0" t="s">
        <v>1567</v>
      </c>
      <c r="F32631" s="0" t="s">
        <v>1567</v>
      </c>
    </row>
    <row r="32632" customFormat="false" ht="12.8" hidden="false" customHeight="false" outlineLevel="0" collapsed="false">
      <c r="B32632" s="0" t="s">
        <v>14</v>
      </c>
      <c r="C32632" s="0" t="s">
        <v>12097</v>
      </c>
      <c r="D32632" s="0" t="s">
        <v>1568</v>
      </c>
      <c r="E32632" s="0" t="s">
        <v>1568</v>
      </c>
      <c r="F32632" s="0" t="s">
        <v>1568</v>
      </c>
    </row>
    <row r="32633" customFormat="false" ht="12.8" hidden="false" customHeight="false" outlineLevel="0" collapsed="false">
      <c r="B32633" s="0" t="s">
        <v>459</v>
      </c>
      <c r="C32633" s="0" t="s">
        <v>8519</v>
      </c>
      <c r="D32633" s="0" t="s">
        <v>1569</v>
      </c>
      <c r="E32633" s="0" t="s">
        <v>1569</v>
      </c>
      <c r="F32633" s="0" t="s">
        <v>1569</v>
      </c>
    </row>
    <row r="32635" customFormat="false" ht="12.8" hidden="false" customHeight="false" outlineLevel="0" collapsed="false">
      <c r="A32635" s="0" t="s">
        <v>12098</v>
      </c>
      <c r="B32635" s="0" t="str">
        <f aca="false">HYPERLINK("https://lindat.mff.cuni.cz/services/teitok/pdtc10/index.php?action=vallex&amp;frame=v-w4508f2", "propustit (v-w4508f2)")</f>
        <v>propustit (v-w4508f2)</v>
      </c>
    </row>
    <row r="32636" customFormat="false" ht="12.8" hidden="false" customHeight="false" outlineLevel="0" collapsed="false">
      <c r="B32636" s="0" t="s">
        <v>7</v>
      </c>
    </row>
    <row r="32637" customFormat="false" ht="12.8" hidden="false" customHeight="false" outlineLevel="0" collapsed="false">
      <c r="B32637" s="0" t="s">
        <v>14</v>
      </c>
    </row>
    <row r="32639" customFormat="false" ht="12.8" hidden="false" customHeight="false" outlineLevel="0" collapsed="false">
      <c r="A32639" s="0" t="s">
        <v>12099</v>
      </c>
      <c r="B32639" s="0" t="str">
        <f aca="false">HYPERLINK("https://lindat.mff.cuni.cz/services/teitok/pdtc10/index.php?action=vallex&amp;frame=v-w4476f1", "propálit (v-w4476f1)")</f>
        <v>propálit (v-w4476f1)</v>
      </c>
    </row>
    <row r="32640" customFormat="false" ht="12.8" hidden="false" customHeight="false" outlineLevel="0" collapsed="false">
      <c r="B32640" s="0" t="s">
        <v>7</v>
      </c>
    </row>
    <row r="32641" customFormat="false" ht="12.8" hidden="false" customHeight="false" outlineLevel="0" collapsed="false">
      <c r="B32641" s="0" t="s">
        <v>14</v>
      </c>
    </row>
    <row r="32643" customFormat="false" ht="12.8" hidden="false" customHeight="false" outlineLevel="0" collapsed="false">
      <c r="A32643" s="0" t="s">
        <v>12100</v>
      </c>
      <c r="B32643" s="0" t="str">
        <f aca="false">HYPERLINK("https://lindat.mff.cuni.cz/services/teitok/pdtc10/index.php?action=vallex&amp;frame=v-w4477f1", "propálit se (v-w4477f1)")</f>
        <v>propálit se (v-w4477f1)</v>
      </c>
    </row>
    <row r="32644" customFormat="false" ht="12.8" hidden="false" customHeight="false" outlineLevel="0" collapsed="false">
      <c r="B32644" s="0" t="s">
        <v>7</v>
      </c>
    </row>
    <row r="32646" customFormat="false" ht="12.8" hidden="false" customHeight="false" outlineLevel="0" collapsed="false">
      <c r="A32646" s="0" t="s">
        <v>12101</v>
      </c>
      <c r="B32646" s="0" t="str">
        <f aca="false">HYPERLINK("https://lindat.mff.cuni.cz/services/teitok/pdtc10/index.php?action=vallex&amp;frame=v-w4477f2", "propálit se (v-w4477f2)")</f>
        <v>propálit se (v-w4477f2)</v>
      </c>
    </row>
    <row r="32647" customFormat="false" ht="12.8" hidden="false" customHeight="false" outlineLevel="0" collapsed="false">
      <c r="B32647" s="0" t="s">
        <v>7</v>
      </c>
    </row>
    <row r="32649" customFormat="false" ht="12.8" hidden="false" customHeight="false" outlineLevel="0" collapsed="false">
      <c r="A32649" s="0" t="s">
        <v>12102</v>
      </c>
      <c r="B32649" s="0" t="str">
        <f aca="false">HYPERLINK("https://lindat.mff.cuni.cz/services/teitok/pdtc10/index.php?action=vallex&amp;frame=v-w4478f1", "propásnout (v-w4478f1)")</f>
        <v>propásnout (v-w4478f1)</v>
      </c>
    </row>
    <row r="32650" customFormat="false" ht="12.8" hidden="false" customHeight="false" outlineLevel="0" collapsed="false">
      <c r="B32650" s="0" t="s">
        <v>7</v>
      </c>
      <c r="D32650" s="0" t="s">
        <v>11921</v>
      </c>
      <c r="E32650" s="0" t="s">
        <v>11921</v>
      </c>
      <c r="F32650" s="0" t="s">
        <v>11921</v>
      </c>
    </row>
    <row r="32651" customFormat="false" ht="12.8" hidden="false" customHeight="false" outlineLevel="0" collapsed="false">
      <c r="B32651" s="0" t="s">
        <v>14</v>
      </c>
      <c r="D32651" s="0" t="s">
        <v>11922</v>
      </c>
      <c r="E32651" s="0" t="s">
        <v>11922</v>
      </c>
      <c r="F32651" s="0" t="s">
        <v>11922</v>
      </c>
    </row>
    <row r="32653" customFormat="false" ht="12.8" hidden="false" customHeight="false" outlineLevel="0" collapsed="false">
      <c r="A32653" s="0" t="s">
        <v>12103</v>
      </c>
      <c r="B32653" s="0" t="str">
        <f aca="false">HYPERLINK("https://lindat.mff.cuni.cz/services/teitok/pdtc10/index.php?action=vallex&amp;frame=v-w10108f2", "propást (v-w10108f2)")</f>
        <v>propást (v-w10108f2)</v>
      </c>
    </row>
    <row r="32654" customFormat="false" ht="12.8" hidden="false" customHeight="false" outlineLevel="0" collapsed="false">
      <c r="B32654" s="0" t="s">
        <v>7</v>
      </c>
      <c r="D32654" s="0" t="s">
        <v>11921</v>
      </c>
      <c r="E32654" s="0" t="s">
        <v>11921</v>
      </c>
      <c r="F32654" s="0" t="s">
        <v>11921</v>
      </c>
    </row>
    <row r="32655" customFormat="false" ht="12.8" hidden="false" customHeight="false" outlineLevel="0" collapsed="false">
      <c r="B32655" s="0" t="s">
        <v>14</v>
      </c>
      <c r="D32655" s="0" t="s">
        <v>11922</v>
      </c>
      <c r="E32655" s="0" t="s">
        <v>11922</v>
      </c>
      <c r="F32655" s="0" t="s">
        <v>11922</v>
      </c>
    </row>
    <row r="32657" customFormat="false" ht="12.8" hidden="false" customHeight="false" outlineLevel="0" collapsed="false">
      <c r="A32657" s="0" t="s">
        <v>12104</v>
      </c>
      <c r="B32657" s="0" t="str">
        <f aca="false">HYPERLINK("https://lindat.mff.cuni.cz/services/teitok/pdtc10/index.php?action=vallex&amp;frame=v-w4480f1", "propíchat (v-w4480f1)")</f>
        <v>propíchat (v-w4480f1)</v>
      </c>
    </row>
    <row r="32658" customFormat="false" ht="12.8" hidden="false" customHeight="false" outlineLevel="0" collapsed="false">
      <c r="B32658" s="0" t="s">
        <v>7</v>
      </c>
    </row>
    <row r="32659" customFormat="false" ht="12.8" hidden="false" customHeight="false" outlineLevel="0" collapsed="false">
      <c r="B32659" s="0" t="s">
        <v>14</v>
      </c>
    </row>
    <row r="32661" customFormat="false" ht="12.8" hidden="false" customHeight="false" outlineLevel="0" collapsed="false">
      <c r="A32661" s="0" t="s">
        <v>12105</v>
      </c>
      <c r="B32661" s="0" t="str">
        <f aca="false">HYPERLINK("https://lindat.mff.cuni.cz/services/teitok/pdtc10/index.php?action=vallex&amp;frame=v-w4481f1", "propíchnout (v-w4481f1)")</f>
        <v>propíchnout (v-w4481f1)</v>
      </c>
    </row>
    <row r="32662" customFormat="false" ht="12.8" hidden="false" customHeight="false" outlineLevel="0" collapsed="false">
      <c r="B32662" s="0" t="s">
        <v>7</v>
      </c>
      <c r="C32662" s="0" t="s">
        <v>191</v>
      </c>
      <c r="D32662" s="0" t="s">
        <v>191</v>
      </c>
      <c r="E32662" s="0" t="s">
        <v>191</v>
      </c>
      <c r="F32662" s="0" t="s">
        <v>191</v>
      </c>
    </row>
    <row r="32663" customFormat="false" ht="12.8" hidden="false" customHeight="false" outlineLevel="0" collapsed="false">
      <c r="B32663" s="0" t="s">
        <v>14</v>
      </c>
      <c r="C32663" s="0" t="s">
        <v>155</v>
      </c>
      <c r="D32663" s="0" t="s">
        <v>155</v>
      </c>
      <c r="E32663" s="0" t="s">
        <v>155</v>
      </c>
      <c r="F32663" s="0" t="s">
        <v>155</v>
      </c>
    </row>
    <row r="32665" customFormat="false" ht="12.8" hidden="false" customHeight="false" outlineLevel="0" collapsed="false">
      <c r="A32665" s="0" t="s">
        <v>12106</v>
      </c>
      <c r="B32665" s="0" t="str">
        <f aca="false">HYPERLINK("https://lindat.mff.cuni.cz/services/teitok/pdtc10/index.php?action=vallex&amp;frame=v-w10625f2", "propírat (v-w10625f2)")</f>
        <v>propírat (v-w10625f2)</v>
      </c>
    </row>
    <row r="32666" customFormat="false" ht="12.8" hidden="false" customHeight="false" outlineLevel="0" collapsed="false">
      <c r="B32666" s="0" t="s">
        <v>7</v>
      </c>
    </row>
    <row r="32667" customFormat="false" ht="12.8" hidden="false" customHeight="false" outlineLevel="0" collapsed="false">
      <c r="B32667" s="0" t="s">
        <v>172</v>
      </c>
    </row>
    <row r="32669" customFormat="false" ht="12.8" hidden="false" customHeight="false" outlineLevel="0" collapsed="false">
      <c r="A32669" s="0" t="s">
        <v>12107</v>
      </c>
      <c r="B32669" s="0" t="str">
        <f aca="false">HYPERLINK("https://lindat.mff.cuni.cz/services/teitok/pdtc10/index.php?action=vallex&amp;frame=v-w4482f1", "propít (v-w4482f1)")</f>
        <v>propít (v-w4482f1)</v>
      </c>
    </row>
    <row r="32670" customFormat="false" ht="12.8" hidden="false" customHeight="false" outlineLevel="0" collapsed="false">
      <c r="B32670" s="0" t="s">
        <v>7</v>
      </c>
    </row>
    <row r="32671" customFormat="false" ht="12.8" hidden="false" customHeight="false" outlineLevel="0" collapsed="false">
      <c r="B32671" s="0" t="s">
        <v>14</v>
      </c>
    </row>
    <row r="32673" customFormat="false" ht="12.8" hidden="false" customHeight="false" outlineLevel="0" collapsed="false">
      <c r="A32673" s="0" t="s">
        <v>12108</v>
      </c>
      <c r="B32673" s="0" t="str">
        <f aca="false">HYPERLINK("https://lindat.mff.cuni.cz/services/teitok/pdtc10/index.php?action=vallex&amp;frame=v-w4505f1", "propůjčit (v-w4505f1)")</f>
        <v>propůjčit (v-w4505f1)</v>
      </c>
    </row>
    <row r="32674" customFormat="false" ht="12.8" hidden="false" customHeight="false" outlineLevel="0" collapsed="false">
      <c r="B32674" s="0" t="s">
        <v>7</v>
      </c>
      <c r="C32674" s="0" t="s">
        <v>1142</v>
      </c>
      <c r="D32674" s="0" t="s">
        <v>1484</v>
      </c>
      <c r="E32674" s="0" t="s">
        <v>12109</v>
      </c>
      <c r="F32674" s="0" t="s">
        <v>12109</v>
      </c>
    </row>
    <row r="32675" customFormat="false" ht="12.8" hidden="false" customHeight="false" outlineLevel="0" collapsed="false">
      <c r="B32675" s="0" t="s">
        <v>14</v>
      </c>
      <c r="C32675" s="0" t="s">
        <v>7966</v>
      </c>
      <c r="D32675" s="0" t="s">
        <v>1485</v>
      </c>
      <c r="E32675" s="0" t="s">
        <v>12110</v>
      </c>
      <c r="F32675" s="0" t="s">
        <v>12110</v>
      </c>
    </row>
    <row r="32676" customFormat="false" ht="12.8" hidden="false" customHeight="false" outlineLevel="0" collapsed="false">
      <c r="B32676" s="0" t="s">
        <v>48</v>
      </c>
      <c r="C32676" s="0" t="s">
        <v>12111</v>
      </c>
      <c r="D32676" s="0" t="s">
        <v>1487</v>
      </c>
      <c r="E32676" s="0" t="s">
        <v>12112</v>
      </c>
      <c r="F32676" s="0" t="s">
        <v>12112</v>
      </c>
    </row>
    <row r="32678" customFormat="false" ht="12.8" hidden="false" customHeight="false" outlineLevel="0" collapsed="false">
      <c r="A32678" s="0" t="s">
        <v>12113</v>
      </c>
      <c r="B32678" s="0" t="str">
        <f aca="false">HYPERLINK("https://lindat.mff.cuni.cz/services/teitok/pdtc10/index.php?action=vallex&amp;frame=v-w10735f2", "propůjčovat (v-w10735f2)")</f>
        <v>propůjčovat (v-w10735f2)</v>
      </c>
    </row>
    <row r="32679" customFormat="false" ht="12.8" hidden="false" customHeight="false" outlineLevel="0" collapsed="false">
      <c r="B32679" s="0" t="s">
        <v>7</v>
      </c>
      <c r="C32679" s="0" t="s">
        <v>3410</v>
      </c>
      <c r="D32679" s="0" t="s">
        <v>12114</v>
      </c>
      <c r="E32679" s="0" t="s">
        <v>12115</v>
      </c>
      <c r="F32679" s="0" t="s">
        <v>12115</v>
      </c>
    </row>
    <row r="32680" customFormat="false" ht="12.8" hidden="false" customHeight="false" outlineLevel="0" collapsed="false">
      <c r="B32680" s="0" t="s">
        <v>14</v>
      </c>
      <c r="C32680" s="0" t="s">
        <v>12116</v>
      </c>
      <c r="D32680" s="0" t="s">
        <v>12117</v>
      </c>
      <c r="E32680" s="0" t="s">
        <v>12118</v>
      </c>
      <c r="F32680" s="0" t="s">
        <v>12118</v>
      </c>
    </row>
    <row r="32681" customFormat="false" ht="12.8" hidden="false" customHeight="false" outlineLevel="0" collapsed="false">
      <c r="B32681" s="0" t="s">
        <v>48</v>
      </c>
      <c r="C32681" s="0" t="s">
        <v>12119</v>
      </c>
      <c r="D32681" s="0" t="s">
        <v>12120</v>
      </c>
      <c r="E32681" s="0" t="s">
        <v>12121</v>
      </c>
      <c r="F32681" s="0" t="s">
        <v>12121</v>
      </c>
    </row>
    <row r="32683" customFormat="false" ht="12.8" hidden="false" customHeight="false" outlineLevel="0" collapsed="false">
      <c r="A32683" s="0" t="s">
        <v>12122</v>
      </c>
      <c r="B32683" s="0" t="str">
        <f aca="false">HYPERLINK("https://lindat.mff.cuni.cz/services/teitok/pdtc10/index.php?action=vallex&amp;frame=v-w4510f1", "prorazit (v-w4510f1)")</f>
        <v>prorazit (v-w4510f1)</v>
      </c>
    </row>
    <row r="32684" customFormat="false" ht="12.8" hidden="false" customHeight="false" outlineLevel="0" collapsed="false">
      <c r="B32684" s="0" t="s">
        <v>7</v>
      </c>
      <c r="C32684" s="0" t="s">
        <v>157</v>
      </c>
    </row>
    <row r="32685" customFormat="false" ht="12.8" hidden="false" customHeight="false" outlineLevel="0" collapsed="false">
      <c r="B32685" s="0" t="s">
        <v>14</v>
      </c>
      <c r="C32685" s="0" t="s">
        <v>152</v>
      </c>
    </row>
    <row r="32687" customFormat="false" ht="12.8" hidden="false" customHeight="false" outlineLevel="0" collapsed="false">
      <c r="A32687" s="0" t="s">
        <v>12123</v>
      </c>
      <c r="B32687" s="0" t="str">
        <f aca="false">HYPERLINK("https://lindat.mff.cuni.cz/services/teitok/pdtc10/index.php?action=vallex&amp;frame=v-w4510f4", "prorazit (v-w4510f4)")</f>
        <v>prorazit (v-w4510f4)</v>
      </c>
    </row>
    <row r="32688" customFormat="false" ht="12.8" hidden="false" customHeight="false" outlineLevel="0" collapsed="false">
      <c r="B32688" s="0" t="s">
        <v>7</v>
      </c>
    </row>
    <row r="32689" customFormat="false" ht="12.8" hidden="false" customHeight="false" outlineLevel="0" collapsed="false">
      <c r="B32689" s="0" t="s">
        <v>14</v>
      </c>
    </row>
    <row r="32691" customFormat="false" ht="12.8" hidden="false" customHeight="false" outlineLevel="0" collapsed="false">
      <c r="A32691" s="0" t="s">
        <v>12124</v>
      </c>
      <c r="B32691" s="0" t="str">
        <f aca="false">HYPERLINK("https://lindat.mff.cuni.cz/services/teitok/pdtc10/index.php?action=vallex&amp;frame=v-w4510f2", "prorazit (v-w4510f2)")</f>
        <v>prorazit (v-w4510f2)</v>
      </c>
    </row>
    <row r="32692" customFormat="false" ht="12.8" hidden="false" customHeight="false" outlineLevel="0" collapsed="false">
      <c r="B32692" s="0" t="s">
        <v>7</v>
      </c>
      <c r="C32692" s="0" t="s">
        <v>12125</v>
      </c>
      <c r="D32692" s="0" t="s">
        <v>335</v>
      </c>
      <c r="E32692" s="0" t="s">
        <v>335</v>
      </c>
      <c r="F32692" s="0" t="s">
        <v>335</v>
      </c>
    </row>
    <row r="32693" customFormat="false" ht="12.8" hidden="false" customHeight="false" outlineLevel="0" collapsed="false">
      <c r="B32693" s="0" t="s">
        <v>3760</v>
      </c>
      <c r="C32693" s="0" t="s">
        <v>1170</v>
      </c>
      <c r="D32693" s="0" t="s">
        <v>1170</v>
      </c>
      <c r="E32693" s="0" t="s">
        <v>1170</v>
      </c>
      <c r="F32693" s="0" t="s">
        <v>1170</v>
      </c>
    </row>
    <row r="32695" customFormat="false" ht="12.8" hidden="false" customHeight="false" outlineLevel="0" collapsed="false">
      <c r="A32695" s="0" t="s">
        <v>12126</v>
      </c>
      <c r="B32695" s="0" t="str">
        <f aca="false">HYPERLINK("https://lindat.mff.cuni.cz/services/teitok/pdtc10/index.php?action=vallex&amp;frame=v-w4510f3", "prorazit (v-w4510f3)")</f>
        <v>prorazit (v-w4510f3)</v>
      </c>
    </row>
    <row r="32696" customFormat="false" ht="12.8" hidden="false" customHeight="false" outlineLevel="0" collapsed="false">
      <c r="B32696" s="0" t="s">
        <v>7</v>
      </c>
    </row>
    <row r="32697" customFormat="false" ht="12.8" hidden="false" customHeight="false" outlineLevel="0" collapsed="false">
      <c r="B32697" s="0" t="s">
        <v>259</v>
      </c>
    </row>
    <row r="32699" customFormat="false" ht="12.8" hidden="false" customHeight="false" outlineLevel="0" collapsed="false">
      <c r="A32699" s="0" t="s">
        <v>12127</v>
      </c>
      <c r="B32699" s="0" t="str">
        <f aca="false">HYPERLINK("https://lindat.mff.cuni.cz/services/teitok/pdtc10/index.php?action=vallex&amp;frame=v-w4510f5", "prorazit (v-w4510f5)")</f>
        <v>prorazit (v-w4510f5)</v>
      </c>
    </row>
    <row r="32700" customFormat="false" ht="12.8" hidden="false" customHeight="false" outlineLevel="0" collapsed="false">
      <c r="B32700" s="0" t="s">
        <v>7</v>
      </c>
    </row>
    <row r="32701" customFormat="false" ht="12.8" hidden="false" customHeight="false" outlineLevel="0" collapsed="false">
      <c r="B32701" s="0" t="s">
        <v>124</v>
      </c>
    </row>
    <row r="32703" customFormat="false" ht="12.8" hidden="false" customHeight="false" outlineLevel="0" collapsed="false">
      <c r="A32703" s="0" t="s">
        <v>12128</v>
      </c>
      <c r="B32703" s="0" t="str">
        <f aca="false">HYPERLINK("https://lindat.mff.cuni.cz/services/teitok/pdtc10/index.php?action=vallex&amp;frame=v-w4514f1", "prorezavět (v-w4514f1)")</f>
        <v>prorezavět (v-w4514f1)</v>
      </c>
    </row>
    <row r="32704" customFormat="false" ht="12.8" hidden="false" customHeight="false" outlineLevel="0" collapsed="false">
      <c r="B32704" s="0" t="s">
        <v>7</v>
      </c>
    </row>
    <row r="32706" customFormat="false" ht="12.8" hidden="false" customHeight="false" outlineLevel="0" collapsed="false">
      <c r="A32706" s="0" t="s">
        <v>12129</v>
      </c>
      <c r="B32706" s="0" t="str">
        <f aca="false">HYPERLINK("https://lindat.mff.cuni.cz/services/teitok/pdtc10/index.php?action=vallex&amp;frame=v-w10555f2", "prorokovat (v-w10555f2)")</f>
        <v>prorokovat (v-w10555f2)</v>
      </c>
    </row>
    <row r="32707" customFormat="false" ht="12.8" hidden="false" customHeight="false" outlineLevel="0" collapsed="false">
      <c r="B32707" s="0" t="s">
        <v>7</v>
      </c>
      <c r="C32707" s="0" t="s">
        <v>9604</v>
      </c>
      <c r="D32707" s="0" t="s">
        <v>2266</v>
      </c>
      <c r="E32707" s="0" t="s">
        <v>2266</v>
      </c>
      <c r="F32707" s="0" t="s">
        <v>2266</v>
      </c>
    </row>
    <row r="32708" customFormat="false" ht="12.8" hidden="false" customHeight="false" outlineLevel="0" collapsed="false">
      <c r="B32708" s="0" t="s">
        <v>2573</v>
      </c>
      <c r="C32708" s="0" t="s">
        <v>1720</v>
      </c>
      <c r="D32708" s="0" t="s">
        <v>4118</v>
      </c>
      <c r="E32708" s="0" t="s">
        <v>4118</v>
      </c>
      <c r="F32708" s="0" t="s">
        <v>4118</v>
      </c>
    </row>
    <row r="32710" customFormat="false" ht="12.8" hidden="false" customHeight="false" outlineLevel="0" collapsed="false">
      <c r="A32710" s="0" t="s">
        <v>12130</v>
      </c>
      <c r="B32710" s="0" t="str">
        <f aca="false">HYPERLINK("https://lindat.mff.cuni.cz/services/teitok/pdtc10/index.php?action=vallex&amp;frame=v-w4512f1", "prorážet (v-w4512f1)")</f>
        <v>prorážet (v-w4512f1)</v>
      </c>
    </row>
    <row r="32711" customFormat="false" ht="12.8" hidden="false" customHeight="false" outlineLevel="0" collapsed="false">
      <c r="B32711" s="0" t="s">
        <v>7</v>
      </c>
    </row>
    <row r="32712" customFormat="false" ht="12.8" hidden="false" customHeight="false" outlineLevel="0" collapsed="false">
      <c r="B32712" s="0" t="s">
        <v>14</v>
      </c>
    </row>
    <row r="32714" customFormat="false" ht="12.8" hidden="false" customHeight="false" outlineLevel="0" collapsed="false">
      <c r="A32714" s="0" t="s">
        <v>12131</v>
      </c>
      <c r="B32714" s="0" t="str">
        <f aca="false">HYPERLINK("https://lindat.mff.cuni.cz/services/teitok/pdtc10/index.php?action=vallex&amp;frame=v-w4512f2", "prorážet (v-w4512f2)")</f>
        <v>prorážet (v-w4512f2)</v>
      </c>
    </row>
    <row r="32715" customFormat="false" ht="12.8" hidden="false" customHeight="false" outlineLevel="0" collapsed="false">
      <c r="B32715" s="0" t="s">
        <v>7</v>
      </c>
    </row>
    <row r="32717" customFormat="false" ht="12.8" hidden="false" customHeight="false" outlineLevel="0" collapsed="false">
      <c r="A32717" s="0" t="s">
        <v>12132</v>
      </c>
      <c r="B32717" s="0" t="str">
        <f aca="false">HYPERLINK("https://lindat.mff.cuni.cz/services/teitok/pdtc10/index.php?action=vallex&amp;frame=v-w4517f2", "prorůstat (v-w4517f2)")</f>
        <v>prorůstat (v-w4517f2)</v>
      </c>
    </row>
    <row r="32718" customFormat="false" ht="12.8" hidden="false" customHeight="false" outlineLevel="0" collapsed="false">
      <c r="B32718" s="0" t="s">
        <v>7</v>
      </c>
    </row>
    <row r="32719" customFormat="false" ht="12.8" hidden="false" customHeight="false" outlineLevel="0" collapsed="false">
      <c r="B32719" s="0" t="s">
        <v>14</v>
      </c>
    </row>
    <row r="32721" customFormat="false" ht="12.8" hidden="false" customHeight="false" outlineLevel="0" collapsed="false">
      <c r="A32721" s="0" t="s">
        <v>12133</v>
      </c>
      <c r="B32721" s="0" t="str">
        <f aca="false">HYPERLINK("https://lindat.mff.cuni.cz/services/teitok/pdtc10/index.php?action=vallex&amp;frame=v-w4517f1", "prorůstat (v-w4517f1)")</f>
        <v>prorůstat (v-w4517f1)</v>
      </c>
    </row>
    <row r="32722" customFormat="false" ht="12.8" hidden="false" customHeight="false" outlineLevel="0" collapsed="false">
      <c r="B32722" s="0" t="s">
        <v>7</v>
      </c>
    </row>
    <row r="32723" customFormat="false" ht="12.8" hidden="false" customHeight="false" outlineLevel="0" collapsed="false">
      <c r="B32723" s="0" t="s">
        <v>124</v>
      </c>
    </row>
    <row r="32725" customFormat="false" ht="12.8" hidden="false" customHeight="false" outlineLevel="0" collapsed="false">
      <c r="A32725" s="0" t="s">
        <v>12134</v>
      </c>
      <c r="B32725" s="0" t="str">
        <f aca="false">HYPERLINK("https://lindat.mff.cuni.cz/services/teitok/pdtc10/index.php?action=vallex&amp;frame=v-w4517f3_ZU", "prorůstat (v-w4517f3_ZU)")</f>
        <v>prorůstat (v-w4517f3_ZU)</v>
      </c>
    </row>
    <row r="32726" customFormat="false" ht="12.8" hidden="false" customHeight="false" outlineLevel="0" collapsed="false">
      <c r="B32726" s="0" t="s">
        <v>7</v>
      </c>
    </row>
    <row r="32727" customFormat="false" ht="12.8" hidden="false" customHeight="false" outlineLevel="0" collapsed="false">
      <c r="B32727" s="0" t="s">
        <v>4324</v>
      </c>
    </row>
    <row r="32729" customFormat="false" ht="12.8" hidden="false" customHeight="false" outlineLevel="0" collapsed="false">
      <c r="A32729" s="0" t="s">
        <v>12135</v>
      </c>
      <c r="B32729" s="0" t="str">
        <f aca="false">HYPERLINK("https://lindat.mff.cuni.cz/services/teitok/pdtc10/index.php?action=vallex&amp;frame=v-w4519f2", "prosadit (v-w4519f2)")</f>
        <v>prosadit (v-w4519f2)</v>
      </c>
    </row>
    <row r="32730" customFormat="false" ht="12.8" hidden="false" customHeight="false" outlineLevel="0" collapsed="false">
      <c r="B32730" s="0" t="s">
        <v>7</v>
      </c>
      <c r="C32730" s="0" t="s">
        <v>623</v>
      </c>
    </row>
    <row r="32731" customFormat="false" ht="12.8" hidden="false" customHeight="false" outlineLevel="0" collapsed="false">
      <c r="B32731" s="0" t="s">
        <v>14</v>
      </c>
      <c r="C32731" s="0" t="s">
        <v>624</v>
      </c>
    </row>
    <row r="32732" customFormat="false" ht="12.8" hidden="false" customHeight="false" outlineLevel="0" collapsed="false">
      <c r="B32732" s="0" t="s">
        <v>124</v>
      </c>
    </row>
    <row r="32734" customFormat="false" ht="12.8" hidden="false" customHeight="false" outlineLevel="0" collapsed="false">
      <c r="A32734" s="0" t="s">
        <v>12136</v>
      </c>
      <c r="B32734" s="0" t="str">
        <f aca="false">HYPERLINK("https://lindat.mff.cuni.cz/services/teitok/pdtc10/index.php?action=vallex&amp;frame=v-w4519f1", "prosadit (v-w4519f1)")</f>
        <v>prosadit (v-w4519f1)</v>
      </c>
    </row>
    <row r="32735" customFormat="false" ht="12.8" hidden="false" customHeight="false" outlineLevel="0" collapsed="false">
      <c r="B32735" s="0" t="s">
        <v>7</v>
      </c>
      <c r="C32735" s="0" t="s">
        <v>12137</v>
      </c>
      <c r="D32735" s="0" t="s">
        <v>10073</v>
      </c>
      <c r="E32735" s="0" t="s">
        <v>10073</v>
      </c>
      <c r="F32735" s="0" t="s">
        <v>10073</v>
      </c>
    </row>
    <row r="32736" customFormat="false" ht="12.8" hidden="false" customHeight="false" outlineLevel="0" collapsed="false">
      <c r="B32736" s="0" t="s">
        <v>165</v>
      </c>
      <c r="C32736" s="0" t="s">
        <v>12138</v>
      </c>
      <c r="D32736" s="0" t="s">
        <v>10074</v>
      </c>
      <c r="E32736" s="0" t="s">
        <v>10074</v>
      </c>
      <c r="F32736" s="0" t="s">
        <v>10074</v>
      </c>
    </row>
    <row r="32738" customFormat="false" ht="12.8" hidden="false" customHeight="false" outlineLevel="0" collapsed="false">
      <c r="A32738" s="0" t="s">
        <v>12139</v>
      </c>
      <c r="B32738" s="0" t="str">
        <f aca="false">HYPERLINK("https://lindat.mff.cuni.cz/services/teitok/pdtc10/index.php?action=vallex&amp;frame=v-w4519f3", "prosadit (v-w4519f3)")</f>
        <v>prosadit (v-w4519f3)</v>
      </c>
    </row>
    <row r="32739" customFormat="false" ht="12.8" hidden="false" customHeight="false" outlineLevel="0" collapsed="false">
      <c r="B32739" s="0" t="s">
        <v>7</v>
      </c>
      <c r="C32739" s="0" t="s">
        <v>12140</v>
      </c>
      <c r="D32739" s="0" t="s">
        <v>12141</v>
      </c>
      <c r="E32739" s="0" t="s">
        <v>12141</v>
      </c>
      <c r="F32739" s="0" t="s">
        <v>12141</v>
      </c>
    </row>
    <row r="32740" customFormat="false" ht="12.8" hidden="false" customHeight="false" outlineLevel="0" collapsed="false">
      <c r="B32740" s="0" t="s">
        <v>12142</v>
      </c>
      <c r="C32740" s="0" t="s">
        <v>5987</v>
      </c>
      <c r="D32740" s="0" t="s">
        <v>12143</v>
      </c>
      <c r="E32740" s="0" t="s">
        <v>12143</v>
      </c>
      <c r="F32740" s="0" t="s">
        <v>12143</v>
      </c>
    </row>
    <row r="32742" customFormat="false" ht="12.8" hidden="false" customHeight="false" outlineLevel="0" collapsed="false">
      <c r="A32742" s="0" t="s">
        <v>12144</v>
      </c>
      <c r="B32742" s="0" t="str">
        <f aca="false">HYPERLINK("https://lindat.mff.cuni.cz/services/teitok/pdtc10/index.php?action=vallex&amp;frame=v-w4520f1", "prosadit se (v-w4520f1)")</f>
        <v>prosadit se (v-w4520f1)</v>
      </c>
    </row>
    <row r="32743" customFormat="false" ht="12.8" hidden="false" customHeight="false" outlineLevel="0" collapsed="false">
      <c r="B32743" s="0" t="s">
        <v>7</v>
      </c>
      <c r="C32743" s="0" t="s">
        <v>3918</v>
      </c>
      <c r="D32743" s="0" t="s">
        <v>7092</v>
      </c>
      <c r="E32743" s="0" t="s">
        <v>7092</v>
      </c>
      <c r="F32743" s="0" t="s">
        <v>7092</v>
      </c>
    </row>
    <row r="32745" customFormat="false" ht="12.8" hidden="false" customHeight="false" outlineLevel="0" collapsed="false">
      <c r="A32745" s="0" t="s">
        <v>12145</v>
      </c>
      <c r="B32745" s="0" t="str">
        <f aca="false">HYPERLINK("https://lindat.mff.cuni.cz/services/teitok/pdtc10/index.php?action=vallex&amp;frame=v-w10892f3", "prosakovat (v-w10892f3)")</f>
        <v>prosakovat (v-w10892f3)</v>
      </c>
    </row>
    <row r="32746" customFormat="false" ht="12.8" hidden="false" customHeight="false" outlineLevel="0" collapsed="false">
      <c r="B32746" s="0" t="s">
        <v>7</v>
      </c>
      <c r="C32746" s="0" t="s">
        <v>396</v>
      </c>
    </row>
    <row r="32747" customFormat="false" ht="12.8" hidden="false" customHeight="false" outlineLevel="0" collapsed="false">
      <c r="B32747" s="0" t="s">
        <v>11</v>
      </c>
    </row>
    <row r="32749" customFormat="false" ht="12.8" hidden="false" customHeight="false" outlineLevel="0" collapsed="false">
      <c r="A32749" s="0" t="s">
        <v>12146</v>
      </c>
      <c r="B32749" s="0" t="str">
        <f aca="false">HYPERLINK("https://lindat.mff.cuni.cz/services/teitok/pdtc10/index.php?action=vallex&amp;frame=v-w10892f4_MM", "prosakovat (v-w10892f4_MM)")</f>
        <v>prosakovat (v-w10892f4_MM)</v>
      </c>
    </row>
    <row r="32750" customFormat="false" ht="12.8" hidden="false" customHeight="false" outlineLevel="0" collapsed="false">
      <c r="B32750" s="0" t="s">
        <v>7</v>
      </c>
    </row>
    <row r="32752" customFormat="false" ht="12.8" hidden="false" customHeight="false" outlineLevel="0" collapsed="false">
      <c r="A32752" s="0" t="s">
        <v>12147</v>
      </c>
      <c r="B32752" s="0" t="str">
        <f aca="false">HYPERLINK("https://lindat.mff.cuni.cz/services/teitok/pdtc10/index.php?action=vallex&amp;frame=v-w10892hsa_1234", "prosakovat (v-w10892hsa_1234)")</f>
        <v>prosakovat (v-w10892hsa_1234)</v>
      </c>
    </row>
    <row r="32753" customFormat="false" ht="12.8" hidden="false" customHeight="false" outlineLevel="0" collapsed="false">
      <c r="B32753" s="0" t="s">
        <v>7</v>
      </c>
    </row>
    <row r="32754" customFormat="false" ht="12.8" hidden="false" customHeight="false" outlineLevel="0" collapsed="false">
      <c r="B32754" s="0" t="s">
        <v>124</v>
      </c>
    </row>
    <row r="32756" customFormat="false" ht="12.8" hidden="false" customHeight="false" outlineLevel="0" collapsed="false">
      <c r="A32756" s="0" t="s">
        <v>12148</v>
      </c>
      <c r="B32756" s="0" t="str">
        <f aca="false">HYPERLINK("https://lindat.mff.cuni.cz/services/teitok/pdtc10/index.php?action=vallex&amp;frame=v-w4527f1", "prosazovat (v-w4527f1)")</f>
        <v>prosazovat (v-w4527f1)</v>
      </c>
    </row>
    <row r="32757" customFormat="false" ht="12.8" hidden="false" customHeight="false" outlineLevel="0" collapsed="false">
      <c r="B32757" s="0" t="s">
        <v>7</v>
      </c>
      <c r="C32757" s="0" t="s">
        <v>12149</v>
      </c>
      <c r="D32757" s="0" t="s">
        <v>10073</v>
      </c>
      <c r="E32757" s="0" t="s">
        <v>10073</v>
      </c>
      <c r="F32757" s="0" t="s">
        <v>10073</v>
      </c>
    </row>
    <row r="32758" customFormat="false" ht="12.8" hidden="false" customHeight="false" outlineLevel="0" collapsed="false">
      <c r="B32758" s="0" t="s">
        <v>12150</v>
      </c>
      <c r="C32758" s="0" t="s">
        <v>12151</v>
      </c>
      <c r="D32758" s="0" t="s">
        <v>10074</v>
      </c>
      <c r="E32758" s="0" t="s">
        <v>10074</v>
      </c>
      <c r="F32758" s="0" t="s">
        <v>10074</v>
      </c>
    </row>
    <row r="32760" customFormat="false" ht="12.8" hidden="false" customHeight="false" outlineLevel="0" collapsed="false">
      <c r="A32760" s="0" t="s">
        <v>12152</v>
      </c>
      <c r="B32760" s="0" t="str">
        <f aca="false">HYPERLINK("https://lindat.mff.cuni.cz/services/teitok/pdtc10/index.php?action=vallex&amp;frame=v-w4528f1", "prosazovat se (v-w4528f1)")</f>
        <v>prosazovat se (v-w4528f1)</v>
      </c>
    </row>
    <row r="32761" customFormat="false" ht="12.8" hidden="false" customHeight="false" outlineLevel="0" collapsed="false">
      <c r="B32761" s="0" t="s">
        <v>7</v>
      </c>
      <c r="C32761" s="0" t="s">
        <v>12153</v>
      </c>
      <c r="D32761" s="0" t="s">
        <v>7092</v>
      </c>
      <c r="E32761" s="0" t="s">
        <v>7092</v>
      </c>
      <c r="F32761" s="0" t="s">
        <v>7092</v>
      </c>
    </row>
    <row r="32763" customFormat="false" ht="12.8" hidden="false" customHeight="false" outlineLevel="0" collapsed="false">
      <c r="A32763" s="0" t="s">
        <v>12154</v>
      </c>
      <c r="B32763" s="0" t="str">
        <f aca="false">HYPERLINK("https://lindat.mff.cuni.cz/services/teitok/pdtc10/index.php?action=vallex&amp;frame=v-w10885f2", "prosedět (v-w10885f2)")</f>
        <v>prosedět (v-w10885f2)</v>
      </c>
    </row>
    <row r="32764" customFormat="false" ht="12.8" hidden="false" customHeight="false" outlineLevel="0" collapsed="false">
      <c r="B32764" s="0" t="s">
        <v>7</v>
      </c>
    </row>
    <row r="32765" customFormat="false" ht="12.8" hidden="false" customHeight="false" outlineLevel="0" collapsed="false">
      <c r="B32765" s="0" t="s">
        <v>14</v>
      </c>
    </row>
    <row r="32767" customFormat="false" ht="12.8" hidden="false" customHeight="false" outlineLevel="0" collapsed="false">
      <c r="A32767" s="0" t="s">
        <v>12155</v>
      </c>
      <c r="B32767" s="0" t="str">
        <f aca="false">HYPERLINK("https://lindat.mff.cuni.cz/services/teitok/pdtc10/index.php?action=vallex&amp;frame=v-w11257f1", "prosekat (v-w11257f1)")</f>
        <v>prosekat (v-w11257f1)</v>
      </c>
    </row>
    <row r="32768" customFormat="false" ht="12.8" hidden="false" customHeight="false" outlineLevel="0" collapsed="false">
      <c r="B32768" s="0" t="s">
        <v>7</v>
      </c>
    </row>
    <row r="32769" customFormat="false" ht="12.8" hidden="false" customHeight="false" outlineLevel="0" collapsed="false">
      <c r="B32769" s="0" t="s">
        <v>14</v>
      </c>
    </row>
    <row r="32771" customFormat="false" ht="12.8" hidden="false" customHeight="false" outlineLevel="0" collapsed="false">
      <c r="A32771" s="0" t="s">
        <v>12156</v>
      </c>
      <c r="B32771" s="0" t="str">
        <f aca="false">HYPERLINK("https://lindat.mff.cuni.cz/services/teitok/pdtc10/index.php?action=vallex&amp;frame=v-w4531f1", "prosekat se (v-w4531f1)")</f>
        <v>prosekat se (v-w4531f1)</v>
      </c>
    </row>
    <row r="32772" customFormat="false" ht="12.8" hidden="false" customHeight="false" outlineLevel="0" collapsed="false">
      <c r="B32772" s="0" t="s">
        <v>7</v>
      </c>
      <c r="C32772" s="0" t="s">
        <v>184</v>
      </c>
      <c r="D32772" s="0" t="s">
        <v>88</v>
      </c>
      <c r="E32772" s="0" t="s">
        <v>88</v>
      </c>
      <c r="F32772" s="0" t="s">
        <v>88</v>
      </c>
    </row>
    <row r="32773" customFormat="false" ht="12.8" hidden="false" customHeight="false" outlineLevel="0" collapsed="false">
      <c r="B32773" s="0" t="s">
        <v>259</v>
      </c>
      <c r="D32773" s="0" t="s">
        <v>12157</v>
      </c>
      <c r="E32773" s="0" t="s">
        <v>12157</v>
      </c>
      <c r="F32773" s="0" t="s">
        <v>12157</v>
      </c>
    </row>
    <row r="32775" customFormat="false" ht="12.8" hidden="false" customHeight="false" outlineLevel="0" collapsed="false">
      <c r="A32775" s="0" t="s">
        <v>12158</v>
      </c>
      <c r="B32775" s="0" t="str">
        <f aca="false">HYPERLINK("https://lindat.mff.cuni.cz/services/teitok/pdtc10/index.php?action=vallex&amp;frame=v-w10322f3", "prosekávat (v-w10322f3)")</f>
        <v>prosekávat (v-w10322f3)</v>
      </c>
    </row>
    <row r="32776" customFormat="false" ht="12.8" hidden="false" customHeight="false" outlineLevel="0" collapsed="false">
      <c r="B32776" s="0" t="s">
        <v>7</v>
      </c>
      <c r="C32776" s="0" t="s">
        <v>191</v>
      </c>
    </row>
    <row r="32777" customFormat="false" ht="12.8" hidden="false" customHeight="false" outlineLevel="0" collapsed="false">
      <c r="B32777" s="0" t="s">
        <v>14</v>
      </c>
      <c r="C32777" s="0" t="s">
        <v>567</v>
      </c>
    </row>
    <row r="32779" customFormat="false" ht="12.8" hidden="false" customHeight="false" outlineLevel="0" collapsed="false">
      <c r="A32779" s="0" t="s">
        <v>12159</v>
      </c>
      <c r="B32779" s="0" t="str">
        <f aca="false">HYPERLINK("https://lindat.mff.cuni.cz/services/teitok/pdtc10/index.php?action=vallex&amp;frame=v-w4532f3_ZU", "prosit (v-w4532f3_ZU)")</f>
        <v>prosit (v-w4532f3_ZU)</v>
      </c>
    </row>
    <row r="32780" customFormat="false" ht="12.8" hidden="false" customHeight="false" outlineLevel="0" collapsed="false">
      <c r="B32780" s="0" t="s">
        <v>7</v>
      </c>
    </row>
    <row r="32781" customFormat="false" ht="12.8" hidden="false" customHeight="false" outlineLevel="0" collapsed="false">
      <c r="B32781" s="0" t="s">
        <v>12160</v>
      </c>
    </row>
    <row r="32782" customFormat="false" ht="12.8" hidden="false" customHeight="false" outlineLevel="0" collapsed="false">
      <c r="B32782" s="0" t="s">
        <v>81</v>
      </c>
    </row>
    <row r="32784" customFormat="false" ht="12.8" hidden="false" customHeight="false" outlineLevel="0" collapsed="false">
      <c r="A32784" s="0" t="s">
        <v>12159</v>
      </c>
      <c r="B32784" s="0" t="str">
        <f aca="false">HYPERLINK("https://lindat.mff.cuni.cz/services/teitok/pdtc10/index.php?action=vallex&amp;frame=v-w4532f1", "prosit (v-w4532f1) - substituted with v-w4532f3_ZU")</f>
        <v>prosit (v-w4532f1) - substituted with v-w4532f3_ZU</v>
      </c>
    </row>
    <row r="32785" customFormat="false" ht="12.8" hidden="false" customHeight="false" outlineLevel="0" collapsed="false">
      <c r="B32785" s="0" t="s">
        <v>7</v>
      </c>
      <c r="C32785" s="0" t="s">
        <v>12161</v>
      </c>
      <c r="D32785" s="0" t="s">
        <v>5448</v>
      </c>
      <c r="E32785" s="0" t="s">
        <v>5448</v>
      </c>
      <c r="F32785" s="0" t="s">
        <v>5448</v>
      </c>
    </row>
    <row r="32786" customFormat="false" ht="12.8" hidden="false" customHeight="false" outlineLevel="0" collapsed="false">
      <c r="B32786" s="0" t="s">
        <v>12160</v>
      </c>
      <c r="C32786" s="0" t="s">
        <v>12162</v>
      </c>
      <c r="D32786" s="0" t="s">
        <v>5449</v>
      </c>
      <c r="E32786" s="0" t="s">
        <v>5449</v>
      </c>
      <c r="F32786" s="0" t="s">
        <v>5449</v>
      </c>
    </row>
    <row r="32787" customFormat="false" ht="12.8" hidden="false" customHeight="false" outlineLevel="0" collapsed="false">
      <c r="B32787" s="0" t="s">
        <v>81</v>
      </c>
      <c r="C32787" s="0" t="s">
        <v>12163</v>
      </c>
      <c r="D32787" s="0" t="s">
        <v>10631</v>
      </c>
      <c r="E32787" s="0" t="s">
        <v>10631</v>
      </c>
      <c r="F32787" s="0" t="s">
        <v>10631</v>
      </c>
    </row>
    <row r="32789" customFormat="false" ht="12.8" hidden="false" customHeight="false" outlineLevel="0" collapsed="false">
      <c r="A32789" s="0" t="s">
        <v>12159</v>
      </c>
      <c r="B32789" s="0" t="str">
        <f aca="false">HYPERLINK("https://lindat.mff.cuni.cz/services/teitok/pdtc10/index.php?action=vallex&amp;frame=v-w4532f2_ZU", "prosit (v-w4532f2_ZU) - substituted with v-w4532f3_ZU")</f>
        <v>prosit (v-w4532f2_ZU) - substituted with v-w4532f3_ZU</v>
      </c>
    </row>
    <row r="32790" customFormat="false" ht="12.8" hidden="false" customHeight="false" outlineLevel="0" collapsed="false">
      <c r="B32790" s="0" t="s">
        <v>7</v>
      </c>
    </row>
    <row r="32791" customFormat="false" ht="12.8" hidden="false" customHeight="false" outlineLevel="0" collapsed="false">
      <c r="B32791" s="0" t="s">
        <v>12160</v>
      </c>
    </row>
    <row r="32792" customFormat="false" ht="12.8" hidden="false" customHeight="false" outlineLevel="0" collapsed="false">
      <c r="B32792" s="0" t="s">
        <v>81</v>
      </c>
    </row>
    <row r="32794" customFormat="false" ht="12.8" hidden="false" customHeight="false" outlineLevel="0" collapsed="false">
      <c r="A32794" s="0" t="s">
        <v>12159</v>
      </c>
      <c r="B32794" s="0" t="str">
        <f aca="false">HYPERLINK("https://lindat.mff.cuni.cz/services/teitok/pdtc10/index.php?action=vallex&amp;frame=v-w4532hsa_1404", "prosit (v-w4532hsa_1404) - substituted with v-w4532f3_ZU")</f>
        <v>prosit (v-w4532hsa_1404) - substituted with v-w4532f3_ZU</v>
      </c>
    </row>
    <row r="32795" customFormat="false" ht="12.8" hidden="false" customHeight="false" outlineLevel="0" collapsed="false">
      <c r="B32795" s="0" t="s">
        <v>7</v>
      </c>
    </row>
    <row r="32796" customFormat="false" ht="12.8" hidden="false" customHeight="false" outlineLevel="0" collapsed="false">
      <c r="B32796" s="0" t="s">
        <v>12160</v>
      </c>
    </row>
    <row r="32797" customFormat="false" ht="12.8" hidden="false" customHeight="false" outlineLevel="0" collapsed="false">
      <c r="B32797" s="0" t="s">
        <v>81</v>
      </c>
    </row>
    <row r="32799" customFormat="false" ht="12.8" hidden="false" customHeight="false" outlineLevel="0" collapsed="false">
      <c r="A32799" s="0" t="s">
        <v>12164</v>
      </c>
      <c r="B32799" s="0" t="str">
        <f aca="false">HYPERLINK("https://lindat.mff.cuni.cz/services/teitok/pdtc10/index.php?action=vallex&amp;frame=v-w4533f2", "proskočit (v-w4533f2)")</f>
        <v>proskočit (v-w4533f2)</v>
      </c>
    </row>
    <row r="32800" customFormat="false" ht="12.8" hidden="false" customHeight="false" outlineLevel="0" collapsed="false">
      <c r="B32800" s="0" t="s">
        <v>7</v>
      </c>
    </row>
    <row r="32801" customFormat="false" ht="12.8" hidden="false" customHeight="false" outlineLevel="0" collapsed="false">
      <c r="B32801" s="0" t="s">
        <v>14</v>
      </c>
    </row>
    <row r="32803" customFormat="false" ht="12.8" hidden="false" customHeight="false" outlineLevel="0" collapsed="false">
      <c r="A32803" s="0" t="s">
        <v>12165</v>
      </c>
      <c r="B32803" s="0" t="str">
        <f aca="false">HYPERLINK("https://lindat.mff.cuni.cz/services/teitok/pdtc10/index.php?action=vallex&amp;frame=v-w4533f1", "proskočit (v-w4533f1)")</f>
        <v>proskočit (v-w4533f1)</v>
      </c>
    </row>
    <row r="32804" customFormat="false" ht="12.8" hidden="false" customHeight="false" outlineLevel="0" collapsed="false">
      <c r="B32804" s="0" t="s">
        <v>7</v>
      </c>
    </row>
    <row r="32805" customFormat="false" ht="12.8" hidden="false" customHeight="false" outlineLevel="0" collapsed="false">
      <c r="B32805" s="0" t="s">
        <v>259</v>
      </c>
    </row>
    <row r="32807" customFormat="false" ht="12.8" hidden="false" customHeight="false" outlineLevel="0" collapsed="false">
      <c r="A32807" s="0" t="s">
        <v>12166</v>
      </c>
      <c r="B32807" s="0" t="str">
        <f aca="false">HYPERLINK("https://lindat.mff.cuni.cz/services/teitok/pdtc10/index.php?action=vallex&amp;frame=v-w4534f1", "proslavit (v-w4534f1)")</f>
        <v>proslavit (v-w4534f1)</v>
      </c>
    </row>
    <row r="32808" customFormat="false" ht="12.8" hidden="false" customHeight="false" outlineLevel="0" collapsed="false">
      <c r="B32808" s="0" t="s">
        <v>7</v>
      </c>
      <c r="C32808" s="0" t="s">
        <v>3293</v>
      </c>
    </row>
    <row r="32809" customFormat="false" ht="12.8" hidden="false" customHeight="false" outlineLevel="0" collapsed="false">
      <c r="B32809" s="0" t="s">
        <v>14</v>
      </c>
      <c r="C32809" s="0" t="s">
        <v>3295</v>
      </c>
    </row>
    <row r="32811" customFormat="false" ht="12.8" hidden="false" customHeight="false" outlineLevel="0" collapsed="false">
      <c r="A32811" s="0" t="s">
        <v>12167</v>
      </c>
      <c r="B32811" s="0" t="str">
        <f aca="false">HYPERLINK("https://lindat.mff.cuni.cz/services/teitok/pdtc10/index.php?action=vallex&amp;frame=v-w4535f1", "proslavit se (v-w4535f1)")</f>
        <v>proslavit se (v-w4535f1)</v>
      </c>
    </row>
    <row r="32812" customFormat="false" ht="12.8" hidden="false" customHeight="false" outlineLevel="0" collapsed="false">
      <c r="B32812" s="0" t="s">
        <v>7</v>
      </c>
      <c r="C32812" s="0" t="s">
        <v>6311</v>
      </c>
    </row>
    <row r="32814" customFormat="false" ht="12.8" hidden="false" customHeight="false" outlineLevel="0" collapsed="false">
      <c r="A32814" s="0" t="s">
        <v>12168</v>
      </c>
      <c r="B32814" s="0" t="str">
        <f aca="false">HYPERLINK("https://lindat.mff.cuni.cz/services/teitok/pdtc10/index.php?action=vallex&amp;frame=v-w11375f1", "proslechnout se (v-w11375f1)")</f>
        <v>proslechnout se (v-w11375f1)</v>
      </c>
    </row>
    <row r="32815" customFormat="false" ht="12.8" hidden="false" customHeight="false" outlineLevel="0" collapsed="false">
      <c r="B32815" s="0" t="s">
        <v>905</v>
      </c>
    </row>
    <row r="32817" customFormat="false" ht="12.8" hidden="false" customHeight="false" outlineLevel="0" collapsed="false">
      <c r="A32817" s="0" t="s">
        <v>12169</v>
      </c>
      <c r="B32817" s="0" t="str">
        <f aca="false">HYPERLINK("https://lindat.mff.cuni.cz/services/teitok/pdtc10/index.php?action=vallex&amp;frame=v-w4536f1", "proslout (v-w4536f1)")</f>
        <v>proslout (v-w4536f1)</v>
      </c>
    </row>
    <row r="32818" customFormat="false" ht="12.8" hidden="false" customHeight="false" outlineLevel="0" collapsed="false">
      <c r="B32818" s="0" t="s">
        <v>7</v>
      </c>
    </row>
    <row r="32820" customFormat="false" ht="12.8" hidden="false" customHeight="false" outlineLevel="0" collapsed="false">
      <c r="A32820" s="0" t="s">
        <v>12170</v>
      </c>
      <c r="B32820" s="0" t="str">
        <f aca="false">HYPERLINK("https://lindat.mff.cuni.cz/services/teitok/pdtc10/index.php?action=vallex&amp;frame=v-w4537f1", "proslovit (v-w4537f1)")</f>
        <v>proslovit (v-w4537f1)</v>
      </c>
    </row>
    <row r="32821" customFormat="false" ht="12.8" hidden="false" customHeight="false" outlineLevel="0" collapsed="false">
      <c r="B32821" s="0" t="s">
        <v>7</v>
      </c>
    </row>
    <row r="32822" customFormat="false" ht="12.8" hidden="false" customHeight="false" outlineLevel="0" collapsed="false">
      <c r="B32822" s="0" t="s">
        <v>14</v>
      </c>
    </row>
    <row r="32823" customFormat="false" ht="12.8" hidden="false" customHeight="false" outlineLevel="0" collapsed="false">
      <c r="B32823" s="0" t="s">
        <v>10221</v>
      </c>
    </row>
    <row r="32825" customFormat="false" ht="12.8" hidden="false" customHeight="false" outlineLevel="0" collapsed="false">
      <c r="A32825" s="0" t="s">
        <v>12171</v>
      </c>
      <c r="B32825" s="0" t="str">
        <f aca="false">HYPERLINK("https://lindat.mff.cuni.cz/services/teitok/pdtc10/index.php?action=vallex&amp;frame=v-w4539f2_ZU", "proslýchat se (v-w4539f2_ZU)")</f>
        <v>proslýchat se (v-w4539f2_ZU)</v>
      </c>
    </row>
    <row r="32826" customFormat="false" ht="12.8" hidden="false" customHeight="false" outlineLevel="0" collapsed="false">
      <c r="B32826" s="0" t="s">
        <v>641</v>
      </c>
      <c r="C32826" s="0" t="s">
        <v>12172</v>
      </c>
    </row>
    <row r="32827" customFormat="false" ht="12.8" hidden="false" customHeight="false" outlineLevel="0" collapsed="false">
      <c r="B32827" s="0" t="s">
        <v>363</v>
      </c>
      <c r="C32827" s="0" t="s">
        <v>1640</v>
      </c>
    </row>
    <row r="32829" customFormat="false" ht="12.8" hidden="false" customHeight="false" outlineLevel="0" collapsed="false">
      <c r="A32829" s="0" t="s">
        <v>12171</v>
      </c>
      <c r="B32829" s="0" t="str">
        <f aca="false">HYPERLINK("https://lindat.mff.cuni.cz/services/teitok/pdtc10/index.php?action=vallex&amp;frame=v-w4539f1", "proslýchat se (v-w4539f1) - substituted with v-w4539f2_ZU")</f>
        <v>proslýchat se (v-w4539f1) - substituted with v-w4539f2_ZU</v>
      </c>
    </row>
    <row r="32830" customFormat="false" ht="12.8" hidden="false" customHeight="false" outlineLevel="0" collapsed="false">
      <c r="B32830" s="0" t="s">
        <v>641</v>
      </c>
    </row>
    <row r="32831" customFormat="false" ht="12.8" hidden="false" customHeight="false" outlineLevel="0" collapsed="false">
      <c r="B32831" s="0" t="s">
        <v>363</v>
      </c>
    </row>
    <row r="32833" customFormat="false" ht="12.8" hidden="false" customHeight="false" outlineLevel="0" collapsed="false">
      <c r="A32833" s="0" t="s">
        <v>12173</v>
      </c>
      <c r="B32833" s="0" t="str">
        <f aca="false">HYPERLINK("https://lindat.mff.cuni.cz/services/teitok/pdtc10/index.php?action=vallex&amp;frame=v-whsa_410f1_ZU", "prosmát (v-whsa_410f1_ZU)")</f>
        <v>prosmát (v-whsa_410f1_ZU)</v>
      </c>
    </row>
    <row r="32834" customFormat="false" ht="12.8" hidden="false" customHeight="false" outlineLevel="0" collapsed="false">
      <c r="B32834" s="0" t="s">
        <v>7</v>
      </c>
    </row>
    <row r="32835" customFormat="false" ht="12.8" hidden="false" customHeight="false" outlineLevel="0" collapsed="false">
      <c r="B32835" s="0" t="s">
        <v>14</v>
      </c>
    </row>
    <row r="32837" customFormat="false" ht="12.8" hidden="false" customHeight="false" outlineLevel="0" collapsed="false">
      <c r="A32837" s="0" t="s">
        <v>12173</v>
      </c>
      <c r="B32837" s="0" t="str">
        <f aca="false">HYPERLINK("https://lindat.mff.cuni.cz/services/teitok/pdtc10/index.php?action=vallex&amp;frame=v-whsa_410hsa_411", "prosmát (v-whsa_410hsa_411) - substituted with v-whsa_410f1_ZU")</f>
        <v>prosmát (v-whsa_410hsa_411) - substituted with v-whsa_410f1_ZU</v>
      </c>
    </row>
    <row r="32838" customFormat="false" ht="12.8" hidden="false" customHeight="false" outlineLevel="0" collapsed="false">
      <c r="B32838" s="0" t="s">
        <v>7</v>
      </c>
    </row>
    <row r="32839" customFormat="false" ht="12.8" hidden="false" customHeight="false" outlineLevel="0" collapsed="false">
      <c r="B32839" s="0" t="s">
        <v>14</v>
      </c>
    </row>
    <row r="32841" customFormat="false" ht="12.8" hidden="false" customHeight="false" outlineLevel="0" collapsed="false">
      <c r="A32841" s="0" t="s">
        <v>12174</v>
      </c>
      <c r="B32841" s="0" t="str">
        <f aca="false">HYPERLINK("https://lindat.mff.cuni.cz/services/teitok/pdtc10/index.php?action=vallex&amp;frame=v-w11569_ZUf1_ZU", "prosmát se (v-w11569_ZUf1_ZU)")</f>
        <v>prosmát se (v-w11569_ZUf1_ZU)</v>
      </c>
    </row>
    <row r="32842" customFormat="false" ht="12.8" hidden="false" customHeight="false" outlineLevel="0" collapsed="false">
      <c r="B32842" s="0" t="s">
        <v>7</v>
      </c>
      <c r="C32842" s="0" t="s">
        <v>191</v>
      </c>
    </row>
    <row r="32843" customFormat="false" ht="12.8" hidden="false" customHeight="false" outlineLevel="0" collapsed="false">
      <c r="B32843" s="0" t="s">
        <v>4324</v>
      </c>
    </row>
    <row r="32845" customFormat="false" ht="12.8" hidden="false" customHeight="false" outlineLevel="0" collapsed="false">
      <c r="A32845" s="0" t="s">
        <v>12175</v>
      </c>
      <c r="B32845" s="0" t="str">
        <f aca="false">HYPERLINK("https://lindat.mff.cuni.cz/services/teitok/pdtc10/index.php?action=vallex&amp;frame=v-w11569_ZUhsa_293", "prosmát se (v-w11569_ZUhsa_293)")</f>
        <v>prosmát se (v-w11569_ZUhsa_293)</v>
      </c>
    </row>
    <row r="32846" customFormat="false" ht="12.8" hidden="false" customHeight="false" outlineLevel="0" collapsed="false">
      <c r="B32846" s="0" t="s">
        <v>7</v>
      </c>
    </row>
    <row r="32847" customFormat="false" ht="12.8" hidden="false" customHeight="false" outlineLevel="0" collapsed="false">
      <c r="B32847" s="0" t="s">
        <v>124</v>
      </c>
    </row>
    <row r="32849" customFormat="false" ht="12.8" hidden="false" customHeight="false" outlineLevel="0" collapsed="false">
      <c r="A32849" s="0" t="s">
        <v>12176</v>
      </c>
      <c r="B32849" s="0" t="str">
        <f aca="false">HYPERLINK("https://lindat.mff.cuni.cz/services/teitok/pdtc10/index.php?action=vallex&amp;frame=v-w11691_ZUf1_ZU", "prosolovat (v-w11691_ZUf1_ZU)")</f>
        <v>prosolovat (v-w11691_ZUf1_ZU)</v>
      </c>
    </row>
    <row r="32850" customFormat="false" ht="12.8" hidden="false" customHeight="false" outlineLevel="0" collapsed="false">
      <c r="B32850" s="0" t="s">
        <v>7</v>
      </c>
    </row>
    <row r="32851" customFormat="false" ht="12.8" hidden="false" customHeight="false" outlineLevel="0" collapsed="false">
      <c r="B32851" s="0" t="s">
        <v>14</v>
      </c>
    </row>
    <row r="32853" customFormat="false" ht="12.8" hidden="false" customHeight="false" outlineLevel="0" collapsed="false">
      <c r="A32853" s="0" t="s">
        <v>12177</v>
      </c>
      <c r="B32853" s="0" t="str">
        <f aca="false">HYPERLINK("https://lindat.mff.cuni.cz/services/teitok/pdtc10/index.php?action=vallex&amp;frame=v-w11471f1", "prospat (v-w11471f1)")</f>
        <v>prospat (v-w11471f1)</v>
      </c>
    </row>
    <row r="32854" customFormat="false" ht="12.8" hidden="false" customHeight="false" outlineLevel="0" collapsed="false">
      <c r="B32854" s="0" t="s">
        <v>7</v>
      </c>
      <c r="C32854" s="0" t="s">
        <v>191</v>
      </c>
      <c r="D32854" s="0" t="s">
        <v>191</v>
      </c>
      <c r="E32854" s="0" t="s">
        <v>191</v>
      </c>
      <c r="F32854" s="0" t="s">
        <v>191</v>
      </c>
    </row>
    <row r="32855" customFormat="false" ht="12.8" hidden="false" customHeight="false" outlineLevel="0" collapsed="false">
      <c r="B32855" s="0" t="s">
        <v>14</v>
      </c>
    </row>
    <row r="32857" customFormat="false" ht="12.8" hidden="false" customHeight="false" outlineLevel="0" collapsed="false">
      <c r="A32857" s="0" t="s">
        <v>12178</v>
      </c>
      <c r="B32857" s="0" t="str">
        <f aca="false">HYPERLINK("https://lindat.mff.cuni.cz/services/teitok/pdtc10/index.php?action=vallex&amp;frame=v-w4540f1", "prospat se (v-w4540f1)")</f>
        <v>prospat se (v-w4540f1)</v>
      </c>
    </row>
    <row r="32858" customFormat="false" ht="12.8" hidden="false" customHeight="false" outlineLevel="0" collapsed="false">
      <c r="B32858" s="0" t="s">
        <v>7</v>
      </c>
    </row>
    <row r="32860" customFormat="false" ht="12.8" hidden="false" customHeight="false" outlineLevel="0" collapsed="false">
      <c r="A32860" s="0" t="s">
        <v>12179</v>
      </c>
      <c r="B32860" s="0" t="str">
        <f aca="false">HYPERLINK("https://lindat.mff.cuni.cz/services/teitok/pdtc10/index.php?action=vallex&amp;frame=v-w4543f2_ZU", "prosperovat (v-w4543f2_ZU)")</f>
        <v>prosperovat (v-w4543f2_ZU)</v>
      </c>
    </row>
    <row r="32861" customFormat="false" ht="12.8" hidden="false" customHeight="false" outlineLevel="0" collapsed="false">
      <c r="B32861" s="0" t="s">
        <v>7</v>
      </c>
      <c r="C32861" s="0" t="s">
        <v>1378</v>
      </c>
      <c r="D32861" s="0" t="s">
        <v>5047</v>
      </c>
      <c r="E32861" s="0" t="s">
        <v>5047</v>
      </c>
      <c r="F32861" s="0" t="s">
        <v>5047</v>
      </c>
    </row>
    <row r="32862" customFormat="false" ht="12.8" hidden="false" customHeight="false" outlineLevel="0" collapsed="false">
      <c r="B32862" s="0" t="s">
        <v>12180</v>
      </c>
      <c r="C32862" s="0" t="s">
        <v>8609</v>
      </c>
    </row>
    <row r="32864" customFormat="false" ht="12.8" hidden="false" customHeight="false" outlineLevel="0" collapsed="false">
      <c r="A32864" s="0" t="s">
        <v>12179</v>
      </c>
      <c r="B32864" s="0" t="str">
        <f aca="false">HYPERLINK("https://lindat.mff.cuni.cz/services/teitok/pdtc10/index.php?action=vallex&amp;frame=v-w4543f1", "prosperovat (v-w4543f1) - substituted with v-w4543f2_ZU")</f>
        <v>prosperovat (v-w4543f1) - substituted with v-w4543f2_ZU</v>
      </c>
    </row>
    <row r="32865" customFormat="false" ht="12.8" hidden="false" customHeight="false" outlineLevel="0" collapsed="false">
      <c r="B32865" s="0" t="s">
        <v>7</v>
      </c>
      <c r="C32865" s="0" t="s">
        <v>12181</v>
      </c>
    </row>
    <row r="32866" customFormat="false" ht="12.8" hidden="false" customHeight="false" outlineLevel="0" collapsed="false">
      <c r="B32866" s="0" t="s">
        <v>12180</v>
      </c>
    </row>
    <row r="32868" customFormat="false" ht="12.8" hidden="false" customHeight="false" outlineLevel="0" collapsed="false">
      <c r="A32868" s="0" t="s">
        <v>12179</v>
      </c>
      <c r="B32868" s="0" t="str">
        <f aca="false">HYPERLINK("https://lindat.mff.cuni.cz/services/teitok/pdtc10/index.php?action=vallex&amp;frame=v-w4543hsa_983", "prosperovat (v-w4543hsa_983) - substituted with v-w4543f2_ZU")</f>
        <v>prosperovat (v-w4543hsa_983) - substituted with v-w4543f2_ZU</v>
      </c>
    </row>
    <row r="32869" customFormat="false" ht="12.8" hidden="false" customHeight="false" outlineLevel="0" collapsed="false">
      <c r="B32869" s="0" t="s">
        <v>7</v>
      </c>
    </row>
    <row r="32870" customFormat="false" ht="12.8" hidden="false" customHeight="false" outlineLevel="0" collapsed="false">
      <c r="B32870" s="0" t="s">
        <v>12180</v>
      </c>
    </row>
    <row r="32872" customFormat="false" ht="12.8" hidden="false" customHeight="false" outlineLevel="0" collapsed="false">
      <c r="A32872" s="0" t="s">
        <v>12182</v>
      </c>
      <c r="B32872" s="0" t="str">
        <f aca="false">HYPERLINK("https://lindat.mff.cuni.cz/services/teitok/pdtc10/index.php?action=vallex&amp;frame=v-w4547f1", "prospívat (v-w4547f1)")</f>
        <v>prospívat (v-w4547f1)</v>
      </c>
    </row>
    <row r="32873" customFormat="false" ht="12.8" hidden="false" customHeight="false" outlineLevel="0" collapsed="false">
      <c r="B32873" s="0" t="s">
        <v>979</v>
      </c>
    </row>
    <row r="32874" customFormat="false" ht="12.8" hidden="false" customHeight="false" outlineLevel="0" collapsed="false">
      <c r="B32874" s="0" t="s">
        <v>142</v>
      </c>
    </row>
    <row r="32876" customFormat="false" ht="12.8" hidden="false" customHeight="false" outlineLevel="0" collapsed="false">
      <c r="A32876" s="0" t="s">
        <v>12183</v>
      </c>
      <c r="B32876" s="0" t="str">
        <f aca="false">HYPERLINK("https://lindat.mff.cuni.cz/services/teitok/pdtc10/index.php?action=vallex&amp;frame=v-w4547f2", "prospívat (v-w4547f2)")</f>
        <v>prospívat (v-w4547f2)</v>
      </c>
    </row>
    <row r="32877" customFormat="false" ht="12.8" hidden="false" customHeight="false" outlineLevel="0" collapsed="false">
      <c r="B32877" s="0" t="s">
        <v>7</v>
      </c>
    </row>
    <row r="32879" customFormat="false" ht="12.8" hidden="false" customHeight="false" outlineLevel="0" collapsed="false">
      <c r="A32879" s="0" t="s">
        <v>12184</v>
      </c>
      <c r="B32879" s="0" t="str">
        <f aca="false">HYPERLINK("https://lindat.mff.cuni.cz/services/teitok/pdtc10/index.php?action=vallex&amp;frame=v-w4545f1", "prospět (v-w4545f1)")</f>
        <v>prospět (v-w4545f1)</v>
      </c>
    </row>
    <row r="32880" customFormat="false" ht="12.8" hidden="false" customHeight="false" outlineLevel="0" collapsed="false">
      <c r="B32880" s="0" t="s">
        <v>979</v>
      </c>
      <c r="C32880" s="0" t="s">
        <v>12185</v>
      </c>
    </row>
    <row r="32881" customFormat="false" ht="12.8" hidden="false" customHeight="false" outlineLevel="0" collapsed="false">
      <c r="B32881" s="0" t="s">
        <v>142</v>
      </c>
      <c r="C32881" s="0" t="s">
        <v>4232</v>
      </c>
    </row>
    <row r="32883" customFormat="false" ht="12.8" hidden="false" customHeight="false" outlineLevel="0" collapsed="false">
      <c r="A32883" s="0" t="s">
        <v>12186</v>
      </c>
      <c r="B32883" s="0" t="str">
        <f aca="false">HYPERLINK("https://lindat.mff.cuni.cz/services/teitok/pdtc10/index.php?action=vallex&amp;frame=v-w4545f2", "prospět (v-w4545f2)")</f>
        <v>prospět (v-w4545f2)</v>
      </c>
    </row>
    <row r="32884" customFormat="false" ht="12.8" hidden="false" customHeight="false" outlineLevel="0" collapsed="false">
      <c r="B32884" s="0" t="s">
        <v>7</v>
      </c>
    </row>
    <row r="32886" customFormat="false" ht="12.8" hidden="false" customHeight="false" outlineLevel="0" collapsed="false">
      <c r="A32886" s="0" t="s">
        <v>12187</v>
      </c>
      <c r="B32886" s="0" t="str">
        <f aca="false">HYPERLINK("https://lindat.mff.cuni.cz/services/teitok/pdtc10/index.php?action=vallex&amp;frame=v-w4548f2", "prostavět (v-w4548f2)")</f>
        <v>prostavět (v-w4548f2)</v>
      </c>
    </row>
    <row r="32887" customFormat="false" ht="12.8" hidden="false" customHeight="false" outlineLevel="0" collapsed="false">
      <c r="B32887" s="0" t="s">
        <v>7</v>
      </c>
    </row>
    <row r="32888" customFormat="false" ht="12.8" hidden="false" customHeight="false" outlineLevel="0" collapsed="false">
      <c r="B32888" s="0" t="s">
        <v>14</v>
      </c>
    </row>
    <row r="32889" customFormat="false" ht="12.8" hidden="false" customHeight="false" outlineLevel="0" collapsed="false">
      <c r="B32889" s="0" t="s">
        <v>550</v>
      </c>
    </row>
    <row r="32891" customFormat="false" ht="12.8" hidden="false" customHeight="false" outlineLevel="0" collapsed="false">
      <c r="A32891" s="0" t="s">
        <v>12188</v>
      </c>
      <c r="B32891" s="0" t="str">
        <f aca="false">HYPERLINK("https://lindat.mff.cuni.cz/services/teitok/pdtc10/index.php?action=vallex&amp;frame=v-w4548f1", "prostavět (v-w4548f1)")</f>
        <v>prostavět (v-w4548f1)</v>
      </c>
    </row>
    <row r="32892" customFormat="false" ht="12.8" hidden="false" customHeight="false" outlineLevel="0" collapsed="false">
      <c r="B32892" s="0" t="s">
        <v>7</v>
      </c>
    </row>
    <row r="32893" customFormat="false" ht="12.8" hidden="false" customHeight="false" outlineLevel="0" collapsed="false">
      <c r="B32893" s="0" t="s">
        <v>679</v>
      </c>
    </row>
    <row r="32894" customFormat="false" ht="12.8" hidden="false" customHeight="false" outlineLevel="0" collapsed="false">
      <c r="B32894" s="0" t="s">
        <v>1654</v>
      </c>
    </row>
    <row r="32896" customFormat="false" ht="12.8" hidden="false" customHeight="false" outlineLevel="0" collapsed="false">
      <c r="A32896" s="0" t="s">
        <v>12189</v>
      </c>
      <c r="B32896" s="0" t="str">
        <f aca="false">HYPERLINK("https://lindat.mff.cuni.cz/services/teitok/pdtc10/index.php?action=vallex&amp;frame=v-w4548hsa_1661", "prostavět (v-w4548hsa_1661)")</f>
        <v>prostavět (v-w4548hsa_1661)</v>
      </c>
    </row>
    <row r="32897" customFormat="false" ht="12.8" hidden="false" customHeight="false" outlineLevel="0" collapsed="false">
      <c r="B32897" s="0" t="s">
        <v>7</v>
      </c>
    </row>
    <row r="32898" customFormat="false" ht="12.8" hidden="false" customHeight="false" outlineLevel="0" collapsed="false">
      <c r="B32898" s="0" t="s">
        <v>14</v>
      </c>
    </row>
    <row r="32900" customFormat="false" ht="12.8" hidden="false" customHeight="false" outlineLevel="0" collapsed="false">
      <c r="A32900" s="0" t="s">
        <v>12190</v>
      </c>
      <c r="B32900" s="0" t="str">
        <f aca="false">HYPERLINK("https://lindat.mff.cuni.cz/services/teitok/pdtc10/index.php?action=vallex&amp;frame=v-w4549f1", "prostavět se (v-w4549f1)")</f>
        <v>prostavět se (v-w4549f1)</v>
      </c>
    </row>
    <row r="32901" customFormat="false" ht="12.8" hidden="false" customHeight="false" outlineLevel="0" collapsed="false">
      <c r="B32901" s="0" t="s">
        <v>7</v>
      </c>
    </row>
    <row r="32902" customFormat="false" ht="12.8" hidden="false" customHeight="false" outlineLevel="0" collapsed="false">
      <c r="B32902" s="0" t="s">
        <v>124</v>
      </c>
    </row>
    <row r="32904" customFormat="false" ht="12.8" hidden="false" customHeight="false" outlineLevel="0" collapsed="false">
      <c r="A32904" s="0" t="s">
        <v>12191</v>
      </c>
      <c r="B32904" s="0" t="str">
        <f aca="false">HYPERLINK("https://lindat.mff.cuni.cz/services/teitok/pdtc10/index.php?action=vallex&amp;frame=v-w4550f1", "prostituovat se (v-w4550f1)")</f>
        <v>prostituovat se (v-w4550f1)</v>
      </c>
    </row>
    <row r="32905" customFormat="false" ht="12.8" hidden="false" customHeight="false" outlineLevel="0" collapsed="false">
      <c r="B32905" s="0" t="s">
        <v>7</v>
      </c>
    </row>
    <row r="32907" customFormat="false" ht="12.8" hidden="false" customHeight="false" outlineLevel="0" collapsed="false">
      <c r="A32907" s="0" t="s">
        <v>12192</v>
      </c>
      <c r="B32907" s="0" t="str">
        <f aca="false">HYPERLINK("https://lindat.mff.cuni.cz/services/teitok/pdtc10/index.php?action=vallex&amp;frame=v-w4553f1", "prostoupit (v-w4553f1)")</f>
        <v>prostoupit (v-w4553f1)</v>
      </c>
    </row>
    <row r="32908" customFormat="false" ht="12.8" hidden="false" customHeight="false" outlineLevel="0" collapsed="false">
      <c r="B32908" s="0" t="s">
        <v>7</v>
      </c>
      <c r="C32908" s="0" t="s">
        <v>12193</v>
      </c>
      <c r="D32908" s="0" t="s">
        <v>7861</v>
      </c>
      <c r="E32908" s="0" t="s">
        <v>7861</v>
      </c>
      <c r="F32908" s="0" t="s">
        <v>7861</v>
      </c>
    </row>
    <row r="32909" customFormat="false" ht="12.8" hidden="false" customHeight="false" outlineLevel="0" collapsed="false">
      <c r="B32909" s="0" t="s">
        <v>14</v>
      </c>
      <c r="C32909" s="0" t="s">
        <v>12194</v>
      </c>
      <c r="D32909" s="0" t="s">
        <v>7862</v>
      </c>
      <c r="E32909" s="0" t="s">
        <v>7862</v>
      </c>
      <c r="F32909" s="0" t="s">
        <v>7862</v>
      </c>
    </row>
    <row r="32911" customFormat="false" ht="12.8" hidden="false" customHeight="false" outlineLevel="0" collapsed="false">
      <c r="A32911" s="0" t="s">
        <v>12195</v>
      </c>
      <c r="B32911" s="0" t="str">
        <f aca="false">HYPERLINK("https://lindat.mff.cuni.cz/services/teitok/pdtc10/index.php?action=vallex&amp;frame=v-w4553f2", "prostoupit (v-w4553f2)")</f>
        <v>prostoupit (v-w4553f2)</v>
      </c>
    </row>
    <row r="32912" customFormat="false" ht="12.8" hidden="false" customHeight="false" outlineLevel="0" collapsed="false">
      <c r="B32912" s="0" t="s">
        <v>7</v>
      </c>
    </row>
    <row r="32913" customFormat="false" ht="12.8" hidden="false" customHeight="false" outlineLevel="0" collapsed="false">
      <c r="B32913" s="0" t="s">
        <v>259</v>
      </c>
    </row>
    <row r="32915" customFormat="false" ht="12.8" hidden="false" customHeight="false" outlineLevel="0" collapsed="false">
      <c r="A32915" s="0" t="s">
        <v>12196</v>
      </c>
      <c r="B32915" s="0" t="str">
        <f aca="false">HYPERLINK("https://lindat.mff.cuni.cz/services/teitok/pdtc10/index.php?action=vallex&amp;frame=v-w10526f2", "prostrkat (v-w10526f2)")</f>
        <v>prostrkat (v-w10526f2)</v>
      </c>
    </row>
    <row r="32916" customFormat="false" ht="12.8" hidden="false" customHeight="false" outlineLevel="0" collapsed="false">
      <c r="B32916" s="0" t="s">
        <v>7</v>
      </c>
    </row>
    <row r="32917" customFormat="false" ht="12.8" hidden="false" customHeight="false" outlineLevel="0" collapsed="false">
      <c r="B32917" s="0" t="s">
        <v>14</v>
      </c>
    </row>
    <row r="32918" customFormat="false" ht="12.8" hidden="false" customHeight="false" outlineLevel="0" collapsed="false">
      <c r="B32918" s="0" t="s">
        <v>259</v>
      </c>
    </row>
    <row r="32920" customFormat="false" ht="12.8" hidden="false" customHeight="false" outlineLevel="0" collapsed="false">
      <c r="A32920" s="0" t="s">
        <v>12197</v>
      </c>
      <c r="B32920" s="0" t="str">
        <f aca="false">HYPERLINK("https://lindat.mff.cuni.cz/services/teitok/pdtc10/index.php?action=vallex&amp;frame=v-w4554f2", "prostrčit (v-w4554f2)")</f>
        <v>prostrčit (v-w4554f2)</v>
      </c>
    </row>
    <row r="32921" customFormat="false" ht="12.8" hidden="false" customHeight="false" outlineLevel="0" collapsed="false">
      <c r="B32921" s="0" t="s">
        <v>7</v>
      </c>
    </row>
    <row r="32922" customFormat="false" ht="12.8" hidden="false" customHeight="false" outlineLevel="0" collapsed="false">
      <c r="B32922" s="0" t="s">
        <v>14</v>
      </c>
    </row>
    <row r="32923" customFormat="false" ht="12.8" hidden="false" customHeight="false" outlineLevel="0" collapsed="false">
      <c r="B32923" s="0" t="s">
        <v>48</v>
      </c>
    </row>
    <row r="32925" customFormat="false" ht="12.8" hidden="false" customHeight="false" outlineLevel="0" collapsed="false">
      <c r="A32925" s="0" t="s">
        <v>12198</v>
      </c>
      <c r="B32925" s="0" t="str">
        <f aca="false">HYPERLINK("https://lindat.mff.cuni.cz/services/teitok/pdtc10/index.php?action=vallex&amp;frame=v-w4554f1", "prostrčit (v-w4554f1)")</f>
        <v>prostrčit (v-w4554f1)</v>
      </c>
    </row>
    <row r="32926" customFormat="false" ht="12.8" hidden="false" customHeight="false" outlineLevel="0" collapsed="false">
      <c r="B32926" s="0" t="s">
        <v>7</v>
      </c>
    </row>
    <row r="32927" customFormat="false" ht="12.8" hidden="false" customHeight="false" outlineLevel="0" collapsed="false">
      <c r="B32927" s="0" t="s">
        <v>14</v>
      </c>
    </row>
    <row r="32928" customFormat="false" ht="12.8" hidden="false" customHeight="false" outlineLevel="0" collapsed="false">
      <c r="B32928" s="0" t="s">
        <v>259</v>
      </c>
    </row>
    <row r="32930" customFormat="false" ht="12.8" hidden="false" customHeight="false" outlineLevel="0" collapsed="false">
      <c r="A32930" s="0" t="s">
        <v>12199</v>
      </c>
      <c r="B32930" s="0" t="str">
        <f aca="false">HYPERLINK("https://lindat.mff.cuni.cz/services/teitok/pdtc10/index.php?action=vallex&amp;frame=v-w4559f1", "prostudovat (v-w4559f1)")</f>
        <v>prostudovat (v-w4559f1)</v>
      </c>
    </row>
    <row r="32931" customFormat="false" ht="12.8" hidden="false" customHeight="false" outlineLevel="0" collapsed="false">
      <c r="B32931" s="0" t="s">
        <v>7</v>
      </c>
      <c r="C32931" s="0" t="s">
        <v>208</v>
      </c>
      <c r="D32931" s="0" t="s">
        <v>92</v>
      </c>
      <c r="E32931" s="0" t="s">
        <v>92</v>
      </c>
      <c r="F32931" s="0" t="s">
        <v>92</v>
      </c>
    </row>
    <row r="32932" customFormat="false" ht="12.8" hidden="false" customHeight="false" outlineLevel="0" collapsed="false">
      <c r="B32932" s="0" t="s">
        <v>14</v>
      </c>
      <c r="C32932" s="0" t="s">
        <v>2182</v>
      </c>
      <c r="D32932" s="0" t="s">
        <v>95</v>
      </c>
      <c r="E32932" s="0" t="s">
        <v>95</v>
      </c>
      <c r="F32932" s="0" t="s">
        <v>95</v>
      </c>
    </row>
    <row r="32934" customFormat="false" ht="12.8" hidden="false" customHeight="false" outlineLevel="0" collapsed="false">
      <c r="A32934" s="0" t="s">
        <v>12200</v>
      </c>
      <c r="B32934" s="0" t="str">
        <f aca="false">HYPERLINK("https://lindat.mff.cuni.cz/services/teitok/pdtc10/index.php?action=vallex&amp;frame=v-whsa_992hsa_993", "prostudovávat (v-whsa_992hsa_993)")</f>
        <v>prostudovávat (v-whsa_992hsa_993)</v>
      </c>
    </row>
    <row r="32935" customFormat="false" ht="12.8" hidden="false" customHeight="false" outlineLevel="0" collapsed="false">
      <c r="B32935" s="0" t="s">
        <v>7</v>
      </c>
      <c r="D32935" s="0" t="s">
        <v>92</v>
      </c>
      <c r="E32935" s="0" t="s">
        <v>92</v>
      </c>
      <c r="F32935" s="0" t="s">
        <v>92</v>
      </c>
    </row>
    <row r="32936" customFormat="false" ht="12.8" hidden="false" customHeight="false" outlineLevel="0" collapsed="false">
      <c r="B32936" s="0" t="s">
        <v>14</v>
      </c>
      <c r="D32936" s="0" t="s">
        <v>95</v>
      </c>
      <c r="E32936" s="0" t="s">
        <v>95</v>
      </c>
      <c r="F32936" s="0" t="s">
        <v>95</v>
      </c>
    </row>
    <row r="32938" customFormat="false" ht="12.8" hidden="false" customHeight="false" outlineLevel="0" collapsed="false">
      <c r="A32938" s="0" t="s">
        <v>12201</v>
      </c>
      <c r="B32938" s="0" t="str">
        <f aca="false">HYPERLINK("https://lindat.mff.cuni.cz/services/teitok/pdtc10/index.php?action=vallex&amp;frame=v-w4561f2", "prostupovat (v-w4561f2)")</f>
        <v>prostupovat (v-w4561f2)</v>
      </c>
    </row>
    <row r="32939" customFormat="false" ht="12.8" hidden="false" customHeight="false" outlineLevel="0" collapsed="false">
      <c r="B32939" s="0" t="s">
        <v>7</v>
      </c>
    </row>
    <row r="32940" customFormat="false" ht="12.8" hidden="false" customHeight="false" outlineLevel="0" collapsed="false">
      <c r="B32940" s="0" t="s">
        <v>14</v>
      </c>
    </row>
    <row r="32942" customFormat="false" ht="12.8" hidden="false" customHeight="false" outlineLevel="0" collapsed="false">
      <c r="A32942" s="0" t="s">
        <v>12202</v>
      </c>
      <c r="B32942" s="0" t="str">
        <f aca="false">HYPERLINK("https://lindat.mff.cuni.cz/services/teitok/pdtc10/index.php?action=vallex&amp;frame=v-w4561f1", "prostupovat (v-w4561f1)")</f>
        <v>prostupovat (v-w4561f1)</v>
      </c>
    </row>
    <row r="32943" customFormat="false" ht="12.8" hidden="false" customHeight="false" outlineLevel="0" collapsed="false">
      <c r="B32943" s="0" t="s">
        <v>7</v>
      </c>
    </row>
    <row r="32944" customFormat="false" ht="12.8" hidden="false" customHeight="false" outlineLevel="0" collapsed="false">
      <c r="B32944" s="0" t="s">
        <v>259</v>
      </c>
    </row>
    <row r="32946" customFormat="false" ht="12.8" hidden="false" customHeight="false" outlineLevel="0" collapsed="false">
      <c r="A32946" s="0" t="s">
        <v>12203</v>
      </c>
      <c r="B32946" s="0" t="str">
        <f aca="false">HYPERLINK("https://lindat.mff.cuni.cz/services/teitok/pdtc10/index.php?action=vallex&amp;frame=v-w4556f1", "prostřelit (v-w4556f1)")</f>
        <v>prostřelit (v-w4556f1)</v>
      </c>
    </row>
    <row r="32947" customFormat="false" ht="12.8" hidden="false" customHeight="false" outlineLevel="0" collapsed="false">
      <c r="B32947" s="0" t="s">
        <v>7</v>
      </c>
    </row>
    <row r="32948" customFormat="false" ht="12.8" hidden="false" customHeight="false" outlineLevel="0" collapsed="false">
      <c r="B32948" s="0" t="s">
        <v>14</v>
      </c>
    </row>
    <row r="32950" customFormat="false" ht="12.8" hidden="false" customHeight="false" outlineLevel="0" collapsed="false">
      <c r="A32950" s="0" t="s">
        <v>12204</v>
      </c>
      <c r="B32950" s="0" t="str">
        <f aca="false">HYPERLINK("https://lindat.mff.cuni.cz/services/teitok/pdtc10/index.php?action=vallex&amp;frame=v-whsb_529hsa_530", "prostřihnout (v-whsb_529hsa_530)")</f>
        <v>prostřihnout (v-whsb_529hsa_530)</v>
      </c>
    </row>
    <row r="32951" customFormat="false" ht="12.8" hidden="false" customHeight="false" outlineLevel="0" collapsed="false">
      <c r="B32951" s="0" t="s">
        <v>7</v>
      </c>
    </row>
    <row r="32952" customFormat="false" ht="12.8" hidden="false" customHeight="false" outlineLevel="0" collapsed="false">
      <c r="B32952" s="0" t="s">
        <v>14</v>
      </c>
    </row>
    <row r="32954" customFormat="false" ht="12.8" hidden="false" customHeight="false" outlineLevel="0" collapsed="false">
      <c r="A32954" s="0" t="s">
        <v>12205</v>
      </c>
      <c r="B32954" s="0" t="str">
        <f aca="false">HYPERLINK("https://lindat.mff.cuni.cz/services/teitok/pdtc10/index.php?action=vallex&amp;frame=v-w11378f1", "prostřídat se (v-w11378f1)")</f>
        <v>prostřídat se (v-w11378f1)</v>
      </c>
    </row>
    <row r="32955" customFormat="false" ht="12.8" hidden="false" customHeight="false" outlineLevel="0" collapsed="false">
      <c r="B32955" s="0" t="s">
        <v>7</v>
      </c>
    </row>
    <row r="32956" customFormat="false" ht="12.8" hidden="false" customHeight="false" outlineLevel="0" collapsed="false">
      <c r="B32956" s="0" t="s">
        <v>548</v>
      </c>
    </row>
    <row r="32958" customFormat="false" ht="12.8" hidden="false" customHeight="false" outlineLevel="0" collapsed="false">
      <c r="A32958" s="0" t="s">
        <v>12206</v>
      </c>
      <c r="B32958" s="0" t="str">
        <f aca="false">HYPERLINK("https://lindat.mff.cuni.cz/services/teitok/pdtc10/index.php?action=vallex&amp;frame=v-w4557f1", "prostříhat (v-w4557f1)")</f>
        <v>prostříhat (v-w4557f1)</v>
      </c>
    </row>
    <row r="32959" customFormat="false" ht="12.8" hidden="false" customHeight="false" outlineLevel="0" collapsed="false">
      <c r="B32959" s="0" t="s">
        <v>7</v>
      </c>
    </row>
    <row r="32960" customFormat="false" ht="12.8" hidden="false" customHeight="false" outlineLevel="0" collapsed="false">
      <c r="B32960" s="0" t="s">
        <v>14</v>
      </c>
    </row>
    <row r="32962" customFormat="false" ht="12.8" hidden="false" customHeight="false" outlineLevel="0" collapsed="false">
      <c r="A32962" s="0" t="s">
        <v>12207</v>
      </c>
      <c r="B32962" s="0" t="str">
        <f aca="false">HYPERLINK("https://lindat.mff.cuni.cz/services/teitok/pdtc10/index.php?action=vallex&amp;frame=v-w4557hsa_535", "prostříhat (v-w4557hsa_535)")</f>
        <v>prostříhat (v-w4557hsa_535)</v>
      </c>
    </row>
    <row r="32963" customFormat="false" ht="12.8" hidden="false" customHeight="false" outlineLevel="0" collapsed="false">
      <c r="B32963" s="0" t="s">
        <v>7</v>
      </c>
      <c r="C32963" s="0" t="s">
        <v>191</v>
      </c>
    </row>
    <row r="32964" customFormat="false" ht="12.8" hidden="false" customHeight="false" outlineLevel="0" collapsed="false">
      <c r="B32964" s="0" t="s">
        <v>14</v>
      </c>
      <c r="C32964" s="0" t="s">
        <v>155</v>
      </c>
    </row>
    <row r="32966" customFormat="false" ht="12.8" hidden="false" customHeight="false" outlineLevel="0" collapsed="false">
      <c r="A32966" s="0" t="s">
        <v>12208</v>
      </c>
      <c r="B32966" s="0" t="str">
        <f aca="false">HYPERLINK("https://lindat.mff.cuni.cz/services/teitok/pdtc10/index.php?action=vallex&amp;frame=v-whsa_374hsa_375", "prostřít (v-whsa_374hsa_375)")</f>
        <v>prostřít (v-whsa_374hsa_375)</v>
      </c>
    </row>
    <row r="32967" customFormat="false" ht="12.8" hidden="false" customHeight="false" outlineLevel="0" collapsed="false">
      <c r="B32967" s="0" t="s">
        <v>7</v>
      </c>
    </row>
    <row r="32968" customFormat="false" ht="12.8" hidden="false" customHeight="false" outlineLevel="0" collapsed="false">
      <c r="B32968" s="0" t="s">
        <v>14</v>
      </c>
    </row>
    <row r="32970" customFormat="false" ht="12.8" hidden="false" customHeight="false" outlineLevel="0" collapsed="false">
      <c r="A32970" s="0" t="s">
        <v>12209</v>
      </c>
      <c r="B32970" s="0" t="str">
        <f aca="false">HYPERLINK("https://lindat.mff.cuni.cz/services/teitok/pdtc10/index.php?action=vallex&amp;frame=v-w10329f2", "prosvištět (v-w10329f2)")</f>
        <v>prosvištět (v-w10329f2)</v>
      </c>
    </row>
    <row r="32971" customFormat="false" ht="12.8" hidden="false" customHeight="false" outlineLevel="0" collapsed="false">
      <c r="B32971" s="0" t="s">
        <v>7</v>
      </c>
    </row>
    <row r="32972" customFormat="false" ht="12.8" hidden="false" customHeight="false" outlineLevel="0" collapsed="false">
      <c r="B32972" s="0" t="s">
        <v>259</v>
      </c>
    </row>
    <row r="32974" customFormat="false" ht="12.8" hidden="false" customHeight="false" outlineLevel="0" collapsed="false">
      <c r="A32974" s="0" t="s">
        <v>12210</v>
      </c>
      <c r="B32974" s="0" t="str">
        <f aca="false">HYPERLINK("https://lindat.mff.cuni.cz/services/teitok/pdtc10/index.php?action=vallex&amp;frame=v-w4563f1", "prosvítat (v-w4563f1)")</f>
        <v>prosvítat (v-w4563f1)</v>
      </c>
    </row>
    <row r="32975" customFormat="false" ht="12.8" hidden="false" customHeight="false" outlineLevel="0" collapsed="false">
      <c r="B32975" s="0" t="s">
        <v>7</v>
      </c>
    </row>
    <row r="32976" customFormat="false" ht="12.8" hidden="false" customHeight="false" outlineLevel="0" collapsed="false">
      <c r="B32976" s="0" t="s">
        <v>259</v>
      </c>
    </row>
    <row r="32978" customFormat="false" ht="12.8" hidden="false" customHeight="false" outlineLevel="0" collapsed="false">
      <c r="A32978" s="0" t="s">
        <v>12211</v>
      </c>
      <c r="B32978" s="0" t="str">
        <f aca="false">HYPERLINK("https://lindat.mff.cuni.cz/services/teitok/pdtc10/index.php?action=vallex&amp;frame=v-whsa_934hsa_935", "prosvítit (v-whsa_934hsa_935)")</f>
        <v>prosvítit (v-whsa_934hsa_935)</v>
      </c>
    </row>
    <row r="32979" customFormat="false" ht="12.8" hidden="false" customHeight="false" outlineLevel="0" collapsed="false">
      <c r="B32979" s="0" t="s">
        <v>7</v>
      </c>
    </row>
    <row r="32980" customFormat="false" ht="12.8" hidden="false" customHeight="false" outlineLevel="0" collapsed="false">
      <c r="B32980" s="0" t="s">
        <v>14</v>
      </c>
    </row>
    <row r="32982" customFormat="false" ht="12.8" hidden="false" customHeight="false" outlineLevel="0" collapsed="false">
      <c r="A32982" s="0" t="s">
        <v>12212</v>
      </c>
      <c r="B32982" s="0" t="str">
        <f aca="false">HYPERLINK("https://lindat.mff.cuni.cz/services/teitok/pdtc10/index.php?action=vallex&amp;frame=v-w10427f2", "prosvětlit (v-w10427f2)")</f>
        <v>prosvětlit (v-w10427f2)</v>
      </c>
    </row>
    <row r="32983" customFormat="false" ht="12.8" hidden="false" customHeight="false" outlineLevel="0" collapsed="false">
      <c r="B32983" s="0" t="s">
        <v>7</v>
      </c>
    </row>
    <row r="32984" customFormat="false" ht="12.8" hidden="false" customHeight="false" outlineLevel="0" collapsed="false">
      <c r="B32984" s="0" t="s">
        <v>14</v>
      </c>
    </row>
    <row r="32986" customFormat="false" ht="12.8" hidden="false" customHeight="false" outlineLevel="0" collapsed="false">
      <c r="A32986" s="0" t="s">
        <v>12213</v>
      </c>
      <c r="B32986" s="0" t="str">
        <f aca="false">HYPERLINK("https://lindat.mff.cuni.cz/services/teitok/pdtc10/index.php?action=vallex&amp;frame=v-w12358_MMf1_MM", "prosvětlovat (v-w12358_MMf1_MM)")</f>
        <v>prosvětlovat (v-w12358_MMf1_MM)</v>
      </c>
    </row>
    <row r="32987" customFormat="false" ht="12.8" hidden="false" customHeight="false" outlineLevel="0" collapsed="false">
      <c r="B32987" s="0" t="s">
        <v>7</v>
      </c>
    </row>
    <row r="32988" customFormat="false" ht="12.8" hidden="false" customHeight="false" outlineLevel="0" collapsed="false">
      <c r="B32988" s="0" t="s">
        <v>14</v>
      </c>
    </row>
    <row r="32990" customFormat="false" ht="12.8" hidden="false" customHeight="false" outlineLevel="0" collapsed="false">
      <c r="A32990" s="0" t="s">
        <v>12214</v>
      </c>
      <c r="B32990" s="0" t="str">
        <f aca="false">HYPERLINK("https://lindat.mff.cuni.cz/services/teitok/pdtc10/index.php?action=vallex&amp;frame=v-w11759_ZUf1_ZU", "prosychat (v-w11759_ZUf1_ZU)")</f>
        <v>prosychat (v-w11759_ZUf1_ZU)</v>
      </c>
    </row>
    <row r="32991" customFormat="false" ht="12.8" hidden="false" customHeight="false" outlineLevel="0" collapsed="false">
      <c r="B32991" s="0" t="s">
        <v>7</v>
      </c>
    </row>
    <row r="32993" customFormat="false" ht="12.8" hidden="false" customHeight="false" outlineLevel="0" collapsed="false">
      <c r="A32993" s="0" t="s">
        <v>12215</v>
      </c>
      <c r="B32993" s="0" t="str">
        <f aca="false">HYPERLINK("https://lindat.mff.cuni.cz/services/teitok/pdtc10/index.php?action=vallex&amp;frame=v-w4522f3", "prosáknout (v-w4522f3)")</f>
        <v>prosáknout (v-w4522f3)</v>
      </c>
    </row>
    <row r="32994" customFormat="false" ht="12.8" hidden="false" customHeight="false" outlineLevel="0" collapsed="false">
      <c r="B32994" s="0" t="s">
        <v>7</v>
      </c>
    </row>
    <row r="32995" customFormat="false" ht="12.8" hidden="false" customHeight="false" outlineLevel="0" collapsed="false">
      <c r="B32995" s="0" t="s">
        <v>216</v>
      </c>
    </row>
    <row r="32997" customFormat="false" ht="12.8" hidden="false" customHeight="false" outlineLevel="0" collapsed="false">
      <c r="A32997" s="0" t="s">
        <v>12216</v>
      </c>
      <c r="B32997" s="0" t="str">
        <f aca="false">HYPERLINK("https://lindat.mff.cuni.cz/services/teitok/pdtc10/index.php?action=vallex&amp;frame=v-w4522f2", "prosáknout (v-w4522f2)")</f>
        <v>prosáknout (v-w4522f2)</v>
      </c>
    </row>
    <row r="32998" customFormat="false" ht="12.8" hidden="false" customHeight="false" outlineLevel="0" collapsed="false">
      <c r="B32998" s="0" t="s">
        <v>7</v>
      </c>
    </row>
    <row r="32999" customFormat="false" ht="12.8" hidden="false" customHeight="false" outlineLevel="0" collapsed="false">
      <c r="B32999" s="0" t="s">
        <v>259</v>
      </c>
    </row>
    <row r="33001" customFormat="false" ht="12.8" hidden="false" customHeight="false" outlineLevel="0" collapsed="false">
      <c r="A33001" s="0" t="s">
        <v>12217</v>
      </c>
      <c r="B33001" s="0" t="str">
        <f aca="false">HYPERLINK("https://lindat.mff.cuni.cz/services/teitok/pdtc10/index.php?action=vallex&amp;frame=v-w4522f1", "prosáknout (v-w4522f1)")</f>
        <v>prosáknout (v-w4522f1)</v>
      </c>
    </row>
    <row r="33002" customFormat="false" ht="12.8" hidden="false" customHeight="false" outlineLevel="0" collapsed="false">
      <c r="B33002" s="0" t="s">
        <v>7</v>
      </c>
      <c r="C33002" s="0" t="s">
        <v>396</v>
      </c>
      <c r="D33002" s="0" t="s">
        <v>1705</v>
      </c>
      <c r="E33002" s="0" t="s">
        <v>1706</v>
      </c>
      <c r="F33002" s="0" t="s">
        <v>1706</v>
      </c>
    </row>
    <row r="33003" customFormat="false" ht="12.8" hidden="false" customHeight="false" outlineLevel="0" collapsed="false">
      <c r="B33003" s="0" t="s">
        <v>124</v>
      </c>
      <c r="D33003" s="0" t="s">
        <v>1707</v>
      </c>
      <c r="E33003" s="0" t="s">
        <v>1707</v>
      </c>
      <c r="F33003" s="0" t="s">
        <v>1707</v>
      </c>
    </row>
    <row r="33005" customFormat="false" ht="12.8" hidden="false" customHeight="false" outlineLevel="0" collapsed="false">
      <c r="A33005" s="0" t="s">
        <v>12218</v>
      </c>
      <c r="B33005" s="0" t="str">
        <f aca="false">HYPERLINK("https://lindat.mff.cuni.cz/services/teitok/pdtc10/index.php?action=vallex&amp;frame=v-whsa_1318hsa_1319", "prosít (v-whsa_1318hsa_1319)")</f>
        <v>prosít (v-whsa_1318hsa_1319)</v>
      </c>
    </row>
    <row r="33006" customFormat="false" ht="12.8" hidden="false" customHeight="false" outlineLevel="0" collapsed="false">
      <c r="B33006" s="0" t="s">
        <v>7</v>
      </c>
      <c r="C33006" s="0" t="s">
        <v>191</v>
      </c>
    </row>
    <row r="33007" customFormat="false" ht="12.8" hidden="false" customHeight="false" outlineLevel="0" collapsed="false">
      <c r="B33007" s="0" t="s">
        <v>14</v>
      </c>
      <c r="C33007" s="0" t="s">
        <v>567</v>
      </c>
    </row>
    <row r="33009" customFormat="false" ht="12.8" hidden="false" customHeight="false" outlineLevel="0" collapsed="false">
      <c r="A33009" s="0" t="s">
        <v>12219</v>
      </c>
      <c r="B33009" s="0" t="str">
        <f aca="false">HYPERLINK("https://lindat.mff.cuni.cz/services/teitok/pdtc10/index.php?action=vallex&amp;frame=v-w4571f1", "protahovat (v-w4571f1)")</f>
        <v>protahovat (v-w4571f1)</v>
      </c>
    </row>
    <row r="33010" customFormat="false" ht="12.8" hidden="false" customHeight="false" outlineLevel="0" collapsed="false">
      <c r="B33010" s="0" t="s">
        <v>7</v>
      </c>
      <c r="D33010" s="0" t="s">
        <v>8058</v>
      </c>
      <c r="E33010" s="0" t="s">
        <v>8058</v>
      </c>
      <c r="F33010" s="0" t="s">
        <v>11636</v>
      </c>
    </row>
    <row r="33011" customFormat="false" ht="12.8" hidden="false" customHeight="false" outlineLevel="0" collapsed="false">
      <c r="B33011" s="0" t="s">
        <v>14</v>
      </c>
      <c r="D33011" s="0" t="s">
        <v>469</v>
      </c>
      <c r="E33011" s="0" t="s">
        <v>469</v>
      </c>
      <c r="F33011" s="0" t="s">
        <v>11638</v>
      </c>
    </row>
    <row r="33012" customFormat="false" ht="12.8" hidden="false" customHeight="false" outlineLevel="0" collapsed="false">
      <c r="B33012" s="0" t="s">
        <v>35</v>
      </c>
      <c r="D33012" s="0" t="s">
        <v>1526</v>
      </c>
      <c r="E33012" s="0" t="s">
        <v>1526</v>
      </c>
      <c r="F33012" s="0" t="s">
        <v>6246</v>
      </c>
    </row>
    <row r="33013" customFormat="false" ht="12.8" hidden="false" customHeight="false" outlineLevel="0" collapsed="false">
      <c r="B33013" s="0" t="s">
        <v>84</v>
      </c>
      <c r="D33013" s="0" t="s">
        <v>6873</v>
      </c>
      <c r="E33013" s="0" t="s">
        <v>6873</v>
      </c>
      <c r="F33013" s="0" t="s">
        <v>11641</v>
      </c>
    </row>
    <row r="33015" customFormat="false" ht="12.8" hidden="false" customHeight="false" outlineLevel="0" collapsed="false">
      <c r="A33015" s="0" t="s">
        <v>12220</v>
      </c>
      <c r="B33015" s="0" t="str">
        <f aca="false">HYPERLINK("https://lindat.mff.cuni.cz/services/teitok/pdtc10/index.php?action=vallex&amp;frame=v-w4571hsa_1292", "protahovat (v-w4571hsa_1292)")</f>
        <v>protahovat (v-w4571hsa_1292)</v>
      </c>
    </row>
    <row r="33016" customFormat="false" ht="12.8" hidden="false" customHeight="false" outlineLevel="0" collapsed="false">
      <c r="B33016" s="0" t="s">
        <v>7</v>
      </c>
      <c r="C33016" s="0" t="s">
        <v>335</v>
      </c>
    </row>
    <row r="33017" customFormat="false" ht="12.8" hidden="false" customHeight="false" outlineLevel="0" collapsed="false">
      <c r="B33017" s="0" t="s">
        <v>14</v>
      </c>
      <c r="C33017" s="0" t="s">
        <v>461</v>
      </c>
    </row>
    <row r="33019" customFormat="false" ht="12.8" hidden="false" customHeight="false" outlineLevel="0" collapsed="false">
      <c r="A33019" s="0" t="s">
        <v>12221</v>
      </c>
      <c r="B33019" s="0" t="str">
        <f aca="false">HYPERLINK("https://lindat.mff.cuni.cz/services/teitok/pdtc10/index.php?action=vallex&amp;frame=v-w4571f2_ZU", "protahovat (v-w4571f2_ZU)")</f>
        <v>protahovat (v-w4571f2_ZU)</v>
      </c>
    </row>
    <row r="33020" customFormat="false" ht="12.8" hidden="false" customHeight="false" outlineLevel="0" collapsed="false">
      <c r="B33020" s="0" t="s">
        <v>7</v>
      </c>
    </row>
    <row r="33021" customFormat="false" ht="12.8" hidden="false" customHeight="false" outlineLevel="0" collapsed="false">
      <c r="B33021" s="0" t="s">
        <v>14</v>
      </c>
    </row>
    <row r="33023" customFormat="false" ht="12.8" hidden="false" customHeight="false" outlineLevel="0" collapsed="false">
      <c r="A33023" s="0" t="s">
        <v>12222</v>
      </c>
      <c r="B33023" s="0" t="str">
        <f aca="false">HYPERLINK("https://lindat.mff.cuni.cz/services/teitok/pdtc10/index.php?action=vallex&amp;frame=v-w12034_ZUf1_ZU", "protancovat (v-w12034_ZUf1_ZU)")</f>
        <v>protancovat (v-w12034_ZUf1_ZU)</v>
      </c>
    </row>
    <row r="33024" customFormat="false" ht="12.8" hidden="false" customHeight="false" outlineLevel="0" collapsed="false">
      <c r="B33024" s="0" t="s">
        <v>7</v>
      </c>
    </row>
    <row r="33025" customFormat="false" ht="12.8" hidden="false" customHeight="false" outlineLevel="0" collapsed="false">
      <c r="B33025" s="0" t="s">
        <v>14</v>
      </c>
    </row>
    <row r="33027" customFormat="false" ht="12.8" hidden="false" customHeight="false" outlineLevel="0" collapsed="false">
      <c r="A33027" s="0" t="s">
        <v>12223</v>
      </c>
      <c r="B33027" s="0" t="str">
        <f aca="false">HYPERLINK("https://lindat.mff.cuni.cz/services/teitok/pdtc10/index.php?action=vallex&amp;frame=v-whsb_153hsa_154", "protavit se (v-whsb_153hsa_154)")</f>
        <v>protavit se (v-whsb_153hsa_154)</v>
      </c>
    </row>
    <row r="33028" customFormat="false" ht="12.8" hidden="false" customHeight="false" outlineLevel="0" collapsed="false">
      <c r="B33028" s="0" t="s">
        <v>7</v>
      </c>
    </row>
    <row r="33030" customFormat="false" ht="12.8" hidden="false" customHeight="false" outlineLevel="0" collapsed="false">
      <c r="A33030" s="0" t="s">
        <v>12224</v>
      </c>
      <c r="B33030" s="0" t="str">
        <f aca="false">HYPERLINK("https://lindat.mff.cuni.cz/services/teitok/pdtc10/index.php?action=vallex&amp;frame=v-w4575f3_ZU", "protestovat (v-w4575f3_ZU)")</f>
        <v>protestovat (v-w4575f3_ZU)</v>
      </c>
    </row>
    <row r="33031" customFormat="false" ht="12.8" hidden="false" customHeight="false" outlineLevel="0" collapsed="false">
      <c r="B33031" s="0" t="s">
        <v>7</v>
      </c>
      <c r="D33031" s="0" t="s">
        <v>351</v>
      </c>
      <c r="E33031" s="0" t="s">
        <v>351</v>
      </c>
      <c r="F33031" s="0" t="s">
        <v>351</v>
      </c>
    </row>
    <row r="33032" customFormat="false" ht="12.8" hidden="false" customHeight="false" outlineLevel="0" collapsed="false">
      <c r="B33032" s="0" t="s">
        <v>12225</v>
      </c>
      <c r="D33032" s="0" t="s">
        <v>7637</v>
      </c>
      <c r="E33032" s="0" t="s">
        <v>7637</v>
      </c>
      <c r="F33032" s="0" t="s">
        <v>7637</v>
      </c>
    </row>
    <row r="33034" customFormat="false" ht="12.8" hidden="false" customHeight="false" outlineLevel="0" collapsed="false">
      <c r="A33034" s="0" t="s">
        <v>12224</v>
      </c>
      <c r="B33034" s="0" t="str">
        <f aca="false">HYPERLINK("https://lindat.mff.cuni.cz/services/teitok/pdtc10/index.php?action=vallex&amp;frame=v-w4575f1", "protestovat (v-w4575f1) - substituted with v-w4575f3_ZU")</f>
        <v>protestovat (v-w4575f1) - substituted with v-w4575f3_ZU</v>
      </c>
    </row>
    <row r="33035" customFormat="false" ht="12.8" hidden="false" customHeight="false" outlineLevel="0" collapsed="false">
      <c r="B33035" s="0" t="s">
        <v>7</v>
      </c>
      <c r="C33035" s="0" t="s">
        <v>12226</v>
      </c>
    </row>
    <row r="33036" customFormat="false" ht="12.8" hidden="false" customHeight="false" outlineLevel="0" collapsed="false">
      <c r="B33036" s="0" t="s">
        <v>12225</v>
      </c>
      <c r="C33036" s="0" t="s">
        <v>12227</v>
      </c>
    </row>
    <row r="33038" customFormat="false" ht="12.8" hidden="false" customHeight="false" outlineLevel="0" collapsed="false">
      <c r="A33038" s="0" t="s">
        <v>12224</v>
      </c>
      <c r="B33038" s="0" t="str">
        <f aca="false">HYPERLINK("https://lindat.mff.cuni.cz/services/teitok/pdtc10/index.php?action=vallex&amp;frame=v-w4575f2_ZU", "protestovat (v-w4575f2_ZU) - substituted with v-w4575f3_ZU")</f>
        <v>protestovat (v-w4575f2_ZU) - substituted with v-w4575f3_ZU</v>
      </c>
    </row>
    <row r="33039" customFormat="false" ht="12.8" hidden="false" customHeight="false" outlineLevel="0" collapsed="false">
      <c r="B33039" s="0" t="s">
        <v>7</v>
      </c>
      <c r="C33039" s="0" t="s">
        <v>12228</v>
      </c>
    </row>
    <row r="33040" customFormat="false" ht="12.8" hidden="false" customHeight="false" outlineLevel="0" collapsed="false">
      <c r="B33040" s="0" t="s">
        <v>12225</v>
      </c>
      <c r="C33040" s="0" t="s">
        <v>7444</v>
      </c>
    </row>
    <row r="33042" customFormat="false" ht="12.8" hidden="false" customHeight="false" outlineLevel="0" collapsed="false">
      <c r="A33042" s="0" t="s">
        <v>12229</v>
      </c>
      <c r="B33042" s="0" t="str">
        <f aca="false">HYPERLINK("https://lindat.mff.cuni.cz/services/teitok/pdtc10/index.php?action=vallex&amp;frame=v-w4577f1", "protežovat (v-w4577f1)")</f>
        <v>protežovat (v-w4577f1)</v>
      </c>
    </row>
    <row r="33043" customFormat="false" ht="12.8" hidden="false" customHeight="false" outlineLevel="0" collapsed="false">
      <c r="B33043" s="0" t="s">
        <v>7</v>
      </c>
    </row>
    <row r="33044" customFormat="false" ht="12.8" hidden="false" customHeight="false" outlineLevel="0" collapsed="false">
      <c r="B33044" s="0" t="s">
        <v>14</v>
      </c>
    </row>
    <row r="33046" customFormat="false" ht="12.8" hidden="false" customHeight="false" outlineLevel="0" collapsed="false">
      <c r="A33046" s="0" t="s">
        <v>12230</v>
      </c>
      <c r="B33046" s="0" t="str">
        <f aca="false">HYPERLINK("https://lindat.mff.cuni.cz/services/teitok/pdtc10/index.php?action=vallex&amp;frame=v-w11092f2", "protiřečit (v-w11092f2)")</f>
        <v>protiřečit (v-w11092f2)</v>
      </c>
    </row>
    <row r="33047" customFormat="false" ht="12.8" hidden="false" customHeight="false" outlineLevel="0" collapsed="false">
      <c r="B33047" s="0" t="s">
        <v>7</v>
      </c>
      <c r="C33047" s="0" t="s">
        <v>184</v>
      </c>
      <c r="D33047" s="0" t="s">
        <v>184</v>
      </c>
      <c r="E33047" s="0" t="s">
        <v>184</v>
      </c>
      <c r="F33047" s="0" t="s">
        <v>184</v>
      </c>
    </row>
    <row r="33048" customFormat="false" ht="12.8" hidden="false" customHeight="false" outlineLevel="0" collapsed="false">
      <c r="B33048" s="0" t="s">
        <v>142</v>
      </c>
      <c r="C33048" s="0" t="s">
        <v>33</v>
      </c>
      <c r="D33048" s="0" t="s">
        <v>33</v>
      </c>
      <c r="E33048" s="0" t="s">
        <v>33</v>
      </c>
      <c r="F33048" s="0" t="s">
        <v>33</v>
      </c>
    </row>
    <row r="33050" customFormat="false" ht="12.8" hidden="false" customHeight="false" outlineLevel="0" collapsed="false">
      <c r="A33050" s="0" t="s">
        <v>12231</v>
      </c>
      <c r="B33050" s="0" t="str">
        <f aca="false">HYPERLINK("https://lindat.mff.cuni.cz/services/teitok/pdtc10/index.php?action=vallex&amp;frame=v-w4588f1", "protkat (v-w4588f1)")</f>
        <v>protkat (v-w4588f1)</v>
      </c>
    </row>
    <row r="33051" customFormat="false" ht="12.8" hidden="false" customHeight="false" outlineLevel="0" collapsed="false">
      <c r="B33051" s="0" t="s">
        <v>7</v>
      </c>
    </row>
    <row r="33052" customFormat="false" ht="12.8" hidden="false" customHeight="false" outlineLevel="0" collapsed="false">
      <c r="B33052" s="0" t="s">
        <v>14</v>
      </c>
    </row>
    <row r="33054" customFormat="false" ht="12.8" hidden="false" customHeight="false" outlineLevel="0" collapsed="false">
      <c r="A33054" s="0" t="s">
        <v>12232</v>
      </c>
      <c r="B33054" s="0" t="str">
        <f aca="false">HYPERLINK("https://lindat.mff.cuni.cz/services/teitok/pdtc10/index.php?action=vallex&amp;frame=v-w10694f2", "protkávat (v-w10694f2)")</f>
        <v>protkávat (v-w10694f2)</v>
      </c>
    </row>
    <row r="33055" customFormat="false" ht="12.8" hidden="false" customHeight="false" outlineLevel="0" collapsed="false">
      <c r="B33055" s="0" t="s">
        <v>7</v>
      </c>
      <c r="D33055" s="0" t="s">
        <v>4116</v>
      </c>
      <c r="E33055" s="0" t="s">
        <v>4116</v>
      </c>
      <c r="F33055" s="0" t="s">
        <v>4116</v>
      </c>
    </row>
    <row r="33056" customFormat="false" ht="12.8" hidden="false" customHeight="false" outlineLevel="0" collapsed="false">
      <c r="B33056" s="0" t="s">
        <v>14</v>
      </c>
      <c r="D33056" s="0" t="s">
        <v>11631</v>
      </c>
      <c r="E33056" s="0" t="s">
        <v>11631</v>
      </c>
      <c r="F33056" s="0" t="s">
        <v>11631</v>
      </c>
    </row>
    <row r="33058" customFormat="false" ht="12.8" hidden="false" customHeight="false" outlineLevel="0" collapsed="false">
      <c r="A33058" s="0" t="s">
        <v>12233</v>
      </c>
      <c r="B33058" s="0" t="str">
        <f aca="false">HYPERLINK("https://lindat.mff.cuni.cz/services/teitok/pdtc10/index.php?action=vallex&amp;frame=v-w11070f3", "protlačit (v-w11070f3)")</f>
        <v>protlačit (v-w11070f3)</v>
      </c>
    </row>
    <row r="33059" customFormat="false" ht="12.8" hidden="false" customHeight="false" outlineLevel="0" collapsed="false">
      <c r="B33059" s="0" t="s">
        <v>7</v>
      </c>
      <c r="C33059" s="0" t="s">
        <v>411</v>
      </c>
      <c r="D33059" s="0" t="s">
        <v>569</v>
      </c>
      <c r="E33059" s="0" t="s">
        <v>569</v>
      </c>
      <c r="F33059" s="0" t="s">
        <v>569</v>
      </c>
    </row>
    <row r="33060" customFormat="false" ht="12.8" hidden="false" customHeight="false" outlineLevel="0" collapsed="false">
      <c r="B33060" s="0" t="s">
        <v>14</v>
      </c>
      <c r="C33060" s="0" t="s">
        <v>12234</v>
      </c>
      <c r="D33060" s="0" t="s">
        <v>1146</v>
      </c>
      <c r="E33060" s="0" t="s">
        <v>1146</v>
      </c>
      <c r="F33060" s="0" t="s">
        <v>1146</v>
      </c>
    </row>
    <row r="33062" customFormat="false" ht="12.8" hidden="false" customHeight="false" outlineLevel="0" collapsed="false">
      <c r="A33062" s="0" t="s">
        <v>12235</v>
      </c>
      <c r="B33062" s="0" t="str">
        <f aca="false">HYPERLINK("https://lindat.mff.cuni.cz/services/teitok/pdtc10/index.php?action=vallex&amp;frame=v-w11099f2", "protlačovat (v-w11099f2)")</f>
        <v>protlačovat (v-w11099f2)</v>
      </c>
    </row>
    <row r="33063" customFormat="false" ht="12.8" hidden="false" customHeight="false" outlineLevel="0" collapsed="false">
      <c r="B33063" s="0" t="s">
        <v>7</v>
      </c>
      <c r="D33063" s="0" t="s">
        <v>569</v>
      </c>
      <c r="E33063" s="0" t="s">
        <v>569</v>
      </c>
      <c r="F33063" s="0" t="s">
        <v>569</v>
      </c>
    </row>
    <row r="33064" customFormat="false" ht="12.8" hidden="false" customHeight="false" outlineLevel="0" collapsed="false">
      <c r="B33064" s="0" t="s">
        <v>14</v>
      </c>
      <c r="D33064" s="0" t="s">
        <v>1146</v>
      </c>
      <c r="E33064" s="0" t="s">
        <v>1146</v>
      </c>
      <c r="F33064" s="0" t="s">
        <v>1146</v>
      </c>
    </row>
    <row r="33066" customFormat="false" ht="12.8" hidden="false" customHeight="false" outlineLevel="0" collapsed="false">
      <c r="A33066" s="0" t="s">
        <v>12236</v>
      </c>
      <c r="B33066" s="0" t="str">
        <f aca="false">HYPERLINK("https://lindat.mff.cuni.cz/services/teitok/pdtc10/index.php?action=vallex&amp;frame=v-w12266_ZUf1_ZU", "protloukat (v-w12266_ZUf1_ZU)")</f>
        <v>protloukat (v-w12266_ZUf1_ZU)</v>
      </c>
    </row>
    <row r="33067" customFormat="false" ht="12.8" hidden="false" customHeight="false" outlineLevel="0" collapsed="false">
      <c r="B33067" s="0" t="s">
        <v>7</v>
      </c>
    </row>
    <row r="33068" customFormat="false" ht="12.8" hidden="false" customHeight="false" outlineLevel="0" collapsed="false">
      <c r="B33068" s="0" t="s">
        <v>14</v>
      </c>
    </row>
    <row r="33070" customFormat="false" ht="12.8" hidden="false" customHeight="false" outlineLevel="0" collapsed="false">
      <c r="A33070" s="0" t="s">
        <v>12237</v>
      </c>
      <c r="B33070" s="0" t="str">
        <f aca="false">HYPERLINK("https://lindat.mff.cuni.cz/services/teitok/pdtc10/index.php?action=vallex&amp;frame=v-w11704_ZUf3_MM", "protloukat se (v-w11704_ZUf3_MM)")</f>
        <v>protloukat se (v-w11704_ZUf3_MM)</v>
      </c>
    </row>
    <row r="33071" customFormat="false" ht="12.8" hidden="false" customHeight="false" outlineLevel="0" collapsed="false">
      <c r="B33071" s="0" t="s">
        <v>7</v>
      </c>
    </row>
    <row r="33072" customFormat="false" ht="12.8" hidden="false" customHeight="false" outlineLevel="0" collapsed="false">
      <c r="B33072" s="0" t="s">
        <v>4324</v>
      </c>
    </row>
    <row r="33074" customFormat="false" ht="12.8" hidden="false" customHeight="false" outlineLevel="0" collapsed="false">
      <c r="A33074" s="0" t="s">
        <v>12237</v>
      </c>
      <c r="B33074" s="0" t="str">
        <f aca="false">HYPERLINK("https://lindat.mff.cuni.cz/services/teitok/pdtc10/index.php?action=vallex&amp;frame=v-w11704_ZUf1_ZU", "protloukat se (v-w11704_ZUf1_ZU) - substituted with v-w11704_ZUf3_MM")</f>
        <v>protloukat se (v-w11704_ZUf1_ZU) - substituted with v-w11704_ZUf3_MM</v>
      </c>
    </row>
    <row r="33075" customFormat="false" ht="12.8" hidden="false" customHeight="false" outlineLevel="0" collapsed="false">
      <c r="B33075" s="0" t="s">
        <v>7</v>
      </c>
    </row>
    <row r="33076" customFormat="false" ht="12.8" hidden="false" customHeight="false" outlineLevel="0" collapsed="false">
      <c r="B33076" s="0" t="s">
        <v>4324</v>
      </c>
    </row>
    <row r="33078" customFormat="false" ht="12.8" hidden="false" customHeight="false" outlineLevel="0" collapsed="false">
      <c r="A33078" s="0" t="s">
        <v>12237</v>
      </c>
      <c r="B33078" s="0" t="str">
        <f aca="false">HYPERLINK("https://lindat.mff.cuni.cz/services/teitok/pdtc10/index.php?action=vallex&amp;frame=v-w11704_ZUf2_ZU", "protloukat se (v-w11704_ZUf2_ZU) - substituted with v-w11704_ZUf3_MM")</f>
        <v>protloukat se (v-w11704_ZUf2_ZU) - substituted with v-w11704_ZUf3_MM</v>
      </c>
    </row>
    <row r="33079" customFormat="false" ht="12.8" hidden="false" customHeight="false" outlineLevel="0" collapsed="false">
      <c r="B33079" s="0" t="s">
        <v>7</v>
      </c>
    </row>
    <row r="33080" customFormat="false" ht="12.8" hidden="false" customHeight="false" outlineLevel="0" collapsed="false">
      <c r="B33080" s="0" t="s">
        <v>4324</v>
      </c>
    </row>
    <row r="33082" customFormat="false" ht="12.8" hidden="false" customHeight="false" outlineLevel="0" collapsed="false">
      <c r="A33082" s="0" t="s">
        <v>12238</v>
      </c>
      <c r="B33082" s="0" t="str">
        <f aca="false">HYPERLINK("https://lindat.mff.cuni.cz/services/teitok/pdtc10/index.php?action=vallex&amp;frame=v-w10396f2", "protnout (v-w10396f2)")</f>
        <v>protnout (v-w10396f2)</v>
      </c>
    </row>
    <row r="33083" customFormat="false" ht="12.8" hidden="false" customHeight="false" outlineLevel="0" collapsed="false">
      <c r="B33083" s="0" t="s">
        <v>7</v>
      </c>
    </row>
    <row r="33084" customFormat="false" ht="12.8" hidden="false" customHeight="false" outlineLevel="0" collapsed="false">
      <c r="B33084" s="0" t="s">
        <v>14</v>
      </c>
    </row>
    <row r="33086" customFormat="false" ht="12.8" hidden="false" customHeight="false" outlineLevel="0" collapsed="false">
      <c r="A33086" s="0" t="s">
        <v>12239</v>
      </c>
      <c r="B33086" s="0" t="str">
        <f aca="false">HYPERLINK("https://lindat.mff.cuni.cz/services/teitok/pdtc10/index.php?action=vallex&amp;frame=v-w10396f3_ZU", "protnout (v-w10396f3_ZU)")</f>
        <v>protnout (v-w10396f3_ZU)</v>
      </c>
    </row>
    <row r="33087" customFormat="false" ht="12.8" hidden="false" customHeight="false" outlineLevel="0" collapsed="false">
      <c r="B33087" s="0" t="s">
        <v>7</v>
      </c>
      <c r="C33087" s="0" t="s">
        <v>200</v>
      </c>
      <c r="D33087" s="0" t="s">
        <v>12240</v>
      </c>
      <c r="E33087" s="0" t="s">
        <v>12240</v>
      </c>
      <c r="F33087" s="0" t="s">
        <v>12240</v>
      </c>
    </row>
    <row r="33088" customFormat="false" ht="12.8" hidden="false" customHeight="false" outlineLevel="0" collapsed="false">
      <c r="B33088" s="0" t="s">
        <v>14</v>
      </c>
      <c r="D33088" s="0" t="s">
        <v>12241</v>
      </c>
      <c r="E33088" s="0" t="s">
        <v>12241</v>
      </c>
      <c r="F33088" s="0" t="s">
        <v>12241</v>
      </c>
    </row>
    <row r="33090" customFormat="false" ht="12.8" hidden="false" customHeight="false" outlineLevel="0" collapsed="false">
      <c r="A33090" s="0" t="s">
        <v>12242</v>
      </c>
      <c r="B33090" s="0" t="str">
        <f aca="false">HYPERLINK("https://lindat.mff.cuni.cz/services/teitok/pdtc10/index.php?action=vallex&amp;frame=v-whsa_754hsa_755", "protnout se (v-whsa_754hsa_755)")</f>
        <v>protnout se (v-whsa_754hsa_755)</v>
      </c>
    </row>
    <row r="33091" customFormat="false" ht="12.8" hidden="false" customHeight="false" outlineLevel="0" collapsed="false">
      <c r="B33091" s="0" t="s">
        <v>7</v>
      </c>
    </row>
    <row r="33092" customFormat="false" ht="12.8" hidden="false" customHeight="false" outlineLevel="0" collapsed="false">
      <c r="B33092" s="0" t="s">
        <v>548</v>
      </c>
    </row>
    <row r="33094" customFormat="false" ht="12.8" hidden="false" customHeight="false" outlineLevel="0" collapsed="false">
      <c r="A33094" s="0" t="s">
        <v>12243</v>
      </c>
      <c r="B33094" s="0" t="str">
        <f aca="false">HYPERLINK("https://lindat.mff.cuni.cz/services/teitok/pdtc10/index.php?action=vallex&amp;frame=v-whsa_228hsa_229", "protrhat se (v-whsa_228hsa_229)")</f>
        <v>protrhat se (v-whsa_228hsa_229)</v>
      </c>
    </row>
    <row r="33095" customFormat="false" ht="12.8" hidden="false" customHeight="false" outlineLevel="0" collapsed="false">
      <c r="B33095" s="0" t="s">
        <v>7</v>
      </c>
    </row>
    <row r="33097" customFormat="false" ht="12.8" hidden="false" customHeight="false" outlineLevel="0" collapsed="false">
      <c r="A33097" s="0" t="s">
        <v>12244</v>
      </c>
      <c r="B33097" s="0" t="str">
        <f aca="false">HYPERLINK("https://lindat.mff.cuni.cz/services/teitok/pdtc10/index.php?action=vallex&amp;frame=v-w4592f1", "protrhnout (v-w4592f1)")</f>
        <v>protrhnout (v-w4592f1)</v>
      </c>
    </row>
    <row r="33098" customFormat="false" ht="12.8" hidden="false" customHeight="false" outlineLevel="0" collapsed="false">
      <c r="B33098" s="0" t="s">
        <v>7</v>
      </c>
    </row>
    <row r="33099" customFormat="false" ht="12.8" hidden="false" customHeight="false" outlineLevel="0" collapsed="false">
      <c r="B33099" s="0" t="s">
        <v>14</v>
      </c>
    </row>
    <row r="33101" customFormat="false" ht="12.8" hidden="false" customHeight="false" outlineLevel="0" collapsed="false">
      <c r="A33101" s="0" t="s">
        <v>12245</v>
      </c>
      <c r="B33101" s="0" t="str">
        <f aca="false">HYPERLINK("https://lindat.mff.cuni.cz/services/teitok/pdtc10/index.php?action=vallex&amp;frame=v-w4592f3", "protrhnout (v-w4592f3)")</f>
        <v>protrhnout (v-w4592f3)</v>
      </c>
    </row>
    <row r="33102" customFormat="false" ht="12.8" hidden="false" customHeight="false" outlineLevel="0" collapsed="false">
      <c r="B33102" s="0" t="s">
        <v>7</v>
      </c>
    </row>
    <row r="33103" customFormat="false" ht="12.8" hidden="false" customHeight="false" outlineLevel="0" collapsed="false">
      <c r="B33103" s="0" t="s">
        <v>14</v>
      </c>
    </row>
    <row r="33105" customFormat="false" ht="12.8" hidden="false" customHeight="false" outlineLevel="0" collapsed="false">
      <c r="A33105" s="0" t="s">
        <v>12246</v>
      </c>
      <c r="B33105" s="0" t="str">
        <f aca="false">HYPERLINK("https://lindat.mff.cuni.cz/services/teitok/pdtc10/index.php?action=vallex&amp;frame=v-w4592f2", "protrhnout (v-w4592f2)")</f>
        <v>protrhnout (v-w4592f2)</v>
      </c>
    </row>
    <row r="33106" customFormat="false" ht="12.8" hidden="false" customHeight="false" outlineLevel="0" collapsed="false">
      <c r="B33106" s="0" t="s">
        <v>7</v>
      </c>
    </row>
    <row r="33107" customFormat="false" ht="12.8" hidden="false" customHeight="false" outlineLevel="0" collapsed="false">
      <c r="B33107" s="0" t="s">
        <v>14</v>
      </c>
    </row>
    <row r="33109" customFormat="false" ht="12.8" hidden="false" customHeight="false" outlineLevel="0" collapsed="false">
      <c r="A33109" s="0" t="s">
        <v>12247</v>
      </c>
      <c r="B33109" s="0" t="str">
        <f aca="false">HYPERLINK("https://lindat.mff.cuni.cz/services/teitok/pdtc10/index.php?action=vallex&amp;frame=v-w4593f1", "protrhnout se (v-w4593f1)")</f>
        <v>protrhnout se (v-w4593f1)</v>
      </c>
    </row>
    <row r="33110" customFormat="false" ht="12.8" hidden="false" customHeight="false" outlineLevel="0" collapsed="false">
      <c r="B33110" s="0" t="s">
        <v>7</v>
      </c>
    </row>
    <row r="33112" customFormat="false" ht="12.8" hidden="false" customHeight="false" outlineLevel="0" collapsed="false">
      <c r="A33112" s="0" t="s">
        <v>12248</v>
      </c>
      <c r="B33112" s="0" t="str">
        <f aca="false">HYPERLINK("https://lindat.mff.cuni.cz/services/teitok/pdtc10/index.php?action=vallex&amp;frame=v-w4590f1", "protrhávat (v-w4590f1)")</f>
        <v>protrhávat (v-w4590f1)</v>
      </c>
    </row>
    <row r="33113" customFormat="false" ht="12.8" hidden="false" customHeight="false" outlineLevel="0" collapsed="false">
      <c r="B33113" s="0" t="s">
        <v>7</v>
      </c>
      <c r="D33113" s="0" t="s">
        <v>335</v>
      </c>
      <c r="E33113" s="0" t="s">
        <v>335</v>
      </c>
      <c r="F33113" s="0" t="s">
        <v>335</v>
      </c>
    </row>
    <row r="33114" customFormat="false" ht="12.8" hidden="false" customHeight="false" outlineLevel="0" collapsed="false">
      <c r="B33114" s="0" t="s">
        <v>14</v>
      </c>
      <c r="D33114" s="0" t="s">
        <v>1170</v>
      </c>
      <c r="E33114" s="0" t="s">
        <v>1170</v>
      </c>
      <c r="F33114" s="0" t="s">
        <v>1170</v>
      </c>
    </row>
    <row r="33116" customFormat="false" ht="12.8" hidden="false" customHeight="false" outlineLevel="0" collapsed="false">
      <c r="A33116" s="0" t="s">
        <v>12249</v>
      </c>
      <c r="B33116" s="0" t="str">
        <f aca="false">HYPERLINK("https://lindat.mff.cuni.cz/services/teitok/pdtc10/index.php?action=vallex&amp;frame=v-w4591f1", "protrhávat se (v-w4591f1)")</f>
        <v>protrhávat se (v-w4591f1)</v>
      </c>
    </row>
    <row r="33117" customFormat="false" ht="12.8" hidden="false" customHeight="false" outlineLevel="0" collapsed="false">
      <c r="B33117" s="0" t="s">
        <v>7</v>
      </c>
    </row>
    <row r="33119" customFormat="false" ht="12.8" hidden="false" customHeight="false" outlineLevel="0" collapsed="false">
      <c r="A33119" s="0" t="s">
        <v>12250</v>
      </c>
      <c r="B33119" s="0" t="str">
        <f aca="false">HYPERLINK("https://lindat.mff.cuni.cz/services/teitok/pdtc10/index.php?action=vallex&amp;frame=v-w4594f1", "protrpět (v-w4594f1)")</f>
        <v>protrpět (v-w4594f1)</v>
      </c>
    </row>
    <row r="33120" customFormat="false" ht="12.8" hidden="false" customHeight="false" outlineLevel="0" collapsed="false">
      <c r="B33120" s="0" t="s">
        <v>7</v>
      </c>
      <c r="C33120" s="0" t="s">
        <v>176</v>
      </c>
      <c r="D33120" s="0" t="s">
        <v>12251</v>
      </c>
      <c r="E33120" s="0" t="s">
        <v>12251</v>
      </c>
      <c r="F33120" s="0" t="s">
        <v>12251</v>
      </c>
    </row>
    <row r="33121" customFormat="false" ht="12.8" hidden="false" customHeight="false" outlineLevel="0" collapsed="false">
      <c r="B33121" s="0" t="s">
        <v>14</v>
      </c>
      <c r="C33121" s="0" t="s">
        <v>11835</v>
      </c>
      <c r="D33121" s="0" t="s">
        <v>12252</v>
      </c>
      <c r="E33121" s="0" t="s">
        <v>12252</v>
      </c>
      <c r="F33121" s="0" t="s">
        <v>12252</v>
      </c>
    </row>
    <row r="33123" customFormat="false" ht="12.8" hidden="false" customHeight="false" outlineLevel="0" collapsed="false">
      <c r="A33123" s="0" t="s">
        <v>12253</v>
      </c>
      <c r="B33123" s="0" t="str">
        <f aca="false">HYPERLINK("https://lindat.mff.cuni.cz/services/teitok/pdtc10/index.php?action=vallex&amp;frame=v-w4568f1", "protáhnout (v-w4568f1)")</f>
        <v>protáhnout (v-w4568f1)</v>
      </c>
    </row>
    <row r="33124" customFormat="false" ht="12.8" hidden="false" customHeight="false" outlineLevel="0" collapsed="false">
      <c r="B33124" s="0" t="s">
        <v>7</v>
      </c>
      <c r="C33124" s="0" t="s">
        <v>8313</v>
      </c>
      <c r="D33124" s="0" t="s">
        <v>8058</v>
      </c>
      <c r="E33124" s="0" t="s">
        <v>8058</v>
      </c>
      <c r="F33124" s="0" t="s">
        <v>11636</v>
      </c>
    </row>
    <row r="33125" customFormat="false" ht="12.8" hidden="false" customHeight="false" outlineLevel="0" collapsed="false">
      <c r="B33125" s="0" t="s">
        <v>14</v>
      </c>
      <c r="C33125" s="0" t="s">
        <v>11456</v>
      </c>
      <c r="D33125" s="0" t="s">
        <v>469</v>
      </c>
      <c r="E33125" s="0" t="s">
        <v>469</v>
      </c>
      <c r="F33125" s="0" t="s">
        <v>11638</v>
      </c>
    </row>
    <row r="33126" customFormat="false" ht="12.8" hidden="false" customHeight="false" outlineLevel="0" collapsed="false">
      <c r="B33126" s="0" t="s">
        <v>35</v>
      </c>
      <c r="C33126" s="0" t="s">
        <v>1526</v>
      </c>
      <c r="D33126" s="0" t="s">
        <v>1526</v>
      </c>
      <c r="E33126" s="0" t="s">
        <v>1526</v>
      </c>
      <c r="F33126" s="0" t="s">
        <v>6246</v>
      </c>
    </row>
    <row r="33127" customFormat="false" ht="12.8" hidden="false" customHeight="false" outlineLevel="0" collapsed="false">
      <c r="B33127" s="0" t="s">
        <v>84</v>
      </c>
      <c r="D33127" s="0" t="s">
        <v>6873</v>
      </c>
      <c r="E33127" s="0" t="s">
        <v>6873</v>
      </c>
      <c r="F33127" s="0" t="s">
        <v>11641</v>
      </c>
    </row>
    <row r="33129" customFormat="false" ht="12.8" hidden="false" customHeight="false" outlineLevel="0" collapsed="false">
      <c r="A33129" s="0" t="s">
        <v>12254</v>
      </c>
      <c r="B33129" s="0" t="str">
        <f aca="false">HYPERLINK("https://lindat.mff.cuni.cz/services/teitok/pdtc10/index.php?action=vallex&amp;frame=v-w4568f2", "protáhnout (v-w4568f2)")</f>
        <v>protáhnout (v-w4568f2)</v>
      </c>
    </row>
    <row r="33130" customFormat="false" ht="12.8" hidden="false" customHeight="false" outlineLevel="0" collapsed="false">
      <c r="B33130" s="0" t="s">
        <v>7</v>
      </c>
    </row>
    <row r="33131" customFormat="false" ht="12.8" hidden="false" customHeight="false" outlineLevel="0" collapsed="false">
      <c r="B33131" s="0" t="s">
        <v>14</v>
      </c>
    </row>
    <row r="33132" customFormat="false" ht="12.8" hidden="false" customHeight="false" outlineLevel="0" collapsed="false">
      <c r="B33132" s="0" t="s">
        <v>259</v>
      </c>
    </row>
    <row r="33134" customFormat="false" ht="12.8" hidden="false" customHeight="false" outlineLevel="0" collapsed="false">
      <c r="A33134" s="0" t="s">
        <v>12255</v>
      </c>
      <c r="B33134" s="0" t="str">
        <f aca="false">HYPERLINK("https://lindat.mff.cuni.cz/services/teitok/pdtc10/index.php?action=vallex&amp;frame=v-w4568f3_ZU", "protáhnout (v-w4568f3_ZU)")</f>
        <v>protáhnout (v-w4568f3_ZU)</v>
      </c>
    </row>
    <row r="33135" customFormat="false" ht="12.8" hidden="false" customHeight="false" outlineLevel="0" collapsed="false">
      <c r="B33135" s="0" t="s">
        <v>7</v>
      </c>
    </row>
    <row r="33136" customFormat="false" ht="12.8" hidden="false" customHeight="false" outlineLevel="0" collapsed="false">
      <c r="B33136" s="0" t="s">
        <v>14</v>
      </c>
    </row>
    <row r="33138" customFormat="false" ht="12.8" hidden="false" customHeight="false" outlineLevel="0" collapsed="false">
      <c r="A33138" s="0" t="s">
        <v>12256</v>
      </c>
      <c r="B33138" s="0" t="str">
        <f aca="false">HYPERLINK("https://lindat.mff.cuni.cz/services/teitok/pdtc10/index.php?action=vallex&amp;frame=v-w4569f5_ZU", "protáhnout se (v-w4569f5_ZU)")</f>
        <v>protáhnout se (v-w4569f5_ZU)</v>
      </c>
    </row>
    <row r="33139" customFormat="false" ht="12.8" hidden="false" customHeight="false" outlineLevel="0" collapsed="false">
      <c r="B33139" s="0" t="s">
        <v>7</v>
      </c>
      <c r="D33139" s="0" t="s">
        <v>12257</v>
      </c>
      <c r="E33139" s="0" t="s">
        <v>12257</v>
      </c>
      <c r="F33139" s="0" t="s">
        <v>12258</v>
      </c>
    </row>
    <row r="33140" customFormat="false" ht="12.8" hidden="false" customHeight="false" outlineLevel="0" collapsed="false">
      <c r="B33140" s="0" t="s">
        <v>581</v>
      </c>
      <c r="F33140" s="0" t="s">
        <v>9635</v>
      </c>
    </row>
    <row r="33141" customFormat="false" ht="12.8" hidden="false" customHeight="false" outlineLevel="0" collapsed="false">
      <c r="B33141" s="0" t="s">
        <v>84</v>
      </c>
      <c r="F33141" s="0" t="s">
        <v>6873</v>
      </c>
    </row>
    <row r="33143" customFormat="false" ht="12.8" hidden="false" customHeight="false" outlineLevel="0" collapsed="false">
      <c r="A33143" s="0" t="s">
        <v>12256</v>
      </c>
      <c r="B33143" s="0" t="str">
        <f aca="false">HYPERLINK("https://lindat.mff.cuni.cz/services/teitok/pdtc10/index.php?action=vallex&amp;frame=v-w4569f1", "protáhnout se (v-w4569f1) - substituted with v-w4569f5_ZU")</f>
        <v>protáhnout se (v-w4569f1) - substituted with v-w4569f5_ZU</v>
      </c>
    </row>
    <row r="33144" customFormat="false" ht="12.8" hidden="false" customHeight="false" outlineLevel="0" collapsed="false">
      <c r="B33144" s="0" t="s">
        <v>7</v>
      </c>
      <c r="C33144" s="0" t="s">
        <v>12259</v>
      </c>
    </row>
    <row r="33145" customFormat="false" ht="12.8" hidden="false" customHeight="false" outlineLevel="0" collapsed="false">
      <c r="B33145" s="0" t="s">
        <v>581</v>
      </c>
    </row>
    <row r="33146" customFormat="false" ht="12.8" hidden="false" customHeight="false" outlineLevel="0" collapsed="false">
      <c r="B33146" s="0" t="s">
        <v>84</v>
      </c>
    </row>
    <row r="33148" customFormat="false" ht="12.8" hidden="false" customHeight="false" outlineLevel="0" collapsed="false">
      <c r="A33148" s="0" t="s">
        <v>12256</v>
      </c>
      <c r="B33148" s="0" t="str">
        <f aca="false">HYPERLINK("https://lindat.mff.cuni.cz/services/teitok/pdtc10/index.php?action=vallex&amp;frame=v-w4569f3_ZU", "protáhnout se (v-w4569f3_ZU) - substituted with v-w4569f5_ZU")</f>
        <v>protáhnout se (v-w4569f3_ZU) - substituted with v-w4569f5_ZU</v>
      </c>
    </row>
    <row r="33149" customFormat="false" ht="12.8" hidden="false" customHeight="false" outlineLevel="0" collapsed="false">
      <c r="B33149" s="0" t="s">
        <v>7</v>
      </c>
    </row>
    <row r="33150" customFormat="false" ht="12.8" hidden="false" customHeight="false" outlineLevel="0" collapsed="false">
      <c r="B33150" s="0" t="s">
        <v>581</v>
      </c>
    </row>
    <row r="33151" customFormat="false" ht="12.8" hidden="false" customHeight="false" outlineLevel="0" collapsed="false">
      <c r="B33151" s="0" t="s">
        <v>84</v>
      </c>
    </row>
    <row r="33153" customFormat="false" ht="12.8" hidden="false" customHeight="false" outlineLevel="0" collapsed="false">
      <c r="A33153" s="0" t="s">
        <v>12256</v>
      </c>
      <c r="B33153" s="0" t="str">
        <f aca="false">HYPERLINK("https://lindat.mff.cuni.cz/services/teitok/pdtc10/index.php?action=vallex&amp;frame=v-w4569f4_ZU", "protáhnout se (v-w4569f4_ZU) - substituted with v-w4569f5_ZU")</f>
        <v>protáhnout se (v-w4569f4_ZU) - substituted with v-w4569f5_ZU</v>
      </c>
    </row>
    <row r="33154" customFormat="false" ht="12.8" hidden="false" customHeight="false" outlineLevel="0" collapsed="false">
      <c r="B33154" s="0" t="s">
        <v>7</v>
      </c>
    </row>
    <row r="33155" customFormat="false" ht="12.8" hidden="false" customHeight="false" outlineLevel="0" collapsed="false">
      <c r="B33155" s="0" t="s">
        <v>581</v>
      </c>
    </row>
    <row r="33156" customFormat="false" ht="12.8" hidden="false" customHeight="false" outlineLevel="0" collapsed="false">
      <c r="B33156" s="0" t="s">
        <v>84</v>
      </c>
    </row>
    <row r="33158" customFormat="false" ht="12.8" hidden="false" customHeight="false" outlineLevel="0" collapsed="false">
      <c r="A33158" s="0" t="s">
        <v>12260</v>
      </c>
      <c r="B33158" s="0" t="str">
        <f aca="false">HYPERLINK("https://lindat.mff.cuni.cz/services/teitok/pdtc10/index.php?action=vallex&amp;frame=v-w4569f2", "protáhnout se (v-w4569f2)")</f>
        <v>protáhnout se (v-w4569f2)</v>
      </c>
    </row>
    <row r="33159" customFormat="false" ht="12.8" hidden="false" customHeight="false" outlineLevel="0" collapsed="false">
      <c r="B33159" s="0" t="s">
        <v>7</v>
      </c>
    </row>
    <row r="33161" customFormat="false" ht="12.8" hidden="false" customHeight="false" outlineLevel="0" collapsed="false">
      <c r="A33161" s="0" t="s">
        <v>12261</v>
      </c>
      <c r="B33161" s="0" t="str">
        <f aca="false">HYPERLINK("https://lindat.mff.cuni.cz/services/teitok/pdtc10/index.php?action=vallex&amp;frame=v-w4569f6_ZU", "protáhnout se (v-w4569f6_ZU)")</f>
        <v>protáhnout se (v-w4569f6_ZU)</v>
      </c>
    </row>
    <row r="33162" customFormat="false" ht="12.8" hidden="false" customHeight="false" outlineLevel="0" collapsed="false">
      <c r="B33162" s="0" t="s">
        <v>7</v>
      </c>
    </row>
    <row r="33163" customFormat="false" ht="12.8" hidden="false" customHeight="false" outlineLevel="0" collapsed="false">
      <c r="B33163" s="0" t="s">
        <v>581</v>
      </c>
    </row>
    <row r="33164" customFormat="false" ht="12.8" hidden="false" customHeight="false" outlineLevel="0" collapsed="false">
      <c r="B33164" s="0" t="s">
        <v>84</v>
      </c>
    </row>
    <row r="33166" customFormat="false" ht="12.8" hidden="false" customHeight="false" outlineLevel="0" collapsed="false">
      <c r="A33166" s="0" t="s">
        <v>12262</v>
      </c>
      <c r="B33166" s="0" t="str">
        <f aca="false">HYPERLINK("https://lindat.mff.cuni.cz/services/teitok/pdtc10/index.php?action=vallex&amp;frame=v-w4569f7_ZU", "protáhnout se (v-w4569f7_ZU)")</f>
        <v>protáhnout se (v-w4569f7_ZU)</v>
      </c>
    </row>
    <row r="33167" customFormat="false" ht="12.8" hidden="false" customHeight="false" outlineLevel="0" collapsed="false">
      <c r="B33167" s="0" t="s">
        <v>7</v>
      </c>
    </row>
    <row r="33169" customFormat="false" ht="12.8" hidden="false" customHeight="false" outlineLevel="0" collapsed="false">
      <c r="A33169" s="0" t="s">
        <v>12263</v>
      </c>
      <c r="B33169" s="0" t="str">
        <f aca="false">HYPERLINK("https://lindat.mff.cuni.cz/services/teitok/pdtc10/index.php?action=vallex&amp;frame=v-w4569hsa_850", "protáhnout se (v-w4569hsa_850)")</f>
        <v>protáhnout se (v-w4569hsa_850)</v>
      </c>
    </row>
    <row r="33170" customFormat="false" ht="12.8" hidden="false" customHeight="false" outlineLevel="0" collapsed="false">
      <c r="B33170" s="0" t="s">
        <v>7</v>
      </c>
    </row>
    <row r="33171" customFormat="false" ht="12.8" hidden="false" customHeight="false" outlineLevel="0" collapsed="false">
      <c r="B33171" s="0" t="s">
        <v>259</v>
      </c>
    </row>
    <row r="33173" customFormat="false" ht="12.8" hidden="false" customHeight="false" outlineLevel="0" collapsed="false">
      <c r="A33173" s="0" t="s">
        <v>12264</v>
      </c>
      <c r="B33173" s="0" t="str">
        <f aca="false">HYPERLINK("https://lindat.mff.cuni.cz/services/teitok/pdtc10/index.php?action=vallex&amp;frame=v-w4572f1", "protéci (v-w4572f1)")</f>
        <v>protéci (v-w4572f1)</v>
      </c>
    </row>
    <row r="33174" customFormat="false" ht="12.8" hidden="false" customHeight="false" outlineLevel="0" collapsed="false">
      <c r="B33174" s="0" t="s">
        <v>7</v>
      </c>
    </row>
    <row r="33175" customFormat="false" ht="12.8" hidden="false" customHeight="false" outlineLevel="0" collapsed="false">
      <c r="B33175" s="0" t="s">
        <v>259</v>
      </c>
    </row>
    <row r="33177" customFormat="false" ht="12.8" hidden="false" customHeight="false" outlineLevel="0" collapsed="false">
      <c r="A33177" s="0" t="s">
        <v>12265</v>
      </c>
      <c r="B33177" s="0" t="str">
        <f aca="false">HYPERLINK("https://lindat.mff.cuni.cz/services/teitok/pdtc10/index.php?action=vallex&amp;frame=v-w4573f1", "protékat (v-w4573f1)")</f>
        <v>protékat (v-w4573f1)</v>
      </c>
    </row>
    <row r="33178" customFormat="false" ht="12.8" hidden="false" customHeight="false" outlineLevel="0" collapsed="false">
      <c r="B33178" s="0" t="s">
        <v>7</v>
      </c>
      <c r="D33178" s="0" t="s">
        <v>2170</v>
      </c>
      <c r="E33178" s="0" t="s">
        <v>1226</v>
      </c>
      <c r="F33178" s="0" t="s">
        <v>1226</v>
      </c>
    </row>
    <row r="33179" customFormat="false" ht="12.8" hidden="false" customHeight="false" outlineLevel="0" collapsed="false">
      <c r="B33179" s="0" t="s">
        <v>259</v>
      </c>
      <c r="D33179" s="0" t="s">
        <v>11786</v>
      </c>
      <c r="E33179" s="0" t="s">
        <v>11787</v>
      </c>
      <c r="F33179" s="0" t="s">
        <v>11787</v>
      </c>
    </row>
    <row r="33181" customFormat="false" ht="12.8" hidden="false" customHeight="false" outlineLevel="0" collapsed="false">
      <c r="A33181" s="0" t="s">
        <v>12266</v>
      </c>
      <c r="B33181" s="0" t="str">
        <f aca="false">HYPERLINK("https://lindat.mff.cuni.cz/services/teitok/pdtc10/index.php?action=vallex&amp;frame=v-w4573hsa_1262", "protékat (v-w4573hsa_1262)")</f>
        <v>protékat (v-w4573hsa_1262)</v>
      </c>
    </row>
    <row r="33182" customFormat="false" ht="12.8" hidden="false" customHeight="false" outlineLevel="0" collapsed="false">
      <c r="B33182" s="0" t="s">
        <v>7</v>
      </c>
    </row>
    <row r="33183" customFormat="false" ht="12.8" hidden="false" customHeight="false" outlineLevel="0" collapsed="false">
      <c r="B33183" s="0" t="s">
        <v>14</v>
      </c>
    </row>
    <row r="33185" customFormat="false" ht="12.8" hidden="false" customHeight="false" outlineLevel="0" collapsed="false">
      <c r="A33185" s="0" t="s">
        <v>12267</v>
      </c>
      <c r="B33185" s="0" t="str">
        <f aca="false">HYPERLINK("https://lindat.mff.cuni.cz/services/teitok/pdtc10/index.php?action=vallex&amp;frame=v-w4581f1", "protínat (v-w4581f1)")</f>
        <v>protínat (v-w4581f1)</v>
      </c>
    </row>
    <row r="33186" customFormat="false" ht="12.8" hidden="false" customHeight="false" outlineLevel="0" collapsed="false">
      <c r="B33186" s="0" t="s">
        <v>7</v>
      </c>
    </row>
    <row r="33187" customFormat="false" ht="12.8" hidden="false" customHeight="false" outlineLevel="0" collapsed="false">
      <c r="B33187" s="0" t="s">
        <v>14</v>
      </c>
    </row>
    <row r="33189" customFormat="false" ht="12.8" hidden="false" customHeight="false" outlineLevel="0" collapsed="false">
      <c r="A33189" s="0" t="s">
        <v>12268</v>
      </c>
      <c r="B33189" s="0" t="str">
        <f aca="false">HYPERLINK("https://lindat.mff.cuni.cz/services/teitok/pdtc10/index.php?action=vallex&amp;frame=v-whsb_499hsa_500", "protínat se (v-whsb_499hsa_500)")</f>
        <v>protínat se (v-whsb_499hsa_500)</v>
      </c>
    </row>
    <row r="33190" customFormat="false" ht="12.8" hidden="false" customHeight="false" outlineLevel="0" collapsed="false">
      <c r="B33190" s="0" t="s">
        <v>7</v>
      </c>
    </row>
    <row r="33191" customFormat="false" ht="12.8" hidden="false" customHeight="false" outlineLevel="0" collapsed="false">
      <c r="B33191" s="0" t="s">
        <v>548</v>
      </c>
    </row>
    <row r="33193" customFormat="false" ht="12.8" hidden="false" customHeight="false" outlineLevel="0" collapsed="false">
      <c r="A33193" s="0" t="s">
        <v>12269</v>
      </c>
      <c r="B33193" s="0" t="str">
        <f aca="false">HYPERLINK("https://lindat.mff.cuni.cz/services/teitok/pdtc10/index.php?action=vallex&amp;frame=v-whsa_1738hsa_1739", "protřást (v-whsa_1738hsa_1739)")</f>
        <v>protřást (v-whsa_1738hsa_1739)</v>
      </c>
    </row>
    <row r="33194" customFormat="false" ht="12.8" hidden="false" customHeight="false" outlineLevel="0" collapsed="false">
      <c r="B33194" s="0" t="s">
        <v>7</v>
      </c>
    </row>
    <row r="33195" customFormat="false" ht="12.8" hidden="false" customHeight="false" outlineLevel="0" collapsed="false">
      <c r="B33195" s="0" t="s">
        <v>14</v>
      </c>
    </row>
    <row r="33197" customFormat="false" ht="12.8" hidden="false" customHeight="false" outlineLevel="0" collapsed="false">
      <c r="A33197" s="0" t="s">
        <v>12270</v>
      </c>
      <c r="B33197" s="0" t="str">
        <f aca="false">HYPERLINK("https://lindat.mff.cuni.cz/services/teitok/pdtc10/index.php?action=vallex&amp;frame=v-whsa_1223hsa_1224", "protřídit (v-whsa_1223hsa_1224)")</f>
        <v>protřídit (v-whsa_1223hsa_1224)</v>
      </c>
    </row>
    <row r="33198" customFormat="false" ht="12.8" hidden="false" customHeight="false" outlineLevel="0" collapsed="false">
      <c r="B33198" s="0" t="s">
        <v>7</v>
      </c>
      <c r="C33198" s="0" t="s">
        <v>191</v>
      </c>
      <c r="D33198" s="0" t="s">
        <v>191</v>
      </c>
      <c r="E33198" s="0" t="s">
        <v>191</v>
      </c>
      <c r="F33198" s="0" t="s">
        <v>191</v>
      </c>
    </row>
    <row r="33199" customFormat="false" ht="12.8" hidden="false" customHeight="false" outlineLevel="0" collapsed="false">
      <c r="B33199" s="0" t="s">
        <v>14</v>
      </c>
      <c r="C33199" s="0" t="s">
        <v>567</v>
      </c>
      <c r="D33199" s="0" t="s">
        <v>33</v>
      </c>
      <c r="E33199" s="0" t="s">
        <v>33</v>
      </c>
      <c r="F33199" s="0" t="s">
        <v>33</v>
      </c>
    </row>
    <row r="33201" customFormat="false" ht="12.8" hidden="false" customHeight="false" outlineLevel="0" collapsed="false">
      <c r="A33201" s="0" t="s">
        <v>12271</v>
      </c>
      <c r="B33201" s="0" t="str">
        <f aca="false">HYPERLINK("https://lindat.mff.cuni.cz/services/teitok/pdtc10/index.php?action=vallex&amp;frame=v-w4597f1", "proudit (v-w4597f1)")</f>
        <v>proudit (v-w4597f1)</v>
      </c>
    </row>
    <row r="33202" customFormat="false" ht="12.8" hidden="false" customHeight="false" outlineLevel="0" collapsed="false">
      <c r="B33202" s="0" t="s">
        <v>7</v>
      </c>
      <c r="C33202" s="0" t="s">
        <v>12272</v>
      </c>
      <c r="D33202" s="0" t="s">
        <v>12273</v>
      </c>
      <c r="E33202" s="0" t="s">
        <v>12273</v>
      </c>
      <c r="F33202" s="0" t="s">
        <v>12273</v>
      </c>
    </row>
    <row r="33204" customFormat="false" ht="12.8" hidden="false" customHeight="false" outlineLevel="0" collapsed="false">
      <c r="A33204" s="0" t="s">
        <v>12274</v>
      </c>
      <c r="B33204" s="0" t="str">
        <f aca="false">HYPERLINK("https://lindat.mff.cuni.cz/services/teitok/pdtc10/index.php?action=vallex&amp;frame=v-w4598f1", "proukázat (v-w4598f1)")</f>
        <v>proukázat (v-w4598f1)</v>
      </c>
    </row>
    <row r="33205" customFormat="false" ht="12.8" hidden="false" customHeight="false" outlineLevel="0" collapsed="false">
      <c r="B33205" s="0" t="s">
        <v>7</v>
      </c>
    </row>
    <row r="33206" customFormat="false" ht="12.8" hidden="false" customHeight="false" outlineLevel="0" collapsed="false">
      <c r="B33206" s="0" t="s">
        <v>1554</v>
      </c>
    </row>
    <row r="33207" customFormat="false" ht="12.8" hidden="false" customHeight="false" outlineLevel="0" collapsed="false">
      <c r="B33207" s="0" t="s">
        <v>48</v>
      </c>
    </row>
    <row r="33209" customFormat="false" ht="12.8" hidden="false" customHeight="false" outlineLevel="0" collapsed="false">
      <c r="A33209" s="0" t="s">
        <v>12275</v>
      </c>
      <c r="B33209" s="0" t="str">
        <f aca="false">HYPERLINK("https://lindat.mff.cuni.cz/services/teitok/pdtc10/index.php?action=vallex&amp;frame=v-w4602f1", "provalit (v-w4602f1)")</f>
        <v>provalit (v-w4602f1)</v>
      </c>
    </row>
    <row r="33210" customFormat="false" ht="12.8" hidden="false" customHeight="false" outlineLevel="0" collapsed="false">
      <c r="B33210" s="0" t="s">
        <v>7</v>
      </c>
    </row>
    <row r="33211" customFormat="false" ht="12.8" hidden="false" customHeight="false" outlineLevel="0" collapsed="false">
      <c r="B33211" s="0" t="s">
        <v>14</v>
      </c>
    </row>
    <row r="33213" customFormat="false" ht="12.8" hidden="false" customHeight="false" outlineLevel="0" collapsed="false">
      <c r="A33213" s="0" t="s">
        <v>12276</v>
      </c>
      <c r="B33213" s="0" t="str">
        <f aca="false">HYPERLINK("https://lindat.mff.cuni.cz/services/teitok/pdtc10/index.php?action=vallex&amp;frame=v-w11392f1", "provalit se (v-w11392f1)")</f>
        <v>provalit se (v-w11392f1)</v>
      </c>
    </row>
    <row r="33214" customFormat="false" ht="12.8" hidden="false" customHeight="false" outlineLevel="0" collapsed="false">
      <c r="B33214" s="0" t="s">
        <v>7</v>
      </c>
      <c r="C33214" s="0" t="s">
        <v>176</v>
      </c>
    </row>
    <row r="33216" customFormat="false" ht="12.8" hidden="false" customHeight="false" outlineLevel="0" collapsed="false">
      <c r="A33216" s="0" t="s">
        <v>12277</v>
      </c>
      <c r="B33216" s="0" t="str">
        <f aca="false">HYPERLINK("https://lindat.mff.cuni.cz/services/teitok/pdtc10/index.php?action=vallex&amp;frame=v-w11392hsa_1660", "provalit se (v-w11392hsa_1660)")</f>
        <v>provalit se (v-w11392hsa_1660)</v>
      </c>
    </row>
    <row r="33217" customFormat="false" ht="12.8" hidden="false" customHeight="false" outlineLevel="0" collapsed="false">
      <c r="B33217" s="0" t="s">
        <v>7</v>
      </c>
    </row>
    <row r="33219" customFormat="false" ht="12.8" hidden="false" customHeight="false" outlineLevel="0" collapsed="false">
      <c r="A33219" s="0" t="s">
        <v>12278</v>
      </c>
      <c r="B33219" s="0" t="str">
        <f aca="false">HYPERLINK("https://lindat.mff.cuni.cz/services/teitok/pdtc10/index.php?action=vallex&amp;frame=v-w4606f1", "provdat (v-w4606f1)")</f>
        <v>provdat (v-w4606f1)</v>
      </c>
    </row>
    <row r="33220" customFormat="false" ht="12.8" hidden="false" customHeight="false" outlineLevel="0" collapsed="false">
      <c r="B33220" s="0" t="s">
        <v>7</v>
      </c>
    </row>
    <row r="33221" customFormat="false" ht="12.8" hidden="false" customHeight="false" outlineLevel="0" collapsed="false">
      <c r="B33221" s="0" t="s">
        <v>14</v>
      </c>
    </row>
    <row r="33222" customFormat="false" ht="12.8" hidden="false" customHeight="false" outlineLevel="0" collapsed="false">
      <c r="B33222" s="0" t="s">
        <v>12279</v>
      </c>
    </row>
    <row r="33224" customFormat="false" ht="12.8" hidden="false" customHeight="false" outlineLevel="0" collapsed="false">
      <c r="A33224" s="0" t="s">
        <v>12280</v>
      </c>
      <c r="B33224" s="0" t="str">
        <f aca="false">HYPERLINK("https://lindat.mff.cuni.cz/services/teitok/pdtc10/index.php?action=vallex&amp;frame=v-w4607f1", "provdat se (v-w4607f1)")</f>
        <v>provdat se (v-w4607f1)</v>
      </c>
    </row>
    <row r="33225" customFormat="false" ht="12.8" hidden="false" customHeight="false" outlineLevel="0" collapsed="false">
      <c r="B33225" s="0" t="s">
        <v>7</v>
      </c>
      <c r="E33225" s="0" t="s">
        <v>1380</v>
      </c>
      <c r="F33225" s="0" t="s">
        <v>1380</v>
      </c>
    </row>
    <row r="33226" customFormat="false" ht="12.8" hidden="false" customHeight="false" outlineLevel="0" collapsed="false">
      <c r="B33226" s="0" t="s">
        <v>1654</v>
      </c>
      <c r="E33226" s="0" t="s">
        <v>47</v>
      </c>
      <c r="F33226" s="0" t="s">
        <v>47</v>
      </c>
    </row>
    <row r="33228" customFormat="false" ht="12.8" hidden="false" customHeight="false" outlineLevel="0" collapsed="false">
      <c r="A33228" s="0" t="s">
        <v>12281</v>
      </c>
      <c r="B33228" s="0" t="str">
        <f aca="false">HYPERLINK("https://lindat.mff.cuni.cz/services/teitok/pdtc10/index.php?action=vallex&amp;frame=v-w4621f1", "provinit se (v-w4621f1)")</f>
        <v>provinit se (v-w4621f1)</v>
      </c>
    </row>
    <row r="33229" customFormat="false" ht="12.8" hidden="false" customHeight="false" outlineLevel="0" collapsed="false">
      <c r="B33229" s="0" t="s">
        <v>7</v>
      </c>
      <c r="D33229" s="0" t="s">
        <v>5431</v>
      </c>
      <c r="E33229" s="0" t="s">
        <v>5431</v>
      </c>
      <c r="F33229" s="0" t="s">
        <v>5431</v>
      </c>
    </row>
    <row r="33231" customFormat="false" ht="12.8" hidden="false" customHeight="false" outlineLevel="0" collapsed="false">
      <c r="A33231" s="0" t="s">
        <v>12282</v>
      </c>
      <c r="B33231" s="0" t="str">
        <f aca="false">HYPERLINK("https://lindat.mff.cuni.cz/services/teitok/pdtc10/index.php?action=vallex&amp;frame=v-w4624f2_ZU", "provokovat (v-w4624f2_ZU)")</f>
        <v>provokovat (v-w4624f2_ZU)</v>
      </c>
    </row>
    <row r="33232" customFormat="false" ht="12.8" hidden="false" customHeight="false" outlineLevel="0" collapsed="false">
      <c r="B33232" s="0" t="s">
        <v>7</v>
      </c>
    </row>
    <row r="33233" customFormat="false" ht="12.8" hidden="false" customHeight="false" outlineLevel="0" collapsed="false">
      <c r="B33233" s="0" t="s">
        <v>14</v>
      </c>
    </row>
    <row r="33234" customFormat="false" ht="12.8" hidden="false" customHeight="false" outlineLevel="0" collapsed="false">
      <c r="B33234" s="0" t="s">
        <v>2114</v>
      </c>
    </row>
    <row r="33236" customFormat="false" ht="12.8" hidden="false" customHeight="false" outlineLevel="0" collapsed="false">
      <c r="A33236" s="0" t="s">
        <v>12282</v>
      </c>
      <c r="B33236" s="0" t="str">
        <f aca="false">HYPERLINK("https://lindat.mff.cuni.cz/services/teitok/pdtc10/index.php?action=vallex&amp;frame=v-w4624f1", "provokovat (v-w4624f1) - substituted with v-w4624f2_ZU")</f>
        <v>provokovat (v-w4624f1) - substituted with v-w4624f2_ZU</v>
      </c>
    </row>
    <row r="33237" customFormat="false" ht="12.8" hidden="false" customHeight="false" outlineLevel="0" collapsed="false">
      <c r="B33237" s="0" t="s">
        <v>7</v>
      </c>
      <c r="C33237" s="0" t="s">
        <v>12283</v>
      </c>
    </row>
    <row r="33238" customFormat="false" ht="12.8" hidden="false" customHeight="false" outlineLevel="0" collapsed="false">
      <c r="B33238" s="0" t="s">
        <v>14</v>
      </c>
      <c r="C33238" s="0" t="s">
        <v>152</v>
      </c>
    </row>
    <row r="33239" customFormat="false" ht="12.8" hidden="false" customHeight="false" outlineLevel="0" collapsed="false">
      <c r="B33239" s="0" t="s">
        <v>2114</v>
      </c>
    </row>
    <row r="33241" customFormat="false" ht="12.8" hidden="false" customHeight="false" outlineLevel="0" collapsed="false">
      <c r="A33241" s="0" t="s">
        <v>12284</v>
      </c>
      <c r="B33241" s="0" t="str">
        <f aca="false">HYPERLINK("https://lindat.mff.cuni.cz/services/teitok/pdtc10/index.php?action=vallex&amp;frame=v-w10837f3_ZU", "provolat (v-w10837f3_ZU)")</f>
        <v>provolat (v-w10837f3_ZU)</v>
      </c>
    </row>
    <row r="33242" customFormat="false" ht="12.8" hidden="false" customHeight="false" outlineLevel="0" collapsed="false">
      <c r="B33242" s="0" t="s">
        <v>7</v>
      </c>
    </row>
    <row r="33243" customFormat="false" ht="12.8" hidden="false" customHeight="false" outlineLevel="0" collapsed="false">
      <c r="B33243" s="0" t="s">
        <v>14</v>
      </c>
    </row>
    <row r="33244" customFormat="false" ht="12.8" hidden="false" customHeight="false" outlineLevel="0" collapsed="false">
      <c r="B33244" s="0" t="s">
        <v>48</v>
      </c>
    </row>
    <row r="33246" customFormat="false" ht="12.8" hidden="false" customHeight="false" outlineLevel="0" collapsed="false">
      <c r="A33246" s="0" t="s">
        <v>12285</v>
      </c>
      <c r="B33246" s="0" t="str">
        <f aca="false">HYPERLINK("https://lindat.mff.cuni.cz/services/teitok/pdtc10/index.php?action=vallex&amp;frame=v-w10837f2", "provolat (v-w10837f2)")</f>
        <v>provolat (v-w10837f2)</v>
      </c>
    </row>
    <row r="33247" customFormat="false" ht="12.8" hidden="false" customHeight="false" outlineLevel="0" collapsed="false">
      <c r="B33247" s="0" t="s">
        <v>7</v>
      </c>
      <c r="C33247" s="0" t="s">
        <v>108</v>
      </c>
    </row>
    <row r="33248" customFormat="false" ht="12.8" hidden="false" customHeight="false" outlineLevel="0" collapsed="false">
      <c r="B33248" s="0" t="s">
        <v>5525</v>
      </c>
    </row>
    <row r="33249" customFormat="false" ht="12.8" hidden="false" customHeight="false" outlineLevel="0" collapsed="false">
      <c r="B33249" s="0" t="s">
        <v>1767</v>
      </c>
      <c r="C33249" s="0" t="s">
        <v>12286</v>
      </c>
    </row>
    <row r="33251" customFormat="false" ht="12.8" hidden="false" customHeight="false" outlineLevel="0" collapsed="false">
      <c r="A33251" s="0" t="s">
        <v>12287</v>
      </c>
      <c r="B33251" s="0" t="str">
        <f aca="false">HYPERLINK("https://lindat.mff.cuni.cz/services/teitok/pdtc10/index.php?action=vallex&amp;frame=v-w4625f2", "provolávat (v-w4625f2)")</f>
        <v>provolávat (v-w4625f2)</v>
      </c>
    </row>
    <row r="33252" customFormat="false" ht="12.8" hidden="false" customHeight="false" outlineLevel="0" collapsed="false">
      <c r="B33252" s="0" t="s">
        <v>7</v>
      </c>
      <c r="C33252" s="0" t="s">
        <v>31</v>
      </c>
      <c r="D33252" s="0" t="s">
        <v>108</v>
      </c>
      <c r="E33252" s="0" t="s">
        <v>108</v>
      </c>
      <c r="F33252" s="0" t="s">
        <v>108</v>
      </c>
    </row>
    <row r="33253" customFormat="false" ht="12.8" hidden="false" customHeight="false" outlineLevel="0" collapsed="false">
      <c r="B33253" s="0" t="s">
        <v>232</v>
      </c>
      <c r="C33253" s="0" t="s">
        <v>78</v>
      </c>
      <c r="D33253" s="0" t="s">
        <v>1209</v>
      </c>
      <c r="E33253" s="0" t="s">
        <v>1209</v>
      </c>
      <c r="F33253" s="0" t="s">
        <v>1209</v>
      </c>
    </row>
    <row r="33255" customFormat="false" ht="12.8" hidden="false" customHeight="false" outlineLevel="0" collapsed="false">
      <c r="A33255" s="0" t="s">
        <v>12287</v>
      </c>
      <c r="B33255" s="0" t="str">
        <f aca="false">HYPERLINK("https://lindat.mff.cuni.cz/services/teitok/pdtc10/index.php?action=vallex&amp;frame=v-w4625f1", "provolávat (v-w4625f1) - substituted with v-w4625f2")</f>
        <v>provolávat (v-w4625f1) - substituted with v-w4625f2</v>
      </c>
    </row>
    <row r="33256" customFormat="false" ht="12.8" hidden="false" customHeight="false" outlineLevel="0" collapsed="false">
      <c r="B33256" s="0" t="s">
        <v>7</v>
      </c>
    </row>
    <row r="33257" customFormat="false" ht="12.8" hidden="false" customHeight="false" outlineLevel="0" collapsed="false">
      <c r="B33257" s="0" t="s">
        <v>232</v>
      </c>
    </row>
    <row r="33259" customFormat="false" ht="12.8" hidden="false" customHeight="false" outlineLevel="0" collapsed="false">
      <c r="A33259" s="0" t="s">
        <v>12288</v>
      </c>
      <c r="B33259" s="0" t="str">
        <f aca="false">HYPERLINK("https://lindat.mff.cuni.cz/services/teitok/pdtc10/index.php?action=vallex&amp;frame=v-w4628f1", "provozovat (v-w4628f1)")</f>
        <v>provozovat (v-w4628f1)</v>
      </c>
    </row>
    <row r="33260" customFormat="false" ht="12.8" hidden="false" customHeight="false" outlineLevel="0" collapsed="false">
      <c r="B33260" s="0" t="s">
        <v>7</v>
      </c>
      <c r="C33260" s="0" t="s">
        <v>12289</v>
      </c>
      <c r="D33260" s="0" t="s">
        <v>12290</v>
      </c>
      <c r="E33260" s="0" t="s">
        <v>12290</v>
      </c>
      <c r="F33260" s="0" t="s">
        <v>12290</v>
      </c>
    </row>
    <row r="33261" customFormat="false" ht="12.8" hidden="false" customHeight="false" outlineLevel="0" collapsed="false">
      <c r="B33261" s="0" t="s">
        <v>14</v>
      </c>
      <c r="C33261" s="0" t="s">
        <v>12291</v>
      </c>
      <c r="D33261" s="0" t="s">
        <v>12292</v>
      </c>
      <c r="E33261" s="0" t="s">
        <v>12292</v>
      </c>
      <c r="F33261" s="0" t="s">
        <v>12292</v>
      </c>
    </row>
    <row r="33263" customFormat="false" ht="12.8" hidden="false" customHeight="false" outlineLevel="0" collapsed="false">
      <c r="A33263" s="0" t="s">
        <v>12293</v>
      </c>
      <c r="B33263" s="0" t="str">
        <f aca="false">HYPERLINK("https://lindat.mff.cuni.cz/services/teitok/pdtc10/index.php?action=vallex&amp;frame=v-w4628f2_ZU", "provozovat (v-w4628f2_ZU)")</f>
        <v>provozovat (v-w4628f2_ZU)</v>
      </c>
    </row>
    <row r="33264" customFormat="false" ht="12.8" hidden="false" customHeight="false" outlineLevel="0" collapsed="false">
      <c r="B33264" s="0" t="s">
        <v>7</v>
      </c>
    </row>
    <row r="33265" customFormat="false" ht="12.8" hidden="false" customHeight="false" outlineLevel="0" collapsed="false">
      <c r="B33265" s="0" t="s">
        <v>12294</v>
      </c>
    </row>
    <row r="33267" customFormat="false" ht="12.8" hidden="false" customHeight="false" outlineLevel="0" collapsed="false">
      <c r="A33267" s="0" t="s">
        <v>12295</v>
      </c>
      <c r="B33267" s="0" t="str">
        <f aca="false">HYPERLINK("https://lindat.mff.cuni.cz/services/teitok/pdtc10/index.php?action=vallex&amp;frame=v-w4628hsa_1626", "provozovat (v-w4628hsa_1626)")</f>
        <v>provozovat (v-w4628hsa_1626)</v>
      </c>
    </row>
    <row r="33268" customFormat="false" ht="12.8" hidden="false" customHeight="false" outlineLevel="0" collapsed="false">
      <c r="B33268" s="0" t="s">
        <v>7</v>
      </c>
    </row>
    <row r="33269" customFormat="false" ht="12.8" hidden="false" customHeight="false" outlineLevel="0" collapsed="false">
      <c r="B33269" s="0" t="s">
        <v>14</v>
      </c>
    </row>
    <row r="33271" customFormat="false" ht="12.8" hidden="false" customHeight="false" outlineLevel="0" collapsed="false">
      <c r="A33271" s="0" t="s">
        <v>12296</v>
      </c>
      <c r="B33271" s="0" t="str">
        <f aca="false">HYPERLINK("https://lindat.mff.cuni.cz/services/teitok/pdtc10/index.php?action=vallex&amp;frame=v-w10099f2", "provrtat (v-w10099f2)")</f>
        <v>provrtat (v-w10099f2)</v>
      </c>
    </row>
    <row r="33272" customFormat="false" ht="12.8" hidden="false" customHeight="false" outlineLevel="0" collapsed="false">
      <c r="B33272" s="0" t="s">
        <v>7</v>
      </c>
    </row>
    <row r="33273" customFormat="false" ht="12.8" hidden="false" customHeight="false" outlineLevel="0" collapsed="false">
      <c r="B33273" s="0" t="s">
        <v>14</v>
      </c>
    </row>
    <row r="33275" customFormat="false" ht="12.8" hidden="false" customHeight="false" outlineLevel="0" collapsed="false">
      <c r="A33275" s="0" t="s">
        <v>12297</v>
      </c>
      <c r="B33275" s="0" t="str">
        <f aca="false">HYPERLINK("https://lindat.mff.cuni.cz/services/teitok/pdtc10/index.php?action=vallex&amp;frame=v-w4601f2", "provádět (v-w4601f2)")</f>
        <v>provádět (v-w4601f2)</v>
      </c>
    </row>
    <row r="33276" customFormat="false" ht="12.8" hidden="false" customHeight="false" outlineLevel="0" collapsed="false">
      <c r="B33276" s="0" t="s">
        <v>7</v>
      </c>
      <c r="C33276" s="0" t="s">
        <v>3469</v>
      </c>
      <c r="D33276" s="0" t="s">
        <v>514</v>
      </c>
      <c r="E33276" s="0" t="s">
        <v>514</v>
      </c>
      <c r="F33276" s="0" t="s">
        <v>514</v>
      </c>
    </row>
    <row r="33277" customFormat="false" ht="12.8" hidden="false" customHeight="false" outlineLevel="0" collapsed="false">
      <c r="B33277" s="0" t="s">
        <v>14</v>
      </c>
      <c r="C33277" s="0" t="s">
        <v>6367</v>
      </c>
      <c r="D33277" s="0" t="s">
        <v>1631</v>
      </c>
      <c r="E33277" s="0" t="s">
        <v>1631</v>
      </c>
      <c r="F33277" s="0" t="s">
        <v>1631</v>
      </c>
    </row>
    <row r="33278" customFormat="false" ht="12.8" hidden="false" customHeight="false" outlineLevel="0" collapsed="false">
      <c r="B33278" s="0" t="s">
        <v>12298</v>
      </c>
      <c r="D33278" s="0" t="s">
        <v>3435</v>
      </c>
      <c r="E33278" s="0" t="s">
        <v>3435</v>
      </c>
      <c r="F33278" s="0" t="s">
        <v>3435</v>
      </c>
    </row>
    <row r="33280" customFormat="false" ht="12.8" hidden="false" customHeight="false" outlineLevel="0" collapsed="false">
      <c r="A33280" s="0" t="s">
        <v>12299</v>
      </c>
      <c r="B33280" s="0" t="str">
        <f aca="false">HYPERLINK("https://lindat.mff.cuni.cz/services/teitok/pdtc10/index.php?action=vallex&amp;frame=v-w4601f4", "provádět (v-w4601f4)")</f>
        <v>provádět (v-w4601f4)</v>
      </c>
    </row>
    <row r="33281" customFormat="false" ht="12.8" hidden="false" customHeight="false" outlineLevel="0" collapsed="false">
      <c r="B33281" s="0" t="s">
        <v>7</v>
      </c>
    </row>
    <row r="33282" customFormat="false" ht="12.8" hidden="false" customHeight="false" outlineLevel="0" collapsed="false">
      <c r="B33282" s="0" t="s">
        <v>14</v>
      </c>
    </row>
    <row r="33283" customFormat="false" ht="12.8" hidden="false" customHeight="false" outlineLevel="0" collapsed="false">
      <c r="B33283" s="0" t="s">
        <v>259</v>
      </c>
    </row>
    <row r="33285" customFormat="false" ht="12.8" hidden="false" customHeight="false" outlineLevel="0" collapsed="false">
      <c r="A33285" s="0" t="s">
        <v>12300</v>
      </c>
      <c r="B33285" s="0" t="str">
        <f aca="false">HYPERLINK("https://lindat.mff.cuni.cz/services/teitok/pdtc10/index.php?action=vallex&amp;frame=v-w4601f1", "provádět (v-w4601f1)")</f>
        <v>provádět (v-w4601f1)</v>
      </c>
    </row>
    <row r="33286" customFormat="false" ht="12.8" hidden="false" customHeight="false" outlineLevel="0" collapsed="false">
      <c r="B33286" s="0" t="s">
        <v>7</v>
      </c>
      <c r="C33286" s="0" t="s">
        <v>12301</v>
      </c>
      <c r="D33286" s="0" t="s">
        <v>12302</v>
      </c>
      <c r="E33286" s="0" t="s">
        <v>12302</v>
      </c>
      <c r="F33286" s="0" t="s">
        <v>12302</v>
      </c>
    </row>
    <row r="33287" customFormat="false" ht="12.8" hidden="false" customHeight="false" outlineLevel="0" collapsed="false">
      <c r="B33287" s="0" t="s">
        <v>14</v>
      </c>
      <c r="C33287" s="0" t="s">
        <v>12303</v>
      </c>
      <c r="D33287" s="0" t="s">
        <v>12304</v>
      </c>
      <c r="E33287" s="0" t="s">
        <v>12304</v>
      </c>
      <c r="F33287" s="0" t="s">
        <v>12304</v>
      </c>
    </row>
    <row r="33289" customFormat="false" ht="12.8" hidden="false" customHeight="false" outlineLevel="0" collapsed="false">
      <c r="A33289" s="0" t="s">
        <v>12305</v>
      </c>
      <c r="B33289" s="0" t="str">
        <f aca="false">HYPERLINK("https://lindat.mff.cuni.cz/services/teitok/pdtc10/index.php?action=vallex&amp;frame=v-w4601f6", "provádět (v-w4601f6)")</f>
        <v>provádět (v-w4601f6)</v>
      </c>
    </row>
    <row r="33290" customFormat="false" ht="12.8" hidden="false" customHeight="false" outlineLevel="0" collapsed="false">
      <c r="B33290" s="0" t="s">
        <v>7</v>
      </c>
      <c r="C33290" s="0" t="s">
        <v>149</v>
      </c>
    </row>
    <row r="33291" customFormat="false" ht="12.8" hidden="false" customHeight="false" outlineLevel="0" collapsed="false">
      <c r="B33291" s="0" t="s">
        <v>12306</v>
      </c>
      <c r="C33291" s="0" t="s">
        <v>12307</v>
      </c>
    </row>
    <row r="33292" customFormat="false" ht="12.8" hidden="false" customHeight="false" outlineLevel="0" collapsed="false">
      <c r="B33292" s="0" t="s">
        <v>106</v>
      </c>
    </row>
    <row r="33294" customFormat="false" ht="12.8" hidden="false" customHeight="false" outlineLevel="0" collapsed="false">
      <c r="A33294" s="0" t="s">
        <v>12308</v>
      </c>
      <c r="B33294" s="0" t="str">
        <f aca="false">HYPERLINK("https://lindat.mff.cuni.cz/services/teitok/pdtc10/index.php?action=vallex&amp;frame=v-w4601f5", "provádět (v-w4601f5)")</f>
        <v>provádět (v-w4601f5)</v>
      </c>
    </row>
    <row r="33295" customFormat="false" ht="12.8" hidden="false" customHeight="false" outlineLevel="0" collapsed="false">
      <c r="B33295" s="0" t="s">
        <v>7</v>
      </c>
      <c r="C33295" s="0" t="s">
        <v>184</v>
      </c>
      <c r="D33295" s="0" t="s">
        <v>2156</v>
      </c>
      <c r="E33295" s="0" t="s">
        <v>2156</v>
      </c>
      <c r="F33295" s="0" t="s">
        <v>2156</v>
      </c>
    </row>
    <row r="33296" customFormat="false" ht="12.8" hidden="false" customHeight="false" outlineLevel="0" collapsed="false">
      <c r="B33296" s="0" t="s">
        <v>12309</v>
      </c>
      <c r="D33296" s="0" t="s">
        <v>9974</v>
      </c>
      <c r="E33296" s="0" t="s">
        <v>9974</v>
      </c>
      <c r="F33296" s="0" t="s">
        <v>9974</v>
      </c>
    </row>
    <row r="33298" customFormat="false" ht="12.8" hidden="false" customHeight="false" outlineLevel="0" collapsed="false">
      <c r="A33298" s="0" t="s">
        <v>12310</v>
      </c>
      <c r="B33298" s="0" t="str">
        <f aca="false">HYPERLINK("https://lindat.mff.cuni.cz/services/teitok/pdtc10/index.php?action=vallex&amp;frame=v-w4601f19_MM", "provádět (v-w4601f19_MM)")</f>
        <v>provádět (v-w4601f19_MM)</v>
      </c>
    </row>
    <row r="33299" customFormat="false" ht="12.8" hidden="false" customHeight="false" outlineLevel="0" collapsed="false">
      <c r="B33299" s="0" t="s">
        <v>7</v>
      </c>
    </row>
    <row r="33300" customFormat="false" ht="12.8" hidden="false" customHeight="false" outlineLevel="0" collapsed="false">
      <c r="B33300" s="0" t="s">
        <v>12311</v>
      </c>
    </row>
    <row r="33302" customFormat="false" ht="12.8" hidden="false" customHeight="false" outlineLevel="0" collapsed="false">
      <c r="A33302" s="0" t="s">
        <v>12310</v>
      </c>
      <c r="B33302" s="0" t="str">
        <f aca="false">HYPERLINK("https://lindat.mff.cuni.cz/services/teitok/pdtc10/index.php?action=vallex&amp;frame=v-w4601f10_ZU", "provádět (v-w4601f10_ZU) - substituted with v-w4601f19_MM")</f>
        <v>provádět (v-w4601f10_ZU) - substituted with v-w4601f19_MM</v>
      </c>
    </row>
    <row r="33303" customFormat="false" ht="12.8" hidden="false" customHeight="false" outlineLevel="0" collapsed="false">
      <c r="B33303" s="0" t="s">
        <v>7</v>
      </c>
      <c r="C33303" s="0" t="s">
        <v>3664</v>
      </c>
    </row>
    <row r="33304" customFormat="false" ht="12.8" hidden="false" customHeight="false" outlineLevel="0" collapsed="false">
      <c r="B33304" s="0" t="s">
        <v>12311</v>
      </c>
      <c r="C33304" s="0" t="s">
        <v>11800</v>
      </c>
    </row>
    <row r="33306" customFormat="false" ht="12.8" hidden="false" customHeight="false" outlineLevel="0" collapsed="false">
      <c r="A33306" s="0" t="s">
        <v>12310</v>
      </c>
      <c r="B33306" s="0" t="str">
        <f aca="false">HYPERLINK("https://lindat.mff.cuni.cz/services/teitok/pdtc10/index.php?action=vallex&amp;frame=v-w4601f11_ZU", "provádět (v-w4601f11_ZU) - substituted with v-w4601f19_MM")</f>
        <v>provádět (v-w4601f11_ZU) - substituted with v-w4601f19_MM</v>
      </c>
    </row>
    <row r="33307" customFormat="false" ht="12.8" hidden="false" customHeight="false" outlineLevel="0" collapsed="false">
      <c r="B33307" s="0" t="s">
        <v>7</v>
      </c>
      <c r="C33307" s="0" t="s">
        <v>12312</v>
      </c>
    </row>
    <row r="33308" customFormat="false" ht="12.8" hidden="false" customHeight="false" outlineLevel="0" collapsed="false">
      <c r="B33308" s="0" t="s">
        <v>12311</v>
      </c>
      <c r="C33308" s="0" t="s">
        <v>12313</v>
      </c>
    </row>
    <row r="33310" customFormat="false" ht="12.8" hidden="false" customHeight="false" outlineLevel="0" collapsed="false">
      <c r="A33310" s="0" t="s">
        <v>12310</v>
      </c>
      <c r="B33310" s="0" t="str">
        <f aca="false">HYPERLINK("https://lindat.mff.cuni.cz/services/teitok/pdtc10/index.php?action=vallex&amp;frame=v-w4601f12_ZU", "provádět (v-w4601f12_ZU) - substituted with v-w4601f19_MM")</f>
        <v>provádět (v-w4601f12_ZU) - substituted with v-w4601f19_MM</v>
      </c>
    </row>
    <row r="33311" customFormat="false" ht="12.8" hidden="false" customHeight="false" outlineLevel="0" collapsed="false">
      <c r="B33311" s="0" t="s">
        <v>7</v>
      </c>
    </row>
    <row r="33312" customFormat="false" ht="12.8" hidden="false" customHeight="false" outlineLevel="0" collapsed="false">
      <c r="B33312" s="0" t="s">
        <v>12311</v>
      </c>
    </row>
    <row r="33314" customFormat="false" ht="12.8" hidden="false" customHeight="false" outlineLevel="0" collapsed="false">
      <c r="A33314" s="0" t="s">
        <v>12310</v>
      </c>
      <c r="B33314" s="0" t="str">
        <f aca="false">HYPERLINK("https://lindat.mff.cuni.cz/services/teitok/pdtc10/index.php?action=vallex&amp;frame=v-w4601f14_ZU", "provádět (v-w4601f14_ZU) - substituted with v-w4601f19_MM")</f>
        <v>provádět (v-w4601f14_ZU) - substituted with v-w4601f19_MM</v>
      </c>
    </row>
    <row r="33315" customFormat="false" ht="12.8" hidden="false" customHeight="false" outlineLevel="0" collapsed="false">
      <c r="B33315" s="0" t="s">
        <v>7</v>
      </c>
    </row>
    <row r="33316" customFormat="false" ht="12.8" hidden="false" customHeight="false" outlineLevel="0" collapsed="false">
      <c r="B33316" s="0" t="s">
        <v>12311</v>
      </c>
    </row>
    <row r="33318" customFormat="false" ht="12.8" hidden="false" customHeight="false" outlineLevel="0" collapsed="false">
      <c r="A33318" s="0" t="s">
        <v>12310</v>
      </c>
      <c r="B33318" s="0" t="str">
        <f aca="false">HYPERLINK("https://lindat.mff.cuni.cz/services/teitok/pdtc10/index.php?action=vallex&amp;frame=v-w4601f15_ZU", "provádět (v-w4601f15_ZU) - substituted with v-w4601f19_MM")</f>
        <v>provádět (v-w4601f15_ZU) - substituted with v-w4601f19_MM</v>
      </c>
    </row>
    <row r="33319" customFormat="false" ht="12.8" hidden="false" customHeight="false" outlineLevel="0" collapsed="false">
      <c r="B33319" s="0" t="s">
        <v>7</v>
      </c>
    </row>
    <row r="33320" customFormat="false" ht="12.8" hidden="false" customHeight="false" outlineLevel="0" collapsed="false">
      <c r="B33320" s="0" t="s">
        <v>12311</v>
      </c>
    </row>
    <row r="33322" customFormat="false" ht="12.8" hidden="false" customHeight="false" outlineLevel="0" collapsed="false">
      <c r="A33322" s="0" t="s">
        <v>12310</v>
      </c>
      <c r="B33322" s="0" t="str">
        <f aca="false">HYPERLINK("https://lindat.mff.cuni.cz/services/teitok/pdtc10/index.php?action=vallex&amp;frame=v-w4601f16_ZU", "provádět (v-w4601f16_ZU) - substituted with v-w4601f19_MM")</f>
        <v>provádět (v-w4601f16_ZU) - substituted with v-w4601f19_MM</v>
      </c>
    </row>
    <row r="33323" customFormat="false" ht="12.8" hidden="false" customHeight="false" outlineLevel="0" collapsed="false">
      <c r="B33323" s="0" t="s">
        <v>7</v>
      </c>
    </row>
    <row r="33324" customFormat="false" ht="12.8" hidden="false" customHeight="false" outlineLevel="0" collapsed="false">
      <c r="B33324" s="0" t="s">
        <v>12311</v>
      </c>
    </row>
    <row r="33326" customFormat="false" ht="12.8" hidden="false" customHeight="false" outlineLevel="0" collapsed="false">
      <c r="A33326" s="0" t="s">
        <v>12310</v>
      </c>
      <c r="B33326" s="0" t="str">
        <f aca="false">HYPERLINK("https://lindat.mff.cuni.cz/services/teitok/pdtc10/index.php?action=vallex&amp;frame=v-w4601f17_ZU", "provádět (v-w4601f17_ZU) - substituted with v-w4601f19_MM")</f>
        <v>provádět (v-w4601f17_ZU) - substituted with v-w4601f19_MM</v>
      </c>
    </row>
    <row r="33327" customFormat="false" ht="12.8" hidden="false" customHeight="false" outlineLevel="0" collapsed="false">
      <c r="B33327" s="0" t="s">
        <v>7</v>
      </c>
    </row>
    <row r="33328" customFormat="false" ht="12.8" hidden="false" customHeight="false" outlineLevel="0" collapsed="false">
      <c r="B33328" s="0" t="s">
        <v>12311</v>
      </c>
    </row>
    <row r="33330" customFormat="false" ht="12.8" hidden="false" customHeight="false" outlineLevel="0" collapsed="false">
      <c r="A33330" s="0" t="s">
        <v>12310</v>
      </c>
      <c r="B33330" s="0" t="str">
        <f aca="false">HYPERLINK("https://lindat.mff.cuni.cz/services/teitok/pdtc10/index.php?action=vallex&amp;frame=v-w4601f18_ZU", "provádět (v-w4601f18_ZU) - substituted with v-w4601f19_MM")</f>
        <v>provádět (v-w4601f18_ZU) - substituted with v-w4601f19_MM</v>
      </c>
    </row>
    <row r="33331" customFormat="false" ht="12.8" hidden="false" customHeight="false" outlineLevel="0" collapsed="false">
      <c r="B33331" s="0" t="s">
        <v>7</v>
      </c>
    </row>
    <row r="33332" customFormat="false" ht="12.8" hidden="false" customHeight="false" outlineLevel="0" collapsed="false">
      <c r="B33332" s="0" t="s">
        <v>12311</v>
      </c>
    </row>
    <row r="33334" customFormat="false" ht="12.8" hidden="false" customHeight="false" outlineLevel="0" collapsed="false">
      <c r="A33334" s="0" t="s">
        <v>12310</v>
      </c>
      <c r="B33334" s="0" t="str">
        <f aca="false">HYPERLINK("https://lindat.mff.cuni.cz/services/teitok/pdtc10/index.php?action=vallex&amp;frame=v-w4601f3", "provádět (v-w4601f3) - substituted with v-w4601f19_MM")</f>
        <v>provádět (v-w4601f3) - substituted with v-w4601f19_MM</v>
      </c>
    </row>
    <row r="33335" customFormat="false" ht="12.8" hidden="false" customHeight="false" outlineLevel="0" collapsed="false">
      <c r="B33335" s="0" t="s">
        <v>7</v>
      </c>
      <c r="C33335" s="0" t="s">
        <v>12314</v>
      </c>
    </row>
    <row r="33336" customFormat="false" ht="12.8" hidden="false" customHeight="false" outlineLevel="0" collapsed="false">
      <c r="B33336" s="0" t="s">
        <v>12311</v>
      </c>
      <c r="C33336" s="0" t="s">
        <v>12315</v>
      </c>
    </row>
    <row r="33338" customFormat="false" ht="12.8" hidden="false" customHeight="false" outlineLevel="0" collapsed="false">
      <c r="A33338" s="0" t="s">
        <v>12310</v>
      </c>
      <c r="B33338" s="0" t="str">
        <f aca="false">HYPERLINK("https://lindat.mff.cuni.cz/services/teitok/pdtc10/index.php?action=vallex&amp;frame=v-w4601f7_ZU", "provádět (v-w4601f7_ZU) - substituted with v-w4601f19_MM")</f>
        <v>provádět (v-w4601f7_ZU) - substituted with v-w4601f19_MM</v>
      </c>
    </row>
    <row r="33339" customFormat="false" ht="12.8" hidden="false" customHeight="false" outlineLevel="0" collapsed="false">
      <c r="B33339" s="0" t="s">
        <v>7</v>
      </c>
      <c r="C33339" s="0" t="s">
        <v>3469</v>
      </c>
    </row>
    <row r="33340" customFormat="false" ht="12.8" hidden="false" customHeight="false" outlineLevel="0" collapsed="false">
      <c r="B33340" s="0" t="s">
        <v>12311</v>
      </c>
      <c r="C33340" s="0" t="s">
        <v>12316</v>
      </c>
    </row>
    <row r="33342" customFormat="false" ht="12.8" hidden="false" customHeight="false" outlineLevel="0" collapsed="false">
      <c r="A33342" s="0" t="s">
        <v>12310</v>
      </c>
      <c r="B33342" s="0" t="str">
        <f aca="false">HYPERLINK("https://lindat.mff.cuni.cz/services/teitok/pdtc10/index.php?action=vallex&amp;frame=v-w4601f8_ZU", "provádět (v-w4601f8_ZU) - substituted with v-w4601f19_MM")</f>
        <v>provádět (v-w4601f8_ZU) - substituted with v-w4601f19_MM</v>
      </c>
    </row>
    <row r="33343" customFormat="false" ht="12.8" hidden="false" customHeight="false" outlineLevel="0" collapsed="false">
      <c r="B33343" s="0" t="s">
        <v>7</v>
      </c>
      <c r="C33343" s="0" t="s">
        <v>2431</v>
      </c>
    </row>
    <row r="33344" customFormat="false" ht="12.8" hidden="false" customHeight="false" outlineLevel="0" collapsed="false">
      <c r="B33344" s="0" t="s">
        <v>12311</v>
      </c>
      <c r="C33344" s="0" t="s">
        <v>3475</v>
      </c>
    </row>
    <row r="33346" customFormat="false" ht="12.8" hidden="false" customHeight="false" outlineLevel="0" collapsed="false">
      <c r="A33346" s="0" t="s">
        <v>12310</v>
      </c>
      <c r="B33346" s="0" t="str">
        <f aca="false">HYPERLINK("https://lindat.mff.cuni.cz/services/teitok/pdtc10/index.php?action=vallex&amp;frame=v-w4601f9_ZU", "provádět (v-w4601f9_ZU) - substituted with v-w4601f19_MM")</f>
        <v>provádět (v-w4601f9_ZU) - substituted with v-w4601f19_MM</v>
      </c>
    </row>
    <row r="33347" customFormat="false" ht="12.8" hidden="false" customHeight="false" outlineLevel="0" collapsed="false">
      <c r="B33347" s="0" t="s">
        <v>7</v>
      </c>
      <c r="C33347" s="0" t="s">
        <v>3469</v>
      </c>
    </row>
    <row r="33348" customFormat="false" ht="12.8" hidden="false" customHeight="false" outlineLevel="0" collapsed="false">
      <c r="B33348" s="0" t="s">
        <v>12311</v>
      </c>
      <c r="C33348" s="0" t="s">
        <v>12316</v>
      </c>
    </row>
    <row r="33350" customFormat="false" ht="12.8" hidden="false" customHeight="false" outlineLevel="0" collapsed="false">
      <c r="A33350" s="0" t="s">
        <v>12310</v>
      </c>
      <c r="B33350" s="0" t="str">
        <f aca="false">HYPERLINK("https://lindat.mff.cuni.cz/services/teitok/pdtc10/index.php?action=vallex&amp;frame=v-w4601hsa_175", "provádět (v-w4601hsa_175) - substituted with v-w4601f19_MM")</f>
        <v>provádět (v-w4601hsa_175) - substituted with v-w4601f19_MM</v>
      </c>
    </row>
    <row r="33351" customFormat="false" ht="12.8" hidden="false" customHeight="false" outlineLevel="0" collapsed="false">
      <c r="B33351" s="0" t="s">
        <v>7</v>
      </c>
      <c r="C33351" s="0" t="s">
        <v>12317</v>
      </c>
      <c r="D33351" s="0" t="s">
        <v>12318</v>
      </c>
      <c r="E33351" s="0" t="s">
        <v>12318</v>
      </c>
      <c r="F33351" s="0" t="s">
        <v>12318</v>
      </c>
    </row>
    <row r="33352" customFormat="false" ht="12.8" hidden="false" customHeight="false" outlineLevel="0" collapsed="false">
      <c r="B33352" s="0" t="s">
        <v>12311</v>
      </c>
      <c r="C33352" s="0" t="s">
        <v>12319</v>
      </c>
      <c r="D33352" s="0" t="s">
        <v>12320</v>
      </c>
      <c r="E33352" s="0" t="s">
        <v>12320</v>
      </c>
      <c r="F33352" s="0" t="s">
        <v>12320</v>
      </c>
    </row>
    <row r="33354" customFormat="false" ht="12.8" hidden="false" customHeight="false" outlineLevel="0" collapsed="false">
      <c r="A33354" s="0" t="s">
        <v>12321</v>
      </c>
      <c r="B33354" s="0" t="str">
        <f aca="false">HYPERLINK("https://lindat.mff.cuni.cz/services/teitok/pdtc10/index.php?action=vallex&amp;frame=v-w4601hsa_176", "provádět (v-w4601hsa_176)")</f>
        <v>provádět (v-w4601hsa_176)</v>
      </c>
    </row>
    <row r="33355" customFormat="false" ht="12.8" hidden="false" customHeight="false" outlineLevel="0" collapsed="false">
      <c r="B33355" s="0" t="s">
        <v>7</v>
      </c>
      <c r="C33355" s="0" t="s">
        <v>2431</v>
      </c>
      <c r="D33355" s="0" t="s">
        <v>4751</v>
      </c>
      <c r="E33355" s="0" t="s">
        <v>4751</v>
      </c>
      <c r="F33355" s="0" t="s">
        <v>4751</v>
      </c>
    </row>
    <row r="33356" customFormat="false" ht="12.8" hidden="false" customHeight="false" outlineLevel="0" collapsed="false">
      <c r="B33356" s="0" t="s">
        <v>12322</v>
      </c>
      <c r="C33356" s="0" t="s">
        <v>3475</v>
      </c>
      <c r="D33356" s="0" t="s">
        <v>4753</v>
      </c>
      <c r="E33356" s="0" t="s">
        <v>4753</v>
      </c>
      <c r="F33356" s="0" t="s">
        <v>4753</v>
      </c>
    </row>
    <row r="33358" customFormat="false" ht="12.8" hidden="false" customHeight="false" outlineLevel="0" collapsed="false">
      <c r="A33358" s="0" t="s">
        <v>12323</v>
      </c>
      <c r="B33358" s="0" t="str">
        <f aca="false">HYPERLINK("https://lindat.mff.cuni.cz/services/teitok/pdtc10/index.php?action=vallex&amp;frame=v-w4601f13_ZU", "provádět (v-w4601f13_ZU)")</f>
        <v>provádět (v-w4601f13_ZU)</v>
      </c>
    </row>
    <row r="33359" customFormat="false" ht="12.8" hidden="false" customHeight="false" outlineLevel="0" collapsed="false">
      <c r="B33359" s="0" t="s">
        <v>7</v>
      </c>
    </row>
    <row r="33360" customFormat="false" ht="12.8" hidden="false" customHeight="false" outlineLevel="0" collapsed="false">
      <c r="B33360" s="0" t="s">
        <v>12324</v>
      </c>
    </row>
    <row r="33362" customFormat="false" ht="12.8" hidden="false" customHeight="false" outlineLevel="0" collapsed="false">
      <c r="A33362" s="0" t="s">
        <v>12325</v>
      </c>
      <c r="B33362" s="0" t="str">
        <f aca="false">HYPERLINK("https://lindat.mff.cuni.cz/services/teitok/pdtc10/index.php?action=vallex&amp;frame=v-whsa_338f1_ZU", "proválčit (v-whsa_338f1_ZU)")</f>
        <v>proválčit (v-whsa_338f1_ZU)</v>
      </c>
    </row>
    <row r="33363" customFormat="false" ht="12.8" hidden="false" customHeight="false" outlineLevel="0" collapsed="false">
      <c r="B33363" s="0" t="s">
        <v>7</v>
      </c>
    </row>
    <row r="33364" customFormat="false" ht="12.8" hidden="false" customHeight="false" outlineLevel="0" collapsed="false">
      <c r="B33364" s="0" t="s">
        <v>14</v>
      </c>
    </row>
    <row r="33366" customFormat="false" ht="12.8" hidden="false" customHeight="false" outlineLevel="0" collapsed="false">
      <c r="A33366" s="0" t="s">
        <v>12325</v>
      </c>
      <c r="B33366" s="0" t="str">
        <f aca="false">HYPERLINK("https://lindat.mff.cuni.cz/services/teitok/pdtc10/index.php?action=vallex&amp;frame=v-whsa_338hsa_339", "proválčit (v-whsa_338hsa_339) - substituted with v-whsa_338f1_ZU")</f>
        <v>proválčit (v-whsa_338hsa_339) - substituted with v-whsa_338f1_ZU</v>
      </c>
    </row>
    <row r="33367" customFormat="false" ht="12.8" hidden="false" customHeight="false" outlineLevel="0" collapsed="false">
      <c r="B33367" s="0" t="s">
        <v>7</v>
      </c>
    </row>
    <row r="33368" customFormat="false" ht="12.8" hidden="false" customHeight="false" outlineLevel="0" collapsed="false">
      <c r="B33368" s="0" t="s">
        <v>14</v>
      </c>
    </row>
    <row r="33370" customFormat="false" ht="12.8" hidden="false" customHeight="false" outlineLevel="0" collapsed="false">
      <c r="A33370" s="0" t="s">
        <v>12326</v>
      </c>
      <c r="B33370" s="0" t="str">
        <f aca="false">HYPERLINK("https://lindat.mff.cuni.cz/services/teitok/pdtc10/index.php?action=vallex&amp;frame=v-whsa_338f2_ZU", "proválčit (v-whsa_338f2_ZU)")</f>
        <v>proválčit (v-whsa_338f2_ZU)</v>
      </c>
    </row>
    <row r="33371" customFormat="false" ht="12.8" hidden="false" customHeight="false" outlineLevel="0" collapsed="false">
      <c r="B33371" s="0" t="s">
        <v>7</v>
      </c>
    </row>
    <row r="33372" customFormat="false" ht="12.8" hidden="false" customHeight="false" outlineLevel="0" collapsed="false">
      <c r="B33372" s="0" t="s">
        <v>14</v>
      </c>
    </row>
    <row r="33373" customFormat="false" ht="12.8" hidden="false" customHeight="false" outlineLevel="0" collapsed="false">
      <c r="B33373" s="0" t="s">
        <v>2722</v>
      </c>
    </row>
    <row r="33375" customFormat="false" ht="12.8" hidden="false" customHeight="false" outlineLevel="0" collapsed="false">
      <c r="A33375" s="0" t="s">
        <v>12326</v>
      </c>
      <c r="B33375" s="0" t="str">
        <f aca="false">HYPERLINK("https://lindat.mff.cuni.cz/services/teitok/pdtc10/index.php?action=vallex&amp;frame=v-whsa_338hsa_340", "proválčit (v-whsa_338hsa_340) - substituted with v-whsa_338f2_ZU")</f>
        <v>proválčit (v-whsa_338hsa_340) - substituted with v-whsa_338f2_ZU</v>
      </c>
    </row>
    <row r="33376" customFormat="false" ht="12.8" hidden="false" customHeight="false" outlineLevel="0" collapsed="false">
      <c r="B33376" s="0" t="s">
        <v>7</v>
      </c>
    </row>
    <row r="33377" customFormat="false" ht="12.8" hidden="false" customHeight="false" outlineLevel="0" collapsed="false">
      <c r="B33377" s="0" t="s">
        <v>14</v>
      </c>
    </row>
    <row r="33378" customFormat="false" ht="12.8" hidden="false" customHeight="false" outlineLevel="0" collapsed="false">
      <c r="B33378" s="0" t="s">
        <v>2722</v>
      </c>
    </row>
    <row r="33380" customFormat="false" ht="12.8" hidden="false" customHeight="false" outlineLevel="0" collapsed="false">
      <c r="A33380" s="0" t="s">
        <v>12327</v>
      </c>
      <c r="B33380" s="0" t="str">
        <f aca="false">HYPERLINK("https://lindat.mff.cuni.cz/services/teitok/pdtc10/index.php?action=vallex&amp;frame=v-w4605f1", "provázet (v-w4605f1)")</f>
        <v>provázet (v-w4605f1)</v>
      </c>
    </row>
    <row r="33381" customFormat="false" ht="12.8" hidden="false" customHeight="false" outlineLevel="0" collapsed="false">
      <c r="B33381" s="0" t="s">
        <v>7</v>
      </c>
      <c r="C33381" s="0" t="s">
        <v>12328</v>
      </c>
    </row>
    <row r="33382" customFormat="false" ht="12.8" hidden="false" customHeight="false" outlineLevel="0" collapsed="false">
      <c r="B33382" s="0" t="s">
        <v>14</v>
      </c>
      <c r="C33382" s="0" t="s">
        <v>1146</v>
      </c>
    </row>
    <row r="33384" customFormat="false" ht="12.8" hidden="false" customHeight="false" outlineLevel="0" collapsed="false">
      <c r="A33384" s="0" t="s">
        <v>12329</v>
      </c>
      <c r="B33384" s="0" t="str">
        <f aca="false">HYPERLINK("https://lindat.mff.cuni.cz/services/teitok/pdtc10/index.php?action=vallex&amp;frame=v-w4605f2", "provázet (v-w4605f2)")</f>
        <v>provázet (v-w4605f2)</v>
      </c>
    </row>
    <row r="33385" customFormat="false" ht="12.8" hidden="false" customHeight="false" outlineLevel="0" collapsed="false">
      <c r="B33385" s="0" t="s">
        <v>7</v>
      </c>
      <c r="C33385" s="0" t="s">
        <v>12330</v>
      </c>
      <c r="D33385" s="0" t="s">
        <v>1613</v>
      </c>
      <c r="E33385" s="0" t="s">
        <v>2170</v>
      </c>
      <c r="F33385" s="0" t="s">
        <v>2170</v>
      </c>
    </row>
    <row r="33386" customFormat="false" ht="12.8" hidden="false" customHeight="false" outlineLevel="0" collapsed="false">
      <c r="B33386" s="0" t="s">
        <v>14</v>
      </c>
      <c r="C33386" s="0" t="s">
        <v>159</v>
      </c>
      <c r="D33386" s="0" t="s">
        <v>128</v>
      </c>
      <c r="E33386" s="0" t="s">
        <v>159</v>
      </c>
      <c r="F33386" s="0" t="s">
        <v>159</v>
      </c>
    </row>
    <row r="33388" customFormat="false" ht="12.8" hidden="false" customHeight="false" outlineLevel="0" collapsed="false">
      <c r="A33388" s="0" t="s">
        <v>12331</v>
      </c>
      <c r="B33388" s="0" t="str">
        <f aca="false">HYPERLINK("https://lindat.mff.cuni.cz/services/teitok/pdtc10/index.php?action=vallex&amp;frame=v-w12097_ZUf1_ZU", "provážet (v-w12097_ZUf1_ZU)")</f>
        <v>provážet (v-w12097_ZUf1_ZU)</v>
      </c>
    </row>
    <row r="33389" customFormat="false" ht="12.8" hidden="false" customHeight="false" outlineLevel="0" collapsed="false">
      <c r="B33389" s="0" t="s">
        <v>7</v>
      </c>
    </row>
    <row r="33390" customFormat="false" ht="12.8" hidden="false" customHeight="false" outlineLevel="0" collapsed="false">
      <c r="B33390" s="0" t="s">
        <v>14</v>
      </c>
    </row>
    <row r="33392" customFormat="false" ht="12.8" hidden="false" customHeight="false" outlineLevel="0" collapsed="false">
      <c r="A33392" s="0" t="s">
        <v>12332</v>
      </c>
      <c r="B33392" s="0" t="str">
        <f aca="false">HYPERLINK("https://lindat.mff.cuni.cz/services/teitok/pdtc10/index.php?action=vallex&amp;frame=v-w4616f4", "provést (v-w4616f4)")</f>
        <v>provést (v-w4616f4)</v>
      </c>
    </row>
    <row r="33393" customFormat="false" ht="12.8" hidden="false" customHeight="false" outlineLevel="0" collapsed="false">
      <c r="B33393" s="0" t="s">
        <v>7</v>
      </c>
      <c r="C33393" s="0" t="s">
        <v>411</v>
      </c>
      <c r="D33393" s="0" t="s">
        <v>2170</v>
      </c>
    </row>
    <row r="33394" customFormat="false" ht="12.8" hidden="false" customHeight="false" outlineLevel="0" collapsed="false">
      <c r="B33394" s="0" t="s">
        <v>14</v>
      </c>
      <c r="C33394" s="0" t="s">
        <v>312</v>
      </c>
      <c r="D33394" s="0" t="s">
        <v>159</v>
      </c>
    </row>
    <row r="33395" customFormat="false" ht="12.8" hidden="false" customHeight="false" outlineLevel="0" collapsed="false">
      <c r="B33395" s="0" t="s">
        <v>259</v>
      </c>
    </row>
    <row r="33397" customFormat="false" ht="12.8" hidden="false" customHeight="false" outlineLevel="0" collapsed="false">
      <c r="A33397" s="0" t="s">
        <v>12333</v>
      </c>
      <c r="B33397" s="0" t="str">
        <f aca="false">HYPERLINK("https://lindat.mff.cuni.cz/services/teitok/pdtc10/index.php?action=vallex&amp;frame=v-w4616f1", "provést (v-w4616f1)")</f>
        <v>provést (v-w4616f1)</v>
      </c>
    </row>
    <row r="33398" customFormat="false" ht="12.8" hidden="false" customHeight="false" outlineLevel="0" collapsed="false">
      <c r="B33398" s="0" t="s">
        <v>7</v>
      </c>
      <c r="C33398" s="0" t="s">
        <v>12334</v>
      </c>
      <c r="D33398" s="0" t="s">
        <v>12335</v>
      </c>
      <c r="E33398" s="0" t="s">
        <v>12335</v>
      </c>
      <c r="F33398" s="0" t="s">
        <v>12335</v>
      </c>
    </row>
    <row r="33399" customFormat="false" ht="12.8" hidden="false" customHeight="false" outlineLevel="0" collapsed="false">
      <c r="B33399" s="0" t="s">
        <v>14</v>
      </c>
      <c r="C33399" s="0" t="s">
        <v>12336</v>
      </c>
      <c r="D33399" s="0" t="s">
        <v>12337</v>
      </c>
      <c r="E33399" s="0" t="s">
        <v>12337</v>
      </c>
      <c r="F33399" s="0" t="s">
        <v>12337</v>
      </c>
    </row>
    <row r="33401" customFormat="false" ht="12.8" hidden="false" customHeight="false" outlineLevel="0" collapsed="false">
      <c r="A33401" s="0" t="s">
        <v>12338</v>
      </c>
      <c r="B33401" s="0" t="str">
        <f aca="false">HYPERLINK("https://lindat.mff.cuni.cz/services/teitok/pdtc10/index.php?action=vallex&amp;frame=v-w4616f3", "provést (v-w4616f3)")</f>
        <v>provést (v-w4616f3)</v>
      </c>
    </row>
    <row r="33402" customFormat="false" ht="12.8" hidden="false" customHeight="false" outlineLevel="0" collapsed="false">
      <c r="B33402" s="0" t="s">
        <v>7</v>
      </c>
    </row>
    <row r="33403" customFormat="false" ht="12.8" hidden="false" customHeight="false" outlineLevel="0" collapsed="false">
      <c r="B33403" s="0" t="s">
        <v>12306</v>
      </c>
    </row>
    <row r="33404" customFormat="false" ht="12.8" hidden="false" customHeight="false" outlineLevel="0" collapsed="false">
      <c r="B33404" s="0" t="s">
        <v>106</v>
      </c>
    </row>
    <row r="33406" customFormat="false" ht="12.8" hidden="false" customHeight="false" outlineLevel="0" collapsed="false">
      <c r="A33406" s="0" t="s">
        <v>12339</v>
      </c>
      <c r="B33406" s="0" t="str">
        <f aca="false">HYPERLINK("https://lindat.mff.cuni.cz/services/teitok/pdtc10/index.php?action=vallex&amp;frame=v-w4616f25_MM", "provést (v-w4616f25_MM)")</f>
        <v>provést (v-w4616f25_MM)</v>
      </c>
    </row>
    <row r="33407" customFormat="false" ht="12.8" hidden="false" customHeight="false" outlineLevel="0" collapsed="false">
      <c r="B33407" s="0" t="s">
        <v>7</v>
      </c>
    </row>
    <row r="33408" customFormat="false" ht="12.8" hidden="false" customHeight="false" outlineLevel="0" collapsed="false">
      <c r="B33408" s="0" t="s">
        <v>12340</v>
      </c>
    </row>
    <row r="33410" customFormat="false" ht="12.8" hidden="false" customHeight="false" outlineLevel="0" collapsed="false">
      <c r="A33410" s="0" t="s">
        <v>12339</v>
      </c>
      <c r="B33410" s="0" t="str">
        <f aca="false">HYPERLINK("https://lindat.mff.cuni.cz/services/teitok/pdtc10/index.php?action=vallex&amp;frame=v-w4616f10_ZU", "provést (v-w4616f10_ZU) - substituted with v-w4616f25_MM")</f>
        <v>provést (v-w4616f10_ZU) - substituted with v-w4616f25_MM</v>
      </c>
    </row>
    <row r="33411" customFormat="false" ht="12.8" hidden="false" customHeight="false" outlineLevel="0" collapsed="false">
      <c r="B33411" s="0" t="s">
        <v>7</v>
      </c>
      <c r="C33411" s="0" t="s">
        <v>3042</v>
      </c>
    </row>
    <row r="33412" customFormat="false" ht="12.8" hidden="false" customHeight="false" outlineLevel="0" collapsed="false">
      <c r="B33412" s="0" t="s">
        <v>12340</v>
      </c>
      <c r="C33412" s="0" t="s">
        <v>3043</v>
      </c>
    </row>
    <row r="33414" customFormat="false" ht="12.8" hidden="false" customHeight="false" outlineLevel="0" collapsed="false">
      <c r="A33414" s="0" t="s">
        <v>12339</v>
      </c>
      <c r="B33414" s="0" t="str">
        <f aca="false">HYPERLINK("https://lindat.mff.cuni.cz/services/teitok/pdtc10/index.php?action=vallex&amp;frame=v-w4616f11_ZU", "provést (v-w4616f11_ZU) - substituted with v-w4616f25_MM")</f>
        <v>provést (v-w4616f11_ZU) - substituted with v-w4616f25_MM</v>
      </c>
    </row>
    <row r="33415" customFormat="false" ht="12.8" hidden="false" customHeight="false" outlineLevel="0" collapsed="false">
      <c r="B33415" s="0" t="s">
        <v>7</v>
      </c>
    </row>
    <row r="33416" customFormat="false" ht="12.8" hidden="false" customHeight="false" outlineLevel="0" collapsed="false">
      <c r="B33416" s="0" t="s">
        <v>12340</v>
      </c>
    </row>
    <row r="33418" customFormat="false" ht="12.8" hidden="false" customHeight="false" outlineLevel="0" collapsed="false">
      <c r="A33418" s="0" t="s">
        <v>12339</v>
      </c>
      <c r="B33418" s="0" t="str">
        <f aca="false">HYPERLINK("https://lindat.mff.cuni.cz/services/teitok/pdtc10/index.php?action=vallex&amp;frame=v-w4616f12_ZU", "provést (v-w4616f12_ZU) - substituted with v-w4616f25_MM")</f>
        <v>provést (v-w4616f12_ZU) - substituted with v-w4616f25_MM</v>
      </c>
    </row>
    <row r="33419" customFormat="false" ht="12.8" hidden="false" customHeight="false" outlineLevel="0" collapsed="false">
      <c r="B33419" s="0" t="s">
        <v>7</v>
      </c>
      <c r="C33419" s="0" t="s">
        <v>1263</v>
      </c>
    </row>
    <row r="33420" customFormat="false" ht="12.8" hidden="false" customHeight="false" outlineLevel="0" collapsed="false">
      <c r="B33420" s="0" t="s">
        <v>12340</v>
      </c>
      <c r="C33420" s="0" t="s">
        <v>5680</v>
      </c>
    </row>
    <row r="33422" customFormat="false" ht="12.8" hidden="false" customHeight="false" outlineLevel="0" collapsed="false">
      <c r="A33422" s="0" t="s">
        <v>12339</v>
      </c>
      <c r="B33422" s="0" t="str">
        <f aca="false">HYPERLINK("https://lindat.mff.cuni.cz/services/teitok/pdtc10/index.php?action=vallex&amp;frame=v-w4616f13_ZU", "provést (v-w4616f13_ZU) - substituted with v-w4616f25_MM")</f>
        <v>provést (v-w4616f13_ZU) - substituted with v-w4616f25_MM</v>
      </c>
    </row>
    <row r="33423" customFormat="false" ht="12.8" hidden="false" customHeight="false" outlineLevel="0" collapsed="false">
      <c r="B33423" s="0" t="s">
        <v>7</v>
      </c>
      <c r="C33423" s="0" t="s">
        <v>2530</v>
      </c>
    </row>
    <row r="33424" customFormat="false" ht="12.8" hidden="false" customHeight="false" outlineLevel="0" collapsed="false">
      <c r="B33424" s="0" t="s">
        <v>12340</v>
      </c>
      <c r="C33424" s="0" t="s">
        <v>12341</v>
      </c>
    </row>
    <row r="33426" customFormat="false" ht="12.8" hidden="false" customHeight="false" outlineLevel="0" collapsed="false">
      <c r="A33426" s="0" t="s">
        <v>12339</v>
      </c>
      <c r="B33426" s="0" t="str">
        <f aca="false">HYPERLINK("https://lindat.mff.cuni.cz/services/teitok/pdtc10/index.php?action=vallex&amp;frame=v-w4616f14_ZU", "provést (v-w4616f14_ZU) - substituted with v-w4616f25_MM")</f>
        <v>provést (v-w4616f14_ZU) - substituted with v-w4616f25_MM</v>
      </c>
    </row>
    <row r="33427" customFormat="false" ht="12.8" hidden="false" customHeight="false" outlineLevel="0" collapsed="false">
      <c r="B33427" s="0" t="s">
        <v>7</v>
      </c>
      <c r="C33427" s="0" t="s">
        <v>8821</v>
      </c>
    </row>
    <row r="33428" customFormat="false" ht="12.8" hidden="false" customHeight="false" outlineLevel="0" collapsed="false">
      <c r="B33428" s="0" t="s">
        <v>12340</v>
      </c>
      <c r="C33428" s="0" t="s">
        <v>12342</v>
      </c>
    </row>
    <row r="33430" customFormat="false" ht="12.8" hidden="false" customHeight="false" outlineLevel="0" collapsed="false">
      <c r="A33430" s="0" t="s">
        <v>12339</v>
      </c>
      <c r="B33430" s="0" t="str">
        <f aca="false">HYPERLINK("https://lindat.mff.cuni.cz/services/teitok/pdtc10/index.php?action=vallex&amp;frame=v-w4616f16_ZU", "provést (v-w4616f16_ZU) - substituted with v-w4616f25_MM")</f>
        <v>provést (v-w4616f16_ZU) - substituted with v-w4616f25_MM</v>
      </c>
    </row>
    <row r="33431" customFormat="false" ht="12.8" hidden="false" customHeight="false" outlineLevel="0" collapsed="false">
      <c r="B33431" s="0" t="s">
        <v>7</v>
      </c>
    </row>
    <row r="33432" customFormat="false" ht="12.8" hidden="false" customHeight="false" outlineLevel="0" collapsed="false">
      <c r="B33432" s="0" t="s">
        <v>12340</v>
      </c>
    </row>
    <row r="33434" customFormat="false" ht="12.8" hidden="false" customHeight="false" outlineLevel="0" collapsed="false">
      <c r="A33434" s="0" t="s">
        <v>12339</v>
      </c>
      <c r="B33434" s="0" t="str">
        <f aca="false">HYPERLINK("https://lindat.mff.cuni.cz/services/teitok/pdtc10/index.php?action=vallex&amp;frame=v-w4616f17_ZU", "provést (v-w4616f17_ZU) - substituted with v-w4616f25_MM")</f>
        <v>provést (v-w4616f17_ZU) - substituted with v-w4616f25_MM</v>
      </c>
    </row>
    <row r="33435" customFormat="false" ht="12.8" hidden="false" customHeight="false" outlineLevel="0" collapsed="false">
      <c r="B33435" s="0" t="s">
        <v>7</v>
      </c>
      <c r="C33435" s="0" t="s">
        <v>12343</v>
      </c>
    </row>
    <row r="33436" customFormat="false" ht="12.8" hidden="false" customHeight="false" outlineLevel="0" collapsed="false">
      <c r="B33436" s="0" t="s">
        <v>12340</v>
      </c>
      <c r="C33436" s="0" t="s">
        <v>12344</v>
      </c>
    </row>
    <row r="33438" customFormat="false" ht="12.8" hidden="false" customHeight="false" outlineLevel="0" collapsed="false">
      <c r="A33438" s="0" t="s">
        <v>12339</v>
      </c>
      <c r="B33438" s="0" t="str">
        <f aca="false">HYPERLINK("https://lindat.mff.cuni.cz/services/teitok/pdtc10/index.php?action=vallex&amp;frame=v-w4616f18_ZU", "provést (v-w4616f18_ZU) - substituted with v-w4616f25_MM")</f>
        <v>provést (v-w4616f18_ZU) - substituted with v-w4616f25_MM</v>
      </c>
    </row>
    <row r="33439" customFormat="false" ht="12.8" hidden="false" customHeight="false" outlineLevel="0" collapsed="false">
      <c r="B33439" s="0" t="s">
        <v>7</v>
      </c>
      <c r="C33439" s="0" t="s">
        <v>12345</v>
      </c>
    </row>
    <row r="33440" customFormat="false" ht="12.8" hidden="false" customHeight="false" outlineLevel="0" collapsed="false">
      <c r="B33440" s="0" t="s">
        <v>12340</v>
      </c>
      <c r="C33440" s="0" t="s">
        <v>12346</v>
      </c>
    </row>
    <row r="33442" customFormat="false" ht="12.8" hidden="false" customHeight="false" outlineLevel="0" collapsed="false">
      <c r="A33442" s="0" t="s">
        <v>12339</v>
      </c>
      <c r="B33442" s="0" t="str">
        <f aca="false">HYPERLINK("https://lindat.mff.cuni.cz/services/teitok/pdtc10/index.php?action=vallex&amp;frame=v-w4616f19_ZU", "provést (v-w4616f19_ZU) - substituted with v-w4616f25_MM")</f>
        <v>provést (v-w4616f19_ZU) - substituted with v-w4616f25_MM</v>
      </c>
    </row>
    <row r="33443" customFormat="false" ht="12.8" hidden="false" customHeight="false" outlineLevel="0" collapsed="false">
      <c r="B33443" s="0" t="s">
        <v>7</v>
      </c>
      <c r="C33443" s="0" t="s">
        <v>4677</v>
      </c>
    </row>
    <row r="33444" customFormat="false" ht="12.8" hidden="false" customHeight="false" outlineLevel="0" collapsed="false">
      <c r="B33444" s="0" t="s">
        <v>12340</v>
      </c>
      <c r="C33444" s="0" t="s">
        <v>12347</v>
      </c>
    </row>
    <row r="33446" customFormat="false" ht="12.8" hidden="false" customHeight="false" outlineLevel="0" collapsed="false">
      <c r="A33446" s="0" t="s">
        <v>12339</v>
      </c>
      <c r="B33446" s="0" t="str">
        <f aca="false">HYPERLINK("https://lindat.mff.cuni.cz/services/teitok/pdtc10/index.php?action=vallex&amp;frame=v-w4616f2", "provést (v-w4616f2) - substituted with v-w4616f25_MM")</f>
        <v>provést (v-w4616f2) - substituted with v-w4616f25_MM</v>
      </c>
    </row>
    <row r="33447" customFormat="false" ht="12.8" hidden="false" customHeight="false" outlineLevel="0" collapsed="false">
      <c r="B33447" s="0" t="s">
        <v>7</v>
      </c>
      <c r="C33447" s="0" t="s">
        <v>149</v>
      </c>
    </row>
    <row r="33448" customFormat="false" ht="12.8" hidden="false" customHeight="false" outlineLevel="0" collapsed="false">
      <c r="B33448" s="0" t="s">
        <v>12340</v>
      </c>
      <c r="C33448" s="0" t="s">
        <v>12307</v>
      </c>
    </row>
    <row r="33450" customFormat="false" ht="12.8" hidden="false" customHeight="false" outlineLevel="0" collapsed="false">
      <c r="A33450" s="0" t="s">
        <v>12339</v>
      </c>
      <c r="B33450" s="0" t="str">
        <f aca="false">HYPERLINK("https://lindat.mff.cuni.cz/services/teitok/pdtc10/index.php?action=vallex&amp;frame=v-w4616f20_ZU", "provést (v-w4616f20_ZU) - substituted with v-w4616f25_MM")</f>
        <v>provést (v-w4616f20_ZU) - substituted with v-w4616f25_MM</v>
      </c>
    </row>
    <row r="33451" customFormat="false" ht="12.8" hidden="false" customHeight="false" outlineLevel="0" collapsed="false">
      <c r="B33451" s="0" t="s">
        <v>7</v>
      </c>
      <c r="C33451" s="0" t="s">
        <v>11401</v>
      </c>
    </row>
    <row r="33452" customFormat="false" ht="12.8" hidden="false" customHeight="false" outlineLevel="0" collapsed="false">
      <c r="B33452" s="0" t="s">
        <v>12340</v>
      </c>
      <c r="C33452" s="0" t="s">
        <v>12348</v>
      </c>
    </row>
    <row r="33454" customFormat="false" ht="12.8" hidden="false" customHeight="false" outlineLevel="0" collapsed="false">
      <c r="A33454" s="0" t="s">
        <v>12339</v>
      </c>
      <c r="B33454" s="0" t="str">
        <f aca="false">HYPERLINK("https://lindat.mff.cuni.cz/services/teitok/pdtc10/index.php?action=vallex&amp;frame=v-w4616f21_ZU", "provést (v-w4616f21_ZU) - substituted with v-w4616f25_MM")</f>
        <v>provést (v-w4616f21_ZU) - substituted with v-w4616f25_MM</v>
      </c>
    </row>
    <row r="33455" customFormat="false" ht="12.8" hidden="false" customHeight="false" outlineLevel="0" collapsed="false">
      <c r="B33455" s="0" t="s">
        <v>7</v>
      </c>
      <c r="C33455" s="0" t="s">
        <v>3918</v>
      </c>
      <c r="D33455" s="0" t="s">
        <v>12349</v>
      </c>
      <c r="E33455" s="0" t="s">
        <v>12349</v>
      </c>
      <c r="F33455" s="0" t="s">
        <v>12349</v>
      </c>
    </row>
    <row r="33456" customFormat="false" ht="12.8" hidden="false" customHeight="false" outlineLevel="0" collapsed="false">
      <c r="B33456" s="0" t="s">
        <v>12340</v>
      </c>
      <c r="C33456" s="0" t="s">
        <v>12350</v>
      </c>
      <c r="D33456" s="0" t="s">
        <v>12351</v>
      </c>
      <c r="E33456" s="0" t="s">
        <v>12351</v>
      </c>
      <c r="F33456" s="0" t="s">
        <v>12351</v>
      </c>
    </row>
    <row r="33458" customFormat="false" ht="12.8" hidden="false" customHeight="false" outlineLevel="0" collapsed="false">
      <c r="A33458" s="0" t="s">
        <v>12339</v>
      </c>
      <c r="B33458" s="0" t="str">
        <f aca="false">HYPERLINK("https://lindat.mff.cuni.cz/services/teitok/pdtc10/index.php?action=vallex&amp;frame=v-w4616f23_ZU", "provést (v-w4616f23_ZU) - substituted with v-w4616f25_MM")</f>
        <v>provést (v-w4616f23_ZU) - substituted with v-w4616f25_MM</v>
      </c>
    </row>
    <row r="33459" customFormat="false" ht="12.8" hidden="false" customHeight="false" outlineLevel="0" collapsed="false">
      <c r="B33459" s="0" t="s">
        <v>7</v>
      </c>
    </row>
    <row r="33460" customFormat="false" ht="12.8" hidden="false" customHeight="false" outlineLevel="0" collapsed="false">
      <c r="B33460" s="0" t="s">
        <v>12340</v>
      </c>
    </row>
    <row r="33462" customFormat="false" ht="12.8" hidden="false" customHeight="false" outlineLevel="0" collapsed="false">
      <c r="A33462" s="0" t="s">
        <v>12339</v>
      </c>
      <c r="B33462" s="0" t="str">
        <f aca="false">HYPERLINK("https://lindat.mff.cuni.cz/services/teitok/pdtc10/index.php?action=vallex&amp;frame=v-w4616f24_ZU", "provést (v-w4616f24_ZU) - substituted with v-w4616f25_MM")</f>
        <v>provést (v-w4616f24_ZU) - substituted with v-w4616f25_MM</v>
      </c>
    </row>
    <row r="33463" customFormat="false" ht="12.8" hidden="false" customHeight="false" outlineLevel="0" collapsed="false">
      <c r="B33463" s="0" t="s">
        <v>7</v>
      </c>
    </row>
    <row r="33464" customFormat="false" ht="12.8" hidden="false" customHeight="false" outlineLevel="0" collapsed="false">
      <c r="B33464" s="0" t="s">
        <v>12340</v>
      </c>
    </row>
    <row r="33466" customFormat="false" ht="12.8" hidden="false" customHeight="false" outlineLevel="0" collapsed="false">
      <c r="A33466" s="0" t="s">
        <v>12339</v>
      </c>
      <c r="B33466" s="0" t="str">
        <f aca="false">HYPERLINK("https://lindat.mff.cuni.cz/services/teitok/pdtc10/index.php?action=vallex&amp;frame=v-w4616f6", "provést (v-w4616f6) - substituted with v-w4616f25_MM")</f>
        <v>provést (v-w4616f6) - substituted with v-w4616f25_MM</v>
      </c>
    </row>
    <row r="33467" customFormat="false" ht="12.8" hidden="false" customHeight="false" outlineLevel="0" collapsed="false">
      <c r="B33467" s="0" t="s">
        <v>7</v>
      </c>
      <c r="C33467" s="0" t="s">
        <v>12352</v>
      </c>
    </row>
    <row r="33468" customFormat="false" ht="12.8" hidden="false" customHeight="false" outlineLevel="0" collapsed="false">
      <c r="B33468" s="0" t="s">
        <v>12340</v>
      </c>
      <c r="C33468" s="0" t="s">
        <v>12353</v>
      </c>
    </row>
    <row r="33470" customFormat="false" ht="12.8" hidden="false" customHeight="false" outlineLevel="0" collapsed="false">
      <c r="A33470" s="0" t="s">
        <v>12339</v>
      </c>
      <c r="B33470" s="0" t="str">
        <f aca="false">HYPERLINK("https://lindat.mff.cuni.cz/services/teitok/pdtc10/index.php?action=vallex&amp;frame=v-w4616f7_ZU", "provést (v-w4616f7_ZU) - substituted with v-w4616f25_MM")</f>
        <v>provést (v-w4616f7_ZU) - substituted with v-w4616f25_MM</v>
      </c>
    </row>
    <row r="33471" customFormat="false" ht="12.8" hidden="false" customHeight="false" outlineLevel="0" collapsed="false">
      <c r="B33471" s="0" t="s">
        <v>7</v>
      </c>
      <c r="C33471" s="0" t="s">
        <v>2256</v>
      </c>
    </row>
    <row r="33472" customFormat="false" ht="12.8" hidden="false" customHeight="false" outlineLevel="0" collapsed="false">
      <c r="B33472" s="0" t="s">
        <v>12340</v>
      </c>
      <c r="C33472" s="0" t="s">
        <v>12354</v>
      </c>
    </row>
    <row r="33474" customFormat="false" ht="12.8" hidden="false" customHeight="false" outlineLevel="0" collapsed="false">
      <c r="A33474" s="0" t="s">
        <v>12339</v>
      </c>
      <c r="B33474" s="0" t="str">
        <f aca="false">HYPERLINK("https://lindat.mff.cuni.cz/services/teitok/pdtc10/index.php?action=vallex&amp;frame=v-w4616f8_ZU", "provést (v-w4616f8_ZU) - substituted with v-w4616f25_MM")</f>
        <v>provést (v-w4616f8_ZU) - substituted with v-w4616f25_MM</v>
      </c>
    </row>
    <row r="33475" customFormat="false" ht="12.8" hidden="false" customHeight="false" outlineLevel="0" collapsed="false">
      <c r="B33475" s="0" t="s">
        <v>7</v>
      </c>
      <c r="C33475" s="0" t="s">
        <v>3042</v>
      </c>
    </row>
    <row r="33476" customFormat="false" ht="12.8" hidden="false" customHeight="false" outlineLevel="0" collapsed="false">
      <c r="B33476" s="0" t="s">
        <v>12340</v>
      </c>
      <c r="C33476" s="0" t="s">
        <v>3043</v>
      </c>
    </row>
    <row r="33478" customFormat="false" ht="12.8" hidden="false" customHeight="false" outlineLevel="0" collapsed="false">
      <c r="A33478" s="0" t="s">
        <v>12339</v>
      </c>
      <c r="B33478" s="0" t="str">
        <f aca="false">HYPERLINK("https://lindat.mff.cuni.cz/services/teitok/pdtc10/index.php?action=vallex&amp;frame=v-w4616f9_ZU", "provést (v-w4616f9_ZU) - substituted with v-w4616f25_MM")</f>
        <v>provést (v-w4616f9_ZU) - substituted with v-w4616f25_MM</v>
      </c>
    </row>
    <row r="33479" customFormat="false" ht="12.8" hidden="false" customHeight="false" outlineLevel="0" collapsed="false">
      <c r="B33479" s="0" t="s">
        <v>7</v>
      </c>
      <c r="C33479" s="0" t="s">
        <v>3944</v>
      </c>
    </row>
    <row r="33480" customFormat="false" ht="12.8" hidden="false" customHeight="false" outlineLevel="0" collapsed="false">
      <c r="B33480" s="0" t="s">
        <v>12340</v>
      </c>
      <c r="C33480" s="0" t="s">
        <v>12355</v>
      </c>
    </row>
    <row r="33482" customFormat="false" ht="12.8" hidden="false" customHeight="false" outlineLevel="0" collapsed="false">
      <c r="A33482" s="0" t="s">
        <v>12339</v>
      </c>
      <c r="B33482" s="0" t="str">
        <f aca="false">HYPERLINK("https://lindat.mff.cuni.cz/services/teitok/pdtc10/index.php?action=vallex&amp;frame=v-w4616hsa_133", "provést (v-w4616hsa_133) - substituted with v-w4616f25_MM")</f>
        <v>provést (v-w4616hsa_133) - substituted with v-w4616f25_MM</v>
      </c>
    </row>
    <row r="33483" customFormat="false" ht="12.8" hidden="false" customHeight="false" outlineLevel="0" collapsed="false">
      <c r="B33483" s="0" t="s">
        <v>7</v>
      </c>
    </row>
    <row r="33484" customFormat="false" ht="12.8" hidden="false" customHeight="false" outlineLevel="0" collapsed="false">
      <c r="B33484" s="0" t="s">
        <v>12340</v>
      </c>
    </row>
    <row r="33486" customFormat="false" ht="12.8" hidden="false" customHeight="false" outlineLevel="0" collapsed="false">
      <c r="A33486" s="0" t="s">
        <v>12339</v>
      </c>
      <c r="B33486" s="0" t="str">
        <f aca="false">HYPERLINK("https://lindat.mff.cuni.cz/services/teitok/pdtc10/index.php?action=vallex&amp;frame=v-w4616hsa_93", "provést (v-w4616hsa_93) - substituted with v-w4616f25_MM")</f>
        <v>provést (v-w4616hsa_93) - substituted with v-w4616f25_MM</v>
      </c>
    </row>
    <row r="33487" customFormat="false" ht="12.8" hidden="false" customHeight="false" outlineLevel="0" collapsed="false">
      <c r="B33487" s="0" t="s">
        <v>7</v>
      </c>
    </row>
    <row r="33488" customFormat="false" ht="12.8" hidden="false" customHeight="false" outlineLevel="0" collapsed="false">
      <c r="B33488" s="0" t="s">
        <v>12340</v>
      </c>
    </row>
    <row r="33490" customFormat="false" ht="12.8" hidden="false" customHeight="false" outlineLevel="0" collapsed="false">
      <c r="A33490" s="0" t="s">
        <v>12356</v>
      </c>
      <c r="B33490" s="0" t="str">
        <f aca="false">HYPERLINK("https://lindat.mff.cuni.cz/services/teitok/pdtc10/index.php?action=vallex&amp;frame=v-w4616f15_ZU", "provést (v-w4616f15_ZU)")</f>
        <v>provést (v-w4616f15_ZU)</v>
      </c>
    </row>
    <row r="33491" customFormat="false" ht="12.8" hidden="false" customHeight="false" outlineLevel="0" collapsed="false">
      <c r="B33491" s="0" t="s">
        <v>7</v>
      </c>
      <c r="C33491" s="0" t="s">
        <v>2199</v>
      </c>
    </row>
    <row r="33492" customFormat="false" ht="12.8" hidden="false" customHeight="false" outlineLevel="0" collapsed="false">
      <c r="B33492" s="0" t="s">
        <v>12357</v>
      </c>
      <c r="C33492" s="0" t="s">
        <v>4754</v>
      </c>
    </row>
    <row r="33494" customFormat="false" ht="12.8" hidden="false" customHeight="false" outlineLevel="0" collapsed="false">
      <c r="A33494" s="0" t="s">
        <v>12356</v>
      </c>
      <c r="B33494" s="0" t="str">
        <f aca="false">HYPERLINK("https://lindat.mff.cuni.cz/services/teitok/pdtc10/index.php?action=vallex&amp;frame=v-w4616f5", "provést (v-w4616f5) - substituted with v-w4616f15_ZU")</f>
        <v>provést (v-w4616f5) - substituted with v-w4616f15_ZU</v>
      </c>
    </row>
    <row r="33495" customFormat="false" ht="12.8" hidden="false" customHeight="false" outlineLevel="0" collapsed="false">
      <c r="B33495" s="0" t="s">
        <v>7</v>
      </c>
    </row>
    <row r="33496" customFormat="false" ht="12.8" hidden="false" customHeight="false" outlineLevel="0" collapsed="false">
      <c r="B33496" s="0" t="s">
        <v>12357</v>
      </c>
    </row>
    <row r="33498" customFormat="false" ht="12.8" hidden="false" customHeight="false" outlineLevel="0" collapsed="false">
      <c r="A33498" s="0" t="s">
        <v>12358</v>
      </c>
      <c r="B33498" s="0" t="str">
        <f aca="false">HYPERLINK("https://lindat.mff.cuni.cz/services/teitok/pdtc10/index.php?action=vallex&amp;frame=v-w4616f22_ZU", "provést (v-w4616f22_ZU)")</f>
        <v>provést (v-w4616f22_ZU)</v>
      </c>
    </row>
    <row r="33499" customFormat="false" ht="12.8" hidden="false" customHeight="false" outlineLevel="0" collapsed="false">
      <c r="B33499" s="0" t="s">
        <v>7</v>
      </c>
    </row>
    <row r="33500" customFormat="false" ht="12.8" hidden="false" customHeight="false" outlineLevel="0" collapsed="false">
      <c r="B33500" s="0" t="s">
        <v>12359</v>
      </c>
    </row>
    <row r="33502" customFormat="false" ht="12.8" hidden="false" customHeight="false" outlineLevel="0" collapsed="false">
      <c r="A33502" s="0" t="s">
        <v>12360</v>
      </c>
      <c r="B33502" s="0" t="str">
        <f aca="false">HYPERLINK("https://lindat.mff.cuni.cz/services/teitok/pdtc10/index.php?action=vallex&amp;frame=v-w4616f26_MM", "provést (v-w4616f26_MM)")</f>
        <v>provést (v-w4616f26_MM)</v>
      </c>
    </row>
    <row r="33503" customFormat="false" ht="12.8" hidden="false" customHeight="false" outlineLevel="0" collapsed="false">
      <c r="B33503" s="0" t="s">
        <v>7</v>
      </c>
    </row>
    <row r="33504" customFormat="false" ht="12.8" hidden="false" customHeight="false" outlineLevel="0" collapsed="false">
      <c r="B33504" s="0" t="s">
        <v>54</v>
      </c>
    </row>
    <row r="33505" customFormat="false" ht="12.8" hidden="false" customHeight="false" outlineLevel="0" collapsed="false">
      <c r="B33505" s="0" t="s">
        <v>48</v>
      </c>
    </row>
    <row r="33507" customFormat="false" ht="12.8" hidden="false" customHeight="false" outlineLevel="0" collapsed="false">
      <c r="A33507" s="0" t="s">
        <v>12360</v>
      </c>
      <c r="B33507" s="0" t="str">
        <f aca="false">HYPERLINK("https://lindat.mff.cuni.cz/services/teitok/pdtc10/index.php?action=vallex&amp;frame=v-w4616hsa_92", "provést (v-w4616hsa_92) - substituted with v-w4616f26_MM")</f>
        <v>provést (v-w4616hsa_92) - substituted with v-w4616f26_MM</v>
      </c>
    </row>
    <row r="33508" customFormat="false" ht="12.8" hidden="false" customHeight="false" outlineLevel="0" collapsed="false">
      <c r="B33508" s="0" t="s">
        <v>7</v>
      </c>
    </row>
    <row r="33509" customFormat="false" ht="12.8" hidden="false" customHeight="false" outlineLevel="0" collapsed="false">
      <c r="B33509" s="0" t="s">
        <v>54</v>
      </c>
    </row>
    <row r="33510" customFormat="false" ht="12.8" hidden="false" customHeight="false" outlineLevel="0" collapsed="false">
      <c r="B33510" s="0" t="s">
        <v>48</v>
      </c>
    </row>
    <row r="33512" customFormat="false" ht="12.8" hidden="false" customHeight="false" outlineLevel="0" collapsed="false">
      <c r="A33512" s="0" t="s">
        <v>12361</v>
      </c>
      <c r="B33512" s="0" t="str">
        <f aca="false">HYPERLINK("https://lindat.mff.cuni.cz/services/teitok/pdtc10/index.php?action=vallex&amp;frame=v-w4619f1", "provézt (v-w4619f1)")</f>
        <v>provézt (v-w4619f1)</v>
      </c>
    </row>
    <row r="33513" customFormat="false" ht="12.8" hidden="false" customHeight="false" outlineLevel="0" collapsed="false">
      <c r="B33513" s="0" t="s">
        <v>7</v>
      </c>
    </row>
    <row r="33514" customFormat="false" ht="12.8" hidden="false" customHeight="false" outlineLevel="0" collapsed="false">
      <c r="B33514" s="0" t="s">
        <v>14</v>
      </c>
    </row>
    <row r="33516" customFormat="false" ht="12.8" hidden="false" customHeight="false" outlineLevel="0" collapsed="false">
      <c r="A33516" s="0" t="s">
        <v>12362</v>
      </c>
      <c r="B33516" s="0" t="str">
        <f aca="false">HYPERLINK("https://lindat.mff.cuni.cz/services/teitok/pdtc10/index.php?action=vallex&amp;frame=v-w4617f1", "provětrat (v-w4617f1)")</f>
        <v>provětrat (v-w4617f1)</v>
      </c>
    </row>
    <row r="33517" customFormat="false" ht="12.8" hidden="false" customHeight="false" outlineLevel="0" collapsed="false">
      <c r="B33517" s="0" t="s">
        <v>7</v>
      </c>
      <c r="C33517" s="0" t="s">
        <v>1874</v>
      </c>
    </row>
    <row r="33518" customFormat="false" ht="12.8" hidden="false" customHeight="false" outlineLevel="0" collapsed="false">
      <c r="B33518" s="0" t="s">
        <v>14</v>
      </c>
      <c r="C33518" s="0" t="s">
        <v>488</v>
      </c>
    </row>
    <row r="33520" customFormat="false" ht="12.8" hidden="false" customHeight="false" outlineLevel="0" collapsed="false">
      <c r="A33520" s="0" t="s">
        <v>12363</v>
      </c>
      <c r="B33520" s="0" t="str">
        <f aca="false">HYPERLINK("https://lindat.mff.cuni.cz/services/teitok/pdtc10/index.php?action=vallex&amp;frame=v-w4617f2_ZU", "provětrat (v-w4617f2_ZU)")</f>
        <v>provětrat (v-w4617f2_ZU)</v>
      </c>
    </row>
    <row r="33521" customFormat="false" ht="12.8" hidden="false" customHeight="false" outlineLevel="0" collapsed="false">
      <c r="B33521" s="0" t="s">
        <v>7</v>
      </c>
    </row>
    <row r="33522" customFormat="false" ht="12.8" hidden="false" customHeight="false" outlineLevel="0" collapsed="false">
      <c r="B33522" s="0" t="s">
        <v>14</v>
      </c>
    </row>
    <row r="33524" customFormat="false" ht="12.8" hidden="false" customHeight="false" outlineLevel="0" collapsed="false">
      <c r="A33524" s="0" t="s">
        <v>12364</v>
      </c>
      <c r="B33524" s="0" t="str">
        <f aca="false">HYPERLINK("https://lindat.mff.cuni.cz/services/teitok/pdtc10/index.php?action=vallex&amp;frame=v-w10545f2", "provětrávat (v-w10545f2)")</f>
        <v>provětrávat (v-w10545f2)</v>
      </c>
    </row>
    <row r="33525" customFormat="false" ht="12.8" hidden="false" customHeight="false" outlineLevel="0" collapsed="false">
      <c r="B33525" s="0" t="s">
        <v>7</v>
      </c>
    </row>
    <row r="33526" customFormat="false" ht="12.8" hidden="false" customHeight="false" outlineLevel="0" collapsed="false">
      <c r="B33526" s="0" t="s">
        <v>14</v>
      </c>
    </row>
    <row r="33528" customFormat="false" ht="12.8" hidden="false" customHeight="false" outlineLevel="0" collapsed="false">
      <c r="A33528" s="0" t="s">
        <v>12365</v>
      </c>
      <c r="B33528" s="0" t="str">
        <f aca="false">HYPERLINK("https://lindat.mff.cuni.cz/services/teitok/pdtc10/index.php?action=vallex&amp;frame=v-w4613f1", "prověřit (v-w4613f1)")</f>
        <v>prověřit (v-w4613f1)</v>
      </c>
    </row>
    <row r="33529" customFormat="false" ht="12.8" hidden="false" customHeight="false" outlineLevel="0" collapsed="false">
      <c r="B33529" s="0" t="s">
        <v>7</v>
      </c>
      <c r="C33529" s="0" t="s">
        <v>4231</v>
      </c>
      <c r="D33529" s="0" t="s">
        <v>92</v>
      </c>
      <c r="E33529" s="0" t="s">
        <v>92</v>
      </c>
      <c r="F33529" s="0" t="s">
        <v>92</v>
      </c>
    </row>
    <row r="33530" customFormat="false" ht="12.8" hidden="false" customHeight="false" outlineLevel="0" collapsed="false">
      <c r="B33530" s="0" t="s">
        <v>2030</v>
      </c>
      <c r="C33530" s="0" t="s">
        <v>2685</v>
      </c>
      <c r="D33530" s="0" t="s">
        <v>95</v>
      </c>
      <c r="E33530" s="0" t="s">
        <v>95</v>
      </c>
      <c r="F33530" s="0" t="s">
        <v>95</v>
      </c>
    </row>
    <row r="33532" customFormat="false" ht="12.8" hidden="false" customHeight="false" outlineLevel="0" collapsed="false">
      <c r="A33532" s="0" t="s">
        <v>12366</v>
      </c>
      <c r="B33532" s="0" t="str">
        <f aca="false">HYPERLINK("https://lindat.mff.cuni.cz/services/teitok/pdtc10/index.php?action=vallex&amp;frame=v-w4615f1", "prověřovat (v-w4615f1)")</f>
        <v>prověřovat (v-w4615f1)</v>
      </c>
    </row>
    <row r="33533" customFormat="false" ht="12.8" hidden="false" customHeight="false" outlineLevel="0" collapsed="false">
      <c r="B33533" s="0" t="s">
        <v>7</v>
      </c>
      <c r="C33533" s="0" t="s">
        <v>2131</v>
      </c>
      <c r="D33533" s="0" t="s">
        <v>92</v>
      </c>
      <c r="E33533" s="0" t="s">
        <v>92</v>
      </c>
      <c r="F33533" s="0" t="s">
        <v>92</v>
      </c>
    </row>
    <row r="33534" customFormat="false" ht="12.8" hidden="false" customHeight="false" outlineLevel="0" collapsed="false">
      <c r="B33534" s="0" t="s">
        <v>2030</v>
      </c>
      <c r="C33534" s="0" t="s">
        <v>2993</v>
      </c>
      <c r="D33534" s="0" t="s">
        <v>95</v>
      </c>
      <c r="E33534" s="0" t="s">
        <v>95</v>
      </c>
      <c r="F33534" s="0" t="s">
        <v>95</v>
      </c>
    </row>
    <row r="33536" customFormat="false" ht="12.8" hidden="false" customHeight="false" outlineLevel="0" collapsed="false">
      <c r="A33536" s="0" t="s">
        <v>12367</v>
      </c>
      <c r="B33536" s="0" t="str">
        <f aca="false">HYPERLINK("https://lindat.mff.cuni.cz/services/teitok/pdtc10/index.php?action=vallex&amp;frame=v-w4633f1", "prozkoumat (v-w4633f1)")</f>
        <v>prozkoumat (v-w4633f1)</v>
      </c>
    </row>
    <row r="33537" customFormat="false" ht="12.8" hidden="false" customHeight="false" outlineLevel="0" collapsed="false">
      <c r="B33537" s="0" t="s">
        <v>7</v>
      </c>
      <c r="C33537" s="0" t="s">
        <v>132</v>
      </c>
      <c r="D33537" s="0" t="s">
        <v>12368</v>
      </c>
      <c r="E33537" s="0" t="s">
        <v>12368</v>
      </c>
      <c r="F33537" s="0" t="s">
        <v>12368</v>
      </c>
    </row>
    <row r="33538" customFormat="false" ht="12.8" hidden="false" customHeight="false" outlineLevel="0" collapsed="false">
      <c r="B33538" s="0" t="s">
        <v>14</v>
      </c>
      <c r="C33538" s="0" t="s">
        <v>12369</v>
      </c>
      <c r="D33538" s="0" t="s">
        <v>12370</v>
      </c>
      <c r="E33538" s="0" t="s">
        <v>12370</v>
      </c>
      <c r="F33538" s="0" t="s">
        <v>12370</v>
      </c>
    </row>
    <row r="33540" customFormat="false" ht="12.8" hidden="false" customHeight="false" outlineLevel="0" collapsed="false">
      <c r="A33540" s="0" t="s">
        <v>12371</v>
      </c>
      <c r="B33540" s="0" t="str">
        <f aca="false">HYPERLINK("https://lindat.mff.cuni.cz/services/teitok/pdtc10/index.php?action=vallex&amp;frame=v-w4633f4_ZU", "prozkoumat (v-w4633f4_ZU)")</f>
        <v>prozkoumat (v-w4633f4_ZU)</v>
      </c>
    </row>
    <row r="33541" customFormat="false" ht="12.8" hidden="false" customHeight="false" outlineLevel="0" collapsed="false">
      <c r="B33541" s="0" t="s">
        <v>7</v>
      </c>
    </row>
    <row r="33542" customFormat="false" ht="12.8" hidden="false" customHeight="false" outlineLevel="0" collapsed="false">
      <c r="B33542" s="0" t="s">
        <v>12372</v>
      </c>
    </row>
    <row r="33544" customFormat="false" ht="12.8" hidden="false" customHeight="false" outlineLevel="0" collapsed="false">
      <c r="A33544" s="0" t="s">
        <v>12371</v>
      </c>
      <c r="B33544" s="0" t="str">
        <f aca="false">HYPERLINK("https://lindat.mff.cuni.cz/services/teitok/pdtc10/index.php?action=vallex&amp;frame=v-w4633f2_ZU", "prozkoumat (v-w4633f2_ZU) - substituted with v-w4633f4_ZU")</f>
        <v>prozkoumat (v-w4633f2_ZU) - substituted with v-w4633f4_ZU</v>
      </c>
    </row>
    <row r="33545" customFormat="false" ht="12.8" hidden="false" customHeight="false" outlineLevel="0" collapsed="false">
      <c r="B33545" s="0" t="s">
        <v>7</v>
      </c>
      <c r="C33545" s="0" t="s">
        <v>3243</v>
      </c>
    </row>
    <row r="33546" customFormat="false" ht="12.8" hidden="false" customHeight="false" outlineLevel="0" collapsed="false">
      <c r="B33546" s="0" t="s">
        <v>12372</v>
      </c>
      <c r="C33546" s="0" t="s">
        <v>1631</v>
      </c>
    </row>
    <row r="33548" customFormat="false" ht="12.8" hidden="false" customHeight="false" outlineLevel="0" collapsed="false">
      <c r="A33548" s="0" t="s">
        <v>12371</v>
      </c>
      <c r="B33548" s="0" t="str">
        <f aca="false">HYPERLINK("https://lindat.mff.cuni.cz/services/teitok/pdtc10/index.php?action=vallex&amp;frame=v-w4633f3_ZU", "prozkoumat (v-w4633f3_ZU) - substituted with v-w4633f4_ZU")</f>
        <v>prozkoumat (v-w4633f3_ZU) - substituted with v-w4633f4_ZU</v>
      </c>
    </row>
    <row r="33549" customFormat="false" ht="12.8" hidden="false" customHeight="false" outlineLevel="0" collapsed="false">
      <c r="B33549" s="0" t="s">
        <v>7</v>
      </c>
      <c r="C33549" s="0" t="s">
        <v>21</v>
      </c>
      <c r="D33549" s="0" t="s">
        <v>92</v>
      </c>
      <c r="E33549" s="0" t="s">
        <v>92</v>
      </c>
      <c r="F33549" s="0" t="s">
        <v>92</v>
      </c>
    </row>
    <row r="33550" customFormat="false" ht="12.8" hidden="false" customHeight="false" outlineLevel="0" collapsed="false">
      <c r="B33550" s="0" t="s">
        <v>12372</v>
      </c>
      <c r="C33550" s="0" t="s">
        <v>2788</v>
      </c>
      <c r="D33550" s="0" t="s">
        <v>95</v>
      </c>
      <c r="E33550" s="0" t="s">
        <v>95</v>
      </c>
      <c r="F33550" s="0" t="s">
        <v>95</v>
      </c>
    </row>
    <row r="33552" customFormat="false" ht="12.8" hidden="false" customHeight="false" outlineLevel="0" collapsed="false">
      <c r="A33552" s="0" t="s">
        <v>12371</v>
      </c>
      <c r="B33552" s="0" t="str">
        <f aca="false">HYPERLINK("https://lindat.mff.cuni.cz/services/teitok/pdtc10/index.php?action=vallex&amp;frame=v-w4633hsa_505", "prozkoumat (v-w4633hsa_505) - substituted with v-w4633f4_ZU")</f>
        <v>prozkoumat (v-w4633hsa_505) - substituted with v-w4633f4_ZU</v>
      </c>
    </row>
    <row r="33553" customFormat="false" ht="12.8" hidden="false" customHeight="false" outlineLevel="0" collapsed="false">
      <c r="B33553" s="0" t="s">
        <v>7</v>
      </c>
    </row>
    <row r="33554" customFormat="false" ht="12.8" hidden="false" customHeight="false" outlineLevel="0" collapsed="false">
      <c r="B33554" s="0" t="s">
        <v>12372</v>
      </c>
    </row>
    <row r="33556" customFormat="false" ht="12.8" hidden="false" customHeight="false" outlineLevel="0" collapsed="false">
      <c r="A33556" s="0" t="s">
        <v>12373</v>
      </c>
      <c r="B33556" s="0" t="str">
        <f aca="false">HYPERLINK("https://lindat.mff.cuni.cz/services/teitok/pdtc10/index.php?action=vallex&amp;frame=v-w10743f2", "prozkoumávat (v-w10743f2)")</f>
        <v>prozkoumávat (v-w10743f2)</v>
      </c>
    </row>
    <row r="33557" customFormat="false" ht="12.8" hidden="false" customHeight="false" outlineLevel="0" collapsed="false">
      <c r="B33557" s="0" t="s">
        <v>7</v>
      </c>
      <c r="C33557" s="0" t="s">
        <v>2736</v>
      </c>
      <c r="D33557" s="0" t="s">
        <v>92</v>
      </c>
      <c r="E33557" s="0" t="s">
        <v>92</v>
      </c>
      <c r="F33557" s="0" t="s">
        <v>92</v>
      </c>
    </row>
    <row r="33558" customFormat="false" ht="12.8" hidden="false" customHeight="false" outlineLevel="0" collapsed="false">
      <c r="B33558" s="0" t="s">
        <v>14</v>
      </c>
      <c r="C33558" s="0" t="s">
        <v>1571</v>
      </c>
      <c r="D33558" s="0" t="s">
        <v>95</v>
      </c>
      <c r="E33558" s="0" t="s">
        <v>95</v>
      </c>
      <c r="F33558" s="0" t="s">
        <v>95</v>
      </c>
    </row>
    <row r="33560" customFormat="false" ht="12.8" hidden="false" customHeight="false" outlineLevel="0" collapsed="false">
      <c r="A33560" s="0" t="s">
        <v>12374</v>
      </c>
      <c r="B33560" s="0" t="str">
        <f aca="false">HYPERLINK("https://lindat.mff.cuni.cz/services/teitok/pdtc10/index.php?action=vallex&amp;frame=v-whsa_508f2_ZU", "prozpívat (v-whsa_508f2_ZU)")</f>
        <v>prozpívat (v-whsa_508f2_ZU)</v>
      </c>
    </row>
    <row r="33561" customFormat="false" ht="12.8" hidden="false" customHeight="false" outlineLevel="0" collapsed="false">
      <c r="B33561" s="0" t="s">
        <v>7</v>
      </c>
    </row>
    <row r="33562" customFormat="false" ht="12.8" hidden="false" customHeight="false" outlineLevel="0" collapsed="false">
      <c r="B33562" s="0" t="s">
        <v>14</v>
      </c>
    </row>
    <row r="33564" customFormat="false" ht="12.8" hidden="false" customHeight="false" outlineLevel="0" collapsed="false">
      <c r="A33564" s="0" t="s">
        <v>12374</v>
      </c>
      <c r="B33564" s="0" t="str">
        <f aca="false">HYPERLINK("https://lindat.mff.cuni.cz/services/teitok/pdtc10/index.php?action=vallex&amp;frame=v-whsa_508f1_ZU", "prozpívat (v-whsa_508f1_ZU) - substituted with v-whsa_508f2_ZU")</f>
        <v>prozpívat (v-whsa_508f1_ZU) - substituted with v-whsa_508f2_ZU</v>
      </c>
    </row>
    <row r="33565" customFormat="false" ht="12.8" hidden="false" customHeight="false" outlineLevel="0" collapsed="false">
      <c r="B33565" s="0" t="s">
        <v>7</v>
      </c>
    </row>
    <row r="33566" customFormat="false" ht="12.8" hidden="false" customHeight="false" outlineLevel="0" collapsed="false">
      <c r="B33566" s="0" t="s">
        <v>14</v>
      </c>
    </row>
    <row r="33568" customFormat="false" ht="12.8" hidden="false" customHeight="false" outlineLevel="0" collapsed="false">
      <c r="A33568" s="0" t="s">
        <v>12374</v>
      </c>
      <c r="B33568" s="0" t="str">
        <f aca="false">HYPERLINK("https://lindat.mff.cuni.cz/services/teitok/pdtc10/index.php?action=vallex&amp;frame=v-whsa_508hsa_509", "prozpívat (v-whsa_508hsa_509) - substituted with v-whsa_508f2_ZU")</f>
        <v>prozpívat (v-whsa_508hsa_509) - substituted with v-whsa_508f2_ZU</v>
      </c>
    </row>
    <row r="33569" customFormat="false" ht="12.8" hidden="false" customHeight="false" outlineLevel="0" collapsed="false">
      <c r="B33569" s="0" t="s">
        <v>7</v>
      </c>
    </row>
    <row r="33570" customFormat="false" ht="12.8" hidden="false" customHeight="false" outlineLevel="0" collapsed="false">
      <c r="B33570" s="0" t="s">
        <v>14</v>
      </c>
    </row>
    <row r="33572" customFormat="false" ht="12.8" hidden="false" customHeight="false" outlineLevel="0" collapsed="false">
      <c r="A33572" s="0" t="s">
        <v>12375</v>
      </c>
      <c r="B33572" s="0" t="str">
        <f aca="false">HYPERLINK("https://lindat.mff.cuni.cz/services/teitok/pdtc10/index.php?action=vallex&amp;frame=v-w11570_ZUf1_ZU", "prozpívat se (v-w11570_ZUf1_ZU)")</f>
        <v>prozpívat se (v-w11570_ZUf1_ZU)</v>
      </c>
    </row>
    <row r="33573" customFormat="false" ht="12.8" hidden="false" customHeight="false" outlineLevel="0" collapsed="false">
      <c r="B33573" s="0" t="s">
        <v>7</v>
      </c>
      <c r="C33573" s="0" t="s">
        <v>335</v>
      </c>
    </row>
    <row r="33574" customFormat="false" ht="12.8" hidden="false" customHeight="false" outlineLevel="0" collapsed="false">
      <c r="B33574" s="0" t="s">
        <v>4324</v>
      </c>
    </row>
    <row r="33576" customFormat="false" ht="12.8" hidden="false" customHeight="false" outlineLevel="0" collapsed="false">
      <c r="A33576" s="0" t="s">
        <v>12376</v>
      </c>
      <c r="B33576" s="0" t="str">
        <f aca="false">HYPERLINK("https://lindat.mff.cuni.cz/services/teitok/pdtc10/index.php?action=vallex&amp;frame=v-w11570_ZUf2_ZU", "prozpívat se (v-w11570_ZUf2_ZU)")</f>
        <v>prozpívat se (v-w11570_ZUf2_ZU)</v>
      </c>
    </row>
    <row r="33577" customFormat="false" ht="12.8" hidden="false" customHeight="false" outlineLevel="0" collapsed="false">
      <c r="B33577" s="0" t="s">
        <v>7</v>
      </c>
    </row>
    <row r="33578" customFormat="false" ht="12.8" hidden="false" customHeight="false" outlineLevel="0" collapsed="false">
      <c r="B33578" s="0" t="s">
        <v>124</v>
      </c>
    </row>
    <row r="33580" customFormat="false" ht="12.8" hidden="false" customHeight="false" outlineLevel="0" collapsed="false">
      <c r="A33580" s="0" t="s">
        <v>12376</v>
      </c>
      <c r="B33580" s="0" t="str">
        <f aca="false">HYPERLINK("https://lindat.mff.cuni.cz/services/teitok/pdtc10/index.php?action=vallex&amp;frame=v-w11570_ZUhsa_513", "prozpívat se (v-w11570_ZUhsa_513) - substituted with v-w11570_ZUf2_ZU")</f>
        <v>prozpívat se (v-w11570_ZUhsa_513) - substituted with v-w11570_ZUf2_ZU</v>
      </c>
    </row>
    <row r="33581" customFormat="false" ht="12.8" hidden="false" customHeight="false" outlineLevel="0" collapsed="false">
      <c r="B33581" s="0" t="s">
        <v>7</v>
      </c>
    </row>
    <row r="33582" customFormat="false" ht="12.8" hidden="false" customHeight="false" outlineLevel="0" collapsed="false">
      <c r="B33582" s="0" t="s">
        <v>124</v>
      </c>
    </row>
    <row r="33584" customFormat="false" ht="12.8" hidden="false" customHeight="false" outlineLevel="0" collapsed="false">
      <c r="A33584" s="0" t="s">
        <v>12377</v>
      </c>
      <c r="B33584" s="0" t="str">
        <f aca="false">HYPERLINK("https://lindat.mff.cuni.cz/services/teitok/pdtc10/index.php?action=vallex&amp;frame=v-w10559f2", "prozpěvovat (v-w10559f2)")</f>
        <v>prozpěvovat (v-w10559f2)</v>
      </c>
    </row>
    <row r="33585" customFormat="false" ht="12.8" hidden="false" customHeight="false" outlineLevel="0" collapsed="false">
      <c r="B33585" s="0" t="s">
        <v>7</v>
      </c>
    </row>
    <row r="33586" customFormat="false" ht="12.8" hidden="false" customHeight="false" outlineLevel="0" collapsed="false">
      <c r="B33586" s="0" t="s">
        <v>12378</v>
      </c>
    </row>
    <row r="33587" customFormat="false" ht="12.8" hidden="false" customHeight="false" outlineLevel="0" collapsed="false">
      <c r="B33587" s="0" t="s">
        <v>363</v>
      </c>
    </row>
    <row r="33588" customFormat="false" ht="12.8" hidden="false" customHeight="false" outlineLevel="0" collapsed="false">
      <c r="B33588" s="0" t="s">
        <v>106</v>
      </c>
    </row>
    <row r="33590" customFormat="false" ht="12.8" hidden="false" customHeight="false" outlineLevel="0" collapsed="false">
      <c r="A33590" s="0" t="s">
        <v>12379</v>
      </c>
      <c r="B33590" s="0" t="str">
        <f aca="false">HYPERLINK("https://lindat.mff.cuni.cz/services/teitok/pdtc10/index.php?action=vallex&amp;frame=v-w4634f1", "prozradit (v-w4634f1)")</f>
        <v>prozradit (v-w4634f1)</v>
      </c>
    </row>
    <row r="33591" customFormat="false" ht="12.8" hidden="false" customHeight="false" outlineLevel="0" collapsed="false">
      <c r="B33591" s="0" t="s">
        <v>7</v>
      </c>
      <c r="C33591" s="0" t="s">
        <v>5385</v>
      </c>
      <c r="D33591" s="0" t="s">
        <v>164</v>
      </c>
      <c r="E33591" s="0" t="s">
        <v>164</v>
      </c>
      <c r="F33591" s="0" t="s">
        <v>164</v>
      </c>
    </row>
    <row r="33592" customFormat="false" ht="12.8" hidden="false" customHeight="false" outlineLevel="0" collapsed="false">
      <c r="B33592" s="0" t="s">
        <v>48</v>
      </c>
      <c r="C33592" s="0" t="s">
        <v>12380</v>
      </c>
      <c r="D33592" s="0" t="s">
        <v>168</v>
      </c>
      <c r="E33592" s="0" t="s">
        <v>168</v>
      </c>
      <c r="F33592" s="0" t="s">
        <v>168</v>
      </c>
    </row>
    <row r="33593" customFormat="false" ht="12.8" hidden="false" customHeight="false" outlineLevel="0" collapsed="false">
      <c r="B33593" s="0" t="s">
        <v>12381</v>
      </c>
      <c r="C33593" s="0" t="s">
        <v>12382</v>
      </c>
      <c r="D33593" s="0" t="s">
        <v>1766</v>
      </c>
      <c r="E33593" s="0" t="s">
        <v>1766</v>
      </c>
      <c r="F33593" s="0" t="s">
        <v>1766</v>
      </c>
    </row>
    <row r="33594" customFormat="false" ht="12.8" hidden="false" customHeight="false" outlineLevel="0" collapsed="false">
      <c r="B33594" s="0" t="s">
        <v>12383</v>
      </c>
      <c r="C33594" s="0" t="s">
        <v>1768</v>
      </c>
      <c r="D33594" s="0" t="s">
        <v>167</v>
      </c>
      <c r="E33594" s="0" t="s">
        <v>167</v>
      </c>
      <c r="F33594" s="0" t="s">
        <v>167</v>
      </c>
    </row>
    <row r="33596" customFormat="false" ht="12.8" hidden="false" customHeight="false" outlineLevel="0" collapsed="false">
      <c r="A33596" s="0" t="s">
        <v>12384</v>
      </c>
      <c r="B33596" s="0" t="str">
        <f aca="false">HYPERLINK("https://lindat.mff.cuni.cz/services/teitok/pdtc10/index.php?action=vallex&amp;frame=v-whsa_1299f1_ZU", "prozradit se (v-whsa_1299f1_ZU)")</f>
        <v>prozradit se (v-whsa_1299f1_ZU)</v>
      </c>
    </row>
    <row r="33597" customFormat="false" ht="12.8" hidden="false" customHeight="false" outlineLevel="0" collapsed="false">
      <c r="B33597" s="0" t="s">
        <v>7</v>
      </c>
      <c r="D33597" s="0" t="s">
        <v>348</v>
      </c>
      <c r="E33597" s="0" t="s">
        <v>348</v>
      </c>
      <c r="F33597" s="0" t="s">
        <v>348</v>
      </c>
    </row>
    <row r="33598" customFormat="false" ht="12.8" hidden="false" customHeight="false" outlineLevel="0" collapsed="false">
      <c r="B33598" s="0" t="s">
        <v>745</v>
      </c>
      <c r="D33598" s="0" t="s">
        <v>384</v>
      </c>
      <c r="E33598" s="0" t="s">
        <v>384</v>
      </c>
      <c r="F33598" s="0" t="s">
        <v>384</v>
      </c>
    </row>
    <row r="33600" customFormat="false" ht="12.8" hidden="false" customHeight="false" outlineLevel="0" collapsed="false">
      <c r="A33600" s="0" t="s">
        <v>12384</v>
      </c>
      <c r="B33600" s="0" t="str">
        <f aca="false">HYPERLINK("https://lindat.mff.cuni.cz/services/teitok/pdtc10/index.php?action=vallex&amp;frame=v-whsa_1299hsa_1300", "prozradit se (v-whsa_1299hsa_1300) - substituted with v-whsa_1299f1_ZU")</f>
        <v>prozradit se (v-whsa_1299hsa_1300) - substituted with v-whsa_1299f1_ZU</v>
      </c>
    </row>
    <row r="33601" customFormat="false" ht="12.8" hidden="false" customHeight="false" outlineLevel="0" collapsed="false">
      <c r="B33601" s="0" t="s">
        <v>7</v>
      </c>
    </row>
    <row r="33602" customFormat="false" ht="12.8" hidden="false" customHeight="false" outlineLevel="0" collapsed="false">
      <c r="B33602" s="0" t="s">
        <v>745</v>
      </c>
    </row>
    <row r="33604" customFormat="false" ht="12.8" hidden="false" customHeight="false" outlineLevel="0" collapsed="false">
      <c r="A33604" s="0" t="s">
        <v>12385</v>
      </c>
      <c r="B33604" s="0" t="str">
        <f aca="false">HYPERLINK("https://lindat.mff.cuni.cz/services/teitok/pdtc10/index.php?action=vallex&amp;frame=v-w4636f1", "prozrazovat (v-w4636f1)")</f>
        <v>prozrazovat (v-w4636f1)</v>
      </c>
    </row>
    <row r="33605" customFormat="false" ht="12.8" hidden="false" customHeight="false" outlineLevel="0" collapsed="false">
      <c r="B33605" s="0" t="s">
        <v>7</v>
      </c>
      <c r="C33605" s="0" t="s">
        <v>12386</v>
      </c>
      <c r="D33605" s="0" t="s">
        <v>164</v>
      </c>
      <c r="E33605" s="0" t="s">
        <v>164</v>
      </c>
      <c r="F33605" s="0" t="s">
        <v>164</v>
      </c>
    </row>
    <row r="33606" customFormat="false" ht="12.8" hidden="false" customHeight="false" outlineLevel="0" collapsed="false">
      <c r="B33606" s="0" t="s">
        <v>48</v>
      </c>
      <c r="C33606" s="0" t="s">
        <v>5534</v>
      </c>
      <c r="D33606" s="0" t="s">
        <v>168</v>
      </c>
      <c r="E33606" s="0" t="s">
        <v>168</v>
      </c>
      <c r="F33606" s="0" t="s">
        <v>168</v>
      </c>
    </row>
    <row r="33607" customFormat="false" ht="12.8" hidden="false" customHeight="false" outlineLevel="0" collapsed="false">
      <c r="B33607" s="0" t="s">
        <v>12378</v>
      </c>
      <c r="C33607" s="0" t="s">
        <v>12387</v>
      </c>
      <c r="D33607" s="0" t="s">
        <v>1766</v>
      </c>
      <c r="E33607" s="0" t="s">
        <v>1766</v>
      </c>
      <c r="F33607" s="0" t="s">
        <v>1766</v>
      </c>
    </row>
    <row r="33608" customFormat="false" ht="12.8" hidden="false" customHeight="false" outlineLevel="0" collapsed="false">
      <c r="B33608" s="0" t="s">
        <v>12383</v>
      </c>
      <c r="D33608" s="0" t="s">
        <v>167</v>
      </c>
      <c r="E33608" s="0" t="s">
        <v>167</v>
      </c>
      <c r="F33608" s="0" t="s">
        <v>167</v>
      </c>
    </row>
    <row r="33610" customFormat="false" ht="12.8" hidden="false" customHeight="false" outlineLevel="0" collapsed="false">
      <c r="A33610" s="0" t="s">
        <v>12388</v>
      </c>
      <c r="B33610" s="0" t="str">
        <f aca="false">HYPERLINK("https://lindat.mff.cuni.cz/services/teitok/pdtc10/index.php?action=vallex&amp;frame=v-w10269f2", "pročesat (v-w10269f2)")</f>
        <v>pročesat (v-w10269f2)</v>
      </c>
    </row>
    <row r="33611" customFormat="false" ht="12.8" hidden="false" customHeight="false" outlineLevel="0" collapsed="false">
      <c r="B33611" s="0" t="s">
        <v>7</v>
      </c>
      <c r="C33611" s="0" t="s">
        <v>335</v>
      </c>
      <c r="D33611" s="0" t="s">
        <v>118</v>
      </c>
      <c r="E33611" s="0" t="s">
        <v>118</v>
      </c>
      <c r="F33611" s="0" t="s">
        <v>118</v>
      </c>
    </row>
    <row r="33612" customFormat="false" ht="12.8" hidden="false" customHeight="false" outlineLevel="0" collapsed="false">
      <c r="B33612" s="0" t="s">
        <v>14</v>
      </c>
      <c r="C33612" s="0" t="s">
        <v>115</v>
      </c>
      <c r="D33612" s="0" t="s">
        <v>120</v>
      </c>
      <c r="E33612" s="0" t="s">
        <v>120</v>
      </c>
      <c r="F33612" s="0" t="s">
        <v>120</v>
      </c>
    </row>
    <row r="33614" customFormat="false" ht="12.8" hidden="false" customHeight="false" outlineLevel="0" collapsed="false">
      <c r="A33614" s="0" t="s">
        <v>12389</v>
      </c>
      <c r="B33614" s="0" t="str">
        <f aca="false">HYPERLINK("https://lindat.mff.cuni.cz/services/teitok/pdtc10/index.php?action=vallex&amp;frame=v-w10269f3", "pročesat (v-w10269f3)")</f>
        <v>pročesat (v-w10269f3)</v>
      </c>
    </row>
    <row r="33615" customFormat="false" ht="12.8" hidden="false" customHeight="false" outlineLevel="0" collapsed="false">
      <c r="B33615" s="0" t="s">
        <v>7</v>
      </c>
    </row>
    <row r="33616" customFormat="false" ht="12.8" hidden="false" customHeight="false" outlineLevel="0" collapsed="false">
      <c r="B33616" s="0" t="s">
        <v>14</v>
      </c>
    </row>
    <row r="33618" customFormat="false" ht="12.8" hidden="false" customHeight="false" outlineLevel="0" collapsed="false">
      <c r="A33618" s="0" t="s">
        <v>12390</v>
      </c>
      <c r="B33618" s="0" t="str">
        <f aca="false">HYPERLINK("https://lindat.mff.cuni.cz/services/teitok/pdtc10/index.php?action=vallex&amp;frame=v-w4311f1", "pročesávat (v-w4311f1)")</f>
        <v>pročesávat (v-w4311f1)</v>
      </c>
    </row>
    <row r="33619" customFormat="false" ht="12.8" hidden="false" customHeight="false" outlineLevel="0" collapsed="false">
      <c r="B33619" s="0" t="s">
        <v>7</v>
      </c>
      <c r="C33619" s="0" t="s">
        <v>569</v>
      </c>
      <c r="D33619" s="0" t="s">
        <v>118</v>
      </c>
      <c r="E33619" s="0" t="s">
        <v>118</v>
      </c>
      <c r="F33619" s="0" t="s">
        <v>118</v>
      </c>
    </row>
    <row r="33620" customFormat="false" ht="12.8" hidden="false" customHeight="false" outlineLevel="0" collapsed="false">
      <c r="B33620" s="0" t="s">
        <v>14</v>
      </c>
      <c r="C33620" s="0" t="s">
        <v>1170</v>
      </c>
      <c r="D33620" s="0" t="s">
        <v>120</v>
      </c>
      <c r="E33620" s="0" t="s">
        <v>120</v>
      </c>
      <c r="F33620" s="0" t="s">
        <v>120</v>
      </c>
    </row>
    <row r="33622" customFormat="false" ht="12.8" hidden="false" customHeight="false" outlineLevel="0" collapsed="false">
      <c r="A33622" s="0" t="s">
        <v>12391</v>
      </c>
      <c r="B33622" s="0" t="str">
        <f aca="false">HYPERLINK("https://lindat.mff.cuni.cz/services/teitok/pdtc10/index.php?action=vallex&amp;frame=v-w4311f2", "pročesávat (v-w4311f2)")</f>
        <v>pročesávat (v-w4311f2)</v>
      </c>
    </row>
    <row r="33623" customFormat="false" ht="12.8" hidden="false" customHeight="false" outlineLevel="0" collapsed="false">
      <c r="B33623" s="0" t="s">
        <v>7</v>
      </c>
    </row>
    <row r="33624" customFormat="false" ht="12.8" hidden="false" customHeight="false" outlineLevel="0" collapsed="false">
      <c r="B33624" s="0" t="s">
        <v>14</v>
      </c>
    </row>
    <row r="33626" customFormat="false" ht="12.8" hidden="false" customHeight="false" outlineLevel="0" collapsed="false">
      <c r="A33626" s="0" t="s">
        <v>12392</v>
      </c>
      <c r="B33626" s="0" t="str">
        <f aca="false">HYPERLINK("https://lindat.mff.cuni.cz/services/teitok/pdtc10/index.php?action=vallex&amp;frame=v-w10059f2", "pročistit (v-w10059f2)")</f>
        <v>pročistit (v-w10059f2)</v>
      </c>
    </row>
    <row r="33627" customFormat="false" ht="12.8" hidden="false" customHeight="false" outlineLevel="0" collapsed="false">
      <c r="B33627" s="0" t="s">
        <v>7</v>
      </c>
      <c r="C33627" s="0" t="s">
        <v>184</v>
      </c>
      <c r="D33627" s="0" t="s">
        <v>108</v>
      </c>
      <c r="E33627" s="0" t="s">
        <v>108</v>
      </c>
      <c r="F33627" s="0" t="s">
        <v>108</v>
      </c>
    </row>
    <row r="33628" customFormat="false" ht="12.8" hidden="false" customHeight="false" outlineLevel="0" collapsed="false">
      <c r="B33628" s="0" t="s">
        <v>14</v>
      </c>
      <c r="C33628" s="0" t="s">
        <v>1405</v>
      </c>
      <c r="D33628" s="0" t="s">
        <v>5146</v>
      </c>
      <c r="E33628" s="0" t="s">
        <v>5146</v>
      </c>
      <c r="F33628" s="0" t="s">
        <v>5146</v>
      </c>
    </row>
    <row r="33629" customFormat="false" ht="12.8" hidden="false" customHeight="false" outlineLevel="0" collapsed="false">
      <c r="B33629" s="0" t="s">
        <v>441</v>
      </c>
      <c r="D33629" s="0" t="s">
        <v>9469</v>
      </c>
      <c r="E33629" s="0" t="s">
        <v>9469</v>
      </c>
      <c r="F33629" s="0" t="s">
        <v>9469</v>
      </c>
    </row>
    <row r="33631" customFormat="false" ht="12.8" hidden="false" customHeight="false" outlineLevel="0" collapsed="false">
      <c r="A33631" s="0" t="s">
        <v>12393</v>
      </c>
      <c r="B33631" s="0" t="str">
        <f aca="false">HYPERLINK("https://lindat.mff.cuni.cz/services/teitok/pdtc10/index.php?action=vallex&amp;frame=v-whsa_1763hsa_1764", "pročíst (v-whsa_1763hsa_1764)")</f>
        <v>pročíst (v-whsa_1763hsa_1764)</v>
      </c>
    </row>
    <row r="33632" customFormat="false" ht="12.8" hidden="false" customHeight="false" outlineLevel="0" collapsed="false">
      <c r="B33632" s="0" t="s">
        <v>7</v>
      </c>
    </row>
    <row r="33633" customFormat="false" ht="12.8" hidden="false" customHeight="false" outlineLevel="0" collapsed="false">
      <c r="B33633" s="0" t="s">
        <v>14</v>
      </c>
    </row>
    <row r="33635" customFormat="false" ht="12.8" hidden="false" customHeight="false" outlineLevel="0" collapsed="false">
      <c r="A33635" s="0" t="s">
        <v>12394</v>
      </c>
      <c r="B33635" s="0" t="str">
        <f aca="false">HYPERLINK("https://lindat.mff.cuni.cz/services/teitok/pdtc10/index.php?action=vallex&amp;frame=v-whsa_1216hsa_1217", "pročítat (v-whsa_1216hsa_1217)")</f>
        <v>pročítat (v-whsa_1216hsa_1217)</v>
      </c>
    </row>
    <row r="33636" customFormat="false" ht="12.8" hidden="false" customHeight="false" outlineLevel="0" collapsed="false">
      <c r="B33636" s="0" t="s">
        <v>7</v>
      </c>
      <c r="C33636" s="0" t="s">
        <v>2668</v>
      </c>
    </row>
    <row r="33637" customFormat="false" ht="12.8" hidden="false" customHeight="false" outlineLevel="0" collapsed="false">
      <c r="B33637" s="0" t="s">
        <v>14</v>
      </c>
      <c r="C33637" s="0" t="s">
        <v>12395</v>
      </c>
    </row>
    <row r="33639" customFormat="false" ht="12.8" hidden="false" customHeight="false" outlineLevel="0" collapsed="false">
      <c r="A33639" s="0" t="s">
        <v>12396</v>
      </c>
      <c r="B33639" s="0" t="str">
        <f aca="false">HYPERLINK("https://lindat.mff.cuni.cz/services/teitok/pdtc10/index.php?action=vallex&amp;frame=v-whsa_1216f1_ZU", "pročítat (v-whsa_1216f1_ZU)")</f>
        <v>pročítat (v-whsa_1216f1_ZU)</v>
      </c>
    </row>
    <row r="33640" customFormat="false" ht="12.8" hidden="false" customHeight="false" outlineLevel="0" collapsed="false">
      <c r="B33640" s="0" t="s">
        <v>7</v>
      </c>
    </row>
    <row r="33641" customFormat="false" ht="12.8" hidden="false" customHeight="false" outlineLevel="0" collapsed="false">
      <c r="B33641" s="0" t="s">
        <v>245</v>
      </c>
    </row>
    <row r="33642" customFormat="false" ht="12.8" hidden="false" customHeight="false" outlineLevel="0" collapsed="false">
      <c r="B33642" s="0" t="s">
        <v>363</v>
      </c>
    </row>
    <row r="33643" customFormat="false" ht="12.8" hidden="false" customHeight="false" outlineLevel="0" collapsed="false">
      <c r="B33643" s="0" t="s">
        <v>106</v>
      </c>
    </row>
    <row r="33645" customFormat="false" ht="12.8" hidden="false" customHeight="false" outlineLevel="0" collapsed="false">
      <c r="A33645" s="0" t="s">
        <v>12397</v>
      </c>
      <c r="B33645" s="0" t="str">
        <f aca="false">HYPERLINK("https://lindat.mff.cuni.cz/services/teitok/pdtc10/index.php?action=vallex&amp;frame=v-whsa_1029f1_ZU", "prořeknout (v-whsa_1029f1_ZU)")</f>
        <v>prořeknout (v-whsa_1029f1_ZU)</v>
      </c>
    </row>
    <row r="33646" customFormat="false" ht="12.8" hidden="false" customHeight="false" outlineLevel="0" collapsed="false">
      <c r="B33646" s="0" t="s">
        <v>7</v>
      </c>
    </row>
    <row r="33647" customFormat="false" ht="12.8" hidden="false" customHeight="false" outlineLevel="0" collapsed="false">
      <c r="B33647" s="0" t="s">
        <v>14</v>
      </c>
    </row>
    <row r="33649" customFormat="false" ht="12.8" hidden="false" customHeight="false" outlineLevel="0" collapsed="false">
      <c r="A33649" s="0" t="s">
        <v>12397</v>
      </c>
      <c r="B33649" s="0" t="str">
        <f aca="false">HYPERLINK("https://lindat.mff.cuni.cz/services/teitok/pdtc10/index.php?action=vallex&amp;frame=v-whsa_1029hsa_1030", "prořeknout (v-whsa_1029hsa_1030) - substituted with v-whsa_1029f1_ZU")</f>
        <v>prořeknout (v-whsa_1029hsa_1030) - substituted with v-whsa_1029f1_ZU</v>
      </c>
    </row>
    <row r="33650" customFormat="false" ht="12.8" hidden="false" customHeight="false" outlineLevel="0" collapsed="false">
      <c r="B33650" s="0" t="s">
        <v>7</v>
      </c>
    </row>
    <row r="33651" customFormat="false" ht="12.8" hidden="false" customHeight="false" outlineLevel="0" collapsed="false">
      <c r="B33651" s="0" t="s">
        <v>14</v>
      </c>
    </row>
    <row r="33653" customFormat="false" ht="12.8" hidden="false" customHeight="false" outlineLevel="0" collapsed="false">
      <c r="A33653" s="0" t="s">
        <v>12398</v>
      </c>
      <c r="B33653" s="0" t="str">
        <f aca="false">HYPERLINK("https://lindat.mff.cuni.cz/services/teitok/pdtc10/index.php?action=vallex&amp;frame=v-w4518f1", "prořeknout se (v-w4518f1)")</f>
        <v>prořeknout se (v-w4518f1)</v>
      </c>
    </row>
    <row r="33654" customFormat="false" ht="12.8" hidden="false" customHeight="false" outlineLevel="0" collapsed="false">
      <c r="B33654" s="0" t="s">
        <v>7</v>
      </c>
      <c r="C33654" s="0" t="s">
        <v>46</v>
      </c>
      <c r="D33654" s="0" t="s">
        <v>348</v>
      </c>
      <c r="E33654" s="0" t="s">
        <v>348</v>
      </c>
      <c r="F33654" s="0" t="s">
        <v>348</v>
      </c>
    </row>
    <row r="33656" customFormat="false" ht="12.8" hidden="false" customHeight="false" outlineLevel="0" collapsed="false">
      <c r="A33656" s="0" t="s">
        <v>12399</v>
      </c>
      <c r="B33656" s="0" t="str">
        <f aca="false">HYPERLINK("https://lindat.mff.cuni.cz/services/teitok/pdtc10/index.php?action=vallex&amp;frame=v-whsa_1060f2_ZU", "prořídnout (v-whsa_1060f2_ZU)")</f>
        <v>prořídnout (v-whsa_1060f2_ZU)</v>
      </c>
    </row>
    <row r="33657" customFormat="false" ht="12.8" hidden="false" customHeight="false" outlineLevel="0" collapsed="false">
      <c r="B33657" s="0" t="s">
        <v>7</v>
      </c>
    </row>
    <row r="33659" customFormat="false" ht="12.8" hidden="false" customHeight="false" outlineLevel="0" collapsed="false">
      <c r="A33659" s="0" t="s">
        <v>12399</v>
      </c>
      <c r="B33659" s="0" t="str">
        <f aca="false">HYPERLINK("https://lindat.mff.cuni.cz/services/teitok/pdtc10/index.php?action=vallex&amp;frame=v-whsa_1060f1_ZU", "prořídnout (v-whsa_1060f1_ZU) - substituted with v-whsa_1060f2_ZU")</f>
        <v>prořídnout (v-whsa_1060f1_ZU) - substituted with v-whsa_1060f2_ZU</v>
      </c>
    </row>
    <row r="33660" customFormat="false" ht="12.8" hidden="false" customHeight="false" outlineLevel="0" collapsed="false">
      <c r="B33660" s="0" t="s">
        <v>7</v>
      </c>
    </row>
    <row r="33662" customFormat="false" ht="12.8" hidden="false" customHeight="false" outlineLevel="0" collapsed="false">
      <c r="A33662" s="0" t="s">
        <v>12399</v>
      </c>
      <c r="B33662" s="0" t="str">
        <f aca="false">HYPERLINK("https://lindat.mff.cuni.cz/services/teitok/pdtc10/index.php?action=vallex&amp;frame=v-whsa_1060hsa_1061", "prořídnout (v-whsa_1060hsa_1061) - substituted with v-whsa_1060f2_ZU")</f>
        <v>prořídnout (v-whsa_1060hsa_1061) - substituted with v-whsa_1060f2_ZU</v>
      </c>
    </row>
    <row r="33663" customFormat="false" ht="12.8" hidden="false" customHeight="false" outlineLevel="0" collapsed="false">
      <c r="B33663" s="0" t="s">
        <v>7</v>
      </c>
    </row>
    <row r="33665" customFormat="false" ht="12.8" hidden="false" customHeight="false" outlineLevel="0" collapsed="false">
      <c r="A33665" s="0" t="s">
        <v>12400</v>
      </c>
      <c r="B33665" s="0" t="str">
        <f aca="false">HYPERLINK("https://lindat.mff.cuni.cz/services/teitok/pdtc10/index.php?action=vallex&amp;frame=v-w11424f1", "prořítit se (v-w11424f1)")</f>
        <v>prořítit se (v-w11424f1)</v>
      </c>
    </row>
    <row r="33666" customFormat="false" ht="12.8" hidden="false" customHeight="false" outlineLevel="0" collapsed="false">
      <c r="B33666" s="0" t="s">
        <v>7</v>
      </c>
    </row>
    <row r="33667" customFormat="false" ht="12.8" hidden="false" customHeight="false" outlineLevel="0" collapsed="false">
      <c r="B33667" s="0" t="s">
        <v>259</v>
      </c>
    </row>
    <row r="33669" customFormat="false" ht="12.8" hidden="false" customHeight="false" outlineLevel="0" collapsed="false">
      <c r="A33669" s="0" t="s">
        <v>12401</v>
      </c>
      <c r="B33669" s="0" t="str">
        <f aca="false">HYPERLINK("https://lindat.mff.cuni.cz/services/teitok/pdtc10/index.php?action=vallex&amp;frame=v-w4565f1", "prošetřit (v-w4565f1)")</f>
        <v>prošetřit (v-w4565f1)</v>
      </c>
    </row>
    <row r="33670" customFormat="false" ht="12.8" hidden="false" customHeight="false" outlineLevel="0" collapsed="false">
      <c r="B33670" s="0" t="s">
        <v>7</v>
      </c>
      <c r="C33670" s="0" t="s">
        <v>8623</v>
      </c>
      <c r="D33670" s="0" t="s">
        <v>92</v>
      </c>
      <c r="E33670" s="0" t="s">
        <v>92</v>
      </c>
      <c r="F33670" s="0" t="s">
        <v>92</v>
      </c>
    </row>
    <row r="33671" customFormat="false" ht="12.8" hidden="false" customHeight="false" outlineLevel="0" collapsed="false">
      <c r="B33671" s="0" t="s">
        <v>2030</v>
      </c>
      <c r="C33671" s="0" t="s">
        <v>8036</v>
      </c>
      <c r="D33671" s="0" t="s">
        <v>95</v>
      </c>
      <c r="E33671" s="0" t="s">
        <v>95</v>
      </c>
      <c r="F33671" s="0" t="s">
        <v>95</v>
      </c>
    </row>
    <row r="33673" customFormat="false" ht="12.8" hidden="false" customHeight="false" outlineLevel="0" collapsed="false">
      <c r="A33673" s="0" t="s">
        <v>12402</v>
      </c>
      <c r="B33673" s="0" t="str">
        <f aca="false">HYPERLINK("https://lindat.mff.cuni.cz/services/teitok/pdtc10/index.php?action=vallex&amp;frame=v-w4566f1", "prošetřovat (v-w4566f1)")</f>
        <v>prošetřovat (v-w4566f1)</v>
      </c>
    </row>
    <row r="33674" customFormat="false" ht="12.8" hidden="false" customHeight="false" outlineLevel="0" collapsed="false">
      <c r="B33674" s="0" t="s">
        <v>7</v>
      </c>
      <c r="C33674" s="0" t="s">
        <v>1226</v>
      </c>
      <c r="D33674" s="0" t="s">
        <v>92</v>
      </c>
      <c r="E33674" s="0" t="s">
        <v>92</v>
      </c>
      <c r="F33674" s="0" t="s">
        <v>92</v>
      </c>
    </row>
    <row r="33675" customFormat="false" ht="12.8" hidden="false" customHeight="false" outlineLevel="0" collapsed="false">
      <c r="B33675" s="0" t="s">
        <v>2030</v>
      </c>
      <c r="C33675" s="0" t="s">
        <v>1278</v>
      </c>
      <c r="D33675" s="0" t="s">
        <v>95</v>
      </c>
      <c r="E33675" s="0" t="s">
        <v>95</v>
      </c>
      <c r="F33675" s="0" t="s">
        <v>95</v>
      </c>
    </row>
    <row r="33677" customFormat="false" ht="12.8" hidden="false" customHeight="false" outlineLevel="0" collapsed="false">
      <c r="A33677" s="0" t="s">
        <v>12403</v>
      </c>
      <c r="B33677" s="0" t="str">
        <f aca="false">HYPERLINK("https://lindat.mff.cuni.cz/services/teitok/pdtc10/index.php?action=vallex&amp;frame=v-w4567f1", "proškolit (v-w4567f1)")</f>
        <v>proškolit (v-w4567f1)</v>
      </c>
    </row>
    <row r="33678" customFormat="false" ht="12.8" hidden="false" customHeight="false" outlineLevel="0" collapsed="false">
      <c r="B33678" s="0" t="s">
        <v>7</v>
      </c>
    </row>
    <row r="33679" customFormat="false" ht="12.8" hidden="false" customHeight="false" outlineLevel="0" collapsed="false">
      <c r="B33679" s="0" t="s">
        <v>14</v>
      </c>
    </row>
    <row r="33681" customFormat="false" ht="12.8" hidden="false" customHeight="false" outlineLevel="0" collapsed="false">
      <c r="A33681" s="0" t="s">
        <v>12404</v>
      </c>
      <c r="B33681" s="0" t="str">
        <f aca="false">HYPERLINK("https://lindat.mff.cuni.cz/services/teitok/pdtc10/index.php?action=vallex&amp;frame=v-w12243_ZUf1_ZU", "proškolovat (v-w12243_ZUf1_ZU)")</f>
        <v>proškolovat (v-w12243_ZUf1_ZU)</v>
      </c>
    </row>
    <row r="33682" customFormat="false" ht="12.8" hidden="false" customHeight="false" outlineLevel="0" collapsed="false">
      <c r="B33682" s="0" t="s">
        <v>7</v>
      </c>
    </row>
    <row r="33683" customFormat="false" ht="12.8" hidden="false" customHeight="false" outlineLevel="0" collapsed="false">
      <c r="B33683" s="0" t="s">
        <v>14</v>
      </c>
    </row>
    <row r="33685" customFormat="false" ht="12.8" hidden="false" customHeight="false" outlineLevel="0" collapsed="false">
      <c r="A33685" s="0" t="s">
        <v>12405</v>
      </c>
      <c r="B33685" s="0" t="str">
        <f aca="false">HYPERLINK("https://lindat.mff.cuni.cz/services/teitok/pdtc10/index.php?action=vallex&amp;frame=v-w11568_ZUf1_ZU", "prošlapat (v-w11568_ZUf1_ZU)")</f>
        <v>prošlapat (v-w11568_ZUf1_ZU)</v>
      </c>
    </row>
    <row r="33686" customFormat="false" ht="12.8" hidden="false" customHeight="false" outlineLevel="0" collapsed="false">
      <c r="B33686" s="0" t="s">
        <v>7</v>
      </c>
    </row>
    <row r="33687" customFormat="false" ht="12.8" hidden="false" customHeight="false" outlineLevel="0" collapsed="false">
      <c r="B33687" s="0" t="s">
        <v>14</v>
      </c>
    </row>
    <row r="33689" customFormat="false" ht="12.8" hidden="false" customHeight="false" outlineLevel="0" collapsed="false">
      <c r="A33689" s="0" t="s">
        <v>12406</v>
      </c>
      <c r="B33689" s="0" t="str">
        <f aca="false">HYPERLINK("https://lindat.mff.cuni.cz/services/teitok/pdtc10/index.php?action=vallex&amp;frame=v-w11928_ZUf1_ZU", "prošlapávat (v-w11928_ZUf1_ZU)")</f>
        <v>prošlapávat (v-w11928_ZUf1_ZU)</v>
      </c>
    </row>
    <row r="33690" customFormat="false" ht="12.8" hidden="false" customHeight="false" outlineLevel="0" collapsed="false">
      <c r="B33690" s="0" t="s">
        <v>7</v>
      </c>
    </row>
    <row r="33691" customFormat="false" ht="12.8" hidden="false" customHeight="false" outlineLevel="0" collapsed="false">
      <c r="B33691" s="0" t="s">
        <v>14</v>
      </c>
    </row>
    <row r="33693" customFormat="false" ht="12.8" hidden="false" customHeight="false" outlineLevel="0" collapsed="false">
      <c r="A33693" s="0" t="s">
        <v>12407</v>
      </c>
      <c r="B33693" s="0" t="str">
        <f aca="false">HYPERLINK("https://lindat.mff.cuni.cz/services/teitok/pdtc10/index.php?action=vallex&amp;frame=v-whsa_1582hsa_1583", "prošlechťovat (v-whsa_1582hsa_1583)")</f>
        <v>prošlechťovat (v-whsa_1582hsa_1583)</v>
      </c>
    </row>
    <row r="33694" customFormat="false" ht="12.8" hidden="false" customHeight="false" outlineLevel="0" collapsed="false">
      <c r="B33694" s="0" t="s">
        <v>7</v>
      </c>
    </row>
    <row r="33695" customFormat="false" ht="12.8" hidden="false" customHeight="false" outlineLevel="0" collapsed="false">
      <c r="B33695" s="0" t="s">
        <v>14</v>
      </c>
    </row>
    <row r="33697" customFormat="false" ht="12.8" hidden="false" customHeight="false" outlineLevel="0" collapsed="false">
      <c r="A33697" s="0" t="s">
        <v>12408</v>
      </c>
      <c r="B33697" s="0" t="str">
        <f aca="false">HYPERLINK("https://lindat.mff.cuni.cz/services/teitok/pdtc10/index.php?action=vallex&amp;frame=v-whsa_2043hsa_2044", "prošlápnout (v-whsa_2043hsa_2044)")</f>
        <v>prošlápnout (v-whsa_2043hsa_2044)</v>
      </c>
    </row>
    <row r="33698" customFormat="false" ht="12.8" hidden="false" customHeight="false" outlineLevel="0" collapsed="false">
      <c r="B33698" s="0" t="s">
        <v>7</v>
      </c>
    </row>
    <row r="33699" customFormat="false" ht="12.8" hidden="false" customHeight="false" outlineLevel="0" collapsed="false">
      <c r="B33699" s="0" t="s">
        <v>14</v>
      </c>
    </row>
    <row r="33701" customFormat="false" ht="12.8" hidden="false" customHeight="false" outlineLevel="0" collapsed="false">
      <c r="A33701" s="0" t="s">
        <v>12409</v>
      </c>
      <c r="B33701" s="0" t="str">
        <f aca="false">HYPERLINK("https://lindat.mff.cuni.cz/services/teitok/pdtc10/index.php?action=vallex&amp;frame=v-w10371f2", "prošoupat (v-w10371f2)")</f>
        <v>prošoupat (v-w10371f2)</v>
      </c>
    </row>
    <row r="33702" customFormat="false" ht="12.8" hidden="false" customHeight="false" outlineLevel="0" collapsed="false">
      <c r="B33702" s="0" t="s">
        <v>7</v>
      </c>
      <c r="C33702" s="0" t="s">
        <v>191</v>
      </c>
      <c r="D33702" s="0" t="s">
        <v>191</v>
      </c>
      <c r="E33702" s="0" t="s">
        <v>191</v>
      </c>
      <c r="F33702" s="0" t="s">
        <v>191</v>
      </c>
    </row>
    <row r="33703" customFormat="false" ht="12.8" hidden="false" customHeight="false" outlineLevel="0" collapsed="false">
      <c r="B33703" s="0" t="s">
        <v>14</v>
      </c>
      <c r="C33703" s="0" t="s">
        <v>155</v>
      </c>
      <c r="D33703" s="0" t="s">
        <v>155</v>
      </c>
      <c r="E33703" s="0" t="s">
        <v>155</v>
      </c>
      <c r="F33703" s="0" t="s">
        <v>155</v>
      </c>
    </row>
    <row r="33705" customFormat="false" ht="12.8" hidden="false" customHeight="false" outlineLevel="0" collapsed="false">
      <c r="A33705" s="0" t="s">
        <v>12410</v>
      </c>
      <c r="B33705" s="0" t="str">
        <f aca="false">HYPERLINK("https://lindat.mff.cuni.cz/services/teitok/pdtc10/index.php?action=vallex&amp;frame=v-w10202f2", "prošoupávat (v-w10202f2)")</f>
        <v>prošoupávat (v-w10202f2)</v>
      </c>
    </row>
    <row r="33706" customFormat="false" ht="12.8" hidden="false" customHeight="false" outlineLevel="0" collapsed="false">
      <c r="B33706" s="0" t="s">
        <v>7</v>
      </c>
    </row>
    <row r="33707" customFormat="false" ht="12.8" hidden="false" customHeight="false" outlineLevel="0" collapsed="false">
      <c r="B33707" s="0" t="s">
        <v>14</v>
      </c>
    </row>
    <row r="33709" customFormat="false" ht="12.8" hidden="false" customHeight="false" outlineLevel="0" collapsed="false">
      <c r="A33709" s="0" t="s">
        <v>12411</v>
      </c>
      <c r="B33709" s="0" t="str">
        <f aca="false">HYPERLINK("https://lindat.mff.cuni.cz/services/teitok/pdtc10/index.php?action=vallex&amp;frame=v-w11784_ZUf1_ZU", "prošpikovat (v-w11784_ZUf1_ZU)")</f>
        <v>prošpikovat (v-w11784_ZUf1_ZU)</v>
      </c>
    </row>
    <row r="33710" customFormat="false" ht="12.8" hidden="false" customHeight="false" outlineLevel="0" collapsed="false">
      <c r="B33710" s="0" t="s">
        <v>7</v>
      </c>
    </row>
    <row r="33711" customFormat="false" ht="12.8" hidden="false" customHeight="false" outlineLevel="0" collapsed="false">
      <c r="B33711" s="0" t="s">
        <v>14</v>
      </c>
    </row>
    <row r="33712" customFormat="false" ht="12.8" hidden="false" customHeight="false" outlineLevel="0" collapsed="false">
      <c r="B33712" s="0" t="s">
        <v>6292</v>
      </c>
    </row>
    <row r="33714" customFormat="false" ht="12.8" hidden="false" customHeight="false" outlineLevel="0" collapsed="false">
      <c r="A33714" s="0" t="s">
        <v>12412</v>
      </c>
      <c r="B33714" s="0" t="str">
        <f aca="false">HYPERLINK("https://lindat.mff.cuni.cz/services/teitok/pdtc10/index.php?action=vallex&amp;frame=v-whsa_345hsa_346", "prošťouchávat (v-whsa_345hsa_346)")</f>
        <v>prošťouchávat (v-whsa_345hsa_346)</v>
      </c>
    </row>
    <row r="33715" customFormat="false" ht="12.8" hidden="false" customHeight="false" outlineLevel="0" collapsed="false">
      <c r="B33715" s="0" t="s">
        <v>7</v>
      </c>
    </row>
    <row r="33716" customFormat="false" ht="12.8" hidden="false" customHeight="false" outlineLevel="0" collapsed="false">
      <c r="B33716" s="0" t="s">
        <v>14</v>
      </c>
    </row>
    <row r="33718" customFormat="false" ht="12.8" hidden="false" customHeight="false" outlineLevel="0" collapsed="false">
      <c r="A33718" s="0" t="s">
        <v>12413</v>
      </c>
      <c r="B33718" s="0" t="str">
        <f aca="false">HYPERLINK("https://lindat.mff.cuni.cz/services/teitok/pdtc10/index.php?action=vallex&amp;frame=v-w4643f1", "prožrat (v-w4643f1)")</f>
        <v>prožrat (v-w4643f1)</v>
      </c>
    </row>
    <row r="33719" customFormat="false" ht="12.8" hidden="false" customHeight="false" outlineLevel="0" collapsed="false">
      <c r="B33719" s="0" t="s">
        <v>7</v>
      </c>
    </row>
    <row r="33720" customFormat="false" ht="12.8" hidden="false" customHeight="false" outlineLevel="0" collapsed="false">
      <c r="B33720" s="0" t="s">
        <v>14</v>
      </c>
    </row>
    <row r="33722" customFormat="false" ht="12.8" hidden="false" customHeight="false" outlineLevel="0" collapsed="false">
      <c r="A33722" s="0" t="s">
        <v>12414</v>
      </c>
      <c r="B33722" s="0" t="str">
        <f aca="false">HYPERLINK("https://lindat.mff.cuni.cz/services/teitok/pdtc10/index.php?action=vallex&amp;frame=v-w4637f2", "prožít (v-w4637f2)")</f>
        <v>prožít (v-w4637f2)</v>
      </c>
    </row>
    <row r="33723" customFormat="false" ht="12.8" hidden="false" customHeight="false" outlineLevel="0" collapsed="false">
      <c r="B33723" s="0" t="s">
        <v>7</v>
      </c>
    </row>
    <row r="33724" customFormat="false" ht="12.8" hidden="false" customHeight="false" outlineLevel="0" collapsed="false">
      <c r="B33724" s="0" t="s">
        <v>14</v>
      </c>
    </row>
    <row r="33725" customFormat="false" ht="12.8" hidden="false" customHeight="false" outlineLevel="0" collapsed="false">
      <c r="B33725" s="0" t="s">
        <v>11</v>
      </c>
    </row>
    <row r="33727" customFormat="false" ht="12.8" hidden="false" customHeight="false" outlineLevel="0" collapsed="false">
      <c r="A33727" s="0" t="s">
        <v>12415</v>
      </c>
      <c r="B33727" s="0" t="str">
        <f aca="false">HYPERLINK("https://lindat.mff.cuni.cz/services/teitok/pdtc10/index.php?action=vallex&amp;frame=v-w4637f5_ZU", "prožít (v-w4637f5_ZU)")</f>
        <v>prožít (v-w4637f5_ZU)</v>
      </c>
    </row>
    <row r="33728" customFormat="false" ht="12.8" hidden="false" customHeight="false" outlineLevel="0" collapsed="false">
      <c r="B33728" s="0" t="s">
        <v>7</v>
      </c>
    </row>
    <row r="33729" customFormat="false" ht="12.8" hidden="false" customHeight="false" outlineLevel="0" collapsed="false">
      <c r="B33729" s="0" t="s">
        <v>54</v>
      </c>
    </row>
    <row r="33731" customFormat="false" ht="12.8" hidden="false" customHeight="false" outlineLevel="0" collapsed="false">
      <c r="A33731" s="0" t="s">
        <v>12415</v>
      </c>
      <c r="B33731" s="0" t="str">
        <f aca="false">HYPERLINK("https://lindat.mff.cuni.cz/services/teitok/pdtc10/index.php?action=vallex&amp;frame=v-w4637f1", "prožít (v-w4637f1) - substituted with v-w4637f5_ZU")</f>
        <v>prožít (v-w4637f1) - substituted with v-w4637f5_ZU</v>
      </c>
    </row>
    <row r="33732" customFormat="false" ht="12.8" hidden="false" customHeight="false" outlineLevel="0" collapsed="false">
      <c r="B33732" s="0" t="s">
        <v>7</v>
      </c>
      <c r="C33732" s="0" t="s">
        <v>12416</v>
      </c>
      <c r="D33732" s="0" t="s">
        <v>10078</v>
      </c>
      <c r="E33732" s="0" t="s">
        <v>10078</v>
      </c>
      <c r="F33732" s="0" t="s">
        <v>10078</v>
      </c>
    </row>
    <row r="33733" customFormat="false" ht="12.8" hidden="false" customHeight="false" outlineLevel="0" collapsed="false">
      <c r="B33733" s="0" t="s">
        <v>54</v>
      </c>
      <c r="C33733" s="0" t="s">
        <v>12417</v>
      </c>
      <c r="D33733" s="0" t="s">
        <v>10080</v>
      </c>
      <c r="E33733" s="0" t="s">
        <v>10080</v>
      </c>
      <c r="F33733" s="0" t="s">
        <v>10080</v>
      </c>
    </row>
    <row r="33735" customFormat="false" ht="12.8" hidden="false" customHeight="false" outlineLevel="0" collapsed="false">
      <c r="A33735" s="0" t="s">
        <v>12418</v>
      </c>
      <c r="B33735" s="0" t="str">
        <f aca="false">HYPERLINK("https://lindat.mff.cuni.cz/services/teitok/pdtc10/index.php?action=vallex&amp;frame=v-w4637f4", "prožít (v-w4637f4)")</f>
        <v>prožít (v-w4637f4)</v>
      </c>
    </row>
    <row r="33736" customFormat="false" ht="12.8" hidden="false" customHeight="false" outlineLevel="0" collapsed="false">
      <c r="B33736" s="0" t="s">
        <v>7</v>
      </c>
    </row>
    <row r="33737" customFormat="false" ht="12.8" hidden="false" customHeight="false" outlineLevel="0" collapsed="false">
      <c r="B33737" s="0" t="s">
        <v>14</v>
      </c>
    </row>
    <row r="33738" customFormat="false" ht="12.8" hidden="false" customHeight="false" outlineLevel="0" collapsed="false">
      <c r="B33738" s="0" t="s">
        <v>552</v>
      </c>
    </row>
    <row r="33739" customFormat="false" ht="12.8" hidden="false" customHeight="false" outlineLevel="0" collapsed="false">
      <c r="B33739" s="0" t="s">
        <v>5619</v>
      </c>
    </row>
    <row r="33740" customFormat="false" ht="12.8" hidden="false" customHeight="false" outlineLevel="0" collapsed="false">
      <c r="B33740" s="0" t="s">
        <v>474</v>
      </c>
    </row>
    <row r="33741" customFormat="false" ht="12.8" hidden="false" customHeight="false" outlineLevel="0" collapsed="false">
      <c r="B33741" s="0" t="s">
        <v>477</v>
      </c>
    </row>
    <row r="33742" customFormat="false" ht="12.8" hidden="false" customHeight="false" outlineLevel="0" collapsed="false">
      <c r="B33742" s="0" t="s">
        <v>479</v>
      </c>
    </row>
    <row r="33743" customFormat="false" ht="12.8" hidden="false" customHeight="false" outlineLevel="0" collapsed="false">
      <c r="B33743" s="0" t="s">
        <v>481</v>
      </c>
    </row>
    <row r="33744" customFormat="false" ht="12.8" hidden="false" customHeight="false" outlineLevel="0" collapsed="false">
      <c r="B33744" s="0" t="s">
        <v>483</v>
      </c>
    </row>
    <row r="33746" customFormat="false" ht="12.8" hidden="false" customHeight="false" outlineLevel="0" collapsed="false">
      <c r="A33746" s="0" t="s">
        <v>12419</v>
      </c>
      <c r="B33746" s="0" t="str">
        <f aca="false">HYPERLINK("https://lindat.mff.cuni.cz/services/teitok/pdtc10/index.php?action=vallex&amp;frame=v-w4637f3", "prožít (v-w4637f3)")</f>
        <v>prožít (v-w4637f3)</v>
      </c>
    </row>
    <row r="33747" customFormat="false" ht="12.8" hidden="false" customHeight="false" outlineLevel="0" collapsed="false">
      <c r="B33747" s="0" t="s">
        <v>765</v>
      </c>
    </row>
    <row r="33748" customFormat="false" ht="12.8" hidden="false" customHeight="false" outlineLevel="0" collapsed="false">
      <c r="B33748" s="0" t="s">
        <v>12420</v>
      </c>
    </row>
    <row r="33749" customFormat="false" ht="12.8" hidden="false" customHeight="false" outlineLevel="0" collapsed="false">
      <c r="B33749" s="0" t="s">
        <v>172</v>
      </c>
    </row>
    <row r="33751" customFormat="false" ht="12.8" hidden="false" customHeight="false" outlineLevel="0" collapsed="false">
      <c r="A33751" s="0" t="s">
        <v>12421</v>
      </c>
      <c r="B33751" s="0" t="str">
        <f aca="false">HYPERLINK("https://lindat.mff.cuni.cz/services/teitok/pdtc10/index.php?action=vallex&amp;frame=v-w12349_MMf1_MM", "prožít si (v-w12349_MMf1_MM)")</f>
        <v>prožít si (v-w12349_MMf1_MM)</v>
      </c>
    </row>
    <row r="33752" customFormat="false" ht="12.8" hidden="false" customHeight="false" outlineLevel="0" collapsed="false">
      <c r="B33752" s="0" t="s">
        <v>7</v>
      </c>
    </row>
    <row r="33753" customFormat="false" ht="12.8" hidden="false" customHeight="false" outlineLevel="0" collapsed="false">
      <c r="B33753" s="0" t="s">
        <v>14</v>
      </c>
    </row>
    <row r="33755" customFormat="false" ht="12.8" hidden="false" customHeight="false" outlineLevel="0" collapsed="false">
      <c r="A33755" s="0" t="s">
        <v>12422</v>
      </c>
      <c r="B33755" s="0" t="str">
        <f aca="false">HYPERLINK("https://lindat.mff.cuni.cz/services/teitok/pdtc10/index.php?action=vallex&amp;frame=v-w4641f1", "prožívat (v-w4641f1)")</f>
        <v>prožívat (v-w4641f1)</v>
      </c>
    </row>
    <row r="33756" customFormat="false" ht="12.8" hidden="false" customHeight="false" outlineLevel="0" collapsed="false">
      <c r="B33756" s="0" t="s">
        <v>7</v>
      </c>
      <c r="C33756" s="0" t="s">
        <v>12423</v>
      </c>
      <c r="D33756" s="0" t="s">
        <v>10078</v>
      </c>
      <c r="E33756" s="0" t="s">
        <v>10078</v>
      </c>
      <c r="F33756" s="0" t="s">
        <v>10078</v>
      </c>
    </row>
    <row r="33757" customFormat="false" ht="12.8" hidden="false" customHeight="false" outlineLevel="0" collapsed="false">
      <c r="B33757" s="0" t="s">
        <v>232</v>
      </c>
      <c r="C33757" s="0" t="s">
        <v>12424</v>
      </c>
      <c r="D33757" s="0" t="s">
        <v>10080</v>
      </c>
      <c r="E33757" s="0" t="s">
        <v>10080</v>
      </c>
      <c r="F33757" s="0" t="s">
        <v>10080</v>
      </c>
    </row>
    <row r="33759" customFormat="false" ht="12.8" hidden="false" customHeight="false" outlineLevel="0" collapsed="false">
      <c r="A33759" s="0" t="s">
        <v>12425</v>
      </c>
      <c r="B33759" s="0" t="str">
        <f aca="false">HYPERLINK("https://lindat.mff.cuni.cz/services/teitok/pdtc10/index.php?action=vallex&amp;frame=v-w4641f4_ZU", "prožívat (v-w4641f4_ZU)")</f>
        <v>prožívat (v-w4641f4_ZU)</v>
      </c>
    </row>
    <row r="33760" customFormat="false" ht="12.8" hidden="false" customHeight="false" outlineLevel="0" collapsed="false">
      <c r="B33760" s="0" t="s">
        <v>7</v>
      </c>
    </row>
    <row r="33761" customFormat="false" ht="12.8" hidden="false" customHeight="false" outlineLevel="0" collapsed="false">
      <c r="B33761" s="0" t="s">
        <v>14</v>
      </c>
    </row>
    <row r="33763" customFormat="false" ht="12.8" hidden="false" customHeight="false" outlineLevel="0" collapsed="false">
      <c r="A33763" s="0" t="s">
        <v>12425</v>
      </c>
      <c r="B33763" s="0" t="str">
        <f aca="false">HYPERLINK("https://lindat.mff.cuni.cz/services/teitok/pdtc10/index.php?action=vallex&amp;frame=v-w4641f2_ZU", "prožívat (v-w4641f2_ZU) - substituted with v-w4641f4_ZU")</f>
        <v>prožívat (v-w4641f2_ZU) - substituted with v-w4641f4_ZU</v>
      </c>
    </row>
    <row r="33764" customFormat="false" ht="12.8" hidden="false" customHeight="false" outlineLevel="0" collapsed="false">
      <c r="B33764" s="0" t="s">
        <v>7</v>
      </c>
    </row>
    <row r="33765" customFormat="false" ht="12.8" hidden="false" customHeight="false" outlineLevel="0" collapsed="false">
      <c r="B33765" s="0" t="s">
        <v>14</v>
      </c>
    </row>
    <row r="33767" customFormat="false" ht="12.8" hidden="false" customHeight="false" outlineLevel="0" collapsed="false">
      <c r="A33767" s="0" t="s">
        <v>12425</v>
      </c>
      <c r="B33767" s="0" t="str">
        <f aca="false">HYPERLINK("https://lindat.mff.cuni.cz/services/teitok/pdtc10/index.php?action=vallex&amp;frame=v-w4641f3_ZU", "prožívat (v-w4641f3_ZU) - substituted with v-w4641f4_ZU")</f>
        <v>prožívat (v-w4641f3_ZU) - substituted with v-w4641f4_ZU</v>
      </c>
    </row>
    <row r="33768" customFormat="false" ht="12.8" hidden="false" customHeight="false" outlineLevel="0" collapsed="false">
      <c r="B33768" s="0" t="s">
        <v>7</v>
      </c>
    </row>
    <row r="33769" customFormat="false" ht="12.8" hidden="false" customHeight="false" outlineLevel="0" collapsed="false">
      <c r="B33769" s="0" t="s">
        <v>14</v>
      </c>
    </row>
    <row r="33771" customFormat="false" ht="12.8" hidden="false" customHeight="false" outlineLevel="0" collapsed="false">
      <c r="A33771" s="0" t="s">
        <v>12426</v>
      </c>
      <c r="B33771" s="0" t="str">
        <f aca="false">HYPERLINK("https://lindat.mff.cuni.cz/services/teitok/pdtc10/index.php?action=vallex&amp;frame=v-whsa_1290f2_ZU", "prát (v-whsa_1290f2_ZU)")</f>
        <v>prát (v-whsa_1290f2_ZU)</v>
      </c>
    </row>
    <row r="33772" customFormat="false" ht="12.8" hidden="false" customHeight="false" outlineLevel="0" collapsed="false">
      <c r="B33772" s="0" t="s">
        <v>7</v>
      </c>
    </row>
    <row r="33773" customFormat="false" ht="12.8" hidden="false" customHeight="false" outlineLevel="0" collapsed="false">
      <c r="B33773" s="0" t="s">
        <v>12427</v>
      </c>
    </row>
    <row r="33775" customFormat="false" ht="12.8" hidden="false" customHeight="false" outlineLevel="0" collapsed="false">
      <c r="A33775" s="0" t="s">
        <v>12426</v>
      </c>
      <c r="B33775" s="0" t="str">
        <f aca="false">HYPERLINK("https://lindat.mff.cuni.cz/services/teitok/pdtc10/index.php?action=vallex&amp;frame=v-whsa_1290f1_ZU", "prát (v-whsa_1290f1_ZU) - substituted with v-whsa_1290f2_ZU")</f>
        <v>prát (v-whsa_1290f1_ZU) - substituted with v-whsa_1290f2_ZU</v>
      </c>
    </row>
    <row r="33776" customFormat="false" ht="12.8" hidden="false" customHeight="false" outlineLevel="0" collapsed="false">
      <c r="B33776" s="0" t="s">
        <v>7</v>
      </c>
      <c r="C33776" s="0" t="s">
        <v>46</v>
      </c>
    </row>
    <row r="33777" customFormat="false" ht="12.8" hidden="false" customHeight="false" outlineLevel="0" collapsed="false">
      <c r="B33777" s="0" t="s">
        <v>12427</v>
      </c>
      <c r="C33777" s="0" t="s">
        <v>3589</v>
      </c>
    </row>
    <row r="33779" customFormat="false" ht="12.8" hidden="false" customHeight="false" outlineLevel="0" collapsed="false">
      <c r="A33779" s="0" t="s">
        <v>12426</v>
      </c>
      <c r="B33779" s="0" t="str">
        <f aca="false">HYPERLINK("https://lindat.mff.cuni.cz/services/teitok/pdtc10/index.php?action=vallex&amp;frame=v-whsa_1290hsa_1291", "prát (v-whsa_1290hsa_1291) - substituted with v-whsa_1290f2_ZU")</f>
        <v>prát (v-whsa_1290hsa_1291) - substituted with v-whsa_1290f2_ZU</v>
      </c>
    </row>
    <row r="33780" customFormat="false" ht="12.8" hidden="false" customHeight="false" outlineLevel="0" collapsed="false">
      <c r="B33780" s="0" t="s">
        <v>7</v>
      </c>
    </row>
    <row r="33781" customFormat="false" ht="12.8" hidden="false" customHeight="false" outlineLevel="0" collapsed="false">
      <c r="B33781" s="0" t="s">
        <v>12427</v>
      </c>
    </row>
    <row r="33783" customFormat="false" ht="12.8" hidden="false" customHeight="false" outlineLevel="0" collapsed="false">
      <c r="A33783" s="0" t="s">
        <v>12428</v>
      </c>
      <c r="B33783" s="0" t="str">
        <f aca="false">HYPERLINK("https://lindat.mff.cuni.cz/services/teitok/pdtc10/index.php?action=vallex&amp;frame=v-whsa_1290f3_ZU", "prát (v-whsa_1290f3_ZU)")</f>
        <v>prát (v-whsa_1290f3_ZU)</v>
      </c>
    </row>
    <row r="33784" customFormat="false" ht="12.8" hidden="false" customHeight="false" outlineLevel="0" collapsed="false">
      <c r="B33784" s="0" t="s">
        <v>7</v>
      </c>
      <c r="C33784" s="0" t="s">
        <v>1142</v>
      </c>
    </row>
    <row r="33785" customFormat="false" ht="12.8" hidden="false" customHeight="false" outlineLevel="0" collapsed="false">
      <c r="B33785" s="0" t="s">
        <v>14</v>
      </c>
      <c r="C33785" s="0" t="s">
        <v>25</v>
      </c>
    </row>
    <row r="33787" customFormat="false" ht="12.8" hidden="false" customHeight="false" outlineLevel="0" collapsed="false">
      <c r="A33787" s="0" t="s">
        <v>12429</v>
      </c>
      <c r="B33787" s="0" t="str">
        <f aca="false">HYPERLINK("https://lindat.mff.cuni.cz/services/teitok/pdtc10/index.php?action=vallex&amp;frame=v-whsa_1286hsa_1287", "prát (v-whsa_1286hsa_1287)")</f>
        <v>prát (v-whsa_1286hsa_1287)</v>
      </c>
    </row>
    <row r="33788" customFormat="false" ht="12.8" hidden="false" customHeight="false" outlineLevel="0" collapsed="false">
      <c r="B33788" s="0" t="s">
        <v>7</v>
      </c>
    </row>
    <row r="33789" customFormat="false" ht="12.8" hidden="false" customHeight="false" outlineLevel="0" collapsed="false">
      <c r="B33789" s="0" t="s">
        <v>14</v>
      </c>
    </row>
    <row r="33791" customFormat="false" ht="12.8" hidden="false" customHeight="false" outlineLevel="0" collapsed="false">
      <c r="A33791" s="0" t="s">
        <v>12430</v>
      </c>
      <c r="B33791" s="0" t="str">
        <f aca="false">HYPERLINK("https://lindat.mff.cuni.cz/services/teitok/pdtc10/index.php?action=vallex&amp;frame=v-whsa_1288hsa_1289", "prát (v-whsa_1288hsa_1289)")</f>
        <v>prát (v-whsa_1288hsa_1289)</v>
      </c>
    </row>
    <row r="33792" customFormat="false" ht="12.8" hidden="false" customHeight="false" outlineLevel="0" collapsed="false">
      <c r="B33792" s="0" t="s">
        <v>7</v>
      </c>
    </row>
    <row r="33793" customFormat="false" ht="12.8" hidden="false" customHeight="false" outlineLevel="0" collapsed="false">
      <c r="B33793" s="0" t="s">
        <v>12431</v>
      </c>
    </row>
    <row r="33795" customFormat="false" ht="12.8" hidden="false" customHeight="false" outlineLevel="0" collapsed="false">
      <c r="A33795" s="0" t="s">
        <v>12432</v>
      </c>
      <c r="B33795" s="0" t="str">
        <f aca="false">HYPERLINK("https://lindat.mff.cuni.cz/services/teitok/pdtc10/index.php?action=vallex&amp;frame=v-w4256f1", "prát se (v-w4256f1)")</f>
        <v>prát se (v-w4256f1)</v>
      </c>
    </row>
    <row r="33796" customFormat="false" ht="12.8" hidden="false" customHeight="false" outlineLevel="0" collapsed="false">
      <c r="B33796" s="0" t="s">
        <v>7</v>
      </c>
      <c r="C33796" s="0" t="s">
        <v>391</v>
      </c>
      <c r="D33796" s="0" t="s">
        <v>316</v>
      </c>
      <c r="E33796" s="0" t="s">
        <v>316</v>
      </c>
      <c r="F33796" s="0" t="s">
        <v>316</v>
      </c>
    </row>
    <row r="33797" customFormat="false" ht="12.8" hidden="false" customHeight="false" outlineLevel="0" collapsed="false">
      <c r="B33797" s="0" t="s">
        <v>207</v>
      </c>
      <c r="D33797" s="0" t="s">
        <v>319</v>
      </c>
      <c r="E33797" s="0" t="s">
        <v>319</v>
      </c>
      <c r="F33797" s="0" t="s">
        <v>319</v>
      </c>
    </row>
    <row r="33798" customFormat="false" ht="12.8" hidden="false" customHeight="false" outlineLevel="0" collapsed="false">
      <c r="B33798" s="0" t="s">
        <v>2721</v>
      </c>
      <c r="C33798" s="0" t="s">
        <v>74</v>
      </c>
      <c r="D33798" s="0" t="s">
        <v>322</v>
      </c>
      <c r="E33798" s="0" t="s">
        <v>322</v>
      </c>
      <c r="F33798" s="0" t="s">
        <v>322</v>
      </c>
    </row>
    <row r="33800" customFormat="false" ht="12.8" hidden="false" customHeight="false" outlineLevel="0" collapsed="false">
      <c r="A33800" s="0" t="s">
        <v>12433</v>
      </c>
      <c r="B33800" s="0" t="str">
        <f aca="false">HYPERLINK("https://lindat.mff.cuni.cz/services/teitok/pdtc10/index.php?action=vallex&amp;frame=v-w4660f1", "prýštit (v-w4660f1)")</f>
        <v>prýštit (v-w4660f1)</v>
      </c>
    </row>
    <row r="33801" customFormat="false" ht="12.8" hidden="false" customHeight="false" outlineLevel="0" collapsed="false">
      <c r="B33801" s="0" t="s">
        <v>7</v>
      </c>
    </row>
    <row r="33803" customFormat="false" ht="12.8" hidden="false" customHeight="false" outlineLevel="0" collapsed="false">
      <c r="A33803" s="0" t="s">
        <v>12434</v>
      </c>
      <c r="B33803" s="0" t="str">
        <f aca="false">HYPERLINK("https://lindat.mff.cuni.cz/services/teitok/pdtc10/index.php?action=vallex&amp;frame=v-w4644f2", "pršet (v-w4644f2)")</f>
        <v>pršet (v-w4644f2)</v>
      </c>
    </row>
    <row r="33804" customFormat="false" ht="12.8" hidden="false" customHeight="false" outlineLevel="0" collapsed="false">
      <c r="B33804" s="0" t="s">
        <v>7</v>
      </c>
      <c r="C33804" s="0" t="s">
        <v>247</v>
      </c>
      <c r="D33804" s="0" t="s">
        <v>5380</v>
      </c>
      <c r="E33804" s="0" t="s">
        <v>5380</v>
      </c>
      <c r="F33804" s="0" t="s">
        <v>5380</v>
      </c>
    </row>
    <row r="33806" customFormat="false" ht="12.8" hidden="false" customHeight="false" outlineLevel="0" collapsed="false">
      <c r="A33806" s="0" t="s">
        <v>12435</v>
      </c>
      <c r="B33806" s="0" t="str">
        <f aca="false">HYPERLINK("https://lindat.mff.cuni.cz/services/teitok/pdtc10/index.php?action=vallex&amp;frame=v-w4644f1", "pršet (v-w4644f1)")</f>
        <v>pršet (v-w4644f1)</v>
      </c>
    </row>
    <row r="33808" customFormat="false" ht="12.8" hidden="false" customHeight="false" outlineLevel="0" collapsed="false">
      <c r="A33808" s="0" t="s">
        <v>12436</v>
      </c>
      <c r="B33808" s="0" t="str">
        <f aca="false">HYPERLINK("https://lindat.mff.cuni.cz/services/teitok/pdtc10/index.php?action=vallex&amp;frame=v-w5369f8", "psát (v-w5369f8)")</f>
        <v>psát (v-w5369f8)</v>
      </c>
    </row>
    <row r="33809" customFormat="false" ht="12.8" hidden="false" customHeight="false" outlineLevel="0" collapsed="false">
      <c r="B33809" s="0" t="s">
        <v>7</v>
      </c>
    </row>
    <row r="33810" customFormat="false" ht="12.8" hidden="false" customHeight="false" outlineLevel="0" collapsed="false">
      <c r="B33810" s="0" t="s">
        <v>615</v>
      </c>
    </row>
    <row r="33811" customFormat="false" ht="12.8" hidden="false" customHeight="false" outlineLevel="0" collapsed="false">
      <c r="B33811" s="0" t="s">
        <v>48</v>
      </c>
    </row>
    <row r="33813" customFormat="false" ht="12.8" hidden="false" customHeight="false" outlineLevel="0" collapsed="false">
      <c r="A33813" s="0" t="s">
        <v>12437</v>
      </c>
      <c r="B33813" s="0" t="str">
        <f aca="false">HYPERLINK("https://lindat.mff.cuni.cz/services/teitok/pdtc10/index.php?action=vallex&amp;frame=v-w5369f9_ZU", "psát (v-w5369f9_ZU)")</f>
        <v>psát (v-w5369f9_ZU)</v>
      </c>
    </row>
    <row r="33814" customFormat="false" ht="12.8" hidden="false" customHeight="false" outlineLevel="0" collapsed="false">
      <c r="B33814" s="0" t="s">
        <v>9432</v>
      </c>
      <c r="D33814" s="0" t="s">
        <v>2736</v>
      </c>
      <c r="E33814" s="0" t="s">
        <v>2736</v>
      </c>
      <c r="F33814" s="0" t="s">
        <v>2736</v>
      </c>
    </row>
    <row r="33815" customFormat="false" ht="12.8" hidden="false" customHeight="false" outlineLevel="0" collapsed="false">
      <c r="B33815" s="0" t="s">
        <v>12438</v>
      </c>
      <c r="D33815" s="0" t="s">
        <v>6837</v>
      </c>
      <c r="E33815" s="0" t="s">
        <v>6837</v>
      </c>
      <c r="F33815" s="0" t="s">
        <v>6837</v>
      </c>
    </row>
    <row r="33816" customFormat="false" ht="12.8" hidden="false" customHeight="false" outlineLevel="0" collapsed="false">
      <c r="B33816" s="0" t="s">
        <v>11</v>
      </c>
    </row>
    <row r="33818" customFormat="false" ht="12.8" hidden="false" customHeight="false" outlineLevel="0" collapsed="false">
      <c r="A33818" s="0" t="s">
        <v>12437</v>
      </c>
      <c r="B33818" s="0" t="str">
        <f aca="false">HYPERLINK("https://lindat.mff.cuni.cz/services/teitok/pdtc10/index.php?action=vallex&amp;frame=v-w5369f6", "psát (v-w5369f6) - substituted with v-w5369f9_ZU")</f>
        <v>psát (v-w5369f6) - substituted with v-w5369f9_ZU</v>
      </c>
    </row>
    <row r="33819" customFormat="false" ht="12.8" hidden="false" customHeight="false" outlineLevel="0" collapsed="false">
      <c r="B33819" s="0" t="s">
        <v>9432</v>
      </c>
    </row>
    <row r="33820" customFormat="false" ht="12.8" hidden="false" customHeight="false" outlineLevel="0" collapsed="false">
      <c r="B33820" s="0" t="s">
        <v>12438</v>
      </c>
    </row>
    <row r="33821" customFormat="false" ht="12.8" hidden="false" customHeight="false" outlineLevel="0" collapsed="false">
      <c r="B33821" s="0" t="s">
        <v>11</v>
      </c>
    </row>
    <row r="33823" customFormat="false" ht="12.8" hidden="false" customHeight="false" outlineLevel="0" collapsed="false">
      <c r="A33823" s="0" t="s">
        <v>12437</v>
      </c>
      <c r="B33823" s="0" t="str">
        <f aca="false">HYPERLINK("https://lindat.mff.cuni.cz/services/teitok/pdtc10/index.php?action=vallex&amp;frame=v-w5369hsa_343", "psát (v-w5369hsa_343) - substituted with v-w5369f9_ZU")</f>
        <v>psát (v-w5369hsa_343) - substituted with v-w5369f9_ZU</v>
      </c>
    </row>
    <row r="33824" customFormat="false" ht="12.8" hidden="false" customHeight="false" outlineLevel="0" collapsed="false">
      <c r="B33824" s="0" t="s">
        <v>9432</v>
      </c>
    </row>
    <row r="33825" customFormat="false" ht="12.8" hidden="false" customHeight="false" outlineLevel="0" collapsed="false">
      <c r="B33825" s="0" t="s">
        <v>12438</v>
      </c>
    </row>
    <row r="33826" customFormat="false" ht="12.8" hidden="false" customHeight="false" outlineLevel="0" collapsed="false">
      <c r="B33826" s="0" t="s">
        <v>11</v>
      </c>
    </row>
    <row r="33828" customFormat="false" ht="12.8" hidden="false" customHeight="false" outlineLevel="0" collapsed="false">
      <c r="A33828" s="0" t="s">
        <v>12439</v>
      </c>
      <c r="B33828" s="0" t="str">
        <f aca="false">HYPERLINK("https://lindat.mff.cuni.cz/services/teitok/pdtc10/index.php?action=vallex&amp;frame=v-w5369f3", "psát (v-w5369f3)")</f>
        <v>psát (v-w5369f3)</v>
      </c>
    </row>
    <row r="33829" customFormat="false" ht="12.8" hidden="false" customHeight="false" outlineLevel="0" collapsed="false">
      <c r="B33829" s="0" t="s">
        <v>7</v>
      </c>
      <c r="C33829" s="0" t="s">
        <v>12440</v>
      </c>
      <c r="D33829" s="0" t="s">
        <v>164</v>
      </c>
      <c r="E33829" s="0" t="s">
        <v>164</v>
      </c>
      <c r="F33829" s="0" t="s">
        <v>164</v>
      </c>
    </row>
    <row r="33830" customFormat="false" ht="12.8" hidden="false" customHeight="false" outlineLevel="0" collapsed="false">
      <c r="B33830" s="0" t="s">
        <v>244</v>
      </c>
      <c r="C33830" s="0" t="s">
        <v>12441</v>
      </c>
      <c r="D33830" s="0" t="s">
        <v>167</v>
      </c>
      <c r="E33830" s="0" t="s">
        <v>167</v>
      </c>
      <c r="F33830" s="0" t="s">
        <v>167</v>
      </c>
    </row>
    <row r="33831" customFormat="false" ht="12.8" hidden="false" customHeight="false" outlineLevel="0" collapsed="false">
      <c r="B33831" s="0" t="s">
        <v>106</v>
      </c>
      <c r="C33831" s="0" t="s">
        <v>1556</v>
      </c>
      <c r="D33831" s="0" t="s">
        <v>168</v>
      </c>
      <c r="E33831" s="0" t="s">
        <v>168</v>
      </c>
      <c r="F33831" s="0" t="s">
        <v>168</v>
      </c>
    </row>
    <row r="33833" customFormat="false" ht="12.8" hidden="false" customHeight="false" outlineLevel="0" collapsed="false">
      <c r="A33833" s="0" t="s">
        <v>12442</v>
      </c>
      <c r="B33833" s="0" t="str">
        <f aca="false">HYPERLINK("https://lindat.mff.cuni.cz/services/teitok/pdtc10/index.php?action=vallex&amp;frame=v-w5369f5", "psát (v-w5369f5)")</f>
        <v>psát (v-w5369f5)</v>
      </c>
    </row>
    <row r="33834" customFormat="false" ht="12.8" hidden="false" customHeight="false" outlineLevel="0" collapsed="false">
      <c r="B33834" s="0" t="s">
        <v>7</v>
      </c>
    </row>
    <row r="33835" customFormat="false" ht="12.8" hidden="false" customHeight="false" outlineLevel="0" collapsed="false">
      <c r="B33835" s="0" t="s">
        <v>6839</v>
      </c>
    </row>
    <row r="33836" customFormat="false" ht="12.8" hidden="false" customHeight="false" outlineLevel="0" collapsed="false">
      <c r="B33836" s="0" t="s">
        <v>124</v>
      </c>
    </row>
    <row r="33838" customFormat="false" ht="12.8" hidden="false" customHeight="false" outlineLevel="0" collapsed="false">
      <c r="A33838" s="0" t="s">
        <v>12443</v>
      </c>
      <c r="B33838" s="0" t="str">
        <f aca="false">HYPERLINK("https://lindat.mff.cuni.cz/services/teitok/pdtc10/index.php?action=vallex&amp;frame=v-w5369f7", "psát (v-w5369f7)")</f>
        <v>psát (v-w5369f7)</v>
      </c>
    </row>
    <row r="33839" customFormat="false" ht="12.8" hidden="false" customHeight="false" outlineLevel="0" collapsed="false">
      <c r="B33839" s="0" t="s">
        <v>7</v>
      </c>
    </row>
    <row r="33840" customFormat="false" ht="12.8" hidden="false" customHeight="false" outlineLevel="0" collapsed="false">
      <c r="B33840" s="0" t="s">
        <v>615</v>
      </c>
    </row>
    <row r="33841" customFormat="false" ht="12.8" hidden="false" customHeight="false" outlineLevel="0" collapsed="false">
      <c r="B33841" s="0" t="s">
        <v>124</v>
      </c>
    </row>
    <row r="33843" customFormat="false" ht="12.8" hidden="false" customHeight="false" outlineLevel="0" collapsed="false">
      <c r="A33843" s="0" t="s">
        <v>12444</v>
      </c>
      <c r="B33843" s="0" t="str">
        <f aca="false">HYPERLINK("https://lindat.mff.cuni.cz/services/teitok/pdtc10/index.php?action=vallex&amp;frame=v-w5369f13_ZU", "psát (v-w5369f13_ZU)")</f>
        <v>psát (v-w5369f13_ZU)</v>
      </c>
    </row>
    <row r="33844" customFormat="false" ht="12.8" hidden="false" customHeight="false" outlineLevel="0" collapsed="false">
      <c r="B33844" s="0" t="s">
        <v>7</v>
      </c>
    </row>
    <row r="33845" customFormat="false" ht="12.8" hidden="false" customHeight="false" outlineLevel="0" collapsed="false">
      <c r="B33845" s="0" t="s">
        <v>232</v>
      </c>
    </row>
    <row r="33847" customFormat="false" ht="12.8" hidden="false" customHeight="false" outlineLevel="0" collapsed="false">
      <c r="A33847" s="0" t="s">
        <v>12444</v>
      </c>
      <c r="B33847" s="0" t="str">
        <f aca="false">HYPERLINK("https://lindat.mff.cuni.cz/services/teitok/pdtc10/index.php?action=vallex&amp;frame=v-w5369f10_ZU", "psát (v-w5369f10_ZU) - substituted with v-w5369f13_ZU")</f>
        <v>psát (v-w5369f10_ZU) - substituted with v-w5369f13_ZU</v>
      </c>
    </row>
    <row r="33848" customFormat="false" ht="12.8" hidden="false" customHeight="false" outlineLevel="0" collapsed="false">
      <c r="B33848" s="0" t="s">
        <v>7</v>
      </c>
    </row>
    <row r="33849" customFormat="false" ht="12.8" hidden="false" customHeight="false" outlineLevel="0" collapsed="false">
      <c r="B33849" s="0" t="s">
        <v>232</v>
      </c>
    </row>
    <row r="33851" customFormat="false" ht="12.8" hidden="false" customHeight="false" outlineLevel="0" collapsed="false">
      <c r="A33851" s="0" t="s">
        <v>12444</v>
      </c>
      <c r="B33851" s="0" t="str">
        <f aca="false">HYPERLINK("https://lindat.mff.cuni.cz/services/teitok/pdtc10/index.php?action=vallex&amp;frame=v-w5369f2", "psát (v-w5369f2) - substituted with v-w5369f13_ZU")</f>
        <v>psát (v-w5369f2) - substituted with v-w5369f13_ZU</v>
      </c>
    </row>
    <row r="33852" customFormat="false" ht="12.8" hidden="false" customHeight="false" outlineLevel="0" collapsed="false">
      <c r="B33852" s="0" t="s">
        <v>7</v>
      </c>
      <c r="C33852" s="0" t="s">
        <v>7871</v>
      </c>
      <c r="D33852" s="0" t="s">
        <v>1874</v>
      </c>
      <c r="E33852" s="0" t="s">
        <v>1874</v>
      </c>
      <c r="F33852" s="0" t="s">
        <v>1874</v>
      </c>
    </row>
    <row r="33853" customFormat="false" ht="12.8" hidden="false" customHeight="false" outlineLevel="0" collapsed="false">
      <c r="B33853" s="0" t="s">
        <v>232</v>
      </c>
      <c r="C33853" s="0" t="s">
        <v>1313</v>
      </c>
      <c r="D33853" s="0" t="s">
        <v>173</v>
      </c>
      <c r="E33853" s="0" t="s">
        <v>173</v>
      </c>
      <c r="F33853" s="0" t="s">
        <v>173</v>
      </c>
    </row>
    <row r="33855" customFormat="false" ht="12.8" hidden="false" customHeight="false" outlineLevel="0" collapsed="false">
      <c r="A33855" s="0" t="s">
        <v>12445</v>
      </c>
      <c r="B33855" s="0" t="str">
        <f aca="false">HYPERLINK("https://lindat.mff.cuni.cz/services/teitok/pdtc10/index.php?action=vallex&amp;frame=v-w5369f14_ZU", "psát (v-w5369f14_ZU)")</f>
        <v>psát (v-w5369f14_ZU)</v>
      </c>
    </row>
    <row r="33856" customFormat="false" ht="12.8" hidden="false" customHeight="false" outlineLevel="0" collapsed="false">
      <c r="B33856" s="0" t="s">
        <v>7</v>
      </c>
    </row>
    <row r="33857" customFormat="false" ht="12.8" hidden="false" customHeight="false" outlineLevel="0" collapsed="false">
      <c r="B33857" s="0" t="s">
        <v>12446</v>
      </c>
    </row>
    <row r="33858" customFormat="false" ht="12.8" hidden="false" customHeight="false" outlineLevel="0" collapsed="false">
      <c r="B33858" s="0" t="s">
        <v>363</v>
      </c>
    </row>
    <row r="33859" customFormat="false" ht="12.8" hidden="false" customHeight="false" outlineLevel="0" collapsed="false">
      <c r="B33859" s="0" t="s">
        <v>106</v>
      </c>
    </row>
    <row r="33861" customFormat="false" ht="12.8" hidden="false" customHeight="false" outlineLevel="0" collapsed="false">
      <c r="A33861" s="0" t="s">
        <v>12445</v>
      </c>
      <c r="B33861" s="0" t="str">
        <f aca="false">HYPERLINK("https://lindat.mff.cuni.cz/services/teitok/pdtc10/index.php?action=vallex&amp;frame=v-w5369f1", "psát (v-w5369f1) - substituted with v-w5369f14_ZU")</f>
        <v>psát (v-w5369f1) - substituted with v-w5369f14_ZU</v>
      </c>
    </row>
    <row r="33862" customFormat="false" ht="12.8" hidden="false" customHeight="false" outlineLevel="0" collapsed="false">
      <c r="B33862" s="0" t="s">
        <v>7</v>
      </c>
      <c r="C33862" s="0" t="s">
        <v>12447</v>
      </c>
      <c r="D33862" s="0" t="s">
        <v>164</v>
      </c>
      <c r="E33862" s="0" t="s">
        <v>164</v>
      </c>
      <c r="F33862" s="0" t="s">
        <v>164</v>
      </c>
    </row>
    <row r="33863" customFormat="false" ht="12.8" hidden="false" customHeight="false" outlineLevel="0" collapsed="false">
      <c r="B33863" s="0" t="s">
        <v>12446</v>
      </c>
      <c r="C33863" s="0" t="s">
        <v>12448</v>
      </c>
      <c r="D33863" s="0" t="s">
        <v>1766</v>
      </c>
      <c r="E33863" s="0" t="s">
        <v>1766</v>
      </c>
      <c r="F33863" s="0" t="s">
        <v>1766</v>
      </c>
    </row>
    <row r="33864" customFormat="false" ht="12.8" hidden="false" customHeight="false" outlineLevel="0" collapsed="false">
      <c r="B33864" s="0" t="s">
        <v>363</v>
      </c>
      <c r="C33864" s="0" t="s">
        <v>12449</v>
      </c>
      <c r="D33864" s="0" t="s">
        <v>167</v>
      </c>
      <c r="E33864" s="0" t="s">
        <v>167</v>
      </c>
      <c r="F33864" s="0" t="s">
        <v>167</v>
      </c>
    </row>
    <row r="33865" customFormat="false" ht="12.8" hidden="false" customHeight="false" outlineLevel="0" collapsed="false">
      <c r="B33865" s="0" t="s">
        <v>106</v>
      </c>
      <c r="C33865" s="0" t="s">
        <v>6848</v>
      </c>
      <c r="D33865" s="0" t="s">
        <v>168</v>
      </c>
      <c r="E33865" s="0" t="s">
        <v>168</v>
      </c>
      <c r="F33865" s="0" t="s">
        <v>168</v>
      </c>
    </row>
    <row r="33867" customFormat="false" ht="12.8" hidden="false" customHeight="false" outlineLevel="0" collapsed="false">
      <c r="A33867" s="0" t="s">
        <v>12445</v>
      </c>
      <c r="B33867" s="0" t="str">
        <f aca="false">HYPERLINK("https://lindat.mff.cuni.cz/services/teitok/pdtc10/index.php?action=vallex&amp;frame=v-w5369f11_ZU", "psát (v-w5369f11_ZU) - substituted with v-w5369f14_ZU")</f>
        <v>psát (v-w5369f11_ZU) - substituted with v-w5369f14_ZU</v>
      </c>
    </row>
    <row r="33868" customFormat="false" ht="12.8" hidden="false" customHeight="false" outlineLevel="0" collapsed="false">
      <c r="B33868" s="0" t="s">
        <v>7</v>
      </c>
    </row>
    <row r="33869" customFormat="false" ht="12.8" hidden="false" customHeight="false" outlineLevel="0" collapsed="false">
      <c r="B33869" s="0" t="s">
        <v>12446</v>
      </c>
    </row>
    <row r="33870" customFormat="false" ht="12.8" hidden="false" customHeight="false" outlineLevel="0" collapsed="false">
      <c r="B33870" s="0" t="s">
        <v>363</v>
      </c>
    </row>
    <row r="33871" customFormat="false" ht="12.8" hidden="false" customHeight="false" outlineLevel="0" collapsed="false">
      <c r="B33871" s="0" t="s">
        <v>106</v>
      </c>
    </row>
    <row r="33873" customFormat="false" ht="12.8" hidden="false" customHeight="false" outlineLevel="0" collapsed="false">
      <c r="A33873" s="0" t="s">
        <v>12445</v>
      </c>
      <c r="B33873" s="0" t="str">
        <f aca="false">HYPERLINK("https://lindat.mff.cuni.cz/services/teitok/pdtc10/index.php?action=vallex&amp;frame=v-w5369f12_ZU", "psát (v-w5369f12_ZU) - substituted with v-w5369f14_ZU")</f>
        <v>psát (v-w5369f12_ZU) - substituted with v-w5369f14_ZU</v>
      </c>
    </row>
    <row r="33874" customFormat="false" ht="12.8" hidden="false" customHeight="false" outlineLevel="0" collapsed="false">
      <c r="B33874" s="0" t="s">
        <v>7</v>
      </c>
    </row>
    <row r="33875" customFormat="false" ht="12.8" hidden="false" customHeight="false" outlineLevel="0" collapsed="false">
      <c r="B33875" s="0" t="s">
        <v>12446</v>
      </c>
    </row>
    <row r="33876" customFormat="false" ht="12.8" hidden="false" customHeight="false" outlineLevel="0" collapsed="false">
      <c r="B33876" s="0" t="s">
        <v>363</v>
      </c>
    </row>
    <row r="33877" customFormat="false" ht="12.8" hidden="false" customHeight="false" outlineLevel="0" collapsed="false">
      <c r="B33877" s="0" t="s">
        <v>106</v>
      </c>
    </row>
    <row r="33879" customFormat="false" ht="12.8" hidden="false" customHeight="false" outlineLevel="0" collapsed="false">
      <c r="A33879" s="0" t="s">
        <v>12450</v>
      </c>
      <c r="B33879" s="0" t="str">
        <f aca="false">HYPERLINK("https://lindat.mff.cuni.cz/services/teitok/pdtc10/index.php?action=vallex&amp;frame=v-w5369f4", "psát (v-w5369f4)")</f>
        <v>psát (v-w5369f4)</v>
      </c>
    </row>
    <row r="33880" customFormat="false" ht="12.8" hidden="false" customHeight="false" outlineLevel="0" collapsed="false">
      <c r="B33880" s="0" t="s">
        <v>7</v>
      </c>
      <c r="C33880" s="0" t="s">
        <v>12451</v>
      </c>
    </row>
    <row r="33882" customFormat="false" ht="12.8" hidden="false" customHeight="false" outlineLevel="0" collapsed="false">
      <c r="A33882" s="0" t="s">
        <v>12452</v>
      </c>
      <c r="B33882" s="0" t="str">
        <f aca="false">HYPERLINK("https://lindat.mff.cuni.cz/services/teitok/pdtc10/index.php?action=vallex&amp;frame=v-whsa_1523f1_MM", "psát si (v-whsa_1523f1_MM)")</f>
        <v>psát si (v-whsa_1523f1_MM)</v>
      </c>
    </row>
    <row r="33883" customFormat="false" ht="12.8" hidden="false" customHeight="false" outlineLevel="0" collapsed="false">
      <c r="B33883" s="0" t="s">
        <v>7</v>
      </c>
    </row>
    <row r="33884" customFormat="false" ht="12.8" hidden="false" customHeight="false" outlineLevel="0" collapsed="false">
      <c r="B33884" s="0" t="s">
        <v>525</v>
      </c>
    </row>
    <row r="33885" customFormat="false" ht="12.8" hidden="false" customHeight="false" outlineLevel="0" collapsed="false">
      <c r="B33885" s="0" t="s">
        <v>745</v>
      </c>
    </row>
    <row r="33887" customFormat="false" ht="12.8" hidden="false" customHeight="false" outlineLevel="0" collapsed="false">
      <c r="A33887" s="0" t="s">
        <v>12453</v>
      </c>
      <c r="B33887" s="0" t="str">
        <f aca="false">HYPERLINK("https://lindat.mff.cuni.cz/services/teitok/pdtc10/index.php?action=vallex&amp;frame=v-whsa_1523hsa_1524", "psát si (v-whsa_1523hsa_1524)")</f>
        <v>psát si (v-whsa_1523hsa_1524)</v>
      </c>
    </row>
    <row r="33888" customFormat="false" ht="12.8" hidden="false" customHeight="false" outlineLevel="0" collapsed="false">
      <c r="B33888" s="0" t="s">
        <v>7</v>
      </c>
    </row>
    <row r="33889" customFormat="false" ht="12.8" hidden="false" customHeight="false" outlineLevel="0" collapsed="false">
      <c r="B33889" s="0" t="s">
        <v>207</v>
      </c>
    </row>
    <row r="33890" customFormat="false" ht="12.8" hidden="false" customHeight="false" outlineLevel="0" collapsed="false">
      <c r="B33890" s="0" t="s">
        <v>360</v>
      </c>
    </row>
    <row r="33891" customFormat="false" ht="12.8" hidden="false" customHeight="false" outlineLevel="0" collapsed="false">
      <c r="B33891" s="0" t="s">
        <v>363</v>
      </c>
    </row>
    <row r="33893" customFormat="false" ht="12.8" hidden="false" customHeight="false" outlineLevel="0" collapsed="false">
      <c r="A33893" s="0" t="s">
        <v>12454</v>
      </c>
      <c r="B33893" s="0" t="str">
        <f aca="false">HYPERLINK("https://lindat.mff.cuni.cz/services/teitok/pdtc10/index.php?action=vallex&amp;frame=v-w5370f1", "psávat (v-w5370f1)")</f>
        <v>psávat (v-w5370f1)</v>
      </c>
    </row>
    <row r="33894" customFormat="false" ht="12.8" hidden="false" customHeight="false" outlineLevel="0" collapsed="false">
      <c r="B33894" s="0" t="s">
        <v>7</v>
      </c>
      <c r="D33894" s="0" t="s">
        <v>1874</v>
      </c>
      <c r="E33894" s="0" t="s">
        <v>1874</v>
      </c>
      <c r="F33894" s="0" t="s">
        <v>1874</v>
      </c>
    </row>
    <row r="33895" customFormat="false" ht="12.8" hidden="false" customHeight="false" outlineLevel="0" collapsed="false">
      <c r="B33895" s="0" t="s">
        <v>14</v>
      </c>
      <c r="D33895" s="0" t="s">
        <v>173</v>
      </c>
      <c r="E33895" s="0" t="s">
        <v>173</v>
      </c>
      <c r="F33895" s="0" t="s">
        <v>173</v>
      </c>
    </row>
    <row r="33897" customFormat="false" ht="12.8" hidden="false" customHeight="false" outlineLevel="0" collapsed="false">
      <c r="A33897" s="0" t="s">
        <v>12455</v>
      </c>
      <c r="B33897" s="0" t="str">
        <f aca="false">HYPERLINK("https://lindat.mff.cuni.cz/services/teitok/pdtc10/index.php?action=vallex&amp;frame=v-w5371f1", "ptát se (v-w5371f1)")</f>
        <v>ptát se (v-w5371f1)</v>
      </c>
    </row>
    <row r="33898" customFormat="false" ht="12.8" hidden="false" customHeight="false" outlineLevel="0" collapsed="false">
      <c r="B33898" s="0" t="s">
        <v>7</v>
      </c>
      <c r="C33898" s="0" t="s">
        <v>12456</v>
      </c>
      <c r="D33898" s="0" t="s">
        <v>2534</v>
      </c>
      <c r="E33898" s="0" t="s">
        <v>2534</v>
      </c>
      <c r="F33898" s="0" t="s">
        <v>2534</v>
      </c>
    </row>
    <row r="33899" customFormat="false" ht="12.8" hidden="false" customHeight="false" outlineLevel="0" collapsed="false">
      <c r="B33899" s="0" t="s">
        <v>9316</v>
      </c>
      <c r="C33899" s="0" t="s">
        <v>12457</v>
      </c>
      <c r="D33899" s="0" t="s">
        <v>2537</v>
      </c>
      <c r="E33899" s="0" t="s">
        <v>2537</v>
      </c>
      <c r="F33899" s="0" t="s">
        <v>2537</v>
      </c>
    </row>
    <row r="33900" customFormat="false" ht="12.8" hidden="false" customHeight="false" outlineLevel="0" collapsed="false">
      <c r="B33900" s="0" t="s">
        <v>2538</v>
      </c>
      <c r="C33900" s="0" t="s">
        <v>12458</v>
      </c>
      <c r="D33900" s="0" t="s">
        <v>2540</v>
      </c>
      <c r="E33900" s="0" t="s">
        <v>2540</v>
      </c>
      <c r="F33900" s="0" t="s">
        <v>2540</v>
      </c>
    </row>
    <row r="33902" customFormat="false" ht="12.8" hidden="false" customHeight="false" outlineLevel="0" collapsed="false">
      <c r="A33902" s="0" t="s">
        <v>12459</v>
      </c>
      <c r="B33902" s="0" t="str">
        <f aca="false">HYPERLINK("https://lindat.mff.cuni.cz/services/teitok/pdtc10/index.php?action=vallex&amp;frame=v-w5371f2", "ptát se (v-w5371f2)")</f>
        <v>ptát se (v-w5371f2)</v>
      </c>
    </row>
    <row r="33903" customFormat="false" ht="12.8" hidden="false" customHeight="false" outlineLevel="0" collapsed="false">
      <c r="B33903" s="0" t="s">
        <v>7</v>
      </c>
    </row>
    <row r="33904" customFormat="false" ht="12.8" hidden="false" customHeight="false" outlineLevel="0" collapsed="false">
      <c r="B33904" s="0" t="s">
        <v>1375</v>
      </c>
    </row>
    <row r="33905" customFormat="false" ht="12.8" hidden="false" customHeight="false" outlineLevel="0" collapsed="false">
      <c r="B33905" s="0" t="s">
        <v>12460</v>
      </c>
    </row>
    <row r="33907" customFormat="false" ht="12.8" hidden="false" customHeight="false" outlineLevel="0" collapsed="false">
      <c r="A33907" s="0" t="s">
        <v>12461</v>
      </c>
      <c r="B33907" s="0" t="str">
        <f aca="false">HYPERLINK("https://lindat.mff.cuni.cz/services/teitok/pdtc10/index.php?action=vallex&amp;frame=v-w12117_ZUf1_ZU", "ptávat se (v-w12117_ZUf1_ZU)")</f>
        <v>ptávat se (v-w12117_ZUf1_ZU)</v>
      </c>
    </row>
    <row r="33908" customFormat="false" ht="12.8" hidden="false" customHeight="false" outlineLevel="0" collapsed="false">
      <c r="B33908" s="0" t="s">
        <v>7</v>
      </c>
    </row>
    <row r="33909" customFormat="false" ht="12.8" hidden="false" customHeight="false" outlineLevel="0" collapsed="false">
      <c r="B33909" s="0" t="s">
        <v>9316</v>
      </c>
    </row>
    <row r="33910" customFormat="false" ht="12.8" hidden="false" customHeight="false" outlineLevel="0" collapsed="false">
      <c r="B33910" s="0" t="s">
        <v>2538</v>
      </c>
    </row>
    <row r="33912" customFormat="false" ht="12.8" hidden="false" customHeight="false" outlineLevel="0" collapsed="false">
      <c r="A33912" s="0" t="s">
        <v>12462</v>
      </c>
      <c r="B33912" s="0" t="str">
        <f aca="false">HYPERLINK("https://lindat.mff.cuni.cz/services/teitok/pdtc10/index.php?action=vallex&amp;frame=v-w5374f1", "publikovat (v-w5374f1)")</f>
        <v>publikovat (v-w5374f1)</v>
      </c>
    </row>
    <row r="33913" customFormat="false" ht="12.8" hidden="false" customHeight="false" outlineLevel="0" collapsed="false">
      <c r="B33913" s="0" t="s">
        <v>7</v>
      </c>
      <c r="C33913" s="0" t="s">
        <v>12463</v>
      </c>
      <c r="D33913" s="0" t="s">
        <v>12464</v>
      </c>
      <c r="E33913" s="0" t="s">
        <v>12464</v>
      </c>
      <c r="F33913" s="0" t="s">
        <v>12464</v>
      </c>
    </row>
    <row r="33914" customFormat="false" ht="12.8" hidden="false" customHeight="false" outlineLevel="0" collapsed="false">
      <c r="B33914" s="0" t="s">
        <v>14</v>
      </c>
      <c r="C33914" s="0" t="s">
        <v>12465</v>
      </c>
      <c r="D33914" s="0" t="s">
        <v>12466</v>
      </c>
      <c r="E33914" s="0" t="s">
        <v>12466</v>
      </c>
      <c r="F33914" s="0" t="s">
        <v>12466</v>
      </c>
    </row>
    <row r="33916" customFormat="false" ht="12.8" hidden="false" customHeight="false" outlineLevel="0" collapsed="false">
      <c r="A33916" s="0" t="s">
        <v>12467</v>
      </c>
      <c r="B33916" s="0" t="str">
        <f aca="false">HYPERLINK("https://lindat.mff.cuni.cz/services/teitok/pdtc10/index.php?action=vallex&amp;frame=v-w5374f2", "publikovat (v-w5374f2)")</f>
        <v>publikovat (v-w5374f2)</v>
      </c>
    </row>
    <row r="33917" customFormat="false" ht="12.8" hidden="false" customHeight="false" outlineLevel="0" collapsed="false">
      <c r="B33917" s="0" t="s">
        <v>7</v>
      </c>
    </row>
    <row r="33918" customFormat="false" ht="12.8" hidden="false" customHeight="false" outlineLevel="0" collapsed="false">
      <c r="B33918" s="0" t="s">
        <v>1925</v>
      </c>
    </row>
    <row r="33919" customFormat="false" ht="12.8" hidden="false" customHeight="false" outlineLevel="0" collapsed="false">
      <c r="B33919" s="0" t="s">
        <v>363</v>
      </c>
    </row>
    <row r="33921" customFormat="false" ht="12.8" hidden="false" customHeight="false" outlineLevel="0" collapsed="false">
      <c r="A33921" s="0" t="s">
        <v>12468</v>
      </c>
      <c r="B33921" s="0" t="str">
        <f aca="false">HYPERLINK("https://lindat.mff.cuni.cz/services/teitok/pdtc10/index.php?action=vallex&amp;frame=v-whsa_137hsa_138", "pukat (v-whsa_137hsa_138)")</f>
        <v>pukat (v-whsa_137hsa_138)</v>
      </c>
    </row>
    <row r="33922" customFormat="false" ht="12.8" hidden="false" customHeight="false" outlineLevel="0" collapsed="false">
      <c r="B33922" s="0" t="s">
        <v>7</v>
      </c>
      <c r="C33922" s="0" t="s">
        <v>46</v>
      </c>
      <c r="D33922" s="0" t="s">
        <v>10626</v>
      </c>
      <c r="E33922" s="0" t="s">
        <v>10626</v>
      </c>
      <c r="F33922" s="0" t="s">
        <v>10626</v>
      </c>
    </row>
    <row r="33924" customFormat="false" ht="12.8" hidden="false" customHeight="false" outlineLevel="0" collapsed="false">
      <c r="A33924" s="0" t="s">
        <v>12469</v>
      </c>
      <c r="B33924" s="0" t="str">
        <f aca="false">HYPERLINK("https://lindat.mff.cuni.cz/services/teitok/pdtc10/index.php?action=vallex&amp;frame=v-w5383f1", "puknout (v-w5383f1)")</f>
        <v>puknout (v-w5383f1)</v>
      </c>
    </row>
    <row r="33925" customFormat="false" ht="12.8" hidden="false" customHeight="false" outlineLevel="0" collapsed="false">
      <c r="B33925" s="0" t="s">
        <v>7</v>
      </c>
    </row>
    <row r="33927" customFormat="false" ht="12.8" hidden="false" customHeight="false" outlineLevel="0" collapsed="false">
      <c r="A33927" s="0" t="s">
        <v>12470</v>
      </c>
      <c r="B33927" s="0" t="str">
        <f aca="false">HYPERLINK("https://lindat.mff.cuni.cz/services/teitok/pdtc10/index.php?action=vallex&amp;frame=v-whsa_36hsa_37", "pulsovat (v-whsa_36hsa_37)")</f>
        <v>pulsovat (v-whsa_36hsa_37)</v>
      </c>
    </row>
    <row r="33928" customFormat="false" ht="12.8" hidden="false" customHeight="false" outlineLevel="0" collapsed="false">
      <c r="B33928" s="0" t="s">
        <v>7</v>
      </c>
    </row>
    <row r="33930" customFormat="false" ht="12.8" hidden="false" customHeight="false" outlineLevel="0" collapsed="false">
      <c r="A33930" s="0" t="s">
        <v>12471</v>
      </c>
      <c r="B33930" s="0" t="str">
        <f aca="false">HYPERLINK("https://lindat.mff.cuni.cz/services/teitok/pdtc10/index.php?action=vallex&amp;frame=v-whsa_857hsa_858", "pumpovat (v-whsa_857hsa_858)")</f>
        <v>pumpovat (v-whsa_857hsa_858)</v>
      </c>
    </row>
    <row r="33931" customFormat="false" ht="12.8" hidden="false" customHeight="false" outlineLevel="0" collapsed="false">
      <c r="B33931" s="0" t="s">
        <v>7</v>
      </c>
      <c r="C33931" s="0" t="s">
        <v>9294</v>
      </c>
    </row>
    <row r="33932" customFormat="false" ht="12.8" hidden="false" customHeight="false" outlineLevel="0" collapsed="false">
      <c r="B33932" s="0" t="s">
        <v>14</v>
      </c>
      <c r="C33932" s="0" t="s">
        <v>7579</v>
      </c>
    </row>
    <row r="33933" customFormat="false" ht="12.8" hidden="false" customHeight="false" outlineLevel="0" collapsed="false">
      <c r="B33933" s="0" t="s">
        <v>124</v>
      </c>
    </row>
    <row r="33935" customFormat="false" ht="12.8" hidden="false" customHeight="false" outlineLevel="0" collapsed="false">
      <c r="A33935" s="0" t="s">
        <v>12472</v>
      </c>
      <c r="B33935" s="0" t="str">
        <f aca="false">HYPERLINK("https://lindat.mff.cuni.cz/services/teitok/pdtc10/index.php?action=vallex&amp;frame=v-whsa_857f1_ZU", "pumpovat (v-whsa_857f1_ZU)")</f>
        <v>pumpovat (v-whsa_857f1_ZU)</v>
      </c>
    </row>
    <row r="33936" customFormat="false" ht="12.8" hidden="false" customHeight="false" outlineLevel="0" collapsed="false">
      <c r="B33936" s="0" t="s">
        <v>7</v>
      </c>
    </row>
    <row r="33937" customFormat="false" ht="12.8" hidden="false" customHeight="false" outlineLevel="0" collapsed="false">
      <c r="B33937" s="0" t="s">
        <v>14</v>
      </c>
    </row>
    <row r="33939" customFormat="false" ht="12.8" hidden="false" customHeight="false" outlineLevel="0" collapsed="false">
      <c r="A33939" s="0" t="s">
        <v>12473</v>
      </c>
      <c r="B33939" s="0" t="str">
        <f aca="false">HYPERLINK("https://lindat.mff.cuni.cz/services/teitok/pdtc10/index.php?action=vallex&amp;frame=v-whsa_1025hsa_1026", "puncovat (v-whsa_1025hsa_1026)")</f>
        <v>puncovat (v-whsa_1025hsa_1026)</v>
      </c>
    </row>
    <row r="33940" customFormat="false" ht="12.8" hidden="false" customHeight="false" outlineLevel="0" collapsed="false">
      <c r="B33940" s="0" t="s">
        <v>7</v>
      </c>
    </row>
    <row r="33941" customFormat="false" ht="12.8" hidden="false" customHeight="false" outlineLevel="0" collapsed="false">
      <c r="B33941" s="0" t="s">
        <v>14</v>
      </c>
    </row>
    <row r="33943" customFormat="false" ht="12.8" hidden="false" customHeight="false" outlineLevel="0" collapsed="false">
      <c r="A33943" s="0" t="s">
        <v>12474</v>
      </c>
      <c r="B33943" s="0" t="str">
        <f aca="false">HYPERLINK("https://lindat.mff.cuni.cz/services/teitok/pdtc10/index.php?action=vallex&amp;frame=v-w5385f2", "pusinkovat (v-w5385f2)")</f>
        <v>pusinkovat (v-w5385f2)</v>
      </c>
    </row>
    <row r="33944" customFormat="false" ht="12.8" hidden="false" customHeight="false" outlineLevel="0" collapsed="false">
      <c r="B33944" s="0" t="s">
        <v>7</v>
      </c>
    </row>
    <row r="33945" customFormat="false" ht="12.8" hidden="false" customHeight="false" outlineLevel="0" collapsed="false">
      <c r="B33945" s="0" t="s">
        <v>548</v>
      </c>
      <c r="F33945" s="0" t="s">
        <v>47</v>
      </c>
    </row>
    <row r="33946" customFormat="false" ht="12.8" hidden="false" customHeight="false" outlineLevel="0" collapsed="false">
      <c r="B33946" s="0" t="s">
        <v>1252</v>
      </c>
    </row>
    <row r="33948" customFormat="false" ht="12.8" hidden="false" customHeight="false" outlineLevel="0" collapsed="false">
      <c r="A33948" s="0" t="s">
        <v>12475</v>
      </c>
      <c r="B33948" s="0" t="str">
        <f aca="false">HYPERLINK("https://lindat.mff.cuni.cz/services/teitok/pdtc10/index.php?action=vallex&amp;frame=v-w5385f1", "pusinkovat (v-w5385f1)")</f>
        <v>pusinkovat (v-w5385f1)</v>
      </c>
    </row>
    <row r="33949" customFormat="false" ht="12.8" hidden="false" customHeight="false" outlineLevel="0" collapsed="false">
      <c r="B33949" s="0" t="s">
        <v>7</v>
      </c>
    </row>
    <row r="33950" customFormat="false" ht="12.8" hidden="false" customHeight="false" outlineLevel="0" collapsed="false">
      <c r="B33950" s="0" t="s">
        <v>14</v>
      </c>
      <c r="F33950" s="0" t="s">
        <v>47</v>
      </c>
    </row>
    <row r="33952" customFormat="false" ht="12.8" hidden="false" customHeight="false" outlineLevel="0" collapsed="false">
      <c r="A33952" s="0" t="s">
        <v>12476</v>
      </c>
      <c r="B33952" s="0" t="str">
        <f aca="false">HYPERLINK("https://lindat.mff.cuni.cz/services/teitok/pdtc10/index.php?action=vallex&amp;frame=v-w5390f3", "pustit (v-w5390f3)")</f>
        <v>pustit (v-w5390f3)</v>
      </c>
    </row>
    <row r="33953" customFormat="false" ht="12.8" hidden="false" customHeight="false" outlineLevel="0" collapsed="false">
      <c r="B33953" s="0" t="s">
        <v>7</v>
      </c>
    </row>
    <row r="33954" customFormat="false" ht="12.8" hidden="false" customHeight="false" outlineLevel="0" collapsed="false">
      <c r="B33954" s="0" t="s">
        <v>237</v>
      </c>
    </row>
    <row r="33955" customFormat="false" ht="12.8" hidden="false" customHeight="false" outlineLevel="0" collapsed="false">
      <c r="B33955" s="0" t="s">
        <v>81</v>
      </c>
    </row>
    <row r="33957" customFormat="false" ht="12.8" hidden="false" customHeight="false" outlineLevel="0" collapsed="false">
      <c r="A33957" s="0" t="s">
        <v>12477</v>
      </c>
      <c r="B33957" s="0" t="str">
        <f aca="false">HYPERLINK("https://lindat.mff.cuni.cz/services/teitok/pdtc10/index.php?action=vallex&amp;frame=v-w5390f1", "pustit (v-w5390f1)")</f>
        <v>pustit (v-w5390f1)</v>
      </c>
    </row>
    <row r="33958" customFormat="false" ht="12.8" hidden="false" customHeight="false" outlineLevel="0" collapsed="false">
      <c r="B33958" s="0" t="s">
        <v>7</v>
      </c>
      <c r="C33958" s="0" t="s">
        <v>56</v>
      </c>
    </row>
    <row r="33959" customFormat="false" ht="12.8" hidden="false" customHeight="false" outlineLevel="0" collapsed="false">
      <c r="B33959" s="0" t="s">
        <v>14</v>
      </c>
      <c r="C33959" s="0" t="s">
        <v>8089</v>
      </c>
    </row>
    <row r="33960" customFormat="false" ht="12.8" hidden="false" customHeight="false" outlineLevel="0" collapsed="false">
      <c r="B33960" s="0" t="s">
        <v>124</v>
      </c>
      <c r="C33960" s="0" t="s">
        <v>12478</v>
      </c>
    </row>
    <row r="33962" customFormat="false" ht="12.8" hidden="false" customHeight="false" outlineLevel="0" collapsed="false">
      <c r="A33962" s="0" t="s">
        <v>12479</v>
      </c>
      <c r="B33962" s="0" t="str">
        <f aca="false">HYPERLINK("https://lindat.mff.cuni.cz/services/teitok/pdtc10/index.php?action=vallex&amp;frame=v-w5390f2", "pustit (v-w5390f2)")</f>
        <v>pustit (v-w5390f2)</v>
      </c>
    </row>
    <row r="33963" customFormat="false" ht="12.8" hidden="false" customHeight="false" outlineLevel="0" collapsed="false">
      <c r="B33963" s="0" t="s">
        <v>7</v>
      </c>
      <c r="C33963" s="0" t="s">
        <v>411</v>
      </c>
      <c r="D33963" s="0" t="s">
        <v>1399</v>
      </c>
      <c r="E33963" s="0" t="s">
        <v>1399</v>
      </c>
      <c r="F33963" s="0" t="s">
        <v>1399</v>
      </c>
    </row>
    <row r="33964" customFormat="false" ht="12.8" hidden="false" customHeight="false" outlineLevel="0" collapsed="false">
      <c r="B33964" s="0" t="s">
        <v>14</v>
      </c>
      <c r="C33964" s="0" t="s">
        <v>11817</v>
      </c>
      <c r="D33964" s="0" t="s">
        <v>1401</v>
      </c>
      <c r="E33964" s="0" t="s">
        <v>1401</v>
      </c>
      <c r="F33964" s="0" t="s">
        <v>1401</v>
      </c>
    </row>
    <row r="33966" customFormat="false" ht="12.8" hidden="false" customHeight="false" outlineLevel="0" collapsed="false">
      <c r="A33966" s="0" t="s">
        <v>12480</v>
      </c>
      <c r="B33966" s="0" t="str">
        <f aca="false">HYPERLINK("https://lindat.mff.cuni.cz/services/teitok/pdtc10/index.php?action=vallex&amp;frame=v-w5390f7", "pustit (v-w5390f7)")</f>
        <v>pustit (v-w5390f7)</v>
      </c>
    </row>
    <row r="33967" customFormat="false" ht="12.8" hidden="false" customHeight="false" outlineLevel="0" collapsed="false">
      <c r="B33967" s="0" t="s">
        <v>7</v>
      </c>
      <c r="C33967" s="0" t="s">
        <v>4161</v>
      </c>
    </row>
    <row r="33968" customFormat="false" ht="12.8" hidden="false" customHeight="false" outlineLevel="0" collapsed="false">
      <c r="B33968" s="0" t="s">
        <v>14</v>
      </c>
      <c r="C33968" s="0" t="s">
        <v>12481</v>
      </c>
    </row>
    <row r="33970" customFormat="false" ht="12.8" hidden="false" customHeight="false" outlineLevel="0" collapsed="false">
      <c r="A33970" s="0" t="s">
        <v>12482</v>
      </c>
      <c r="B33970" s="0" t="str">
        <f aca="false">HYPERLINK("https://lindat.mff.cuni.cz/services/teitok/pdtc10/index.php?action=vallex&amp;frame=v-w5390f6", "pustit (v-w5390f6)")</f>
        <v>pustit (v-w5390f6)</v>
      </c>
    </row>
    <row r="33971" customFormat="false" ht="12.8" hidden="false" customHeight="false" outlineLevel="0" collapsed="false">
      <c r="B33971" s="0" t="s">
        <v>7</v>
      </c>
      <c r="D33971" s="0" t="s">
        <v>1307</v>
      </c>
      <c r="E33971" s="0" t="s">
        <v>1307</v>
      </c>
      <c r="F33971" s="0" t="s">
        <v>1307</v>
      </c>
    </row>
    <row r="33972" customFormat="false" ht="12.8" hidden="false" customHeight="false" outlineLevel="0" collapsed="false">
      <c r="B33972" s="0" t="s">
        <v>14</v>
      </c>
      <c r="D33972" s="0" t="s">
        <v>1308</v>
      </c>
      <c r="E33972" s="0" t="s">
        <v>1308</v>
      </c>
      <c r="F33972" s="0" t="s">
        <v>1308</v>
      </c>
    </row>
    <row r="33974" customFormat="false" ht="12.8" hidden="false" customHeight="false" outlineLevel="0" collapsed="false">
      <c r="A33974" s="0" t="s">
        <v>12483</v>
      </c>
      <c r="B33974" s="0" t="str">
        <f aca="false">HYPERLINK("https://lindat.mff.cuni.cz/services/teitok/pdtc10/index.php?action=vallex&amp;frame=v-w5390f4", "pustit (v-w5390f4)")</f>
        <v>pustit (v-w5390f4)</v>
      </c>
    </row>
    <row r="33975" customFormat="false" ht="12.8" hidden="false" customHeight="false" outlineLevel="0" collapsed="false">
      <c r="B33975" s="0" t="s">
        <v>7</v>
      </c>
    </row>
    <row r="33976" customFormat="false" ht="12.8" hidden="false" customHeight="false" outlineLevel="0" collapsed="false">
      <c r="B33976" s="0" t="s">
        <v>12484</v>
      </c>
    </row>
    <row r="33977" customFormat="false" ht="12.8" hidden="false" customHeight="false" outlineLevel="0" collapsed="false">
      <c r="B33977" s="0" t="s">
        <v>14</v>
      </c>
    </row>
    <row r="33979" customFormat="false" ht="12.8" hidden="false" customHeight="false" outlineLevel="0" collapsed="false">
      <c r="A33979" s="0" t="s">
        <v>12485</v>
      </c>
      <c r="B33979" s="0" t="str">
        <f aca="false">HYPERLINK("https://lindat.mff.cuni.cz/services/teitok/pdtc10/index.php?action=vallex&amp;frame=v-w5390f5", "pustit (v-w5390f5)")</f>
        <v>pustit (v-w5390f5)</v>
      </c>
    </row>
    <row r="33980" customFormat="false" ht="12.8" hidden="false" customHeight="false" outlineLevel="0" collapsed="false">
      <c r="B33980" s="0" t="s">
        <v>7</v>
      </c>
    </row>
    <row r="33981" customFormat="false" ht="12.8" hidden="false" customHeight="false" outlineLevel="0" collapsed="false">
      <c r="B33981" s="0" t="s">
        <v>12486</v>
      </c>
    </row>
    <row r="33982" customFormat="false" ht="12.8" hidden="false" customHeight="false" outlineLevel="0" collapsed="false">
      <c r="B33982" s="0" t="s">
        <v>14</v>
      </c>
    </row>
    <row r="33984" customFormat="false" ht="12.8" hidden="false" customHeight="false" outlineLevel="0" collapsed="false">
      <c r="A33984" s="0" t="s">
        <v>12487</v>
      </c>
      <c r="B33984" s="0" t="str">
        <f aca="false">HYPERLINK("https://lindat.mff.cuni.cz/services/teitok/pdtc10/index.php?action=vallex&amp;frame=v-w5390f9_ZU", "pustit (v-w5390f9_ZU)")</f>
        <v>pustit (v-w5390f9_ZU)</v>
      </c>
    </row>
    <row r="33985" customFormat="false" ht="12.8" hidden="false" customHeight="false" outlineLevel="0" collapsed="false">
      <c r="B33985" s="0" t="s">
        <v>7</v>
      </c>
    </row>
    <row r="33986" customFormat="false" ht="12.8" hidden="false" customHeight="false" outlineLevel="0" collapsed="false">
      <c r="B33986" s="0" t="s">
        <v>14</v>
      </c>
    </row>
    <row r="33987" customFormat="false" ht="12.8" hidden="false" customHeight="false" outlineLevel="0" collapsed="false">
      <c r="B33987" s="0" t="s">
        <v>124</v>
      </c>
    </row>
    <row r="33989" customFormat="false" ht="12.8" hidden="false" customHeight="false" outlineLevel="0" collapsed="false">
      <c r="A33989" s="0" t="s">
        <v>12487</v>
      </c>
      <c r="B33989" s="0" t="str">
        <f aca="false">HYPERLINK("https://lindat.mff.cuni.cz/services/teitok/pdtc10/index.php?action=vallex&amp;frame=v-w5390f8_ZU", "pustit (v-w5390f8_ZU) - substituted with v-w5390f9_ZU")</f>
        <v>pustit (v-w5390f8_ZU) - substituted with v-w5390f9_ZU</v>
      </c>
    </row>
    <row r="33990" customFormat="false" ht="12.8" hidden="false" customHeight="false" outlineLevel="0" collapsed="false">
      <c r="B33990" s="0" t="s">
        <v>7</v>
      </c>
    </row>
    <row r="33991" customFormat="false" ht="12.8" hidden="false" customHeight="false" outlineLevel="0" collapsed="false">
      <c r="B33991" s="0" t="s">
        <v>14</v>
      </c>
    </row>
    <row r="33992" customFormat="false" ht="12.8" hidden="false" customHeight="false" outlineLevel="0" collapsed="false">
      <c r="B33992" s="0" t="s">
        <v>124</v>
      </c>
    </row>
    <row r="33994" customFormat="false" ht="12.8" hidden="false" customHeight="false" outlineLevel="0" collapsed="false">
      <c r="A33994" s="0" t="s">
        <v>12488</v>
      </c>
      <c r="B33994" s="0" t="str">
        <f aca="false">HYPERLINK("https://lindat.mff.cuni.cz/services/teitok/pdtc10/index.php?action=vallex&amp;frame=v-w5390f10_ZU", "pustit (v-w5390f10_ZU)")</f>
        <v>pustit (v-w5390f10_ZU)</v>
      </c>
    </row>
    <row r="33995" customFormat="false" ht="12.8" hidden="false" customHeight="false" outlineLevel="0" collapsed="false">
      <c r="B33995" s="0" t="s">
        <v>7</v>
      </c>
    </row>
    <row r="33996" customFormat="false" ht="12.8" hidden="false" customHeight="false" outlineLevel="0" collapsed="false">
      <c r="B33996" s="0" t="s">
        <v>14</v>
      </c>
    </row>
    <row r="33998" customFormat="false" ht="12.8" hidden="false" customHeight="false" outlineLevel="0" collapsed="false">
      <c r="A33998" s="0" t="s">
        <v>12489</v>
      </c>
      <c r="B33998" s="0" t="str">
        <f aca="false">HYPERLINK("https://lindat.mff.cuni.cz/services/teitok/pdtc10/index.php?action=vallex&amp;frame=v-w5391f2", "pustit se (v-w5391f2)")</f>
        <v>pustit se (v-w5391f2)</v>
      </c>
    </row>
    <row r="33999" customFormat="false" ht="12.8" hidden="false" customHeight="false" outlineLevel="0" collapsed="false">
      <c r="B33999" s="0" t="s">
        <v>7</v>
      </c>
      <c r="C33999" s="0" t="s">
        <v>12490</v>
      </c>
      <c r="D33999" s="0" t="s">
        <v>3174</v>
      </c>
      <c r="E33999" s="0" t="s">
        <v>3174</v>
      </c>
      <c r="F33999" s="0" t="s">
        <v>3174</v>
      </c>
    </row>
    <row r="34000" customFormat="false" ht="12.8" hidden="false" customHeight="false" outlineLevel="0" collapsed="false">
      <c r="B34000" s="0" t="s">
        <v>985</v>
      </c>
      <c r="C34000" s="0" t="s">
        <v>12491</v>
      </c>
      <c r="D34000" s="0" t="s">
        <v>3175</v>
      </c>
      <c r="E34000" s="0" t="s">
        <v>3175</v>
      </c>
      <c r="F34000" s="0" t="s">
        <v>3175</v>
      </c>
    </row>
    <row r="34002" customFormat="false" ht="12.8" hidden="false" customHeight="false" outlineLevel="0" collapsed="false">
      <c r="A34002" s="0" t="s">
        <v>12492</v>
      </c>
      <c r="B34002" s="0" t="str">
        <f aca="false">HYPERLINK("https://lindat.mff.cuni.cz/services/teitok/pdtc10/index.php?action=vallex&amp;frame=v-w5391f3", "pustit se (v-w5391f3)")</f>
        <v>pustit se (v-w5391f3)</v>
      </c>
    </row>
    <row r="34003" customFormat="false" ht="12.8" hidden="false" customHeight="false" outlineLevel="0" collapsed="false">
      <c r="B34003" s="0" t="s">
        <v>7</v>
      </c>
    </row>
    <row r="34004" customFormat="false" ht="12.8" hidden="false" customHeight="false" outlineLevel="0" collapsed="false">
      <c r="B34004" s="0" t="s">
        <v>124</v>
      </c>
    </row>
    <row r="34006" customFormat="false" ht="12.8" hidden="false" customHeight="false" outlineLevel="0" collapsed="false">
      <c r="A34006" s="0" t="s">
        <v>12493</v>
      </c>
      <c r="B34006" s="0" t="str">
        <f aca="false">HYPERLINK("https://lindat.mff.cuni.cz/services/teitok/pdtc10/index.php?action=vallex&amp;frame=v-w5391f10_MM", "pustit se (v-w5391f10_MM)")</f>
        <v>pustit se (v-w5391f10_MM)</v>
      </c>
    </row>
    <row r="34007" customFormat="false" ht="12.8" hidden="false" customHeight="false" outlineLevel="0" collapsed="false">
      <c r="B34007" s="0" t="s">
        <v>7</v>
      </c>
    </row>
    <row r="34008" customFormat="false" ht="12.8" hidden="false" customHeight="false" outlineLevel="0" collapsed="false">
      <c r="B34008" s="0" t="s">
        <v>12494</v>
      </c>
    </row>
    <row r="34010" customFormat="false" ht="12.8" hidden="false" customHeight="false" outlineLevel="0" collapsed="false">
      <c r="A34010" s="0" t="s">
        <v>12493</v>
      </c>
      <c r="B34010" s="0" t="str">
        <f aca="false">HYPERLINK("https://lindat.mff.cuni.cz/services/teitok/pdtc10/index.php?action=vallex&amp;frame=v-w5391f1", "pustit se (v-w5391f1) - substituted with v-w5391f10_MM")</f>
        <v>pustit se (v-w5391f1) - substituted with v-w5391f10_MM</v>
      </c>
    </row>
    <row r="34011" customFormat="false" ht="12.8" hidden="false" customHeight="false" outlineLevel="0" collapsed="false">
      <c r="B34011" s="0" t="s">
        <v>7</v>
      </c>
      <c r="C34011" s="0" t="s">
        <v>1921</v>
      </c>
    </row>
    <row r="34012" customFormat="false" ht="12.8" hidden="false" customHeight="false" outlineLevel="0" collapsed="false">
      <c r="B34012" s="0" t="s">
        <v>12494</v>
      </c>
      <c r="C34012" s="0" t="s">
        <v>3181</v>
      </c>
    </row>
    <row r="34014" customFormat="false" ht="12.8" hidden="false" customHeight="false" outlineLevel="0" collapsed="false">
      <c r="A34014" s="0" t="s">
        <v>12493</v>
      </c>
      <c r="B34014" s="0" t="str">
        <f aca="false">HYPERLINK("https://lindat.mff.cuni.cz/services/teitok/pdtc10/index.php?action=vallex&amp;frame=v-w5391f4_ZU", "pustit se (v-w5391f4_ZU) - substituted with v-w5391f10_MM")</f>
        <v>pustit se (v-w5391f4_ZU) - substituted with v-w5391f10_MM</v>
      </c>
    </row>
    <row r="34015" customFormat="false" ht="12.8" hidden="false" customHeight="false" outlineLevel="0" collapsed="false">
      <c r="B34015" s="0" t="s">
        <v>7</v>
      </c>
    </row>
    <row r="34016" customFormat="false" ht="12.8" hidden="false" customHeight="false" outlineLevel="0" collapsed="false">
      <c r="B34016" s="0" t="s">
        <v>12494</v>
      </c>
    </row>
    <row r="34018" customFormat="false" ht="12.8" hidden="false" customHeight="false" outlineLevel="0" collapsed="false">
      <c r="A34018" s="0" t="s">
        <v>12493</v>
      </c>
      <c r="B34018" s="0" t="str">
        <f aca="false">HYPERLINK("https://lindat.mff.cuni.cz/services/teitok/pdtc10/index.php?action=vallex&amp;frame=v-w5391f5_ZU", "pustit se (v-w5391f5_ZU) - substituted with v-w5391f10_MM")</f>
        <v>pustit se (v-w5391f5_ZU) - substituted with v-w5391f10_MM</v>
      </c>
    </row>
    <row r="34019" customFormat="false" ht="12.8" hidden="false" customHeight="false" outlineLevel="0" collapsed="false">
      <c r="B34019" s="0" t="s">
        <v>7</v>
      </c>
      <c r="C34019" s="0" t="s">
        <v>12495</v>
      </c>
    </row>
    <row r="34020" customFormat="false" ht="12.8" hidden="false" customHeight="false" outlineLevel="0" collapsed="false">
      <c r="B34020" s="0" t="s">
        <v>12494</v>
      </c>
      <c r="C34020" s="0" t="s">
        <v>4679</v>
      </c>
    </row>
    <row r="34022" customFormat="false" ht="12.8" hidden="false" customHeight="false" outlineLevel="0" collapsed="false">
      <c r="A34022" s="0" t="s">
        <v>12493</v>
      </c>
      <c r="B34022" s="0" t="str">
        <f aca="false">HYPERLINK("https://lindat.mff.cuni.cz/services/teitok/pdtc10/index.php?action=vallex&amp;frame=v-w5391f6_ZU", "pustit se (v-w5391f6_ZU) - substituted with v-w5391f10_MM")</f>
        <v>pustit se (v-w5391f6_ZU) - substituted with v-w5391f10_MM</v>
      </c>
    </row>
    <row r="34023" customFormat="false" ht="12.8" hidden="false" customHeight="false" outlineLevel="0" collapsed="false">
      <c r="B34023" s="0" t="s">
        <v>7</v>
      </c>
    </row>
    <row r="34024" customFormat="false" ht="12.8" hidden="false" customHeight="false" outlineLevel="0" collapsed="false">
      <c r="B34024" s="0" t="s">
        <v>12494</v>
      </c>
    </row>
    <row r="34026" customFormat="false" ht="12.8" hidden="false" customHeight="false" outlineLevel="0" collapsed="false">
      <c r="A34026" s="0" t="s">
        <v>12493</v>
      </c>
      <c r="B34026" s="0" t="str">
        <f aca="false">HYPERLINK("https://lindat.mff.cuni.cz/services/teitok/pdtc10/index.php?action=vallex&amp;frame=v-w5391f7_ZU", "pustit se (v-w5391f7_ZU) - substituted with v-w5391f10_MM")</f>
        <v>pustit se (v-w5391f7_ZU) - substituted with v-w5391f10_MM</v>
      </c>
    </row>
    <row r="34027" customFormat="false" ht="12.8" hidden="false" customHeight="false" outlineLevel="0" collapsed="false">
      <c r="B34027" s="0" t="s">
        <v>7</v>
      </c>
      <c r="C34027" s="0" t="s">
        <v>12496</v>
      </c>
      <c r="D34027" s="0" t="s">
        <v>69</v>
      </c>
      <c r="E34027" s="0" t="s">
        <v>69</v>
      </c>
      <c r="F34027" s="0" t="s">
        <v>12497</v>
      </c>
    </row>
    <row r="34028" customFormat="false" ht="12.8" hidden="false" customHeight="false" outlineLevel="0" collapsed="false">
      <c r="B34028" s="0" t="s">
        <v>12494</v>
      </c>
      <c r="C34028" s="0" t="s">
        <v>12498</v>
      </c>
      <c r="D34028" s="0" t="s">
        <v>12499</v>
      </c>
      <c r="E34028" s="0" t="s">
        <v>12499</v>
      </c>
      <c r="F34028" s="0" t="s">
        <v>12500</v>
      </c>
    </row>
    <row r="34030" customFormat="false" ht="12.8" hidden="false" customHeight="false" outlineLevel="0" collapsed="false">
      <c r="A34030" s="0" t="s">
        <v>12493</v>
      </c>
      <c r="B34030" s="0" t="str">
        <f aca="false">HYPERLINK("https://lindat.mff.cuni.cz/services/teitok/pdtc10/index.php?action=vallex&amp;frame=v-w5391f8_ZU", "pustit se (v-w5391f8_ZU) - substituted with v-w5391f10_MM")</f>
        <v>pustit se (v-w5391f8_ZU) - substituted with v-w5391f10_MM</v>
      </c>
    </row>
    <row r="34031" customFormat="false" ht="12.8" hidden="false" customHeight="false" outlineLevel="0" collapsed="false">
      <c r="B34031" s="0" t="s">
        <v>7</v>
      </c>
    </row>
    <row r="34032" customFormat="false" ht="12.8" hidden="false" customHeight="false" outlineLevel="0" collapsed="false">
      <c r="B34032" s="0" t="s">
        <v>12494</v>
      </c>
    </row>
    <row r="34034" customFormat="false" ht="12.8" hidden="false" customHeight="false" outlineLevel="0" collapsed="false">
      <c r="A34034" s="0" t="s">
        <v>12493</v>
      </c>
      <c r="B34034" s="0" t="str">
        <f aca="false">HYPERLINK("https://lindat.mff.cuni.cz/services/teitok/pdtc10/index.php?action=vallex&amp;frame=v-w5391f9_ZU", "pustit se (v-w5391f9_ZU) - substituted with v-w5391f10_MM")</f>
        <v>pustit se (v-w5391f9_ZU) - substituted with v-w5391f10_MM</v>
      </c>
    </row>
    <row r="34035" customFormat="false" ht="12.8" hidden="false" customHeight="false" outlineLevel="0" collapsed="false">
      <c r="B34035" s="0" t="s">
        <v>7</v>
      </c>
    </row>
    <row r="34036" customFormat="false" ht="12.8" hidden="false" customHeight="false" outlineLevel="0" collapsed="false">
      <c r="B34036" s="0" t="s">
        <v>12494</v>
      </c>
    </row>
    <row r="34038" customFormat="false" ht="12.8" hidden="false" customHeight="false" outlineLevel="0" collapsed="false">
      <c r="A34038" s="0" t="s">
        <v>12493</v>
      </c>
      <c r="B34038" s="0" t="str">
        <f aca="false">HYPERLINK("https://lindat.mff.cuni.cz/services/teitok/pdtc10/index.php?action=vallex&amp;frame=v-w5391hsa_877", "pustit se (v-w5391hsa_877) - substituted with v-w5391f10_MM")</f>
        <v>pustit se (v-w5391hsa_877) - substituted with v-w5391f10_MM</v>
      </c>
    </row>
    <row r="34039" customFormat="false" ht="12.8" hidden="false" customHeight="false" outlineLevel="0" collapsed="false">
      <c r="B34039" s="0" t="s">
        <v>7</v>
      </c>
    </row>
    <row r="34040" customFormat="false" ht="12.8" hidden="false" customHeight="false" outlineLevel="0" collapsed="false">
      <c r="B34040" s="0" t="s">
        <v>12494</v>
      </c>
    </row>
    <row r="34042" customFormat="false" ht="12.8" hidden="false" customHeight="false" outlineLevel="0" collapsed="false">
      <c r="A34042" s="0" t="s">
        <v>12501</v>
      </c>
      <c r="B34042" s="0" t="str">
        <f aca="false">HYPERLINK("https://lindat.mff.cuni.cz/services/teitok/pdtc10/index.php?action=vallex&amp;frame=v-w5391hsa_1801", "pustit se (v-w5391hsa_1801)")</f>
        <v>pustit se (v-w5391hsa_1801)</v>
      </c>
    </row>
    <row r="34043" customFormat="false" ht="12.8" hidden="false" customHeight="false" outlineLevel="0" collapsed="false">
      <c r="B34043" s="0" t="s">
        <v>7</v>
      </c>
    </row>
    <row r="34044" customFormat="false" ht="12.8" hidden="false" customHeight="false" outlineLevel="0" collapsed="false">
      <c r="B34044" s="0" t="s">
        <v>985</v>
      </c>
    </row>
    <row r="34046" customFormat="false" ht="12.8" hidden="false" customHeight="false" outlineLevel="0" collapsed="false">
      <c r="A34046" s="0" t="s">
        <v>12502</v>
      </c>
      <c r="B34046" s="0" t="str">
        <f aca="false">HYPERLINK("https://lindat.mff.cuni.cz/services/teitok/pdtc10/index.php?action=vallex&amp;frame=v-w5391hsa_1802", "pustit se (v-w5391hsa_1802)")</f>
        <v>pustit se (v-w5391hsa_1802)</v>
      </c>
    </row>
    <row r="34047" customFormat="false" ht="12.8" hidden="false" customHeight="false" outlineLevel="0" collapsed="false">
      <c r="B34047" s="0" t="s">
        <v>7</v>
      </c>
    </row>
    <row r="34048" customFormat="false" ht="12.8" hidden="false" customHeight="false" outlineLevel="0" collapsed="false">
      <c r="B34048" s="0" t="s">
        <v>985</v>
      </c>
    </row>
    <row r="34050" customFormat="false" ht="12.8" hidden="false" customHeight="false" outlineLevel="0" collapsed="false">
      <c r="A34050" s="0" t="s">
        <v>12503</v>
      </c>
      <c r="B34050" s="0" t="str">
        <f aca="false">HYPERLINK("https://lindat.mff.cuni.cz/services/teitok/pdtc10/index.php?action=vallex&amp;frame=v-w5393f1", "putovat (v-w5393f1)")</f>
        <v>putovat (v-w5393f1)</v>
      </c>
    </row>
    <row r="34051" customFormat="false" ht="12.8" hidden="false" customHeight="false" outlineLevel="0" collapsed="false">
      <c r="B34051" s="0" t="s">
        <v>7</v>
      </c>
      <c r="C34051" s="0" t="s">
        <v>12504</v>
      </c>
      <c r="D34051" s="0" t="s">
        <v>1152</v>
      </c>
      <c r="E34051" s="0" t="s">
        <v>1152</v>
      </c>
      <c r="F34051" s="0" t="s">
        <v>1152</v>
      </c>
    </row>
    <row r="34053" customFormat="false" ht="12.8" hidden="false" customHeight="false" outlineLevel="0" collapsed="false">
      <c r="A34053" s="0" t="s">
        <v>12505</v>
      </c>
      <c r="B34053" s="0" t="str">
        <f aca="false">HYPERLINK("https://lindat.mff.cuni.cz/services/teitok/pdtc10/index.php?action=vallex&amp;frame=v-w5395f1", "pykat (v-w5395f1)")</f>
        <v>pykat (v-w5395f1)</v>
      </c>
    </row>
    <row r="34054" customFormat="false" ht="12.8" hidden="false" customHeight="false" outlineLevel="0" collapsed="false">
      <c r="B34054" s="0" t="s">
        <v>7</v>
      </c>
    </row>
    <row r="34055" customFormat="false" ht="12.8" hidden="false" customHeight="false" outlineLevel="0" collapsed="false">
      <c r="B34055" s="0" t="s">
        <v>1654</v>
      </c>
    </row>
    <row r="34057" customFormat="false" ht="12.8" hidden="false" customHeight="false" outlineLevel="0" collapsed="false">
      <c r="A34057" s="0" t="s">
        <v>12506</v>
      </c>
      <c r="B34057" s="0" t="str">
        <f aca="false">HYPERLINK("https://lindat.mff.cuni.cz/services/teitok/pdtc10/index.php?action=vallex&amp;frame=v-w5398f1", "pytlačit (v-w5398f1)")</f>
        <v>pytlačit (v-w5398f1)</v>
      </c>
    </row>
    <row r="34058" customFormat="false" ht="12.8" hidden="false" customHeight="false" outlineLevel="0" collapsed="false">
      <c r="B34058" s="0" t="s">
        <v>7</v>
      </c>
    </row>
    <row r="34060" customFormat="false" ht="12.8" hidden="false" customHeight="false" outlineLevel="0" collapsed="false">
      <c r="A34060" s="0" t="s">
        <v>12507</v>
      </c>
      <c r="B34060" s="0" t="str">
        <f aca="false">HYPERLINK("https://lindat.mff.cuni.cz/services/teitok/pdtc10/index.php?action=vallex&amp;frame=v-w5396f1", "pyšnit se (v-w5396f1)")</f>
        <v>pyšnit se (v-w5396f1)</v>
      </c>
    </row>
    <row r="34061" customFormat="false" ht="12.8" hidden="false" customHeight="false" outlineLevel="0" collapsed="false">
      <c r="B34061" s="0" t="s">
        <v>7</v>
      </c>
      <c r="C34061" s="0" t="s">
        <v>12508</v>
      </c>
      <c r="D34061" s="0" t="s">
        <v>194</v>
      </c>
      <c r="E34061" s="0" t="s">
        <v>194</v>
      </c>
      <c r="F34061" s="0" t="s">
        <v>194</v>
      </c>
    </row>
    <row r="34062" customFormat="false" ht="12.8" hidden="false" customHeight="false" outlineLevel="0" collapsed="false">
      <c r="B34062" s="0" t="s">
        <v>216</v>
      </c>
      <c r="C34062" s="0" t="s">
        <v>2558</v>
      </c>
      <c r="D34062" s="0" t="s">
        <v>24</v>
      </c>
      <c r="E34062" s="0" t="s">
        <v>24</v>
      </c>
      <c r="F34062" s="0" t="s">
        <v>24</v>
      </c>
    </row>
    <row r="34064" customFormat="false" ht="12.8" hidden="false" customHeight="false" outlineLevel="0" collapsed="false">
      <c r="A34064" s="0" t="s">
        <v>12509</v>
      </c>
      <c r="B34064" s="0" t="str">
        <f aca="false">HYPERLINK("https://lindat.mff.cuni.cz/services/teitok/pdtc10/index.php?action=vallex&amp;frame=v-w3358f1", "páchat (v-w3358f1)")</f>
        <v>páchat (v-w3358f1)</v>
      </c>
    </row>
    <row r="34065" customFormat="false" ht="12.8" hidden="false" customHeight="false" outlineLevel="0" collapsed="false">
      <c r="B34065" s="0" t="s">
        <v>7</v>
      </c>
      <c r="C34065" s="0" t="s">
        <v>118</v>
      </c>
      <c r="D34065" s="0" t="s">
        <v>108</v>
      </c>
      <c r="E34065" s="0" t="s">
        <v>108</v>
      </c>
      <c r="F34065" s="0" t="s">
        <v>108</v>
      </c>
    </row>
    <row r="34066" customFormat="false" ht="12.8" hidden="false" customHeight="false" outlineLevel="0" collapsed="false">
      <c r="B34066" s="0" t="s">
        <v>14</v>
      </c>
      <c r="C34066" s="0" t="s">
        <v>89</v>
      </c>
      <c r="D34066" s="0" t="s">
        <v>487</v>
      </c>
      <c r="E34066" s="0" t="s">
        <v>487</v>
      </c>
      <c r="F34066" s="0" t="s">
        <v>487</v>
      </c>
    </row>
    <row r="34068" customFormat="false" ht="12.8" hidden="false" customHeight="false" outlineLevel="0" collapsed="false">
      <c r="A34068" s="0" t="s">
        <v>12510</v>
      </c>
      <c r="B34068" s="0" t="str">
        <f aca="false">HYPERLINK("https://lindat.mff.cuni.cz/services/teitok/pdtc10/index.php?action=vallex&amp;frame=v-w3360f1", "páchnout (v-w3360f1)")</f>
        <v>páchnout (v-w3360f1)</v>
      </c>
    </row>
    <row r="34069" customFormat="false" ht="12.8" hidden="false" customHeight="false" outlineLevel="0" collapsed="false">
      <c r="B34069" s="0" t="s">
        <v>7</v>
      </c>
      <c r="C34069" s="0" t="s">
        <v>396</v>
      </c>
      <c r="D34069" s="0" t="s">
        <v>16</v>
      </c>
      <c r="E34069" s="0" t="s">
        <v>16</v>
      </c>
      <c r="F34069" s="0" t="s">
        <v>16</v>
      </c>
    </row>
    <row r="34070" customFormat="false" ht="12.8" hidden="false" customHeight="false" outlineLevel="0" collapsed="false">
      <c r="B34070" s="0" t="s">
        <v>12511</v>
      </c>
    </row>
    <row r="34072" customFormat="false" ht="12.8" hidden="false" customHeight="false" outlineLevel="0" collapsed="false">
      <c r="A34072" s="0" t="s">
        <v>12512</v>
      </c>
      <c r="B34072" s="0" t="str">
        <f aca="false">HYPERLINK("https://lindat.mff.cuni.cz/services/teitok/pdtc10/index.php?action=vallex&amp;frame=v-w11942_ZUf2_ZU", "pádlovat (v-w11942_ZUf2_ZU)")</f>
        <v>pádlovat (v-w11942_ZUf2_ZU)</v>
      </c>
    </row>
    <row r="34073" customFormat="false" ht="12.8" hidden="false" customHeight="false" outlineLevel="0" collapsed="false">
      <c r="B34073" s="0" t="s">
        <v>7</v>
      </c>
    </row>
    <row r="34075" customFormat="false" ht="12.8" hidden="false" customHeight="false" outlineLevel="0" collapsed="false">
      <c r="A34075" s="0" t="s">
        <v>12512</v>
      </c>
      <c r="B34075" s="0" t="str">
        <f aca="false">HYPERLINK("https://lindat.mff.cuni.cz/services/teitok/pdtc10/index.php?action=vallex&amp;frame=v-w11942_ZUf1_ZU", "pádlovat (v-w11942_ZUf1_ZU) - substituted with v-w11942_ZUf2_ZU")</f>
        <v>pádlovat (v-w11942_ZUf1_ZU) - substituted with v-w11942_ZUf2_ZU</v>
      </c>
    </row>
    <row r="34076" customFormat="false" ht="12.8" hidden="false" customHeight="false" outlineLevel="0" collapsed="false">
      <c r="B34076" s="0" t="s">
        <v>7</v>
      </c>
    </row>
    <row r="34078" customFormat="false" ht="12.8" hidden="false" customHeight="false" outlineLevel="0" collapsed="false">
      <c r="A34078" s="0" t="s">
        <v>12513</v>
      </c>
      <c r="B34078" s="0" t="str">
        <f aca="false">HYPERLINK("https://lindat.mff.cuni.cz/services/teitok/pdtc10/index.php?action=vallex&amp;frame=v-w3364f1", "pálit (v-w3364f1)")</f>
        <v>pálit (v-w3364f1)</v>
      </c>
    </row>
    <row r="34079" customFormat="false" ht="12.8" hidden="false" customHeight="false" outlineLevel="0" collapsed="false">
      <c r="B34079" s="0" t="s">
        <v>7</v>
      </c>
      <c r="C34079" s="0" t="s">
        <v>1332</v>
      </c>
    </row>
    <row r="34080" customFormat="false" ht="12.8" hidden="false" customHeight="false" outlineLevel="0" collapsed="false">
      <c r="B34080" s="0" t="s">
        <v>14</v>
      </c>
      <c r="C34080" s="0" t="s">
        <v>12514</v>
      </c>
    </row>
    <row r="34082" customFormat="false" ht="12.8" hidden="false" customHeight="false" outlineLevel="0" collapsed="false">
      <c r="A34082" s="0" t="s">
        <v>12515</v>
      </c>
      <c r="B34082" s="0" t="str">
        <f aca="false">HYPERLINK("https://lindat.mff.cuni.cz/services/teitok/pdtc10/index.php?action=vallex&amp;frame=v-w3364f2", "pálit (v-w3364f2)")</f>
        <v>pálit (v-w3364f2)</v>
      </c>
    </row>
    <row r="34083" customFormat="false" ht="12.8" hidden="false" customHeight="false" outlineLevel="0" collapsed="false">
      <c r="B34083" s="0" t="s">
        <v>7</v>
      </c>
    </row>
    <row r="34084" customFormat="false" ht="12.8" hidden="false" customHeight="false" outlineLevel="0" collapsed="false">
      <c r="B34084" s="0" t="s">
        <v>14</v>
      </c>
    </row>
    <row r="34086" customFormat="false" ht="12.8" hidden="false" customHeight="false" outlineLevel="0" collapsed="false">
      <c r="A34086" s="0" t="s">
        <v>12516</v>
      </c>
      <c r="B34086" s="0" t="str">
        <f aca="false">HYPERLINK("https://lindat.mff.cuni.cz/services/teitok/pdtc10/index.php?action=vallex&amp;frame=v-w3364f3_ZU", "pálit (v-w3364f3_ZU)")</f>
        <v>pálit (v-w3364f3_ZU)</v>
      </c>
    </row>
    <row r="34087" customFormat="false" ht="12.8" hidden="false" customHeight="false" outlineLevel="0" collapsed="false">
      <c r="B34087" s="0" t="s">
        <v>7</v>
      </c>
    </row>
    <row r="34089" customFormat="false" ht="12.8" hidden="false" customHeight="false" outlineLevel="0" collapsed="false">
      <c r="A34089" s="0" t="s">
        <v>12516</v>
      </c>
      <c r="B34089" s="0" t="str">
        <f aca="false">HYPERLINK("https://lindat.mff.cuni.cz/services/teitok/pdtc10/index.php?action=vallex&amp;frame=v-w3364hsa_542", "pálit (v-w3364hsa_542) - substituted with v-w3364f3_ZU")</f>
        <v>pálit (v-w3364hsa_542) - substituted with v-w3364f3_ZU</v>
      </c>
    </row>
    <row r="34090" customFormat="false" ht="12.8" hidden="false" customHeight="false" outlineLevel="0" collapsed="false">
      <c r="B34090" s="0" t="s">
        <v>7</v>
      </c>
    </row>
    <row r="34092" customFormat="false" ht="12.8" hidden="false" customHeight="false" outlineLevel="0" collapsed="false">
      <c r="A34092" s="0" t="s">
        <v>12517</v>
      </c>
      <c r="B34092" s="0" t="str">
        <f aca="false">HYPERLINK("https://lindat.mff.cuni.cz/services/teitok/pdtc10/index.php?action=vallex&amp;frame=v-w3364f4_ZU", "pálit (v-w3364f4_ZU)")</f>
        <v>pálit (v-w3364f4_ZU)</v>
      </c>
    </row>
    <row r="34093" customFormat="false" ht="12.8" hidden="false" customHeight="false" outlineLevel="0" collapsed="false">
      <c r="B34093" s="0" t="s">
        <v>7</v>
      </c>
    </row>
    <row r="34094" customFormat="false" ht="12.8" hidden="false" customHeight="false" outlineLevel="0" collapsed="false">
      <c r="B34094" s="0" t="s">
        <v>14</v>
      </c>
    </row>
    <row r="34096" customFormat="false" ht="12.8" hidden="false" customHeight="false" outlineLevel="0" collapsed="false">
      <c r="A34096" s="0" t="s">
        <v>12518</v>
      </c>
      <c r="B34096" s="0" t="str">
        <f aca="false">HYPERLINK("https://lindat.mff.cuni.cz/services/teitok/pdtc10/index.php?action=vallex&amp;frame=v-w3364hsa_459", "pálit (v-w3364hsa_459)")</f>
        <v>pálit (v-w3364hsa_459)</v>
      </c>
    </row>
    <row r="34097" customFormat="false" ht="12.8" hidden="false" customHeight="false" outlineLevel="0" collapsed="false">
      <c r="B34097" s="0" t="s">
        <v>7</v>
      </c>
    </row>
    <row r="34099" customFormat="false" ht="12.8" hidden="false" customHeight="false" outlineLevel="0" collapsed="false">
      <c r="A34099" s="0" t="s">
        <v>12519</v>
      </c>
      <c r="B34099" s="0" t="str">
        <f aca="false">HYPERLINK("https://lindat.mff.cuni.cz/services/teitok/pdtc10/index.php?action=vallex&amp;frame=v-w3365f1", "pálit si (v-w3365f1)")</f>
        <v>pálit si (v-w3365f1)</v>
      </c>
    </row>
    <row r="34100" customFormat="false" ht="12.8" hidden="false" customHeight="false" outlineLevel="0" collapsed="false">
      <c r="B34100" s="0" t="s">
        <v>7</v>
      </c>
    </row>
    <row r="34101" customFormat="false" ht="12.8" hidden="false" customHeight="false" outlineLevel="0" collapsed="false">
      <c r="B34101" s="0" t="s">
        <v>12520</v>
      </c>
    </row>
    <row r="34103" customFormat="false" ht="12.8" hidden="false" customHeight="false" outlineLevel="0" collapsed="false">
      <c r="A34103" s="0" t="s">
        <v>12521</v>
      </c>
      <c r="B34103" s="0" t="str">
        <f aca="false">HYPERLINK("https://lindat.mff.cuni.cz/services/teitok/pdtc10/index.php?action=vallex&amp;frame=v-w10502f5_ZU", "párovat (v-w10502f5_ZU)")</f>
        <v>párovat (v-w10502f5_ZU)</v>
      </c>
    </row>
    <row r="34104" customFormat="false" ht="12.8" hidden="false" customHeight="false" outlineLevel="0" collapsed="false">
      <c r="B34104" s="0" t="s">
        <v>7</v>
      </c>
      <c r="C34104" s="0" t="s">
        <v>191</v>
      </c>
      <c r="D34104" s="0" t="s">
        <v>88</v>
      </c>
      <c r="E34104" s="0" t="s">
        <v>88</v>
      </c>
      <c r="F34104" s="0" t="s">
        <v>88</v>
      </c>
    </row>
    <row r="34105" customFormat="false" ht="12.8" hidden="false" customHeight="false" outlineLevel="0" collapsed="false">
      <c r="B34105" s="0" t="s">
        <v>14</v>
      </c>
      <c r="C34105" s="0" t="s">
        <v>47</v>
      </c>
      <c r="D34105" s="0" t="s">
        <v>24</v>
      </c>
      <c r="E34105" s="0" t="s">
        <v>24</v>
      </c>
      <c r="F34105" s="0" t="s">
        <v>24</v>
      </c>
    </row>
    <row r="34106" customFormat="false" ht="12.8" hidden="false" customHeight="false" outlineLevel="0" collapsed="false">
      <c r="B34106" s="0" t="s">
        <v>3086</v>
      </c>
      <c r="C34106" s="0" t="s">
        <v>361</v>
      </c>
      <c r="D34106" s="0" t="s">
        <v>12522</v>
      </c>
      <c r="E34106" s="0" t="s">
        <v>12522</v>
      </c>
      <c r="F34106" s="0" t="s">
        <v>12522</v>
      </c>
    </row>
    <row r="34108" customFormat="false" ht="12.8" hidden="false" customHeight="false" outlineLevel="0" collapsed="false">
      <c r="A34108" s="0" t="s">
        <v>12521</v>
      </c>
      <c r="B34108" s="0" t="str">
        <f aca="false">HYPERLINK("https://lindat.mff.cuni.cz/services/teitok/pdtc10/index.php?action=vallex&amp;frame=v-w10502f2", "párovat (v-w10502f2) - substituted with v-w10502f5_ZU")</f>
        <v>párovat (v-w10502f2) - substituted with v-w10502f5_ZU</v>
      </c>
    </row>
    <row r="34109" customFormat="false" ht="12.8" hidden="false" customHeight="false" outlineLevel="0" collapsed="false">
      <c r="B34109" s="0" t="s">
        <v>7</v>
      </c>
    </row>
    <row r="34110" customFormat="false" ht="12.8" hidden="false" customHeight="false" outlineLevel="0" collapsed="false">
      <c r="B34110" s="0" t="s">
        <v>14</v>
      </c>
    </row>
    <row r="34111" customFormat="false" ht="12.8" hidden="false" customHeight="false" outlineLevel="0" collapsed="false">
      <c r="B34111" s="0" t="s">
        <v>3086</v>
      </c>
    </row>
    <row r="34113" customFormat="false" ht="12.8" hidden="false" customHeight="false" outlineLevel="0" collapsed="false">
      <c r="A34113" s="0" t="s">
        <v>12521</v>
      </c>
      <c r="B34113" s="0" t="str">
        <f aca="false">HYPERLINK("https://lindat.mff.cuni.cz/services/teitok/pdtc10/index.php?action=vallex&amp;frame=v-w10502f4_ZU", "párovat (v-w10502f4_ZU) - substituted with v-w10502f5_ZU")</f>
        <v>párovat (v-w10502f4_ZU) - substituted with v-w10502f5_ZU</v>
      </c>
    </row>
    <row r="34114" customFormat="false" ht="12.8" hidden="false" customHeight="false" outlineLevel="0" collapsed="false">
      <c r="B34114" s="0" t="s">
        <v>7</v>
      </c>
    </row>
    <row r="34115" customFormat="false" ht="12.8" hidden="false" customHeight="false" outlineLevel="0" collapsed="false">
      <c r="B34115" s="0" t="s">
        <v>14</v>
      </c>
    </row>
    <row r="34116" customFormat="false" ht="12.8" hidden="false" customHeight="false" outlineLevel="0" collapsed="false">
      <c r="B34116" s="0" t="s">
        <v>3086</v>
      </c>
    </row>
    <row r="34118" customFormat="false" ht="12.8" hidden="false" customHeight="false" outlineLevel="0" collapsed="false">
      <c r="A34118" s="0" t="s">
        <v>12523</v>
      </c>
      <c r="B34118" s="0" t="str">
        <f aca="false">HYPERLINK("https://lindat.mff.cuni.cz/services/teitok/pdtc10/index.php?action=vallex&amp;frame=v-w10502f3_ZU", "párovat (v-w10502f3_ZU)")</f>
        <v>párovat (v-w10502f3_ZU)</v>
      </c>
    </row>
    <row r="34119" customFormat="false" ht="12.8" hidden="false" customHeight="false" outlineLevel="0" collapsed="false">
      <c r="B34119" s="0" t="s">
        <v>7</v>
      </c>
    </row>
    <row r="34120" customFormat="false" ht="12.8" hidden="false" customHeight="false" outlineLevel="0" collapsed="false">
      <c r="B34120" s="0" t="s">
        <v>14</v>
      </c>
    </row>
    <row r="34122" customFormat="false" ht="12.8" hidden="false" customHeight="false" outlineLevel="0" collapsed="false">
      <c r="A34122" s="0" t="s">
        <v>12524</v>
      </c>
      <c r="B34122" s="0" t="str">
        <f aca="false">HYPERLINK("https://lindat.mff.cuni.cz/services/teitok/pdtc10/index.php?action=vallex&amp;frame=v-whsa_1178hsa_1179", "párovat se (v-whsa_1178hsa_1179)")</f>
        <v>párovat se (v-whsa_1178hsa_1179)</v>
      </c>
    </row>
    <row r="34123" customFormat="false" ht="12.8" hidden="false" customHeight="false" outlineLevel="0" collapsed="false">
      <c r="B34123" s="0" t="s">
        <v>7</v>
      </c>
    </row>
    <row r="34124" customFormat="false" ht="12.8" hidden="false" customHeight="false" outlineLevel="0" collapsed="false">
      <c r="B34124" s="0" t="s">
        <v>548</v>
      </c>
    </row>
    <row r="34126" customFormat="false" ht="12.8" hidden="false" customHeight="false" outlineLevel="0" collapsed="false">
      <c r="A34126" s="0" t="s">
        <v>12525</v>
      </c>
      <c r="B34126" s="0" t="str">
        <f aca="false">HYPERLINK("https://lindat.mff.cuni.cz/services/teitok/pdtc10/index.php?action=vallex&amp;frame=v-w11545_ZUf1_ZU", "pást (v-w11545_ZUf1_ZU)")</f>
        <v>pást (v-w11545_ZUf1_ZU)</v>
      </c>
    </row>
    <row r="34127" customFormat="false" ht="12.8" hidden="false" customHeight="false" outlineLevel="0" collapsed="false">
      <c r="B34127" s="0" t="s">
        <v>7</v>
      </c>
    </row>
    <row r="34128" customFormat="false" ht="12.8" hidden="false" customHeight="false" outlineLevel="0" collapsed="false">
      <c r="B34128" s="0" t="s">
        <v>1375</v>
      </c>
    </row>
    <row r="34130" customFormat="false" ht="12.8" hidden="false" customHeight="false" outlineLevel="0" collapsed="false">
      <c r="A34130" s="0" t="s">
        <v>12526</v>
      </c>
      <c r="B34130" s="0" t="str">
        <f aca="false">HYPERLINK("https://lindat.mff.cuni.cz/services/teitok/pdtc10/index.php?action=vallex&amp;frame=v-w11545_ZUhsa_1086", "pást (v-w11545_ZUhsa_1086)")</f>
        <v>pást (v-w11545_ZUhsa_1086)</v>
      </c>
    </row>
    <row r="34131" customFormat="false" ht="12.8" hidden="false" customHeight="false" outlineLevel="0" collapsed="false">
      <c r="B34131" s="0" t="s">
        <v>7</v>
      </c>
    </row>
    <row r="34132" customFormat="false" ht="12.8" hidden="false" customHeight="false" outlineLevel="0" collapsed="false">
      <c r="B34132" s="0" t="s">
        <v>14</v>
      </c>
    </row>
    <row r="34134" customFormat="false" ht="12.8" hidden="false" customHeight="false" outlineLevel="0" collapsed="false">
      <c r="A34134" s="0" t="s">
        <v>12527</v>
      </c>
      <c r="B34134" s="0" t="str">
        <f aca="false">HYPERLINK("https://lindat.mff.cuni.cz/services/teitok/pdtc10/index.php?action=vallex&amp;frame=v-w11318f2", "pást se (v-w11318f2)")</f>
        <v>pást se (v-w11318f2)</v>
      </c>
    </row>
    <row r="34135" customFormat="false" ht="12.8" hidden="false" customHeight="false" outlineLevel="0" collapsed="false">
      <c r="B34135" s="0" t="s">
        <v>7</v>
      </c>
    </row>
    <row r="34136" customFormat="false" ht="12.8" hidden="false" customHeight="false" outlineLevel="0" collapsed="false">
      <c r="B34136" s="0" t="s">
        <v>14</v>
      </c>
    </row>
    <row r="34138" customFormat="false" ht="12.8" hidden="false" customHeight="false" outlineLevel="0" collapsed="false">
      <c r="A34138" s="0" t="s">
        <v>12528</v>
      </c>
      <c r="B34138" s="0" t="str">
        <f aca="false">HYPERLINK("https://lindat.mff.cuni.cz/services/teitok/pdtc10/index.php?action=vallex&amp;frame=v-w11318f3_ZU", "pást se (v-w11318f3_ZU)")</f>
        <v>pást se (v-w11318f3_ZU)</v>
      </c>
    </row>
    <row r="34139" customFormat="false" ht="12.8" hidden="false" customHeight="false" outlineLevel="0" collapsed="false">
      <c r="B34139" s="0" t="s">
        <v>7</v>
      </c>
    </row>
    <row r="34141" customFormat="false" ht="12.8" hidden="false" customHeight="false" outlineLevel="0" collapsed="false">
      <c r="A34141" s="0" t="s">
        <v>12528</v>
      </c>
      <c r="B34141" s="0" t="str">
        <f aca="false">HYPERLINK("https://lindat.mff.cuni.cz/services/teitok/pdtc10/index.php?action=vallex&amp;frame=v-w11318f1", "pást se (v-w11318f1) - substituted with v-w11318f3_ZU")</f>
        <v>pást se (v-w11318f1) - substituted with v-w11318f3_ZU</v>
      </c>
    </row>
    <row r="34142" customFormat="false" ht="12.8" hidden="false" customHeight="false" outlineLevel="0" collapsed="false">
      <c r="B34142" s="0" t="s">
        <v>7</v>
      </c>
      <c r="C34142" s="0" t="s">
        <v>46</v>
      </c>
      <c r="D34142" s="0" t="s">
        <v>46</v>
      </c>
      <c r="E34142" s="0" t="s">
        <v>46</v>
      </c>
      <c r="F34142" s="0" t="s">
        <v>46</v>
      </c>
    </row>
    <row r="34144" customFormat="false" ht="12.8" hidden="false" customHeight="false" outlineLevel="0" collapsed="false">
      <c r="A34144" s="0" t="s">
        <v>12529</v>
      </c>
      <c r="B34144" s="0" t="str">
        <f aca="false">HYPERLINK("https://lindat.mff.cuni.cz/services/teitok/pdtc10/index.php?action=vallex&amp;frame=v-w3407f3_ZU", "pátrat (v-w3407f3_ZU)")</f>
        <v>pátrat (v-w3407f3_ZU)</v>
      </c>
    </row>
    <row r="34145" customFormat="false" ht="12.8" hidden="false" customHeight="false" outlineLevel="0" collapsed="false">
      <c r="B34145" s="0" t="s">
        <v>7</v>
      </c>
    </row>
    <row r="34146" customFormat="false" ht="12.8" hidden="false" customHeight="false" outlineLevel="0" collapsed="false">
      <c r="B34146" s="0" t="s">
        <v>12530</v>
      </c>
    </row>
    <row r="34148" customFormat="false" ht="12.8" hidden="false" customHeight="false" outlineLevel="0" collapsed="false">
      <c r="A34148" s="0" t="s">
        <v>12529</v>
      </c>
      <c r="B34148" s="0" t="str">
        <f aca="false">HYPERLINK("https://lindat.mff.cuni.cz/services/teitok/pdtc10/index.php?action=vallex&amp;frame=v-w3407f1", "pátrat (v-w3407f1) - substituted with v-w3407f3_ZU")</f>
        <v>pátrat (v-w3407f1) - substituted with v-w3407f3_ZU</v>
      </c>
    </row>
    <row r="34149" customFormat="false" ht="12.8" hidden="false" customHeight="false" outlineLevel="0" collapsed="false">
      <c r="B34149" s="0" t="s">
        <v>7</v>
      </c>
      <c r="C34149" s="0" t="s">
        <v>12531</v>
      </c>
      <c r="D34149" s="0" t="s">
        <v>1813</v>
      </c>
      <c r="E34149" s="0" t="s">
        <v>1813</v>
      </c>
      <c r="F34149" s="0" t="s">
        <v>1813</v>
      </c>
    </row>
    <row r="34150" customFormat="false" ht="12.8" hidden="false" customHeight="false" outlineLevel="0" collapsed="false">
      <c r="B34150" s="0" t="s">
        <v>12530</v>
      </c>
      <c r="C34150" s="0" t="s">
        <v>12532</v>
      </c>
      <c r="D34150" s="0" t="s">
        <v>1815</v>
      </c>
      <c r="E34150" s="0" t="s">
        <v>1815</v>
      </c>
      <c r="F34150" s="0" t="s">
        <v>1815</v>
      </c>
    </row>
    <row r="34152" customFormat="false" ht="12.8" hidden="false" customHeight="false" outlineLevel="0" collapsed="false">
      <c r="A34152" s="0" t="s">
        <v>12529</v>
      </c>
      <c r="B34152" s="0" t="str">
        <f aca="false">HYPERLINK("https://lindat.mff.cuni.cz/services/teitok/pdtc10/index.php?action=vallex&amp;frame=v-w3407f2_ZU", "pátrat (v-w3407f2_ZU) - substituted with v-w3407f3_ZU")</f>
        <v>pátrat (v-w3407f2_ZU) - substituted with v-w3407f3_ZU</v>
      </c>
    </row>
    <row r="34153" customFormat="false" ht="12.8" hidden="false" customHeight="false" outlineLevel="0" collapsed="false">
      <c r="B34153" s="0" t="s">
        <v>7</v>
      </c>
    </row>
    <row r="34154" customFormat="false" ht="12.8" hidden="false" customHeight="false" outlineLevel="0" collapsed="false">
      <c r="B34154" s="0" t="s">
        <v>12530</v>
      </c>
    </row>
    <row r="34156" customFormat="false" ht="12.8" hidden="false" customHeight="false" outlineLevel="0" collapsed="false">
      <c r="A34156" s="0" t="s">
        <v>12533</v>
      </c>
      <c r="B34156" s="0" t="str">
        <f aca="false">HYPERLINK("https://lindat.mff.cuni.cz/services/teitok/pdtc10/index.php?action=vallex&amp;frame=v-w3413f3_ZU", "péci (v-w3413f3_ZU)")</f>
        <v>péci (v-w3413f3_ZU)</v>
      </c>
    </row>
    <row r="34157" customFormat="false" ht="12.8" hidden="false" customHeight="false" outlineLevel="0" collapsed="false">
      <c r="B34157" s="0" t="s">
        <v>7</v>
      </c>
    </row>
    <row r="34158" customFormat="false" ht="12.8" hidden="false" customHeight="false" outlineLevel="0" collapsed="false">
      <c r="B34158" s="0" t="s">
        <v>14</v>
      </c>
    </row>
    <row r="34159" customFormat="false" ht="12.8" hidden="false" customHeight="false" outlineLevel="0" collapsed="false">
      <c r="B34159" s="0" t="s">
        <v>35</v>
      </c>
    </row>
    <row r="34161" customFormat="false" ht="12.8" hidden="false" customHeight="false" outlineLevel="0" collapsed="false">
      <c r="A34161" s="0" t="s">
        <v>12533</v>
      </c>
      <c r="B34161" s="0" t="str">
        <f aca="false">HYPERLINK("https://lindat.mff.cuni.cz/services/teitok/pdtc10/index.php?action=vallex&amp;frame=v-w3413f1", "péci (v-w3413f1) - substituted with v-w3413f3_ZU")</f>
        <v>péci (v-w3413f1) - substituted with v-w3413f3_ZU</v>
      </c>
    </row>
    <row r="34162" customFormat="false" ht="12.8" hidden="false" customHeight="false" outlineLevel="0" collapsed="false">
      <c r="B34162" s="0" t="s">
        <v>7</v>
      </c>
    </row>
    <row r="34163" customFormat="false" ht="12.8" hidden="false" customHeight="false" outlineLevel="0" collapsed="false">
      <c r="B34163" s="0" t="s">
        <v>14</v>
      </c>
    </row>
    <row r="34164" customFormat="false" ht="12.8" hidden="false" customHeight="false" outlineLevel="0" collapsed="false">
      <c r="B34164" s="0" t="s">
        <v>35</v>
      </c>
    </row>
    <row r="34166" customFormat="false" ht="12.8" hidden="false" customHeight="false" outlineLevel="0" collapsed="false">
      <c r="A34166" s="0" t="s">
        <v>12534</v>
      </c>
      <c r="B34166" s="0" t="str">
        <f aca="false">HYPERLINK("https://lindat.mff.cuni.cz/services/teitok/pdtc10/index.php?action=vallex&amp;frame=v-w3413f2_ZU", "péci (v-w3413f2_ZU)")</f>
        <v>péci (v-w3413f2_ZU)</v>
      </c>
    </row>
    <row r="34167" customFormat="false" ht="12.8" hidden="false" customHeight="false" outlineLevel="0" collapsed="false">
      <c r="B34167" s="0" t="s">
        <v>7</v>
      </c>
    </row>
    <row r="34168" customFormat="false" ht="12.8" hidden="false" customHeight="false" outlineLevel="0" collapsed="false">
      <c r="B34168" s="0" t="s">
        <v>14</v>
      </c>
    </row>
    <row r="34170" customFormat="false" ht="12.8" hidden="false" customHeight="false" outlineLevel="0" collapsed="false">
      <c r="A34170" s="0" t="s">
        <v>12535</v>
      </c>
      <c r="B34170" s="0" t="str">
        <f aca="false">HYPERLINK("https://lindat.mff.cuni.cz/services/teitok/pdtc10/index.php?action=vallex&amp;frame=v-w3437f3", "píchat (v-w3437f3)")</f>
        <v>píchat (v-w3437f3)</v>
      </c>
    </row>
    <row r="34171" customFormat="false" ht="12.8" hidden="false" customHeight="false" outlineLevel="0" collapsed="false">
      <c r="B34171" s="0" t="s">
        <v>7</v>
      </c>
    </row>
    <row r="34172" customFormat="false" ht="12.8" hidden="false" customHeight="false" outlineLevel="0" collapsed="false">
      <c r="B34172" s="0" t="s">
        <v>14</v>
      </c>
    </row>
    <row r="34173" customFormat="false" ht="12.8" hidden="false" customHeight="false" outlineLevel="0" collapsed="false">
      <c r="B34173" s="0" t="s">
        <v>124</v>
      </c>
    </row>
    <row r="34175" customFormat="false" ht="12.8" hidden="false" customHeight="false" outlineLevel="0" collapsed="false">
      <c r="A34175" s="0" t="s">
        <v>12536</v>
      </c>
      <c r="B34175" s="0" t="str">
        <f aca="false">HYPERLINK("https://lindat.mff.cuni.cz/services/teitok/pdtc10/index.php?action=vallex&amp;frame=v-w3437f1", "píchat (v-w3437f1)")</f>
        <v>píchat (v-w3437f1)</v>
      </c>
    </row>
    <row r="34176" customFormat="false" ht="12.8" hidden="false" customHeight="false" outlineLevel="0" collapsed="false">
      <c r="B34176" s="0" t="s">
        <v>7</v>
      </c>
    </row>
    <row r="34177" customFormat="false" ht="12.8" hidden="false" customHeight="false" outlineLevel="0" collapsed="false">
      <c r="B34177" s="0" t="s">
        <v>14</v>
      </c>
    </row>
    <row r="34179" customFormat="false" ht="12.8" hidden="false" customHeight="false" outlineLevel="0" collapsed="false">
      <c r="A34179" s="0" t="s">
        <v>12537</v>
      </c>
      <c r="B34179" s="0" t="str">
        <f aca="false">HYPERLINK("https://lindat.mff.cuni.cz/services/teitok/pdtc10/index.php?action=vallex&amp;frame=v-w3437f2", "píchat (v-w3437f2)")</f>
        <v>píchat (v-w3437f2)</v>
      </c>
    </row>
    <row r="34180" customFormat="false" ht="12.8" hidden="false" customHeight="false" outlineLevel="0" collapsed="false">
      <c r="B34180" s="0" t="s">
        <v>199</v>
      </c>
    </row>
    <row r="34181" customFormat="false" ht="12.8" hidden="false" customHeight="false" outlineLevel="0" collapsed="false">
      <c r="B34181" s="0" t="s">
        <v>11</v>
      </c>
    </row>
    <row r="34183" customFormat="false" ht="12.8" hidden="false" customHeight="false" outlineLevel="0" collapsed="false">
      <c r="A34183" s="0" t="s">
        <v>12538</v>
      </c>
      <c r="B34183" s="0" t="str">
        <f aca="false">HYPERLINK("https://lindat.mff.cuni.cz/services/teitok/pdtc10/index.php?action=vallex&amp;frame=v-w3437f4_ZU", "píchat (v-w3437f4_ZU)")</f>
        <v>píchat (v-w3437f4_ZU)</v>
      </c>
    </row>
    <row r="34184" customFormat="false" ht="12.8" hidden="false" customHeight="false" outlineLevel="0" collapsed="false">
      <c r="B34184" s="0" t="s">
        <v>7</v>
      </c>
    </row>
    <row r="34185" customFormat="false" ht="12.8" hidden="false" customHeight="false" outlineLevel="0" collapsed="false">
      <c r="B34185" s="0" t="s">
        <v>106</v>
      </c>
    </row>
    <row r="34186" customFormat="false" ht="12.8" hidden="false" customHeight="false" outlineLevel="0" collapsed="false">
      <c r="B34186" s="0" t="s">
        <v>14</v>
      </c>
    </row>
    <row r="34188" customFormat="false" ht="12.8" hidden="false" customHeight="false" outlineLevel="0" collapsed="false">
      <c r="A34188" s="0" t="s">
        <v>12539</v>
      </c>
      <c r="B34188" s="0" t="str">
        <f aca="false">HYPERLINK("https://lindat.mff.cuni.cz/services/teitok/pdtc10/index.php?action=vallex&amp;frame=v-w3438f1", "píchnout (v-w3438f1)")</f>
        <v>píchnout (v-w3438f1)</v>
      </c>
    </row>
    <row r="34189" customFormat="false" ht="12.8" hidden="false" customHeight="false" outlineLevel="0" collapsed="false">
      <c r="B34189" s="0" t="s">
        <v>7</v>
      </c>
    </row>
    <row r="34190" customFormat="false" ht="12.8" hidden="false" customHeight="false" outlineLevel="0" collapsed="false">
      <c r="B34190" s="0" t="s">
        <v>14</v>
      </c>
    </row>
    <row r="34192" customFormat="false" ht="12.8" hidden="false" customHeight="false" outlineLevel="0" collapsed="false">
      <c r="A34192" s="0" t="s">
        <v>12540</v>
      </c>
      <c r="B34192" s="0" t="str">
        <f aca="false">HYPERLINK("https://lindat.mff.cuni.cz/services/teitok/pdtc10/index.php?action=vallex&amp;frame=v-w3438f2", "píchnout (v-w3438f2)")</f>
        <v>píchnout (v-w3438f2)</v>
      </c>
    </row>
    <row r="34193" customFormat="false" ht="12.8" hidden="false" customHeight="false" outlineLevel="0" collapsed="false">
      <c r="B34193" s="0" t="s">
        <v>7</v>
      </c>
      <c r="D34193" s="0" t="s">
        <v>569</v>
      </c>
      <c r="E34193" s="0" t="s">
        <v>569</v>
      </c>
      <c r="F34193" s="0" t="s">
        <v>569</v>
      </c>
    </row>
    <row r="34194" customFormat="false" ht="12.8" hidden="false" customHeight="false" outlineLevel="0" collapsed="false">
      <c r="B34194" s="0" t="s">
        <v>124</v>
      </c>
    </row>
    <row r="34195" customFormat="false" ht="12.8" hidden="false" customHeight="false" outlineLevel="0" collapsed="false">
      <c r="B34195" s="0" t="s">
        <v>297</v>
      </c>
      <c r="D34195" s="0" t="s">
        <v>461</v>
      </c>
      <c r="E34195" s="0" t="s">
        <v>461</v>
      </c>
      <c r="F34195" s="0" t="s">
        <v>461</v>
      </c>
    </row>
    <row r="34197" customFormat="false" ht="12.8" hidden="false" customHeight="false" outlineLevel="0" collapsed="false">
      <c r="A34197" s="0" t="s">
        <v>12541</v>
      </c>
      <c r="B34197" s="0" t="str">
        <f aca="false">HYPERLINK("https://lindat.mff.cuni.cz/services/teitok/pdtc10/index.php?action=vallex&amp;frame=v-w3438hsa_1447", "píchnout (v-w3438hsa_1447)")</f>
        <v>píchnout (v-w3438hsa_1447)</v>
      </c>
    </row>
    <row r="34198" customFormat="false" ht="12.8" hidden="false" customHeight="false" outlineLevel="0" collapsed="false">
      <c r="B34198" s="0" t="s">
        <v>7</v>
      </c>
    </row>
    <row r="34199" customFormat="false" ht="12.8" hidden="false" customHeight="false" outlineLevel="0" collapsed="false">
      <c r="B34199" s="0" t="s">
        <v>14</v>
      </c>
    </row>
    <row r="34201" customFormat="false" ht="12.8" hidden="false" customHeight="false" outlineLevel="0" collapsed="false">
      <c r="A34201" s="0" t="s">
        <v>12542</v>
      </c>
      <c r="B34201" s="0" t="str">
        <f aca="false">HYPERLINK("https://lindat.mff.cuni.cz/services/teitok/pdtc10/index.php?action=vallex&amp;frame=v-whsa_290hsa_291", "píct (v-whsa_290hsa_291)")</f>
        <v>píct (v-whsa_290hsa_291)</v>
      </c>
    </row>
    <row r="34202" customFormat="false" ht="12.8" hidden="false" customHeight="false" outlineLevel="0" collapsed="false">
      <c r="B34202" s="0" t="s">
        <v>7</v>
      </c>
    </row>
    <row r="34203" customFormat="false" ht="12.8" hidden="false" customHeight="false" outlineLevel="0" collapsed="false">
      <c r="B34203" s="0" t="s">
        <v>548</v>
      </c>
    </row>
    <row r="34205" customFormat="false" ht="12.8" hidden="false" customHeight="false" outlineLevel="0" collapsed="false">
      <c r="A34205" s="0" t="s">
        <v>12543</v>
      </c>
      <c r="B34205" s="0" t="str">
        <f aca="false">HYPERLINK("https://lindat.mff.cuni.cz/services/teitok/pdtc10/index.php?action=vallex&amp;frame=v-w3434f1", "pídit se (v-w3434f1)")</f>
        <v>pídit se (v-w3434f1)</v>
      </c>
    </row>
    <row r="34206" customFormat="false" ht="12.8" hidden="false" customHeight="false" outlineLevel="0" collapsed="false">
      <c r="B34206" s="0" t="s">
        <v>7</v>
      </c>
    </row>
    <row r="34207" customFormat="false" ht="12.8" hidden="false" customHeight="false" outlineLevel="0" collapsed="false">
      <c r="B34207" s="0" t="s">
        <v>1375</v>
      </c>
    </row>
    <row r="34209" customFormat="false" ht="12.8" hidden="false" customHeight="false" outlineLevel="0" collapsed="false">
      <c r="A34209" s="0" t="s">
        <v>12544</v>
      </c>
      <c r="B34209" s="0" t="str">
        <f aca="false">HYPERLINK("https://lindat.mff.cuni.cz/services/teitok/pdtc10/index.php?action=vallex&amp;frame=v-w11034f2", "pípat (v-w11034f2)")</f>
        <v>pípat (v-w11034f2)</v>
      </c>
    </row>
    <row r="34210" customFormat="false" ht="12.8" hidden="false" customHeight="false" outlineLevel="0" collapsed="false">
      <c r="B34210" s="0" t="s">
        <v>7</v>
      </c>
    </row>
    <row r="34212" customFormat="false" ht="12.8" hidden="false" customHeight="false" outlineLevel="0" collapsed="false">
      <c r="A34212" s="0" t="s">
        <v>12545</v>
      </c>
      <c r="B34212" s="0" t="str">
        <f aca="false">HYPERLINK("https://lindat.mff.cuni.cz/services/teitok/pdtc10/index.php?action=vallex&amp;frame=v-w3446f1", "pískat (v-w3446f1)")</f>
        <v>pískat (v-w3446f1)</v>
      </c>
    </row>
    <row r="34213" customFormat="false" ht="12.8" hidden="false" customHeight="false" outlineLevel="0" collapsed="false">
      <c r="B34213" s="0" t="s">
        <v>7</v>
      </c>
    </row>
    <row r="34214" customFormat="false" ht="12.8" hidden="false" customHeight="false" outlineLevel="0" collapsed="false">
      <c r="B34214" s="0" t="s">
        <v>14</v>
      </c>
    </row>
    <row r="34216" customFormat="false" ht="12.8" hidden="false" customHeight="false" outlineLevel="0" collapsed="false">
      <c r="A34216" s="0" t="s">
        <v>12546</v>
      </c>
      <c r="B34216" s="0" t="str">
        <f aca="false">HYPERLINK("https://lindat.mff.cuni.cz/services/teitok/pdtc10/index.php?action=vallex&amp;frame=v-w3446f2", "pískat (v-w3446f2)")</f>
        <v>pískat (v-w3446f2)</v>
      </c>
    </row>
    <row r="34217" customFormat="false" ht="12.8" hidden="false" customHeight="false" outlineLevel="0" collapsed="false">
      <c r="B34217" s="0" t="s">
        <v>7</v>
      </c>
      <c r="D34217" s="0" t="s">
        <v>191</v>
      </c>
      <c r="E34217" s="0" t="s">
        <v>191</v>
      </c>
      <c r="F34217" s="0" t="s">
        <v>191</v>
      </c>
    </row>
    <row r="34219" customFormat="false" ht="12.8" hidden="false" customHeight="false" outlineLevel="0" collapsed="false">
      <c r="A34219" s="0" t="s">
        <v>12547</v>
      </c>
      <c r="B34219" s="0" t="str">
        <f aca="false">HYPERLINK("https://lindat.mff.cuni.cz/services/teitok/pdtc10/index.php?action=vallex&amp;frame=v-w3447f1", "písknout (v-w3447f1)")</f>
        <v>písknout (v-w3447f1)</v>
      </c>
    </row>
    <row r="34220" customFormat="false" ht="12.8" hidden="false" customHeight="false" outlineLevel="0" collapsed="false">
      <c r="B34220" s="0" t="s">
        <v>7</v>
      </c>
    </row>
    <row r="34221" customFormat="false" ht="12.8" hidden="false" customHeight="false" outlineLevel="0" collapsed="false">
      <c r="B34221" s="0" t="s">
        <v>14</v>
      </c>
    </row>
    <row r="34223" customFormat="false" ht="12.8" hidden="false" customHeight="false" outlineLevel="0" collapsed="false">
      <c r="A34223" s="0" t="s">
        <v>12548</v>
      </c>
      <c r="B34223" s="0" t="str">
        <f aca="false">HYPERLINK("https://lindat.mff.cuni.cz/services/teitok/pdtc10/index.php?action=vallex&amp;frame=v-w3450f1", "pít (v-w3450f1)")</f>
        <v>pít (v-w3450f1)</v>
      </c>
    </row>
    <row r="34224" customFormat="false" ht="12.8" hidden="false" customHeight="false" outlineLevel="0" collapsed="false">
      <c r="B34224" s="0" t="s">
        <v>7</v>
      </c>
      <c r="C34224" s="0" t="s">
        <v>31</v>
      </c>
      <c r="D34224" s="0" t="s">
        <v>88</v>
      </c>
      <c r="E34224" s="0" t="s">
        <v>88</v>
      </c>
      <c r="F34224" s="0" t="s">
        <v>88</v>
      </c>
    </row>
    <row r="34225" customFormat="false" ht="12.8" hidden="false" customHeight="false" outlineLevel="0" collapsed="false">
      <c r="B34225" s="0" t="s">
        <v>14</v>
      </c>
      <c r="C34225" s="0" t="s">
        <v>384</v>
      </c>
      <c r="D34225" s="0" t="s">
        <v>74</v>
      </c>
      <c r="E34225" s="0" t="s">
        <v>74</v>
      </c>
      <c r="F34225" s="0" t="s">
        <v>74</v>
      </c>
    </row>
    <row r="34227" customFormat="false" ht="12.8" hidden="false" customHeight="false" outlineLevel="0" collapsed="false">
      <c r="A34227" s="0" t="s">
        <v>12549</v>
      </c>
      <c r="B34227" s="0" t="str">
        <f aca="false">HYPERLINK("https://lindat.mff.cuni.cz/services/teitok/pdtc10/index.php?action=vallex&amp;frame=v-w3450hsa_1257", "pít (v-w3450hsa_1257)")</f>
        <v>pít (v-w3450hsa_1257)</v>
      </c>
    </row>
    <row r="34228" customFormat="false" ht="12.8" hidden="false" customHeight="false" outlineLevel="0" collapsed="false">
      <c r="B34228" s="0" t="s">
        <v>7</v>
      </c>
      <c r="C34228" s="0" t="s">
        <v>31</v>
      </c>
      <c r="D34228" s="0" t="s">
        <v>88</v>
      </c>
      <c r="E34228" s="0" t="s">
        <v>88</v>
      </c>
      <c r="F34228" s="0" t="s">
        <v>88</v>
      </c>
    </row>
    <row r="34230" customFormat="false" ht="12.8" hidden="false" customHeight="false" outlineLevel="0" collapsed="false">
      <c r="A34230" s="0" t="s">
        <v>12550</v>
      </c>
      <c r="B34230" s="0" t="str">
        <f aca="false">HYPERLINK("https://lindat.mff.cuni.cz/services/teitok/pdtc10/index.php?action=vallex&amp;frame=v-w4218f1", "pózovat (v-w4218f1)")</f>
        <v>pózovat (v-w4218f1)</v>
      </c>
    </row>
    <row r="34231" customFormat="false" ht="12.8" hidden="false" customHeight="false" outlineLevel="0" collapsed="false">
      <c r="B34231" s="0" t="s">
        <v>7</v>
      </c>
    </row>
    <row r="34233" customFormat="false" ht="12.8" hidden="false" customHeight="false" outlineLevel="0" collapsed="false">
      <c r="A34233" s="0" t="s">
        <v>12551</v>
      </c>
      <c r="B34233" s="0" t="str">
        <f aca="false">HYPERLINK("https://lindat.mff.cuni.cz/services/teitok/pdtc10/index.php?action=vallex&amp;frame=v-w3431f1", "pěstovat (v-w3431f1)")</f>
        <v>pěstovat (v-w3431f1)</v>
      </c>
    </row>
    <row r="34234" customFormat="false" ht="12.8" hidden="false" customHeight="false" outlineLevel="0" collapsed="false">
      <c r="B34234" s="0" t="s">
        <v>7</v>
      </c>
      <c r="C34234" s="0" t="s">
        <v>12552</v>
      </c>
      <c r="D34234" s="0" t="s">
        <v>126</v>
      </c>
      <c r="E34234" s="0" t="s">
        <v>126</v>
      </c>
      <c r="F34234" s="0" t="s">
        <v>126</v>
      </c>
    </row>
    <row r="34235" customFormat="false" ht="12.8" hidden="false" customHeight="false" outlineLevel="0" collapsed="false">
      <c r="B34235" s="0" t="s">
        <v>14</v>
      </c>
      <c r="C34235" s="0" t="s">
        <v>12553</v>
      </c>
      <c r="D34235" s="0" t="s">
        <v>1210</v>
      </c>
      <c r="E34235" s="0" t="s">
        <v>1210</v>
      </c>
      <c r="F34235" s="0" t="s">
        <v>1210</v>
      </c>
    </row>
    <row r="34237" customFormat="false" ht="12.8" hidden="false" customHeight="false" outlineLevel="0" collapsed="false">
      <c r="A34237" s="0" t="s">
        <v>12554</v>
      </c>
      <c r="B34237" s="0" t="str">
        <f aca="false">HYPERLINK("https://lindat.mff.cuni.cz/services/teitok/pdtc10/index.php?action=vallex&amp;frame=v-w3431hsa_1255", "pěstovat (v-w3431hsa_1255)")</f>
        <v>pěstovat (v-w3431hsa_1255)</v>
      </c>
    </row>
    <row r="34238" customFormat="false" ht="12.8" hidden="false" customHeight="false" outlineLevel="0" collapsed="false">
      <c r="B34238" s="0" t="s">
        <v>7</v>
      </c>
    </row>
    <row r="34239" customFormat="false" ht="12.8" hidden="false" customHeight="false" outlineLevel="0" collapsed="false">
      <c r="B34239" s="0" t="s">
        <v>14</v>
      </c>
    </row>
    <row r="34241" customFormat="false" ht="12.8" hidden="false" customHeight="false" outlineLevel="0" collapsed="false">
      <c r="A34241" s="0" t="s">
        <v>12555</v>
      </c>
      <c r="B34241" s="0" t="str">
        <f aca="false">HYPERLINK("https://lindat.mff.cuni.cz/services/teitok/pdtc10/index.php?action=vallex&amp;frame=v-w12075_ZUf1_ZU", "pěstovat si (v-w12075_ZUf1_ZU)")</f>
        <v>pěstovat si (v-w12075_ZUf1_ZU)</v>
      </c>
    </row>
    <row r="34242" customFormat="false" ht="12.8" hidden="false" customHeight="false" outlineLevel="0" collapsed="false">
      <c r="B34242" s="0" t="s">
        <v>7</v>
      </c>
    </row>
    <row r="34243" customFormat="false" ht="12.8" hidden="false" customHeight="false" outlineLevel="0" collapsed="false">
      <c r="B34243" s="0" t="s">
        <v>14</v>
      </c>
    </row>
    <row r="34245" customFormat="false" ht="12.8" hidden="false" customHeight="false" outlineLevel="0" collapsed="false">
      <c r="A34245" s="0" t="s">
        <v>12556</v>
      </c>
      <c r="B34245" s="0" t="str">
        <f aca="false">HYPERLINK("https://lindat.mff.cuni.cz/services/teitok/pdtc10/index.php?action=vallex&amp;frame=v-whsa_1312hsa_1313", "pěstovávat (v-whsa_1312hsa_1313)")</f>
        <v>pěstovávat (v-whsa_1312hsa_1313)</v>
      </c>
    </row>
    <row r="34246" customFormat="false" ht="12.8" hidden="false" customHeight="false" outlineLevel="0" collapsed="false">
      <c r="B34246" s="0" t="s">
        <v>7</v>
      </c>
    </row>
    <row r="34247" customFormat="false" ht="12.8" hidden="false" customHeight="false" outlineLevel="0" collapsed="false">
      <c r="B34247" s="0" t="s">
        <v>14</v>
      </c>
    </row>
    <row r="34249" customFormat="false" ht="12.8" hidden="false" customHeight="false" outlineLevel="0" collapsed="false">
      <c r="A34249" s="0" t="s">
        <v>12557</v>
      </c>
      <c r="B34249" s="0" t="str">
        <f aca="false">HYPERLINK("https://lindat.mff.cuni.cz/services/teitok/pdtc10/index.php?action=vallex&amp;frame=v-w3432f5", "pět (v-w3432f5)")</f>
        <v>pět (v-w3432f5)</v>
      </c>
    </row>
    <row r="34250" customFormat="false" ht="12.8" hidden="false" customHeight="false" outlineLevel="0" collapsed="false">
      <c r="B34250" s="0" t="s">
        <v>7</v>
      </c>
      <c r="E34250" s="0" t="s">
        <v>157</v>
      </c>
      <c r="F34250" s="0" t="s">
        <v>157</v>
      </c>
    </row>
    <row r="34251" customFormat="false" ht="12.8" hidden="false" customHeight="false" outlineLevel="0" collapsed="false">
      <c r="B34251" s="0" t="s">
        <v>14</v>
      </c>
      <c r="E34251" s="0" t="s">
        <v>120</v>
      </c>
      <c r="F34251" s="0" t="s">
        <v>120</v>
      </c>
    </row>
    <row r="34252" customFormat="false" ht="12.8" hidden="false" customHeight="false" outlineLevel="0" collapsed="false">
      <c r="B34252" s="0" t="s">
        <v>106</v>
      </c>
    </row>
    <row r="34254" customFormat="false" ht="12.8" hidden="false" customHeight="false" outlineLevel="0" collapsed="false">
      <c r="A34254" s="0" t="s">
        <v>12558</v>
      </c>
      <c r="B34254" s="0" t="str">
        <f aca="false">HYPERLINK("https://lindat.mff.cuni.cz/services/teitok/pdtc10/index.php?action=vallex&amp;frame=v-w3432f2", "pět (v-w3432f2)")</f>
        <v>pět (v-w3432f2)</v>
      </c>
    </row>
    <row r="34255" customFormat="false" ht="12.8" hidden="false" customHeight="false" outlineLevel="0" collapsed="false">
      <c r="B34255" s="0" t="s">
        <v>7</v>
      </c>
      <c r="E34255" s="0" t="s">
        <v>157</v>
      </c>
      <c r="F34255" s="0" t="s">
        <v>157</v>
      </c>
    </row>
    <row r="34256" customFormat="false" ht="12.8" hidden="false" customHeight="false" outlineLevel="0" collapsed="false">
      <c r="B34256" s="0" t="s">
        <v>244</v>
      </c>
      <c r="E34256" s="0" t="s">
        <v>120</v>
      </c>
      <c r="F34256" s="0" t="s">
        <v>120</v>
      </c>
    </row>
    <row r="34257" customFormat="false" ht="12.8" hidden="false" customHeight="false" outlineLevel="0" collapsed="false">
      <c r="B34257" s="0" t="s">
        <v>106</v>
      </c>
    </row>
    <row r="34259" customFormat="false" ht="12.8" hidden="false" customHeight="false" outlineLevel="0" collapsed="false">
      <c r="A34259" s="0" t="s">
        <v>12559</v>
      </c>
      <c r="B34259" s="0" t="str">
        <f aca="false">HYPERLINK("https://lindat.mff.cuni.cz/services/teitok/pdtc10/index.php?action=vallex&amp;frame=v-w3432hsa_1074", "pět (v-w3432hsa_1074)")</f>
        <v>pět (v-w3432hsa_1074)</v>
      </c>
    </row>
    <row r="34260" customFormat="false" ht="12.8" hidden="false" customHeight="false" outlineLevel="0" collapsed="false">
      <c r="B34260" s="0" t="s">
        <v>7</v>
      </c>
    </row>
    <row r="34261" customFormat="false" ht="12.8" hidden="false" customHeight="false" outlineLevel="0" collapsed="false">
      <c r="B34261" s="0" t="s">
        <v>12560</v>
      </c>
    </row>
    <row r="34262" customFormat="false" ht="12.8" hidden="false" customHeight="false" outlineLevel="0" collapsed="false">
      <c r="B34262" s="0" t="s">
        <v>245</v>
      </c>
    </row>
    <row r="34264" customFormat="false" ht="12.8" hidden="false" customHeight="false" outlineLevel="0" collapsed="false">
      <c r="A34264" s="0" t="s">
        <v>12559</v>
      </c>
      <c r="B34264" s="0" t="str">
        <f aca="false">HYPERLINK("https://lindat.mff.cuni.cz/services/teitok/pdtc10/index.php?action=vallex&amp;frame=v-w3432f4", "pět (v-w3432f4) - substituted with v-w3432hsa_1074")</f>
        <v>pět (v-w3432f4) - substituted with v-w3432hsa_1074</v>
      </c>
    </row>
    <row r="34265" customFormat="false" ht="12.8" hidden="false" customHeight="false" outlineLevel="0" collapsed="false">
      <c r="B34265" s="0" t="s">
        <v>7</v>
      </c>
    </row>
    <row r="34266" customFormat="false" ht="12.8" hidden="false" customHeight="false" outlineLevel="0" collapsed="false">
      <c r="B34266" s="0" t="s">
        <v>12560</v>
      </c>
    </row>
    <row r="34267" customFormat="false" ht="12.8" hidden="false" customHeight="false" outlineLevel="0" collapsed="false">
      <c r="B34267" s="0" t="s">
        <v>245</v>
      </c>
    </row>
    <row r="34269" customFormat="false" ht="12.8" hidden="false" customHeight="false" outlineLevel="0" collapsed="false">
      <c r="A34269" s="0" t="s">
        <v>12561</v>
      </c>
      <c r="B34269" s="0" t="str">
        <f aca="false">HYPERLINK("https://lindat.mff.cuni.cz/services/teitok/pdtc10/index.php?action=vallex&amp;frame=v-w3432f3", "pět (v-w3432f3)")</f>
        <v>pět (v-w3432f3)</v>
      </c>
    </row>
    <row r="34270" customFormat="false" ht="12.8" hidden="false" customHeight="false" outlineLevel="0" collapsed="false">
      <c r="B34270" s="0" t="s">
        <v>7</v>
      </c>
    </row>
    <row r="34271" customFormat="false" ht="12.8" hidden="false" customHeight="false" outlineLevel="0" collapsed="false">
      <c r="B34271" s="0" t="s">
        <v>5525</v>
      </c>
    </row>
    <row r="34272" customFormat="false" ht="12.8" hidden="false" customHeight="false" outlineLevel="0" collapsed="false">
      <c r="B34272" s="0" t="s">
        <v>363</v>
      </c>
    </row>
    <row r="34273" customFormat="false" ht="12.8" hidden="false" customHeight="false" outlineLevel="0" collapsed="false">
      <c r="B34273" s="0" t="s">
        <v>106</v>
      </c>
    </row>
    <row r="34275" customFormat="false" ht="12.8" hidden="false" customHeight="false" outlineLevel="0" collapsed="false">
      <c r="A34275" s="0" t="s">
        <v>12562</v>
      </c>
      <c r="B34275" s="0" t="str">
        <f aca="false">HYPERLINK("https://lindat.mff.cuni.cz/services/teitok/pdtc10/index.php?action=vallex&amp;frame=v-w3432f1", "pět (v-w3432f1)")</f>
        <v>pět (v-w3432f1)</v>
      </c>
    </row>
    <row r="34276" customFormat="false" ht="12.8" hidden="false" customHeight="false" outlineLevel="0" collapsed="false">
      <c r="B34276" s="0" t="s">
        <v>7</v>
      </c>
    </row>
    <row r="34278" customFormat="false" ht="12.8" hidden="false" customHeight="false" outlineLevel="0" collapsed="false">
      <c r="A34278" s="0" t="s">
        <v>12563</v>
      </c>
      <c r="B34278" s="0" t="str">
        <f aca="false">HYPERLINK("https://lindat.mff.cuni.cz/services/teitok/pdtc10/index.php?action=vallex&amp;frame=v-whsa_1130hsa_1131", "přebalit (v-whsa_1130hsa_1131)")</f>
        <v>přebalit (v-whsa_1130hsa_1131)</v>
      </c>
    </row>
    <row r="34279" customFormat="false" ht="12.8" hidden="false" customHeight="false" outlineLevel="0" collapsed="false">
      <c r="B34279" s="0" t="s">
        <v>7</v>
      </c>
    </row>
    <row r="34280" customFormat="false" ht="12.8" hidden="false" customHeight="false" outlineLevel="0" collapsed="false">
      <c r="B34280" s="0" t="s">
        <v>14</v>
      </c>
    </row>
    <row r="34282" customFormat="false" ht="12.8" hidden="false" customHeight="false" outlineLevel="0" collapsed="false">
      <c r="A34282" s="0" t="s">
        <v>12564</v>
      </c>
      <c r="B34282" s="0" t="str">
        <f aca="false">HYPERLINK("https://lindat.mff.cuni.cz/services/teitok/pdtc10/index.php?action=vallex&amp;frame=v-w11722_ZUf1_ZU", "přebalovat (v-w11722_ZUf1_ZU)")</f>
        <v>přebalovat (v-w11722_ZUf1_ZU)</v>
      </c>
    </row>
    <row r="34283" customFormat="false" ht="12.8" hidden="false" customHeight="false" outlineLevel="0" collapsed="false">
      <c r="B34283" s="0" t="s">
        <v>7</v>
      </c>
    </row>
    <row r="34284" customFormat="false" ht="12.8" hidden="false" customHeight="false" outlineLevel="0" collapsed="false">
      <c r="B34284" s="0" t="s">
        <v>14</v>
      </c>
    </row>
    <row r="34286" customFormat="false" ht="12.8" hidden="false" customHeight="false" outlineLevel="0" collapsed="false">
      <c r="A34286" s="0" t="s">
        <v>12565</v>
      </c>
      <c r="B34286" s="0" t="str">
        <f aca="false">HYPERLINK("https://lindat.mff.cuni.cz/services/teitok/pdtc10/index.php?action=vallex&amp;frame=v-w4674f1", "přebolet (v-w4674f1)")</f>
        <v>přebolet (v-w4674f1)</v>
      </c>
    </row>
    <row r="34287" customFormat="false" ht="12.8" hidden="false" customHeight="false" outlineLevel="0" collapsed="false">
      <c r="B34287" s="0" t="s">
        <v>7</v>
      </c>
    </row>
    <row r="34289" customFormat="false" ht="12.8" hidden="false" customHeight="false" outlineLevel="0" collapsed="false">
      <c r="A34289" s="0" t="s">
        <v>12566</v>
      </c>
      <c r="B34289" s="0" t="str">
        <f aca="false">HYPERLINK("https://lindat.mff.cuni.cz/services/teitok/pdtc10/index.php?action=vallex&amp;frame=v-w4675f1", "přebrat (v-w4675f1)")</f>
        <v>přebrat (v-w4675f1)</v>
      </c>
    </row>
    <row r="34290" customFormat="false" ht="12.8" hidden="false" customHeight="false" outlineLevel="0" collapsed="false">
      <c r="B34290" s="0" t="s">
        <v>7</v>
      </c>
      <c r="C34290" s="0" t="s">
        <v>3664</v>
      </c>
      <c r="D34290" s="0" t="s">
        <v>1725</v>
      </c>
      <c r="E34290" s="0" t="s">
        <v>1725</v>
      </c>
      <c r="F34290" s="0" t="s">
        <v>1725</v>
      </c>
    </row>
    <row r="34291" customFormat="false" ht="12.8" hidden="false" customHeight="false" outlineLevel="0" collapsed="false">
      <c r="B34291" s="0" t="s">
        <v>14</v>
      </c>
      <c r="C34291" s="0" t="s">
        <v>462</v>
      </c>
      <c r="D34291" s="0" t="s">
        <v>1728</v>
      </c>
      <c r="E34291" s="0" t="s">
        <v>1728</v>
      </c>
      <c r="F34291" s="0" t="s">
        <v>1728</v>
      </c>
    </row>
    <row r="34292" customFormat="false" ht="12.8" hidden="false" customHeight="false" outlineLevel="0" collapsed="false">
      <c r="B34292" s="0" t="s">
        <v>441</v>
      </c>
      <c r="C34292" s="0" t="s">
        <v>12567</v>
      </c>
      <c r="D34292" s="0" t="s">
        <v>1730</v>
      </c>
      <c r="E34292" s="0" t="s">
        <v>1730</v>
      </c>
      <c r="F34292" s="0" t="s">
        <v>1730</v>
      </c>
    </row>
    <row r="34294" customFormat="false" ht="12.8" hidden="false" customHeight="false" outlineLevel="0" collapsed="false">
      <c r="A34294" s="0" t="s">
        <v>12568</v>
      </c>
      <c r="B34294" s="0" t="str">
        <f aca="false">HYPERLINK("https://lindat.mff.cuni.cz/services/teitok/pdtc10/index.php?action=vallex&amp;frame=v-w4675f2_ZU", "přebrat (v-w4675f2_ZU)")</f>
        <v>přebrat (v-w4675f2_ZU)</v>
      </c>
    </row>
    <row r="34295" customFormat="false" ht="12.8" hidden="false" customHeight="false" outlineLevel="0" collapsed="false">
      <c r="B34295" s="0" t="s">
        <v>7</v>
      </c>
    </row>
    <row r="34296" customFormat="false" ht="12.8" hidden="false" customHeight="false" outlineLevel="0" collapsed="false">
      <c r="B34296" s="0" t="s">
        <v>12569</v>
      </c>
    </row>
    <row r="34297" customFormat="false" ht="12.8" hidden="false" customHeight="false" outlineLevel="0" collapsed="false">
      <c r="B34297" s="0" t="s">
        <v>14</v>
      </c>
    </row>
    <row r="34298" customFormat="false" ht="12.8" hidden="false" customHeight="false" outlineLevel="0" collapsed="false">
      <c r="B34298" s="0" t="s">
        <v>441</v>
      </c>
    </row>
    <row r="34300" customFormat="false" ht="12.8" hidden="false" customHeight="false" outlineLevel="0" collapsed="false">
      <c r="A34300" s="0" t="s">
        <v>12568</v>
      </c>
      <c r="B34300" s="0" t="str">
        <f aca="false">HYPERLINK("https://lindat.mff.cuni.cz/services/teitok/pdtc10/index.php?action=vallex&amp;frame=v-w4675hsa_164", "přebrat (v-w4675hsa_164) - substituted with v-w4675f2_ZU")</f>
        <v>přebrat (v-w4675hsa_164) - substituted with v-w4675f2_ZU</v>
      </c>
    </row>
    <row r="34301" customFormat="false" ht="12.8" hidden="false" customHeight="false" outlineLevel="0" collapsed="false">
      <c r="B34301" s="0" t="s">
        <v>7</v>
      </c>
    </row>
    <row r="34302" customFormat="false" ht="12.8" hidden="false" customHeight="false" outlineLevel="0" collapsed="false">
      <c r="B34302" s="0" t="s">
        <v>12569</v>
      </c>
    </row>
    <row r="34303" customFormat="false" ht="12.8" hidden="false" customHeight="false" outlineLevel="0" collapsed="false">
      <c r="B34303" s="0" t="s">
        <v>14</v>
      </c>
    </row>
    <row r="34304" customFormat="false" ht="12.8" hidden="false" customHeight="false" outlineLevel="0" collapsed="false">
      <c r="B34304" s="0" t="s">
        <v>441</v>
      </c>
    </row>
    <row r="34306" customFormat="false" ht="12.8" hidden="false" customHeight="false" outlineLevel="0" collapsed="false">
      <c r="A34306" s="0" t="s">
        <v>12570</v>
      </c>
      <c r="B34306" s="0" t="str">
        <f aca="false">HYPERLINK("https://lindat.mff.cuni.cz/services/teitok/pdtc10/index.php?action=vallex&amp;frame=v-whsa_2016hsa_2017", "přebrodit (v-whsa_2016hsa_2017)")</f>
        <v>přebrodit (v-whsa_2016hsa_2017)</v>
      </c>
    </row>
    <row r="34307" customFormat="false" ht="12.8" hidden="false" customHeight="false" outlineLevel="0" collapsed="false">
      <c r="B34307" s="0" t="s">
        <v>7</v>
      </c>
    </row>
    <row r="34308" customFormat="false" ht="12.8" hidden="false" customHeight="false" outlineLevel="0" collapsed="false">
      <c r="B34308" s="0" t="s">
        <v>14</v>
      </c>
    </row>
    <row r="34310" customFormat="false" ht="12.8" hidden="false" customHeight="false" outlineLevel="0" collapsed="false">
      <c r="A34310" s="0" t="s">
        <v>12571</v>
      </c>
      <c r="B34310" s="0" t="str">
        <f aca="false">HYPERLINK("https://lindat.mff.cuni.cz/services/teitok/pdtc10/index.php?action=vallex&amp;frame=v-w4676f1", "přebudovat (v-w4676f1)")</f>
        <v>přebudovat (v-w4676f1)</v>
      </c>
    </row>
    <row r="34311" customFormat="false" ht="12.8" hidden="false" customHeight="false" outlineLevel="0" collapsed="false">
      <c r="B34311" s="0" t="s">
        <v>7</v>
      </c>
      <c r="C34311" s="0" t="s">
        <v>191</v>
      </c>
    </row>
    <row r="34312" customFormat="false" ht="12.8" hidden="false" customHeight="false" outlineLevel="0" collapsed="false">
      <c r="B34312" s="0" t="s">
        <v>14</v>
      </c>
      <c r="C34312" s="0" t="s">
        <v>115</v>
      </c>
    </row>
    <row r="34313" customFormat="false" ht="12.8" hidden="false" customHeight="false" outlineLevel="0" collapsed="false">
      <c r="B34313" s="0" t="s">
        <v>35</v>
      </c>
    </row>
    <row r="34314" customFormat="false" ht="12.8" hidden="false" customHeight="false" outlineLevel="0" collapsed="false">
      <c r="B34314" s="0" t="s">
        <v>84</v>
      </c>
      <c r="C34314" s="0" t="s">
        <v>4346</v>
      </c>
    </row>
    <row r="34316" customFormat="false" ht="12.8" hidden="false" customHeight="false" outlineLevel="0" collapsed="false">
      <c r="A34316" s="0" t="s">
        <v>12572</v>
      </c>
      <c r="B34316" s="0" t="str">
        <f aca="false">HYPERLINK("https://lindat.mff.cuni.cz/services/teitok/pdtc10/index.php?action=vallex&amp;frame=v-w10915f2", "přebudovávat (v-w10915f2)")</f>
        <v>přebudovávat (v-w10915f2)</v>
      </c>
    </row>
    <row r="34317" customFormat="false" ht="12.8" hidden="false" customHeight="false" outlineLevel="0" collapsed="false">
      <c r="B34317" s="0" t="s">
        <v>7</v>
      </c>
      <c r="C34317" s="0" t="s">
        <v>335</v>
      </c>
      <c r="D34317" s="0" t="s">
        <v>32</v>
      </c>
      <c r="E34317" s="0" t="s">
        <v>32</v>
      </c>
      <c r="F34317" s="0" t="s">
        <v>32</v>
      </c>
    </row>
    <row r="34318" customFormat="false" ht="12.8" hidden="false" customHeight="false" outlineLevel="0" collapsed="false">
      <c r="B34318" s="0" t="s">
        <v>14</v>
      </c>
      <c r="C34318" s="0" t="s">
        <v>1315</v>
      </c>
      <c r="D34318" s="0" t="s">
        <v>34</v>
      </c>
      <c r="E34318" s="0" t="s">
        <v>34</v>
      </c>
      <c r="F34318" s="0" t="s">
        <v>34</v>
      </c>
    </row>
    <row r="34319" customFormat="false" ht="12.8" hidden="false" customHeight="false" outlineLevel="0" collapsed="false">
      <c r="B34319" s="0" t="s">
        <v>84</v>
      </c>
      <c r="D34319" s="0" t="s">
        <v>39</v>
      </c>
      <c r="E34319" s="0" t="s">
        <v>39</v>
      </c>
      <c r="F34319" s="0" t="s">
        <v>39</v>
      </c>
    </row>
    <row r="34321" customFormat="false" ht="12.8" hidden="false" customHeight="false" outlineLevel="0" collapsed="false">
      <c r="A34321" s="0" t="s">
        <v>12573</v>
      </c>
      <c r="B34321" s="0" t="str">
        <f aca="false">HYPERLINK("https://lindat.mff.cuni.cz/services/teitok/pdtc10/index.php?action=vallex&amp;frame=v-w10646f3", "přebásnit (v-w10646f3)")</f>
        <v>přebásnit (v-w10646f3)</v>
      </c>
    </row>
    <row r="34322" customFormat="false" ht="12.8" hidden="false" customHeight="false" outlineLevel="0" collapsed="false">
      <c r="B34322" s="0" t="s">
        <v>7</v>
      </c>
    </row>
    <row r="34323" customFormat="false" ht="12.8" hidden="false" customHeight="false" outlineLevel="0" collapsed="false">
      <c r="B34323" s="0" t="s">
        <v>14</v>
      </c>
    </row>
    <row r="34324" customFormat="false" ht="12.8" hidden="false" customHeight="false" outlineLevel="0" collapsed="false">
      <c r="B34324" s="0" t="s">
        <v>35</v>
      </c>
    </row>
    <row r="34325" customFormat="false" ht="12.8" hidden="false" customHeight="false" outlineLevel="0" collapsed="false">
      <c r="B34325" s="0" t="s">
        <v>3691</v>
      </c>
    </row>
    <row r="34327" customFormat="false" ht="12.8" hidden="false" customHeight="false" outlineLevel="0" collapsed="false">
      <c r="A34327" s="0" t="s">
        <v>12574</v>
      </c>
      <c r="B34327" s="0" t="str">
        <f aca="false">HYPERLINK("https://lindat.mff.cuni.cz/services/teitok/pdtc10/index.php?action=vallex&amp;frame=v-w4670f2", "přebíhat (v-w4670f2)")</f>
        <v>přebíhat (v-w4670f2)</v>
      </c>
    </row>
    <row r="34328" customFormat="false" ht="12.8" hidden="false" customHeight="false" outlineLevel="0" collapsed="false">
      <c r="B34328" s="0" t="s">
        <v>7</v>
      </c>
    </row>
    <row r="34329" customFormat="false" ht="12.8" hidden="false" customHeight="false" outlineLevel="0" collapsed="false">
      <c r="B34329" s="0" t="s">
        <v>14</v>
      </c>
    </row>
    <row r="34331" customFormat="false" ht="12.8" hidden="false" customHeight="false" outlineLevel="0" collapsed="false">
      <c r="A34331" s="0" t="s">
        <v>12575</v>
      </c>
      <c r="B34331" s="0" t="str">
        <f aca="false">HYPERLINK("https://lindat.mff.cuni.cz/services/teitok/pdtc10/index.php?action=vallex&amp;frame=v-w4670f1", "přebíhat (v-w4670f1)")</f>
        <v>přebíhat (v-w4670f1)</v>
      </c>
    </row>
    <row r="34332" customFormat="false" ht="12.8" hidden="false" customHeight="false" outlineLevel="0" collapsed="false">
      <c r="B34332" s="0" t="s">
        <v>7</v>
      </c>
      <c r="C34332" s="0" t="s">
        <v>184</v>
      </c>
    </row>
    <row r="34333" customFormat="false" ht="12.8" hidden="false" customHeight="false" outlineLevel="0" collapsed="false">
      <c r="B34333" s="0" t="s">
        <v>459</v>
      </c>
    </row>
    <row r="34334" customFormat="false" ht="12.8" hidden="false" customHeight="false" outlineLevel="0" collapsed="false">
      <c r="B34334" s="0" t="s">
        <v>124</v>
      </c>
    </row>
    <row r="34336" customFormat="false" ht="12.8" hidden="false" customHeight="false" outlineLevel="0" collapsed="false">
      <c r="A34336" s="0" t="s">
        <v>12576</v>
      </c>
      <c r="B34336" s="0" t="str">
        <f aca="false">HYPERLINK("https://lindat.mff.cuni.cz/services/teitok/pdtc10/index.php?action=vallex&amp;frame=v-w4670f3_ZU", "přebíhat (v-w4670f3_ZU)")</f>
        <v>přebíhat (v-w4670f3_ZU)</v>
      </c>
    </row>
    <row r="34337" customFormat="false" ht="12.8" hidden="false" customHeight="false" outlineLevel="0" collapsed="false">
      <c r="B34337" s="0" t="s">
        <v>7</v>
      </c>
      <c r="C34337" s="0" t="s">
        <v>3190</v>
      </c>
      <c r="D34337" s="0" t="s">
        <v>184</v>
      </c>
      <c r="E34337" s="0" t="s">
        <v>184</v>
      </c>
      <c r="F34337" s="0" t="s">
        <v>184</v>
      </c>
    </row>
    <row r="34338" customFormat="false" ht="12.8" hidden="false" customHeight="false" outlineLevel="0" collapsed="false">
      <c r="B34338" s="0" t="s">
        <v>4324</v>
      </c>
    </row>
    <row r="34340" customFormat="false" ht="12.8" hidden="false" customHeight="false" outlineLevel="0" collapsed="false">
      <c r="A34340" s="0" t="s">
        <v>12577</v>
      </c>
      <c r="B34340" s="0" t="str">
        <f aca="false">HYPERLINK("https://lindat.mff.cuni.cz/services/teitok/pdtc10/index.php?action=vallex&amp;frame=v-w10098f2", "přebíjet (v-w10098f2)")</f>
        <v>přebíjet (v-w10098f2)</v>
      </c>
    </row>
    <row r="34341" customFormat="false" ht="12.8" hidden="false" customHeight="false" outlineLevel="0" collapsed="false">
      <c r="B34341" s="0" t="s">
        <v>7</v>
      </c>
      <c r="D34341" s="0" t="s">
        <v>113</v>
      </c>
      <c r="E34341" s="0" t="s">
        <v>113</v>
      </c>
      <c r="F34341" s="0" t="s">
        <v>113</v>
      </c>
    </row>
    <row r="34342" customFormat="false" ht="12.8" hidden="false" customHeight="false" outlineLevel="0" collapsed="false">
      <c r="B34342" s="0" t="s">
        <v>14</v>
      </c>
      <c r="D34342" s="0" t="s">
        <v>487</v>
      </c>
      <c r="E34342" s="0" t="s">
        <v>487</v>
      </c>
      <c r="F34342" s="0" t="s">
        <v>487</v>
      </c>
    </row>
    <row r="34344" customFormat="false" ht="12.8" hidden="false" customHeight="false" outlineLevel="0" collapsed="false">
      <c r="A34344" s="0" t="s">
        <v>12578</v>
      </c>
      <c r="B34344" s="0" t="str">
        <f aca="false">HYPERLINK("https://lindat.mff.cuni.cz/services/teitok/pdtc10/index.php?action=vallex&amp;frame=v-w4672f1", "přebírat (v-w4672f1)")</f>
        <v>přebírat (v-w4672f1)</v>
      </c>
    </row>
    <row r="34345" customFormat="false" ht="12.8" hidden="false" customHeight="false" outlineLevel="0" collapsed="false">
      <c r="B34345" s="0" t="s">
        <v>7</v>
      </c>
      <c r="C34345" s="0" t="s">
        <v>12579</v>
      </c>
      <c r="D34345" s="0" t="s">
        <v>1725</v>
      </c>
      <c r="E34345" s="0" t="s">
        <v>2299</v>
      </c>
      <c r="F34345" s="0" t="s">
        <v>2299</v>
      </c>
    </row>
    <row r="34346" customFormat="false" ht="12.8" hidden="false" customHeight="false" outlineLevel="0" collapsed="false">
      <c r="B34346" s="0" t="s">
        <v>14</v>
      </c>
      <c r="C34346" s="0" t="s">
        <v>12580</v>
      </c>
      <c r="D34346" s="0" t="s">
        <v>1728</v>
      </c>
      <c r="E34346" s="0" t="s">
        <v>2301</v>
      </c>
      <c r="F34346" s="0" t="s">
        <v>2301</v>
      </c>
    </row>
    <row r="34347" customFormat="false" ht="12.8" hidden="false" customHeight="false" outlineLevel="0" collapsed="false">
      <c r="B34347" s="0" t="s">
        <v>441</v>
      </c>
      <c r="C34347" s="0" t="s">
        <v>12581</v>
      </c>
      <c r="D34347" s="0" t="s">
        <v>1730</v>
      </c>
      <c r="E34347" s="0" t="s">
        <v>2303</v>
      </c>
      <c r="F34347" s="0" t="s">
        <v>2303</v>
      </c>
    </row>
    <row r="34349" customFormat="false" ht="12.8" hidden="false" customHeight="false" outlineLevel="0" collapsed="false">
      <c r="A34349" s="0" t="s">
        <v>12582</v>
      </c>
      <c r="B34349" s="0" t="str">
        <f aca="false">HYPERLINK("https://lindat.mff.cuni.cz/services/teitok/pdtc10/index.php?action=vallex&amp;frame=v-w4672f2_ZU", "přebírat (v-w4672f2_ZU)")</f>
        <v>přebírat (v-w4672f2_ZU)</v>
      </c>
    </row>
    <row r="34350" customFormat="false" ht="12.8" hidden="false" customHeight="false" outlineLevel="0" collapsed="false">
      <c r="B34350" s="0" t="s">
        <v>7</v>
      </c>
    </row>
    <row r="34351" customFormat="false" ht="12.8" hidden="false" customHeight="false" outlineLevel="0" collapsed="false">
      <c r="B34351" s="0" t="s">
        <v>505</v>
      </c>
    </row>
    <row r="34352" customFormat="false" ht="12.8" hidden="false" customHeight="false" outlineLevel="0" collapsed="false">
      <c r="B34352" s="0" t="s">
        <v>54</v>
      </c>
    </row>
    <row r="34354" customFormat="false" ht="12.8" hidden="false" customHeight="false" outlineLevel="0" collapsed="false">
      <c r="A34354" s="0" t="s">
        <v>12583</v>
      </c>
      <c r="B34354" s="0" t="str">
        <f aca="false">HYPERLINK("https://lindat.mff.cuni.cz/services/teitok/pdtc10/index.php?action=vallex&amp;frame=v-w4672f3_MM", "přebírat (v-w4672f3_MM)")</f>
        <v>přebírat (v-w4672f3_MM)</v>
      </c>
    </row>
    <row r="34355" customFormat="false" ht="12.8" hidden="false" customHeight="false" outlineLevel="0" collapsed="false">
      <c r="B34355" s="0" t="s">
        <v>7</v>
      </c>
    </row>
    <row r="34356" customFormat="false" ht="12.8" hidden="false" customHeight="false" outlineLevel="0" collapsed="false">
      <c r="B34356" s="0" t="s">
        <v>14</v>
      </c>
    </row>
    <row r="34358" customFormat="false" ht="12.8" hidden="false" customHeight="false" outlineLevel="0" collapsed="false">
      <c r="A34358" s="0" t="s">
        <v>12584</v>
      </c>
      <c r="B34358" s="0" t="str">
        <f aca="false">HYPERLINK("https://lindat.mff.cuni.cz/services/teitok/pdtc10/index.php?action=vallex&amp;frame=v-w4673f1", "přebít (v-w4673f1)")</f>
        <v>přebít (v-w4673f1)</v>
      </c>
    </row>
    <row r="34359" customFormat="false" ht="12.8" hidden="false" customHeight="false" outlineLevel="0" collapsed="false">
      <c r="B34359" s="0" t="s">
        <v>7</v>
      </c>
      <c r="C34359" s="0" t="s">
        <v>184</v>
      </c>
      <c r="D34359" s="0" t="s">
        <v>88</v>
      </c>
      <c r="E34359" s="0" t="s">
        <v>88</v>
      </c>
      <c r="F34359" s="0" t="s">
        <v>88</v>
      </c>
    </row>
    <row r="34360" customFormat="false" ht="12.8" hidden="false" customHeight="false" outlineLevel="0" collapsed="false">
      <c r="B34360" s="0" t="s">
        <v>14</v>
      </c>
      <c r="C34360" s="0" t="s">
        <v>625</v>
      </c>
      <c r="D34360" s="0" t="s">
        <v>12585</v>
      </c>
      <c r="E34360" s="0" t="s">
        <v>12585</v>
      </c>
      <c r="F34360" s="0" t="s">
        <v>12585</v>
      </c>
    </row>
    <row r="34362" customFormat="false" ht="12.8" hidden="false" customHeight="false" outlineLevel="0" collapsed="false">
      <c r="A34362" s="0" t="s">
        <v>12586</v>
      </c>
      <c r="B34362" s="0" t="str">
        <f aca="false">HYPERLINK("https://lindat.mff.cuni.cz/services/teitok/pdtc10/index.php?action=vallex&amp;frame=v-w4678f1", "přebývat (v-w4678f1)")</f>
        <v>přebývat (v-w4678f1)</v>
      </c>
    </row>
    <row r="34363" customFormat="false" ht="12.8" hidden="false" customHeight="false" outlineLevel="0" collapsed="false">
      <c r="B34363" s="0" t="s">
        <v>7</v>
      </c>
    </row>
    <row r="34364" customFormat="false" ht="12.8" hidden="false" customHeight="false" outlineLevel="0" collapsed="false">
      <c r="B34364" s="0" t="s">
        <v>119</v>
      </c>
    </row>
    <row r="34366" customFormat="false" ht="12.8" hidden="false" customHeight="false" outlineLevel="0" collapsed="false">
      <c r="A34366" s="0" t="s">
        <v>12587</v>
      </c>
      <c r="B34366" s="0" t="str">
        <f aca="false">HYPERLINK("https://lindat.mff.cuni.cz/services/teitok/pdtc10/index.php?action=vallex&amp;frame=v-w4678f2", "přebývat (v-w4678f2)")</f>
        <v>přebývat (v-w4678f2)</v>
      </c>
    </row>
    <row r="34367" customFormat="false" ht="12.8" hidden="false" customHeight="false" outlineLevel="0" collapsed="false">
      <c r="B34367" s="0" t="s">
        <v>7</v>
      </c>
      <c r="C34367" s="0" t="s">
        <v>2911</v>
      </c>
      <c r="D34367" s="0" t="s">
        <v>2901</v>
      </c>
      <c r="E34367" s="0" t="s">
        <v>2901</v>
      </c>
      <c r="F34367" s="0" t="s">
        <v>2901</v>
      </c>
    </row>
    <row r="34368" customFormat="false" ht="12.8" hidden="false" customHeight="false" outlineLevel="0" collapsed="false">
      <c r="B34368" s="0" t="s">
        <v>11</v>
      </c>
      <c r="C34368" s="0" t="s">
        <v>12588</v>
      </c>
      <c r="D34368" s="0" t="s">
        <v>2903</v>
      </c>
      <c r="E34368" s="0" t="s">
        <v>2903</v>
      </c>
      <c r="F34368" s="0" t="s">
        <v>2903</v>
      </c>
    </row>
    <row r="34370" customFormat="false" ht="12.8" hidden="false" customHeight="false" outlineLevel="0" collapsed="false">
      <c r="A34370" s="0" t="s">
        <v>12589</v>
      </c>
      <c r="B34370" s="0" t="str">
        <f aca="false">HYPERLINK("https://lindat.mff.cuni.cz/services/teitok/pdtc10/index.php?action=vallex&amp;frame=v-w4668f2", "přeběhnout (v-w4668f2)")</f>
        <v>přeběhnout (v-w4668f2)</v>
      </c>
    </row>
    <row r="34371" customFormat="false" ht="12.8" hidden="false" customHeight="false" outlineLevel="0" collapsed="false">
      <c r="B34371" s="0" t="s">
        <v>7</v>
      </c>
      <c r="C34371" s="0" t="s">
        <v>2894</v>
      </c>
      <c r="D34371" s="0" t="s">
        <v>184</v>
      </c>
      <c r="E34371" s="0" t="s">
        <v>184</v>
      </c>
      <c r="F34371" s="0" t="s">
        <v>184</v>
      </c>
    </row>
    <row r="34372" customFormat="false" ht="12.8" hidden="false" customHeight="false" outlineLevel="0" collapsed="false">
      <c r="B34372" s="0" t="s">
        <v>14</v>
      </c>
    </row>
    <row r="34374" customFormat="false" ht="12.8" hidden="false" customHeight="false" outlineLevel="0" collapsed="false">
      <c r="A34374" s="0" t="s">
        <v>12590</v>
      </c>
      <c r="B34374" s="0" t="str">
        <f aca="false">HYPERLINK("https://lindat.mff.cuni.cz/services/teitok/pdtc10/index.php?action=vallex&amp;frame=v-w4668f1", "přeběhnout (v-w4668f1)")</f>
        <v>přeběhnout (v-w4668f1)</v>
      </c>
    </row>
    <row r="34375" customFormat="false" ht="12.8" hidden="false" customHeight="false" outlineLevel="0" collapsed="false">
      <c r="B34375" s="0" t="s">
        <v>7</v>
      </c>
      <c r="C34375" s="0" t="s">
        <v>7092</v>
      </c>
      <c r="D34375" s="0" t="s">
        <v>1582</v>
      </c>
      <c r="E34375" s="0" t="s">
        <v>1582</v>
      </c>
      <c r="F34375" s="0" t="s">
        <v>1582</v>
      </c>
    </row>
    <row r="34376" customFormat="false" ht="12.8" hidden="false" customHeight="false" outlineLevel="0" collapsed="false">
      <c r="B34376" s="0" t="s">
        <v>459</v>
      </c>
      <c r="D34376" s="0" t="s">
        <v>1583</v>
      </c>
      <c r="E34376" s="0" t="s">
        <v>1583</v>
      </c>
      <c r="F34376" s="0" t="s">
        <v>1583</v>
      </c>
    </row>
    <row r="34377" customFormat="false" ht="12.8" hidden="false" customHeight="false" outlineLevel="0" collapsed="false">
      <c r="B34377" s="0" t="s">
        <v>124</v>
      </c>
    </row>
    <row r="34379" customFormat="false" ht="12.8" hidden="false" customHeight="false" outlineLevel="0" collapsed="false">
      <c r="A34379" s="0" t="s">
        <v>12591</v>
      </c>
      <c r="B34379" s="0" t="str">
        <f aca="false">HYPERLINK("https://lindat.mff.cuni.cz/services/teitok/pdtc10/index.php?action=vallex&amp;frame=v-w10658f2", "přecedit (v-w10658f2)")</f>
        <v>přecedit (v-w10658f2)</v>
      </c>
    </row>
    <row r="34380" customFormat="false" ht="12.8" hidden="false" customHeight="false" outlineLevel="0" collapsed="false">
      <c r="B34380" s="0" t="s">
        <v>7</v>
      </c>
    </row>
    <row r="34381" customFormat="false" ht="12.8" hidden="false" customHeight="false" outlineLevel="0" collapsed="false">
      <c r="B34381" s="0" t="s">
        <v>14</v>
      </c>
    </row>
    <row r="34383" customFormat="false" ht="12.8" hidden="false" customHeight="false" outlineLevel="0" collapsed="false">
      <c r="A34383" s="0" t="s">
        <v>12592</v>
      </c>
      <c r="B34383" s="0" t="str">
        <f aca="false">HYPERLINK("https://lindat.mff.cuni.cz/services/teitok/pdtc10/index.php?action=vallex&amp;frame=v-w4679f1", "přecenit (v-w4679f1)")</f>
        <v>přecenit (v-w4679f1)</v>
      </c>
    </row>
    <row r="34384" customFormat="false" ht="12.8" hidden="false" customHeight="false" outlineLevel="0" collapsed="false">
      <c r="B34384" s="0" t="s">
        <v>7</v>
      </c>
      <c r="C34384" s="0" t="s">
        <v>335</v>
      </c>
      <c r="D34384" s="0" t="s">
        <v>108</v>
      </c>
      <c r="E34384" s="0" t="s">
        <v>108</v>
      </c>
      <c r="F34384" s="0" t="s">
        <v>108</v>
      </c>
    </row>
    <row r="34385" customFormat="false" ht="12.8" hidden="false" customHeight="false" outlineLevel="0" collapsed="false">
      <c r="B34385" s="0" t="s">
        <v>172</v>
      </c>
      <c r="C34385" s="0" t="s">
        <v>78</v>
      </c>
      <c r="D34385" s="0" t="s">
        <v>159</v>
      </c>
      <c r="E34385" s="0" t="s">
        <v>159</v>
      </c>
      <c r="F34385" s="0" t="s">
        <v>159</v>
      </c>
    </row>
    <row r="34387" customFormat="false" ht="12.8" hidden="false" customHeight="false" outlineLevel="0" collapsed="false">
      <c r="A34387" s="0" t="s">
        <v>12593</v>
      </c>
      <c r="B34387" s="0" t="str">
        <f aca="false">HYPERLINK("https://lindat.mff.cuni.cz/services/teitok/pdtc10/index.php?action=vallex&amp;frame=v-w4680f1", "přeceňovat (v-w4680f1)")</f>
        <v>přeceňovat (v-w4680f1)</v>
      </c>
    </row>
    <row r="34388" customFormat="false" ht="12.8" hidden="false" customHeight="false" outlineLevel="0" collapsed="false">
      <c r="B34388" s="0" t="s">
        <v>7</v>
      </c>
      <c r="D34388" s="0" t="s">
        <v>108</v>
      </c>
      <c r="E34388" s="0" t="s">
        <v>108</v>
      </c>
      <c r="F34388" s="0" t="s">
        <v>108</v>
      </c>
    </row>
    <row r="34389" customFormat="false" ht="12.8" hidden="false" customHeight="false" outlineLevel="0" collapsed="false">
      <c r="B34389" s="0" t="s">
        <v>172</v>
      </c>
      <c r="D34389" s="0" t="s">
        <v>159</v>
      </c>
      <c r="E34389" s="0" t="s">
        <v>159</v>
      </c>
      <c r="F34389" s="0" t="s">
        <v>159</v>
      </c>
    </row>
    <row r="34391" customFormat="false" ht="12.8" hidden="false" customHeight="false" outlineLevel="0" collapsed="false">
      <c r="A34391" s="0" t="s">
        <v>12594</v>
      </c>
      <c r="B34391" s="0" t="str">
        <f aca="false">HYPERLINK("https://lindat.mff.cuni.cz/services/teitok/pdtc10/index.php?action=vallex&amp;frame=v-whsa_1717hsa_1718", "přechodit (v-whsa_1717hsa_1718)")</f>
        <v>přechodit (v-whsa_1717hsa_1718)</v>
      </c>
    </row>
    <row r="34392" customFormat="false" ht="12.8" hidden="false" customHeight="false" outlineLevel="0" collapsed="false">
      <c r="B34392" s="0" t="s">
        <v>7</v>
      </c>
    </row>
    <row r="34393" customFormat="false" ht="12.8" hidden="false" customHeight="false" outlineLevel="0" collapsed="false">
      <c r="B34393" s="0" t="s">
        <v>14</v>
      </c>
    </row>
    <row r="34395" customFormat="false" ht="12.8" hidden="false" customHeight="false" outlineLevel="0" collapsed="false">
      <c r="A34395" s="0" t="s">
        <v>12595</v>
      </c>
      <c r="B34395" s="0" t="str">
        <f aca="false">HYPERLINK("https://lindat.mff.cuni.cz/services/teitok/pdtc10/index.php?action=vallex&amp;frame=v-w4822f1", "přechovávat (v-w4822f1)")</f>
        <v>přechovávat (v-w4822f1)</v>
      </c>
    </row>
    <row r="34396" customFormat="false" ht="12.8" hidden="false" customHeight="false" outlineLevel="0" collapsed="false">
      <c r="B34396" s="0" t="s">
        <v>7</v>
      </c>
      <c r="C34396" s="0" t="s">
        <v>623</v>
      </c>
      <c r="D34396" s="0" t="s">
        <v>2101</v>
      </c>
      <c r="E34396" s="0" t="s">
        <v>2101</v>
      </c>
      <c r="F34396" s="0" t="s">
        <v>2101</v>
      </c>
    </row>
    <row r="34397" customFormat="false" ht="12.8" hidden="false" customHeight="false" outlineLevel="0" collapsed="false">
      <c r="B34397" s="0" t="s">
        <v>14</v>
      </c>
      <c r="C34397" s="0" t="s">
        <v>461</v>
      </c>
      <c r="D34397" s="0" t="s">
        <v>624</v>
      </c>
      <c r="E34397" s="0" t="s">
        <v>624</v>
      </c>
      <c r="F34397" s="0" t="s">
        <v>624</v>
      </c>
    </row>
    <row r="34399" customFormat="false" ht="12.8" hidden="false" customHeight="false" outlineLevel="0" collapsed="false">
      <c r="A34399" s="0" t="s">
        <v>12596</v>
      </c>
      <c r="B34399" s="0" t="str">
        <f aca="false">HYPERLINK("https://lindat.mff.cuni.cz/services/teitok/pdtc10/index.php?action=vallex&amp;frame=v-w11553_ZUf1_ZU", "přechytračit (v-w11553_ZUf1_ZU)")</f>
        <v>přechytračit (v-w11553_ZUf1_ZU)</v>
      </c>
    </row>
    <row r="34400" customFormat="false" ht="12.8" hidden="false" customHeight="false" outlineLevel="0" collapsed="false">
      <c r="B34400" s="0" t="s">
        <v>7</v>
      </c>
    </row>
    <row r="34401" customFormat="false" ht="12.8" hidden="false" customHeight="false" outlineLevel="0" collapsed="false">
      <c r="B34401" s="0" t="s">
        <v>14</v>
      </c>
    </row>
    <row r="34403" customFormat="false" ht="12.8" hidden="false" customHeight="false" outlineLevel="0" collapsed="false">
      <c r="A34403" s="0" t="s">
        <v>12597</v>
      </c>
      <c r="B34403" s="0" t="str">
        <f aca="false">HYPERLINK("https://lindat.mff.cuni.cz/services/teitok/pdtc10/index.php?action=vallex&amp;frame=v-w4819f2", "přecházet (v-w4819f2)")</f>
        <v>přecházet (v-w4819f2)</v>
      </c>
    </row>
    <row r="34404" customFormat="false" ht="12.8" hidden="false" customHeight="false" outlineLevel="0" collapsed="false">
      <c r="B34404" s="0" t="s">
        <v>7</v>
      </c>
      <c r="C34404" s="0" t="s">
        <v>12598</v>
      </c>
      <c r="D34404" s="0" t="s">
        <v>12599</v>
      </c>
      <c r="E34404" s="0" t="s">
        <v>12599</v>
      </c>
      <c r="F34404" s="0" t="s">
        <v>12599</v>
      </c>
    </row>
    <row r="34405" customFormat="false" ht="12.8" hidden="false" customHeight="false" outlineLevel="0" collapsed="false">
      <c r="B34405" s="0" t="s">
        <v>12600</v>
      </c>
      <c r="C34405" s="0" t="s">
        <v>12601</v>
      </c>
      <c r="D34405" s="0" t="s">
        <v>12602</v>
      </c>
      <c r="E34405" s="0" t="s">
        <v>12602</v>
      </c>
      <c r="F34405" s="0" t="s">
        <v>12602</v>
      </c>
    </row>
    <row r="34406" customFormat="false" ht="12.8" hidden="false" customHeight="false" outlineLevel="0" collapsed="false">
      <c r="B34406" s="0" t="s">
        <v>2339</v>
      </c>
      <c r="C34406" s="0" t="s">
        <v>12603</v>
      </c>
      <c r="D34406" s="0" t="s">
        <v>12603</v>
      </c>
      <c r="E34406" s="0" t="s">
        <v>12603</v>
      </c>
      <c r="F34406" s="0" t="s">
        <v>12603</v>
      </c>
    </row>
    <row r="34408" customFormat="false" ht="12.8" hidden="false" customHeight="false" outlineLevel="0" collapsed="false">
      <c r="A34408" s="0" t="s">
        <v>12604</v>
      </c>
      <c r="B34408" s="0" t="str">
        <f aca="false">HYPERLINK("https://lindat.mff.cuni.cz/services/teitok/pdtc10/index.php?action=vallex&amp;frame=v-w4819f6", "přecházet (v-w4819f6)")</f>
        <v>přecházet (v-w4819f6)</v>
      </c>
    </row>
    <row r="34409" customFormat="false" ht="12.8" hidden="false" customHeight="false" outlineLevel="0" collapsed="false">
      <c r="B34409" s="0" t="s">
        <v>7</v>
      </c>
    </row>
    <row r="34410" customFormat="false" ht="12.8" hidden="false" customHeight="false" outlineLevel="0" collapsed="false">
      <c r="B34410" s="0" t="s">
        <v>54</v>
      </c>
    </row>
    <row r="34412" customFormat="false" ht="12.8" hidden="false" customHeight="false" outlineLevel="0" collapsed="false">
      <c r="A34412" s="0" t="s">
        <v>12605</v>
      </c>
      <c r="B34412" s="0" t="str">
        <f aca="false">HYPERLINK("https://lindat.mff.cuni.cz/services/teitok/pdtc10/index.php?action=vallex&amp;frame=v-w4819f4", "přecházet (v-w4819f4)")</f>
        <v>přecházet (v-w4819f4)</v>
      </c>
    </row>
    <row r="34413" customFormat="false" ht="12.8" hidden="false" customHeight="false" outlineLevel="0" collapsed="false">
      <c r="B34413" s="0" t="s">
        <v>7</v>
      </c>
      <c r="C34413" s="0" t="s">
        <v>460</v>
      </c>
    </row>
    <row r="34414" customFormat="false" ht="12.8" hidden="false" customHeight="false" outlineLevel="0" collapsed="false">
      <c r="B34414" s="0" t="s">
        <v>14</v>
      </c>
      <c r="C34414" s="0" t="s">
        <v>1209</v>
      </c>
    </row>
    <row r="34416" customFormat="false" ht="12.8" hidden="false" customHeight="false" outlineLevel="0" collapsed="false">
      <c r="A34416" s="0" t="s">
        <v>12606</v>
      </c>
      <c r="B34416" s="0" t="str">
        <f aca="false">HYPERLINK("https://lindat.mff.cuni.cz/services/teitok/pdtc10/index.php?action=vallex&amp;frame=v-w4819f8", "přecházet (v-w4819f8)")</f>
        <v>přecházet (v-w4819f8)</v>
      </c>
    </row>
    <row r="34417" customFormat="false" ht="12.8" hidden="false" customHeight="false" outlineLevel="0" collapsed="false">
      <c r="B34417" s="0" t="s">
        <v>7</v>
      </c>
    </row>
    <row r="34418" customFormat="false" ht="12.8" hidden="false" customHeight="false" outlineLevel="0" collapsed="false">
      <c r="B34418" s="0" t="s">
        <v>14</v>
      </c>
    </row>
    <row r="34420" customFormat="false" ht="12.8" hidden="false" customHeight="false" outlineLevel="0" collapsed="false">
      <c r="A34420" s="0" t="s">
        <v>12607</v>
      </c>
      <c r="B34420" s="0" t="str">
        <f aca="false">HYPERLINK("https://lindat.mff.cuni.cz/services/teitok/pdtc10/index.php?action=vallex&amp;frame=v-w4819f9", "přecházet (v-w4819f9)")</f>
        <v>přecházet (v-w4819f9)</v>
      </c>
    </row>
    <row r="34421" customFormat="false" ht="12.8" hidden="false" customHeight="false" outlineLevel="0" collapsed="false">
      <c r="B34421" s="0" t="s">
        <v>7</v>
      </c>
      <c r="D34421" s="0" t="s">
        <v>3676</v>
      </c>
      <c r="E34421" s="0" t="s">
        <v>3676</v>
      </c>
      <c r="F34421" s="0" t="s">
        <v>3676</v>
      </c>
    </row>
    <row r="34422" customFormat="false" ht="12.8" hidden="false" customHeight="false" outlineLevel="0" collapsed="false">
      <c r="B34422" s="0" t="s">
        <v>297</v>
      </c>
    </row>
    <row r="34424" customFormat="false" ht="12.8" hidden="false" customHeight="false" outlineLevel="0" collapsed="false">
      <c r="A34424" s="0" t="s">
        <v>12608</v>
      </c>
      <c r="B34424" s="0" t="str">
        <f aca="false">HYPERLINK("https://lindat.mff.cuni.cz/services/teitok/pdtc10/index.php?action=vallex&amp;frame=v-w4819f1", "přecházet (v-w4819f1)")</f>
        <v>přecházet (v-w4819f1)</v>
      </c>
    </row>
    <row r="34425" customFormat="false" ht="12.8" hidden="false" customHeight="false" outlineLevel="0" collapsed="false">
      <c r="B34425" s="0" t="s">
        <v>7</v>
      </c>
      <c r="C34425" s="0" t="s">
        <v>12609</v>
      </c>
      <c r="D34425" s="0" t="s">
        <v>73</v>
      </c>
      <c r="E34425" s="0" t="s">
        <v>73</v>
      </c>
      <c r="F34425" s="0" t="s">
        <v>73</v>
      </c>
    </row>
    <row r="34426" customFormat="false" ht="12.8" hidden="false" customHeight="false" outlineLevel="0" collapsed="false">
      <c r="B34426" s="0" t="s">
        <v>459</v>
      </c>
    </row>
    <row r="34427" customFormat="false" ht="12.8" hidden="false" customHeight="false" outlineLevel="0" collapsed="false">
      <c r="B34427" s="0" t="s">
        <v>124</v>
      </c>
    </row>
    <row r="34429" customFormat="false" ht="12.8" hidden="false" customHeight="false" outlineLevel="0" collapsed="false">
      <c r="A34429" s="0" t="s">
        <v>12610</v>
      </c>
      <c r="B34429" s="0" t="str">
        <f aca="false">HYPERLINK("https://lindat.mff.cuni.cz/services/teitok/pdtc10/index.php?action=vallex&amp;frame=v-w4819f3", "přecházet (v-w4819f3)")</f>
        <v>přecházet (v-w4819f3)</v>
      </c>
    </row>
    <row r="34430" customFormat="false" ht="12.8" hidden="false" customHeight="false" outlineLevel="0" collapsed="false">
      <c r="B34430" s="0" t="s">
        <v>7</v>
      </c>
      <c r="D34430" s="0" t="s">
        <v>126</v>
      </c>
      <c r="E34430" s="0" t="s">
        <v>194</v>
      </c>
      <c r="F34430" s="0" t="s">
        <v>194</v>
      </c>
    </row>
    <row r="34431" customFormat="false" ht="12.8" hidden="false" customHeight="false" outlineLevel="0" collapsed="false">
      <c r="B34431" s="0" t="s">
        <v>259</v>
      </c>
      <c r="D34431" s="0" t="s">
        <v>260</v>
      </c>
      <c r="E34431" s="0" t="s">
        <v>261</v>
      </c>
      <c r="F34431" s="0" t="s">
        <v>261</v>
      </c>
    </row>
    <row r="34433" customFormat="false" ht="12.8" hidden="false" customHeight="false" outlineLevel="0" collapsed="false">
      <c r="A34433" s="0" t="s">
        <v>12611</v>
      </c>
      <c r="B34433" s="0" t="str">
        <f aca="false">HYPERLINK("https://lindat.mff.cuni.cz/services/teitok/pdtc10/index.php?action=vallex&amp;frame=v-w4819f7", "přecházet (v-w4819f7)")</f>
        <v>přecházet (v-w4819f7)</v>
      </c>
    </row>
    <row r="34434" customFormat="false" ht="12.8" hidden="false" customHeight="false" outlineLevel="0" collapsed="false">
      <c r="B34434" s="0" t="s">
        <v>7</v>
      </c>
      <c r="C34434" s="0" t="s">
        <v>12612</v>
      </c>
    </row>
    <row r="34435" customFormat="false" ht="12.8" hidden="false" customHeight="false" outlineLevel="0" collapsed="false">
      <c r="B34435" s="0" t="s">
        <v>279</v>
      </c>
    </row>
    <row r="34437" customFormat="false" ht="12.8" hidden="false" customHeight="false" outlineLevel="0" collapsed="false">
      <c r="A34437" s="0" t="s">
        <v>12613</v>
      </c>
      <c r="B34437" s="0" t="str">
        <f aca="false">HYPERLINK("https://lindat.mff.cuni.cz/services/teitok/pdtc10/index.php?action=vallex&amp;frame=v-w4819f5", "přecházet (v-w4819f5)")</f>
        <v>přecházet (v-w4819f5)</v>
      </c>
    </row>
    <row r="34438" customFormat="false" ht="12.8" hidden="false" customHeight="false" outlineLevel="0" collapsed="false">
      <c r="B34438" s="0" t="s">
        <v>7</v>
      </c>
    </row>
    <row r="34440" customFormat="false" ht="12.8" hidden="false" customHeight="false" outlineLevel="0" collapsed="false">
      <c r="A34440" s="0" t="s">
        <v>12614</v>
      </c>
      <c r="B34440" s="0" t="str">
        <f aca="false">HYPERLINK("https://lindat.mff.cuni.cz/services/teitok/pdtc10/index.php?action=vallex&amp;frame=v-w4694f1", "předat (v-w4694f1)")</f>
        <v>předat (v-w4694f1)</v>
      </c>
    </row>
    <row r="34441" customFormat="false" ht="12.8" hidden="false" customHeight="false" outlineLevel="0" collapsed="false">
      <c r="B34441" s="0" t="s">
        <v>7</v>
      </c>
      <c r="C34441" s="0" t="s">
        <v>12615</v>
      </c>
      <c r="D34441" s="0" t="s">
        <v>4960</v>
      </c>
      <c r="E34441" s="0" t="s">
        <v>4161</v>
      </c>
      <c r="F34441" s="0" t="s">
        <v>4161</v>
      </c>
    </row>
    <row r="34442" customFormat="false" ht="12.8" hidden="false" customHeight="false" outlineLevel="0" collapsed="false">
      <c r="B34442" s="0" t="s">
        <v>14</v>
      </c>
      <c r="C34442" s="0" t="s">
        <v>12616</v>
      </c>
      <c r="D34442" s="0" t="s">
        <v>8123</v>
      </c>
      <c r="E34442" s="0" t="s">
        <v>8116</v>
      </c>
      <c r="F34442" s="0" t="s">
        <v>8116</v>
      </c>
    </row>
    <row r="34443" customFormat="false" ht="12.8" hidden="false" customHeight="false" outlineLevel="0" collapsed="false">
      <c r="B34443" s="0" t="s">
        <v>48</v>
      </c>
      <c r="C34443" s="0" t="s">
        <v>12617</v>
      </c>
      <c r="D34443" s="0" t="s">
        <v>10939</v>
      </c>
      <c r="E34443" s="0" t="s">
        <v>10940</v>
      </c>
      <c r="F34443" s="0" t="s">
        <v>10940</v>
      </c>
    </row>
    <row r="34445" customFormat="false" ht="12.8" hidden="false" customHeight="false" outlineLevel="0" collapsed="false">
      <c r="A34445" s="0" t="s">
        <v>12618</v>
      </c>
      <c r="B34445" s="0" t="str">
        <f aca="false">HYPERLINK("https://lindat.mff.cuni.cz/services/teitok/pdtc10/index.php?action=vallex&amp;frame=v-w4694f2", "předat (v-w4694f2)")</f>
        <v>předat (v-w4694f2)</v>
      </c>
    </row>
    <row r="34446" customFormat="false" ht="12.8" hidden="false" customHeight="false" outlineLevel="0" collapsed="false">
      <c r="B34446" s="0" t="s">
        <v>7</v>
      </c>
      <c r="C34446" s="0" t="s">
        <v>12619</v>
      </c>
      <c r="D34446" s="0" t="s">
        <v>4960</v>
      </c>
      <c r="E34446" s="0" t="s">
        <v>4161</v>
      </c>
      <c r="F34446" s="0" t="s">
        <v>4161</v>
      </c>
    </row>
    <row r="34447" customFormat="false" ht="12.8" hidden="false" customHeight="false" outlineLevel="0" collapsed="false">
      <c r="B34447" s="0" t="s">
        <v>14</v>
      </c>
      <c r="C34447" s="0" t="s">
        <v>12620</v>
      </c>
      <c r="D34447" s="0" t="s">
        <v>8123</v>
      </c>
      <c r="E34447" s="0" t="s">
        <v>8116</v>
      </c>
      <c r="F34447" s="0" t="s">
        <v>8116</v>
      </c>
    </row>
    <row r="34448" customFormat="false" ht="12.8" hidden="false" customHeight="false" outlineLevel="0" collapsed="false">
      <c r="B34448" s="0" t="s">
        <v>124</v>
      </c>
      <c r="C34448" s="0" t="s">
        <v>12621</v>
      </c>
      <c r="D34448" s="0" t="s">
        <v>8124</v>
      </c>
      <c r="E34448" s="0" t="s">
        <v>8117</v>
      </c>
      <c r="F34448" s="0" t="s">
        <v>8117</v>
      </c>
    </row>
    <row r="34450" customFormat="false" ht="12.8" hidden="false" customHeight="false" outlineLevel="0" collapsed="false">
      <c r="A34450" s="0" t="s">
        <v>12622</v>
      </c>
      <c r="B34450" s="0" t="str">
        <f aca="false">HYPERLINK("https://lindat.mff.cuni.cz/services/teitok/pdtc10/index.php?action=vallex&amp;frame=v-w4694hsa_468", "předat (v-w4694hsa_468)")</f>
        <v>předat (v-w4694hsa_468)</v>
      </c>
    </row>
    <row r="34451" customFormat="false" ht="12.8" hidden="false" customHeight="false" outlineLevel="0" collapsed="false">
      <c r="B34451" s="0" t="s">
        <v>7</v>
      </c>
      <c r="C34451" s="0" t="s">
        <v>335</v>
      </c>
      <c r="D34451" s="0" t="s">
        <v>4960</v>
      </c>
      <c r="E34451" s="0" t="s">
        <v>4161</v>
      </c>
      <c r="F34451" s="0" t="s">
        <v>6524</v>
      </c>
    </row>
    <row r="34452" customFormat="false" ht="12.8" hidden="false" customHeight="false" outlineLevel="0" collapsed="false">
      <c r="B34452" s="0" t="s">
        <v>12623</v>
      </c>
      <c r="C34452" s="0" t="s">
        <v>3258</v>
      </c>
      <c r="D34452" s="0" t="s">
        <v>12624</v>
      </c>
      <c r="E34452" s="0" t="s">
        <v>12625</v>
      </c>
      <c r="F34452" s="0" t="s">
        <v>12625</v>
      </c>
    </row>
    <row r="34453" customFormat="false" ht="12.8" hidden="false" customHeight="false" outlineLevel="0" collapsed="false">
      <c r="B34453" s="0" t="s">
        <v>48</v>
      </c>
      <c r="C34453" s="0" t="s">
        <v>5534</v>
      </c>
      <c r="D34453" s="0" t="s">
        <v>10939</v>
      </c>
      <c r="E34453" s="0" t="s">
        <v>10940</v>
      </c>
      <c r="F34453" s="0" t="s">
        <v>12626</v>
      </c>
    </row>
    <row r="34455" customFormat="false" ht="12.8" hidden="false" customHeight="false" outlineLevel="0" collapsed="false">
      <c r="A34455" s="0" t="s">
        <v>12622</v>
      </c>
      <c r="B34455" s="0" t="str">
        <f aca="false">HYPERLINK("https://lindat.mff.cuni.cz/services/teitok/pdtc10/index.php?action=vallex&amp;frame=v-w4694f3", "předat (v-w4694f3) - substituted with v-w4694hsa_468")</f>
        <v>předat (v-w4694f3) - substituted with v-w4694hsa_468</v>
      </c>
    </row>
    <row r="34456" customFormat="false" ht="12.8" hidden="false" customHeight="false" outlineLevel="0" collapsed="false">
      <c r="B34456" s="0" t="s">
        <v>7</v>
      </c>
      <c r="C34456" s="0" t="s">
        <v>22</v>
      </c>
    </row>
    <row r="34457" customFormat="false" ht="12.8" hidden="false" customHeight="false" outlineLevel="0" collapsed="false">
      <c r="B34457" s="0" t="s">
        <v>12623</v>
      </c>
      <c r="C34457" s="0" t="s">
        <v>12627</v>
      </c>
    </row>
    <row r="34458" customFormat="false" ht="12.8" hidden="false" customHeight="false" outlineLevel="0" collapsed="false">
      <c r="B34458" s="0" t="s">
        <v>48</v>
      </c>
      <c r="C34458" s="0" t="s">
        <v>709</v>
      </c>
    </row>
    <row r="34460" customFormat="false" ht="12.8" hidden="false" customHeight="false" outlineLevel="0" collapsed="false">
      <c r="A34460" s="0" t="s">
        <v>12628</v>
      </c>
      <c r="B34460" s="0" t="str">
        <f aca="false">HYPERLINK("https://lindat.mff.cuni.cz/services/teitok/pdtc10/index.php?action=vallex&amp;frame=v-w4694hsa_469", "předat (v-w4694hsa_469)")</f>
        <v>předat (v-w4694hsa_469)</v>
      </c>
    </row>
    <row r="34461" customFormat="false" ht="12.8" hidden="false" customHeight="false" outlineLevel="0" collapsed="false">
      <c r="B34461" s="0" t="s">
        <v>7</v>
      </c>
    </row>
    <row r="34462" customFormat="false" ht="12.8" hidden="false" customHeight="false" outlineLevel="0" collapsed="false">
      <c r="B34462" s="0" t="s">
        <v>12623</v>
      </c>
    </row>
    <row r="34463" customFormat="false" ht="12.8" hidden="false" customHeight="false" outlineLevel="0" collapsed="false">
      <c r="B34463" s="0" t="s">
        <v>124</v>
      </c>
    </row>
    <row r="34465" customFormat="false" ht="12.8" hidden="false" customHeight="false" outlineLevel="0" collapsed="false">
      <c r="A34465" s="0" t="s">
        <v>12628</v>
      </c>
      <c r="B34465" s="0" t="str">
        <f aca="false">HYPERLINK("https://lindat.mff.cuni.cz/services/teitok/pdtc10/index.php?action=vallex&amp;frame=v-w4694f4", "předat (v-w4694f4) - substituted with v-w4694hsa_469")</f>
        <v>předat (v-w4694f4) - substituted with v-w4694hsa_469</v>
      </c>
    </row>
    <row r="34466" customFormat="false" ht="12.8" hidden="false" customHeight="false" outlineLevel="0" collapsed="false">
      <c r="B34466" s="0" t="s">
        <v>7</v>
      </c>
    </row>
    <row r="34467" customFormat="false" ht="12.8" hidden="false" customHeight="false" outlineLevel="0" collapsed="false">
      <c r="B34467" s="0" t="s">
        <v>12623</v>
      </c>
    </row>
    <row r="34468" customFormat="false" ht="12.8" hidden="false" customHeight="false" outlineLevel="0" collapsed="false">
      <c r="B34468" s="0" t="s">
        <v>124</v>
      </c>
    </row>
    <row r="34470" customFormat="false" ht="12.8" hidden="false" customHeight="false" outlineLevel="0" collapsed="false">
      <c r="A34470" s="0" t="s">
        <v>12629</v>
      </c>
      <c r="B34470" s="0" t="str">
        <f aca="false">HYPERLINK("https://lindat.mff.cuni.cz/services/teitok/pdtc10/index.php?action=vallex&amp;frame=v-w4695f1", "předat se (v-w4695f1)")</f>
        <v>předat se (v-w4695f1)</v>
      </c>
    </row>
    <row r="34471" customFormat="false" ht="12.8" hidden="false" customHeight="false" outlineLevel="0" collapsed="false">
      <c r="B34471" s="0" t="s">
        <v>7</v>
      </c>
    </row>
    <row r="34473" customFormat="false" ht="12.8" hidden="false" customHeight="false" outlineLevel="0" collapsed="false">
      <c r="A34473" s="0" t="s">
        <v>12630</v>
      </c>
      <c r="B34473" s="0" t="str">
        <f aca="false">HYPERLINK("https://lindat.mff.cuni.cz/services/teitok/pdtc10/index.php?action=vallex&amp;frame=v-whsa_649hsa_650", "předat si (v-whsa_649hsa_650)")</f>
        <v>předat si (v-whsa_649hsa_650)</v>
      </c>
    </row>
    <row r="34474" customFormat="false" ht="12.8" hidden="false" customHeight="false" outlineLevel="0" collapsed="false">
      <c r="B34474" s="0" t="s">
        <v>7</v>
      </c>
    </row>
    <row r="34475" customFormat="false" ht="12.8" hidden="false" customHeight="false" outlineLevel="0" collapsed="false">
      <c r="B34475" s="0" t="s">
        <v>14</v>
      </c>
    </row>
    <row r="34476" customFormat="false" ht="12.8" hidden="false" customHeight="false" outlineLevel="0" collapsed="false">
      <c r="B34476" s="0" t="s">
        <v>207</v>
      </c>
    </row>
    <row r="34478" customFormat="false" ht="12.8" hidden="false" customHeight="false" outlineLevel="0" collapsed="false">
      <c r="A34478" s="0" t="s">
        <v>12631</v>
      </c>
      <c r="B34478" s="0" t="str">
        <f aca="false">HYPERLINK("https://lindat.mff.cuni.cz/services/teitok/pdtc10/index.php?action=vallex&amp;frame=v-w4701f1", "předbíhat (v-w4701f1)")</f>
        <v>předbíhat (v-w4701f1)</v>
      </c>
    </row>
    <row r="34479" customFormat="false" ht="12.8" hidden="false" customHeight="false" outlineLevel="0" collapsed="false">
      <c r="B34479" s="0" t="s">
        <v>7</v>
      </c>
    </row>
    <row r="34480" customFormat="false" ht="12.8" hidden="false" customHeight="false" outlineLevel="0" collapsed="false">
      <c r="B34480" s="0" t="s">
        <v>14</v>
      </c>
    </row>
    <row r="34482" customFormat="false" ht="12.8" hidden="false" customHeight="false" outlineLevel="0" collapsed="false">
      <c r="A34482" s="0" t="s">
        <v>12632</v>
      </c>
      <c r="B34482" s="0" t="str">
        <f aca="false">HYPERLINK("https://lindat.mff.cuni.cz/services/teitok/pdtc10/index.php?action=vallex&amp;frame=v-w4701f2_ZU", "předbíhat (v-w4701f2_ZU)")</f>
        <v>předbíhat (v-w4701f2_ZU)</v>
      </c>
    </row>
    <row r="34483" customFormat="false" ht="12.8" hidden="false" customHeight="false" outlineLevel="0" collapsed="false">
      <c r="B34483" s="0" t="s">
        <v>7</v>
      </c>
    </row>
    <row r="34484" customFormat="false" ht="12.8" hidden="false" customHeight="false" outlineLevel="0" collapsed="false">
      <c r="B34484" s="0" t="s">
        <v>142</v>
      </c>
    </row>
    <row r="34486" customFormat="false" ht="12.8" hidden="false" customHeight="false" outlineLevel="0" collapsed="false">
      <c r="A34486" s="0" t="s">
        <v>12633</v>
      </c>
      <c r="B34486" s="0" t="str">
        <f aca="false">HYPERLINK("https://lindat.mff.cuni.cz/services/teitok/pdtc10/index.php?action=vallex&amp;frame=v-w4702f1", "předbíhat se (v-w4702f1)")</f>
        <v>předbíhat se (v-w4702f1)</v>
      </c>
    </row>
    <row r="34487" customFormat="false" ht="12.8" hidden="false" customHeight="false" outlineLevel="0" collapsed="false">
      <c r="B34487" s="0" t="s">
        <v>7</v>
      </c>
    </row>
    <row r="34489" customFormat="false" ht="12.8" hidden="false" customHeight="false" outlineLevel="0" collapsed="false">
      <c r="A34489" s="0" t="s">
        <v>12634</v>
      </c>
      <c r="B34489" s="0" t="str">
        <f aca="false">HYPERLINK("https://lindat.mff.cuni.cz/services/teitok/pdtc10/index.php?action=vallex&amp;frame=v-w4700f1", "předběhnout (v-w4700f1)")</f>
        <v>předběhnout (v-w4700f1)</v>
      </c>
    </row>
    <row r="34490" customFormat="false" ht="12.8" hidden="false" customHeight="false" outlineLevel="0" collapsed="false">
      <c r="B34490" s="0" t="s">
        <v>7</v>
      </c>
      <c r="C34490" s="0" t="s">
        <v>191</v>
      </c>
      <c r="D34490" s="0" t="s">
        <v>2797</v>
      </c>
      <c r="E34490" s="0" t="s">
        <v>2797</v>
      </c>
      <c r="F34490" s="0" t="s">
        <v>2797</v>
      </c>
    </row>
    <row r="34491" customFormat="false" ht="12.8" hidden="false" customHeight="false" outlineLevel="0" collapsed="false">
      <c r="B34491" s="0" t="s">
        <v>12635</v>
      </c>
      <c r="C34491" s="0" t="s">
        <v>155</v>
      </c>
      <c r="D34491" s="0" t="s">
        <v>3628</v>
      </c>
      <c r="E34491" s="0" t="s">
        <v>3628</v>
      </c>
      <c r="F34491" s="0" t="s">
        <v>3628</v>
      </c>
    </row>
    <row r="34493" customFormat="false" ht="12.8" hidden="false" customHeight="false" outlineLevel="0" collapsed="false">
      <c r="A34493" s="0" t="s">
        <v>12636</v>
      </c>
      <c r="B34493" s="0" t="str">
        <f aca="false">HYPERLINK("https://lindat.mff.cuni.cz/services/teitok/pdtc10/index.php?action=vallex&amp;frame=v-w4700f2", "předběhnout (v-w4700f2)")</f>
        <v>předběhnout (v-w4700f2)</v>
      </c>
    </row>
    <row r="34494" customFormat="false" ht="12.8" hidden="false" customHeight="false" outlineLevel="0" collapsed="false">
      <c r="B34494" s="0" t="s">
        <v>7</v>
      </c>
      <c r="C34494" s="0" t="s">
        <v>21</v>
      </c>
    </row>
    <row r="34495" customFormat="false" ht="12.8" hidden="false" customHeight="false" outlineLevel="0" collapsed="false">
      <c r="B34495" s="0" t="s">
        <v>14</v>
      </c>
      <c r="C34495" s="0" t="s">
        <v>488</v>
      </c>
    </row>
    <row r="34497" customFormat="false" ht="12.8" hidden="false" customHeight="false" outlineLevel="0" collapsed="false">
      <c r="A34497" s="0" t="s">
        <v>12637</v>
      </c>
      <c r="B34497" s="0" t="str">
        <f aca="false">HYPERLINK("https://lindat.mff.cuni.cz/services/teitok/pdtc10/index.php?action=vallex&amp;frame=v-w4720f1", "předcházet (v-w4720f1)")</f>
        <v>předcházet (v-w4720f1)</v>
      </c>
    </row>
    <row r="34498" customFormat="false" ht="12.8" hidden="false" customHeight="false" outlineLevel="0" collapsed="false">
      <c r="B34498" s="0" t="s">
        <v>7</v>
      </c>
      <c r="C34498" s="0" t="s">
        <v>12638</v>
      </c>
      <c r="D34498" s="0" t="s">
        <v>12639</v>
      </c>
      <c r="E34498" s="0" t="s">
        <v>12639</v>
      </c>
      <c r="F34498" s="0" t="s">
        <v>12639</v>
      </c>
    </row>
    <row r="34499" customFormat="false" ht="12.8" hidden="false" customHeight="false" outlineLevel="0" collapsed="false">
      <c r="B34499" s="0" t="s">
        <v>142</v>
      </c>
      <c r="C34499" s="0" t="s">
        <v>12640</v>
      </c>
      <c r="D34499" s="0" t="s">
        <v>12641</v>
      </c>
      <c r="E34499" s="0" t="s">
        <v>12641</v>
      </c>
      <c r="F34499" s="0" t="s">
        <v>12641</v>
      </c>
    </row>
    <row r="34501" customFormat="false" ht="12.8" hidden="false" customHeight="false" outlineLevel="0" collapsed="false">
      <c r="A34501" s="0" t="s">
        <v>12642</v>
      </c>
      <c r="B34501" s="0" t="str">
        <f aca="false">HYPERLINK("https://lindat.mff.cuni.cz/services/teitok/pdtc10/index.php?action=vallex&amp;frame=v-w4720f2", "předcházet (v-w4720f2)")</f>
        <v>předcházet (v-w4720f2)</v>
      </c>
    </row>
    <row r="34502" customFormat="false" ht="12.8" hidden="false" customHeight="false" outlineLevel="0" collapsed="false">
      <c r="B34502" s="0" t="s">
        <v>12643</v>
      </c>
    </row>
    <row r="34504" customFormat="false" ht="12.8" hidden="false" customHeight="false" outlineLevel="0" collapsed="false">
      <c r="A34504" s="0" t="s">
        <v>12644</v>
      </c>
      <c r="B34504" s="0" t="str">
        <f aca="false">HYPERLINK("https://lindat.mff.cuni.cz/services/teitok/pdtc10/index.php?action=vallex&amp;frame=v-w4720hsa_950", "předcházet (v-w4720hsa_950)")</f>
        <v>předcházet (v-w4720hsa_950)</v>
      </c>
    </row>
    <row r="34505" customFormat="false" ht="12.8" hidden="false" customHeight="false" outlineLevel="0" collapsed="false">
      <c r="B34505" s="0" t="s">
        <v>7</v>
      </c>
    </row>
    <row r="34506" customFormat="false" ht="12.8" hidden="false" customHeight="false" outlineLevel="0" collapsed="false">
      <c r="B34506" s="0" t="s">
        <v>14</v>
      </c>
    </row>
    <row r="34508" customFormat="false" ht="12.8" hidden="false" customHeight="false" outlineLevel="0" collapsed="false">
      <c r="A34508" s="0" t="s">
        <v>12645</v>
      </c>
      <c r="B34508" s="0" t="str">
        <f aca="false">HYPERLINK("https://lindat.mff.cuni.cz/services/teitok/pdtc10/index.php?action=vallex&amp;frame=v-w4720hsa_951", "předcházet (v-w4720hsa_951)")</f>
        <v>předcházet (v-w4720hsa_951)</v>
      </c>
    </row>
    <row r="34509" customFormat="false" ht="12.8" hidden="false" customHeight="false" outlineLevel="0" collapsed="false">
      <c r="B34509" s="0" t="s">
        <v>7</v>
      </c>
      <c r="C34509" s="0" t="s">
        <v>12646</v>
      </c>
      <c r="D34509" s="0" t="s">
        <v>252</v>
      </c>
      <c r="E34509" s="0" t="s">
        <v>253</v>
      </c>
      <c r="F34509" s="0" t="s">
        <v>253</v>
      </c>
    </row>
    <row r="34510" customFormat="false" ht="12.8" hidden="false" customHeight="false" outlineLevel="0" collapsed="false">
      <c r="B34510" s="0" t="s">
        <v>142</v>
      </c>
      <c r="C34510" s="0" t="s">
        <v>2739</v>
      </c>
      <c r="D34510" s="0" t="s">
        <v>255</v>
      </c>
      <c r="E34510" s="0" t="s">
        <v>256</v>
      </c>
      <c r="F34510" s="0" t="s">
        <v>256</v>
      </c>
    </row>
    <row r="34512" customFormat="false" ht="12.8" hidden="false" customHeight="false" outlineLevel="0" collapsed="false">
      <c r="A34512" s="0" t="s">
        <v>12647</v>
      </c>
      <c r="B34512" s="0" t="str">
        <f aca="false">HYPERLINK("https://lindat.mff.cuni.cz/services/teitok/pdtc10/index.php?action=vallex&amp;frame=v-whsb_279f1_ZU", "předcvičovat (v-whsb_279f1_ZU)")</f>
        <v>předcvičovat (v-whsb_279f1_ZU)</v>
      </c>
    </row>
    <row r="34513" customFormat="false" ht="12.8" hidden="false" customHeight="false" outlineLevel="0" collapsed="false">
      <c r="B34513" s="0" t="s">
        <v>7</v>
      </c>
    </row>
    <row r="34514" customFormat="false" ht="12.8" hidden="false" customHeight="false" outlineLevel="0" collapsed="false">
      <c r="B34514" s="0" t="s">
        <v>14</v>
      </c>
    </row>
    <row r="34515" customFormat="false" ht="12.8" hidden="false" customHeight="false" outlineLevel="0" collapsed="false">
      <c r="B34515" s="0" t="s">
        <v>106</v>
      </c>
    </row>
    <row r="34517" customFormat="false" ht="12.8" hidden="false" customHeight="false" outlineLevel="0" collapsed="false">
      <c r="A34517" s="0" t="s">
        <v>12647</v>
      </c>
      <c r="B34517" s="0" t="str">
        <f aca="false">HYPERLINK("https://lindat.mff.cuni.cz/services/teitok/pdtc10/index.php?action=vallex&amp;frame=v-whsb_279hsa_280", "předcvičovat (v-whsb_279hsa_280) - substituted with v-whsb_279f1_ZU")</f>
        <v>předcvičovat (v-whsb_279hsa_280) - substituted with v-whsb_279f1_ZU</v>
      </c>
    </row>
    <row r="34518" customFormat="false" ht="12.8" hidden="false" customHeight="false" outlineLevel="0" collapsed="false">
      <c r="B34518" s="0" t="s">
        <v>7</v>
      </c>
    </row>
    <row r="34519" customFormat="false" ht="12.8" hidden="false" customHeight="false" outlineLevel="0" collapsed="false">
      <c r="B34519" s="0" t="s">
        <v>14</v>
      </c>
    </row>
    <row r="34520" customFormat="false" ht="12.8" hidden="false" customHeight="false" outlineLevel="0" collapsed="false">
      <c r="B34520" s="0" t="s">
        <v>106</v>
      </c>
    </row>
    <row r="34522" customFormat="false" ht="12.8" hidden="false" customHeight="false" outlineLevel="0" collapsed="false">
      <c r="A34522" s="0" t="s">
        <v>12648</v>
      </c>
      <c r="B34522" s="0" t="str">
        <f aca="false">HYPERLINK("https://lindat.mff.cuni.cz/services/teitok/pdtc10/index.php?action=vallex&amp;frame=v-w10891f2", "předehnat (v-w10891f2)")</f>
        <v>předehnat (v-w10891f2)</v>
      </c>
    </row>
    <row r="34523" customFormat="false" ht="12.8" hidden="false" customHeight="false" outlineLevel="0" collapsed="false">
      <c r="B34523" s="0" t="s">
        <v>7</v>
      </c>
    </row>
    <row r="34524" customFormat="false" ht="12.8" hidden="false" customHeight="false" outlineLevel="0" collapsed="false">
      <c r="B34524" s="0" t="s">
        <v>14</v>
      </c>
    </row>
    <row r="34526" customFormat="false" ht="12.8" hidden="false" customHeight="false" outlineLevel="0" collapsed="false">
      <c r="A34526" s="0" t="s">
        <v>12649</v>
      </c>
      <c r="B34526" s="0" t="str">
        <f aca="false">HYPERLINK("https://lindat.mff.cuni.cz/services/teitok/pdtc10/index.php?action=vallex&amp;frame=v-whsa_183f1_ZU", "předehrát (v-whsa_183f1_ZU)")</f>
        <v>předehrát (v-whsa_183f1_ZU)</v>
      </c>
    </row>
    <row r="34527" customFormat="false" ht="12.8" hidden="false" customHeight="false" outlineLevel="0" collapsed="false">
      <c r="B34527" s="0" t="s">
        <v>7</v>
      </c>
    </row>
    <row r="34528" customFormat="false" ht="12.8" hidden="false" customHeight="false" outlineLevel="0" collapsed="false">
      <c r="B34528" s="0" t="s">
        <v>14</v>
      </c>
    </row>
    <row r="34530" customFormat="false" ht="12.8" hidden="false" customHeight="false" outlineLevel="0" collapsed="false">
      <c r="A34530" s="0" t="s">
        <v>12649</v>
      </c>
      <c r="B34530" s="0" t="str">
        <f aca="false">HYPERLINK("https://lindat.mff.cuni.cz/services/teitok/pdtc10/index.php?action=vallex&amp;frame=v-whsa_183hsa_184", "předehrát (v-whsa_183hsa_184) - substituted with v-whsa_183f1_ZU")</f>
        <v>předehrát (v-whsa_183hsa_184) - substituted with v-whsa_183f1_ZU</v>
      </c>
    </row>
    <row r="34531" customFormat="false" ht="12.8" hidden="false" customHeight="false" outlineLevel="0" collapsed="false">
      <c r="B34531" s="0" t="s">
        <v>7</v>
      </c>
    </row>
    <row r="34532" customFormat="false" ht="12.8" hidden="false" customHeight="false" outlineLevel="0" collapsed="false">
      <c r="B34532" s="0" t="s">
        <v>14</v>
      </c>
    </row>
    <row r="34534" customFormat="false" ht="12.8" hidden="false" customHeight="false" outlineLevel="0" collapsed="false">
      <c r="A34534" s="0" t="s">
        <v>12650</v>
      </c>
      <c r="B34534" s="0" t="str">
        <f aca="false">HYPERLINK("https://lindat.mff.cuni.cz/services/teitok/pdtc10/index.php?action=vallex&amp;frame=v-w12068_ZUf1_ZU", "předejet (v-w12068_ZUf1_ZU)")</f>
        <v>předejet (v-w12068_ZUf1_ZU)</v>
      </c>
    </row>
    <row r="34535" customFormat="false" ht="12.8" hidden="false" customHeight="false" outlineLevel="0" collapsed="false">
      <c r="B34535" s="0" t="s">
        <v>7</v>
      </c>
    </row>
    <row r="34536" customFormat="false" ht="12.8" hidden="false" customHeight="false" outlineLevel="0" collapsed="false">
      <c r="B34536" s="0" t="s">
        <v>14</v>
      </c>
    </row>
    <row r="34538" customFormat="false" ht="12.8" hidden="false" customHeight="false" outlineLevel="0" collapsed="false">
      <c r="A34538" s="0" t="s">
        <v>12651</v>
      </c>
      <c r="B34538" s="0" t="str">
        <f aca="false">HYPERLINK("https://lindat.mff.cuni.cz/services/teitok/pdtc10/index.php?action=vallex&amp;frame=v-w10162f2", "předejmout (v-w10162f2)")</f>
        <v>předejmout (v-w10162f2)</v>
      </c>
    </row>
    <row r="34539" customFormat="false" ht="12.8" hidden="false" customHeight="false" outlineLevel="0" collapsed="false">
      <c r="B34539" s="0" t="s">
        <v>7</v>
      </c>
      <c r="D34539" s="0" t="s">
        <v>2266</v>
      </c>
      <c r="E34539" s="0" t="s">
        <v>2266</v>
      </c>
      <c r="F34539" s="0" t="s">
        <v>2266</v>
      </c>
    </row>
    <row r="34540" customFormat="false" ht="12.8" hidden="false" customHeight="false" outlineLevel="0" collapsed="false">
      <c r="B34540" s="0" t="s">
        <v>14</v>
      </c>
      <c r="D34540" s="0" t="s">
        <v>4118</v>
      </c>
      <c r="E34540" s="0" t="s">
        <v>4118</v>
      </c>
      <c r="F34540" s="0" t="s">
        <v>4118</v>
      </c>
    </row>
    <row r="34542" customFormat="false" ht="12.8" hidden="false" customHeight="false" outlineLevel="0" collapsed="false">
      <c r="A34542" s="0" t="s">
        <v>12652</v>
      </c>
      <c r="B34542" s="0" t="str">
        <f aca="false">HYPERLINK("https://lindat.mff.cuni.cz/services/teitok/pdtc10/index.php?action=vallex&amp;frame=v-w4708f1", "předejít (v-w4708f1)")</f>
        <v>předejít (v-w4708f1)</v>
      </c>
    </row>
    <row r="34543" customFormat="false" ht="12.8" hidden="false" customHeight="false" outlineLevel="0" collapsed="false">
      <c r="B34543" s="0" t="s">
        <v>7</v>
      </c>
      <c r="C34543" s="0" t="s">
        <v>12646</v>
      </c>
      <c r="D34543" s="0" t="s">
        <v>252</v>
      </c>
      <c r="E34543" s="0" t="s">
        <v>253</v>
      </c>
      <c r="F34543" s="0" t="s">
        <v>253</v>
      </c>
    </row>
    <row r="34544" customFormat="false" ht="12.8" hidden="false" customHeight="false" outlineLevel="0" collapsed="false">
      <c r="B34544" s="0" t="s">
        <v>142</v>
      </c>
      <c r="C34544" s="0" t="s">
        <v>2887</v>
      </c>
      <c r="D34544" s="0" t="s">
        <v>255</v>
      </c>
      <c r="E34544" s="0" t="s">
        <v>256</v>
      </c>
      <c r="F34544" s="0" t="s">
        <v>256</v>
      </c>
    </row>
    <row r="34546" customFormat="false" ht="12.8" hidden="false" customHeight="false" outlineLevel="0" collapsed="false">
      <c r="A34546" s="0" t="s">
        <v>12653</v>
      </c>
      <c r="B34546" s="0" t="str">
        <f aca="false">HYPERLINK("https://lindat.mff.cuni.cz/services/teitok/pdtc10/index.php?action=vallex&amp;frame=v-w4708f3_ZU", "předejít (v-w4708f3_ZU)")</f>
        <v>předejít (v-w4708f3_ZU)</v>
      </c>
    </row>
    <row r="34547" customFormat="false" ht="12.8" hidden="false" customHeight="false" outlineLevel="0" collapsed="false">
      <c r="B34547" s="0" t="s">
        <v>7</v>
      </c>
    </row>
    <row r="34548" customFormat="false" ht="12.8" hidden="false" customHeight="false" outlineLevel="0" collapsed="false">
      <c r="B34548" s="0" t="s">
        <v>12635</v>
      </c>
    </row>
    <row r="34550" customFormat="false" ht="12.8" hidden="false" customHeight="false" outlineLevel="0" collapsed="false">
      <c r="A34550" s="0" t="s">
        <v>12653</v>
      </c>
      <c r="B34550" s="0" t="str">
        <f aca="false">HYPERLINK("https://lindat.mff.cuni.cz/services/teitok/pdtc10/index.php?action=vallex&amp;frame=v-w4708f2", "předejít (v-w4708f2) - substituted with v-w4708f3_ZU")</f>
        <v>předejít (v-w4708f2) - substituted with v-w4708f3_ZU</v>
      </c>
    </row>
    <row r="34551" customFormat="false" ht="12.8" hidden="false" customHeight="false" outlineLevel="0" collapsed="false">
      <c r="B34551" s="0" t="s">
        <v>7</v>
      </c>
      <c r="D34551" s="0" t="s">
        <v>12639</v>
      </c>
      <c r="E34551" s="0" t="s">
        <v>12639</v>
      </c>
      <c r="F34551" s="0" t="s">
        <v>12639</v>
      </c>
    </row>
    <row r="34552" customFormat="false" ht="12.8" hidden="false" customHeight="false" outlineLevel="0" collapsed="false">
      <c r="B34552" s="0" t="s">
        <v>12635</v>
      </c>
      <c r="D34552" s="0" t="s">
        <v>12641</v>
      </c>
      <c r="E34552" s="0" t="s">
        <v>12641</v>
      </c>
      <c r="F34552" s="0" t="s">
        <v>12641</v>
      </c>
    </row>
    <row r="34554" customFormat="false" ht="12.8" hidden="false" customHeight="false" outlineLevel="0" collapsed="false">
      <c r="A34554" s="0" t="s">
        <v>12654</v>
      </c>
      <c r="B34554" s="0" t="str">
        <f aca="false">HYPERLINK("https://lindat.mff.cuni.cz/services/teitok/pdtc10/index.php?action=vallex&amp;frame=v-w4712f1", "předepisovat (v-w4712f1)")</f>
        <v>předepisovat (v-w4712f1)</v>
      </c>
    </row>
    <row r="34555" customFormat="false" ht="12.8" hidden="false" customHeight="false" outlineLevel="0" collapsed="false">
      <c r="B34555" s="0" t="s">
        <v>7</v>
      </c>
      <c r="C34555" s="0" t="s">
        <v>1154</v>
      </c>
      <c r="D34555" s="0" t="s">
        <v>10073</v>
      </c>
      <c r="E34555" s="0" t="s">
        <v>10073</v>
      </c>
      <c r="F34555" s="0" t="s">
        <v>10073</v>
      </c>
    </row>
    <row r="34556" customFormat="false" ht="12.8" hidden="false" customHeight="false" outlineLevel="0" collapsed="false">
      <c r="B34556" s="0" t="s">
        <v>12655</v>
      </c>
      <c r="C34556" s="0" t="s">
        <v>469</v>
      </c>
      <c r="D34556" s="0" t="s">
        <v>10074</v>
      </c>
      <c r="E34556" s="0" t="s">
        <v>10074</v>
      </c>
      <c r="F34556" s="0" t="s">
        <v>10074</v>
      </c>
    </row>
    <row r="34557" customFormat="false" ht="12.8" hidden="false" customHeight="false" outlineLevel="0" collapsed="false">
      <c r="B34557" s="0" t="s">
        <v>48</v>
      </c>
      <c r="D34557" s="0" t="s">
        <v>10075</v>
      </c>
      <c r="E34557" s="0" t="s">
        <v>10075</v>
      </c>
      <c r="F34557" s="0" t="s">
        <v>10075</v>
      </c>
    </row>
    <row r="34559" customFormat="false" ht="12.8" hidden="false" customHeight="false" outlineLevel="0" collapsed="false">
      <c r="A34559" s="0" t="s">
        <v>12656</v>
      </c>
      <c r="B34559" s="0" t="str">
        <f aca="false">HYPERLINK("https://lindat.mff.cuni.cz/services/teitok/pdtc10/index.php?action=vallex&amp;frame=v-w4714f1", "předepsat (v-w4714f1)")</f>
        <v>předepsat (v-w4714f1)</v>
      </c>
    </row>
    <row r="34560" customFormat="false" ht="12.8" hidden="false" customHeight="false" outlineLevel="0" collapsed="false">
      <c r="B34560" s="0" t="s">
        <v>7</v>
      </c>
      <c r="D34560" s="0" t="s">
        <v>10073</v>
      </c>
      <c r="E34560" s="0" t="s">
        <v>10073</v>
      </c>
      <c r="F34560" s="0" t="s">
        <v>10073</v>
      </c>
    </row>
    <row r="34561" customFormat="false" ht="12.8" hidden="false" customHeight="false" outlineLevel="0" collapsed="false">
      <c r="B34561" s="0" t="s">
        <v>12657</v>
      </c>
      <c r="D34561" s="0" t="s">
        <v>10074</v>
      </c>
      <c r="E34561" s="0" t="s">
        <v>10074</v>
      </c>
      <c r="F34561" s="0" t="s">
        <v>10074</v>
      </c>
    </row>
    <row r="34562" customFormat="false" ht="12.8" hidden="false" customHeight="false" outlineLevel="0" collapsed="false">
      <c r="B34562" s="0" t="s">
        <v>48</v>
      </c>
      <c r="D34562" s="0" t="s">
        <v>10075</v>
      </c>
      <c r="E34562" s="0" t="s">
        <v>10075</v>
      </c>
      <c r="F34562" s="0" t="s">
        <v>10075</v>
      </c>
    </row>
    <row r="34564" customFormat="false" ht="12.8" hidden="false" customHeight="false" outlineLevel="0" collapsed="false">
      <c r="A34564" s="0" t="s">
        <v>12658</v>
      </c>
      <c r="B34564" s="0" t="str">
        <f aca="false">HYPERLINK("https://lindat.mff.cuni.cz/services/teitok/pdtc10/index.php?action=vallex&amp;frame=v-whsa_321hsa_322", "předeslat (v-whsa_321hsa_322)")</f>
        <v>předeslat (v-whsa_321hsa_322)</v>
      </c>
    </row>
    <row r="34565" customFormat="false" ht="12.8" hidden="false" customHeight="false" outlineLevel="0" collapsed="false">
      <c r="B34565" s="0" t="s">
        <v>7</v>
      </c>
    </row>
    <row r="34566" customFormat="false" ht="12.8" hidden="false" customHeight="false" outlineLevel="0" collapsed="false">
      <c r="B34566" s="0" t="s">
        <v>54</v>
      </c>
    </row>
    <row r="34568" customFormat="false" ht="12.8" hidden="false" customHeight="false" outlineLevel="0" collapsed="false">
      <c r="A34568" s="0" t="s">
        <v>12659</v>
      </c>
      <c r="B34568" s="0" t="str">
        <f aca="false">HYPERLINK("https://lindat.mff.cuni.cz/services/teitok/pdtc10/index.php?action=vallex&amp;frame=v-w4715f1", "předestřít (v-w4715f1)")</f>
        <v>předestřít (v-w4715f1)</v>
      </c>
    </row>
    <row r="34569" customFormat="false" ht="12.8" hidden="false" customHeight="false" outlineLevel="0" collapsed="false">
      <c r="B34569" s="0" t="s">
        <v>7</v>
      </c>
    </row>
    <row r="34570" customFormat="false" ht="12.8" hidden="false" customHeight="false" outlineLevel="0" collapsed="false">
      <c r="B34570" s="0" t="s">
        <v>172</v>
      </c>
    </row>
    <row r="34571" customFormat="false" ht="12.8" hidden="false" customHeight="false" outlineLevel="0" collapsed="false">
      <c r="B34571" s="0" t="s">
        <v>48</v>
      </c>
    </row>
    <row r="34573" customFormat="false" ht="12.8" hidden="false" customHeight="false" outlineLevel="0" collapsed="false">
      <c r="A34573" s="0" t="s">
        <v>12660</v>
      </c>
      <c r="B34573" s="0" t="str">
        <f aca="false">HYPERLINK("https://lindat.mff.cuni.cz/services/teitok/pdtc10/index.php?action=vallex&amp;frame=v-w10369f2", "předhazovat (v-w10369f2)")</f>
        <v>předhazovat (v-w10369f2)</v>
      </c>
    </row>
    <row r="34574" customFormat="false" ht="12.8" hidden="false" customHeight="false" outlineLevel="0" collapsed="false">
      <c r="B34574" s="0" t="s">
        <v>7</v>
      </c>
    </row>
    <row r="34575" customFormat="false" ht="12.8" hidden="false" customHeight="false" outlineLevel="0" collapsed="false">
      <c r="B34575" s="0" t="s">
        <v>12661</v>
      </c>
    </row>
    <row r="34576" customFormat="false" ht="12.8" hidden="false" customHeight="false" outlineLevel="0" collapsed="false">
      <c r="B34576" s="0" t="s">
        <v>48</v>
      </c>
    </row>
    <row r="34578" customFormat="false" ht="12.8" hidden="false" customHeight="false" outlineLevel="0" collapsed="false">
      <c r="A34578" s="0" t="s">
        <v>12662</v>
      </c>
      <c r="B34578" s="0" t="str">
        <f aca="false">HYPERLINK("https://lindat.mff.cuni.cz/services/teitok/pdtc10/index.php?action=vallex&amp;frame=v-w4717f1", "předhánět (v-w4717f1)")</f>
        <v>předhánět (v-w4717f1)</v>
      </c>
    </row>
    <row r="34579" customFormat="false" ht="12.8" hidden="false" customHeight="false" outlineLevel="0" collapsed="false">
      <c r="B34579" s="0" t="s">
        <v>7</v>
      </c>
    </row>
    <row r="34580" customFormat="false" ht="12.8" hidden="false" customHeight="false" outlineLevel="0" collapsed="false">
      <c r="B34580" s="0" t="s">
        <v>14</v>
      </c>
    </row>
    <row r="34582" customFormat="false" ht="12.8" hidden="false" customHeight="false" outlineLevel="0" collapsed="false">
      <c r="A34582" s="0" t="s">
        <v>12663</v>
      </c>
      <c r="B34582" s="0" t="str">
        <f aca="false">HYPERLINK("https://lindat.mff.cuni.cz/services/teitok/pdtc10/index.php?action=vallex&amp;frame=v-w11371f2_ZU", "předhánět se (v-w11371f2_ZU)")</f>
        <v>předhánět se (v-w11371f2_ZU)</v>
      </c>
    </row>
    <row r="34583" customFormat="false" ht="12.8" hidden="false" customHeight="false" outlineLevel="0" collapsed="false">
      <c r="B34583" s="0" t="s">
        <v>7</v>
      </c>
      <c r="C34583" s="0" t="s">
        <v>309</v>
      </c>
      <c r="D34583" s="0" t="s">
        <v>316</v>
      </c>
      <c r="E34583" s="0" t="s">
        <v>316</v>
      </c>
      <c r="F34583" s="0" t="s">
        <v>316</v>
      </c>
    </row>
    <row r="34584" customFormat="false" ht="12.8" hidden="false" customHeight="false" outlineLevel="0" collapsed="false">
      <c r="B34584" s="0" t="s">
        <v>207</v>
      </c>
      <c r="D34584" s="0" t="s">
        <v>319</v>
      </c>
      <c r="E34584" s="0" t="s">
        <v>319</v>
      </c>
      <c r="F34584" s="0" t="s">
        <v>319</v>
      </c>
    </row>
    <row r="34585" customFormat="false" ht="12.8" hidden="false" customHeight="false" outlineLevel="0" collapsed="false">
      <c r="B34585" s="0" t="s">
        <v>12664</v>
      </c>
      <c r="C34585" s="0" t="s">
        <v>2788</v>
      </c>
      <c r="D34585" s="0" t="s">
        <v>322</v>
      </c>
      <c r="E34585" s="0" t="s">
        <v>322</v>
      </c>
      <c r="F34585" s="0" t="s">
        <v>322</v>
      </c>
    </row>
    <row r="34587" customFormat="false" ht="12.8" hidden="false" customHeight="false" outlineLevel="0" collapsed="false">
      <c r="A34587" s="0" t="s">
        <v>12663</v>
      </c>
      <c r="B34587" s="0" t="str">
        <f aca="false">HYPERLINK("https://lindat.mff.cuni.cz/services/teitok/pdtc10/index.php?action=vallex&amp;frame=v-w11371f1", "předhánět se (v-w11371f1) - substituted with v-w11371f2_ZU")</f>
        <v>předhánět se (v-w11371f1) - substituted with v-w11371f2_ZU</v>
      </c>
    </row>
    <row r="34588" customFormat="false" ht="12.8" hidden="false" customHeight="false" outlineLevel="0" collapsed="false">
      <c r="B34588" s="0" t="s">
        <v>7</v>
      </c>
      <c r="C34588" s="0" t="s">
        <v>465</v>
      </c>
    </row>
    <row r="34589" customFormat="false" ht="12.8" hidden="false" customHeight="false" outlineLevel="0" collapsed="false">
      <c r="B34589" s="0" t="s">
        <v>207</v>
      </c>
    </row>
    <row r="34590" customFormat="false" ht="12.8" hidden="false" customHeight="false" outlineLevel="0" collapsed="false">
      <c r="B34590" s="0" t="s">
        <v>12664</v>
      </c>
    </row>
    <row r="34592" customFormat="false" ht="12.8" hidden="false" customHeight="false" outlineLevel="0" collapsed="false">
      <c r="A34592" s="0" t="s">
        <v>12665</v>
      </c>
      <c r="B34592" s="0" t="str">
        <f aca="false">HYPERLINK("https://lindat.mff.cuni.cz/services/teitok/pdtc10/index.php?action=vallex&amp;frame=v-w4722f1", "předimenzovat (v-w4722f1)")</f>
        <v>předimenzovat (v-w4722f1)</v>
      </c>
    </row>
    <row r="34593" customFormat="false" ht="12.8" hidden="false" customHeight="false" outlineLevel="0" collapsed="false">
      <c r="B34593" s="0" t="s">
        <v>7</v>
      </c>
    </row>
    <row r="34594" customFormat="false" ht="12.8" hidden="false" customHeight="false" outlineLevel="0" collapsed="false">
      <c r="B34594" s="0" t="s">
        <v>14</v>
      </c>
    </row>
    <row r="34596" customFormat="false" ht="12.8" hidden="false" customHeight="false" outlineLevel="0" collapsed="false">
      <c r="A34596" s="0" t="s">
        <v>12666</v>
      </c>
      <c r="B34596" s="0" t="str">
        <f aca="false">HYPERLINK("https://lindat.mff.cuni.cz/services/teitok/pdtc10/index.php?action=vallex&amp;frame=v-w12135_ZUf2_ZU", "předjet (v-w12135_ZUf2_ZU)")</f>
        <v>předjet (v-w12135_ZUf2_ZU)</v>
      </c>
    </row>
    <row r="34597" customFormat="false" ht="12.8" hidden="false" customHeight="false" outlineLevel="0" collapsed="false">
      <c r="B34597" s="0" t="s">
        <v>7</v>
      </c>
    </row>
    <row r="34598" customFormat="false" ht="12.8" hidden="false" customHeight="false" outlineLevel="0" collapsed="false">
      <c r="B34598" s="0" t="s">
        <v>14</v>
      </c>
    </row>
    <row r="34600" customFormat="false" ht="12.8" hidden="false" customHeight="false" outlineLevel="0" collapsed="false">
      <c r="A34600" s="0" t="s">
        <v>12666</v>
      </c>
      <c r="B34600" s="0" t="str">
        <f aca="false">HYPERLINK("https://lindat.mff.cuni.cz/services/teitok/pdtc10/index.php?action=vallex&amp;frame=v-w12135_ZUf1_ZU", "předjet (v-w12135_ZUf1_ZU) - substituted with v-w12135_ZUf2_ZU")</f>
        <v>předjet (v-w12135_ZUf1_ZU) - substituted with v-w12135_ZUf2_ZU</v>
      </c>
    </row>
    <row r="34601" customFormat="false" ht="12.8" hidden="false" customHeight="false" outlineLevel="0" collapsed="false">
      <c r="B34601" s="0" t="s">
        <v>7</v>
      </c>
    </row>
    <row r="34602" customFormat="false" ht="12.8" hidden="false" customHeight="false" outlineLevel="0" collapsed="false">
      <c r="B34602" s="0" t="s">
        <v>14</v>
      </c>
    </row>
    <row r="34604" customFormat="false" ht="12.8" hidden="false" customHeight="false" outlineLevel="0" collapsed="false">
      <c r="A34604" s="0" t="s">
        <v>12667</v>
      </c>
      <c r="B34604" s="0" t="str">
        <f aca="false">HYPERLINK("https://lindat.mff.cuni.cz/services/teitok/pdtc10/index.php?action=vallex&amp;frame=v-w4724f2_ZU", "předjímat (v-w4724f2_ZU)")</f>
        <v>předjímat (v-w4724f2_ZU)</v>
      </c>
    </row>
    <row r="34605" customFormat="false" ht="12.8" hidden="false" customHeight="false" outlineLevel="0" collapsed="false">
      <c r="B34605" s="0" t="s">
        <v>7</v>
      </c>
      <c r="C34605" s="0" t="s">
        <v>9604</v>
      </c>
      <c r="D34605" s="0" t="s">
        <v>2266</v>
      </c>
      <c r="E34605" s="0" t="s">
        <v>2266</v>
      </c>
      <c r="F34605" s="0" t="s">
        <v>2266</v>
      </c>
    </row>
    <row r="34606" customFormat="false" ht="12.8" hidden="false" customHeight="false" outlineLevel="0" collapsed="false">
      <c r="B34606" s="0" t="s">
        <v>54</v>
      </c>
      <c r="C34606" s="0" t="s">
        <v>1720</v>
      </c>
      <c r="D34606" s="0" t="s">
        <v>4118</v>
      </c>
      <c r="E34606" s="0" t="s">
        <v>4118</v>
      </c>
      <c r="F34606" s="0" t="s">
        <v>4118</v>
      </c>
    </row>
    <row r="34608" customFormat="false" ht="12.8" hidden="false" customHeight="false" outlineLevel="0" collapsed="false">
      <c r="A34608" s="0" t="s">
        <v>12667</v>
      </c>
      <c r="B34608" s="0" t="str">
        <f aca="false">HYPERLINK("https://lindat.mff.cuni.cz/services/teitok/pdtc10/index.php?action=vallex&amp;frame=v-w4724f1", "předjímat (v-w4724f1) - substituted with v-w4724f2_ZU")</f>
        <v>předjímat (v-w4724f1) - substituted with v-w4724f2_ZU</v>
      </c>
    </row>
    <row r="34609" customFormat="false" ht="12.8" hidden="false" customHeight="false" outlineLevel="0" collapsed="false">
      <c r="B34609" s="0" t="s">
        <v>7</v>
      </c>
      <c r="C34609" s="0" t="s">
        <v>184</v>
      </c>
    </row>
    <row r="34610" customFormat="false" ht="12.8" hidden="false" customHeight="false" outlineLevel="0" collapsed="false">
      <c r="B34610" s="0" t="s">
        <v>54</v>
      </c>
      <c r="C34610" s="0" t="s">
        <v>115</v>
      </c>
    </row>
    <row r="34612" customFormat="false" ht="12.8" hidden="false" customHeight="false" outlineLevel="0" collapsed="false">
      <c r="A34612" s="0" t="s">
        <v>12668</v>
      </c>
      <c r="B34612" s="0" t="str">
        <f aca="false">HYPERLINK("https://lindat.mff.cuni.cz/services/teitok/pdtc10/index.php?action=vallex&amp;frame=v-w4726f1", "předjíždět (v-w4726f1)")</f>
        <v>předjíždět (v-w4726f1)</v>
      </c>
    </row>
    <row r="34613" customFormat="false" ht="12.8" hidden="false" customHeight="false" outlineLevel="0" collapsed="false">
      <c r="B34613" s="0" t="s">
        <v>7</v>
      </c>
    </row>
    <row r="34614" customFormat="false" ht="12.8" hidden="false" customHeight="false" outlineLevel="0" collapsed="false">
      <c r="B34614" s="0" t="s">
        <v>14</v>
      </c>
    </row>
    <row r="34616" customFormat="false" ht="12.8" hidden="false" customHeight="false" outlineLevel="0" collapsed="false">
      <c r="A34616" s="0" t="s">
        <v>12669</v>
      </c>
      <c r="B34616" s="0" t="str">
        <f aca="false">HYPERLINK("https://lindat.mff.cuni.cz/services/teitok/pdtc10/index.php?action=vallex&amp;frame=v-w11246f1", "předklonit se (v-w11246f1)")</f>
        <v>předklonit se (v-w11246f1)</v>
      </c>
    </row>
    <row r="34617" customFormat="false" ht="12.8" hidden="false" customHeight="false" outlineLevel="0" collapsed="false">
      <c r="B34617" s="0" t="s">
        <v>7</v>
      </c>
      <c r="C34617" s="0" t="s">
        <v>9062</v>
      </c>
      <c r="D34617" s="0" t="s">
        <v>6550</v>
      </c>
      <c r="E34617" s="0" t="s">
        <v>6550</v>
      </c>
      <c r="F34617" s="0" t="s">
        <v>6550</v>
      </c>
    </row>
    <row r="34619" customFormat="false" ht="12.8" hidden="false" customHeight="false" outlineLevel="0" collapsed="false">
      <c r="A34619" s="0" t="s">
        <v>12670</v>
      </c>
      <c r="B34619" s="0" t="str">
        <f aca="false">HYPERLINK("https://lindat.mff.cuni.cz/services/teitok/pdtc10/index.php?action=vallex&amp;frame=v-w4728f1", "předkládat (v-w4728f1)")</f>
        <v>předkládat (v-w4728f1)</v>
      </c>
    </row>
    <row r="34620" customFormat="false" ht="12.8" hidden="false" customHeight="false" outlineLevel="0" collapsed="false">
      <c r="B34620" s="0" t="s">
        <v>7</v>
      </c>
      <c r="C34620" s="0" t="s">
        <v>431</v>
      </c>
      <c r="D34620" s="0" t="s">
        <v>3009</v>
      </c>
      <c r="E34620" s="0" t="s">
        <v>3009</v>
      </c>
      <c r="F34620" s="0" t="s">
        <v>3009</v>
      </c>
    </row>
    <row r="34621" customFormat="false" ht="12.8" hidden="false" customHeight="false" outlineLevel="0" collapsed="false">
      <c r="B34621" s="0" t="s">
        <v>1520</v>
      </c>
      <c r="C34621" s="0" t="s">
        <v>12671</v>
      </c>
      <c r="D34621" s="0" t="s">
        <v>3070</v>
      </c>
      <c r="E34621" s="0" t="s">
        <v>3070</v>
      </c>
      <c r="F34621" s="0" t="s">
        <v>3070</v>
      </c>
    </row>
    <row r="34622" customFormat="false" ht="12.8" hidden="false" customHeight="false" outlineLevel="0" collapsed="false">
      <c r="B34622" s="0" t="s">
        <v>48</v>
      </c>
      <c r="C34622" s="0" t="s">
        <v>10124</v>
      </c>
      <c r="D34622" s="0" t="s">
        <v>2952</v>
      </c>
      <c r="E34622" s="0" t="s">
        <v>2952</v>
      </c>
      <c r="F34622" s="0" t="s">
        <v>2952</v>
      </c>
    </row>
    <row r="34624" customFormat="false" ht="12.8" hidden="false" customHeight="false" outlineLevel="0" collapsed="false">
      <c r="A34624" s="0" t="s">
        <v>12672</v>
      </c>
      <c r="B34624" s="0" t="str">
        <f aca="false">HYPERLINK("https://lindat.mff.cuni.cz/services/teitok/pdtc10/index.php?action=vallex&amp;frame=v-w4733f1", "předložit (v-w4733f1)")</f>
        <v>předložit (v-w4733f1)</v>
      </c>
    </row>
    <row r="34625" customFormat="false" ht="12.8" hidden="false" customHeight="false" outlineLevel="0" collapsed="false">
      <c r="B34625" s="0" t="s">
        <v>7</v>
      </c>
      <c r="C34625" s="0" t="s">
        <v>12673</v>
      </c>
      <c r="D34625" s="0" t="s">
        <v>12674</v>
      </c>
      <c r="E34625" s="0" t="s">
        <v>12674</v>
      </c>
      <c r="F34625" s="0" t="s">
        <v>12674</v>
      </c>
    </row>
    <row r="34626" customFormat="false" ht="12.8" hidden="false" customHeight="false" outlineLevel="0" collapsed="false">
      <c r="B34626" s="0" t="s">
        <v>14</v>
      </c>
      <c r="C34626" s="0" t="s">
        <v>12675</v>
      </c>
      <c r="D34626" s="0" t="s">
        <v>12676</v>
      </c>
      <c r="E34626" s="0" t="s">
        <v>12676</v>
      </c>
      <c r="F34626" s="0" t="s">
        <v>12676</v>
      </c>
    </row>
    <row r="34627" customFormat="false" ht="12.8" hidden="false" customHeight="false" outlineLevel="0" collapsed="false">
      <c r="B34627" s="0" t="s">
        <v>48</v>
      </c>
      <c r="C34627" s="0" t="s">
        <v>12677</v>
      </c>
      <c r="D34627" s="0" t="s">
        <v>12678</v>
      </c>
      <c r="E34627" s="0" t="s">
        <v>12678</v>
      </c>
      <c r="F34627" s="0" t="s">
        <v>12678</v>
      </c>
    </row>
    <row r="34629" customFormat="false" ht="12.8" hidden="false" customHeight="false" outlineLevel="0" collapsed="false">
      <c r="A34629" s="0" t="s">
        <v>12679</v>
      </c>
      <c r="B34629" s="0" t="str">
        <f aca="false">HYPERLINK("https://lindat.mff.cuni.cz/services/teitok/pdtc10/index.php?action=vallex&amp;frame=v-w4733f2", "předložit (v-w4733f2)")</f>
        <v>předložit (v-w4733f2)</v>
      </c>
    </row>
    <row r="34630" customFormat="false" ht="12.8" hidden="false" customHeight="false" outlineLevel="0" collapsed="false">
      <c r="B34630" s="0" t="s">
        <v>7</v>
      </c>
      <c r="C34630" s="0" t="s">
        <v>5768</v>
      </c>
      <c r="D34630" s="0" t="s">
        <v>3009</v>
      </c>
      <c r="E34630" s="0" t="s">
        <v>3009</v>
      </c>
      <c r="F34630" s="0" t="s">
        <v>3009</v>
      </c>
    </row>
    <row r="34631" customFormat="false" ht="12.8" hidden="false" customHeight="false" outlineLevel="0" collapsed="false">
      <c r="B34631" s="0" t="s">
        <v>14</v>
      </c>
      <c r="C34631" s="0" t="s">
        <v>8274</v>
      </c>
      <c r="D34631" s="0" t="s">
        <v>3070</v>
      </c>
      <c r="E34631" s="0" t="s">
        <v>3070</v>
      </c>
      <c r="F34631" s="0" t="s">
        <v>3070</v>
      </c>
    </row>
    <row r="34632" customFormat="false" ht="12.8" hidden="false" customHeight="false" outlineLevel="0" collapsed="false">
      <c r="B34632" s="0" t="s">
        <v>11</v>
      </c>
      <c r="C34632" s="0" t="s">
        <v>12680</v>
      </c>
      <c r="D34632" s="0" t="s">
        <v>12681</v>
      </c>
      <c r="E34632" s="0" t="s">
        <v>12681</v>
      </c>
      <c r="F34632" s="0" t="s">
        <v>12681</v>
      </c>
    </row>
    <row r="34634" customFormat="false" ht="12.8" hidden="false" customHeight="false" outlineLevel="0" collapsed="false">
      <c r="A34634" s="0" t="s">
        <v>12682</v>
      </c>
      <c r="B34634" s="0" t="str">
        <f aca="false">HYPERLINK("https://lindat.mff.cuni.cz/services/teitok/pdtc10/index.php?action=vallex&amp;frame=v-w4733f3", "předložit (v-w4733f3)")</f>
        <v>předložit (v-w4733f3)</v>
      </c>
    </row>
    <row r="34635" customFormat="false" ht="12.8" hidden="false" customHeight="false" outlineLevel="0" collapsed="false">
      <c r="B34635" s="0" t="s">
        <v>7</v>
      </c>
      <c r="C34635" s="0" t="s">
        <v>5057</v>
      </c>
      <c r="D34635" s="0" t="s">
        <v>1604</v>
      </c>
      <c r="E34635" s="0" t="s">
        <v>1604</v>
      </c>
      <c r="F34635" s="0" t="s">
        <v>1604</v>
      </c>
    </row>
    <row r="34636" customFormat="false" ht="12.8" hidden="false" customHeight="false" outlineLevel="0" collapsed="false">
      <c r="B34636" s="0" t="s">
        <v>14</v>
      </c>
      <c r="C34636" s="0" t="s">
        <v>7634</v>
      </c>
      <c r="D34636" s="0" t="s">
        <v>2139</v>
      </c>
      <c r="E34636" s="0" t="s">
        <v>2139</v>
      </c>
      <c r="F34636" s="0" t="s">
        <v>2139</v>
      </c>
    </row>
    <row r="34637" customFormat="false" ht="12.8" hidden="false" customHeight="false" outlineLevel="0" collapsed="false">
      <c r="B34637" s="0" t="s">
        <v>124</v>
      </c>
      <c r="C34637" s="0" t="s">
        <v>12683</v>
      </c>
      <c r="D34637" s="0" t="s">
        <v>12684</v>
      </c>
      <c r="E34637" s="0" t="s">
        <v>12684</v>
      </c>
      <c r="F34637" s="0" t="s">
        <v>12684</v>
      </c>
    </row>
    <row r="34639" customFormat="false" ht="12.8" hidden="false" customHeight="false" outlineLevel="0" collapsed="false">
      <c r="A34639" s="0" t="s">
        <v>12685</v>
      </c>
      <c r="B34639" s="0" t="str">
        <f aca="false">HYPERLINK("https://lindat.mff.cuni.cz/services/teitok/pdtc10/index.php?action=vallex&amp;frame=v-w4735f2", "přednášet (v-w4735f2)")</f>
        <v>přednášet (v-w4735f2)</v>
      </c>
    </row>
    <row r="34640" customFormat="false" ht="12.8" hidden="false" customHeight="false" outlineLevel="0" collapsed="false">
      <c r="B34640" s="0" t="s">
        <v>457</v>
      </c>
      <c r="C34640" s="0" t="s">
        <v>184</v>
      </c>
      <c r="D34640" s="0" t="s">
        <v>23</v>
      </c>
      <c r="E34640" s="0" t="s">
        <v>23</v>
      </c>
      <c r="F34640" s="0" t="s">
        <v>23</v>
      </c>
    </row>
    <row r="34641" customFormat="false" ht="12.8" hidden="false" customHeight="false" outlineLevel="0" collapsed="false">
      <c r="B34641" s="0" t="s">
        <v>12686</v>
      </c>
      <c r="C34641" s="0" t="s">
        <v>1628</v>
      </c>
      <c r="D34641" s="0" t="s">
        <v>7131</v>
      </c>
      <c r="E34641" s="0" t="s">
        <v>7131</v>
      </c>
      <c r="F34641" s="0" t="s">
        <v>7131</v>
      </c>
    </row>
    <row r="34642" customFormat="false" ht="12.8" hidden="false" customHeight="false" outlineLevel="0" collapsed="false">
      <c r="B34642" s="0" t="s">
        <v>106</v>
      </c>
      <c r="C34642" s="0" t="s">
        <v>2004</v>
      </c>
      <c r="D34642" s="0" t="s">
        <v>7133</v>
      </c>
      <c r="E34642" s="0" t="s">
        <v>7133</v>
      </c>
      <c r="F34642" s="0" t="s">
        <v>7133</v>
      </c>
    </row>
    <row r="34644" customFormat="false" ht="12.8" hidden="false" customHeight="false" outlineLevel="0" collapsed="false">
      <c r="A34644" s="0" t="s">
        <v>12687</v>
      </c>
      <c r="B34644" s="0" t="str">
        <f aca="false">HYPERLINK("https://lindat.mff.cuni.cz/services/teitok/pdtc10/index.php?action=vallex&amp;frame=v-w4735f1", "přednášet (v-w4735f1)")</f>
        <v>přednášet (v-w4735f1)</v>
      </c>
    </row>
    <row r="34645" customFormat="false" ht="12.8" hidden="false" customHeight="false" outlineLevel="0" collapsed="false">
      <c r="B34645" s="0" t="s">
        <v>7</v>
      </c>
      <c r="C34645" s="0" t="s">
        <v>3826</v>
      </c>
      <c r="D34645" s="0" t="s">
        <v>23</v>
      </c>
      <c r="E34645" s="0" t="s">
        <v>23</v>
      </c>
      <c r="F34645" s="0" t="s">
        <v>23</v>
      </c>
    </row>
    <row r="34646" customFormat="false" ht="12.8" hidden="false" customHeight="false" outlineLevel="0" collapsed="false">
      <c r="B34646" s="0" t="s">
        <v>14</v>
      </c>
      <c r="C34646" s="0" t="s">
        <v>12688</v>
      </c>
      <c r="D34646" s="0" t="s">
        <v>7131</v>
      </c>
      <c r="E34646" s="0" t="s">
        <v>7131</v>
      </c>
      <c r="F34646" s="0" t="s">
        <v>7131</v>
      </c>
    </row>
    <row r="34647" customFormat="false" ht="12.8" hidden="false" customHeight="false" outlineLevel="0" collapsed="false">
      <c r="B34647" s="0" t="s">
        <v>106</v>
      </c>
      <c r="C34647" s="0" t="s">
        <v>3829</v>
      </c>
      <c r="D34647" s="0" t="s">
        <v>7133</v>
      </c>
      <c r="E34647" s="0" t="s">
        <v>7133</v>
      </c>
      <c r="F34647" s="0" t="s">
        <v>7133</v>
      </c>
    </row>
    <row r="34649" customFormat="false" ht="12.8" hidden="false" customHeight="false" outlineLevel="0" collapsed="false">
      <c r="A34649" s="0" t="s">
        <v>12689</v>
      </c>
      <c r="B34649" s="0" t="str">
        <f aca="false">HYPERLINK("https://lindat.mff.cuni.cz/services/teitok/pdtc10/index.php?action=vallex&amp;frame=v-w4735f3", "přednášet (v-w4735f3)")</f>
        <v>přednášet (v-w4735f3)</v>
      </c>
    </row>
    <row r="34650" customFormat="false" ht="12.8" hidden="false" customHeight="false" outlineLevel="0" collapsed="false">
      <c r="B34650" s="0" t="s">
        <v>7</v>
      </c>
    </row>
    <row r="34651" customFormat="false" ht="12.8" hidden="false" customHeight="false" outlineLevel="0" collapsed="false">
      <c r="B34651" s="0" t="s">
        <v>12378</v>
      </c>
    </row>
    <row r="34652" customFormat="false" ht="12.8" hidden="false" customHeight="false" outlineLevel="0" collapsed="false">
      <c r="B34652" s="0" t="s">
        <v>363</v>
      </c>
    </row>
    <row r="34653" customFormat="false" ht="12.8" hidden="false" customHeight="false" outlineLevel="0" collapsed="false">
      <c r="B34653" s="0" t="s">
        <v>106</v>
      </c>
    </row>
    <row r="34655" customFormat="false" ht="12.8" hidden="false" customHeight="false" outlineLevel="0" collapsed="false">
      <c r="A34655" s="0" t="s">
        <v>12690</v>
      </c>
      <c r="B34655" s="0" t="str">
        <f aca="false">HYPERLINK("https://lindat.mff.cuni.cz/services/teitok/pdtc10/index.php?action=vallex&amp;frame=v-w4735hsa_866", "přednášet (v-w4735hsa_866)")</f>
        <v>přednášet (v-w4735hsa_866)</v>
      </c>
    </row>
    <row r="34656" customFormat="false" ht="12.8" hidden="false" customHeight="false" outlineLevel="0" collapsed="false">
      <c r="B34656" s="0" t="s">
        <v>7</v>
      </c>
      <c r="D34656" s="0" t="s">
        <v>23</v>
      </c>
      <c r="E34656" s="0" t="s">
        <v>23</v>
      </c>
      <c r="F34656" s="0" t="s">
        <v>23</v>
      </c>
    </row>
    <row r="34657" customFormat="false" ht="12.8" hidden="false" customHeight="false" outlineLevel="0" collapsed="false">
      <c r="B34657" s="0" t="s">
        <v>14</v>
      </c>
      <c r="D34657" s="0" t="s">
        <v>7131</v>
      </c>
      <c r="E34657" s="0" t="s">
        <v>7131</v>
      </c>
      <c r="F34657" s="0" t="s">
        <v>7131</v>
      </c>
    </row>
    <row r="34658" customFormat="false" ht="12.8" hidden="false" customHeight="false" outlineLevel="0" collapsed="false">
      <c r="B34658" s="0" t="s">
        <v>48</v>
      </c>
      <c r="D34658" s="0" t="s">
        <v>7133</v>
      </c>
      <c r="E34658" s="0" t="s">
        <v>7133</v>
      </c>
      <c r="F34658" s="0" t="s">
        <v>7133</v>
      </c>
    </row>
    <row r="34660" customFormat="false" ht="12.8" hidden="false" customHeight="false" outlineLevel="0" collapsed="false">
      <c r="A34660" s="0" t="s">
        <v>12691</v>
      </c>
      <c r="B34660" s="0" t="str">
        <f aca="false">HYPERLINK("https://lindat.mff.cuni.cz/services/teitok/pdtc10/index.php?action=vallex&amp;frame=v-w4737f1", "přednést (v-w4737f1)")</f>
        <v>přednést (v-w4737f1)</v>
      </c>
    </row>
    <row r="34661" customFormat="false" ht="12.8" hidden="false" customHeight="false" outlineLevel="0" collapsed="false">
      <c r="B34661" s="0" t="s">
        <v>7</v>
      </c>
      <c r="C34661" s="0" t="s">
        <v>12692</v>
      </c>
      <c r="D34661" s="0" t="s">
        <v>23</v>
      </c>
      <c r="E34661" s="0" t="s">
        <v>23</v>
      </c>
      <c r="F34661" s="0" t="s">
        <v>23</v>
      </c>
    </row>
    <row r="34662" customFormat="false" ht="12.8" hidden="false" customHeight="false" outlineLevel="0" collapsed="false">
      <c r="B34662" s="0" t="s">
        <v>14</v>
      </c>
      <c r="C34662" s="0" t="s">
        <v>12693</v>
      </c>
      <c r="D34662" s="0" t="s">
        <v>7131</v>
      </c>
      <c r="E34662" s="0" t="s">
        <v>7131</v>
      </c>
      <c r="F34662" s="0" t="s">
        <v>7131</v>
      </c>
    </row>
    <row r="34663" customFormat="false" ht="12.8" hidden="false" customHeight="false" outlineLevel="0" collapsed="false">
      <c r="B34663" s="0" t="s">
        <v>106</v>
      </c>
      <c r="C34663" s="0" t="s">
        <v>12694</v>
      </c>
      <c r="D34663" s="0" t="s">
        <v>7133</v>
      </c>
      <c r="E34663" s="0" t="s">
        <v>7133</v>
      </c>
      <c r="F34663" s="0" t="s">
        <v>7133</v>
      </c>
    </row>
    <row r="34665" customFormat="false" ht="12.8" hidden="false" customHeight="false" outlineLevel="0" collapsed="false">
      <c r="A34665" s="0" t="s">
        <v>12695</v>
      </c>
      <c r="B34665" s="0" t="str">
        <f aca="false">HYPERLINK("https://lindat.mff.cuni.cz/services/teitok/pdtc10/index.php?action=vallex&amp;frame=v-w4740f1", "předpisovat (v-w4740f1)")</f>
        <v>předpisovat (v-w4740f1)</v>
      </c>
    </row>
    <row r="34666" customFormat="false" ht="12.8" hidden="false" customHeight="false" outlineLevel="0" collapsed="false">
      <c r="B34666" s="0" t="s">
        <v>7</v>
      </c>
    </row>
    <row r="34667" customFormat="false" ht="12.8" hidden="false" customHeight="false" outlineLevel="0" collapsed="false">
      <c r="B34667" s="0" t="s">
        <v>9068</v>
      </c>
    </row>
    <row r="34668" customFormat="false" ht="12.8" hidden="false" customHeight="false" outlineLevel="0" collapsed="false">
      <c r="B34668" s="0" t="s">
        <v>48</v>
      </c>
    </row>
    <row r="34670" customFormat="false" ht="12.8" hidden="false" customHeight="false" outlineLevel="0" collapsed="false">
      <c r="A34670" s="0" t="s">
        <v>12696</v>
      </c>
      <c r="B34670" s="0" t="str">
        <f aca="false">HYPERLINK("https://lindat.mff.cuni.cz/services/teitok/pdtc10/index.php?action=vallex&amp;frame=v-w4741f1", "předplatit (v-w4741f1)")</f>
        <v>předplatit (v-w4741f1)</v>
      </c>
    </row>
    <row r="34671" customFormat="false" ht="12.8" hidden="false" customHeight="false" outlineLevel="0" collapsed="false">
      <c r="B34671" s="0" t="s">
        <v>7</v>
      </c>
      <c r="C34671" s="0" t="s">
        <v>113</v>
      </c>
    </row>
    <row r="34672" customFormat="false" ht="12.8" hidden="false" customHeight="false" outlineLevel="0" collapsed="false">
      <c r="B34672" s="0" t="s">
        <v>14</v>
      </c>
      <c r="C34672" s="0" t="s">
        <v>384</v>
      </c>
    </row>
    <row r="34674" customFormat="false" ht="12.8" hidden="false" customHeight="false" outlineLevel="0" collapsed="false">
      <c r="A34674" s="0" t="s">
        <v>12697</v>
      </c>
      <c r="B34674" s="0" t="str">
        <f aca="false">HYPERLINK("https://lindat.mff.cuni.cz/services/teitok/pdtc10/index.php?action=vallex&amp;frame=v-w10168f2", "předplácet (v-w10168f2)")</f>
        <v>předplácet (v-w10168f2)</v>
      </c>
    </row>
    <row r="34675" customFormat="false" ht="12.8" hidden="false" customHeight="false" outlineLevel="0" collapsed="false">
      <c r="B34675" s="0" t="s">
        <v>7</v>
      </c>
      <c r="C34675" s="0" t="s">
        <v>31</v>
      </c>
      <c r="D34675" s="0" t="s">
        <v>2736</v>
      </c>
      <c r="E34675" s="0" t="s">
        <v>2736</v>
      </c>
      <c r="F34675" s="0" t="s">
        <v>2736</v>
      </c>
    </row>
    <row r="34676" customFormat="false" ht="12.8" hidden="false" customHeight="false" outlineLevel="0" collapsed="false">
      <c r="B34676" s="0" t="s">
        <v>14</v>
      </c>
      <c r="C34676" s="0" t="s">
        <v>461</v>
      </c>
      <c r="D34676" s="0" t="s">
        <v>624</v>
      </c>
      <c r="E34676" s="0" t="s">
        <v>624</v>
      </c>
      <c r="F34676" s="0" t="s">
        <v>624</v>
      </c>
    </row>
    <row r="34678" customFormat="false" ht="12.8" hidden="false" customHeight="false" outlineLevel="0" collapsed="false">
      <c r="A34678" s="0" t="s">
        <v>12698</v>
      </c>
      <c r="B34678" s="0" t="str">
        <f aca="false">HYPERLINK("https://lindat.mff.cuni.cz/services/teitok/pdtc10/index.php?action=vallex&amp;frame=v-w4745f1", "předpokládat (v-w4745f1)")</f>
        <v>předpokládat (v-w4745f1)</v>
      </c>
    </row>
    <row r="34679" customFormat="false" ht="12.8" hidden="false" customHeight="false" outlineLevel="0" collapsed="false">
      <c r="B34679" s="0" t="s">
        <v>12699</v>
      </c>
      <c r="C34679" s="0" t="s">
        <v>12700</v>
      </c>
      <c r="D34679" s="0" t="s">
        <v>12701</v>
      </c>
      <c r="E34679" s="0" t="s">
        <v>12701</v>
      </c>
      <c r="F34679" s="0" t="s">
        <v>12701</v>
      </c>
    </row>
    <row r="34680" customFormat="false" ht="12.8" hidden="false" customHeight="false" outlineLevel="0" collapsed="false">
      <c r="B34680" s="0" t="s">
        <v>12702</v>
      </c>
      <c r="C34680" s="0" t="s">
        <v>12703</v>
      </c>
      <c r="D34680" s="0" t="s">
        <v>12704</v>
      </c>
      <c r="E34680" s="0" t="s">
        <v>12704</v>
      </c>
      <c r="F34680" s="0" t="s">
        <v>12704</v>
      </c>
    </row>
    <row r="34682" customFormat="false" ht="12.8" hidden="false" customHeight="false" outlineLevel="0" collapsed="false">
      <c r="A34682" s="0" t="s">
        <v>12705</v>
      </c>
      <c r="B34682" s="0" t="str">
        <f aca="false">HYPERLINK("https://lindat.mff.cuni.cz/services/teitok/pdtc10/index.php?action=vallex&amp;frame=v-w4745f2", "předpokládat (v-w4745f2)")</f>
        <v>předpokládat (v-w4745f2)</v>
      </c>
    </row>
    <row r="34683" customFormat="false" ht="12.8" hidden="false" customHeight="false" outlineLevel="0" collapsed="false">
      <c r="B34683" s="0" t="s">
        <v>7</v>
      </c>
      <c r="C34683" s="0" t="s">
        <v>12706</v>
      </c>
      <c r="D34683" s="0" t="s">
        <v>2022</v>
      </c>
      <c r="E34683" s="0" t="s">
        <v>2022</v>
      </c>
      <c r="F34683" s="0" t="s">
        <v>2022</v>
      </c>
    </row>
    <row r="34684" customFormat="false" ht="12.8" hidden="false" customHeight="false" outlineLevel="0" collapsed="false">
      <c r="B34684" s="0" t="s">
        <v>2023</v>
      </c>
      <c r="C34684" s="0" t="s">
        <v>12707</v>
      </c>
      <c r="D34684" s="0" t="s">
        <v>2025</v>
      </c>
      <c r="E34684" s="0" t="s">
        <v>2025</v>
      </c>
      <c r="F34684" s="0" t="s">
        <v>2025</v>
      </c>
    </row>
    <row r="34685" customFormat="false" ht="12.8" hidden="false" customHeight="false" outlineLevel="0" collapsed="false">
      <c r="B34685" s="0" t="s">
        <v>363</v>
      </c>
      <c r="C34685" s="0" t="s">
        <v>493</v>
      </c>
      <c r="D34685" s="0" t="s">
        <v>2027</v>
      </c>
      <c r="E34685" s="0" t="s">
        <v>2027</v>
      </c>
      <c r="F34685" s="0" t="s">
        <v>2027</v>
      </c>
    </row>
    <row r="34687" customFormat="false" ht="12.8" hidden="false" customHeight="false" outlineLevel="0" collapsed="false">
      <c r="A34687" s="0" t="s">
        <v>12708</v>
      </c>
      <c r="B34687" s="0" t="str">
        <f aca="false">HYPERLINK("https://lindat.mff.cuni.cz/services/teitok/pdtc10/index.php?action=vallex&amp;frame=v-w4749f1", "předpovídat (v-w4749f1)")</f>
        <v>předpovídat (v-w4749f1)</v>
      </c>
    </row>
    <row r="34688" customFormat="false" ht="12.8" hidden="false" customHeight="false" outlineLevel="0" collapsed="false">
      <c r="B34688" s="0" t="s">
        <v>7</v>
      </c>
      <c r="C34688" s="0" t="s">
        <v>3303</v>
      </c>
      <c r="D34688" s="0" t="s">
        <v>2266</v>
      </c>
      <c r="E34688" s="0" t="s">
        <v>2266</v>
      </c>
      <c r="F34688" s="0" t="s">
        <v>2266</v>
      </c>
    </row>
    <row r="34689" customFormat="false" ht="12.8" hidden="false" customHeight="false" outlineLevel="0" collapsed="false">
      <c r="B34689" s="0" t="s">
        <v>1520</v>
      </c>
      <c r="C34689" s="0" t="s">
        <v>12709</v>
      </c>
      <c r="D34689" s="0" t="s">
        <v>4118</v>
      </c>
      <c r="E34689" s="0" t="s">
        <v>4118</v>
      </c>
      <c r="F34689" s="0" t="s">
        <v>4118</v>
      </c>
    </row>
    <row r="34691" customFormat="false" ht="12.8" hidden="false" customHeight="false" outlineLevel="0" collapsed="false">
      <c r="A34691" s="0" t="s">
        <v>12710</v>
      </c>
      <c r="B34691" s="0" t="str">
        <f aca="false">HYPERLINK("https://lindat.mff.cuni.cz/services/teitok/pdtc10/index.php?action=vallex&amp;frame=v-w4747f1", "předpovědět (v-w4747f1)")</f>
        <v>předpovědět (v-w4747f1)</v>
      </c>
    </row>
    <row r="34692" customFormat="false" ht="12.8" hidden="false" customHeight="false" outlineLevel="0" collapsed="false">
      <c r="B34692" s="0" t="s">
        <v>7</v>
      </c>
      <c r="C34692" s="0" t="s">
        <v>12711</v>
      </c>
      <c r="D34692" s="0" t="s">
        <v>2266</v>
      </c>
      <c r="E34692" s="0" t="s">
        <v>2266</v>
      </c>
      <c r="F34692" s="0" t="s">
        <v>2266</v>
      </c>
    </row>
    <row r="34693" customFormat="false" ht="12.8" hidden="false" customHeight="false" outlineLevel="0" collapsed="false">
      <c r="B34693" s="0" t="s">
        <v>12712</v>
      </c>
      <c r="C34693" s="0" t="s">
        <v>12713</v>
      </c>
      <c r="D34693" s="0" t="s">
        <v>4118</v>
      </c>
      <c r="E34693" s="0" t="s">
        <v>4118</v>
      </c>
      <c r="F34693" s="0" t="s">
        <v>4118</v>
      </c>
    </row>
    <row r="34695" customFormat="false" ht="12.8" hidden="false" customHeight="false" outlineLevel="0" collapsed="false">
      <c r="A34695" s="0" t="s">
        <v>12714</v>
      </c>
      <c r="B34695" s="0" t="str">
        <f aca="false">HYPERLINK("https://lindat.mff.cuni.cz/services/teitok/pdtc10/index.php?action=vallex&amp;frame=v-w4751f1", "předražit (v-w4751f1)")</f>
        <v>předražit (v-w4751f1)</v>
      </c>
    </row>
    <row r="34696" customFormat="false" ht="12.8" hidden="false" customHeight="false" outlineLevel="0" collapsed="false">
      <c r="B34696" s="0" t="s">
        <v>7</v>
      </c>
    </row>
    <row r="34697" customFormat="false" ht="12.8" hidden="false" customHeight="false" outlineLevel="0" collapsed="false">
      <c r="B34697" s="0" t="s">
        <v>14</v>
      </c>
    </row>
    <row r="34699" customFormat="false" ht="12.8" hidden="false" customHeight="false" outlineLevel="0" collapsed="false">
      <c r="A34699" s="0" t="s">
        <v>12715</v>
      </c>
      <c r="B34699" s="0" t="str">
        <f aca="false">HYPERLINK("https://lindat.mff.cuni.cz/services/teitok/pdtc10/index.php?action=vallex&amp;frame=v-w4752f1", "předražovat (v-w4752f1)")</f>
        <v>předražovat (v-w4752f1)</v>
      </c>
    </row>
    <row r="34700" customFormat="false" ht="12.8" hidden="false" customHeight="false" outlineLevel="0" collapsed="false">
      <c r="B34700" s="0" t="s">
        <v>7</v>
      </c>
    </row>
    <row r="34701" customFormat="false" ht="12.8" hidden="false" customHeight="false" outlineLevel="0" collapsed="false">
      <c r="B34701" s="0" t="s">
        <v>14</v>
      </c>
    </row>
    <row r="34703" customFormat="false" ht="12.8" hidden="false" customHeight="false" outlineLevel="0" collapsed="false">
      <c r="A34703" s="0" t="s">
        <v>12716</v>
      </c>
      <c r="B34703" s="0" t="str">
        <f aca="false">HYPERLINK("https://lindat.mff.cuni.cz/services/teitok/pdtc10/index.php?action=vallex&amp;frame=v-w4756f1", "předsedat (v-w4756f1)")</f>
        <v>předsedat (v-w4756f1)</v>
      </c>
    </row>
    <row r="34704" customFormat="false" ht="12.8" hidden="false" customHeight="false" outlineLevel="0" collapsed="false">
      <c r="B34704" s="0" t="s">
        <v>7</v>
      </c>
      <c r="C34704" s="0" t="s">
        <v>1567</v>
      </c>
      <c r="D34704" s="0" t="s">
        <v>1604</v>
      </c>
      <c r="E34704" s="0" t="s">
        <v>1604</v>
      </c>
      <c r="F34704" s="0" t="s">
        <v>1604</v>
      </c>
    </row>
    <row r="34705" customFormat="false" ht="12.8" hidden="false" customHeight="false" outlineLevel="0" collapsed="false">
      <c r="B34705" s="0" t="s">
        <v>142</v>
      </c>
      <c r="C34705" s="0" t="s">
        <v>2739</v>
      </c>
      <c r="D34705" s="0" t="s">
        <v>1606</v>
      </c>
      <c r="E34705" s="0" t="s">
        <v>1606</v>
      </c>
      <c r="F34705" s="0" t="s">
        <v>1606</v>
      </c>
    </row>
    <row r="34707" customFormat="false" ht="12.8" hidden="false" customHeight="false" outlineLevel="0" collapsed="false">
      <c r="A34707" s="0" t="s">
        <v>12717</v>
      </c>
      <c r="B34707" s="0" t="str">
        <f aca="false">HYPERLINK("https://lindat.mff.cuni.cz/services/teitok/pdtc10/index.php?action=vallex&amp;frame=v-w4757f1", "předsevzít si (v-w4757f1)")</f>
        <v>předsevzít si (v-w4757f1)</v>
      </c>
    </row>
    <row r="34708" customFormat="false" ht="12.8" hidden="false" customHeight="false" outlineLevel="0" collapsed="false">
      <c r="B34708" s="0" t="s">
        <v>7</v>
      </c>
    </row>
    <row r="34709" customFormat="false" ht="12.8" hidden="false" customHeight="false" outlineLevel="0" collapsed="false">
      <c r="B34709" s="0" t="s">
        <v>6754</v>
      </c>
    </row>
    <row r="34711" customFormat="false" ht="12.8" hidden="false" customHeight="false" outlineLevel="0" collapsed="false">
      <c r="A34711" s="0" t="s">
        <v>12718</v>
      </c>
      <c r="B34711" s="0" t="str">
        <f aca="false">HYPERLINK("https://lindat.mff.cuni.cz/services/teitok/pdtc10/index.php?action=vallex&amp;frame=v-w4760f2", "představit (v-w4760f2)")</f>
        <v>představit (v-w4760f2)</v>
      </c>
    </row>
    <row r="34712" customFormat="false" ht="12.8" hidden="false" customHeight="false" outlineLevel="0" collapsed="false">
      <c r="B34712" s="0" t="s">
        <v>7</v>
      </c>
      <c r="C34712" s="0" t="s">
        <v>56</v>
      </c>
      <c r="D34712" s="0" t="s">
        <v>1553</v>
      </c>
      <c r="E34712" s="0" t="s">
        <v>1553</v>
      </c>
      <c r="F34712" s="0" t="s">
        <v>1553</v>
      </c>
    </row>
    <row r="34713" customFormat="false" ht="12.8" hidden="false" customHeight="false" outlineLevel="0" collapsed="false">
      <c r="B34713" s="0" t="s">
        <v>14</v>
      </c>
      <c r="C34713" s="0" t="s">
        <v>12719</v>
      </c>
      <c r="D34713" s="0" t="s">
        <v>1555</v>
      </c>
      <c r="E34713" s="0" t="s">
        <v>1555</v>
      </c>
      <c r="F34713" s="0" t="s">
        <v>1555</v>
      </c>
    </row>
    <row r="34714" customFormat="false" ht="12.8" hidden="false" customHeight="false" outlineLevel="0" collapsed="false">
      <c r="B34714" s="0" t="s">
        <v>48</v>
      </c>
      <c r="C34714" s="0" t="s">
        <v>1556</v>
      </c>
      <c r="D34714" s="0" t="s">
        <v>1556</v>
      </c>
      <c r="E34714" s="0" t="s">
        <v>1556</v>
      </c>
      <c r="F34714" s="0" t="s">
        <v>1556</v>
      </c>
    </row>
    <row r="34716" customFormat="false" ht="12.8" hidden="false" customHeight="false" outlineLevel="0" collapsed="false">
      <c r="A34716" s="0" t="s">
        <v>12720</v>
      </c>
      <c r="B34716" s="0" t="str">
        <f aca="false">HYPERLINK("https://lindat.mff.cuni.cz/services/teitok/pdtc10/index.php?action=vallex&amp;frame=v-w4760f1", "představit (v-w4760f1)")</f>
        <v>představit (v-w4760f1)</v>
      </c>
    </row>
    <row r="34717" customFormat="false" ht="12.8" hidden="false" customHeight="false" outlineLevel="0" collapsed="false">
      <c r="B34717" s="0" t="s">
        <v>7</v>
      </c>
      <c r="C34717" s="0" t="s">
        <v>12721</v>
      </c>
      <c r="D34717" s="0" t="s">
        <v>12722</v>
      </c>
      <c r="E34717" s="0" t="s">
        <v>12722</v>
      </c>
      <c r="F34717" s="0" t="s">
        <v>12722</v>
      </c>
    </row>
    <row r="34718" customFormat="false" ht="12.8" hidden="false" customHeight="false" outlineLevel="0" collapsed="false">
      <c r="B34718" s="0" t="s">
        <v>54</v>
      </c>
      <c r="C34718" s="0" t="s">
        <v>12723</v>
      </c>
      <c r="D34718" s="0" t="s">
        <v>12724</v>
      </c>
      <c r="E34718" s="0" t="s">
        <v>12724</v>
      </c>
      <c r="F34718" s="0" t="s">
        <v>12724</v>
      </c>
    </row>
    <row r="34719" customFormat="false" ht="12.8" hidden="false" customHeight="false" outlineLevel="0" collapsed="false">
      <c r="B34719" s="0" t="s">
        <v>106</v>
      </c>
      <c r="C34719" s="0" t="s">
        <v>12725</v>
      </c>
      <c r="D34719" s="0" t="s">
        <v>1556</v>
      </c>
      <c r="E34719" s="0" t="s">
        <v>1556</v>
      </c>
      <c r="F34719" s="0" t="s">
        <v>1556</v>
      </c>
    </row>
    <row r="34721" customFormat="false" ht="12.8" hidden="false" customHeight="false" outlineLevel="0" collapsed="false">
      <c r="A34721" s="0" t="s">
        <v>12726</v>
      </c>
      <c r="B34721" s="0" t="str">
        <f aca="false">HYPERLINK("https://lindat.mff.cuni.cz/services/teitok/pdtc10/index.php?action=vallex&amp;frame=v-w4760f4", "představit (v-w4760f4)")</f>
        <v>představit (v-w4760f4)</v>
      </c>
    </row>
    <row r="34722" customFormat="false" ht="12.8" hidden="false" customHeight="false" outlineLevel="0" collapsed="false">
      <c r="B34722" s="0" t="s">
        <v>632</v>
      </c>
    </row>
    <row r="34723" customFormat="false" ht="12.8" hidden="false" customHeight="false" outlineLevel="0" collapsed="false">
      <c r="B34723" s="0" t="s">
        <v>5859</v>
      </c>
    </row>
    <row r="34725" customFormat="false" ht="12.8" hidden="false" customHeight="false" outlineLevel="0" collapsed="false">
      <c r="A34725" s="0" t="s">
        <v>12727</v>
      </c>
      <c r="B34725" s="0" t="str">
        <f aca="false">HYPERLINK("https://lindat.mff.cuni.cz/services/teitok/pdtc10/index.php?action=vallex&amp;frame=v-w4760f3", "představit (v-w4760f3)")</f>
        <v>představit (v-w4760f3)</v>
      </c>
    </row>
    <row r="34726" customFormat="false" ht="12.8" hidden="false" customHeight="false" outlineLevel="0" collapsed="false">
      <c r="B34726" s="0" t="s">
        <v>7</v>
      </c>
    </row>
    <row r="34727" customFormat="false" ht="12.8" hidden="false" customHeight="false" outlineLevel="0" collapsed="false">
      <c r="B34727" s="0" t="s">
        <v>14</v>
      </c>
    </row>
    <row r="34729" customFormat="false" ht="12.8" hidden="false" customHeight="false" outlineLevel="0" collapsed="false">
      <c r="A34729" s="0" t="s">
        <v>12728</v>
      </c>
      <c r="B34729" s="0" t="str">
        <f aca="false">HYPERLINK("https://lindat.mff.cuni.cz/services/teitok/pdtc10/index.php?action=vallex&amp;frame=v-w4763f1", "představit se (v-w4763f1)")</f>
        <v>představit se (v-w4763f1)</v>
      </c>
    </row>
    <row r="34730" customFormat="false" ht="12.8" hidden="false" customHeight="false" outlineLevel="0" collapsed="false">
      <c r="B34730" s="0" t="s">
        <v>7</v>
      </c>
      <c r="C34730" s="0" t="s">
        <v>2797</v>
      </c>
      <c r="F34730" s="0" t="s">
        <v>12729</v>
      </c>
    </row>
    <row r="34731" customFormat="false" ht="12.8" hidden="false" customHeight="false" outlineLevel="0" collapsed="false">
      <c r="B34731" s="0" t="s">
        <v>142</v>
      </c>
      <c r="C34731" s="0" t="s">
        <v>12730</v>
      </c>
      <c r="F34731" s="0" t="s">
        <v>1210</v>
      </c>
    </row>
    <row r="34733" customFormat="false" ht="12.8" hidden="false" customHeight="false" outlineLevel="0" collapsed="false">
      <c r="A34733" s="0" t="s">
        <v>12731</v>
      </c>
      <c r="B34733" s="0" t="str">
        <f aca="false">HYPERLINK("https://lindat.mff.cuni.cz/services/teitok/pdtc10/index.php?action=vallex&amp;frame=v-w4764f2", "představit si (v-w4764f2)")</f>
        <v>představit si (v-w4764f2)</v>
      </c>
    </row>
    <row r="34734" customFormat="false" ht="12.8" hidden="false" customHeight="false" outlineLevel="0" collapsed="false">
      <c r="B34734" s="0" t="s">
        <v>7</v>
      </c>
    </row>
    <row r="34735" customFormat="false" ht="12.8" hidden="false" customHeight="false" outlineLevel="0" collapsed="false">
      <c r="B34735" s="0" t="s">
        <v>1361</v>
      </c>
    </row>
    <row r="34736" customFormat="false" ht="12.8" hidden="false" customHeight="false" outlineLevel="0" collapsed="false">
      <c r="B34736" s="0" t="s">
        <v>1925</v>
      </c>
    </row>
    <row r="34738" customFormat="false" ht="12.8" hidden="false" customHeight="false" outlineLevel="0" collapsed="false">
      <c r="A34738" s="0" t="s">
        <v>12732</v>
      </c>
      <c r="B34738" s="0" t="str">
        <f aca="false">HYPERLINK("https://lindat.mff.cuni.cz/services/teitok/pdtc10/index.php?action=vallex&amp;frame=v-w4764f4_ZU", "představit si (v-w4764f4_ZU)")</f>
        <v>představit si (v-w4764f4_ZU)</v>
      </c>
    </row>
    <row r="34739" customFormat="false" ht="12.8" hidden="false" customHeight="false" outlineLevel="0" collapsed="false">
      <c r="B34739" s="0" t="s">
        <v>7</v>
      </c>
    </row>
    <row r="34740" customFormat="false" ht="12.8" hidden="false" customHeight="false" outlineLevel="0" collapsed="false">
      <c r="B34740" s="0" t="s">
        <v>12733</v>
      </c>
    </row>
    <row r="34742" customFormat="false" ht="12.8" hidden="false" customHeight="false" outlineLevel="0" collapsed="false">
      <c r="A34742" s="0" t="s">
        <v>12732</v>
      </c>
      <c r="B34742" s="0" t="str">
        <f aca="false">HYPERLINK("https://lindat.mff.cuni.cz/services/teitok/pdtc10/index.php?action=vallex&amp;frame=v-w4764f1", "představit si (v-w4764f1) - substituted with v-w4764f4_ZU")</f>
        <v>představit si (v-w4764f1) - substituted with v-w4764f4_ZU</v>
      </c>
    </row>
    <row r="34743" customFormat="false" ht="12.8" hidden="false" customHeight="false" outlineLevel="0" collapsed="false">
      <c r="B34743" s="0" t="s">
        <v>7</v>
      </c>
      <c r="C34743" s="0" t="s">
        <v>12734</v>
      </c>
      <c r="D34743" s="0" t="s">
        <v>21</v>
      </c>
      <c r="E34743" s="0" t="s">
        <v>21</v>
      </c>
      <c r="F34743" s="0" t="s">
        <v>21</v>
      </c>
    </row>
    <row r="34744" customFormat="false" ht="12.8" hidden="false" customHeight="false" outlineLevel="0" collapsed="false">
      <c r="B34744" s="0" t="s">
        <v>12733</v>
      </c>
      <c r="C34744" s="0" t="s">
        <v>12735</v>
      </c>
      <c r="D34744" s="0" t="s">
        <v>5444</v>
      </c>
      <c r="E34744" s="0" t="s">
        <v>5444</v>
      </c>
      <c r="F34744" s="0" t="s">
        <v>5444</v>
      </c>
    </row>
    <row r="34746" customFormat="false" ht="12.8" hidden="false" customHeight="false" outlineLevel="0" collapsed="false">
      <c r="A34746" s="0" t="s">
        <v>12732</v>
      </c>
      <c r="B34746" s="0" t="str">
        <f aca="false">HYPERLINK("https://lindat.mff.cuni.cz/services/teitok/pdtc10/index.php?action=vallex&amp;frame=v-w4764f3_ZU", "představit si (v-w4764f3_ZU) - substituted with v-w4764f4_ZU")</f>
        <v>představit si (v-w4764f3_ZU) - substituted with v-w4764f4_ZU</v>
      </c>
    </row>
    <row r="34747" customFormat="false" ht="12.8" hidden="false" customHeight="false" outlineLevel="0" collapsed="false">
      <c r="B34747" s="0" t="s">
        <v>7</v>
      </c>
    </row>
    <row r="34748" customFormat="false" ht="12.8" hidden="false" customHeight="false" outlineLevel="0" collapsed="false">
      <c r="B34748" s="0" t="s">
        <v>12733</v>
      </c>
    </row>
    <row r="34750" customFormat="false" ht="12.8" hidden="false" customHeight="false" outlineLevel="0" collapsed="false">
      <c r="A34750" s="0" t="s">
        <v>12736</v>
      </c>
      <c r="B34750" s="0" t="str">
        <f aca="false">HYPERLINK("https://lindat.mff.cuni.cz/services/teitok/pdtc10/index.php?action=vallex&amp;frame=v-w4764hsa_1090", "představit si (v-w4764hsa_1090)")</f>
        <v>představit si (v-w4764hsa_1090)</v>
      </c>
    </row>
    <row r="34751" customFormat="false" ht="12.8" hidden="false" customHeight="false" outlineLevel="0" collapsed="false">
      <c r="B34751" s="0" t="s">
        <v>7</v>
      </c>
      <c r="C34751" s="0" t="s">
        <v>460</v>
      </c>
    </row>
    <row r="34752" customFormat="false" ht="12.8" hidden="false" customHeight="false" outlineLevel="0" collapsed="false">
      <c r="B34752" s="0" t="s">
        <v>2607</v>
      </c>
      <c r="C34752" s="0" t="s">
        <v>12002</v>
      </c>
    </row>
    <row r="34753" customFormat="false" ht="12.8" hidden="false" customHeight="false" outlineLevel="0" collapsed="false">
      <c r="B34753" s="0" t="s">
        <v>363</v>
      </c>
    </row>
    <row r="34755" customFormat="false" ht="12.8" hidden="false" customHeight="false" outlineLevel="0" collapsed="false">
      <c r="A34755" s="0" t="s">
        <v>12737</v>
      </c>
      <c r="B34755" s="0" t="str">
        <f aca="false">HYPERLINK("https://lindat.mff.cuni.cz/services/teitok/pdtc10/index.php?action=vallex&amp;frame=v-w4766f2", "představovat (v-w4766f2)")</f>
        <v>představovat (v-w4766f2)</v>
      </c>
    </row>
    <row r="34756" customFormat="false" ht="12.8" hidden="false" customHeight="false" outlineLevel="0" collapsed="false">
      <c r="B34756" s="0" t="s">
        <v>7</v>
      </c>
      <c r="C34756" s="0" t="s">
        <v>335</v>
      </c>
      <c r="D34756" s="0" t="s">
        <v>1553</v>
      </c>
      <c r="E34756" s="0" t="s">
        <v>1553</v>
      </c>
      <c r="F34756" s="0" t="s">
        <v>1553</v>
      </c>
    </row>
    <row r="34757" customFormat="false" ht="12.8" hidden="false" customHeight="false" outlineLevel="0" collapsed="false">
      <c r="B34757" s="0" t="s">
        <v>14</v>
      </c>
      <c r="C34757" s="0" t="s">
        <v>120</v>
      </c>
      <c r="D34757" s="0" t="s">
        <v>1555</v>
      </c>
      <c r="E34757" s="0" t="s">
        <v>1555</v>
      </c>
      <c r="F34757" s="0" t="s">
        <v>1555</v>
      </c>
    </row>
    <row r="34758" customFormat="false" ht="12.8" hidden="false" customHeight="false" outlineLevel="0" collapsed="false">
      <c r="B34758" s="0" t="s">
        <v>48</v>
      </c>
      <c r="C34758" s="0" t="s">
        <v>1556</v>
      </c>
      <c r="D34758" s="0" t="s">
        <v>1556</v>
      </c>
      <c r="E34758" s="0" t="s">
        <v>1556</v>
      </c>
      <c r="F34758" s="0" t="s">
        <v>1556</v>
      </c>
    </row>
    <row r="34760" customFormat="false" ht="12.8" hidden="false" customHeight="false" outlineLevel="0" collapsed="false">
      <c r="A34760" s="0" t="s">
        <v>12738</v>
      </c>
      <c r="B34760" s="0" t="str">
        <f aca="false">HYPERLINK("https://lindat.mff.cuni.cz/services/teitok/pdtc10/index.php?action=vallex&amp;frame=v-w4766f3", "představovat (v-w4766f3)")</f>
        <v>představovat (v-w4766f3)</v>
      </c>
    </row>
    <row r="34761" customFormat="false" ht="12.8" hidden="false" customHeight="false" outlineLevel="0" collapsed="false">
      <c r="B34761" s="0" t="s">
        <v>7</v>
      </c>
      <c r="C34761" s="0" t="s">
        <v>2256</v>
      </c>
      <c r="D34761" s="0" t="s">
        <v>3051</v>
      </c>
      <c r="E34761" s="0" t="s">
        <v>3051</v>
      </c>
      <c r="F34761" s="0" t="s">
        <v>3051</v>
      </c>
    </row>
    <row r="34762" customFormat="false" ht="12.8" hidden="false" customHeight="false" outlineLevel="0" collapsed="false">
      <c r="B34762" s="0" t="s">
        <v>54</v>
      </c>
      <c r="C34762" s="0" t="s">
        <v>12739</v>
      </c>
      <c r="D34762" s="0" t="s">
        <v>6202</v>
      </c>
      <c r="E34762" s="0" t="s">
        <v>6202</v>
      </c>
      <c r="F34762" s="0" t="s">
        <v>6202</v>
      </c>
    </row>
    <row r="34763" customFormat="false" ht="12.8" hidden="false" customHeight="false" outlineLevel="0" collapsed="false">
      <c r="B34763" s="0" t="s">
        <v>106</v>
      </c>
    </row>
    <row r="34765" customFormat="false" ht="12.8" hidden="false" customHeight="false" outlineLevel="0" collapsed="false">
      <c r="A34765" s="0" t="s">
        <v>12740</v>
      </c>
      <c r="B34765" s="0" t="str">
        <f aca="false">HYPERLINK("https://lindat.mff.cuni.cz/services/teitok/pdtc10/index.php?action=vallex&amp;frame=v-w4766f1", "představovat (v-w4766f1)")</f>
        <v>představovat (v-w4766f1)</v>
      </c>
    </row>
    <row r="34766" customFormat="false" ht="12.8" hidden="false" customHeight="false" outlineLevel="0" collapsed="false">
      <c r="B34766" s="0" t="s">
        <v>632</v>
      </c>
      <c r="C34766" s="0" t="s">
        <v>12741</v>
      </c>
      <c r="D34766" s="0" t="s">
        <v>12742</v>
      </c>
      <c r="E34766" s="0" t="s">
        <v>12742</v>
      </c>
      <c r="F34766" s="0" t="s">
        <v>12742</v>
      </c>
    </row>
    <row r="34767" customFormat="false" ht="12.8" hidden="false" customHeight="false" outlineLevel="0" collapsed="false">
      <c r="B34767" s="0" t="s">
        <v>5859</v>
      </c>
      <c r="C34767" s="0" t="s">
        <v>12743</v>
      </c>
      <c r="D34767" s="0" t="s">
        <v>12744</v>
      </c>
      <c r="E34767" s="0" t="s">
        <v>12744</v>
      </c>
      <c r="F34767" s="0" t="s">
        <v>12744</v>
      </c>
    </row>
    <row r="34769" customFormat="false" ht="12.8" hidden="false" customHeight="false" outlineLevel="0" collapsed="false">
      <c r="A34769" s="0" t="s">
        <v>12745</v>
      </c>
      <c r="B34769" s="0" t="str">
        <f aca="false">HYPERLINK("https://lindat.mff.cuni.cz/services/teitok/pdtc10/index.php?action=vallex&amp;frame=v-w4767f1", "představovat se (v-w4767f1)")</f>
        <v>představovat se (v-w4767f1)</v>
      </c>
    </row>
    <row r="34770" customFormat="false" ht="12.8" hidden="false" customHeight="false" outlineLevel="0" collapsed="false">
      <c r="B34770" s="0" t="s">
        <v>7</v>
      </c>
      <c r="F34770" s="0" t="s">
        <v>12729</v>
      </c>
    </row>
    <row r="34771" customFormat="false" ht="12.8" hidden="false" customHeight="false" outlineLevel="0" collapsed="false">
      <c r="B34771" s="0" t="s">
        <v>142</v>
      </c>
      <c r="F34771" s="0" t="s">
        <v>1210</v>
      </c>
    </row>
    <row r="34773" customFormat="false" ht="12.8" hidden="false" customHeight="false" outlineLevel="0" collapsed="false">
      <c r="A34773" s="0" t="s">
        <v>12746</v>
      </c>
      <c r="B34773" s="0" t="str">
        <f aca="false">HYPERLINK("https://lindat.mff.cuni.cz/services/teitok/pdtc10/index.php?action=vallex&amp;frame=v-w4768f3", "představovat si (v-w4768f3)")</f>
        <v>představovat si (v-w4768f3)</v>
      </c>
    </row>
    <row r="34774" customFormat="false" ht="12.8" hidden="false" customHeight="false" outlineLevel="0" collapsed="false">
      <c r="B34774" s="0" t="s">
        <v>7</v>
      </c>
    </row>
    <row r="34775" customFormat="false" ht="12.8" hidden="false" customHeight="false" outlineLevel="0" collapsed="false">
      <c r="B34775" s="0" t="s">
        <v>1361</v>
      </c>
    </row>
    <row r="34776" customFormat="false" ht="12.8" hidden="false" customHeight="false" outlineLevel="0" collapsed="false">
      <c r="B34776" s="0" t="s">
        <v>1925</v>
      </c>
    </row>
    <row r="34778" customFormat="false" ht="12.8" hidden="false" customHeight="false" outlineLevel="0" collapsed="false">
      <c r="A34778" s="0" t="s">
        <v>12747</v>
      </c>
      <c r="B34778" s="0" t="str">
        <f aca="false">HYPERLINK("https://lindat.mff.cuni.cz/services/teitok/pdtc10/index.php?action=vallex&amp;frame=v-w4768f1", "představovat si (v-w4768f1)")</f>
        <v>představovat si (v-w4768f1)</v>
      </c>
    </row>
    <row r="34779" customFormat="false" ht="12.8" hidden="false" customHeight="false" outlineLevel="0" collapsed="false">
      <c r="B34779" s="0" t="s">
        <v>7</v>
      </c>
      <c r="C34779" s="0" t="s">
        <v>3918</v>
      </c>
      <c r="D34779" s="0" t="s">
        <v>21</v>
      </c>
      <c r="E34779" s="0" t="s">
        <v>21</v>
      </c>
      <c r="F34779" s="0" t="s">
        <v>21</v>
      </c>
    </row>
    <row r="34780" customFormat="false" ht="12.8" hidden="false" customHeight="false" outlineLevel="0" collapsed="false">
      <c r="B34780" s="0" t="s">
        <v>1451</v>
      </c>
      <c r="C34780" s="0" t="s">
        <v>1289</v>
      </c>
      <c r="D34780" s="0" t="s">
        <v>5444</v>
      </c>
      <c r="E34780" s="0" t="s">
        <v>5444</v>
      </c>
      <c r="F34780" s="0" t="s">
        <v>5444</v>
      </c>
    </row>
    <row r="34782" customFormat="false" ht="12.8" hidden="false" customHeight="false" outlineLevel="0" collapsed="false">
      <c r="A34782" s="0" t="s">
        <v>12748</v>
      </c>
      <c r="B34782" s="0" t="str">
        <f aca="false">HYPERLINK("https://lindat.mff.cuni.cz/services/teitok/pdtc10/index.php?action=vallex&amp;frame=v-w4768f2", "představovat si (v-w4768f2)")</f>
        <v>představovat si (v-w4768f2)</v>
      </c>
    </row>
    <row r="34783" customFormat="false" ht="12.8" hidden="false" customHeight="false" outlineLevel="0" collapsed="false">
      <c r="B34783" s="0" t="s">
        <v>7</v>
      </c>
      <c r="C34783" s="0" t="s">
        <v>460</v>
      </c>
    </row>
    <row r="34784" customFormat="false" ht="12.8" hidden="false" customHeight="false" outlineLevel="0" collapsed="false">
      <c r="B34784" s="0" t="s">
        <v>14</v>
      </c>
      <c r="C34784" s="0" t="s">
        <v>1264</v>
      </c>
    </row>
    <row r="34785" customFormat="false" ht="12.8" hidden="false" customHeight="false" outlineLevel="0" collapsed="false">
      <c r="B34785" s="0" t="s">
        <v>474</v>
      </c>
    </row>
    <row r="34786" customFormat="false" ht="12.8" hidden="false" customHeight="false" outlineLevel="0" collapsed="false">
      <c r="B34786" s="0" t="s">
        <v>479</v>
      </c>
    </row>
    <row r="34787" customFormat="false" ht="12.8" hidden="false" customHeight="false" outlineLevel="0" collapsed="false">
      <c r="B34787" s="0" t="s">
        <v>483</v>
      </c>
    </row>
    <row r="34789" customFormat="false" ht="12.8" hidden="false" customHeight="false" outlineLevel="0" collapsed="false">
      <c r="A34789" s="0" t="s">
        <v>12749</v>
      </c>
      <c r="B34789" s="0" t="str">
        <f aca="false">HYPERLINK("https://lindat.mff.cuni.cz/services/teitok/pdtc10/index.php?action=vallex&amp;frame=v-w4771f1", "předstihnout (v-w4771f1)")</f>
        <v>předstihnout (v-w4771f1)</v>
      </c>
    </row>
    <row r="34790" customFormat="false" ht="12.8" hidden="false" customHeight="false" outlineLevel="0" collapsed="false">
      <c r="B34790" s="0" t="s">
        <v>7</v>
      </c>
      <c r="C34790" s="0" t="s">
        <v>1261</v>
      </c>
      <c r="D34790" s="0" t="s">
        <v>8314</v>
      </c>
      <c r="E34790" s="0" t="s">
        <v>8314</v>
      </c>
      <c r="F34790" s="0" t="s">
        <v>8314</v>
      </c>
    </row>
    <row r="34791" customFormat="false" ht="12.8" hidden="false" customHeight="false" outlineLevel="0" collapsed="false">
      <c r="B34791" s="0" t="s">
        <v>14</v>
      </c>
      <c r="C34791" s="0" t="s">
        <v>12750</v>
      </c>
      <c r="D34791" s="0" t="s">
        <v>8316</v>
      </c>
      <c r="E34791" s="0" t="s">
        <v>8316</v>
      </c>
      <c r="F34791" s="0" t="s">
        <v>8316</v>
      </c>
    </row>
    <row r="34793" customFormat="false" ht="12.8" hidden="false" customHeight="false" outlineLevel="0" collapsed="false">
      <c r="A34793" s="0" t="s">
        <v>12751</v>
      </c>
      <c r="B34793" s="0" t="str">
        <f aca="false">HYPERLINK("https://lindat.mff.cuni.cz/services/teitok/pdtc10/index.php?action=vallex&amp;frame=v-w10775f2", "předstihovat (v-w10775f2)")</f>
        <v>předstihovat (v-w10775f2)</v>
      </c>
    </row>
    <row r="34794" customFormat="false" ht="12.8" hidden="false" customHeight="false" outlineLevel="0" collapsed="false">
      <c r="B34794" s="0" t="s">
        <v>7</v>
      </c>
      <c r="C34794" s="0" t="s">
        <v>118</v>
      </c>
    </row>
    <row r="34795" customFormat="false" ht="12.8" hidden="false" customHeight="false" outlineLevel="0" collapsed="false">
      <c r="B34795" s="0" t="s">
        <v>14</v>
      </c>
      <c r="C34795" s="0" t="s">
        <v>624</v>
      </c>
    </row>
    <row r="34797" customFormat="false" ht="12.8" hidden="false" customHeight="false" outlineLevel="0" collapsed="false">
      <c r="A34797" s="0" t="s">
        <v>12752</v>
      </c>
      <c r="B34797" s="0" t="str">
        <f aca="false">HYPERLINK("https://lindat.mff.cuni.cz/services/teitok/pdtc10/index.php?action=vallex&amp;frame=v-w4773f1", "předstoupit (v-w4773f1)")</f>
        <v>předstoupit (v-w4773f1)</v>
      </c>
    </row>
    <row r="34798" customFormat="false" ht="12.8" hidden="false" customHeight="false" outlineLevel="0" collapsed="false">
      <c r="B34798" s="0" t="s">
        <v>7</v>
      </c>
      <c r="C34798" s="0" t="s">
        <v>12753</v>
      </c>
      <c r="D34798" s="0" t="s">
        <v>114</v>
      </c>
      <c r="E34798" s="0" t="s">
        <v>114</v>
      </c>
      <c r="F34798" s="0" t="s">
        <v>114</v>
      </c>
    </row>
    <row r="34799" customFormat="false" ht="12.8" hidden="false" customHeight="false" outlineLevel="0" collapsed="false">
      <c r="B34799" s="0" t="s">
        <v>124</v>
      </c>
      <c r="D34799" s="0" t="s">
        <v>12754</v>
      </c>
      <c r="E34799" s="0" t="s">
        <v>12754</v>
      </c>
      <c r="F34799" s="0" t="s">
        <v>12754</v>
      </c>
    </row>
    <row r="34801" customFormat="false" ht="12.8" hidden="false" customHeight="false" outlineLevel="0" collapsed="false">
      <c r="A34801" s="0" t="s">
        <v>12755</v>
      </c>
      <c r="B34801" s="0" t="str">
        <f aca="false">HYPERLINK("https://lindat.mff.cuni.cz/services/teitok/pdtc10/index.php?action=vallex&amp;frame=v-w4774f1", "předstupovat (v-w4774f1)")</f>
        <v>předstupovat (v-w4774f1)</v>
      </c>
    </row>
    <row r="34802" customFormat="false" ht="12.8" hidden="false" customHeight="false" outlineLevel="0" collapsed="false">
      <c r="B34802" s="0" t="s">
        <v>7</v>
      </c>
    </row>
    <row r="34803" customFormat="false" ht="12.8" hidden="false" customHeight="false" outlineLevel="0" collapsed="false">
      <c r="B34803" s="0" t="s">
        <v>124</v>
      </c>
    </row>
    <row r="34805" customFormat="false" ht="12.8" hidden="false" customHeight="false" outlineLevel="0" collapsed="false">
      <c r="A34805" s="0" t="s">
        <v>12756</v>
      </c>
      <c r="B34805" s="0" t="str">
        <f aca="false">HYPERLINK("https://lindat.mff.cuni.cz/services/teitok/pdtc10/index.php?action=vallex&amp;frame=v-w4772f1", "předstírat (v-w4772f1)")</f>
        <v>předstírat (v-w4772f1)</v>
      </c>
    </row>
    <row r="34806" customFormat="false" ht="12.8" hidden="false" customHeight="false" outlineLevel="0" collapsed="false">
      <c r="B34806" s="0" t="s">
        <v>7</v>
      </c>
      <c r="C34806" s="0" t="s">
        <v>46</v>
      </c>
    </row>
    <row r="34807" customFormat="false" ht="12.8" hidden="false" customHeight="false" outlineLevel="0" collapsed="false">
      <c r="B34807" s="0" t="s">
        <v>172</v>
      </c>
      <c r="C34807" s="0" t="s">
        <v>1170</v>
      </c>
      <c r="D34807" s="0" t="s">
        <v>115</v>
      </c>
      <c r="E34807" s="0" t="s">
        <v>115</v>
      </c>
      <c r="F34807" s="0" t="s">
        <v>115</v>
      </c>
    </row>
    <row r="34809" customFormat="false" ht="12.8" hidden="false" customHeight="false" outlineLevel="0" collapsed="false">
      <c r="A34809" s="0" t="s">
        <v>12757</v>
      </c>
      <c r="B34809" s="0" t="str">
        <f aca="false">HYPERLINK("https://lindat.mff.cuni.cz/services/teitok/pdtc10/index.php?action=vallex&amp;frame=v-w10387f2", "předtočit (v-w10387f2)")</f>
        <v>předtočit (v-w10387f2)</v>
      </c>
    </row>
    <row r="34810" customFormat="false" ht="12.8" hidden="false" customHeight="false" outlineLevel="0" collapsed="false">
      <c r="B34810" s="0" t="s">
        <v>7</v>
      </c>
    </row>
    <row r="34811" customFormat="false" ht="12.8" hidden="false" customHeight="false" outlineLevel="0" collapsed="false">
      <c r="B34811" s="0" t="s">
        <v>14</v>
      </c>
    </row>
    <row r="34813" customFormat="false" ht="12.8" hidden="false" customHeight="false" outlineLevel="0" collapsed="false">
      <c r="A34813" s="0" t="s">
        <v>12758</v>
      </c>
      <c r="B34813" s="0" t="str">
        <f aca="false">HYPERLINK("https://lindat.mff.cuni.cz/services/teitok/pdtc10/index.php?action=vallex&amp;frame=v-w4777f2", "předurčit (v-w4777f2)")</f>
        <v>předurčit (v-w4777f2)</v>
      </c>
    </row>
    <row r="34814" customFormat="false" ht="12.8" hidden="false" customHeight="false" outlineLevel="0" collapsed="false">
      <c r="B34814" s="0" t="s">
        <v>7</v>
      </c>
    </row>
    <row r="34815" customFormat="false" ht="12.8" hidden="false" customHeight="false" outlineLevel="0" collapsed="false">
      <c r="B34815" s="0" t="s">
        <v>2313</v>
      </c>
    </row>
    <row r="34816" customFormat="false" ht="12.8" hidden="false" customHeight="false" outlineLevel="0" collapsed="false">
      <c r="B34816" s="0" t="s">
        <v>48</v>
      </c>
    </row>
    <row r="34818" customFormat="false" ht="12.8" hidden="false" customHeight="false" outlineLevel="0" collapsed="false">
      <c r="A34818" s="0" t="s">
        <v>12759</v>
      </c>
      <c r="B34818" s="0" t="str">
        <f aca="false">HYPERLINK("https://lindat.mff.cuni.cz/services/teitok/pdtc10/index.php?action=vallex&amp;frame=v-w4777f3", "předurčit (v-w4777f3)")</f>
        <v>předurčit (v-w4777f3)</v>
      </c>
    </row>
    <row r="34819" customFormat="false" ht="12.8" hidden="false" customHeight="false" outlineLevel="0" collapsed="false">
      <c r="B34819" s="0" t="s">
        <v>7</v>
      </c>
    </row>
    <row r="34820" customFormat="false" ht="12.8" hidden="false" customHeight="false" outlineLevel="0" collapsed="false">
      <c r="B34820" s="0" t="s">
        <v>14</v>
      </c>
    </row>
    <row r="34821" customFormat="false" ht="12.8" hidden="false" customHeight="false" outlineLevel="0" collapsed="false">
      <c r="B34821" s="0" t="s">
        <v>12760</v>
      </c>
    </row>
    <row r="34823" customFormat="false" ht="12.8" hidden="false" customHeight="false" outlineLevel="0" collapsed="false">
      <c r="A34823" s="0" t="s">
        <v>12761</v>
      </c>
      <c r="B34823" s="0" t="str">
        <f aca="false">HYPERLINK("https://lindat.mff.cuni.cz/services/teitok/pdtc10/index.php?action=vallex&amp;frame=v-w4777f1", "předurčit (v-w4777f1)")</f>
        <v>předurčit (v-w4777f1)</v>
      </c>
    </row>
    <row r="34824" customFormat="false" ht="12.8" hidden="false" customHeight="false" outlineLevel="0" collapsed="false">
      <c r="B34824" s="0" t="s">
        <v>7</v>
      </c>
      <c r="C34824" s="0" t="s">
        <v>46</v>
      </c>
      <c r="D34824" s="0" t="s">
        <v>46</v>
      </c>
      <c r="E34824" s="0" t="s">
        <v>46</v>
      </c>
      <c r="F34824" s="0" t="s">
        <v>46</v>
      </c>
    </row>
    <row r="34825" customFormat="false" ht="12.8" hidden="false" customHeight="false" outlineLevel="0" collapsed="false">
      <c r="B34825" s="0" t="s">
        <v>14</v>
      </c>
      <c r="C34825" s="0" t="s">
        <v>567</v>
      </c>
      <c r="D34825" s="0" t="s">
        <v>567</v>
      </c>
      <c r="E34825" s="0" t="s">
        <v>567</v>
      </c>
      <c r="F34825" s="0" t="s">
        <v>567</v>
      </c>
    </row>
    <row r="34827" customFormat="false" ht="12.8" hidden="false" customHeight="false" outlineLevel="0" collapsed="false">
      <c r="A34827" s="0" t="s">
        <v>12762</v>
      </c>
      <c r="B34827" s="0" t="str">
        <f aca="false">HYPERLINK("https://lindat.mff.cuni.cz/services/teitok/pdtc10/index.php?action=vallex&amp;frame=v-w4778f2", "předurčovat (v-w4778f2)")</f>
        <v>předurčovat (v-w4778f2)</v>
      </c>
    </row>
    <row r="34828" customFormat="false" ht="12.8" hidden="false" customHeight="false" outlineLevel="0" collapsed="false">
      <c r="B34828" s="0" t="s">
        <v>7</v>
      </c>
    </row>
    <row r="34829" customFormat="false" ht="12.8" hidden="false" customHeight="false" outlineLevel="0" collapsed="false">
      <c r="B34829" s="0" t="s">
        <v>2313</v>
      </c>
    </row>
    <row r="34830" customFormat="false" ht="12.8" hidden="false" customHeight="false" outlineLevel="0" collapsed="false">
      <c r="B34830" s="0" t="s">
        <v>48</v>
      </c>
    </row>
    <row r="34832" customFormat="false" ht="12.8" hidden="false" customHeight="false" outlineLevel="0" collapsed="false">
      <c r="A34832" s="0" t="s">
        <v>12763</v>
      </c>
      <c r="B34832" s="0" t="str">
        <f aca="false">HYPERLINK("https://lindat.mff.cuni.cz/services/teitok/pdtc10/index.php?action=vallex&amp;frame=v-w4778f3", "předurčovat (v-w4778f3)")</f>
        <v>předurčovat (v-w4778f3)</v>
      </c>
    </row>
    <row r="34833" customFormat="false" ht="12.8" hidden="false" customHeight="false" outlineLevel="0" collapsed="false">
      <c r="B34833" s="0" t="s">
        <v>7</v>
      </c>
    </row>
    <row r="34834" customFormat="false" ht="12.8" hidden="false" customHeight="false" outlineLevel="0" collapsed="false">
      <c r="B34834" s="0" t="s">
        <v>14</v>
      </c>
    </row>
    <row r="34835" customFormat="false" ht="12.8" hidden="false" customHeight="false" outlineLevel="0" collapsed="false">
      <c r="B34835" s="0" t="s">
        <v>12760</v>
      </c>
    </row>
    <row r="34837" customFormat="false" ht="12.8" hidden="false" customHeight="false" outlineLevel="0" collapsed="false">
      <c r="A34837" s="0" t="s">
        <v>12764</v>
      </c>
      <c r="B34837" s="0" t="str">
        <f aca="false">HYPERLINK("https://lindat.mff.cuni.cz/services/teitok/pdtc10/index.php?action=vallex&amp;frame=v-w4778f1", "předurčovat (v-w4778f1)")</f>
        <v>předurčovat (v-w4778f1)</v>
      </c>
    </row>
    <row r="34838" customFormat="false" ht="12.8" hidden="false" customHeight="false" outlineLevel="0" collapsed="false">
      <c r="B34838" s="0" t="s">
        <v>7</v>
      </c>
      <c r="D34838" s="0" t="s">
        <v>46</v>
      </c>
      <c r="E34838" s="0" t="s">
        <v>46</v>
      </c>
      <c r="F34838" s="0" t="s">
        <v>46</v>
      </c>
    </row>
    <row r="34839" customFormat="false" ht="12.8" hidden="false" customHeight="false" outlineLevel="0" collapsed="false">
      <c r="B34839" s="0" t="s">
        <v>14</v>
      </c>
      <c r="D34839" s="0" t="s">
        <v>567</v>
      </c>
      <c r="E34839" s="0" t="s">
        <v>567</v>
      </c>
      <c r="F34839" s="0" t="s">
        <v>567</v>
      </c>
    </row>
    <row r="34841" customFormat="false" ht="12.8" hidden="false" customHeight="false" outlineLevel="0" collapsed="false">
      <c r="A34841" s="0" t="s">
        <v>12765</v>
      </c>
      <c r="B34841" s="0" t="str">
        <f aca="false">HYPERLINK("https://lindat.mff.cuni.cz/services/teitok/pdtc10/index.php?action=vallex&amp;frame=v-w4786f1", "předvolat (v-w4786f1)")</f>
        <v>předvolat (v-w4786f1)</v>
      </c>
    </row>
    <row r="34842" customFormat="false" ht="12.8" hidden="false" customHeight="false" outlineLevel="0" collapsed="false">
      <c r="B34842" s="0" t="s">
        <v>7</v>
      </c>
      <c r="C34842" s="0" t="s">
        <v>118</v>
      </c>
      <c r="D34842" s="0" t="s">
        <v>12766</v>
      </c>
      <c r="E34842" s="0" t="s">
        <v>12766</v>
      </c>
      <c r="F34842" s="0" t="s">
        <v>12766</v>
      </c>
    </row>
    <row r="34843" customFormat="false" ht="12.8" hidden="false" customHeight="false" outlineLevel="0" collapsed="false">
      <c r="B34843" s="0" t="s">
        <v>14</v>
      </c>
      <c r="C34843" s="0" t="s">
        <v>159</v>
      </c>
      <c r="D34843" s="0" t="s">
        <v>12767</v>
      </c>
      <c r="E34843" s="0" t="s">
        <v>12767</v>
      </c>
      <c r="F34843" s="0" t="s">
        <v>12767</v>
      </c>
    </row>
    <row r="34845" customFormat="false" ht="12.8" hidden="false" customHeight="false" outlineLevel="0" collapsed="false">
      <c r="A34845" s="0" t="s">
        <v>12768</v>
      </c>
      <c r="B34845" s="0" t="str">
        <f aca="false">HYPERLINK("https://lindat.mff.cuni.cz/services/teitok/pdtc10/index.php?action=vallex&amp;frame=v-w4787f1", "předvolávat (v-w4787f1)")</f>
        <v>předvolávat (v-w4787f1)</v>
      </c>
    </row>
    <row r="34846" customFormat="false" ht="12.8" hidden="false" customHeight="false" outlineLevel="0" collapsed="false">
      <c r="B34846" s="0" t="s">
        <v>7</v>
      </c>
      <c r="D34846" s="0" t="s">
        <v>504</v>
      </c>
      <c r="E34846" s="0" t="s">
        <v>504</v>
      </c>
      <c r="F34846" s="0" t="s">
        <v>504</v>
      </c>
    </row>
    <row r="34847" customFormat="false" ht="12.8" hidden="false" customHeight="false" outlineLevel="0" collapsed="false">
      <c r="B34847" s="0" t="s">
        <v>14</v>
      </c>
      <c r="D34847" s="0" t="s">
        <v>1146</v>
      </c>
      <c r="E34847" s="0" t="s">
        <v>1146</v>
      </c>
      <c r="F34847" s="0" t="s">
        <v>1146</v>
      </c>
    </row>
    <row r="34849" customFormat="false" ht="12.8" hidden="false" customHeight="false" outlineLevel="0" collapsed="false">
      <c r="A34849" s="0" t="s">
        <v>12769</v>
      </c>
      <c r="B34849" s="0" t="str">
        <f aca="false">HYPERLINK("https://lindat.mff.cuni.cz/services/teitok/pdtc10/index.php?action=vallex&amp;frame=v-w4779f1", "předvádět (v-w4779f1)")</f>
        <v>předvádět (v-w4779f1)</v>
      </c>
    </row>
    <row r="34850" customFormat="false" ht="12.8" hidden="false" customHeight="false" outlineLevel="0" collapsed="false">
      <c r="B34850" s="0" t="s">
        <v>7</v>
      </c>
      <c r="C34850" s="0" t="s">
        <v>12770</v>
      </c>
      <c r="D34850" s="0" t="s">
        <v>1553</v>
      </c>
      <c r="E34850" s="0" t="s">
        <v>1553</v>
      </c>
      <c r="F34850" s="0" t="s">
        <v>1553</v>
      </c>
    </row>
    <row r="34851" customFormat="false" ht="12.8" hidden="false" customHeight="false" outlineLevel="0" collapsed="false">
      <c r="B34851" s="0" t="s">
        <v>12771</v>
      </c>
      <c r="C34851" s="0" t="s">
        <v>12772</v>
      </c>
      <c r="D34851" s="0" t="s">
        <v>1555</v>
      </c>
      <c r="E34851" s="0" t="s">
        <v>1555</v>
      </c>
      <c r="F34851" s="0" t="s">
        <v>1555</v>
      </c>
    </row>
    <row r="34852" customFormat="false" ht="12.8" hidden="false" customHeight="false" outlineLevel="0" collapsed="false">
      <c r="B34852" s="0" t="s">
        <v>48</v>
      </c>
      <c r="C34852" s="0" t="s">
        <v>11117</v>
      </c>
      <c r="D34852" s="0" t="s">
        <v>1556</v>
      </c>
      <c r="E34852" s="0" t="s">
        <v>1556</v>
      </c>
      <c r="F34852" s="0" t="s">
        <v>1556</v>
      </c>
    </row>
    <row r="34854" customFormat="false" ht="12.8" hidden="false" customHeight="false" outlineLevel="0" collapsed="false">
      <c r="A34854" s="0" t="s">
        <v>12773</v>
      </c>
      <c r="B34854" s="0" t="str">
        <f aca="false">HYPERLINK("https://lindat.mff.cuni.cz/services/teitok/pdtc10/index.php?action=vallex&amp;frame=v-w4780f2_ZU", "předvádět se (v-w4780f2_ZU)")</f>
        <v>předvádět se (v-w4780f2_ZU)</v>
      </c>
    </row>
    <row r="34855" customFormat="false" ht="12.8" hidden="false" customHeight="false" outlineLevel="0" collapsed="false">
      <c r="B34855" s="0" t="s">
        <v>7</v>
      </c>
    </row>
    <row r="34856" customFormat="false" ht="12.8" hidden="false" customHeight="false" outlineLevel="0" collapsed="false">
      <c r="B34856" s="0" t="s">
        <v>119</v>
      </c>
    </row>
    <row r="34858" customFormat="false" ht="12.8" hidden="false" customHeight="false" outlineLevel="0" collapsed="false">
      <c r="A34858" s="0" t="s">
        <v>12773</v>
      </c>
      <c r="B34858" s="0" t="str">
        <f aca="false">HYPERLINK("https://lindat.mff.cuni.cz/services/teitok/pdtc10/index.php?action=vallex&amp;frame=v-w4780f1", "předvádět se (v-w4780f1) - substituted with v-w4780f2_ZU")</f>
        <v>předvádět se (v-w4780f1) - substituted with v-w4780f2_ZU</v>
      </c>
    </row>
    <row r="34859" customFormat="false" ht="12.8" hidden="false" customHeight="false" outlineLevel="0" collapsed="false">
      <c r="B34859" s="0" t="s">
        <v>7</v>
      </c>
      <c r="C34859" s="0" t="s">
        <v>184</v>
      </c>
      <c r="D34859" s="0" t="s">
        <v>184</v>
      </c>
      <c r="E34859" s="0" t="s">
        <v>184</v>
      </c>
      <c r="F34859" s="0" t="s">
        <v>184</v>
      </c>
    </row>
    <row r="34860" customFormat="false" ht="12.8" hidden="false" customHeight="false" outlineLevel="0" collapsed="false">
      <c r="B34860" s="0" t="s">
        <v>119</v>
      </c>
      <c r="C34860" s="0" t="s">
        <v>567</v>
      </c>
      <c r="D34860" s="0" t="s">
        <v>567</v>
      </c>
      <c r="E34860" s="0" t="s">
        <v>567</v>
      </c>
      <c r="F34860" s="0" t="s">
        <v>567</v>
      </c>
    </row>
    <row r="34862" customFormat="false" ht="12.8" hidden="false" customHeight="false" outlineLevel="0" collapsed="false">
      <c r="A34862" s="0" t="s">
        <v>12774</v>
      </c>
      <c r="B34862" s="0" t="str">
        <f aca="false">HYPERLINK("https://lindat.mff.cuni.cz/services/teitok/pdtc10/index.php?action=vallex&amp;frame=v-w4782f1", "předvést (v-w4782f1)")</f>
        <v>předvést (v-w4782f1)</v>
      </c>
    </row>
    <row r="34863" customFormat="false" ht="12.8" hidden="false" customHeight="false" outlineLevel="0" collapsed="false">
      <c r="B34863" s="0" t="s">
        <v>7</v>
      </c>
      <c r="C34863" s="0" t="s">
        <v>12775</v>
      </c>
      <c r="D34863" s="0" t="s">
        <v>12776</v>
      </c>
      <c r="E34863" s="0" t="s">
        <v>12776</v>
      </c>
      <c r="F34863" s="0" t="s">
        <v>12776</v>
      </c>
    </row>
    <row r="34864" customFormat="false" ht="12.8" hidden="false" customHeight="false" outlineLevel="0" collapsed="false">
      <c r="B34864" s="0" t="s">
        <v>12771</v>
      </c>
      <c r="C34864" s="0" t="s">
        <v>12777</v>
      </c>
      <c r="D34864" s="0" t="s">
        <v>12778</v>
      </c>
      <c r="E34864" s="0" t="s">
        <v>12778</v>
      </c>
      <c r="F34864" s="0" t="s">
        <v>12778</v>
      </c>
    </row>
    <row r="34865" customFormat="false" ht="12.8" hidden="false" customHeight="false" outlineLevel="0" collapsed="false">
      <c r="B34865" s="0" t="s">
        <v>48</v>
      </c>
      <c r="D34865" s="0" t="s">
        <v>1556</v>
      </c>
      <c r="E34865" s="0" t="s">
        <v>1556</v>
      </c>
      <c r="F34865" s="0" t="s">
        <v>1556</v>
      </c>
    </row>
    <row r="34867" customFormat="false" ht="12.8" hidden="false" customHeight="false" outlineLevel="0" collapsed="false">
      <c r="A34867" s="0" t="s">
        <v>12779</v>
      </c>
      <c r="B34867" s="0" t="str">
        <f aca="false">HYPERLINK("https://lindat.mff.cuni.cz/services/teitok/pdtc10/index.php?action=vallex&amp;frame=v-w4782f2", "předvést (v-w4782f2)")</f>
        <v>předvést (v-w4782f2)</v>
      </c>
    </row>
    <row r="34868" customFormat="false" ht="12.8" hidden="false" customHeight="false" outlineLevel="0" collapsed="false">
      <c r="B34868" s="0" t="s">
        <v>7</v>
      </c>
      <c r="C34868" s="0" t="s">
        <v>191</v>
      </c>
      <c r="D34868" s="0" t="s">
        <v>191</v>
      </c>
      <c r="E34868" s="0" t="s">
        <v>191</v>
      </c>
      <c r="F34868" s="0" t="s">
        <v>191</v>
      </c>
    </row>
    <row r="34869" customFormat="false" ht="12.8" hidden="false" customHeight="false" outlineLevel="0" collapsed="false">
      <c r="B34869" s="0" t="s">
        <v>14</v>
      </c>
      <c r="C34869" s="0" t="s">
        <v>567</v>
      </c>
      <c r="D34869" s="0" t="s">
        <v>384</v>
      </c>
      <c r="E34869" s="0" t="s">
        <v>384</v>
      </c>
      <c r="F34869" s="0" t="s">
        <v>384</v>
      </c>
    </row>
    <row r="34870" customFormat="false" ht="12.8" hidden="false" customHeight="false" outlineLevel="0" collapsed="false">
      <c r="B34870" s="0" t="s">
        <v>124</v>
      </c>
    </row>
    <row r="34872" customFormat="false" ht="12.8" hidden="false" customHeight="false" outlineLevel="0" collapsed="false">
      <c r="A34872" s="0" t="s">
        <v>12780</v>
      </c>
      <c r="B34872" s="0" t="str">
        <f aca="false">HYPERLINK("https://lindat.mff.cuni.cz/services/teitok/pdtc10/index.php?action=vallex&amp;frame=v-w4783f2", "předvést se (v-w4783f2)")</f>
        <v>předvést se (v-w4783f2)</v>
      </c>
    </row>
    <row r="34873" customFormat="false" ht="12.8" hidden="false" customHeight="false" outlineLevel="0" collapsed="false">
      <c r="B34873" s="0" t="s">
        <v>12781</v>
      </c>
      <c r="D34873" s="0" t="s">
        <v>184</v>
      </c>
      <c r="E34873" s="0" t="s">
        <v>184</v>
      </c>
      <c r="F34873" s="0" t="s">
        <v>184</v>
      </c>
    </row>
    <row r="34874" customFormat="false" ht="12.8" hidden="false" customHeight="false" outlineLevel="0" collapsed="false">
      <c r="B34874" s="0" t="s">
        <v>12782</v>
      </c>
      <c r="D34874" s="0" t="s">
        <v>567</v>
      </c>
      <c r="E34874" s="0" t="s">
        <v>567</v>
      </c>
      <c r="F34874" s="0" t="s">
        <v>567</v>
      </c>
    </row>
    <row r="34876" customFormat="false" ht="12.8" hidden="false" customHeight="false" outlineLevel="0" collapsed="false">
      <c r="A34876" s="0" t="s">
        <v>12783</v>
      </c>
      <c r="B34876" s="0" t="str">
        <f aca="false">HYPERLINK("https://lindat.mff.cuni.cz/services/teitok/pdtc10/index.php?action=vallex&amp;frame=v-w4783f1", "předvést se (v-w4783f1)")</f>
        <v>předvést se (v-w4783f1)</v>
      </c>
    </row>
    <row r="34877" customFormat="false" ht="12.8" hidden="false" customHeight="false" outlineLevel="0" collapsed="false">
      <c r="B34877" s="0" t="s">
        <v>7</v>
      </c>
      <c r="D34877" s="0" t="s">
        <v>184</v>
      </c>
      <c r="E34877" s="0" t="s">
        <v>184</v>
      </c>
      <c r="F34877" s="0" t="s">
        <v>184</v>
      </c>
    </row>
    <row r="34878" customFormat="false" ht="12.8" hidden="false" customHeight="false" outlineLevel="0" collapsed="false">
      <c r="B34878" s="0" t="s">
        <v>119</v>
      </c>
      <c r="D34878" s="0" t="s">
        <v>567</v>
      </c>
      <c r="E34878" s="0" t="s">
        <v>567</v>
      </c>
      <c r="F34878" s="0" t="s">
        <v>567</v>
      </c>
    </row>
    <row r="34880" customFormat="false" ht="12.8" hidden="false" customHeight="false" outlineLevel="0" collapsed="false">
      <c r="A34880" s="0" t="s">
        <v>12784</v>
      </c>
      <c r="B34880" s="0" t="str">
        <f aca="false">HYPERLINK("https://lindat.mff.cuni.cz/services/teitok/pdtc10/index.php?action=vallex&amp;frame=v-w4784f1", "předvídat (v-w4784f1)")</f>
        <v>předvídat (v-w4784f1)</v>
      </c>
    </row>
    <row r="34881" customFormat="false" ht="12.8" hidden="false" customHeight="false" outlineLevel="0" collapsed="false">
      <c r="B34881" s="0" t="s">
        <v>7</v>
      </c>
      <c r="C34881" s="0" t="s">
        <v>12785</v>
      </c>
      <c r="D34881" s="0" t="s">
        <v>2266</v>
      </c>
      <c r="E34881" s="0" t="s">
        <v>2266</v>
      </c>
      <c r="F34881" s="0" t="s">
        <v>2266</v>
      </c>
    </row>
    <row r="34882" customFormat="false" ht="12.8" hidden="false" customHeight="false" outlineLevel="0" collapsed="false">
      <c r="B34882" s="0" t="s">
        <v>1520</v>
      </c>
      <c r="C34882" s="0" t="s">
        <v>12786</v>
      </c>
      <c r="D34882" s="0" t="s">
        <v>4118</v>
      </c>
      <c r="E34882" s="0" t="s">
        <v>4118</v>
      </c>
      <c r="F34882" s="0" t="s">
        <v>4118</v>
      </c>
    </row>
    <row r="34884" customFormat="false" ht="12.8" hidden="false" customHeight="false" outlineLevel="0" collapsed="false">
      <c r="A34884" s="0" t="s">
        <v>12787</v>
      </c>
      <c r="B34884" s="0" t="str">
        <f aca="false">HYPERLINK("https://lindat.mff.cuni.cz/services/teitok/pdtc10/index.php?action=vallex&amp;frame=v-w4788f1", "předznamenat (v-w4788f1)")</f>
        <v>předznamenat (v-w4788f1)</v>
      </c>
    </row>
    <row r="34885" customFormat="false" ht="12.8" hidden="false" customHeight="false" outlineLevel="0" collapsed="false">
      <c r="B34885" s="0" t="s">
        <v>7</v>
      </c>
      <c r="C34885" s="0" t="s">
        <v>184</v>
      </c>
      <c r="D34885" s="0" t="s">
        <v>7712</v>
      </c>
      <c r="E34885" s="0" t="s">
        <v>7712</v>
      </c>
      <c r="F34885" s="0" t="s">
        <v>7712</v>
      </c>
    </row>
    <row r="34886" customFormat="false" ht="12.8" hidden="false" customHeight="false" outlineLevel="0" collapsed="false">
      <c r="B34886" s="0" t="s">
        <v>12788</v>
      </c>
      <c r="C34886" s="0" t="s">
        <v>567</v>
      </c>
      <c r="D34886" s="0" t="s">
        <v>2033</v>
      </c>
      <c r="E34886" s="0" t="s">
        <v>2033</v>
      </c>
      <c r="F34886" s="0" t="s">
        <v>2033</v>
      </c>
    </row>
    <row r="34888" customFormat="false" ht="12.8" hidden="false" customHeight="false" outlineLevel="0" collapsed="false">
      <c r="A34888" s="0" t="s">
        <v>12789</v>
      </c>
      <c r="B34888" s="0" t="str">
        <f aca="false">HYPERLINK("https://lindat.mff.cuni.cz/services/teitok/pdtc10/index.php?action=vallex&amp;frame=v-w4789f1", "předznamenávat (v-w4789f1)")</f>
        <v>předznamenávat (v-w4789f1)</v>
      </c>
    </row>
    <row r="34889" customFormat="false" ht="12.8" hidden="false" customHeight="false" outlineLevel="0" collapsed="false">
      <c r="B34889" s="0" t="s">
        <v>7</v>
      </c>
      <c r="C34889" s="0" t="s">
        <v>410</v>
      </c>
      <c r="D34889" s="0" t="s">
        <v>7712</v>
      </c>
      <c r="E34889" s="0" t="s">
        <v>7712</v>
      </c>
      <c r="F34889" s="0" t="s">
        <v>7712</v>
      </c>
    </row>
    <row r="34890" customFormat="false" ht="12.8" hidden="false" customHeight="false" outlineLevel="0" collapsed="false">
      <c r="B34890" s="0" t="s">
        <v>12788</v>
      </c>
      <c r="C34890" s="0" t="s">
        <v>10191</v>
      </c>
      <c r="D34890" s="0" t="s">
        <v>2033</v>
      </c>
      <c r="E34890" s="0" t="s">
        <v>2033</v>
      </c>
      <c r="F34890" s="0" t="s">
        <v>2033</v>
      </c>
    </row>
    <row r="34892" customFormat="false" ht="12.8" hidden="false" customHeight="false" outlineLevel="0" collapsed="false">
      <c r="A34892" s="0" t="s">
        <v>12790</v>
      </c>
      <c r="B34892" s="0" t="str">
        <f aca="false">HYPERLINK("https://lindat.mff.cuni.cz/services/teitok/pdtc10/index.php?action=vallex&amp;frame=v-w12004_ZUf1_ZU", "předzásobit (v-w12004_ZUf1_ZU)")</f>
        <v>předzásobit (v-w12004_ZUf1_ZU)</v>
      </c>
    </row>
    <row r="34893" customFormat="false" ht="12.8" hidden="false" customHeight="false" outlineLevel="0" collapsed="false">
      <c r="B34893" s="0" t="s">
        <v>7</v>
      </c>
    </row>
    <row r="34894" customFormat="false" ht="12.8" hidden="false" customHeight="false" outlineLevel="0" collapsed="false">
      <c r="B34894" s="0" t="s">
        <v>81</v>
      </c>
    </row>
    <row r="34895" customFormat="false" ht="12.8" hidden="false" customHeight="false" outlineLevel="0" collapsed="false">
      <c r="B34895" s="0" t="s">
        <v>3771</v>
      </c>
    </row>
    <row r="34897" customFormat="false" ht="12.8" hidden="false" customHeight="false" outlineLevel="0" collapsed="false">
      <c r="A34897" s="0" t="s">
        <v>12791</v>
      </c>
      <c r="B34897" s="0" t="str">
        <f aca="false">HYPERLINK("https://lindat.mff.cuni.cz/services/teitok/pdtc10/index.php?action=vallex&amp;frame=v-w4697f1", "předávat (v-w4697f1)")</f>
        <v>předávat (v-w4697f1)</v>
      </c>
    </row>
    <row r="34898" customFormat="false" ht="12.8" hidden="false" customHeight="false" outlineLevel="0" collapsed="false">
      <c r="B34898" s="0" t="s">
        <v>7</v>
      </c>
      <c r="C34898" s="0" t="s">
        <v>88</v>
      </c>
      <c r="D34898" s="0" t="s">
        <v>4960</v>
      </c>
      <c r="E34898" s="0" t="s">
        <v>4161</v>
      </c>
      <c r="F34898" s="0" t="s">
        <v>4161</v>
      </c>
    </row>
    <row r="34899" customFormat="false" ht="12.8" hidden="false" customHeight="false" outlineLevel="0" collapsed="false">
      <c r="B34899" s="0" t="s">
        <v>14</v>
      </c>
      <c r="C34899" s="0" t="s">
        <v>12792</v>
      </c>
      <c r="D34899" s="0" t="s">
        <v>8123</v>
      </c>
      <c r="E34899" s="0" t="s">
        <v>8116</v>
      </c>
      <c r="F34899" s="0" t="s">
        <v>8116</v>
      </c>
    </row>
    <row r="34900" customFormat="false" ht="12.8" hidden="false" customHeight="false" outlineLevel="0" collapsed="false">
      <c r="B34900" s="0" t="s">
        <v>48</v>
      </c>
      <c r="C34900" s="0" t="s">
        <v>12793</v>
      </c>
      <c r="D34900" s="0" t="s">
        <v>10939</v>
      </c>
      <c r="E34900" s="0" t="s">
        <v>10940</v>
      </c>
      <c r="F34900" s="0" t="s">
        <v>10940</v>
      </c>
    </row>
    <row r="34902" customFormat="false" ht="12.8" hidden="false" customHeight="false" outlineLevel="0" collapsed="false">
      <c r="A34902" s="0" t="s">
        <v>12794</v>
      </c>
      <c r="B34902" s="0" t="str">
        <f aca="false">HYPERLINK("https://lindat.mff.cuni.cz/services/teitok/pdtc10/index.php?action=vallex&amp;frame=v-w4697f2", "předávat (v-w4697f2)")</f>
        <v>předávat (v-w4697f2)</v>
      </c>
    </row>
    <row r="34903" customFormat="false" ht="12.8" hidden="false" customHeight="false" outlineLevel="0" collapsed="false">
      <c r="B34903" s="0" t="s">
        <v>7</v>
      </c>
      <c r="C34903" s="0" t="s">
        <v>46</v>
      </c>
      <c r="D34903" s="0" t="s">
        <v>4960</v>
      </c>
      <c r="E34903" s="0" t="s">
        <v>4161</v>
      </c>
      <c r="F34903" s="0" t="s">
        <v>4161</v>
      </c>
    </row>
    <row r="34904" customFormat="false" ht="12.8" hidden="false" customHeight="false" outlineLevel="0" collapsed="false">
      <c r="B34904" s="0" t="s">
        <v>14</v>
      </c>
      <c r="C34904" s="0" t="s">
        <v>567</v>
      </c>
      <c r="D34904" s="0" t="s">
        <v>8123</v>
      </c>
      <c r="E34904" s="0" t="s">
        <v>8116</v>
      </c>
      <c r="F34904" s="0" t="s">
        <v>8116</v>
      </c>
    </row>
    <row r="34905" customFormat="false" ht="12.8" hidden="false" customHeight="false" outlineLevel="0" collapsed="false">
      <c r="B34905" s="0" t="s">
        <v>124</v>
      </c>
      <c r="C34905" s="0" t="s">
        <v>1105</v>
      </c>
      <c r="D34905" s="0" t="s">
        <v>8124</v>
      </c>
      <c r="E34905" s="0" t="s">
        <v>8117</v>
      </c>
      <c r="F34905" s="0" t="s">
        <v>8117</v>
      </c>
    </row>
    <row r="34907" customFormat="false" ht="12.8" hidden="false" customHeight="false" outlineLevel="0" collapsed="false">
      <c r="A34907" s="0" t="s">
        <v>12795</v>
      </c>
      <c r="B34907" s="0" t="str">
        <f aca="false">HYPERLINK("https://lindat.mff.cuni.cz/services/teitok/pdtc10/index.php?action=vallex&amp;frame=v-w4697f3", "předávat (v-w4697f3)")</f>
        <v>předávat (v-w4697f3)</v>
      </c>
    </row>
    <row r="34908" customFormat="false" ht="12.8" hidden="false" customHeight="false" outlineLevel="0" collapsed="false">
      <c r="B34908" s="0" t="s">
        <v>7</v>
      </c>
      <c r="C34908" s="0" t="s">
        <v>46</v>
      </c>
      <c r="D34908" s="0" t="s">
        <v>4960</v>
      </c>
      <c r="E34908" s="0" t="s">
        <v>4161</v>
      </c>
      <c r="F34908" s="0" t="s">
        <v>6524</v>
      </c>
    </row>
    <row r="34909" customFormat="false" ht="12.8" hidden="false" customHeight="false" outlineLevel="0" collapsed="false">
      <c r="B34909" s="0" t="s">
        <v>12796</v>
      </c>
      <c r="C34909" s="0" t="s">
        <v>578</v>
      </c>
      <c r="D34909" s="0" t="s">
        <v>12624</v>
      </c>
      <c r="E34909" s="0" t="s">
        <v>12625</v>
      </c>
      <c r="F34909" s="0" t="s">
        <v>12625</v>
      </c>
    </row>
    <row r="34910" customFormat="false" ht="12.8" hidden="false" customHeight="false" outlineLevel="0" collapsed="false">
      <c r="B34910" s="0" t="s">
        <v>48</v>
      </c>
      <c r="C34910" s="0" t="s">
        <v>1165</v>
      </c>
      <c r="D34910" s="0" t="s">
        <v>10939</v>
      </c>
      <c r="E34910" s="0" t="s">
        <v>10940</v>
      </c>
      <c r="F34910" s="0" t="s">
        <v>12626</v>
      </c>
    </row>
    <row r="34912" customFormat="false" ht="12.8" hidden="false" customHeight="false" outlineLevel="0" collapsed="false">
      <c r="A34912" s="0" t="s">
        <v>12797</v>
      </c>
      <c r="B34912" s="0" t="str">
        <f aca="false">HYPERLINK("https://lindat.mff.cuni.cz/services/teitok/pdtc10/index.php?action=vallex&amp;frame=v-w4697f4", "předávat (v-w4697f4)")</f>
        <v>předávat (v-w4697f4)</v>
      </c>
    </row>
    <row r="34913" customFormat="false" ht="12.8" hidden="false" customHeight="false" outlineLevel="0" collapsed="false">
      <c r="B34913" s="0" t="s">
        <v>7</v>
      </c>
    </row>
    <row r="34914" customFormat="false" ht="12.8" hidden="false" customHeight="false" outlineLevel="0" collapsed="false">
      <c r="B34914" s="0" t="s">
        <v>12796</v>
      </c>
    </row>
    <row r="34915" customFormat="false" ht="12.8" hidden="false" customHeight="false" outlineLevel="0" collapsed="false">
      <c r="B34915" s="0" t="s">
        <v>124</v>
      </c>
    </row>
    <row r="34917" customFormat="false" ht="12.8" hidden="false" customHeight="false" outlineLevel="0" collapsed="false">
      <c r="A34917" s="0" t="s">
        <v>12798</v>
      </c>
      <c r="B34917" s="0" t="str">
        <f aca="false">HYPERLINK("https://lindat.mff.cuni.cz/services/teitok/pdtc10/index.php?action=vallex&amp;frame=v-whsa_447hsa_448", "předávat si (v-whsa_447hsa_448)")</f>
        <v>předávat si (v-whsa_447hsa_448)</v>
      </c>
    </row>
    <row r="34918" customFormat="false" ht="12.8" hidden="false" customHeight="false" outlineLevel="0" collapsed="false">
      <c r="B34918" s="0" t="s">
        <v>7</v>
      </c>
    </row>
    <row r="34919" customFormat="false" ht="12.8" hidden="false" customHeight="false" outlineLevel="0" collapsed="false">
      <c r="B34919" s="0" t="s">
        <v>14</v>
      </c>
    </row>
    <row r="34920" customFormat="false" ht="12.8" hidden="false" customHeight="false" outlineLevel="0" collapsed="false">
      <c r="B34920" s="0" t="s">
        <v>2767</v>
      </c>
    </row>
    <row r="34922" customFormat="false" ht="12.8" hidden="false" customHeight="false" outlineLevel="0" collapsed="false">
      <c r="A34922" s="0" t="s">
        <v>12799</v>
      </c>
      <c r="B34922" s="0" t="str">
        <f aca="false">HYPERLINK("https://lindat.mff.cuni.cz/services/teitok/pdtc10/index.php?action=vallex&amp;frame=v-w11400f1", "předávkovat (v-w11400f1)")</f>
        <v>předávkovat (v-w11400f1)</v>
      </c>
    </row>
    <row r="34923" customFormat="false" ht="12.8" hidden="false" customHeight="false" outlineLevel="0" collapsed="false">
      <c r="B34923" s="0" t="s">
        <v>7</v>
      </c>
      <c r="D34923" s="0" t="s">
        <v>31</v>
      </c>
      <c r="E34923" s="0" t="s">
        <v>623</v>
      </c>
      <c r="F34923" s="0" t="s">
        <v>623</v>
      </c>
    </row>
    <row r="34924" customFormat="false" ht="12.8" hidden="false" customHeight="false" outlineLevel="0" collapsed="false">
      <c r="B34924" s="0" t="s">
        <v>14</v>
      </c>
      <c r="D34924" s="0" t="s">
        <v>1170</v>
      </c>
      <c r="E34924" s="0" t="s">
        <v>9462</v>
      </c>
      <c r="F34924" s="0" t="s">
        <v>9462</v>
      </c>
    </row>
    <row r="34926" customFormat="false" ht="12.8" hidden="false" customHeight="false" outlineLevel="0" collapsed="false">
      <c r="A34926" s="0" t="s">
        <v>12800</v>
      </c>
      <c r="B34926" s="0" t="str">
        <f aca="false">HYPERLINK("https://lindat.mff.cuni.cz/services/teitok/pdtc10/index.php?action=vallex&amp;frame=v-w4699f1", "předávkovat se (v-w4699f1)")</f>
        <v>předávkovat se (v-w4699f1)</v>
      </c>
    </row>
    <row r="34927" customFormat="false" ht="12.8" hidden="false" customHeight="false" outlineLevel="0" collapsed="false">
      <c r="B34927" s="0" t="s">
        <v>7</v>
      </c>
      <c r="D34927" s="0" t="s">
        <v>1398</v>
      </c>
      <c r="E34927" s="0" t="s">
        <v>9297</v>
      </c>
      <c r="F34927" s="0" t="s">
        <v>9297</v>
      </c>
    </row>
    <row r="34929" customFormat="false" ht="12.8" hidden="false" customHeight="false" outlineLevel="0" collapsed="false">
      <c r="A34929" s="0" t="s">
        <v>12801</v>
      </c>
      <c r="B34929" s="0" t="str">
        <f aca="false">HYPERLINK("https://lindat.mff.cuni.cz/services/teitok/pdtc10/index.php?action=vallex&amp;frame=v-w4703f1", "předčit (v-w4703f1)")</f>
        <v>předčit (v-w4703f1)</v>
      </c>
    </row>
    <row r="34930" customFormat="false" ht="12.8" hidden="false" customHeight="false" outlineLevel="0" collapsed="false">
      <c r="B34930" s="0" t="s">
        <v>7</v>
      </c>
      <c r="C34930" s="0" t="s">
        <v>12802</v>
      </c>
      <c r="D34930" s="0" t="s">
        <v>12803</v>
      </c>
      <c r="E34930" s="0" t="s">
        <v>12803</v>
      </c>
      <c r="F34930" s="0" t="s">
        <v>12803</v>
      </c>
    </row>
    <row r="34931" customFormat="false" ht="12.8" hidden="false" customHeight="false" outlineLevel="0" collapsed="false">
      <c r="B34931" s="0" t="s">
        <v>14</v>
      </c>
      <c r="C34931" s="0" t="s">
        <v>12804</v>
      </c>
      <c r="D34931" s="0" t="s">
        <v>12805</v>
      </c>
      <c r="E34931" s="0" t="s">
        <v>12805</v>
      </c>
      <c r="F34931" s="0" t="s">
        <v>12805</v>
      </c>
    </row>
    <row r="34933" customFormat="false" ht="12.8" hidden="false" customHeight="false" outlineLevel="0" collapsed="false">
      <c r="A34933" s="0" t="s">
        <v>12806</v>
      </c>
      <c r="B34933" s="0" t="str">
        <f aca="false">HYPERLINK("https://lindat.mff.cuni.cz/services/teitok/pdtc10/index.php?action=vallex&amp;frame=v-w4704f1", "předčítat (v-w4704f1)")</f>
        <v>předčítat (v-w4704f1)</v>
      </c>
    </row>
    <row r="34934" customFormat="false" ht="12.8" hidden="false" customHeight="false" outlineLevel="0" collapsed="false">
      <c r="B34934" s="0" t="s">
        <v>7</v>
      </c>
      <c r="C34934" s="0" t="s">
        <v>2199</v>
      </c>
      <c r="D34934" s="0" t="s">
        <v>410</v>
      </c>
      <c r="E34934" s="0" t="s">
        <v>410</v>
      </c>
      <c r="F34934" s="0" t="s">
        <v>410</v>
      </c>
    </row>
    <row r="34935" customFormat="false" ht="12.8" hidden="false" customHeight="false" outlineLevel="0" collapsed="false">
      <c r="B34935" s="0" t="s">
        <v>12807</v>
      </c>
      <c r="C34935" s="0" t="s">
        <v>12808</v>
      </c>
      <c r="D34935" s="0" t="s">
        <v>12809</v>
      </c>
      <c r="E34935" s="0" t="s">
        <v>12809</v>
      </c>
      <c r="F34935" s="0" t="s">
        <v>12809</v>
      </c>
    </row>
    <row r="34936" customFormat="false" ht="12.8" hidden="false" customHeight="false" outlineLevel="0" collapsed="false">
      <c r="B34936" s="0" t="s">
        <v>363</v>
      </c>
      <c r="D34936" s="0" t="s">
        <v>12810</v>
      </c>
      <c r="E34936" s="0" t="s">
        <v>12810</v>
      </c>
      <c r="F34936" s="0" t="s">
        <v>12810</v>
      </c>
    </row>
    <row r="34937" customFormat="false" ht="12.8" hidden="false" customHeight="false" outlineLevel="0" collapsed="false">
      <c r="B34937" s="0" t="s">
        <v>106</v>
      </c>
      <c r="C34937" s="0" t="s">
        <v>1165</v>
      </c>
      <c r="D34937" s="0" t="s">
        <v>1165</v>
      </c>
      <c r="E34937" s="0" t="s">
        <v>1165</v>
      </c>
      <c r="F34937" s="0" t="s">
        <v>1165</v>
      </c>
    </row>
    <row r="34939" customFormat="false" ht="12.8" hidden="false" customHeight="false" outlineLevel="0" collapsed="false">
      <c r="A34939" s="0" t="s">
        <v>12811</v>
      </c>
      <c r="B34939" s="0" t="str">
        <f aca="false">HYPERLINK("https://lindat.mff.cuni.cz/services/teitok/pdtc10/index.php?action=vallex&amp;frame=v-w4709f1", "předělat (v-w4709f1)")</f>
        <v>předělat (v-w4709f1)</v>
      </c>
    </row>
    <row r="34940" customFormat="false" ht="12.8" hidden="false" customHeight="false" outlineLevel="0" collapsed="false">
      <c r="B34940" s="0" t="s">
        <v>7</v>
      </c>
      <c r="C34940" s="0" t="s">
        <v>569</v>
      </c>
      <c r="D34940" s="0" t="s">
        <v>32</v>
      </c>
      <c r="E34940" s="0" t="s">
        <v>32</v>
      </c>
      <c r="F34940" s="0" t="s">
        <v>32</v>
      </c>
    </row>
    <row r="34941" customFormat="false" ht="12.8" hidden="false" customHeight="false" outlineLevel="0" collapsed="false">
      <c r="B34941" s="0" t="s">
        <v>14</v>
      </c>
      <c r="C34941" s="0" t="s">
        <v>625</v>
      </c>
      <c r="D34941" s="0" t="s">
        <v>34</v>
      </c>
      <c r="E34941" s="0" t="s">
        <v>34</v>
      </c>
      <c r="F34941" s="0" t="s">
        <v>34</v>
      </c>
    </row>
    <row r="34942" customFormat="false" ht="12.8" hidden="false" customHeight="false" outlineLevel="0" collapsed="false">
      <c r="B34942" s="0" t="s">
        <v>35</v>
      </c>
      <c r="D34942" s="0" t="s">
        <v>36</v>
      </c>
      <c r="E34942" s="0" t="s">
        <v>36</v>
      </c>
      <c r="F34942" s="0" t="s">
        <v>36</v>
      </c>
    </row>
    <row r="34943" customFormat="false" ht="12.8" hidden="false" customHeight="false" outlineLevel="0" collapsed="false">
      <c r="B34943" s="0" t="s">
        <v>84</v>
      </c>
      <c r="D34943" s="0" t="s">
        <v>39</v>
      </c>
      <c r="E34943" s="0" t="s">
        <v>39</v>
      </c>
      <c r="F34943" s="0" t="s">
        <v>39</v>
      </c>
    </row>
    <row r="34945" customFormat="false" ht="12.8" hidden="false" customHeight="false" outlineLevel="0" collapsed="false">
      <c r="A34945" s="0" t="s">
        <v>12812</v>
      </c>
      <c r="B34945" s="0" t="str">
        <f aca="false">HYPERLINK("https://lindat.mff.cuni.cz/services/teitok/pdtc10/index.php?action=vallex&amp;frame=v-w4710f1", "předělávat (v-w4710f1)")</f>
        <v>předělávat (v-w4710f1)</v>
      </c>
    </row>
    <row r="34946" customFormat="false" ht="12.8" hidden="false" customHeight="false" outlineLevel="0" collapsed="false">
      <c r="B34946" s="0" t="s">
        <v>7</v>
      </c>
      <c r="D34946" s="0" t="s">
        <v>32</v>
      </c>
      <c r="E34946" s="0" t="s">
        <v>32</v>
      </c>
      <c r="F34946" s="0" t="s">
        <v>32</v>
      </c>
    </row>
    <row r="34947" customFormat="false" ht="12.8" hidden="false" customHeight="false" outlineLevel="0" collapsed="false">
      <c r="B34947" s="0" t="s">
        <v>14</v>
      </c>
      <c r="C34947" s="0" t="s">
        <v>567</v>
      </c>
      <c r="D34947" s="0" t="s">
        <v>34</v>
      </c>
      <c r="E34947" s="0" t="s">
        <v>34</v>
      </c>
      <c r="F34947" s="0" t="s">
        <v>34</v>
      </c>
    </row>
    <row r="34948" customFormat="false" ht="12.8" hidden="false" customHeight="false" outlineLevel="0" collapsed="false">
      <c r="B34948" s="0" t="s">
        <v>35</v>
      </c>
      <c r="D34948" s="0" t="s">
        <v>36</v>
      </c>
      <c r="E34948" s="0" t="s">
        <v>36</v>
      </c>
      <c r="F34948" s="0" t="s">
        <v>36</v>
      </c>
    </row>
    <row r="34949" customFormat="false" ht="12.8" hidden="false" customHeight="false" outlineLevel="0" collapsed="false">
      <c r="B34949" s="0" t="s">
        <v>84</v>
      </c>
      <c r="D34949" s="0" t="s">
        <v>39</v>
      </c>
      <c r="E34949" s="0" t="s">
        <v>39</v>
      </c>
      <c r="F34949" s="0" t="s">
        <v>39</v>
      </c>
    </row>
    <row r="34951" customFormat="false" ht="12.8" hidden="false" customHeight="false" outlineLevel="0" collapsed="false">
      <c r="A34951" s="0" t="s">
        <v>12813</v>
      </c>
      <c r="B34951" s="0" t="str">
        <f aca="false">HYPERLINK("https://lindat.mff.cuni.cz/services/teitok/pdtc10/index.php?action=vallex&amp;frame=v-w4753f1", "předřadit (v-w4753f1)")</f>
        <v>předřadit (v-w4753f1)</v>
      </c>
    </row>
    <row r="34952" customFormat="false" ht="12.8" hidden="false" customHeight="false" outlineLevel="0" collapsed="false">
      <c r="B34952" s="0" t="s">
        <v>7</v>
      </c>
    </row>
    <row r="34953" customFormat="false" ht="12.8" hidden="false" customHeight="false" outlineLevel="0" collapsed="false">
      <c r="B34953" s="0" t="s">
        <v>14</v>
      </c>
    </row>
    <row r="34954" customFormat="false" ht="12.8" hidden="false" customHeight="false" outlineLevel="0" collapsed="false">
      <c r="B34954" s="0" t="s">
        <v>48</v>
      </c>
    </row>
    <row r="34956" customFormat="false" ht="12.8" hidden="false" customHeight="false" outlineLevel="0" collapsed="false">
      <c r="A34956" s="0" t="s">
        <v>12814</v>
      </c>
      <c r="B34956" s="0" t="str">
        <f aca="false">HYPERLINK("https://lindat.mff.cuni.cz/services/teitok/pdtc10/index.php?action=vallex&amp;frame=v-w4754f1", "předříkávat (v-w4754f1)")</f>
        <v>předříkávat (v-w4754f1)</v>
      </c>
    </row>
    <row r="34957" customFormat="false" ht="12.8" hidden="false" customHeight="false" outlineLevel="0" collapsed="false">
      <c r="B34957" s="0" t="s">
        <v>7</v>
      </c>
    </row>
    <row r="34958" customFormat="false" ht="12.8" hidden="false" customHeight="false" outlineLevel="0" collapsed="false">
      <c r="B34958" s="0" t="s">
        <v>14</v>
      </c>
    </row>
    <row r="34959" customFormat="false" ht="12.8" hidden="false" customHeight="false" outlineLevel="0" collapsed="false">
      <c r="B34959" s="0" t="s">
        <v>106</v>
      </c>
    </row>
    <row r="34961" customFormat="false" ht="12.8" hidden="false" customHeight="false" outlineLevel="0" collapsed="false">
      <c r="A34961" s="0" t="s">
        <v>12815</v>
      </c>
      <c r="B34961" s="0" t="str">
        <f aca="false">HYPERLINK("https://lindat.mff.cuni.cz/services/teitok/pdtc10/index.php?action=vallex&amp;frame=v-w12019_ZUf1_ZU", "předřít se (v-w12019_ZUf1_ZU)")</f>
        <v>předřít se (v-w12019_ZUf1_ZU)</v>
      </c>
    </row>
    <row r="34962" customFormat="false" ht="12.8" hidden="false" customHeight="false" outlineLevel="0" collapsed="false">
      <c r="B34962" s="0" t="s">
        <v>7</v>
      </c>
    </row>
    <row r="34964" customFormat="false" ht="12.8" hidden="false" customHeight="false" outlineLevel="0" collapsed="false">
      <c r="A34964" s="0" t="s">
        <v>12816</v>
      </c>
      <c r="B34964" s="0" t="str">
        <f aca="false">HYPERLINK("https://lindat.mff.cuni.cz/services/teitok/pdtc10/index.php?action=vallex&amp;frame=v-whsa_1997f1_ZU", "přefakturovat (v-whsa_1997f1_ZU)")</f>
        <v>přefakturovat (v-whsa_1997f1_ZU)</v>
      </c>
    </row>
    <row r="34965" customFormat="false" ht="12.8" hidden="false" customHeight="false" outlineLevel="0" collapsed="false">
      <c r="B34965" s="0" t="s">
        <v>7</v>
      </c>
    </row>
    <row r="34966" customFormat="false" ht="12.8" hidden="false" customHeight="false" outlineLevel="0" collapsed="false">
      <c r="B34966" s="0" t="s">
        <v>14</v>
      </c>
    </row>
    <row r="34967" customFormat="false" ht="12.8" hidden="false" customHeight="false" outlineLevel="0" collapsed="false">
      <c r="B34967" s="0" t="s">
        <v>35</v>
      </c>
    </row>
    <row r="34968" customFormat="false" ht="12.8" hidden="false" customHeight="false" outlineLevel="0" collapsed="false">
      <c r="B34968" s="0" t="s">
        <v>84</v>
      </c>
    </row>
    <row r="34970" customFormat="false" ht="12.8" hidden="false" customHeight="false" outlineLevel="0" collapsed="false">
      <c r="A34970" s="0" t="s">
        <v>12816</v>
      </c>
      <c r="B34970" s="0" t="str">
        <f aca="false">HYPERLINK("https://lindat.mff.cuni.cz/services/teitok/pdtc10/index.php?action=vallex&amp;frame=v-whsa_1997hsa_1998", "přefakturovat (v-whsa_1997hsa_1998) - substituted with v-whsa_1997f1_ZU")</f>
        <v>přefakturovat (v-whsa_1997hsa_1998) - substituted with v-whsa_1997f1_ZU</v>
      </c>
    </row>
    <row r="34971" customFormat="false" ht="12.8" hidden="false" customHeight="false" outlineLevel="0" collapsed="false">
      <c r="B34971" s="0" t="s">
        <v>7</v>
      </c>
    </row>
    <row r="34972" customFormat="false" ht="12.8" hidden="false" customHeight="false" outlineLevel="0" collapsed="false">
      <c r="B34972" s="0" t="s">
        <v>14</v>
      </c>
    </row>
    <row r="34973" customFormat="false" ht="12.8" hidden="false" customHeight="false" outlineLevel="0" collapsed="false">
      <c r="B34973" s="0" t="s">
        <v>35</v>
      </c>
    </row>
    <row r="34974" customFormat="false" ht="12.8" hidden="false" customHeight="false" outlineLevel="0" collapsed="false">
      <c r="B34974" s="0" t="s">
        <v>84</v>
      </c>
    </row>
    <row r="34976" customFormat="false" ht="12.8" hidden="false" customHeight="false" outlineLevel="0" collapsed="false">
      <c r="A34976" s="0" t="s">
        <v>12817</v>
      </c>
      <c r="B34976" s="0" t="str">
        <f aca="false">HYPERLINK("https://lindat.mff.cuni.cz/services/teitok/pdtc10/index.php?action=vallex&amp;frame=v-w4791f1", "přefilmovat (v-w4791f1)")</f>
        <v>přefilmovat (v-w4791f1)</v>
      </c>
    </row>
    <row r="34977" customFormat="false" ht="12.8" hidden="false" customHeight="false" outlineLevel="0" collapsed="false">
      <c r="B34977" s="0" t="s">
        <v>7</v>
      </c>
    </row>
    <row r="34978" customFormat="false" ht="12.8" hidden="false" customHeight="false" outlineLevel="0" collapsed="false">
      <c r="B34978" s="0" t="s">
        <v>14</v>
      </c>
    </row>
    <row r="34980" customFormat="false" ht="12.8" hidden="false" customHeight="false" outlineLevel="0" collapsed="false">
      <c r="A34980" s="0" t="s">
        <v>12818</v>
      </c>
      <c r="B34980" s="0" t="str">
        <f aca="false">HYPERLINK("https://lindat.mff.cuni.cz/services/teitok/pdtc10/index.php?action=vallex&amp;frame=v-w11196f2", "přeformulovat (v-w11196f2)")</f>
        <v>přeformulovat (v-w11196f2)</v>
      </c>
    </row>
    <row r="34981" customFormat="false" ht="12.8" hidden="false" customHeight="false" outlineLevel="0" collapsed="false">
      <c r="B34981" s="0" t="s">
        <v>7</v>
      </c>
      <c r="C34981" s="0" t="s">
        <v>184</v>
      </c>
      <c r="D34981" s="0" t="s">
        <v>2220</v>
      </c>
      <c r="E34981" s="0" t="s">
        <v>2220</v>
      </c>
      <c r="F34981" s="0" t="s">
        <v>2220</v>
      </c>
    </row>
    <row r="34982" customFormat="false" ht="12.8" hidden="false" customHeight="false" outlineLevel="0" collapsed="false">
      <c r="B34982" s="0" t="s">
        <v>14</v>
      </c>
      <c r="C34982" s="0" t="s">
        <v>120</v>
      </c>
      <c r="D34982" s="0" t="s">
        <v>11865</v>
      </c>
      <c r="E34982" s="0" t="s">
        <v>11865</v>
      </c>
      <c r="F34982" s="0" t="s">
        <v>11865</v>
      </c>
    </row>
    <row r="34984" customFormat="false" ht="12.8" hidden="false" customHeight="false" outlineLevel="0" collapsed="false">
      <c r="A34984" s="0" t="s">
        <v>12819</v>
      </c>
      <c r="B34984" s="0" t="str">
        <f aca="false">HYPERLINK("https://lindat.mff.cuni.cz/services/teitok/pdtc10/index.php?action=vallex&amp;frame=v-w4794f1", "přehazovat (v-w4794f1)")</f>
        <v>přehazovat (v-w4794f1)</v>
      </c>
    </row>
    <row r="34985" customFormat="false" ht="12.8" hidden="false" customHeight="false" outlineLevel="0" collapsed="false">
      <c r="B34985" s="0" t="s">
        <v>7</v>
      </c>
    </row>
    <row r="34986" customFormat="false" ht="12.8" hidden="false" customHeight="false" outlineLevel="0" collapsed="false">
      <c r="B34986" s="0" t="s">
        <v>14</v>
      </c>
    </row>
    <row r="34987" customFormat="false" ht="12.8" hidden="false" customHeight="false" outlineLevel="0" collapsed="false">
      <c r="B34987" s="0" t="s">
        <v>122</v>
      </c>
    </row>
    <row r="34988" customFormat="false" ht="12.8" hidden="false" customHeight="false" outlineLevel="0" collapsed="false">
      <c r="B34988" s="0" t="s">
        <v>3441</v>
      </c>
    </row>
    <row r="34990" customFormat="false" ht="12.8" hidden="false" customHeight="false" outlineLevel="0" collapsed="false">
      <c r="A34990" s="0" t="s">
        <v>12820</v>
      </c>
      <c r="B34990" s="0" t="str">
        <f aca="false">HYPERLINK("https://lindat.mff.cuni.cz/services/teitok/pdtc10/index.php?action=vallex&amp;frame=v-w4794f2", "přehazovat (v-w4794f2)")</f>
        <v>přehazovat (v-w4794f2)</v>
      </c>
    </row>
    <row r="34991" customFormat="false" ht="12.8" hidden="false" customHeight="false" outlineLevel="0" collapsed="false">
      <c r="B34991" s="0" t="s">
        <v>7</v>
      </c>
    </row>
    <row r="34992" customFormat="false" ht="12.8" hidden="false" customHeight="false" outlineLevel="0" collapsed="false">
      <c r="B34992" s="0" t="s">
        <v>14</v>
      </c>
    </row>
    <row r="34993" customFormat="false" ht="12.8" hidden="false" customHeight="false" outlineLevel="0" collapsed="false">
      <c r="B34993" s="0" t="s">
        <v>459</v>
      </c>
    </row>
    <row r="34994" customFormat="false" ht="12.8" hidden="false" customHeight="false" outlineLevel="0" collapsed="false">
      <c r="B34994" s="0" t="s">
        <v>124</v>
      </c>
    </row>
    <row r="34996" customFormat="false" ht="12.8" hidden="false" customHeight="false" outlineLevel="0" collapsed="false">
      <c r="A34996" s="0" t="s">
        <v>12821</v>
      </c>
      <c r="B34996" s="0" t="str">
        <f aca="false">HYPERLINK("https://lindat.mff.cuni.cz/services/teitok/pdtc10/index.php?action=vallex&amp;frame=v-w4794hsa_516", "přehazovat (v-w4794hsa_516)")</f>
        <v>přehazovat (v-w4794hsa_516)</v>
      </c>
    </row>
    <row r="34997" customFormat="false" ht="12.8" hidden="false" customHeight="false" outlineLevel="0" collapsed="false">
      <c r="B34997" s="0" t="s">
        <v>7</v>
      </c>
    </row>
    <row r="34998" customFormat="false" ht="12.8" hidden="false" customHeight="false" outlineLevel="0" collapsed="false">
      <c r="B34998" s="0" t="s">
        <v>14</v>
      </c>
    </row>
    <row r="34999" customFormat="false" ht="12.8" hidden="false" customHeight="false" outlineLevel="0" collapsed="false">
      <c r="B34999" s="0" t="s">
        <v>9826</v>
      </c>
    </row>
    <row r="35000" customFormat="false" ht="12.8" hidden="false" customHeight="false" outlineLevel="0" collapsed="false">
      <c r="B35000" s="0" t="s">
        <v>1492</v>
      </c>
    </row>
    <row r="35002" customFormat="false" ht="12.8" hidden="false" customHeight="false" outlineLevel="0" collapsed="false">
      <c r="A35002" s="0" t="s">
        <v>12822</v>
      </c>
      <c r="B35002" s="0" t="str">
        <f aca="false">HYPERLINK("https://lindat.mff.cuni.cz/services/teitok/pdtc10/index.php?action=vallex&amp;frame=v-w4796f1", "přehlasovat (v-w4796f1)")</f>
        <v>přehlasovat (v-w4796f1)</v>
      </c>
    </row>
    <row r="35003" customFormat="false" ht="12.8" hidden="false" customHeight="false" outlineLevel="0" collapsed="false">
      <c r="B35003" s="0" t="s">
        <v>7</v>
      </c>
      <c r="C35003" s="0" t="s">
        <v>191</v>
      </c>
    </row>
    <row r="35004" customFormat="false" ht="12.8" hidden="false" customHeight="false" outlineLevel="0" collapsed="false">
      <c r="B35004" s="0" t="s">
        <v>14</v>
      </c>
      <c r="C35004" s="0" t="s">
        <v>1209</v>
      </c>
    </row>
    <row r="35006" customFormat="false" ht="12.8" hidden="false" customHeight="false" outlineLevel="0" collapsed="false">
      <c r="A35006" s="0" t="s">
        <v>12823</v>
      </c>
      <c r="B35006" s="0" t="str">
        <f aca="false">HYPERLINK("https://lindat.mff.cuni.cz/services/teitok/pdtc10/index.php?action=vallex&amp;frame=v-w4797f1", "přehlavičkovat (v-w4797f1)")</f>
        <v>přehlavičkovat (v-w4797f1)</v>
      </c>
    </row>
    <row r="35007" customFormat="false" ht="12.8" hidden="false" customHeight="false" outlineLevel="0" collapsed="false">
      <c r="B35007" s="0" t="s">
        <v>7</v>
      </c>
    </row>
    <row r="35008" customFormat="false" ht="12.8" hidden="false" customHeight="false" outlineLevel="0" collapsed="false">
      <c r="B35008" s="0" t="s">
        <v>14</v>
      </c>
    </row>
    <row r="35010" customFormat="false" ht="12.8" hidden="false" customHeight="false" outlineLevel="0" collapsed="false">
      <c r="A35010" s="0" t="s">
        <v>12824</v>
      </c>
      <c r="B35010" s="0" t="str">
        <f aca="false">HYPERLINK("https://lindat.mff.cuni.cz/services/teitok/pdtc10/index.php?action=vallex&amp;frame=v-w4799f1", "přehlcovat (v-w4799f1)")</f>
        <v>přehlcovat (v-w4799f1)</v>
      </c>
    </row>
    <row r="35011" customFormat="false" ht="12.8" hidden="false" customHeight="false" outlineLevel="0" collapsed="false">
      <c r="B35011" s="0" t="s">
        <v>7</v>
      </c>
    </row>
    <row r="35012" customFormat="false" ht="12.8" hidden="false" customHeight="false" outlineLevel="0" collapsed="false">
      <c r="B35012" s="0" t="s">
        <v>14</v>
      </c>
    </row>
    <row r="35014" customFormat="false" ht="12.8" hidden="false" customHeight="false" outlineLevel="0" collapsed="false">
      <c r="A35014" s="0" t="s">
        <v>12825</v>
      </c>
      <c r="B35014" s="0" t="str">
        <f aca="false">HYPERLINK("https://lindat.mff.cuni.cz/services/teitok/pdtc10/index.php?action=vallex&amp;frame=v-w4804f1", "přehltit (v-w4804f1)")</f>
        <v>přehltit (v-w4804f1)</v>
      </c>
    </row>
    <row r="35015" customFormat="false" ht="12.8" hidden="false" customHeight="false" outlineLevel="0" collapsed="false">
      <c r="B35015" s="0" t="s">
        <v>7</v>
      </c>
      <c r="D35015" s="0" t="s">
        <v>7861</v>
      </c>
      <c r="E35015" s="0" t="s">
        <v>7861</v>
      </c>
      <c r="F35015" s="0" t="s">
        <v>7861</v>
      </c>
    </row>
    <row r="35016" customFormat="false" ht="12.8" hidden="false" customHeight="false" outlineLevel="0" collapsed="false">
      <c r="B35016" s="0" t="s">
        <v>14</v>
      </c>
      <c r="D35016" s="0" t="s">
        <v>7862</v>
      </c>
      <c r="E35016" s="0" t="s">
        <v>7862</v>
      </c>
      <c r="F35016" s="0" t="s">
        <v>7862</v>
      </c>
    </row>
    <row r="35018" customFormat="false" ht="12.8" hidden="false" customHeight="false" outlineLevel="0" collapsed="false">
      <c r="A35018" s="0" t="s">
        <v>12826</v>
      </c>
      <c r="B35018" s="0" t="str">
        <f aca="false">HYPERLINK("https://lindat.mff.cuni.cz/services/teitok/pdtc10/index.php?action=vallex&amp;frame=v-w11001f2", "přehlušit (v-w11001f2)")</f>
        <v>přehlušit (v-w11001f2)</v>
      </c>
    </row>
    <row r="35019" customFormat="false" ht="12.8" hidden="false" customHeight="false" outlineLevel="0" collapsed="false">
      <c r="B35019" s="0" t="s">
        <v>7</v>
      </c>
      <c r="D35019" s="0" t="s">
        <v>8314</v>
      </c>
      <c r="E35019" s="0" t="s">
        <v>8314</v>
      </c>
      <c r="F35019" s="0" t="s">
        <v>8314</v>
      </c>
    </row>
    <row r="35020" customFormat="false" ht="12.8" hidden="false" customHeight="false" outlineLevel="0" collapsed="false">
      <c r="B35020" s="0" t="s">
        <v>14</v>
      </c>
      <c r="C35020" s="0" t="s">
        <v>155</v>
      </c>
      <c r="D35020" s="0" t="s">
        <v>8316</v>
      </c>
      <c r="E35020" s="0" t="s">
        <v>8316</v>
      </c>
      <c r="F35020" s="0" t="s">
        <v>8316</v>
      </c>
    </row>
    <row r="35022" customFormat="false" ht="12.8" hidden="false" customHeight="false" outlineLevel="0" collapsed="false">
      <c r="A35022" s="0" t="s">
        <v>12827</v>
      </c>
      <c r="B35022" s="0" t="str">
        <f aca="false">HYPERLINK("https://lindat.mff.cuni.cz/services/teitok/pdtc10/index.php?action=vallex&amp;frame=v-w4801f1", "přehlédnout (v-w4801f1)")</f>
        <v>přehlédnout (v-w4801f1)</v>
      </c>
    </row>
    <row r="35023" customFormat="false" ht="12.8" hidden="false" customHeight="false" outlineLevel="0" collapsed="false">
      <c r="B35023" s="0" t="s">
        <v>7</v>
      </c>
      <c r="C35023" s="0" t="s">
        <v>335</v>
      </c>
      <c r="D35023" s="0" t="s">
        <v>410</v>
      </c>
      <c r="E35023" s="0" t="s">
        <v>410</v>
      </c>
      <c r="F35023" s="0" t="s">
        <v>410</v>
      </c>
    </row>
    <row r="35024" customFormat="false" ht="12.8" hidden="false" customHeight="false" outlineLevel="0" collapsed="false">
      <c r="B35024" s="0" t="s">
        <v>12828</v>
      </c>
      <c r="C35024" s="0" t="s">
        <v>33</v>
      </c>
      <c r="D35024" s="0" t="s">
        <v>4163</v>
      </c>
      <c r="E35024" s="0" t="s">
        <v>4163</v>
      </c>
      <c r="F35024" s="0" t="s">
        <v>4163</v>
      </c>
    </row>
    <row r="35026" customFormat="false" ht="12.8" hidden="false" customHeight="false" outlineLevel="0" collapsed="false">
      <c r="A35026" s="0" t="s">
        <v>12829</v>
      </c>
      <c r="B35026" s="0" t="str">
        <f aca="false">HYPERLINK("https://lindat.mff.cuni.cz/services/teitok/pdtc10/index.php?action=vallex&amp;frame=v-w4801f2", "přehlédnout (v-w4801f2)")</f>
        <v>přehlédnout (v-w4801f2)</v>
      </c>
    </row>
    <row r="35027" customFormat="false" ht="12.8" hidden="false" customHeight="false" outlineLevel="0" collapsed="false">
      <c r="B35027" s="0" t="s">
        <v>7</v>
      </c>
      <c r="D35027" s="0" t="s">
        <v>428</v>
      </c>
      <c r="E35027" s="0" t="s">
        <v>428</v>
      </c>
      <c r="F35027" s="0" t="s">
        <v>428</v>
      </c>
    </row>
    <row r="35028" customFormat="false" ht="12.8" hidden="false" customHeight="false" outlineLevel="0" collapsed="false">
      <c r="B35028" s="0" t="s">
        <v>14</v>
      </c>
      <c r="D35028" s="0" t="s">
        <v>7622</v>
      </c>
      <c r="E35028" s="0" t="s">
        <v>7622</v>
      </c>
      <c r="F35028" s="0" t="s">
        <v>7622</v>
      </c>
    </row>
    <row r="35030" customFormat="false" ht="12.8" hidden="false" customHeight="false" outlineLevel="0" collapsed="false">
      <c r="A35030" s="0" t="s">
        <v>12830</v>
      </c>
      <c r="B35030" s="0" t="str">
        <f aca="false">HYPERLINK("https://lindat.mff.cuni.cz/services/teitok/pdtc10/index.php?action=vallex&amp;frame=v-w4803f1", "přehlížet (v-w4803f1)")</f>
        <v>přehlížet (v-w4803f1)</v>
      </c>
    </row>
    <row r="35031" customFormat="false" ht="12.8" hidden="false" customHeight="false" outlineLevel="0" collapsed="false">
      <c r="B35031" s="0" t="s">
        <v>7</v>
      </c>
      <c r="C35031" s="0" t="s">
        <v>68</v>
      </c>
      <c r="D35031" s="0" t="s">
        <v>410</v>
      </c>
      <c r="E35031" s="0" t="s">
        <v>410</v>
      </c>
      <c r="F35031" s="0" t="s">
        <v>410</v>
      </c>
    </row>
    <row r="35032" customFormat="false" ht="12.8" hidden="false" customHeight="false" outlineLevel="0" collapsed="false">
      <c r="B35032" s="0" t="s">
        <v>1520</v>
      </c>
      <c r="C35032" s="0" t="s">
        <v>5595</v>
      </c>
      <c r="D35032" s="0" t="s">
        <v>4163</v>
      </c>
      <c r="E35032" s="0" t="s">
        <v>4163</v>
      </c>
      <c r="F35032" s="0" t="s">
        <v>4163</v>
      </c>
    </row>
    <row r="35034" customFormat="false" ht="12.8" hidden="false" customHeight="false" outlineLevel="0" collapsed="false">
      <c r="A35034" s="0" t="s">
        <v>12831</v>
      </c>
      <c r="B35034" s="0" t="str">
        <f aca="false">HYPERLINK("https://lindat.mff.cuni.cz/services/teitok/pdtc10/index.php?action=vallex&amp;frame=v-whsa_1200hsa_1201", "přehnat (v-whsa_1200hsa_1201)")</f>
        <v>přehnat (v-whsa_1200hsa_1201)</v>
      </c>
    </row>
    <row r="35035" customFormat="false" ht="12.8" hidden="false" customHeight="false" outlineLevel="0" collapsed="false">
      <c r="B35035" s="0" t="s">
        <v>7</v>
      </c>
      <c r="C35035" s="0" t="s">
        <v>191</v>
      </c>
      <c r="D35035" s="0" t="s">
        <v>108</v>
      </c>
      <c r="E35035" s="0" t="s">
        <v>108</v>
      </c>
      <c r="F35035" s="0" t="s">
        <v>108</v>
      </c>
    </row>
    <row r="35036" customFormat="false" ht="12.8" hidden="false" customHeight="false" outlineLevel="0" collapsed="false">
      <c r="B35036" s="0" t="s">
        <v>14</v>
      </c>
      <c r="C35036" s="0" t="s">
        <v>155</v>
      </c>
      <c r="D35036" s="0" t="s">
        <v>159</v>
      </c>
      <c r="E35036" s="0" t="s">
        <v>159</v>
      </c>
      <c r="F35036" s="0" t="s">
        <v>159</v>
      </c>
    </row>
    <row r="35038" customFormat="false" ht="12.8" hidden="false" customHeight="false" outlineLevel="0" collapsed="false">
      <c r="A35038" s="0" t="s">
        <v>12832</v>
      </c>
      <c r="B35038" s="0" t="str">
        <f aca="false">HYPERLINK("https://lindat.mff.cuni.cz/services/teitok/pdtc10/index.php?action=vallex&amp;frame=v-whsa_1200f2_ZU", "přehnat (v-whsa_1200f2_ZU)")</f>
        <v>přehnat (v-whsa_1200f2_ZU)</v>
      </c>
    </row>
    <row r="35039" customFormat="false" ht="12.8" hidden="false" customHeight="false" outlineLevel="0" collapsed="false">
      <c r="B35039" s="0" t="s">
        <v>7</v>
      </c>
    </row>
    <row r="35040" customFormat="false" ht="12.8" hidden="false" customHeight="false" outlineLevel="0" collapsed="false">
      <c r="B35040" s="0" t="s">
        <v>525</v>
      </c>
    </row>
    <row r="35041" customFormat="false" ht="12.8" hidden="false" customHeight="false" outlineLevel="0" collapsed="false">
      <c r="B35041" s="0" t="s">
        <v>2871</v>
      </c>
    </row>
    <row r="35043" customFormat="false" ht="12.8" hidden="false" customHeight="false" outlineLevel="0" collapsed="false">
      <c r="A35043" s="0" t="s">
        <v>12832</v>
      </c>
      <c r="B35043" s="0" t="str">
        <f aca="false">HYPERLINK("https://lindat.mff.cuni.cz/services/teitok/pdtc10/index.php?action=vallex&amp;frame=v-whsa_1200f1_ZU", "přehnat (v-whsa_1200f1_ZU) - substituted with v-whsa_1200f2_ZU")</f>
        <v>přehnat (v-whsa_1200f1_ZU) - substituted with v-whsa_1200f2_ZU</v>
      </c>
    </row>
    <row r="35044" customFormat="false" ht="12.8" hidden="false" customHeight="false" outlineLevel="0" collapsed="false">
      <c r="B35044" s="0" t="s">
        <v>7</v>
      </c>
    </row>
    <row r="35045" customFormat="false" ht="12.8" hidden="false" customHeight="false" outlineLevel="0" collapsed="false">
      <c r="B35045" s="0" t="s">
        <v>525</v>
      </c>
    </row>
    <row r="35046" customFormat="false" ht="12.8" hidden="false" customHeight="false" outlineLevel="0" collapsed="false">
      <c r="B35046" s="0" t="s">
        <v>2871</v>
      </c>
    </row>
    <row r="35048" customFormat="false" ht="12.8" hidden="false" customHeight="false" outlineLevel="0" collapsed="false">
      <c r="A35048" s="0" t="s">
        <v>12832</v>
      </c>
      <c r="B35048" s="0" t="str">
        <f aca="false">HYPERLINK("https://lindat.mff.cuni.cz/services/teitok/pdtc10/index.php?action=vallex&amp;frame=v-whsa_1200hsa_1992", "přehnat (v-whsa_1200hsa_1992) - substituted with v-whsa_1200f2_ZU")</f>
        <v>přehnat (v-whsa_1200hsa_1992) - substituted with v-whsa_1200f2_ZU</v>
      </c>
    </row>
    <row r="35049" customFormat="false" ht="12.8" hidden="false" customHeight="false" outlineLevel="0" collapsed="false">
      <c r="B35049" s="0" t="s">
        <v>7</v>
      </c>
    </row>
    <row r="35050" customFormat="false" ht="12.8" hidden="false" customHeight="false" outlineLevel="0" collapsed="false">
      <c r="B35050" s="0" t="s">
        <v>525</v>
      </c>
    </row>
    <row r="35051" customFormat="false" ht="12.8" hidden="false" customHeight="false" outlineLevel="0" collapsed="false">
      <c r="B35051" s="0" t="s">
        <v>2871</v>
      </c>
    </row>
    <row r="35053" customFormat="false" ht="12.8" hidden="false" customHeight="false" outlineLevel="0" collapsed="false">
      <c r="A35053" s="0" t="s">
        <v>12833</v>
      </c>
      <c r="B35053" s="0" t="str">
        <f aca="false">HYPERLINK("https://lindat.mff.cuni.cz/services/teitok/pdtc10/index.php?action=vallex&amp;frame=v-whsa_1200f3_ZU", "přehnat (v-whsa_1200f3_ZU)")</f>
        <v>přehnat (v-whsa_1200f3_ZU)</v>
      </c>
    </row>
    <row r="35054" customFormat="false" ht="12.8" hidden="false" customHeight="false" outlineLevel="0" collapsed="false">
      <c r="B35054" s="0" t="s">
        <v>7</v>
      </c>
    </row>
    <row r="35055" customFormat="false" ht="12.8" hidden="false" customHeight="false" outlineLevel="0" collapsed="false">
      <c r="B35055" s="0" t="s">
        <v>14</v>
      </c>
    </row>
    <row r="35057" customFormat="false" ht="12.8" hidden="false" customHeight="false" outlineLevel="0" collapsed="false">
      <c r="A35057" s="0" t="s">
        <v>12834</v>
      </c>
      <c r="B35057" s="0" t="str">
        <f aca="false">HYPERLINK("https://lindat.mff.cuni.cz/services/teitok/pdtc10/index.php?action=vallex&amp;frame=v-w4805f4_ZU", "přehnat se (v-w4805f4_ZU)")</f>
        <v>přehnat se (v-w4805f4_ZU)</v>
      </c>
    </row>
    <row r="35058" customFormat="false" ht="12.8" hidden="false" customHeight="false" outlineLevel="0" collapsed="false">
      <c r="B35058" s="0" t="s">
        <v>7</v>
      </c>
      <c r="D35058" s="0" t="s">
        <v>11736</v>
      </c>
      <c r="E35058" s="0" t="s">
        <v>11736</v>
      </c>
      <c r="F35058" s="0" t="s">
        <v>11736</v>
      </c>
    </row>
    <row r="35059" customFormat="false" ht="12.8" hidden="false" customHeight="false" outlineLevel="0" collapsed="false">
      <c r="B35059" s="0" t="s">
        <v>259</v>
      </c>
    </row>
    <row r="35061" customFormat="false" ht="12.8" hidden="false" customHeight="false" outlineLevel="0" collapsed="false">
      <c r="A35061" s="0" t="s">
        <v>12834</v>
      </c>
      <c r="B35061" s="0" t="str">
        <f aca="false">HYPERLINK("https://lindat.mff.cuni.cz/services/teitok/pdtc10/index.php?action=vallex&amp;frame=v-w4805f2_ZU", "přehnat se (v-w4805f2_ZU) - substituted with v-w4805f4_ZU")</f>
        <v>přehnat se (v-w4805f2_ZU) - substituted with v-w4805f4_ZU</v>
      </c>
    </row>
    <row r="35062" customFormat="false" ht="12.8" hidden="false" customHeight="false" outlineLevel="0" collapsed="false">
      <c r="B35062" s="0" t="s">
        <v>7</v>
      </c>
    </row>
    <row r="35063" customFormat="false" ht="12.8" hidden="false" customHeight="false" outlineLevel="0" collapsed="false">
      <c r="B35063" s="0" t="s">
        <v>259</v>
      </c>
    </row>
    <row r="35065" customFormat="false" ht="12.8" hidden="false" customHeight="false" outlineLevel="0" collapsed="false">
      <c r="A35065" s="0" t="s">
        <v>12834</v>
      </c>
      <c r="B35065" s="0" t="str">
        <f aca="false">HYPERLINK("https://lindat.mff.cuni.cz/services/teitok/pdtc10/index.php?action=vallex&amp;frame=v-w4805f3_ZU", "přehnat se (v-w4805f3_ZU) - substituted with v-w4805f4_ZU")</f>
        <v>přehnat se (v-w4805f3_ZU) - substituted with v-w4805f4_ZU</v>
      </c>
    </row>
    <row r="35066" customFormat="false" ht="12.8" hidden="false" customHeight="false" outlineLevel="0" collapsed="false">
      <c r="B35066" s="0" t="s">
        <v>7</v>
      </c>
      <c r="C35066" s="0" t="s">
        <v>200</v>
      </c>
    </row>
    <row r="35067" customFormat="false" ht="12.8" hidden="false" customHeight="false" outlineLevel="0" collapsed="false">
      <c r="B35067" s="0" t="s">
        <v>259</v>
      </c>
    </row>
    <row r="35069" customFormat="false" ht="12.8" hidden="false" customHeight="false" outlineLevel="0" collapsed="false">
      <c r="A35069" s="0" t="s">
        <v>12835</v>
      </c>
      <c r="B35069" s="0" t="str">
        <f aca="false">HYPERLINK("https://lindat.mff.cuni.cz/services/teitok/pdtc10/index.php?action=vallex&amp;frame=v-w4805f1", "přehnat se (v-w4805f1)")</f>
        <v>přehnat se (v-w4805f1)</v>
      </c>
    </row>
    <row r="35070" customFormat="false" ht="12.8" hidden="false" customHeight="false" outlineLevel="0" collapsed="false">
      <c r="B35070" s="0" t="s">
        <v>7</v>
      </c>
    </row>
    <row r="35072" customFormat="false" ht="12.8" hidden="false" customHeight="false" outlineLevel="0" collapsed="false">
      <c r="A35072" s="0" t="s">
        <v>12836</v>
      </c>
      <c r="B35072" s="0" t="str">
        <f aca="false">HYPERLINK("https://lindat.mff.cuni.cz/services/teitok/pdtc10/index.php?action=vallex&amp;frame=v-w4806f1", "přehodit (v-w4806f1)")</f>
        <v>přehodit (v-w4806f1)</v>
      </c>
    </row>
    <row r="35073" customFormat="false" ht="12.8" hidden="false" customHeight="false" outlineLevel="0" collapsed="false">
      <c r="B35073" s="0" t="s">
        <v>7</v>
      </c>
    </row>
    <row r="35074" customFormat="false" ht="12.8" hidden="false" customHeight="false" outlineLevel="0" collapsed="false">
      <c r="B35074" s="0" t="s">
        <v>14</v>
      </c>
    </row>
    <row r="35076" customFormat="false" ht="12.8" hidden="false" customHeight="false" outlineLevel="0" collapsed="false">
      <c r="A35076" s="0" t="s">
        <v>12837</v>
      </c>
      <c r="B35076" s="0" t="str">
        <f aca="false">HYPERLINK("https://lindat.mff.cuni.cz/services/teitok/pdtc10/index.php?action=vallex&amp;frame=v-w4806f2", "přehodit (v-w4806f2)")</f>
        <v>přehodit (v-w4806f2)</v>
      </c>
    </row>
    <row r="35077" customFormat="false" ht="12.8" hidden="false" customHeight="false" outlineLevel="0" collapsed="false">
      <c r="B35077" s="0" t="s">
        <v>7</v>
      </c>
    </row>
    <row r="35078" customFormat="false" ht="12.8" hidden="false" customHeight="false" outlineLevel="0" collapsed="false">
      <c r="B35078" s="0" t="s">
        <v>14</v>
      </c>
    </row>
    <row r="35080" customFormat="false" ht="12.8" hidden="false" customHeight="false" outlineLevel="0" collapsed="false">
      <c r="A35080" s="0" t="s">
        <v>12838</v>
      </c>
      <c r="B35080" s="0" t="str">
        <f aca="false">HYPERLINK("https://lindat.mff.cuni.cz/services/teitok/pdtc10/index.php?action=vallex&amp;frame=v-w4806f3_ZU", "přehodit (v-w4806f3_ZU)")</f>
        <v>přehodit (v-w4806f3_ZU)</v>
      </c>
    </row>
    <row r="35081" customFormat="false" ht="12.8" hidden="false" customHeight="false" outlineLevel="0" collapsed="false">
      <c r="B35081" s="0" t="s">
        <v>7</v>
      </c>
    </row>
    <row r="35082" customFormat="false" ht="12.8" hidden="false" customHeight="false" outlineLevel="0" collapsed="false">
      <c r="B35082" s="0" t="s">
        <v>14</v>
      </c>
    </row>
    <row r="35083" customFormat="false" ht="12.8" hidden="false" customHeight="false" outlineLevel="0" collapsed="false">
      <c r="B35083" s="0" t="s">
        <v>338</v>
      </c>
    </row>
    <row r="35085" customFormat="false" ht="12.8" hidden="false" customHeight="false" outlineLevel="0" collapsed="false">
      <c r="A35085" s="0" t="s">
        <v>12839</v>
      </c>
      <c r="B35085" s="0" t="str">
        <f aca="false">HYPERLINK("https://lindat.mff.cuni.cz/services/teitok/pdtc10/index.php?action=vallex&amp;frame=v-w4808f1", "přehodnocovat (v-w4808f1)")</f>
        <v>přehodnocovat (v-w4808f1)</v>
      </c>
    </row>
    <row r="35086" customFormat="false" ht="12.8" hidden="false" customHeight="false" outlineLevel="0" collapsed="false">
      <c r="B35086" s="0" t="s">
        <v>7</v>
      </c>
      <c r="C35086" s="0" t="s">
        <v>191</v>
      </c>
      <c r="D35086" s="0" t="s">
        <v>32</v>
      </c>
      <c r="E35086" s="0" t="s">
        <v>32</v>
      </c>
      <c r="F35086" s="0" t="s">
        <v>32</v>
      </c>
    </row>
    <row r="35087" customFormat="false" ht="12.8" hidden="false" customHeight="false" outlineLevel="0" collapsed="false">
      <c r="B35087" s="0" t="s">
        <v>14</v>
      </c>
      <c r="C35087" s="0" t="s">
        <v>155</v>
      </c>
      <c r="D35087" s="0" t="s">
        <v>34</v>
      </c>
      <c r="E35087" s="0" t="s">
        <v>34</v>
      </c>
      <c r="F35087" s="0" t="s">
        <v>34</v>
      </c>
    </row>
    <row r="35088" customFormat="false" ht="12.8" hidden="false" customHeight="false" outlineLevel="0" collapsed="false">
      <c r="B35088" s="0" t="s">
        <v>84</v>
      </c>
      <c r="D35088" s="0" t="s">
        <v>39</v>
      </c>
      <c r="E35088" s="0" t="s">
        <v>39</v>
      </c>
      <c r="F35088" s="0" t="s">
        <v>39</v>
      </c>
    </row>
    <row r="35090" customFormat="false" ht="12.8" hidden="false" customHeight="false" outlineLevel="0" collapsed="false">
      <c r="A35090" s="0" t="s">
        <v>12840</v>
      </c>
      <c r="B35090" s="0" t="str">
        <f aca="false">HYPERLINK("https://lindat.mff.cuni.cz/services/teitok/pdtc10/index.php?action=vallex&amp;frame=v-w4808f2", "přehodnocovat (v-w4808f2)")</f>
        <v>přehodnocovat (v-w4808f2)</v>
      </c>
    </row>
    <row r="35091" customFormat="false" ht="12.8" hidden="false" customHeight="false" outlineLevel="0" collapsed="false">
      <c r="B35091" s="0" t="s">
        <v>7</v>
      </c>
      <c r="C35091" s="0" t="s">
        <v>191</v>
      </c>
      <c r="D35091" s="0" t="s">
        <v>231</v>
      </c>
      <c r="E35091" s="0" t="s">
        <v>231</v>
      </c>
      <c r="F35091" s="0" t="s">
        <v>231</v>
      </c>
    </row>
    <row r="35092" customFormat="false" ht="12.8" hidden="false" customHeight="false" outlineLevel="0" collapsed="false">
      <c r="B35092" s="0" t="s">
        <v>2030</v>
      </c>
      <c r="C35092" s="0" t="s">
        <v>47</v>
      </c>
      <c r="D35092" s="0" t="s">
        <v>233</v>
      </c>
      <c r="E35092" s="0" t="s">
        <v>233</v>
      </c>
      <c r="F35092" s="0" t="s">
        <v>233</v>
      </c>
    </row>
    <row r="35094" customFormat="false" ht="12.8" hidden="false" customHeight="false" outlineLevel="0" collapsed="false">
      <c r="A35094" s="0" t="s">
        <v>12841</v>
      </c>
      <c r="B35094" s="0" t="str">
        <f aca="false">HYPERLINK("https://lindat.mff.cuni.cz/services/teitok/pdtc10/index.php?action=vallex&amp;frame=v-w4809f2", "přehodnotit (v-w4809f2)")</f>
        <v>přehodnotit (v-w4809f2)</v>
      </c>
    </row>
    <row r="35095" customFormat="false" ht="12.8" hidden="false" customHeight="false" outlineLevel="0" collapsed="false">
      <c r="B35095" s="0" t="s">
        <v>7</v>
      </c>
      <c r="C35095" s="0" t="s">
        <v>3918</v>
      </c>
      <c r="D35095" s="0" t="s">
        <v>32</v>
      </c>
      <c r="E35095" s="0" t="s">
        <v>32</v>
      </c>
      <c r="F35095" s="0" t="s">
        <v>32</v>
      </c>
    </row>
    <row r="35096" customFormat="false" ht="12.8" hidden="false" customHeight="false" outlineLevel="0" collapsed="false">
      <c r="B35096" s="0" t="s">
        <v>14</v>
      </c>
      <c r="C35096" s="0" t="s">
        <v>2642</v>
      </c>
      <c r="D35096" s="0" t="s">
        <v>34</v>
      </c>
      <c r="E35096" s="0" t="s">
        <v>34</v>
      </c>
      <c r="F35096" s="0" t="s">
        <v>34</v>
      </c>
    </row>
    <row r="35097" customFormat="false" ht="12.8" hidden="false" customHeight="false" outlineLevel="0" collapsed="false">
      <c r="B35097" s="0" t="s">
        <v>84</v>
      </c>
      <c r="C35097" s="0" t="s">
        <v>1234</v>
      </c>
      <c r="D35097" s="0" t="s">
        <v>39</v>
      </c>
      <c r="E35097" s="0" t="s">
        <v>39</v>
      </c>
      <c r="F35097" s="0" t="s">
        <v>39</v>
      </c>
    </row>
    <row r="35099" customFormat="false" ht="12.8" hidden="false" customHeight="false" outlineLevel="0" collapsed="false">
      <c r="A35099" s="0" t="s">
        <v>12842</v>
      </c>
      <c r="B35099" s="0" t="str">
        <f aca="false">HYPERLINK("https://lindat.mff.cuni.cz/services/teitok/pdtc10/index.php?action=vallex&amp;frame=v-w4809f1", "přehodnotit (v-w4809f1)")</f>
        <v>přehodnotit (v-w4809f1)</v>
      </c>
    </row>
    <row r="35100" customFormat="false" ht="12.8" hidden="false" customHeight="false" outlineLevel="0" collapsed="false">
      <c r="B35100" s="0" t="s">
        <v>7</v>
      </c>
      <c r="C35100" s="0" t="s">
        <v>3042</v>
      </c>
      <c r="D35100" s="0" t="s">
        <v>10852</v>
      </c>
      <c r="E35100" s="0" t="s">
        <v>10852</v>
      </c>
      <c r="F35100" s="0" t="s">
        <v>10852</v>
      </c>
    </row>
    <row r="35101" customFormat="false" ht="12.8" hidden="false" customHeight="false" outlineLevel="0" collapsed="false">
      <c r="B35101" s="0" t="s">
        <v>2030</v>
      </c>
      <c r="C35101" s="0" t="s">
        <v>1294</v>
      </c>
      <c r="D35101" s="0" t="s">
        <v>10855</v>
      </c>
      <c r="E35101" s="0" t="s">
        <v>10855</v>
      </c>
      <c r="F35101" s="0" t="s">
        <v>10855</v>
      </c>
    </row>
    <row r="35103" customFormat="false" ht="12.8" hidden="false" customHeight="false" outlineLevel="0" collapsed="false">
      <c r="A35103" s="0" t="s">
        <v>12843</v>
      </c>
      <c r="B35103" s="0" t="str">
        <f aca="false">HYPERLINK("https://lindat.mff.cuni.cz/services/teitok/pdtc10/index.php?action=vallex&amp;frame=v-w11359f1", "přehoupnout se (v-w11359f1)")</f>
        <v>přehoupnout se (v-w11359f1)</v>
      </c>
    </row>
    <row r="35104" customFormat="false" ht="12.8" hidden="false" customHeight="false" outlineLevel="0" collapsed="false">
      <c r="B35104" s="0" t="s">
        <v>7</v>
      </c>
    </row>
    <row r="35105" customFormat="false" ht="12.8" hidden="false" customHeight="false" outlineLevel="0" collapsed="false">
      <c r="B35105" s="0" t="s">
        <v>279</v>
      </c>
    </row>
    <row r="35107" customFormat="false" ht="12.8" hidden="false" customHeight="false" outlineLevel="0" collapsed="false">
      <c r="A35107" s="0" t="s">
        <v>12844</v>
      </c>
      <c r="B35107" s="0" t="str">
        <f aca="false">HYPERLINK("https://lindat.mff.cuni.cz/services/teitok/pdtc10/index.php?action=vallex&amp;frame=v-w11273f1", "přehrabovat se (v-w11273f1)")</f>
        <v>přehrabovat se (v-w11273f1)</v>
      </c>
    </row>
    <row r="35108" customFormat="false" ht="12.8" hidden="false" customHeight="false" outlineLevel="0" collapsed="false">
      <c r="B35108" s="0" t="s">
        <v>7</v>
      </c>
    </row>
    <row r="35109" customFormat="false" ht="12.8" hidden="false" customHeight="false" outlineLevel="0" collapsed="false">
      <c r="B35109" s="0" t="s">
        <v>387</v>
      </c>
    </row>
    <row r="35111" customFormat="false" ht="12.8" hidden="false" customHeight="false" outlineLevel="0" collapsed="false">
      <c r="A35111" s="0" t="s">
        <v>12845</v>
      </c>
      <c r="B35111" s="0" t="str">
        <f aca="false">HYPERLINK("https://lindat.mff.cuni.cz/services/teitok/pdtc10/index.php?action=vallex&amp;frame=v-w4810f1", "přehradit (v-w4810f1)")</f>
        <v>přehradit (v-w4810f1)</v>
      </c>
    </row>
    <row r="35112" customFormat="false" ht="12.8" hidden="false" customHeight="false" outlineLevel="0" collapsed="false">
      <c r="B35112" s="0" t="s">
        <v>7</v>
      </c>
    </row>
    <row r="35113" customFormat="false" ht="12.8" hidden="false" customHeight="false" outlineLevel="0" collapsed="false">
      <c r="B35113" s="0" t="s">
        <v>14</v>
      </c>
    </row>
    <row r="35115" customFormat="false" ht="12.8" hidden="false" customHeight="false" outlineLevel="0" collapsed="false">
      <c r="A35115" s="0" t="s">
        <v>12846</v>
      </c>
      <c r="B35115" s="0" t="str">
        <f aca="false">HYPERLINK("https://lindat.mff.cuni.cz/services/teitok/pdtc10/index.php?action=vallex&amp;frame=v-w4811f1", "přehrát (v-w4811f1)")</f>
        <v>přehrát (v-w4811f1)</v>
      </c>
    </row>
    <row r="35116" customFormat="false" ht="12.8" hidden="false" customHeight="false" outlineLevel="0" collapsed="false">
      <c r="B35116" s="0" t="s">
        <v>7</v>
      </c>
    </row>
    <row r="35117" customFormat="false" ht="12.8" hidden="false" customHeight="false" outlineLevel="0" collapsed="false">
      <c r="B35117" s="0" t="s">
        <v>14</v>
      </c>
    </row>
    <row r="35119" customFormat="false" ht="12.8" hidden="false" customHeight="false" outlineLevel="0" collapsed="false">
      <c r="A35119" s="0" t="s">
        <v>12847</v>
      </c>
      <c r="B35119" s="0" t="str">
        <f aca="false">HYPERLINK("https://lindat.mff.cuni.cz/services/teitok/pdtc10/index.php?action=vallex&amp;frame=v-w4811f2", "přehrát (v-w4811f2)")</f>
        <v>přehrát (v-w4811f2)</v>
      </c>
    </row>
    <row r="35120" customFormat="false" ht="12.8" hidden="false" customHeight="false" outlineLevel="0" collapsed="false">
      <c r="B35120" s="0" t="s">
        <v>7</v>
      </c>
      <c r="C35120" s="0" t="s">
        <v>460</v>
      </c>
    </row>
    <row r="35121" customFormat="false" ht="12.8" hidden="false" customHeight="false" outlineLevel="0" collapsed="false">
      <c r="B35121" s="0" t="s">
        <v>14</v>
      </c>
      <c r="C35121" s="0" t="s">
        <v>120</v>
      </c>
    </row>
    <row r="35123" customFormat="false" ht="12.8" hidden="false" customHeight="false" outlineLevel="0" collapsed="false">
      <c r="A35123" s="0" t="s">
        <v>12848</v>
      </c>
      <c r="B35123" s="0" t="str">
        <f aca="false">HYPERLINK("https://lindat.mff.cuni.cz/services/teitok/pdtc10/index.php?action=vallex&amp;frame=v-w4811f4", "přehrát (v-w4811f4)")</f>
        <v>přehrát (v-w4811f4)</v>
      </c>
    </row>
    <row r="35124" customFormat="false" ht="12.8" hidden="false" customHeight="false" outlineLevel="0" collapsed="false">
      <c r="B35124" s="0" t="s">
        <v>7</v>
      </c>
    </row>
    <row r="35125" customFormat="false" ht="12.8" hidden="false" customHeight="false" outlineLevel="0" collapsed="false">
      <c r="B35125" s="0" t="s">
        <v>14</v>
      </c>
    </row>
    <row r="35127" customFormat="false" ht="12.8" hidden="false" customHeight="false" outlineLevel="0" collapsed="false">
      <c r="A35127" s="0" t="s">
        <v>12849</v>
      </c>
      <c r="B35127" s="0" t="str">
        <f aca="false">HYPERLINK("https://lindat.mff.cuni.cz/services/teitok/pdtc10/index.php?action=vallex&amp;frame=v-w4811f3", "přehrát (v-w4811f3)")</f>
        <v>přehrát (v-w4811f3)</v>
      </c>
    </row>
    <row r="35128" customFormat="false" ht="12.8" hidden="false" customHeight="false" outlineLevel="0" collapsed="false">
      <c r="B35128" s="0" t="s">
        <v>7</v>
      </c>
    </row>
    <row r="35129" customFormat="false" ht="12.8" hidden="false" customHeight="false" outlineLevel="0" collapsed="false">
      <c r="B35129" s="0" t="s">
        <v>14</v>
      </c>
    </row>
    <row r="35131" customFormat="false" ht="12.8" hidden="false" customHeight="false" outlineLevel="0" collapsed="false">
      <c r="A35131" s="0" t="s">
        <v>12850</v>
      </c>
      <c r="B35131" s="0" t="str">
        <f aca="false">HYPERLINK("https://lindat.mff.cuni.cz/services/teitok/pdtc10/index.php?action=vallex&amp;frame=v-w4812f1", "přehrávat (v-w4812f1)")</f>
        <v>přehrávat (v-w4812f1)</v>
      </c>
    </row>
    <row r="35132" customFormat="false" ht="12.8" hidden="false" customHeight="false" outlineLevel="0" collapsed="false">
      <c r="B35132" s="0" t="s">
        <v>7</v>
      </c>
    </row>
    <row r="35133" customFormat="false" ht="12.8" hidden="false" customHeight="false" outlineLevel="0" collapsed="false">
      <c r="B35133" s="0" t="s">
        <v>14</v>
      </c>
    </row>
    <row r="35135" customFormat="false" ht="12.8" hidden="false" customHeight="false" outlineLevel="0" collapsed="false">
      <c r="A35135" s="0" t="s">
        <v>12851</v>
      </c>
      <c r="B35135" s="0" t="str">
        <f aca="false">HYPERLINK("https://lindat.mff.cuni.cz/services/teitok/pdtc10/index.php?action=vallex&amp;frame=v-w4812hsa_424", "přehrávat (v-w4812hsa_424)")</f>
        <v>přehrávat (v-w4812hsa_424)</v>
      </c>
    </row>
    <row r="35136" customFormat="false" ht="12.8" hidden="false" customHeight="false" outlineLevel="0" collapsed="false">
      <c r="B35136" s="0" t="s">
        <v>7</v>
      </c>
    </row>
    <row r="35138" customFormat="false" ht="12.8" hidden="false" customHeight="false" outlineLevel="0" collapsed="false">
      <c r="A35138" s="0" t="s">
        <v>12852</v>
      </c>
      <c r="B35138" s="0" t="str">
        <f aca="false">HYPERLINK("https://lindat.mff.cuni.cz/services/teitok/pdtc10/index.php?action=vallex&amp;frame=v-w4812f2_ZU", "přehrávat (v-w4812f2_ZU)")</f>
        <v>přehrávat (v-w4812f2_ZU)</v>
      </c>
    </row>
    <row r="35139" customFormat="false" ht="12.8" hidden="false" customHeight="false" outlineLevel="0" collapsed="false">
      <c r="B35139" s="0" t="s">
        <v>7</v>
      </c>
    </row>
    <row r="35140" customFormat="false" ht="12.8" hidden="false" customHeight="false" outlineLevel="0" collapsed="false">
      <c r="B35140" s="0" t="s">
        <v>14</v>
      </c>
    </row>
    <row r="35142" customFormat="false" ht="12.8" hidden="false" customHeight="false" outlineLevel="0" collapsed="false">
      <c r="A35142" s="0" t="s">
        <v>12852</v>
      </c>
      <c r="B35142" s="0" t="str">
        <f aca="false">HYPERLINK("https://lindat.mff.cuni.cz/services/teitok/pdtc10/index.php?action=vallex&amp;frame=v-w4812hsa_425", "přehrávat (v-w4812hsa_425) - substituted with v-w4812f2_ZU")</f>
        <v>přehrávat (v-w4812hsa_425) - substituted with v-w4812f2_ZU</v>
      </c>
    </row>
    <row r="35143" customFormat="false" ht="12.8" hidden="false" customHeight="false" outlineLevel="0" collapsed="false">
      <c r="B35143" s="0" t="s">
        <v>7</v>
      </c>
    </row>
    <row r="35144" customFormat="false" ht="12.8" hidden="false" customHeight="false" outlineLevel="0" collapsed="false">
      <c r="B35144" s="0" t="s">
        <v>14</v>
      </c>
    </row>
    <row r="35146" customFormat="false" ht="12.8" hidden="false" customHeight="false" outlineLevel="0" collapsed="false">
      <c r="A35146" s="0" t="s">
        <v>12853</v>
      </c>
      <c r="B35146" s="0" t="str">
        <f aca="false">HYPERLINK("https://lindat.mff.cuni.cz/services/teitok/pdtc10/index.php?action=vallex&amp;frame=v-w4813f1", "přehrávat se (v-w4813f1)")</f>
        <v>přehrávat se (v-w4813f1)</v>
      </c>
    </row>
    <row r="35147" customFormat="false" ht="12.8" hidden="false" customHeight="false" outlineLevel="0" collapsed="false">
      <c r="B35147" s="0" t="s">
        <v>7</v>
      </c>
    </row>
    <row r="35148" customFormat="false" ht="12.8" hidden="false" customHeight="false" outlineLevel="0" collapsed="false">
      <c r="B35148" s="0" t="s">
        <v>6209</v>
      </c>
    </row>
    <row r="35149" customFormat="false" ht="12.8" hidden="false" customHeight="false" outlineLevel="0" collapsed="false">
      <c r="B35149" s="0" t="s">
        <v>35</v>
      </c>
    </row>
    <row r="35151" customFormat="false" ht="12.8" hidden="false" customHeight="false" outlineLevel="0" collapsed="false">
      <c r="A35151" s="0" t="s">
        <v>12854</v>
      </c>
      <c r="B35151" s="0" t="str">
        <f aca="false">HYPERLINK("https://lindat.mff.cuni.cz/services/teitok/pdtc10/index.php?action=vallex&amp;frame=v-w12035_ZUf2_ZU", "přehrávat si (v-w12035_ZUf2_ZU)")</f>
        <v>přehrávat si (v-w12035_ZUf2_ZU)</v>
      </c>
    </row>
    <row r="35152" customFormat="false" ht="12.8" hidden="false" customHeight="false" outlineLevel="0" collapsed="false">
      <c r="B35152" s="0" t="s">
        <v>7</v>
      </c>
    </row>
    <row r="35153" customFormat="false" ht="12.8" hidden="false" customHeight="false" outlineLevel="0" collapsed="false">
      <c r="B35153" s="0" t="s">
        <v>14</v>
      </c>
    </row>
    <row r="35155" customFormat="false" ht="12.8" hidden="false" customHeight="false" outlineLevel="0" collapsed="false">
      <c r="A35155" s="0" t="s">
        <v>12854</v>
      </c>
      <c r="B35155" s="0" t="str">
        <f aca="false">HYPERLINK("https://lindat.mff.cuni.cz/services/teitok/pdtc10/index.php?action=vallex&amp;frame=v-w12035_ZUf1_ZU", "přehrávat si (v-w12035_ZUf1_ZU) - substituted with v-w12035_ZUf2_ZU")</f>
        <v>přehrávat si (v-w12035_ZUf1_ZU) - substituted with v-w12035_ZUf2_ZU</v>
      </c>
    </row>
    <row r="35156" customFormat="false" ht="12.8" hidden="false" customHeight="false" outlineLevel="0" collapsed="false">
      <c r="B35156" s="0" t="s">
        <v>7</v>
      </c>
    </row>
    <row r="35157" customFormat="false" ht="12.8" hidden="false" customHeight="false" outlineLevel="0" collapsed="false">
      <c r="B35157" s="0" t="s">
        <v>14</v>
      </c>
    </row>
    <row r="35159" customFormat="false" ht="12.8" hidden="false" customHeight="false" outlineLevel="0" collapsed="false">
      <c r="A35159" s="0" t="s">
        <v>12855</v>
      </c>
      <c r="B35159" s="0" t="str">
        <f aca="false">HYPERLINK("https://lindat.mff.cuni.cz/services/teitok/pdtc10/index.php?action=vallex&amp;frame=v-w4816f1", "přehustit (v-w4816f1)")</f>
        <v>přehustit (v-w4816f1)</v>
      </c>
    </row>
    <row r="35160" customFormat="false" ht="12.8" hidden="false" customHeight="false" outlineLevel="0" collapsed="false">
      <c r="B35160" s="0" t="s">
        <v>7</v>
      </c>
    </row>
    <row r="35161" customFormat="false" ht="12.8" hidden="false" customHeight="false" outlineLevel="0" collapsed="false">
      <c r="B35161" s="0" t="s">
        <v>14</v>
      </c>
    </row>
    <row r="35163" customFormat="false" ht="12.8" hidden="false" customHeight="false" outlineLevel="0" collapsed="false">
      <c r="A35163" s="0" t="s">
        <v>12856</v>
      </c>
      <c r="B35163" s="0" t="str">
        <f aca="false">HYPERLINK("https://lindat.mff.cuni.cz/services/teitok/pdtc10/index.php?action=vallex&amp;frame=v-w4816f2", "přehustit (v-w4816f2)")</f>
        <v>přehustit (v-w4816f2)</v>
      </c>
    </row>
    <row r="35164" customFormat="false" ht="12.8" hidden="false" customHeight="false" outlineLevel="0" collapsed="false">
      <c r="B35164" s="0" t="s">
        <v>7</v>
      </c>
    </row>
    <row r="35165" customFormat="false" ht="12.8" hidden="false" customHeight="false" outlineLevel="0" collapsed="false">
      <c r="B35165" s="0" t="s">
        <v>14</v>
      </c>
    </row>
    <row r="35166" customFormat="false" ht="12.8" hidden="false" customHeight="false" outlineLevel="0" collapsed="false">
      <c r="B35166" s="0" t="s">
        <v>6292</v>
      </c>
    </row>
    <row r="35168" customFormat="false" ht="12.8" hidden="false" customHeight="false" outlineLevel="0" collapsed="false">
      <c r="A35168" s="0" t="s">
        <v>12857</v>
      </c>
      <c r="B35168" s="0" t="str">
        <f aca="false">HYPERLINK("https://lindat.mff.cuni.cz/services/teitok/pdtc10/index.php?action=vallex&amp;frame=v-w4792f1", "přehánět (v-w4792f1)")</f>
        <v>přehánět (v-w4792f1)</v>
      </c>
    </row>
    <row r="35169" customFormat="false" ht="12.8" hidden="false" customHeight="false" outlineLevel="0" collapsed="false">
      <c r="B35169" s="0" t="s">
        <v>7</v>
      </c>
      <c r="C35169" s="0" t="s">
        <v>118</v>
      </c>
      <c r="D35169" s="0" t="s">
        <v>108</v>
      </c>
      <c r="E35169" s="0" t="s">
        <v>108</v>
      </c>
      <c r="F35169" s="0" t="s">
        <v>108</v>
      </c>
    </row>
    <row r="35170" customFormat="false" ht="12.8" hidden="false" customHeight="false" outlineLevel="0" collapsed="false">
      <c r="B35170" s="0" t="s">
        <v>14</v>
      </c>
      <c r="C35170" s="0" t="s">
        <v>1209</v>
      </c>
      <c r="D35170" s="0" t="s">
        <v>159</v>
      </c>
      <c r="E35170" s="0" t="s">
        <v>159</v>
      </c>
      <c r="F35170" s="0" t="s">
        <v>159</v>
      </c>
    </row>
    <row r="35172" customFormat="false" ht="12.8" hidden="false" customHeight="false" outlineLevel="0" collapsed="false">
      <c r="A35172" s="0" t="s">
        <v>12858</v>
      </c>
      <c r="B35172" s="0" t="str">
        <f aca="false">HYPERLINK("https://lindat.mff.cuni.cz/services/teitok/pdtc10/index.php?action=vallex&amp;frame=v-w4814f1", "přehřát (v-w4814f1)")</f>
        <v>přehřát (v-w4814f1)</v>
      </c>
    </row>
    <row r="35173" customFormat="false" ht="12.8" hidden="false" customHeight="false" outlineLevel="0" collapsed="false">
      <c r="B35173" s="0" t="s">
        <v>7</v>
      </c>
    </row>
    <row r="35174" customFormat="false" ht="12.8" hidden="false" customHeight="false" outlineLevel="0" collapsed="false">
      <c r="B35174" s="0" t="s">
        <v>14</v>
      </c>
    </row>
    <row r="35176" customFormat="false" ht="12.8" hidden="false" customHeight="false" outlineLevel="0" collapsed="false">
      <c r="A35176" s="0" t="s">
        <v>12859</v>
      </c>
      <c r="B35176" s="0" t="str">
        <f aca="false">HYPERLINK("https://lindat.mff.cuni.cz/services/teitok/pdtc10/index.php?action=vallex&amp;frame=v-w4815f1", "přehřát se (v-w4815f1)")</f>
        <v>přehřát se (v-w4815f1)</v>
      </c>
    </row>
    <row r="35177" customFormat="false" ht="12.8" hidden="false" customHeight="false" outlineLevel="0" collapsed="false">
      <c r="B35177" s="0" t="s">
        <v>7</v>
      </c>
      <c r="F35177" s="0" t="s">
        <v>4651</v>
      </c>
    </row>
    <row r="35179" customFormat="false" ht="12.8" hidden="false" customHeight="false" outlineLevel="0" collapsed="false">
      <c r="A35179" s="0" t="s">
        <v>12860</v>
      </c>
      <c r="B35179" s="0" t="str">
        <f aca="false">HYPERLINK("https://lindat.mff.cuni.cz/services/teitok/pdtc10/index.php?action=vallex&amp;frame=v-w12197_ZUf1_ZU", "přehřívat se (v-w12197_ZUf1_ZU)")</f>
        <v>přehřívat se (v-w12197_ZUf1_ZU)</v>
      </c>
    </row>
    <row r="35180" customFormat="false" ht="12.8" hidden="false" customHeight="false" outlineLevel="0" collapsed="false">
      <c r="B35180" s="0" t="s">
        <v>7</v>
      </c>
    </row>
    <row r="35182" customFormat="false" ht="12.8" hidden="false" customHeight="false" outlineLevel="0" collapsed="false">
      <c r="A35182" s="0" t="s">
        <v>12861</v>
      </c>
      <c r="B35182" s="0" t="str">
        <f aca="false">HYPERLINK("https://lindat.mff.cuni.cz/services/teitok/pdtc10/index.php?action=vallex&amp;frame=v-w4823f1", "přejet (v-w4823f1)")</f>
        <v>přejet (v-w4823f1)</v>
      </c>
    </row>
    <row r="35183" customFormat="false" ht="12.8" hidden="false" customHeight="false" outlineLevel="0" collapsed="false">
      <c r="B35183" s="0" t="s">
        <v>7</v>
      </c>
      <c r="E35183" s="0" t="s">
        <v>5057</v>
      </c>
      <c r="F35183" s="0" t="s">
        <v>5057</v>
      </c>
    </row>
    <row r="35184" customFormat="false" ht="12.8" hidden="false" customHeight="false" outlineLevel="0" collapsed="false">
      <c r="B35184" s="0" t="s">
        <v>14</v>
      </c>
      <c r="E35184" s="0" t="s">
        <v>8042</v>
      </c>
      <c r="F35184" s="0" t="s">
        <v>8042</v>
      </c>
    </row>
    <row r="35186" customFormat="false" ht="12.8" hidden="false" customHeight="false" outlineLevel="0" collapsed="false">
      <c r="A35186" s="0" t="s">
        <v>12862</v>
      </c>
      <c r="B35186" s="0" t="str">
        <f aca="false">HYPERLINK("https://lindat.mff.cuni.cz/services/teitok/pdtc10/index.php?action=vallex&amp;frame=v-w4823f4", "přejet (v-w4823f4)")</f>
        <v>přejet (v-w4823f4)</v>
      </c>
    </row>
    <row r="35187" customFormat="false" ht="12.8" hidden="false" customHeight="false" outlineLevel="0" collapsed="false">
      <c r="B35187" s="0" t="s">
        <v>7</v>
      </c>
      <c r="C35187" s="0" t="s">
        <v>460</v>
      </c>
      <c r="E35187" s="0" t="s">
        <v>1226</v>
      </c>
      <c r="F35187" s="0" t="s">
        <v>1226</v>
      </c>
    </row>
    <row r="35188" customFormat="false" ht="12.8" hidden="false" customHeight="false" outlineLevel="0" collapsed="false">
      <c r="B35188" s="0" t="s">
        <v>14</v>
      </c>
      <c r="C35188" s="0" t="s">
        <v>1209</v>
      </c>
      <c r="E35188" s="0" t="s">
        <v>487</v>
      </c>
      <c r="F35188" s="0" t="s">
        <v>487</v>
      </c>
    </row>
    <row r="35190" customFormat="false" ht="12.8" hidden="false" customHeight="false" outlineLevel="0" collapsed="false">
      <c r="A35190" s="0" t="s">
        <v>12863</v>
      </c>
      <c r="B35190" s="0" t="str">
        <f aca="false">HYPERLINK("https://lindat.mff.cuni.cz/services/teitok/pdtc10/index.php?action=vallex&amp;frame=v-w4823f3", "přejet (v-w4823f3)")</f>
        <v>přejet (v-w4823f3)</v>
      </c>
    </row>
    <row r="35191" customFormat="false" ht="12.8" hidden="false" customHeight="false" outlineLevel="0" collapsed="false">
      <c r="B35191" s="0" t="s">
        <v>7</v>
      </c>
      <c r="E35191" s="0" t="s">
        <v>1582</v>
      </c>
      <c r="F35191" s="0" t="s">
        <v>1582</v>
      </c>
    </row>
    <row r="35192" customFormat="false" ht="12.8" hidden="false" customHeight="false" outlineLevel="0" collapsed="false">
      <c r="B35192" s="0" t="s">
        <v>459</v>
      </c>
      <c r="E35192" s="0" t="s">
        <v>1583</v>
      </c>
      <c r="F35192" s="0" t="s">
        <v>1583</v>
      </c>
    </row>
    <row r="35193" customFormat="false" ht="12.8" hidden="false" customHeight="false" outlineLevel="0" collapsed="false">
      <c r="B35193" s="0" t="s">
        <v>124</v>
      </c>
    </row>
    <row r="35195" customFormat="false" ht="12.8" hidden="false" customHeight="false" outlineLevel="0" collapsed="false">
      <c r="A35195" s="0" t="s">
        <v>12864</v>
      </c>
      <c r="B35195" s="0" t="str">
        <f aca="false">HYPERLINK("https://lindat.mff.cuni.cz/services/teitok/pdtc10/index.php?action=vallex&amp;frame=v-w4823f2", "přejet (v-w4823f2)")</f>
        <v>přejet (v-w4823f2)</v>
      </c>
    </row>
    <row r="35196" customFormat="false" ht="12.8" hidden="false" customHeight="false" outlineLevel="0" collapsed="false">
      <c r="B35196" s="0" t="s">
        <v>7</v>
      </c>
      <c r="C35196" s="0" t="s">
        <v>12865</v>
      </c>
      <c r="E35196" s="0" t="s">
        <v>1226</v>
      </c>
      <c r="F35196" s="0" t="s">
        <v>1226</v>
      </c>
    </row>
    <row r="35197" customFormat="false" ht="12.8" hidden="false" customHeight="false" outlineLevel="0" collapsed="false">
      <c r="B35197" s="0" t="s">
        <v>259</v>
      </c>
      <c r="C35197" s="0" t="s">
        <v>12866</v>
      </c>
      <c r="E35197" s="0" t="s">
        <v>11787</v>
      </c>
      <c r="F35197" s="0" t="s">
        <v>11787</v>
      </c>
    </row>
    <row r="35199" customFormat="false" ht="12.8" hidden="false" customHeight="false" outlineLevel="0" collapsed="false">
      <c r="A35199" s="0" t="s">
        <v>12867</v>
      </c>
      <c r="B35199" s="0" t="str">
        <f aca="false">HYPERLINK("https://lindat.mff.cuni.cz/services/teitok/pdtc10/index.php?action=vallex&amp;frame=v-w4823f5_ZU", "přejet (v-w4823f5_ZU)")</f>
        <v>přejet (v-w4823f5_ZU)</v>
      </c>
    </row>
    <row r="35200" customFormat="false" ht="12.8" hidden="false" customHeight="false" outlineLevel="0" collapsed="false">
      <c r="B35200" s="0" t="s">
        <v>7</v>
      </c>
    </row>
    <row r="35201" customFormat="false" ht="12.8" hidden="false" customHeight="false" outlineLevel="0" collapsed="false">
      <c r="B35201" s="0" t="s">
        <v>124</v>
      </c>
    </row>
    <row r="35203" customFormat="false" ht="12.8" hidden="false" customHeight="false" outlineLevel="0" collapsed="false">
      <c r="A35203" s="0" t="s">
        <v>12867</v>
      </c>
      <c r="B35203" s="0" t="str">
        <f aca="false">HYPERLINK("https://lindat.mff.cuni.cz/services/teitok/pdtc10/index.php?action=vallex&amp;frame=v-w4823hsa_873", "přejet (v-w4823hsa_873) - substituted with v-w4823f5_ZU")</f>
        <v>přejet (v-w4823hsa_873) - substituted with v-w4823f5_ZU</v>
      </c>
    </row>
    <row r="35204" customFormat="false" ht="12.8" hidden="false" customHeight="false" outlineLevel="0" collapsed="false">
      <c r="B35204" s="0" t="s">
        <v>7</v>
      </c>
    </row>
    <row r="35205" customFormat="false" ht="12.8" hidden="false" customHeight="false" outlineLevel="0" collapsed="false">
      <c r="B35205" s="0" t="s">
        <v>124</v>
      </c>
    </row>
    <row r="35207" customFormat="false" ht="12.8" hidden="false" customHeight="false" outlineLevel="0" collapsed="false">
      <c r="A35207" s="0" t="s">
        <v>12868</v>
      </c>
      <c r="B35207" s="0" t="str">
        <f aca="false">HYPERLINK("https://lindat.mff.cuni.cz/services/teitok/pdtc10/index.php?action=vallex&amp;frame=v-w4823f6_ZU", "přejet (v-w4823f6_ZU)")</f>
        <v>přejet (v-w4823f6_ZU)</v>
      </c>
    </row>
    <row r="35208" customFormat="false" ht="12.8" hidden="false" customHeight="false" outlineLevel="0" collapsed="false">
      <c r="B35208" s="0" t="s">
        <v>7</v>
      </c>
    </row>
    <row r="35209" customFormat="false" ht="12.8" hidden="false" customHeight="false" outlineLevel="0" collapsed="false">
      <c r="B35209" s="0" t="s">
        <v>14</v>
      </c>
    </row>
    <row r="35211" customFormat="false" ht="12.8" hidden="false" customHeight="false" outlineLevel="0" collapsed="false">
      <c r="A35211" s="0" t="s">
        <v>12869</v>
      </c>
      <c r="B35211" s="0" t="str">
        <f aca="false">HYPERLINK("https://lindat.mff.cuni.cz/services/teitok/pdtc10/index.php?action=vallex&amp;frame=v-w4823f9_ZU", "přejet (v-w4823f9_ZU)")</f>
        <v>přejet (v-w4823f9_ZU)</v>
      </c>
    </row>
    <row r="35212" customFormat="false" ht="12.8" hidden="false" customHeight="false" outlineLevel="0" collapsed="false">
      <c r="B35212" s="0" t="s">
        <v>7</v>
      </c>
    </row>
    <row r="35213" customFormat="false" ht="12.8" hidden="false" customHeight="false" outlineLevel="0" collapsed="false">
      <c r="B35213" s="0" t="s">
        <v>1059</v>
      </c>
    </row>
    <row r="35215" customFormat="false" ht="12.8" hidden="false" customHeight="false" outlineLevel="0" collapsed="false">
      <c r="A35215" s="0" t="s">
        <v>12869</v>
      </c>
      <c r="B35215" s="0" t="str">
        <f aca="false">HYPERLINK("https://lindat.mff.cuni.cz/services/teitok/pdtc10/index.php?action=vallex&amp;frame=v-w4823f7_ZU", "přejet (v-w4823f7_ZU) - substituted with v-w4823f9_ZU")</f>
        <v>přejet (v-w4823f7_ZU) - substituted with v-w4823f9_ZU</v>
      </c>
    </row>
    <row r="35216" customFormat="false" ht="12.8" hidden="false" customHeight="false" outlineLevel="0" collapsed="false">
      <c r="B35216" s="0" t="s">
        <v>7</v>
      </c>
    </row>
    <row r="35217" customFormat="false" ht="12.8" hidden="false" customHeight="false" outlineLevel="0" collapsed="false">
      <c r="B35217" s="0" t="s">
        <v>1059</v>
      </c>
    </row>
    <row r="35219" customFormat="false" ht="12.8" hidden="false" customHeight="false" outlineLevel="0" collapsed="false">
      <c r="A35219" s="0" t="s">
        <v>12869</v>
      </c>
      <c r="B35219" s="0" t="str">
        <f aca="false">HYPERLINK("https://lindat.mff.cuni.cz/services/teitok/pdtc10/index.php?action=vallex&amp;frame=v-w4823f8_ZU", "přejet (v-w4823f8_ZU) - substituted with v-w4823f9_ZU")</f>
        <v>přejet (v-w4823f8_ZU) - substituted with v-w4823f9_ZU</v>
      </c>
    </row>
    <row r="35220" customFormat="false" ht="12.8" hidden="false" customHeight="false" outlineLevel="0" collapsed="false">
      <c r="B35220" s="0" t="s">
        <v>7</v>
      </c>
    </row>
    <row r="35221" customFormat="false" ht="12.8" hidden="false" customHeight="false" outlineLevel="0" collapsed="false">
      <c r="B35221" s="0" t="s">
        <v>1059</v>
      </c>
    </row>
    <row r="35223" customFormat="false" ht="12.8" hidden="false" customHeight="false" outlineLevel="0" collapsed="false">
      <c r="A35223" s="0" t="s">
        <v>12870</v>
      </c>
      <c r="B35223" s="0" t="str">
        <f aca="false">HYPERLINK("https://lindat.mff.cuni.cz/services/teitok/pdtc10/index.php?action=vallex&amp;frame=v-w4829f1", "přejmenovat (v-w4829f1)")</f>
        <v>přejmenovat (v-w4829f1)</v>
      </c>
    </row>
    <row r="35224" customFormat="false" ht="12.8" hidden="false" customHeight="false" outlineLevel="0" collapsed="false">
      <c r="B35224" s="0" t="s">
        <v>7</v>
      </c>
      <c r="C35224" s="0" t="s">
        <v>46</v>
      </c>
      <c r="D35224" s="0" t="s">
        <v>46</v>
      </c>
      <c r="E35224" s="0" t="s">
        <v>46</v>
      </c>
      <c r="F35224" s="0" t="s">
        <v>46</v>
      </c>
    </row>
    <row r="35225" customFormat="false" ht="12.8" hidden="false" customHeight="false" outlineLevel="0" collapsed="false">
      <c r="B35225" s="0" t="s">
        <v>14</v>
      </c>
      <c r="C35225" s="0" t="s">
        <v>78</v>
      </c>
      <c r="D35225" s="0" t="s">
        <v>78</v>
      </c>
      <c r="E35225" s="0" t="s">
        <v>78</v>
      </c>
      <c r="F35225" s="0" t="s">
        <v>78</v>
      </c>
    </row>
    <row r="35226" customFormat="false" ht="12.8" hidden="false" customHeight="false" outlineLevel="0" collapsed="false">
      <c r="B35226" s="0" t="s">
        <v>35</v>
      </c>
    </row>
    <row r="35227" customFormat="false" ht="12.8" hidden="false" customHeight="false" outlineLevel="0" collapsed="false">
      <c r="B35227" s="0" t="s">
        <v>84</v>
      </c>
      <c r="C35227" s="0" t="s">
        <v>12871</v>
      </c>
      <c r="D35227" s="0" t="s">
        <v>12871</v>
      </c>
      <c r="E35227" s="0" t="s">
        <v>12871</v>
      </c>
      <c r="F35227" s="0" t="s">
        <v>12871</v>
      </c>
    </row>
    <row r="35229" customFormat="false" ht="12.8" hidden="false" customHeight="false" outlineLevel="0" collapsed="false">
      <c r="A35229" s="0" t="s">
        <v>12872</v>
      </c>
      <c r="B35229" s="0" t="str">
        <f aca="false">HYPERLINK("https://lindat.mff.cuni.cz/services/teitok/pdtc10/index.php?action=vallex&amp;frame=v-w4830f2", "přejmout (v-w4830f2)")</f>
        <v>přejmout (v-w4830f2)</v>
      </c>
    </row>
    <row r="35230" customFormat="false" ht="12.8" hidden="false" customHeight="false" outlineLevel="0" collapsed="false">
      <c r="B35230" s="0" t="s">
        <v>7</v>
      </c>
    </row>
    <row r="35231" customFormat="false" ht="12.8" hidden="false" customHeight="false" outlineLevel="0" collapsed="false">
      <c r="B35231" s="0" t="s">
        <v>14</v>
      </c>
    </row>
    <row r="35232" customFormat="false" ht="12.8" hidden="false" customHeight="false" outlineLevel="0" collapsed="false">
      <c r="B35232" s="0" t="s">
        <v>441</v>
      </c>
    </row>
    <row r="35234" customFormat="false" ht="12.8" hidden="false" customHeight="false" outlineLevel="0" collapsed="false">
      <c r="A35234" s="0" t="s">
        <v>12873</v>
      </c>
      <c r="B35234" s="0" t="str">
        <f aca="false">HYPERLINK("https://lindat.mff.cuni.cz/services/teitok/pdtc10/index.php?action=vallex&amp;frame=v-w4830f1", "přejmout (v-w4830f1)")</f>
        <v>přejmout (v-w4830f1)</v>
      </c>
    </row>
    <row r="35235" customFormat="false" ht="12.8" hidden="false" customHeight="false" outlineLevel="0" collapsed="false">
      <c r="B35235" s="0" t="s">
        <v>7</v>
      </c>
    </row>
    <row r="35236" customFormat="false" ht="12.8" hidden="false" customHeight="false" outlineLevel="0" collapsed="false">
      <c r="B35236" s="0" t="s">
        <v>14</v>
      </c>
    </row>
    <row r="35237" customFormat="false" ht="12.8" hidden="false" customHeight="false" outlineLevel="0" collapsed="false">
      <c r="B35237" s="0" t="s">
        <v>459</v>
      </c>
    </row>
    <row r="35239" customFormat="false" ht="12.8" hidden="false" customHeight="false" outlineLevel="0" collapsed="false">
      <c r="A35239" s="0" t="s">
        <v>12874</v>
      </c>
      <c r="B35239" s="0" t="str">
        <f aca="false">HYPERLINK("https://lindat.mff.cuni.cz/services/teitok/pdtc10/index.php?action=vallex&amp;frame=v-w4826f1", "přejímat (v-w4826f1)")</f>
        <v>přejímat (v-w4826f1)</v>
      </c>
    </row>
    <row r="35240" customFormat="false" ht="12.8" hidden="false" customHeight="false" outlineLevel="0" collapsed="false">
      <c r="B35240" s="0" t="s">
        <v>7</v>
      </c>
      <c r="C35240" s="0" t="s">
        <v>11905</v>
      </c>
    </row>
    <row r="35241" customFormat="false" ht="12.8" hidden="false" customHeight="false" outlineLevel="0" collapsed="false">
      <c r="B35241" s="0" t="s">
        <v>14</v>
      </c>
      <c r="C35241" s="0" t="s">
        <v>3860</v>
      </c>
    </row>
    <row r="35242" customFormat="false" ht="12.8" hidden="false" customHeight="false" outlineLevel="0" collapsed="false">
      <c r="B35242" s="0" t="s">
        <v>441</v>
      </c>
    </row>
    <row r="35244" customFormat="false" ht="12.8" hidden="false" customHeight="false" outlineLevel="0" collapsed="false">
      <c r="A35244" s="0" t="s">
        <v>12875</v>
      </c>
      <c r="B35244" s="0" t="str">
        <f aca="false">HYPERLINK("https://lindat.mff.cuni.cz/services/teitok/pdtc10/index.php?action=vallex&amp;frame=v-whsa_1061hsa_1062", "přejíst se (v-whsa_1061hsa_1062)")</f>
        <v>přejíst se (v-whsa_1061hsa_1062)</v>
      </c>
    </row>
    <row r="35245" customFormat="false" ht="12.8" hidden="false" customHeight="false" outlineLevel="0" collapsed="false">
      <c r="B35245" s="0" t="s">
        <v>7</v>
      </c>
    </row>
    <row r="35247" customFormat="false" ht="12.8" hidden="false" customHeight="false" outlineLevel="0" collapsed="false">
      <c r="A35247" s="0" t="s">
        <v>12876</v>
      </c>
      <c r="B35247" s="0" t="str">
        <f aca="false">HYPERLINK("https://lindat.mff.cuni.cz/services/teitok/pdtc10/index.php?action=vallex&amp;frame=v-w4827f2", "přejít (v-w4827f2)")</f>
        <v>přejít (v-w4827f2)</v>
      </c>
    </row>
    <row r="35248" customFormat="false" ht="12.8" hidden="false" customHeight="false" outlineLevel="0" collapsed="false">
      <c r="B35248" s="0" t="s">
        <v>7</v>
      </c>
      <c r="C35248" s="0" t="s">
        <v>12877</v>
      </c>
      <c r="D35248" s="0" t="s">
        <v>12599</v>
      </c>
      <c r="E35248" s="0" t="s">
        <v>12599</v>
      </c>
      <c r="F35248" s="0" t="s">
        <v>12599</v>
      </c>
    </row>
    <row r="35249" customFormat="false" ht="12.8" hidden="false" customHeight="false" outlineLevel="0" collapsed="false">
      <c r="B35249" s="0" t="s">
        <v>12878</v>
      </c>
      <c r="C35249" s="0" t="s">
        <v>12879</v>
      </c>
      <c r="D35249" s="0" t="s">
        <v>12602</v>
      </c>
      <c r="E35249" s="0" t="s">
        <v>12602</v>
      </c>
      <c r="F35249" s="0" t="s">
        <v>12602</v>
      </c>
    </row>
    <row r="35250" customFormat="false" ht="12.8" hidden="false" customHeight="false" outlineLevel="0" collapsed="false">
      <c r="B35250" s="0" t="s">
        <v>2339</v>
      </c>
      <c r="C35250" s="0" t="s">
        <v>12880</v>
      </c>
      <c r="D35250" s="0" t="s">
        <v>12603</v>
      </c>
      <c r="E35250" s="0" t="s">
        <v>12603</v>
      </c>
      <c r="F35250" s="0" t="s">
        <v>12603</v>
      </c>
    </row>
    <row r="35252" customFormat="false" ht="12.8" hidden="false" customHeight="false" outlineLevel="0" collapsed="false">
      <c r="A35252" s="0" t="s">
        <v>12881</v>
      </c>
      <c r="B35252" s="0" t="str">
        <f aca="false">HYPERLINK("https://lindat.mff.cuni.cz/services/teitok/pdtc10/index.php?action=vallex&amp;frame=v-w4827f6", "přejít (v-w4827f6)")</f>
        <v>přejít (v-w4827f6)</v>
      </c>
    </row>
    <row r="35253" customFormat="false" ht="12.8" hidden="false" customHeight="false" outlineLevel="0" collapsed="false">
      <c r="B35253" s="0" t="s">
        <v>7</v>
      </c>
    </row>
    <row r="35254" customFormat="false" ht="12.8" hidden="false" customHeight="false" outlineLevel="0" collapsed="false">
      <c r="B35254" s="0" t="s">
        <v>54</v>
      </c>
    </row>
    <row r="35256" customFormat="false" ht="12.8" hidden="false" customHeight="false" outlineLevel="0" collapsed="false">
      <c r="A35256" s="0" t="s">
        <v>12882</v>
      </c>
      <c r="B35256" s="0" t="str">
        <f aca="false">HYPERLINK("https://lindat.mff.cuni.cz/services/teitok/pdtc10/index.php?action=vallex&amp;frame=v-w4827f9", "přejít (v-w4827f9)")</f>
        <v>přejít (v-w4827f9)</v>
      </c>
    </row>
    <row r="35257" customFormat="false" ht="12.8" hidden="false" customHeight="false" outlineLevel="0" collapsed="false">
      <c r="B35257" s="0" t="s">
        <v>7</v>
      </c>
    </row>
    <row r="35258" customFormat="false" ht="12.8" hidden="false" customHeight="false" outlineLevel="0" collapsed="false">
      <c r="B35258" s="0" t="s">
        <v>14</v>
      </c>
    </row>
    <row r="35260" customFormat="false" ht="12.8" hidden="false" customHeight="false" outlineLevel="0" collapsed="false">
      <c r="A35260" s="0" t="s">
        <v>12883</v>
      </c>
      <c r="B35260" s="0" t="str">
        <f aca="false">HYPERLINK("https://lindat.mff.cuni.cz/services/teitok/pdtc10/index.php?action=vallex&amp;frame=v-w4827f10_ZU", "přejít (v-w4827f10_ZU)")</f>
        <v>přejít (v-w4827f10_ZU)</v>
      </c>
    </row>
    <row r="35261" customFormat="false" ht="12.8" hidden="false" customHeight="false" outlineLevel="0" collapsed="false">
      <c r="B35261" s="0" t="s">
        <v>7</v>
      </c>
      <c r="C35261" s="0" t="s">
        <v>4445</v>
      </c>
      <c r="D35261" s="0" t="s">
        <v>12599</v>
      </c>
      <c r="E35261" s="0" t="s">
        <v>12599</v>
      </c>
      <c r="F35261" s="0" t="s">
        <v>12599</v>
      </c>
    </row>
    <row r="35262" customFormat="false" ht="12.8" hidden="false" customHeight="false" outlineLevel="0" collapsed="false">
      <c r="B35262" s="0" t="s">
        <v>12884</v>
      </c>
      <c r="D35262" s="0" t="s">
        <v>12602</v>
      </c>
      <c r="E35262" s="0" t="s">
        <v>12602</v>
      </c>
      <c r="F35262" s="0" t="s">
        <v>12602</v>
      </c>
    </row>
    <row r="35264" customFormat="false" ht="12.8" hidden="false" customHeight="false" outlineLevel="0" collapsed="false">
      <c r="A35264" s="0" t="s">
        <v>12883</v>
      </c>
      <c r="B35264" s="0" t="str">
        <f aca="false">HYPERLINK("https://lindat.mff.cuni.cz/services/teitok/pdtc10/index.php?action=vallex&amp;frame=v-w4827f3", "přejít (v-w4827f3) - substituted with v-w4827f10_ZU")</f>
        <v>přejít (v-w4827f3) - substituted with v-w4827f10_ZU</v>
      </c>
    </row>
    <row r="35265" customFormat="false" ht="12.8" hidden="false" customHeight="false" outlineLevel="0" collapsed="false">
      <c r="B35265" s="0" t="s">
        <v>7</v>
      </c>
      <c r="C35265" s="0" t="s">
        <v>2507</v>
      </c>
    </row>
    <row r="35266" customFormat="false" ht="12.8" hidden="false" customHeight="false" outlineLevel="0" collapsed="false">
      <c r="B35266" s="0" t="s">
        <v>12884</v>
      </c>
      <c r="C35266" s="0" t="s">
        <v>12885</v>
      </c>
    </row>
    <row r="35268" customFormat="false" ht="12.8" hidden="false" customHeight="false" outlineLevel="0" collapsed="false">
      <c r="A35268" s="0" t="s">
        <v>12886</v>
      </c>
      <c r="B35268" s="0" t="str">
        <f aca="false">HYPERLINK("https://lindat.mff.cuni.cz/services/teitok/pdtc10/index.php?action=vallex&amp;frame=v-w4827f7", "přejít (v-w4827f7)")</f>
        <v>přejít (v-w4827f7)</v>
      </c>
    </row>
    <row r="35269" customFormat="false" ht="12.8" hidden="false" customHeight="false" outlineLevel="0" collapsed="false">
      <c r="B35269" s="0" t="s">
        <v>7</v>
      </c>
      <c r="C35269" s="0" t="s">
        <v>5375</v>
      </c>
      <c r="D35269" s="0" t="s">
        <v>3676</v>
      </c>
      <c r="E35269" s="0" t="s">
        <v>3676</v>
      </c>
      <c r="F35269" s="0" t="s">
        <v>3676</v>
      </c>
    </row>
    <row r="35270" customFormat="false" ht="12.8" hidden="false" customHeight="false" outlineLevel="0" collapsed="false">
      <c r="B35270" s="0" t="s">
        <v>297</v>
      </c>
    </row>
    <row r="35272" customFormat="false" ht="12.8" hidden="false" customHeight="false" outlineLevel="0" collapsed="false">
      <c r="A35272" s="0" t="s">
        <v>12887</v>
      </c>
      <c r="B35272" s="0" t="str">
        <f aca="false">HYPERLINK("https://lindat.mff.cuni.cz/services/teitok/pdtc10/index.php?action=vallex&amp;frame=v-w4827f1", "přejít (v-w4827f1)")</f>
        <v>přejít (v-w4827f1)</v>
      </c>
    </row>
    <row r="35273" customFormat="false" ht="12.8" hidden="false" customHeight="false" outlineLevel="0" collapsed="false">
      <c r="B35273" s="0" t="s">
        <v>7</v>
      </c>
      <c r="C35273" s="0" t="s">
        <v>12888</v>
      </c>
      <c r="D35273" s="0" t="s">
        <v>1582</v>
      </c>
      <c r="E35273" s="0" t="s">
        <v>1582</v>
      </c>
      <c r="F35273" s="0" t="s">
        <v>1582</v>
      </c>
    </row>
    <row r="35274" customFormat="false" ht="12.8" hidden="false" customHeight="false" outlineLevel="0" collapsed="false">
      <c r="B35274" s="0" t="s">
        <v>459</v>
      </c>
      <c r="C35274" s="0" t="s">
        <v>12889</v>
      </c>
      <c r="D35274" s="0" t="s">
        <v>1583</v>
      </c>
      <c r="E35274" s="0" t="s">
        <v>1583</v>
      </c>
      <c r="F35274" s="0" t="s">
        <v>1583</v>
      </c>
    </row>
    <row r="35275" customFormat="false" ht="12.8" hidden="false" customHeight="false" outlineLevel="0" collapsed="false">
      <c r="B35275" s="0" t="s">
        <v>124</v>
      </c>
      <c r="C35275" s="0" t="s">
        <v>12890</v>
      </c>
    </row>
    <row r="35277" customFormat="false" ht="12.8" hidden="false" customHeight="false" outlineLevel="0" collapsed="false">
      <c r="A35277" s="0" t="s">
        <v>12891</v>
      </c>
      <c r="B35277" s="0" t="str">
        <f aca="false">HYPERLINK("https://lindat.mff.cuni.cz/services/teitok/pdtc10/index.php?action=vallex&amp;frame=v-w4827f4", "přejít (v-w4827f4)")</f>
        <v>přejít (v-w4827f4)</v>
      </c>
    </row>
    <row r="35278" customFormat="false" ht="12.8" hidden="false" customHeight="false" outlineLevel="0" collapsed="false">
      <c r="B35278" s="0" t="s">
        <v>7</v>
      </c>
      <c r="C35278" s="0" t="s">
        <v>504</v>
      </c>
      <c r="D35278" s="0" t="s">
        <v>126</v>
      </c>
      <c r="E35278" s="0" t="s">
        <v>194</v>
      </c>
      <c r="F35278" s="0" t="s">
        <v>194</v>
      </c>
    </row>
    <row r="35279" customFormat="false" ht="12.8" hidden="false" customHeight="false" outlineLevel="0" collapsed="false">
      <c r="B35279" s="0" t="s">
        <v>259</v>
      </c>
      <c r="D35279" s="0" t="s">
        <v>260</v>
      </c>
      <c r="E35279" s="0" t="s">
        <v>261</v>
      </c>
      <c r="F35279" s="0" t="s">
        <v>261</v>
      </c>
    </row>
    <row r="35281" customFormat="false" ht="12.8" hidden="false" customHeight="false" outlineLevel="0" collapsed="false">
      <c r="A35281" s="0" t="s">
        <v>12892</v>
      </c>
      <c r="B35281" s="0" t="str">
        <f aca="false">HYPERLINK("https://lindat.mff.cuni.cz/services/teitok/pdtc10/index.php?action=vallex&amp;frame=v-w4827f5", "přejít (v-w4827f5)")</f>
        <v>přejít (v-w4827f5)</v>
      </c>
    </row>
    <row r="35282" customFormat="false" ht="12.8" hidden="false" customHeight="false" outlineLevel="0" collapsed="false">
      <c r="B35282" s="0" t="s">
        <v>457</v>
      </c>
      <c r="C35282" s="0" t="s">
        <v>12893</v>
      </c>
    </row>
    <row r="35283" customFormat="false" ht="12.8" hidden="false" customHeight="false" outlineLevel="0" collapsed="false">
      <c r="B35283" s="0" t="s">
        <v>279</v>
      </c>
      <c r="C35283" s="0" t="s">
        <v>12894</v>
      </c>
    </row>
    <row r="35285" customFormat="false" ht="12.8" hidden="false" customHeight="false" outlineLevel="0" collapsed="false">
      <c r="A35285" s="0" t="s">
        <v>12895</v>
      </c>
      <c r="B35285" s="0" t="str">
        <f aca="false">HYPERLINK("https://lindat.mff.cuni.cz/services/teitok/pdtc10/index.php?action=vallex&amp;frame=v-w4827f8", "přejít (v-w4827f8)")</f>
        <v>přejít (v-w4827f8)</v>
      </c>
    </row>
    <row r="35286" customFormat="false" ht="12.8" hidden="false" customHeight="false" outlineLevel="0" collapsed="false">
      <c r="B35286" s="0" t="s">
        <v>7</v>
      </c>
    </row>
    <row r="35287" customFormat="false" ht="12.8" hidden="false" customHeight="false" outlineLevel="0" collapsed="false">
      <c r="B35287" s="0" t="s">
        <v>12896</v>
      </c>
    </row>
    <row r="35289" customFormat="false" ht="12.8" hidden="false" customHeight="false" outlineLevel="0" collapsed="false">
      <c r="A35289" s="0" t="s">
        <v>12897</v>
      </c>
      <c r="B35289" s="0" t="str">
        <f aca="false">HYPERLINK("https://lindat.mff.cuni.cz/services/teitok/pdtc10/index.php?action=vallex&amp;frame=v-w11054f2", "přejíždět (v-w11054f2)")</f>
        <v>přejíždět (v-w11054f2)</v>
      </c>
    </row>
    <row r="35290" customFormat="false" ht="12.8" hidden="false" customHeight="false" outlineLevel="0" collapsed="false">
      <c r="B35290" s="0" t="s">
        <v>7</v>
      </c>
      <c r="E35290" s="0" t="s">
        <v>1226</v>
      </c>
      <c r="F35290" s="0" t="s">
        <v>1226</v>
      </c>
    </row>
    <row r="35291" customFormat="false" ht="12.8" hidden="false" customHeight="false" outlineLevel="0" collapsed="false">
      <c r="B35291" s="0" t="s">
        <v>14</v>
      </c>
      <c r="E35291" s="0" t="s">
        <v>487</v>
      </c>
      <c r="F35291" s="0" t="s">
        <v>487</v>
      </c>
    </row>
    <row r="35293" customFormat="false" ht="12.8" hidden="false" customHeight="false" outlineLevel="0" collapsed="false">
      <c r="A35293" s="0" t="s">
        <v>12898</v>
      </c>
      <c r="B35293" s="0" t="str">
        <f aca="false">HYPERLINK("https://lindat.mff.cuni.cz/services/teitok/pdtc10/index.php?action=vallex&amp;frame=v-w11054f3_ZU", "přejíždět (v-w11054f3_ZU)")</f>
        <v>přejíždět (v-w11054f3_ZU)</v>
      </c>
    </row>
    <row r="35294" customFormat="false" ht="12.8" hidden="false" customHeight="false" outlineLevel="0" collapsed="false">
      <c r="B35294" s="0" t="s">
        <v>7</v>
      </c>
    </row>
    <row r="35295" customFormat="false" ht="12.8" hidden="false" customHeight="false" outlineLevel="0" collapsed="false">
      <c r="B35295" s="0" t="s">
        <v>459</v>
      </c>
    </row>
    <row r="35296" customFormat="false" ht="12.8" hidden="false" customHeight="false" outlineLevel="0" collapsed="false">
      <c r="B35296" s="0" t="s">
        <v>124</v>
      </c>
    </row>
    <row r="35298" customFormat="false" ht="12.8" hidden="false" customHeight="false" outlineLevel="0" collapsed="false">
      <c r="A35298" s="0" t="s">
        <v>12898</v>
      </c>
      <c r="B35298" s="0" t="str">
        <f aca="false">HYPERLINK("https://lindat.mff.cuni.cz/services/teitok/pdtc10/index.php?action=vallex&amp;frame=v-w11054hsa_785", "přejíždět (v-w11054hsa_785) - substituted with v-w11054f3_ZU")</f>
        <v>přejíždět (v-w11054hsa_785) - substituted with v-w11054f3_ZU</v>
      </c>
    </row>
    <row r="35299" customFormat="false" ht="12.8" hidden="false" customHeight="false" outlineLevel="0" collapsed="false">
      <c r="B35299" s="0" t="s">
        <v>7</v>
      </c>
    </row>
    <row r="35300" customFormat="false" ht="12.8" hidden="false" customHeight="false" outlineLevel="0" collapsed="false">
      <c r="B35300" s="0" t="s">
        <v>459</v>
      </c>
    </row>
    <row r="35301" customFormat="false" ht="12.8" hidden="false" customHeight="false" outlineLevel="0" collapsed="false">
      <c r="B35301" s="0" t="s">
        <v>124</v>
      </c>
    </row>
    <row r="35303" customFormat="false" ht="12.8" hidden="false" customHeight="false" outlineLevel="0" collapsed="false">
      <c r="A35303" s="0" t="s">
        <v>12899</v>
      </c>
      <c r="B35303" s="0" t="str">
        <f aca="false">HYPERLINK("https://lindat.mff.cuni.cz/services/teitok/pdtc10/index.php?action=vallex&amp;frame=v-w11054f4_ZU", "přejíždět (v-w11054f4_ZU)")</f>
        <v>přejíždět (v-w11054f4_ZU)</v>
      </c>
    </row>
    <row r="35304" customFormat="false" ht="12.8" hidden="false" customHeight="false" outlineLevel="0" collapsed="false">
      <c r="B35304" s="0" t="s">
        <v>7</v>
      </c>
    </row>
    <row r="35305" customFormat="false" ht="12.8" hidden="false" customHeight="false" outlineLevel="0" collapsed="false">
      <c r="B35305" s="0" t="s">
        <v>14</v>
      </c>
    </row>
    <row r="35307" customFormat="false" ht="12.8" hidden="false" customHeight="false" outlineLevel="0" collapsed="false">
      <c r="A35307" s="0" t="s">
        <v>12899</v>
      </c>
      <c r="B35307" s="0" t="str">
        <f aca="false">HYPERLINK("https://lindat.mff.cuni.cz/services/teitok/pdtc10/index.php?action=vallex&amp;frame=v-w11054hsa_786", "přejíždět (v-w11054hsa_786) - substituted with v-w11054f4_ZU")</f>
        <v>přejíždět (v-w11054hsa_786) - substituted with v-w11054f4_ZU</v>
      </c>
    </row>
    <row r="35308" customFormat="false" ht="12.8" hidden="false" customHeight="false" outlineLevel="0" collapsed="false">
      <c r="B35308" s="0" t="s">
        <v>7</v>
      </c>
    </row>
    <row r="35309" customFormat="false" ht="12.8" hidden="false" customHeight="false" outlineLevel="0" collapsed="false">
      <c r="B35309" s="0" t="s">
        <v>14</v>
      </c>
    </row>
    <row r="35311" customFormat="false" ht="12.8" hidden="false" customHeight="false" outlineLevel="0" collapsed="false">
      <c r="A35311" s="0" t="s">
        <v>12900</v>
      </c>
      <c r="B35311" s="0" t="str">
        <f aca="false">HYPERLINK("https://lindat.mff.cuni.cz/services/teitok/pdtc10/index.php?action=vallex&amp;frame=v-w11054hsa_784", "přejíždět (v-w11054hsa_784)")</f>
        <v>přejíždět (v-w11054hsa_784)</v>
      </c>
    </row>
    <row r="35312" customFormat="false" ht="12.8" hidden="false" customHeight="false" outlineLevel="0" collapsed="false">
      <c r="B35312" s="0" t="s">
        <v>7</v>
      </c>
    </row>
    <row r="35313" customFormat="false" ht="12.8" hidden="false" customHeight="false" outlineLevel="0" collapsed="false">
      <c r="B35313" s="0" t="s">
        <v>259</v>
      </c>
    </row>
    <row r="35315" customFormat="false" ht="12.8" hidden="false" customHeight="false" outlineLevel="0" collapsed="false">
      <c r="A35315" s="0" t="s">
        <v>12901</v>
      </c>
      <c r="B35315" s="0" t="str">
        <f aca="false">HYPERLINK("https://lindat.mff.cuni.cz/services/teitok/pdtc10/index.php?action=vallex&amp;frame=v-w4831f1", "překazit (v-w4831f1)")</f>
        <v>překazit (v-w4831f1)</v>
      </c>
    </row>
    <row r="35316" customFormat="false" ht="12.8" hidden="false" customHeight="false" outlineLevel="0" collapsed="false">
      <c r="B35316" s="0" t="s">
        <v>7</v>
      </c>
      <c r="C35316" s="0" t="s">
        <v>23</v>
      </c>
      <c r="D35316" s="0" t="s">
        <v>252</v>
      </c>
      <c r="E35316" s="0" t="s">
        <v>253</v>
      </c>
      <c r="F35316" s="0" t="s">
        <v>253</v>
      </c>
    </row>
    <row r="35317" customFormat="false" ht="12.8" hidden="false" customHeight="false" outlineLevel="0" collapsed="false">
      <c r="B35317" s="0" t="s">
        <v>14</v>
      </c>
      <c r="C35317" s="0" t="s">
        <v>12902</v>
      </c>
      <c r="D35317" s="0" t="s">
        <v>255</v>
      </c>
      <c r="E35317" s="0" t="s">
        <v>256</v>
      </c>
      <c r="F35317" s="0" t="s">
        <v>256</v>
      </c>
    </row>
    <row r="35318" customFormat="false" ht="12.8" hidden="false" customHeight="false" outlineLevel="0" collapsed="false">
      <c r="B35318" s="0" t="s">
        <v>106</v>
      </c>
    </row>
    <row r="35320" customFormat="false" ht="12.8" hidden="false" customHeight="false" outlineLevel="0" collapsed="false">
      <c r="A35320" s="0" t="s">
        <v>12903</v>
      </c>
      <c r="B35320" s="0" t="str">
        <f aca="false">HYPERLINK("https://lindat.mff.cuni.cz/services/teitok/pdtc10/index.php?action=vallex&amp;frame=v-w10504f2", "překlasifikovat (v-w10504f2)")</f>
        <v>překlasifikovat (v-w10504f2)</v>
      </c>
    </row>
    <row r="35321" customFormat="false" ht="12.8" hidden="false" customHeight="false" outlineLevel="0" collapsed="false">
      <c r="B35321" s="0" t="s">
        <v>7</v>
      </c>
    </row>
    <row r="35322" customFormat="false" ht="12.8" hidden="false" customHeight="false" outlineLevel="0" collapsed="false">
      <c r="B35322" s="0" t="s">
        <v>2030</v>
      </c>
    </row>
    <row r="35324" customFormat="false" ht="12.8" hidden="false" customHeight="false" outlineLevel="0" collapsed="false">
      <c r="A35324" s="0" t="s">
        <v>12904</v>
      </c>
      <c r="B35324" s="0" t="str">
        <f aca="false">HYPERLINK("https://lindat.mff.cuni.cz/services/teitok/pdtc10/index.php?action=vallex&amp;frame=v-w10504hsa_855", "překlasifikovat (v-w10504hsa_855)")</f>
        <v>překlasifikovat (v-w10504hsa_855)</v>
      </c>
    </row>
    <row r="35325" customFormat="false" ht="12.8" hidden="false" customHeight="false" outlineLevel="0" collapsed="false">
      <c r="B35325" s="0" t="s">
        <v>7</v>
      </c>
      <c r="C35325" s="0" t="s">
        <v>46</v>
      </c>
      <c r="D35325" s="0" t="s">
        <v>11211</v>
      </c>
      <c r="E35325" s="0" t="s">
        <v>11211</v>
      </c>
      <c r="F35325" s="0" t="s">
        <v>11211</v>
      </c>
    </row>
    <row r="35326" customFormat="false" ht="12.8" hidden="false" customHeight="false" outlineLevel="0" collapsed="false">
      <c r="B35326" s="0" t="s">
        <v>14</v>
      </c>
      <c r="C35326" s="0" t="s">
        <v>47</v>
      </c>
      <c r="D35326" s="0" t="s">
        <v>11212</v>
      </c>
      <c r="E35326" s="0" t="s">
        <v>11212</v>
      </c>
      <c r="F35326" s="0" t="s">
        <v>11212</v>
      </c>
    </row>
    <row r="35327" customFormat="false" ht="12.8" hidden="false" customHeight="false" outlineLevel="0" collapsed="false">
      <c r="B35327" s="0" t="s">
        <v>35</v>
      </c>
      <c r="D35327" s="0" t="s">
        <v>36</v>
      </c>
      <c r="E35327" s="0" t="s">
        <v>36</v>
      </c>
      <c r="F35327" s="0" t="s">
        <v>36</v>
      </c>
    </row>
    <row r="35328" customFormat="false" ht="12.8" hidden="false" customHeight="false" outlineLevel="0" collapsed="false">
      <c r="B35328" s="0" t="s">
        <v>84</v>
      </c>
      <c r="C35328" s="0" t="s">
        <v>1527</v>
      </c>
      <c r="D35328" s="0" t="s">
        <v>12905</v>
      </c>
      <c r="E35328" s="0" t="s">
        <v>12905</v>
      </c>
      <c r="F35328" s="0" t="s">
        <v>12905</v>
      </c>
    </row>
    <row r="35330" customFormat="false" ht="12.8" hidden="false" customHeight="false" outlineLevel="0" collapsed="false">
      <c r="A35330" s="0" t="s">
        <v>12906</v>
      </c>
      <c r="B35330" s="0" t="str">
        <f aca="false">HYPERLINK("https://lindat.mff.cuni.cz/services/teitok/pdtc10/index.php?action=vallex&amp;frame=v-w4837f1", "překlenout (v-w4837f1)")</f>
        <v>překlenout (v-w4837f1)</v>
      </c>
    </row>
    <row r="35331" customFormat="false" ht="12.8" hidden="false" customHeight="false" outlineLevel="0" collapsed="false">
      <c r="B35331" s="0" t="s">
        <v>7</v>
      </c>
      <c r="C35331" s="0" t="s">
        <v>4651</v>
      </c>
      <c r="D35331" s="0" t="s">
        <v>8314</v>
      </c>
      <c r="E35331" s="0" t="s">
        <v>8314</v>
      </c>
      <c r="F35331" s="0" t="s">
        <v>8314</v>
      </c>
    </row>
    <row r="35332" customFormat="false" ht="12.8" hidden="false" customHeight="false" outlineLevel="0" collapsed="false">
      <c r="B35332" s="0" t="s">
        <v>14</v>
      </c>
      <c r="D35332" s="0" t="s">
        <v>8316</v>
      </c>
      <c r="E35332" s="0" t="s">
        <v>8316</v>
      </c>
      <c r="F35332" s="0" t="s">
        <v>8316</v>
      </c>
    </row>
    <row r="35334" customFormat="false" ht="12.8" hidden="false" customHeight="false" outlineLevel="0" collapsed="false">
      <c r="A35334" s="0" t="s">
        <v>12907</v>
      </c>
      <c r="B35334" s="0" t="str">
        <f aca="false">HYPERLINK("https://lindat.mff.cuni.cz/services/teitok/pdtc10/index.php?action=vallex&amp;frame=v-w4837f2", "překlenout (v-w4837f2)")</f>
        <v>překlenout (v-w4837f2)</v>
      </c>
    </row>
    <row r="35335" customFormat="false" ht="12.8" hidden="false" customHeight="false" outlineLevel="0" collapsed="false">
      <c r="B35335" s="0" t="s">
        <v>7</v>
      </c>
    </row>
    <row r="35336" customFormat="false" ht="12.8" hidden="false" customHeight="false" outlineLevel="0" collapsed="false">
      <c r="B35336" s="0" t="s">
        <v>14</v>
      </c>
    </row>
    <row r="35338" customFormat="false" ht="12.8" hidden="false" customHeight="false" outlineLevel="0" collapsed="false">
      <c r="A35338" s="0" t="s">
        <v>12908</v>
      </c>
      <c r="B35338" s="0" t="str">
        <f aca="false">HYPERLINK("https://lindat.mff.cuni.cz/services/teitok/pdtc10/index.php?action=vallex&amp;frame=v-w11943_ZUf1_ZU", "překlopit (v-w11943_ZUf1_ZU)")</f>
        <v>překlopit (v-w11943_ZUf1_ZU)</v>
      </c>
    </row>
    <row r="35339" customFormat="false" ht="12.8" hidden="false" customHeight="false" outlineLevel="0" collapsed="false">
      <c r="B35339" s="0" t="s">
        <v>7</v>
      </c>
    </row>
    <row r="35340" customFormat="false" ht="12.8" hidden="false" customHeight="false" outlineLevel="0" collapsed="false">
      <c r="B35340" s="0" t="s">
        <v>14</v>
      </c>
    </row>
    <row r="35342" customFormat="false" ht="12.8" hidden="false" customHeight="false" outlineLevel="0" collapsed="false">
      <c r="A35342" s="0" t="s">
        <v>12909</v>
      </c>
      <c r="B35342" s="0" t="str">
        <f aca="false">HYPERLINK("https://lindat.mff.cuni.cz/services/teitok/pdtc10/index.php?action=vallex&amp;frame=v-w4836f1", "překládat (v-w4836f1)")</f>
        <v>překládat (v-w4836f1)</v>
      </c>
    </row>
    <row r="35343" customFormat="false" ht="12.8" hidden="false" customHeight="false" outlineLevel="0" collapsed="false">
      <c r="B35343" s="0" t="s">
        <v>7</v>
      </c>
    </row>
    <row r="35344" customFormat="false" ht="12.8" hidden="false" customHeight="false" outlineLevel="0" collapsed="false">
      <c r="B35344" s="0" t="s">
        <v>14</v>
      </c>
    </row>
    <row r="35345" customFormat="false" ht="12.8" hidden="false" customHeight="false" outlineLevel="0" collapsed="false">
      <c r="B35345" s="0" t="s">
        <v>35</v>
      </c>
    </row>
    <row r="35346" customFormat="false" ht="12.8" hidden="false" customHeight="false" outlineLevel="0" collapsed="false">
      <c r="B35346" s="0" t="s">
        <v>181</v>
      </c>
    </row>
    <row r="35348" customFormat="false" ht="12.8" hidden="false" customHeight="false" outlineLevel="0" collapsed="false">
      <c r="A35348" s="0" t="s">
        <v>12910</v>
      </c>
      <c r="B35348" s="0" t="str">
        <f aca="false">HYPERLINK("https://lindat.mff.cuni.cz/services/teitok/pdtc10/index.php?action=vallex&amp;frame=v-w11271f1", "překlápět se (v-w11271f1)")</f>
        <v>překlápět se (v-w11271f1)</v>
      </c>
    </row>
    <row r="35349" customFormat="false" ht="12.8" hidden="false" customHeight="false" outlineLevel="0" collapsed="false">
      <c r="B35349" s="0" t="s">
        <v>7</v>
      </c>
    </row>
    <row r="35351" customFormat="false" ht="12.8" hidden="false" customHeight="false" outlineLevel="0" collapsed="false">
      <c r="A35351" s="0" t="s">
        <v>12911</v>
      </c>
      <c r="B35351" s="0" t="str">
        <f aca="false">HYPERLINK("https://lindat.mff.cuni.cz/services/teitok/pdtc10/index.php?action=vallex&amp;frame=v-w4840f1", "překonat (v-w4840f1)")</f>
        <v>překonat (v-w4840f1)</v>
      </c>
    </row>
    <row r="35352" customFormat="false" ht="12.8" hidden="false" customHeight="false" outlineLevel="0" collapsed="false">
      <c r="B35352" s="0" t="s">
        <v>7</v>
      </c>
      <c r="C35352" s="0" t="s">
        <v>12912</v>
      </c>
      <c r="D35352" s="0" t="s">
        <v>8314</v>
      </c>
      <c r="E35352" s="0" t="s">
        <v>8314</v>
      </c>
      <c r="F35352" s="0" t="s">
        <v>8314</v>
      </c>
    </row>
    <row r="35353" customFormat="false" ht="12.8" hidden="false" customHeight="false" outlineLevel="0" collapsed="false">
      <c r="B35353" s="0" t="s">
        <v>14</v>
      </c>
      <c r="C35353" s="0" t="s">
        <v>12913</v>
      </c>
      <c r="D35353" s="0" t="s">
        <v>8316</v>
      </c>
      <c r="E35353" s="0" t="s">
        <v>8316</v>
      </c>
      <c r="F35353" s="0" t="s">
        <v>8316</v>
      </c>
    </row>
    <row r="35355" customFormat="false" ht="12.8" hidden="false" customHeight="false" outlineLevel="0" collapsed="false">
      <c r="A35355" s="0" t="s">
        <v>12914</v>
      </c>
      <c r="B35355" s="0" t="str">
        <f aca="false">HYPERLINK("https://lindat.mff.cuni.cz/services/teitok/pdtc10/index.php?action=vallex&amp;frame=v-w4840f2_ZU", "překonat (v-w4840f2_ZU)")</f>
        <v>překonat (v-w4840f2_ZU)</v>
      </c>
    </row>
    <row r="35356" customFormat="false" ht="12.8" hidden="false" customHeight="false" outlineLevel="0" collapsed="false">
      <c r="B35356" s="0" t="s">
        <v>7</v>
      </c>
      <c r="C35356" s="0" t="s">
        <v>208</v>
      </c>
      <c r="D35356" s="0" t="s">
        <v>8314</v>
      </c>
      <c r="E35356" s="0" t="s">
        <v>8314</v>
      </c>
      <c r="F35356" s="0" t="s">
        <v>8314</v>
      </c>
    </row>
    <row r="35357" customFormat="false" ht="12.8" hidden="false" customHeight="false" outlineLevel="0" collapsed="false">
      <c r="B35357" s="0" t="s">
        <v>14</v>
      </c>
      <c r="C35357" s="0" t="s">
        <v>12915</v>
      </c>
      <c r="D35357" s="0" t="s">
        <v>8316</v>
      </c>
      <c r="E35357" s="0" t="s">
        <v>8316</v>
      </c>
      <c r="F35357" s="0" t="s">
        <v>8316</v>
      </c>
    </row>
    <row r="35359" customFormat="false" ht="12.8" hidden="false" customHeight="false" outlineLevel="0" collapsed="false">
      <c r="A35359" s="0" t="s">
        <v>12916</v>
      </c>
      <c r="B35359" s="0" t="str">
        <f aca="false">HYPERLINK("https://lindat.mff.cuni.cz/services/teitok/pdtc10/index.php?action=vallex&amp;frame=v-w4840f3_ZU", "překonat (v-w4840f3_ZU)")</f>
        <v>překonat (v-w4840f3_ZU)</v>
      </c>
    </row>
    <row r="35360" customFormat="false" ht="12.8" hidden="false" customHeight="false" outlineLevel="0" collapsed="false">
      <c r="B35360" s="0" t="s">
        <v>7</v>
      </c>
      <c r="C35360" s="0" t="s">
        <v>3243</v>
      </c>
      <c r="D35360" s="0" t="s">
        <v>12917</v>
      </c>
      <c r="E35360" s="0" t="s">
        <v>12917</v>
      </c>
      <c r="F35360" s="0" t="s">
        <v>12917</v>
      </c>
    </row>
    <row r="35361" customFormat="false" ht="12.8" hidden="false" customHeight="false" outlineLevel="0" collapsed="false">
      <c r="B35361" s="0" t="s">
        <v>14</v>
      </c>
      <c r="C35361" s="0" t="s">
        <v>12918</v>
      </c>
      <c r="D35361" s="0" t="s">
        <v>12919</v>
      </c>
      <c r="E35361" s="0" t="s">
        <v>12919</v>
      </c>
      <c r="F35361" s="0" t="s">
        <v>12919</v>
      </c>
    </row>
    <row r="35363" customFormat="false" ht="12.8" hidden="false" customHeight="false" outlineLevel="0" collapsed="false">
      <c r="A35363" s="0" t="s">
        <v>12920</v>
      </c>
      <c r="B35363" s="0" t="str">
        <f aca="false">HYPERLINK("https://lindat.mff.cuni.cz/services/teitok/pdtc10/index.php?action=vallex&amp;frame=v-w4841f1", "překonat se (v-w4841f1)")</f>
        <v>překonat se (v-w4841f1)</v>
      </c>
    </row>
    <row r="35364" customFormat="false" ht="12.8" hidden="false" customHeight="false" outlineLevel="0" collapsed="false">
      <c r="B35364" s="0" t="s">
        <v>7</v>
      </c>
    </row>
    <row r="35366" customFormat="false" ht="12.8" hidden="false" customHeight="false" outlineLevel="0" collapsed="false">
      <c r="A35366" s="0" t="s">
        <v>12921</v>
      </c>
      <c r="B35366" s="0" t="str">
        <f aca="false">HYPERLINK("https://lindat.mff.cuni.cz/services/teitok/pdtc10/index.php?action=vallex&amp;frame=v-w10242f2", "překontrolovat (v-w10242f2)")</f>
        <v>překontrolovat (v-w10242f2)</v>
      </c>
    </row>
    <row r="35367" customFormat="false" ht="12.8" hidden="false" customHeight="false" outlineLevel="0" collapsed="false">
      <c r="B35367" s="0" t="s">
        <v>7</v>
      </c>
    </row>
    <row r="35368" customFormat="false" ht="12.8" hidden="false" customHeight="false" outlineLevel="0" collapsed="false">
      <c r="B35368" s="0" t="s">
        <v>12922</v>
      </c>
    </row>
    <row r="35370" customFormat="false" ht="12.8" hidden="false" customHeight="false" outlineLevel="0" collapsed="false">
      <c r="A35370" s="0" t="s">
        <v>12923</v>
      </c>
      <c r="B35370" s="0" t="str">
        <f aca="false">HYPERLINK("https://lindat.mff.cuni.cz/services/teitok/pdtc10/index.php?action=vallex&amp;frame=v-w4843f1", "překonávat (v-w4843f1)")</f>
        <v>překonávat (v-w4843f1)</v>
      </c>
    </row>
    <row r="35371" customFormat="false" ht="12.8" hidden="false" customHeight="false" outlineLevel="0" collapsed="false">
      <c r="B35371" s="0" t="s">
        <v>7</v>
      </c>
      <c r="C35371" s="0" t="s">
        <v>10527</v>
      </c>
      <c r="D35371" s="0" t="s">
        <v>12924</v>
      </c>
      <c r="E35371" s="0" t="s">
        <v>12924</v>
      </c>
      <c r="F35371" s="0" t="s">
        <v>12924</v>
      </c>
    </row>
    <row r="35372" customFormat="false" ht="12.8" hidden="false" customHeight="false" outlineLevel="0" collapsed="false">
      <c r="B35372" s="0" t="s">
        <v>14</v>
      </c>
      <c r="C35372" s="0" t="s">
        <v>12925</v>
      </c>
      <c r="D35372" s="0" t="s">
        <v>12926</v>
      </c>
      <c r="E35372" s="0" t="s">
        <v>12926</v>
      </c>
      <c r="F35372" s="0" t="s">
        <v>12926</v>
      </c>
    </row>
    <row r="35374" customFormat="false" ht="12.8" hidden="false" customHeight="false" outlineLevel="0" collapsed="false">
      <c r="A35374" s="0" t="s">
        <v>12927</v>
      </c>
      <c r="B35374" s="0" t="str">
        <f aca="false">HYPERLINK("https://lindat.mff.cuni.cz/services/teitok/pdtc10/index.php?action=vallex&amp;frame=v-w4844f1", "překonávat se (v-w4844f1)")</f>
        <v>překonávat se (v-w4844f1)</v>
      </c>
    </row>
    <row r="35375" customFormat="false" ht="12.8" hidden="false" customHeight="false" outlineLevel="0" collapsed="false">
      <c r="B35375" s="0" t="s">
        <v>7</v>
      </c>
    </row>
    <row r="35377" customFormat="false" ht="12.8" hidden="false" customHeight="false" outlineLevel="0" collapsed="false">
      <c r="A35377" s="0" t="s">
        <v>12928</v>
      </c>
      <c r="B35377" s="0" t="str">
        <f aca="false">HYPERLINK("https://lindat.mff.cuni.cz/services/teitok/pdtc10/index.php?action=vallex&amp;frame=v-w4845f1", "překopnout (v-w4845f1)")</f>
        <v>překopnout (v-w4845f1)</v>
      </c>
    </row>
    <row r="35378" customFormat="false" ht="12.8" hidden="false" customHeight="false" outlineLevel="0" collapsed="false">
      <c r="B35378" s="0" t="s">
        <v>7</v>
      </c>
    </row>
    <row r="35379" customFormat="false" ht="12.8" hidden="false" customHeight="false" outlineLevel="0" collapsed="false">
      <c r="B35379" s="0" t="s">
        <v>14</v>
      </c>
    </row>
    <row r="35381" customFormat="false" ht="12.8" hidden="false" customHeight="false" outlineLevel="0" collapsed="false">
      <c r="A35381" s="0" t="s">
        <v>12929</v>
      </c>
      <c r="B35381" s="0" t="str">
        <f aca="false">HYPERLINK("https://lindat.mff.cuni.cz/services/teitok/pdtc10/index.php?action=vallex&amp;frame=v-w4845f2", "překopnout (v-w4845f2)")</f>
        <v>překopnout (v-w4845f2)</v>
      </c>
    </row>
    <row r="35382" customFormat="false" ht="12.8" hidden="false" customHeight="false" outlineLevel="0" collapsed="false">
      <c r="B35382" s="0" t="s">
        <v>7</v>
      </c>
    </row>
    <row r="35383" customFormat="false" ht="12.8" hidden="false" customHeight="false" outlineLevel="0" collapsed="false">
      <c r="B35383" s="0" t="s">
        <v>14</v>
      </c>
    </row>
    <row r="35385" customFormat="false" ht="12.8" hidden="false" customHeight="false" outlineLevel="0" collapsed="false">
      <c r="A35385" s="0" t="s">
        <v>12930</v>
      </c>
      <c r="B35385" s="0" t="str">
        <f aca="false">HYPERLINK("https://lindat.mff.cuni.cz/services/teitok/pdtc10/index.php?action=vallex&amp;frame=v-w4846f1", "překousnout (v-w4846f1)")</f>
        <v>překousnout (v-w4846f1)</v>
      </c>
    </row>
    <row r="35386" customFormat="false" ht="12.8" hidden="false" customHeight="false" outlineLevel="0" collapsed="false">
      <c r="B35386" s="0" t="s">
        <v>7</v>
      </c>
      <c r="C35386" s="0" t="s">
        <v>184</v>
      </c>
    </row>
    <row r="35387" customFormat="false" ht="12.8" hidden="false" customHeight="false" outlineLevel="0" collapsed="false">
      <c r="B35387" s="0" t="s">
        <v>14</v>
      </c>
      <c r="C35387" s="0" t="s">
        <v>33</v>
      </c>
    </row>
    <row r="35389" customFormat="false" ht="12.8" hidden="false" customHeight="false" outlineLevel="0" collapsed="false">
      <c r="A35389" s="0" t="s">
        <v>12931</v>
      </c>
      <c r="B35389" s="0" t="str">
        <f aca="false">HYPERLINK("https://lindat.mff.cuni.cz/services/teitok/pdtc10/index.php?action=vallex&amp;frame=v-w4848f1", "překračovat (v-w4848f1)")</f>
        <v>překračovat (v-w4848f1)</v>
      </c>
    </row>
    <row r="35390" customFormat="false" ht="12.8" hidden="false" customHeight="false" outlineLevel="0" collapsed="false">
      <c r="B35390" s="0" t="s">
        <v>7</v>
      </c>
      <c r="C35390" s="0" t="s">
        <v>7173</v>
      </c>
      <c r="D35390" s="0" t="s">
        <v>12917</v>
      </c>
      <c r="E35390" s="0" t="s">
        <v>12917</v>
      </c>
      <c r="F35390" s="0" t="s">
        <v>12917</v>
      </c>
    </row>
    <row r="35391" customFormat="false" ht="12.8" hidden="false" customHeight="false" outlineLevel="0" collapsed="false">
      <c r="B35391" s="0" t="s">
        <v>14</v>
      </c>
      <c r="C35391" s="0" t="s">
        <v>12932</v>
      </c>
      <c r="D35391" s="0" t="s">
        <v>12919</v>
      </c>
      <c r="E35391" s="0" t="s">
        <v>12919</v>
      </c>
      <c r="F35391" s="0" t="s">
        <v>12919</v>
      </c>
    </row>
    <row r="35393" customFormat="false" ht="12.8" hidden="false" customHeight="false" outlineLevel="0" collapsed="false">
      <c r="A35393" s="0" t="s">
        <v>12933</v>
      </c>
      <c r="B35393" s="0" t="str">
        <f aca="false">HYPERLINK("https://lindat.mff.cuni.cz/services/teitok/pdtc10/index.php?action=vallex&amp;frame=v-w4848hsa_572", "překračovat (v-w4848hsa_572)")</f>
        <v>překračovat (v-w4848hsa_572)</v>
      </c>
    </row>
    <row r="35394" customFormat="false" ht="12.8" hidden="false" customHeight="false" outlineLevel="0" collapsed="false">
      <c r="B35394" s="0" t="s">
        <v>7</v>
      </c>
      <c r="C35394" s="0" t="s">
        <v>2583</v>
      </c>
      <c r="D35394" s="0" t="s">
        <v>12917</v>
      </c>
      <c r="E35394" s="0" t="s">
        <v>12917</v>
      </c>
      <c r="F35394" s="0" t="s">
        <v>12917</v>
      </c>
    </row>
    <row r="35395" customFormat="false" ht="12.8" hidden="false" customHeight="false" outlineLevel="0" collapsed="false">
      <c r="B35395" s="0" t="s">
        <v>14</v>
      </c>
      <c r="C35395" s="0" t="s">
        <v>12934</v>
      </c>
      <c r="D35395" s="0" t="s">
        <v>12919</v>
      </c>
      <c r="E35395" s="0" t="s">
        <v>12919</v>
      </c>
      <c r="F35395" s="0" t="s">
        <v>12919</v>
      </c>
    </row>
    <row r="35397" customFormat="false" ht="12.8" hidden="false" customHeight="false" outlineLevel="0" collapsed="false">
      <c r="A35397" s="0" t="s">
        <v>12935</v>
      </c>
      <c r="B35397" s="0" t="str">
        <f aca="false">HYPERLINK("https://lindat.mff.cuni.cz/services/teitok/pdtc10/index.php?action=vallex&amp;frame=v-w4848hsa_573", "překračovat (v-w4848hsa_573)")</f>
        <v>překračovat (v-w4848hsa_573)</v>
      </c>
    </row>
    <row r="35398" customFormat="false" ht="12.8" hidden="false" customHeight="false" outlineLevel="0" collapsed="false">
      <c r="B35398" s="0" t="s">
        <v>7</v>
      </c>
      <c r="C35398" s="0" t="s">
        <v>460</v>
      </c>
      <c r="D35398" s="0" t="s">
        <v>12917</v>
      </c>
      <c r="E35398" s="0" t="s">
        <v>12917</v>
      </c>
      <c r="F35398" s="0" t="s">
        <v>12917</v>
      </c>
    </row>
    <row r="35399" customFormat="false" ht="12.8" hidden="false" customHeight="false" outlineLevel="0" collapsed="false">
      <c r="B35399" s="0" t="s">
        <v>14</v>
      </c>
      <c r="C35399" s="0" t="s">
        <v>1209</v>
      </c>
      <c r="D35399" s="0" t="s">
        <v>12919</v>
      </c>
      <c r="E35399" s="0" t="s">
        <v>12919</v>
      </c>
      <c r="F35399" s="0" t="s">
        <v>12919</v>
      </c>
    </row>
    <row r="35401" customFormat="false" ht="12.8" hidden="false" customHeight="false" outlineLevel="0" collapsed="false">
      <c r="A35401" s="0" t="s">
        <v>12936</v>
      </c>
      <c r="B35401" s="0" t="str">
        <f aca="false">HYPERLINK("https://lindat.mff.cuni.cz/services/teitok/pdtc10/index.php?action=vallex&amp;frame=v-w4848f2_ZU", "překračovat (v-w4848f2_ZU)")</f>
        <v>překračovat (v-w4848f2_ZU)</v>
      </c>
    </row>
    <row r="35402" customFormat="false" ht="12.8" hidden="false" customHeight="false" outlineLevel="0" collapsed="false">
      <c r="B35402" s="0" t="s">
        <v>7</v>
      </c>
    </row>
    <row r="35403" customFormat="false" ht="12.8" hidden="false" customHeight="false" outlineLevel="0" collapsed="false">
      <c r="B35403" s="0" t="s">
        <v>14</v>
      </c>
    </row>
    <row r="35405" customFormat="false" ht="12.8" hidden="false" customHeight="false" outlineLevel="0" collapsed="false">
      <c r="A35405" s="0" t="s">
        <v>12937</v>
      </c>
      <c r="B35405" s="0" t="str">
        <f aca="false">HYPERLINK("https://lindat.mff.cuni.cz/services/teitok/pdtc10/index.php?action=vallex&amp;frame=v-w4849f1", "překreslovat (v-w4849f1)")</f>
        <v>překreslovat (v-w4849f1)</v>
      </c>
    </row>
    <row r="35406" customFormat="false" ht="12.8" hidden="false" customHeight="false" outlineLevel="0" collapsed="false">
      <c r="B35406" s="0" t="s">
        <v>7</v>
      </c>
    </row>
    <row r="35407" customFormat="false" ht="12.8" hidden="false" customHeight="false" outlineLevel="0" collapsed="false">
      <c r="B35407" s="0" t="s">
        <v>14</v>
      </c>
    </row>
    <row r="35409" customFormat="false" ht="12.8" hidden="false" customHeight="false" outlineLevel="0" collapsed="false">
      <c r="A35409" s="0" t="s">
        <v>12938</v>
      </c>
      <c r="B35409" s="0" t="str">
        <f aca="false">HYPERLINK("https://lindat.mff.cuni.cz/services/teitok/pdtc10/index.php?action=vallex&amp;frame=v-w4850f1", "překrmovat (v-w4850f1)")</f>
        <v>překrmovat (v-w4850f1)</v>
      </c>
    </row>
    <row r="35410" customFormat="false" ht="12.8" hidden="false" customHeight="false" outlineLevel="0" collapsed="false">
      <c r="B35410" s="0" t="s">
        <v>7</v>
      </c>
    </row>
    <row r="35411" customFormat="false" ht="12.8" hidden="false" customHeight="false" outlineLevel="0" collapsed="false">
      <c r="B35411" s="0" t="s">
        <v>14</v>
      </c>
    </row>
    <row r="35413" customFormat="false" ht="12.8" hidden="false" customHeight="false" outlineLevel="0" collapsed="false">
      <c r="A35413" s="0" t="s">
        <v>12939</v>
      </c>
      <c r="B35413" s="0" t="str">
        <f aca="false">HYPERLINK("https://lindat.mff.cuni.cz/services/teitok/pdtc10/index.php?action=vallex&amp;frame=v-w4854f1", "překroutit (v-w4854f1)")</f>
        <v>překroutit (v-w4854f1)</v>
      </c>
    </row>
    <row r="35414" customFormat="false" ht="12.8" hidden="false" customHeight="false" outlineLevel="0" collapsed="false">
      <c r="B35414" s="0" t="s">
        <v>7</v>
      </c>
      <c r="C35414" s="0" t="s">
        <v>569</v>
      </c>
      <c r="D35414" s="0" t="s">
        <v>1263</v>
      </c>
      <c r="E35414" s="0" t="s">
        <v>1263</v>
      </c>
      <c r="F35414" s="0" t="s">
        <v>1263</v>
      </c>
    </row>
    <row r="35415" customFormat="false" ht="12.8" hidden="false" customHeight="false" outlineLevel="0" collapsed="false">
      <c r="B35415" s="0" t="s">
        <v>54</v>
      </c>
      <c r="C35415" s="0" t="s">
        <v>1170</v>
      </c>
      <c r="D35415" s="0" t="s">
        <v>2666</v>
      </c>
      <c r="E35415" s="0" t="s">
        <v>2666</v>
      </c>
      <c r="F35415" s="0" t="s">
        <v>2666</v>
      </c>
    </row>
    <row r="35417" customFormat="false" ht="12.8" hidden="false" customHeight="false" outlineLevel="0" collapsed="false">
      <c r="A35417" s="0" t="s">
        <v>12940</v>
      </c>
      <c r="B35417" s="0" t="str">
        <f aca="false">HYPERLINK("https://lindat.mff.cuni.cz/services/teitok/pdtc10/index.php?action=vallex&amp;frame=v-w4852f1", "překročit (v-w4852f1)")</f>
        <v>překročit (v-w4852f1)</v>
      </c>
    </row>
    <row r="35418" customFormat="false" ht="12.8" hidden="false" customHeight="false" outlineLevel="0" collapsed="false">
      <c r="B35418" s="0" t="s">
        <v>7</v>
      </c>
      <c r="C35418" s="0" t="s">
        <v>12941</v>
      </c>
      <c r="D35418" s="0" t="s">
        <v>12917</v>
      </c>
      <c r="E35418" s="0" t="s">
        <v>12917</v>
      </c>
      <c r="F35418" s="0" t="s">
        <v>12917</v>
      </c>
    </row>
    <row r="35419" customFormat="false" ht="12.8" hidden="false" customHeight="false" outlineLevel="0" collapsed="false">
      <c r="B35419" s="0" t="s">
        <v>14</v>
      </c>
      <c r="C35419" s="0" t="s">
        <v>12942</v>
      </c>
      <c r="D35419" s="0" t="s">
        <v>12919</v>
      </c>
      <c r="E35419" s="0" t="s">
        <v>12919</v>
      </c>
      <c r="F35419" s="0" t="s">
        <v>12919</v>
      </c>
    </row>
    <row r="35421" customFormat="false" ht="12.8" hidden="false" customHeight="false" outlineLevel="0" collapsed="false">
      <c r="A35421" s="0" t="s">
        <v>12943</v>
      </c>
      <c r="B35421" s="0" t="str">
        <f aca="false">HYPERLINK("https://lindat.mff.cuni.cz/services/teitok/pdtc10/index.php?action=vallex&amp;frame=v-w4852f2", "překročit (v-w4852f2)")</f>
        <v>překročit (v-w4852f2)</v>
      </c>
    </row>
    <row r="35422" customFormat="false" ht="12.8" hidden="false" customHeight="false" outlineLevel="0" collapsed="false">
      <c r="B35422" s="0" t="s">
        <v>7</v>
      </c>
      <c r="C35422" s="0" t="s">
        <v>12944</v>
      </c>
      <c r="D35422" s="0" t="s">
        <v>12917</v>
      </c>
      <c r="E35422" s="0" t="s">
        <v>12917</v>
      </c>
      <c r="F35422" s="0" t="s">
        <v>12917</v>
      </c>
    </row>
    <row r="35423" customFormat="false" ht="12.8" hidden="false" customHeight="false" outlineLevel="0" collapsed="false">
      <c r="B35423" s="0" t="s">
        <v>14</v>
      </c>
      <c r="C35423" s="0" t="s">
        <v>12945</v>
      </c>
      <c r="D35423" s="0" t="s">
        <v>12919</v>
      </c>
      <c r="E35423" s="0" t="s">
        <v>12919</v>
      </c>
      <c r="F35423" s="0" t="s">
        <v>12919</v>
      </c>
    </row>
    <row r="35425" customFormat="false" ht="12.8" hidden="false" customHeight="false" outlineLevel="0" collapsed="false">
      <c r="A35425" s="0" t="s">
        <v>12946</v>
      </c>
      <c r="B35425" s="0" t="str">
        <f aca="false">HYPERLINK("https://lindat.mff.cuni.cz/services/teitok/pdtc10/index.php?action=vallex&amp;frame=v-w4852hsa_1958", "překročit (v-w4852hsa_1958)")</f>
        <v>překročit (v-w4852hsa_1958)</v>
      </c>
    </row>
    <row r="35426" customFormat="false" ht="12.8" hidden="false" customHeight="false" outlineLevel="0" collapsed="false">
      <c r="B35426" s="0" t="s">
        <v>7</v>
      </c>
    </row>
    <row r="35427" customFormat="false" ht="12.8" hidden="false" customHeight="false" outlineLevel="0" collapsed="false">
      <c r="B35427" s="0" t="s">
        <v>14</v>
      </c>
    </row>
    <row r="35429" customFormat="false" ht="12.8" hidden="false" customHeight="false" outlineLevel="0" collapsed="false">
      <c r="A35429" s="0" t="s">
        <v>12947</v>
      </c>
      <c r="B35429" s="0" t="str">
        <f aca="false">HYPERLINK("https://lindat.mff.cuni.cz/services/teitok/pdtc10/index.php?action=vallex&amp;frame=v-w10708f2", "překrucovat (v-w10708f2)")</f>
        <v>překrucovat (v-w10708f2)</v>
      </c>
    </row>
    <row r="35430" customFormat="false" ht="12.8" hidden="false" customHeight="false" outlineLevel="0" collapsed="false">
      <c r="B35430" s="0" t="s">
        <v>7</v>
      </c>
      <c r="C35430" s="0" t="s">
        <v>569</v>
      </c>
      <c r="D35430" s="0" t="s">
        <v>1263</v>
      </c>
      <c r="E35430" s="0" t="s">
        <v>1263</v>
      </c>
      <c r="F35430" s="0" t="s">
        <v>1263</v>
      </c>
    </row>
    <row r="35431" customFormat="false" ht="12.8" hidden="false" customHeight="false" outlineLevel="0" collapsed="false">
      <c r="B35431" s="0" t="s">
        <v>14</v>
      </c>
      <c r="C35431" s="0" t="s">
        <v>120</v>
      </c>
      <c r="D35431" s="0" t="s">
        <v>2666</v>
      </c>
      <c r="E35431" s="0" t="s">
        <v>2666</v>
      </c>
      <c r="F35431" s="0" t="s">
        <v>2666</v>
      </c>
    </row>
    <row r="35433" customFormat="false" ht="12.8" hidden="false" customHeight="false" outlineLevel="0" collapsed="false">
      <c r="A35433" s="0" t="s">
        <v>12948</v>
      </c>
      <c r="B35433" s="0" t="str">
        <f aca="false">HYPERLINK("https://lindat.mff.cuni.cz/services/teitok/pdtc10/index.php?action=vallex&amp;frame=v-w4856f1", "překrýt (v-w4856f1)")</f>
        <v>překrýt (v-w4856f1)</v>
      </c>
    </row>
    <row r="35434" customFormat="false" ht="12.8" hidden="false" customHeight="false" outlineLevel="0" collapsed="false">
      <c r="B35434" s="0" t="s">
        <v>7</v>
      </c>
    </row>
    <row r="35435" customFormat="false" ht="12.8" hidden="false" customHeight="false" outlineLevel="0" collapsed="false">
      <c r="B35435" s="0" t="s">
        <v>54</v>
      </c>
    </row>
    <row r="35437" customFormat="false" ht="12.8" hidden="false" customHeight="false" outlineLevel="0" collapsed="false">
      <c r="A35437" s="0" t="s">
        <v>12949</v>
      </c>
      <c r="B35437" s="0" t="str">
        <f aca="false">HYPERLINK("https://lindat.mff.cuni.cz/services/teitok/pdtc10/index.php?action=vallex&amp;frame=v-w4856f2", "překrýt (v-w4856f2)")</f>
        <v>překrýt (v-w4856f2)</v>
      </c>
    </row>
    <row r="35438" customFormat="false" ht="12.8" hidden="false" customHeight="false" outlineLevel="0" collapsed="false">
      <c r="B35438" s="0" t="s">
        <v>7</v>
      </c>
    </row>
    <row r="35439" customFormat="false" ht="12.8" hidden="false" customHeight="false" outlineLevel="0" collapsed="false">
      <c r="B35439" s="0" t="s">
        <v>14</v>
      </c>
    </row>
    <row r="35441" customFormat="false" ht="12.8" hidden="false" customHeight="false" outlineLevel="0" collapsed="false">
      <c r="A35441" s="0" t="s">
        <v>12950</v>
      </c>
      <c r="B35441" s="0" t="str">
        <f aca="false">HYPERLINK("https://lindat.mff.cuni.cz/services/teitok/pdtc10/index.php?action=vallex&amp;frame=v-w4856f3_ZU", "překrýt (v-w4856f3_ZU)")</f>
        <v>překrýt (v-w4856f3_ZU)</v>
      </c>
    </row>
    <row r="35442" customFormat="false" ht="12.8" hidden="false" customHeight="false" outlineLevel="0" collapsed="false">
      <c r="B35442" s="0" t="s">
        <v>7</v>
      </c>
    </row>
    <row r="35443" customFormat="false" ht="12.8" hidden="false" customHeight="false" outlineLevel="0" collapsed="false">
      <c r="B35443" s="0" t="s">
        <v>14</v>
      </c>
    </row>
    <row r="35445" customFormat="false" ht="12.8" hidden="false" customHeight="false" outlineLevel="0" collapsed="false">
      <c r="A35445" s="0" t="s">
        <v>12951</v>
      </c>
      <c r="B35445" s="0" t="str">
        <f aca="false">HYPERLINK("https://lindat.mff.cuni.cz/services/teitok/pdtc10/index.php?action=vallex&amp;frame=v-w10338f3", "překrývat (v-w10338f3)")</f>
        <v>překrývat (v-w10338f3)</v>
      </c>
    </row>
    <row r="35446" customFormat="false" ht="12.8" hidden="false" customHeight="false" outlineLevel="0" collapsed="false">
      <c r="B35446" s="0" t="s">
        <v>7</v>
      </c>
      <c r="D35446" s="0" t="s">
        <v>7565</v>
      </c>
      <c r="E35446" s="0" t="s">
        <v>7565</v>
      </c>
      <c r="F35446" s="0" t="s">
        <v>7565</v>
      </c>
    </row>
    <row r="35447" customFormat="false" ht="12.8" hidden="false" customHeight="false" outlineLevel="0" collapsed="false">
      <c r="B35447" s="0" t="s">
        <v>54</v>
      </c>
      <c r="D35447" s="0" t="s">
        <v>487</v>
      </c>
      <c r="E35447" s="0" t="s">
        <v>487</v>
      </c>
      <c r="F35447" s="0" t="s">
        <v>487</v>
      </c>
    </row>
    <row r="35449" customFormat="false" ht="12.8" hidden="false" customHeight="false" outlineLevel="0" collapsed="false">
      <c r="A35449" s="0" t="s">
        <v>12952</v>
      </c>
      <c r="B35449" s="0" t="str">
        <f aca="false">HYPERLINK("https://lindat.mff.cuni.cz/services/teitok/pdtc10/index.php?action=vallex&amp;frame=v-w10338f2", "překrývat (v-w10338f2)")</f>
        <v>překrývat (v-w10338f2)</v>
      </c>
    </row>
    <row r="35450" customFormat="false" ht="12.8" hidden="false" customHeight="false" outlineLevel="0" collapsed="false">
      <c r="B35450" s="0" t="s">
        <v>7</v>
      </c>
      <c r="D35450" s="0" t="s">
        <v>7565</v>
      </c>
      <c r="E35450" s="0" t="s">
        <v>7565</v>
      </c>
      <c r="F35450" s="0" t="s">
        <v>7565</v>
      </c>
    </row>
    <row r="35451" customFormat="false" ht="12.8" hidden="false" customHeight="false" outlineLevel="0" collapsed="false">
      <c r="B35451" s="0" t="s">
        <v>14</v>
      </c>
      <c r="D35451" s="0" t="s">
        <v>487</v>
      </c>
      <c r="E35451" s="0" t="s">
        <v>487</v>
      </c>
      <c r="F35451" s="0" t="s">
        <v>487</v>
      </c>
    </row>
    <row r="35453" customFormat="false" ht="12.8" hidden="false" customHeight="false" outlineLevel="0" collapsed="false">
      <c r="A35453" s="0" t="s">
        <v>12953</v>
      </c>
      <c r="B35453" s="0" t="str">
        <f aca="false">HYPERLINK("https://lindat.mff.cuni.cz/services/teitok/pdtc10/index.php?action=vallex&amp;frame=v-w11289f1", "překrývat se (v-w11289f1)")</f>
        <v>překrývat se (v-w11289f1)</v>
      </c>
    </row>
    <row r="35454" customFormat="false" ht="12.8" hidden="false" customHeight="false" outlineLevel="0" collapsed="false">
      <c r="B35454" s="0" t="s">
        <v>7</v>
      </c>
      <c r="C35454" s="0" t="s">
        <v>335</v>
      </c>
      <c r="D35454" s="0" t="s">
        <v>5009</v>
      </c>
      <c r="E35454" s="0" t="s">
        <v>5009</v>
      </c>
      <c r="F35454" s="0" t="s">
        <v>5009</v>
      </c>
    </row>
    <row r="35455" customFormat="false" ht="12.8" hidden="false" customHeight="false" outlineLevel="0" collapsed="false">
      <c r="B35455" s="0" t="s">
        <v>548</v>
      </c>
      <c r="C35455" s="0" t="s">
        <v>155</v>
      </c>
      <c r="D35455" s="0" t="s">
        <v>115</v>
      </c>
      <c r="E35455" s="0" t="s">
        <v>115</v>
      </c>
      <c r="F35455" s="0" t="s">
        <v>115</v>
      </c>
    </row>
    <row r="35457" customFormat="false" ht="12.8" hidden="false" customHeight="false" outlineLevel="0" collapsed="false">
      <c r="A35457" s="0" t="s">
        <v>12954</v>
      </c>
      <c r="B35457" s="0" t="str">
        <f aca="false">HYPERLINK("https://lindat.mff.cuni.cz/services/teitok/pdtc10/index.php?action=vallex&amp;frame=v-w11298f3", "překulit se (v-w11298f3)")</f>
        <v>překulit se (v-w11298f3)</v>
      </c>
    </row>
    <row r="35458" customFormat="false" ht="12.8" hidden="false" customHeight="false" outlineLevel="0" collapsed="false">
      <c r="B35458" s="0" t="s">
        <v>7</v>
      </c>
      <c r="C35458" s="0" t="s">
        <v>191</v>
      </c>
    </row>
    <row r="35459" customFormat="false" ht="12.8" hidden="false" customHeight="false" outlineLevel="0" collapsed="false">
      <c r="B35459" s="0" t="s">
        <v>279</v>
      </c>
      <c r="C35459" s="0" t="s">
        <v>2054</v>
      </c>
    </row>
    <row r="35461" customFormat="false" ht="12.8" hidden="false" customHeight="false" outlineLevel="0" collapsed="false">
      <c r="A35461" s="0" t="s">
        <v>12955</v>
      </c>
      <c r="B35461" s="0" t="str">
        <f aca="false">HYPERLINK("https://lindat.mff.cuni.cz/services/teitok/pdtc10/index.php?action=vallex&amp;frame=v-w11298f2", "překulit se (v-w11298f2)")</f>
        <v>překulit se (v-w11298f2)</v>
      </c>
    </row>
    <row r="35462" customFormat="false" ht="12.8" hidden="false" customHeight="false" outlineLevel="0" collapsed="false">
      <c r="B35462" s="0" t="s">
        <v>7</v>
      </c>
      <c r="C35462" s="0" t="s">
        <v>200</v>
      </c>
    </row>
    <row r="35463" customFormat="false" ht="12.8" hidden="false" customHeight="false" outlineLevel="0" collapsed="false">
      <c r="B35463" s="0" t="s">
        <v>124</v>
      </c>
    </row>
    <row r="35465" customFormat="false" ht="12.8" hidden="false" customHeight="false" outlineLevel="0" collapsed="false">
      <c r="A35465" s="0" t="s">
        <v>12956</v>
      </c>
      <c r="B35465" s="0" t="str">
        <f aca="false">HYPERLINK("https://lindat.mff.cuni.cz/services/teitok/pdtc10/index.php?action=vallex&amp;frame=v-w4862f1", "překvapit (v-w4862f1)")</f>
        <v>překvapit (v-w4862f1)</v>
      </c>
    </row>
    <row r="35466" customFormat="false" ht="12.8" hidden="false" customHeight="false" outlineLevel="0" collapsed="false">
      <c r="B35466" s="0" t="s">
        <v>8792</v>
      </c>
      <c r="C35466" s="0" t="s">
        <v>12957</v>
      </c>
      <c r="D35466" s="0" t="s">
        <v>8794</v>
      </c>
      <c r="E35466" s="0" t="s">
        <v>8794</v>
      </c>
      <c r="F35466" s="0" t="s">
        <v>8794</v>
      </c>
    </row>
    <row r="35467" customFormat="false" ht="12.8" hidden="false" customHeight="false" outlineLevel="0" collapsed="false">
      <c r="B35467" s="0" t="s">
        <v>14</v>
      </c>
      <c r="C35467" s="0" t="s">
        <v>12958</v>
      </c>
      <c r="D35467" s="0" t="s">
        <v>8796</v>
      </c>
      <c r="E35467" s="0" t="s">
        <v>8796</v>
      </c>
      <c r="F35467" s="0" t="s">
        <v>8796</v>
      </c>
    </row>
    <row r="35469" customFormat="false" ht="12.8" hidden="false" customHeight="false" outlineLevel="0" collapsed="false">
      <c r="A35469" s="0" t="s">
        <v>12959</v>
      </c>
      <c r="B35469" s="0" t="str">
        <f aca="false">HYPERLINK("https://lindat.mff.cuni.cz/services/teitok/pdtc10/index.php?action=vallex&amp;frame=v-w4862f3_ZU", "překvapit (v-w4862f3_ZU)")</f>
        <v>překvapit (v-w4862f3_ZU)</v>
      </c>
    </row>
    <row r="35470" customFormat="false" ht="12.8" hidden="false" customHeight="false" outlineLevel="0" collapsed="false">
      <c r="B35470" s="0" t="s">
        <v>7</v>
      </c>
    </row>
    <row r="35471" customFormat="false" ht="12.8" hidden="false" customHeight="false" outlineLevel="0" collapsed="false">
      <c r="B35471" s="0" t="s">
        <v>14</v>
      </c>
    </row>
    <row r="35473" customFormat="false" ht="12.8" hidden="false" customHeight="false" outlineLevel="0" collapsed="false">
      <c r="A35473" s="0" t="s">
        <v>12959</v>
      </c>
      <c r="B35473" s="0" t="str">
        <f aca="false">HYPERLINK("https://lindat.mff.cuni.cz/services/teitok/pdtc10/index.php?action=vallex&amp;frame=v-w4862f2", "překvapit (v-w4862f2) - substituted with v-w4862f3_ZU")</f>
        <v>překvapit (v-w4862f2) - substituted with v-w4862f3_ZU</v>
      </c>
    </row>
    <row r="35474" customFormat="false" ht="12.8" hidden="false" customHeight="false" outlineLevel="0" collapsed="false">
      <c r="B35474" s="0" t="s">
        <v>7</v>
      </c>
    </row>
    <row r="35475" customFormat="false" ht="12.8" hidden="false" customHeight="false" outlineLevel="0" collapsed="false">
      <c r="B35475" s="0" t="s">
        <v>14</v>
      </c>
    </row>
    <row r="35477" customFormat="false" ht="12.8" hidden="false" customHeight="false" outlineLevel="0" collapsed="false">
      <c r="A35477" s="0" t="s">
        <v>12960</v>
      </c>
      <c r="B35477" s="0" t="str">
        <f aca="false">HYPERLINK("https://lindat.mff.cuni.cz/services/teitok/pdtc10/index.php?action=vallex&amp;frame=v-w4863f1", "překvapovat (v-w4863f1)")</f>
        <v>překvapovat (v-w4863f1)</v>
      </c>
    </row>
    <row r="35478" customFormat="false" ht="12.8" hidden="false" customHeight="false" outlineLevel="0" collapsed="false">
      <c r="B35478" s="0" t="s">
        <v>8792</v>
      </c>
      <c r="C35478" s="0" t="s">
        <v>12961</v>
      </c>
      <c r="D35478" s="0" t="s">
        <v>8794</v>
      </c>
      <c r="E35478" s="0" t="s">
        <v>8794</v>
      </c>
      <c r="F35478" s="0" t="s">
        <v>8794</v>
      </c>
    </row>
    <row r="35479" customFormat="false" ht="12.8" hidden="false" customHeight="false" outlineLevel="0" collapsed="false">
      <c r="B35479" s="0" t="s">
        <v>14</v>
      </c>
      <c r="C35479" s="0" t="s">
        <v>12962</v>
      </c>
      <c r="D35479" s="0" t="s">
        <v>8796</v>
      </c>
      <c r="E35479" s="0" t="s">
        <v>8796</v>
      </c>
      <c r="F35479" s="0" t="s">
        <v>8796</v>
      </c>
    </row>
    <row r="35481" customFormat="false" ht="12.8" hidden="false" customHeight="false" outlineLevel="0" collapsed="false">
      <c r="A35481" s="0" t="s">
        <v>12963</v>
      </c>
      <c r="B35481" s="0" t="str">
        <f aca="false">HYPERLINK("https://lindat.mff.cuni.cz/services/teitok/pdtc10/index.php?action=vallex&amp;frame=v-w4863f2", "překvapovat (v-w4863f2)")</f>
        <v>překvapovat (v-w4863f2)</v>
      </c>
    </row>
    <row r="35482" customFormat="false" ht="12.8" hidden="false" customHeight="false" outlineLevel="0" collapsed="false">
      <c r="B35482" s="0" t="s">
        <v>7</v>
      </c>
    </row>
    <row r="35483" customFormat="false" ht="12.8" hidden="false" customHeight="false" outlineLevel="0" collapsed="false">
      <c r="B35483" s="0" t="s">
        <v>14</v>
      </c>
    </row>
    <row r="35485" customFormat="false" ht="12.8" hidden="false" customHeight="false" outlineLevel="0" collapsed="false">
      <c r="A35485" s="0" t="s">
        <v>12964</v>
      </c>
      <c r="B35485" s="0" t="str">
        <f aca="false">HYPERLINK("https://lindat.mff.cuni.cz/services/teitok/pdtc10/index.php?action=vallex&amp;frame=v-w10940f2", "překypovat (v-w10940f2)")</f>
        <v>překypovat (v-w10940f2)</v>
      </c>
    </row>
    <row r="35486" customFormat="false" ht="12.8" hidden="false" customHeight="false" outlineLevel="0" collapsed="false">
      <c r="B35486" s="0" t="s">
        <v>7</v>
      </c>
      <c r="C35486" s="0" t="s">
        <v>248</v>
      </c>
      <c r="D35486" s="0" t="s">
        <v>248</v>
      </c>
      <c r="E35486" s="0" t="s">
        <v>248</v>
      </c>
      <c r="F35486" s="0" t="s">
        <v>248</v>
      </c>
    </row>
    <row r="35487" customFormat="false" ht="12.8" hidden="false" customHeight="false" outlineLevel="0" collapsed="false">
      <c r="B35487" s="0" t="s">
        <v>216</v>
      </c>
      <c r="C35487" s="0" t="s">
        <v>1588</v>
      </c>
      <c r="D35487" s="0" t="s">
        <v>1588</v>
      </c>
      <c r="E35487" s="0" t="s">
        <v>1588</v>
      </c>
      <c r="F35487" s="0" t="s">
        <v>1588</v>
      </c>
    </row>
    <row r="35489" customFormat="false" ht="12.8" hidden="false" customHeight="false" outlineLevel="0" collapsed="false">
      <c r="A35489" s="0" t="s">
        <v>12965</v>
      </c>
      <c r="B35489" s="0" t="str">
        <f aca="false">HYPERLINK("https://lindat.mff.cuni.cz/services/teitok/pdtc10/index.php?action=vallex&amp;frame=v-w10940f3", "překypovat (v-w10940f3)")</f>
        <v>překypovat (v-w10940f3)</v>
      </c>
    </row>
    <row r="35490" customFormat="false" ht="12.8" hidden="false" customHeight="false" outlineLevel="0" collapsed="false">
      <c r="B35490" s="0" t="s">
        <v>7</v>
      </c>
    </row>
    <row r="35491" customFormat="false" ht="12.8" hidden="false" customHeight="false" outlineLevel="0" collapsed="false">
      <c r="B35491" s="0" t="s">
        <v>3620</v>
      </c>
    </row>
    <row r="35493" customFormat="false" ht="12.8" hidden="false" customHeight="false" outlineLevel="0" collapsed="false">
      <c r="A35493" s="0" t="s">
        <v>12966</v>
      </c>
      <c r="B35493" s="0" t="str">
        <f aca="false">HYPERLINK("https://lindat.mff.cuni.cz/services/teitok/pdtc10/index.php?action=vallex&amp;frame=v-w10586f2", "překypět (v-w10586f2)")</f>
        <v>překypět (v-w10586f2)</v>
      </c>
    </row>
    <row r="35494" customFormat="false" ht="12.8" hidden="false" customHeight="false" outlineLevel="0" collapsed="false">
      <c r="B35494" s="0" t="s">
        <v>7</v>
      </c>
    </row>
    <row r="35496" customFormat="false" ht="12.8" hidden="false" customHeight="false" outlineLevel="0" collapsed="false">
      <c r="A35496" s="0" t="s">
        <v>12967</v>
      </c>
      <c r="B35496" s="0" t="str">
        <f aca="false">HYPERLINK("https://lindat.mff.cuni.cz/services/teitok/pdtc10/index.php?action=vallex&amp;frame=v-w4832f3_ZU", "překážet (v-w4832f3_ZU)")</f>
        <v>překážet (v-w4832f3_ZU)</v>
      </c>
    </row>
    <row r="35497" customFormat="false" ht="12.8" hidden="false" customHeight="false" outlineLevel="0" collapsed="false">
      <c r="B35497" s="0" t="s">
        <v>7</v>
      </c>
    </row>
    <row r="35498" customFormat="false" ht="12.8" hidden="false" customHeight="false" outlineLevel="0" collapsed="false">
      <c r="B35498" s="0" t="s">
        <v>12968</v>
      </c>
    </row>
    <row r="35499" customFormat="false" ht="12.8" hidden="false" customHeight="false" outlineLevel="0" collapsed="false">
      <c r="B35499" s="0" t="s">
        <v>106</v>
      </c>
    </row>
    <row r="35501" customFormat="false" ht="12.8" hidden="false" customHeight="false" outlineLevel="0" collapsed="false">
      <c r="A35501" s="0" t="s">
        <v>12967</v>
      </c>
      <c r="B35501" s="0" t="str">
        <f aca="false">HYPERLINK("https://lindat.mff.cuni.cz/services/teitok/pdtc10/index.php?action=vallex&amp;frame=v-w4832f1", "překážet (v-w4832f1) - substituted with v-w4832f3_ZU")</f>
        <v>překážet (v-w4832f1) - substituted with v-w4832f3_ZU</v>
      </c>
    </row>
    <row r="35502" customFormat="false" ht="12.8" hidden="false" customHeight="false" outlineLevel="0" collapsed="false">
      <c r="B35502" s="0" t="s">
        <v>7</v>
      </c>
      <c r="C35502" s="0" t="s">
        <v>1263</v>
      </c>
    </row>
    <row r="35503" customFormat="false" ht="12.8" hidden="false" customHeight="false" outlineLevel="0" collapsed="false">
      <c r="B35503" s="0" t="s">
        <v>12968</v>
      </c>
      <c r="C35503" s="0" t="s">
        <v>12969</v>
      </c>
    </row>
    <row r="35504" customFormat="false" ht="12.8" hidden="false" customHeight="false" outlineLevel="0" collapsed="false">
      <c r="B35504" s="0" t="s">
        <v>106</v>
      </c>
    </row>
    <row r="35506" customFormat="false" ht="12.8" hidden="false" customHeight="false" outlineLevel="0" collapsed="false">
      <c r="A35506" s="0" t="s">
        <v>12967</v>
      </c>
      <c r="B35506" s="0" t="str">
        <f aca="false">HYPERLINK("https://lindat.mff.cuni.cz/services/teitok/pdtc10/index.php?action=vallex&amp;frame=v-w4832hsa_721", "překážet (v-w4832hsa_721) - substituted with v-w4832f3_ZU")</f>
        <v>překážet (v-w4832hsa_721) - substituted with v-w4832f3_ZU</v>
      </c>
    </row>
    <row r="35507" customFormat="false" ht="12.8" hidden="false" customHeight="false" outlineLevel="0" collapsed="false">
      <c r="B35507" s="0" t="s">
        <v>7</v>
      </c>
    </row>
    <row r="35508" customFormat="false" ht="12.8" hidden="false" customHeight="false" outlineLevel="0" collapsed="false">
      <c r="B35508" s="0" t="s">
        <v>12968</v>
      </c>
    </row>
    <row r="35509" customFormat="false" ht="12.8" hidden="false" customHeight="false" outlineLevel="0" collapsed="false">
      <c r="B35509" s="0" t="s">
        <v>106</v>
      </c>
    </row>
    <row r="35511" customFormat="false" ht="12.8" hidden="false" customHeight="false" outlineLevel="0" collapsed="false">
      <c r="A35511" s="0" t="s">
        <v>12970</v>
      </c>
      <c r="B35511" s="0" t="str">
        <f aca="false">HYPERLINK("https://lindat.mff.cuni.cz/services/teitok/pdtc10/index.php?action=vallex&amp;frame=v-w4832f2", "překážet (v-w4832f2)")</f>
        <v>překážet (v-w4832f2)</v>
      </c>
    </row>
    <row r="35512" customFormat="false" ht="12.8" hidden="false" customHeight="false" outlineLevel="0" collapsed="false">
      <c r="B35512" s="0" t="s">
        <v>7</v>
      </c>
      <c r="C35512" s="0" t="s">
        <v>108</v>
      </c>
      <c r="E35512" s="0" t="s">
        <v>253</v>
      </c>
      <c r="F35512" s="0" t="s">
        <v>253</v>
      </c>
    </row>
    <row r="35513" customFormat="false" ht="12.8" hidden="false" customHeight="false" outlineLevel="0" collapsed="false">
      <c r="B35513" s="0" t="s">
        <v>142</v>
      </c>
      <c r="C35513" s="0" t="s">
        <v>624</v>
      </c>
      <c r="E35513" s="0" t="s">
        <v>256</v>
      </c>
      <c r="F35513" s="0" t="s">
        <v>256</v>
      </c>
    </row>
    <row r="35515" customFormat="false" ht="12.8" hidden="false" customHeight="false" outlineLevel="0" collapsed="false">
      <c r="A35515" s="0" t="s">
        <v>12971</v>
      </c>
      <c r="B35515" s="0" t="str">
        <f aca="false">HYPERLINK("https://lindat.mff.cuni.cz/services/teitok/pdtc10/index.php?action=vallex&amp;frame=v-w4858f1", "překřikovat (v-w4858f1)")</f>
        <v>překřikovat (v-w4858f1)</v>
      </c>
    </row>
    <row r="35516" customFormat="false" ht="12.8" hidden="false" customHeight="false" outlineLevel="0" collapsed="false">
      <c r="B35516" s="0" t="s">
        <v>7</v>
      </c>
    </row>
    <row r="35517" customFormat="false" ht="12.8" hidden="false" customHeight="false" outlineLevel="0" collapsed="false">
      <c r="B35517" s="0" t="s">
        <v>14</v>
      </c>
    </row>
    <row r="35519" customFormat="false" ht="12.8" hidden="false" customHeight="false" outlineLevel="0" collapsed="false">
      <c r="A35519" s="0" t="s">
        <v>12972</v>
      </c>
      <c r="B35519" s="0" t="str">
        <f aca="false">HYPERLINK("https://lindat.mff.cuni.cz/services/teitok/pdtc10/index.php?action=vallex&amp;frame=v-w4859f1", "překřtít (v-w4859f1)")</f>
        <v>překřtít (v-w4859f1)</v>
      </c>
    </row>
    <row r="35520" customFormat="false" ht="12.8" hidden="false" customHeight="false" outlineLevel="0" collapsed="false">
      <c r="B35520" s="0" t="s">
        <v>7</v>
      </c>
    </row>
    <row r="35521" customFormat="false" ht="12.8" hidden="false" customHeight="false" outlineLevel="0" collapsed="false">
      <c r="B35521" s="0" t="s">
        <v>14</v>
      </c>
    </row>
    <row r="35522" customFormat="false" ht="12.8" hidden="false" customHeight="false" outlineLevel="0" collapsed="false">
      <c r="B35522" s="0" t="s">
        <v>35</v>
      </c>
    </row>
    <row r="35523" customFormat="false" ht="12.8" hidden="false" customHeight="false" outlineLevel="0" collapsed="false">
      <c r="B35523" s="0" t="s">
        <v>84</v>
      </c>
    </row>
    <row r="35525" customFormat="false" ht="12.8" hidden="false" customHeight="false" outlineLevel="0" collapsed="false">
      <c r="A35525" s="0" t="s">
        <v>12973</v>
      </c>
      <c r="B35525" s="0" t="str">
        <f aca="false">HYPERLINK("https://lindat.mff.cuni.cz/services/teitok/pdtc10/index.php?action=vallex&amp;frame=v-w11056f2", "překřížit (v-w11056f2)")</f>
        <v>překřížit (v-w11056f2)</v>
      </c>
    </row>
    <row r="35526" customFormat="false" ht="12.8" hidden="false" customHeight="false" outlineLevel="0" collapsed="false">
      <c r="B35526" s="0" t="s">
        <v>7</v>
      </c>
      <c r="C35526" s="0" t="s">
        <v>191</v>
      </c>
    </row>
    <row r="35527" customFormat="false" ht="12.8" hidden="false" customHeight="false" outlineLevel="0" collapsed="false">
      <c r="B35527" s="0" t="s">
        <v>14</v>
      </c>
      <c r="C35527" s="0" t="s">
        <v>155</v>
      </c>
    </row>
    <row r="35529" customFormat="false" ht="12.8" hidden="false" customHeight="false" outlineLevel="0" collapsed="false">
      <c r="A35529" s="0" t="s">
        <v>12974</v>
      </c>
      <c r="B35529" s="0" t="str">
        <f aca="false">HYPERLINK("https://lindat.mff.cuni.cz/services/teitok/pdtc10/index.php?action=vallex&amp;frame=v-w11056f3_ZU", "překřížit (v-w11056f3_ZU)")</f>
        <v>překřížit (v-w11056f3_ZU)</v>
      </c>
    </row>
    <row r="35530" customFormat="false" ht="12.8" hidden="false" customHeight="false" outlineLevel="0" collapsed="false">
      <c r="B35530" s="0" t="s">
        <v>7</v>
      </c>
    </row>
    <row r="35531" customFormat="false" ht="12.8" hidden="false" customHeight="false" outlineLevel="0" collapsed="false">
      <c r="B35531" s="0" t="s">
        <v>12975</v>
      </c>
    </row>
    <row r="35532" customFormat="false" ht="12.8" hidden="false" customHeight="false" outlineLevel="0" collapsed="false">
      <c r="B35532" s="0" t="s">
        <v>142</v>
      </c>
    </row>
    <row r="35534" customFormat="false" ht="12.8" hidden="false" customHeight="false" outlineLevel="0" collapsed="false">
      <c r="A35534" s="0" t="s">
        <v>12976</v>
      </c>
      <c r="B35534" s="0" t="str">
        <f aca="false">HYPERLINK("https://lindat.mff.cuni.cz/services/teitok/pdtc10/index.php?action=vallex&amp;frame=v-w11286f1", "přeladit se (v-w11286f1)")</f>
        <v>přeladit se (v-w11286f1)</v>
      </c>
    </row>
    <row r="35535" customFormat="false" ht="12.8" hidden="false" customHeight="false" outlineLevel="0" collapsed="false">
      <c r="B35535" s="0" t="s">
        <v>7</v>
      </c>
      <c r="C35535" s="0" t="s">
        <v>157</v>
      </c>
    </row>
    <row r="35536" customFormat="false" ht="12.8" hidden="false" customHeight="false" outlineLevel="0" collapsed="false">
      <c r="B35536" s="0" t="s">
        <v>63</v>
      </c>
      <c r="C35536" s="0" t="s">
        <v>7806</v>
      </c>
    </row>
    <row r="35537" customFormat="false" ht="12.8" hidden="false" customHeight="false" outlineLevel="0" collapsed="false">
      <c r="B35537" s="0" t="s">
        <v>35</v>
      </c>
    </row>
    <row r="35539" customFormat="false" ht="12.8" hidden="false" customHeight="false" outlineLevel="0" collapsed="false">
      <c r="A35539" s="0" t="s">
        <v>12977</v>
      </c>
      <c r="B35539" s="0" t="str">
        <f aca="false">HYPERLINK("https://lindat.mff.cuni.cz/services/teitok/pdtc10/index.php?action=vallex&amp;frame=v-whsa_254hsa_255", "přelarvovat (v-whsa_254hsa_255)")</f>
        <v>přelarvovat (v-whsa_254hsa_255)</v>
      </c>
    </row>
    <row r="35540" customFormat="false" ht="12.8" hidden="false" customHeight="false" outlineLevel="0" collapsed="false">
      <c r="B35540" s="0" t="s">
        <v>7</v>
      </c>
    </row>
    <row r="35541" customFormat="false" ht="12.8" hidden="false" customHeight="false" outlineLevel="0" collapsed="false">
      <c r="B35541" s="0" t="s">
        <v>14</v>
      </c>
    </row>
    <row r="35542" customFormat="false" ht="12.8" hidden="false" customHeight="false" outlineLevel="0" collapsed="false">
      <c r="B35542" s="0" t="s">
        <v>459</v>
      </c>
    </row>
    <row r="35543" customFormat="false" ht="12.8" hidden="false" customHeight="false" outlineLevel="0" collapsed="false">
      <c r="B35543" s="0" t="s">
        <v>124</v>
      </c>
    </row>
    <row r="35545" customFormat="false" ht="12.8" hidden="false" customHeight="false" outlineLevel="0" collapsed="false">
      <c r="A35545" s="0" t="s">
        <v>12978</v>
      </c>
      <c r="B35545" s="0" t="str">
        <f aca="false">HYPERLINK("https://lindat.mff.cuni.cz/services/teitok/pdtc10/index.php?action=vallex&amp;frame=v-w4864f1", "přelaďovat (v-w4864f1)")</f>
        <v>přelaďovat (v-w4864f1)</v>
      </c>
    </row>
    <row r="35546" customFormat="false" ht="12.8" hidden="false" customHeight="false" outlineLevel="0" collapsed="false">
      <c r="B35546" s="0" t="s">
        <v>7</v>
      </c>
    </row>
    <row r="35547" customFormat="false" ht="12.8" hidden="false" customHeight="false" outlineLevel="0" collapsed="false">
      <c r="B35547" s="0" t="s">
        <v>14</v>
      </c>
    </row>
    <row r="35549" customFormat="false" ht="12.8" hidden="false" customHeight="false" outlineLevel="0" collapsed="false">
      <c r="A35549" s="0" t="s">
        <v>12979</v>
      </c>
      <c r="B35549" s="0" t="str">
        <f aca="false">HYPERLINK("https://lindat.mff.cuni.cz/services/teitok/pdtc10/index.php?action=vallex&amp;frame=v-w4866f1", "přeletět (v-w4866f1)")</f>
        <v>přeletět (v-w4866f1)</v>
      </c>
    </row>
    <row r="35550" customFormat="false" ht="12.8" hidden="false" customHeight="false" outlineLevel="0" collapsed="false">
      <c r="B35550" s="0" t="s">
        <v>7</v>
      </c>
    </row>
    <row r="35551" customFormat="false" ht="12.8" hidden="false" customHeight="false" outlineLevel="0" collapsed="false">
      <c r="B35551" s="0" t="s">
        <v>14</v>
      </c>
    </row>
    <row r="35553" customFormat="false" ht="12.8" hidden="false" customHeight="false" outlineLevel="0" collapsed="false">
      <c r="A35553" s="0" t="s">
        <v>12980</v>
      </c>
      <c r="B35553" s="0" t="str">
        <f aca="false">HYPERLINK("https://lindat.mff.cuni.cz/services/teitok/pdtc10/index.php?action=vallex&amp;frame=v-w4866f2", "přeletět (v-w4866f2)")</f>
        <v>přeletět (v-w4866f2)</v>
      </c>
    </row>
    <row r="35554" customFormat="false" ht="12.8" hidden="false" customHeight="false" outlineLevel="0" collapsed="false">
      <c r="B35554" s="0" t="s">
        <v>7</v>
      </c>
      <c r="C35554" s="0" t="s">
        <v>191</v>
      </c>
      <c r="D35554" s="0" t="s">
        <v>5135</v>
      </c>
      <c r="E35554" s="0" t="s">
        <v>5135</v>
      </c>
      <c r="F35554" s="0" t="s">
        <v>5135</v>
      </c>
    </row>
    <row r="35555" customFormat="false" ht="12.8" hidden="false" customHeight="false" outlineLevel="0" collapsed="false">
      <c r="B35555" s="0" t="s">
        <v>459</v>
      </c>
    </row>
    <row r="35556" customFormat="false" ht="12.8" hidden="false" customHeight="false" outlineLevel="0" collapsed="false">
      <c r="B35556" s="0" t="s">
        <v>124</v>
      </c>
    </row>
    <row r="35558" customFormat="false" ht="12.8" hidden="false" customHeight="false" outlineLevel="0" collapsed="false">
      <c r="A35558" s="0" t="s">
        <v>12981</v>
      </c>
      <c r="B35558" s="0" t="str">
        <f aca="false">HYPERLINK("https://lindat.mff.cuni.cz/services/teitok/pdtc10/index.php?action=vallex&amp;frame=v-w4869f1", "přelidnit (v-w4869f1)")</f>
        <v>přelidnit (v-w4869f1)</v>
      </c>
    </row>
    <row r="35559" customFormat="false" ht="12.8" hidden="false" customHeight="false" outlineLevel="0" collapsed="false">
      <c r="B35559" s="0" t="s">
        <v>7</v>
      </c>
    </row>
    <row r="35560" customFormat="false" ht="12.8" hidden="false" customHeight="false" outlineLevel="0" collapsed="false">
      <c r="B35560" s="0" t="s">
        <v>14</v>
      </c>
    </row>
    <row r="35562" customFormat="false" ht="12.8" hidden="false" customHeight="false" outlineLevel="0" collapsed="false">
      <c r="A35562" s="0" t="s">
        <v>12982</v>
      </c>
      <c r="B35562" s="0" t="str">
        <f aca="false">HYPERLINK("https://lindat.mff.cuni.cz/services/teitok/pdtc10/index.php?action=vallex&amp;frame=v-w4870f1", "přelidnit se (v-w4870f1)")</f>
        <v>přelidnit se (v-w4870f1)</v>
      </c>
    </row>
    <row r="35563" customFormat="false" ht="12.8" hidden="false" customHeight="false" outlineLevel="0" collapsed="false">
      <c r="B35563" s="0" t="s">
        <v>7</v>
      </c>
    </row>
    <row r="35565" customFormat="false" ht="12.8" hidden="false" customHeight="false" outlineLevel="0" collapsed="false">
      <c r="A35565" s="0" t="s">
        <v>12983</v>
      </c>
      <c r="B35565" s="0" t="str">
        <f aca="false">HYPERLINK("https://lindat.mff.cuni.cz/services/teitok/pdtc10/index.php?action=vallex&amp;frame=v-w4873f1", "přeložit (v-w4873f1)")</f>
        <v>přeložit (v-w4873f1)</v>
      </c>
    </row>
    <row r="35566" customFormat="false" ht="12.8" hidden="false" customHeight="false" outlineLevel="0" collapsed="false">
      <c r="B35566" s="0" t="s">
        <v>7</v>
      </c>
      <c r="C35566" s="0" t="s">
        <v>3243</v>
      </c>
    </row>
    <row r="35567" customFormat="false" ht="12.8" hidden="false" customHeight="false" outlineLevel="0" collapsed="false">
      <c r="B35567" s="0" t="s">
        <v>14</v>
      </c>
      <c r="C35567" s="0" t="s">
        <v>3244</v>
      </c>
    </row>
    <row r="35568" customFormat="false" ht="12.8" hidden="false" customHeight="false" outlineLevel="0" collapsed="false">
      <c r="B35568" s="0" t="s">
        <v>35</v>
      </c>
    </row>
    <row r="35569" customFormat="false" ht="12.8" hidden="false" customHeight="false" outlineLevel="0" collapsed="false">
      <c r="B35569" s="0" t="s">
        <v>181</v>
      </c>
    </row>
    <row r="35571" customFormat="false" ht="12.8" hidden="false" customHeight="false" outlineLevel="0" collapsed="false">
      <c r="A35571" s="0" t="s">
        <v>12984</v>
      </c>
      <c r="B35571" s="0" t="str">
        <f aca="false">HYPERLINK("https://lindat.mff.cuni.cz/services/teitok/pdtc10/index.php?action=vallex&amp;frame=v-w4873f3", "přeložit (v-w4873f3)")</f>
        <v>přeložit (v-w4873f3)</v>
      </c>
    </row>
    <row r="35572" customFormat="false" ht="12.8" hidden="false" customHeight="false" outlineLevel="0" collapsed="false">
      <c r="B35572" s="0" t="s">
        <v>7</v>
      </c>
    </row>
    <row r="35573" customFormat="false" ht="12.8" hidden="false" customHeight="false" outlineLevel="0" collapsed="false">
      <c r="B35573" s="0" t="s">
        <v>14</v>
      </c>
    </row>
    <row r="35574" customFormat="false" ht="12.8" hidden="false" customHeight="false" outlineLevel="0" collapsed="false">
      <c r="B35574" s="0" t="s">
        <v>12985</v>
      </c>
    </row>
    <row r="35576" customFormat="false" ht="12.8" hidden="false" customHeight="false" outlineLevel="0" collapsed="false">
      <c r="A35576" s="0" t="s">
        <v>12986</v>
      </c>
      <c r="B35576" s="0" t="str">
        <f aca="false">HYPERLINK("https://lindat.mff.cuni.cz/services/teitok/pdtc10/index.php?action=vallex&amp;frame=v-w4873f6_ZU", "přeložit (v-w4873f6_ZU)")</f>
        <v>přeložit (v-w4873f6_ZU)</v>
      </c>
    </row>
    <row r="35577" customFormat="false" ht="12.8" hidden="false" customHeight="false" outlineLevel="0" collapsed="false">
      <c r="B35577" s="0" t="s">
        <v>7</v>
      </c>
      <c r="C35577" s="0" t="s">
        <v>191</v>
      </c>
      <c r="D35577" s="0" t="s">
        <v>12987</v>
      </c>
      <c r="E35577" s="0" t="s">
        <v>12987</v>
      </c>
      <c r="F35577" s="0" t="s">
        <v>12987</v>
      </c>
    </row>
    <row r="35578" customFormat="false" ht="12.8" hidden="false" customHeight="false" outlineLevel="0" collapsed="false">
      <c r="B35578" s="0" t="s">
        <v>14</v>
      </c>
      <c r="C35578" s="0" t="s">
        <v>115</v>
      </c>
      <c r="D35578" s="0" t="s">
        <v>11535</v>
      </c>
      <c r="E35578" s="0" t="s">
        <v>11535</v>
      </c>
      <c r="F35578" s="0" t="s">
        <v>11535</v>
      </c>
    </row>
    <row r="35579" customFormat="false" ht="12.8" hidden="false" customHeight="false" outlineLevel="0" collapsed="false">
      <c r="B35579" s="0" t="s">
        <v>459</v>
      </c>
      <c r="C35579" s="0" t="s">
        <v>12988</v>
      </c>
    </row>
    <row r="35580" customFormat="false" ht="12.8" hidden="false" customHeight="false" outlineLevel="0" collapsed="false">
      <c r="B35580" s="0" t="s">
        <v>124</v>
      </c>
      <c r="C35580" s="0" t="s">
        <v>2238</v>
      </c>
      <c r="D35580" s="0" t="s">
        <v>12989</v>
      </c>
      <c r="E35580" s="0" t="s">
        <v>12989</v>
      </c>
      <c r="F35580" s="0" t="s">
        <v>12989</v>
      </c>
    </row>
    <row r="35582" customFormat="false" ht="12.8" hidden="false" customHeight="false" outlineLevel="0" collapsed="false">
      <c r="A35582" s="0" t="s">
        <v>12986</v>
      </c>
      <c r="B35582" s="0" t="str">
        <f aca="false">HYPERLINK("https://lindat.mff.cuni.cz/services/teitok/pdtc10/index.php?action=vallex&amp;frame=v-w4873f4_ZU", "přeložit (v-w4873f4_ZU) - substituted with v-w4873f6_ZU")</f>
        <v>přeložit (v-w4873f4_ZU) - substituted with v-w4873f6_ZU</v>
      </c>
    </row>
    <row r="35583" customFormat="false" ht="12.8" hidden="false" customHeight="false" outlineLevel="0" collapsed="false">
      <c r="B35583" s="0" t="s">
        <v>7</v>
      </c>
    </row>
    <row r="35584" customFormat="false" ht="12.8" hidden="false" customHeight="false" outlineLevel="0" collapsed="false">
      <c r="B35584" s="0" t="s">
        <v>14</v>
      </c>
    </row>
    <row r="35585" customFormat="false" ht="12.8" hidden="false" customHeight="false" outlineLevel="0" collapsed="false">
      <c r="B35585" s="0" t="s">
        <v>459</v>
      </c>
    </row>
    <row r="35586" customFormat="false" ht="12.8" hidden="false" customHeight="false" outlineLevel="0" collapsed="false">
      <c r="B35586" s="0" t="s">
        <v>124</v>
      </c>
    </row>
    <row r="35588" customFormat="false" ht="12.8" hidden="false" customHeight="false" outlineLevel="0" collapsed="false">
      <c r="A35588" s="0" t="s">
        <v>12986</v>
      </c>
      <c r="B35588" s="0" t="str">
        <f aca="false">HYPERLINK("https://lindat.mff.cuni.cz/services/teitok/pdtc10/index.php?action=vallex&amp;frame=v-w4873f5_ZU", "přeložit (v-w4873f5_ZU) - substituted with v-w4873f6_ZU")</f>
        <v>přeložit (v-w4873f5_ZU) - substituted with v-w4873f6_ZU</v>
      </c>
    </row>
    <row r="35589" customFormat="false" ht="12.8" hidden="false" customHeight="false" outlineLevel="0" collapsed="false">
      <c r="B35589" s="0" t="s">
        <v>7</v>
      </c>
    </row>
    <row r="35590" customFormat="false" ht="12.8" hidden="false" customHeight="false" outlineLevel="0" collapsed="false">
      <c r="B35590" s="0" t="s">
        <v>14</v>
      </c>
    </row>
    <row r="35591" customFormat="false" ht="12.8" hidden="false" customHeight="false" outlineLevel="0" collapsed="false">
      <c r="B35591" s="0" t="s">
        <v>459</v>
      </c>
    </row>
    <row r="35592" customFormat="false" ht="12.8" hidden="false" customHeight="false" outlineLevel="0" collapsed="false">
      <c r="B35592" s="0" t="s">
        <v>124</v>
      </c>
    </row>
    <row r="35594" customFormat="false" ht="12.8" hidden="false" customHeight="false" outlineLevel="0" collapsed="false">
      <c r="A35594" s="0" t="s">
        <v>12990</v>
      </c>
      <c r="B35594" s="0" t="str">
        <f aca="false">HYPERLINK("https://lindat.mff.cuni.cz/services/teitok/pdtc10/index.php?action=vallex&amp;frame=v-w4873f2", "přeložit (v-w4873f2)")</f>
        <v>přeložit (v-w4873f2)</v>
      </c>
    </row>
    <row r="35595" customFormat="false" ht="12.8" hidden="false" customHeight="false" outlineLevel="0" collapsed="false">
      <c r="B35595" s="0" t="s">
        <v>7</v>
      </c>
      <c r="C35595" s="0" t="s">
        <v>184</v>
      </c>
      <c r="D35595" s="0" t="s">
        <v>4677</v>
      </c>
      <c r="E35595" s="0" t="s">
        <v>4677</v>
      </c>
      <c r="F35595" s="0" t="s">
        <v>4677</v>
      </c>
    </row>
    <row r="35596" customFormat="false" ht="12.8" hidden="false" customHeight="false" outlineLevel="0" collapsed="false">
      <c r="B35596" s="0" t="s">
        <v>14</v>
      </c>
      <c r="C35596" s="0" t="s">
        <v>384</v>
      </c>
      <c r="D35596" s="0" t="s">
        <v>12991</v>
      </c>
      <c r="E35596" s="0" t="s">
        <v>12991</v>
      </c>
      <c r="F35596" s="0" t="s">
        <v>12991</v>
      </c>
    </row>
    <row r="35597" customFormat="false" ht="12.8" hidden="false" customHeight="false" outlineLevel="0" collapsed="false">
      <c r="B35597" s="0" t="s">
        <v>9826</v>
      </c>
      <c r="D35597" s="0" t="s">
        <v>12992</v>
      </c>
      <c r="E35597" s="0" t="s">
        <v>12992</v>
      </c>
      <c r="F35597" s="0" t="s">
        <v>12992</v>
      </c>
    </row>
    <row r="35598" customFormat="false" ht="12.8" hidden="false" customHeight="false" outlineLevel="0" collapsed="false">
      <c r="B35598" s="0" t="s">
        <v>1492</v>
      </c>
      <c r="C35598" s="0" t="s">
        <v>12993</v>
      </c>
      <c r="D35598" s="0" t="s">
        <v>12994</v>
      </c>
      <c r="E35598" s="0" t="s">
        <v>12994</v>
      </c>
      <c r="F35598" s="0" t="s">
        <v>12994</v>
      </c>
    </row>
    <row r="35600" customFormat="false" ht="12.8" hidden="false" customHeight="false" outlineLevel="0" collapsed="false">
      <c r="A35600" s="0" t="s">
        <v>12995</v>
      </c>
      <c r="B35600" s="0" t="str">
        <f aca="false">HYPERLINK("https://lindat.mff.cuni.cz/services/teitok/pdtc10/index.php?action=vallex&amp;frame=v-w4874f1", "přelstít (v-w4874f1)")</f>
        <v>přelstít (v-w4874f1)</v>
      </c>
    </row>
    <row r="35601" customFormat="false" ht="12.8" hidden="false" customHeight="false" outlineLevel="0" collapsed="false">
      <c r="B35601" s="0" t="s">
        <v>7</v>
      </c>
      <c r="C35601" s="0" t="s">
        <v>1688</v>
      </c>
    </row>
    <row r="35602" customFormat="false" ht="12.8" hidden="false" customHeight="false" outlineLevel="0" collapsed="false">
      <c r="B35602" s="0" t="s">
        <v>14</v>
      </c>
      <c r="C35602" s="0" t="s">
        <v>384</v>
      </c>
      <c r="D35602" s="0" t="s">
        <v>1544</v>
      </c>
      <c r="E35602" s="0" t="s">
        <v>1544</v>
      </c>
      <c r="F35602" s="0" t="s">
        <v>1544</v>
      </c>
    </row>
    <row r="35604" customFormat="false" ht="12.8" hidden="false" customHeight="false" outlineLevel="0" collapsed="false">
      <c r="A35604" s="0" t="s">
        <v>12996</v>
      </c>
      <c r="B35604" s="0" t="str">
        <f aca="false">HYPERLINK("https://lindat.mff.cuni.cz/services/teitok/pdtc10/index.php?action=vallex&amp;frame=v-w12303_MMf1_MM", "přelámat (v-w12303_MMf1_MM)")</f>
        <v>přelámat (v-w12303_MMf1_MM)</v>
      </c>
    </row>
    <row r="35605" customFormat="false" ht="12.8" hidden="false" customHeight="false" outlineLevel="0" collapsed="false">
      <c r="B35605" s="0" t="s">
        <v>7</v>
      </c>
    </row>
    <row r="35606" customFormat="false" ht="12.8" hidden="false" customHeight="false" outlineLevel="0" collapsed="false">
      <c r="B35606" s="0" t="s">
        <v>14</v>
      </c>
    </row>
    <row r="35607" customFormat="false" ht="12.8" hidden="false" customHeight="false" outlineLevel="0" collapsed="false">
      <c r="B35607" s="0" t="s">
        <v>2773</v>
      </c>
    </row>
    <row r="35609" customFormat="false" ht="12.8" hidden="false" customHeight="false" outlineLevel="0" collapsed="false">
      <c r="A35609" s="0" t="s">
        <v>12997</v>
      </c>
      <c r="B35609" s="0" t="str">
        <f aca="false">HYPERLINK("https://lindat.mff.cuni.cz/services/teitok/pdtc10/index.php?action=vallex&amp;frame=v-whsa_329f1_ZU", "přelétnout (v-whsa_329f1_ZU)")</f>
        <v>přelétnout (v-whsa_329f1_ZU)</v>
      </c>
    </row>
    <row r="35610" customFormat="false" ht="12.8" hidden="false" customHeight="false" outlineLevel="0" collapsed="false">
      <c r="B35610" s="0" t="s">
        <v>7</v>
      </c>
    </row>
    <row r="35611" customFormat="false" ht="12.8" hidden="false" customHeight="false" outlineLevel="0" collapsed="false">
      <c r="B35611" s="0" t="s">
        <v>459</v>
      </c>
    </row>
    <row r="35612" customFormat="false" ht="12.8" hidden="false" customHeight="false" outlineLevel="0" collapsed="false">
      <c r="B35612" s="0" t="s">
        <v>124</v>
      </c>
    </row>
    <row r="35614" customFormat="false" ht="12.8" hidden="false" customHeight="false" outlineLevel="0" collapsed="false">
      <c r="A35614" s="0" t="s">
        <v>12997</v>
      </c>
      <c r="B35614" s="0" t="str">
        <f aca="false">HYPERLINK("https://lindat.mff.cuni.cz/services/teitok/pdtc10/index.php?action=vallex&amp;frame=v-whsa_329hsa_330", "přelétnout (v-whsa_329hsa_330) - substituted with v-whsa_329f1_ZU")</f>
        <v>přelétnout (v-whsa_329hsa_330) - substituted with v-whsa_329f1_ZU</v>
      </c>
    </row>
    <row r="35615" customFormat="false" ht="12.8" hidden="false" customHeight="false" outlineLevel="0" collapsed="false">
      <c r="B35615" s="0" t="s">
        <v>7</v>
      </c>
    </row>
    <row r="35616" customFormat="false" ht="12.8" hidden="false" customHeight="false" outlineLevel="0" collapsed="false">
      <c r="B35616" s="0" t="s">
        <v>459</v>
      </c>
    </row>
    <row r="35617" customFormat="false" ht="12.8" hidden="false" customHeight="false" outlineLevel="0" collapsed="false">
      <c r="B35617" s="0" t="s">
        <v>124</v>
      </c>
    </row>
    <row r="35619" customFormat="false" ht="12.8" hidden="false" customHeight="false" outlineLevel="0" collapsed="false">
      <c r="A35619" s="0" t="s">
        <v>12998</v>
      </c>
      <c r="B35619" s="0" t="str">
        <f aca="false">HYPERLINK("https://lindat.mff.cuni.cz/services/teitok/pdtc10/index.php?action=vallex&amp;frame=v-whsa_1578hsa_1579", "přelétávat (v-whsa_1578hsa_1579)")</f>
        <v>přelétávat (v-whsa_1578hsa_1579)</v>
      </c>
    </row>
    <row r="35620" customFormat="false" ht="12.8" hidden="false" customHeight="false" outlineLevel="0" collapsed="false">
      <c r="B35620" s="0" t="s">
        <v>7</v>
      </c>
    </row>
    <row r="35621" customFormat="false" ht="12.8" hidden="false" customHeight="false" outlineLevel="0" collapsed="false">
      <c r="B35621" s="0" t="s">
        <v>14</v>
      </c>
    </row>
    <row r="35623" customFormat="false" ht="12.8" hidden="false" customHeight="false" outlineLevel="0" collapsed="false">
      <c r="A35623" s="0" t="s">
        <v>12999</v>
      </c>
      <c r="B35623" s="0" t="str">
        <f aca="false">HYPERLINK("https://lindat.mff.cuni.cz/services/teitok/pdtc10/index.php?action=vallex&amp;frame=v-whsa_1578hsa_1580", "přelétávat (v-whsa_1578hsa_1580)")</f>
        <v>přelétávat (v-whsa_1578hsa_1580)</v>
      </c>
    </row>
    <row r="35624" customFormat="false" ht="12.8" hidden="false" customHeight="false" outlineLevel="0" collapsed="false">
      <c r="B35624" s="0" t="s">
        <v>7</v>
      </c>
    </row>
    <row r="35625" customFormat="false" ht="12.8" hidden="false" customHeight="false" outlineLevel="0" collapsed="false">
      <c r="B35625" s="0" t="s">
        <v>459</v>
      </c>
    </row>
    <row r="35626" customFormat="false" ht="12.8" hidden="false" customHeight="false" outlineLevel="0" collapsed="false">
      <c r="B35626" s="0" t="s">
        <v>124</v>
      </c>
    </row>
    <row r="35628" customFormat="false" ht="12.8" hidden="false" customHeight="false" outlineLevel="0" collapsed="false">
      <c r="A35628" s="0" t="s">
        <v>13000</v>
      </c>
      <c r="B35628" s="0" t="str">
        <f aca="false">HYPERLINK("https://lindat.mff.cuni.cz/services/teitok/pdtc10/index.php?action=vallex&amp;frame=v-w10847f2", "přelévat (v-w10847f2)")</f>
        <v>přelévat (v-w10847f2)</v>
      </c>
    </row>
    <row r="35629" customFormat="false" ht="12.8" hidden="false" customHeight="false" outlineLevel="0" collapsed="false">
      <c r="B35629" s="0" t="s">
        <v>7</v>
      </c>
      <c r="D35629" s="0" t="s">
        <v>4161</v>
      </c>
      <c r="E35629" s="0" t="s">
        <v>4161</v>
      </c>
      <c r="F35629" s="0" t="s">
        <v>4161</v>
      </c>
    </row>
    <row r="35630" customFormat="false" ht="12.8" hidden="false" customHeight="false" outlineLevel="0" collapsed="false">
      <c r="B35630" s="0" t="s">
        <v>14</v>
      </c>
      <c r="D35630" s="0" t="s">
        <v>8195</v>
      </c>
      <c r="E35630" s="0" t="s">
        <v>8195</v>
      </c>
      <c r="F35630" s="0" t="s">
        <v>8195</v>
      </c>
    </row>
    <row r="35631" customFormat="false" ht="12.8" hidden="false" customHeight="false" outlineLevel="0" collapsed="false">
      <c r="B35631" s="0" t="s">
        <v>459</v>
      </c>
    </row>
    <row r="35632" customFormat="false" ht="12.8" hidden="false" customHeight="false" outlineLevel="0" collapsed="false">
      <c r="B35632" s="0" t="s">
        <v>124</v>
      </c>
      <c r="D35632" s="0" t="s">
        <v>10830</v>
      </c>
      <c r="E35632" s="0" t="s">
        <v>10830</v>
      </c>
      <c r="F35632" s="0" t="s">
        <v>10830</v>
      </c>
    </row>
    <row r="35634" customFormat="false" ht="12.8" hidden="false" customHeight="false" outlineLevel="0" collapsed="false">
      <c r="A35634" s="0" t="s">
        <v>13001</v>
      </c>
      <c r="B35634" s="0" t="str">
        <f aca="false">HYPERLINK("https://lindat.mff.cuni.cz/services/teitok/pdtc10/index.php?action=vallex&amp;frame=v-whsa_1260hsa_1261", "přelévat se (v-whsa_1260hsa_1261)")</f>
        <v>přelévat se (v-whsa_1260hsa_1261)</v>
      </c>
    </row>
    <row r="35635" customFormat="false" ht="12.8" hidden="false" customHeight="false" outlineLevel="0" collapsed="false">
      <c r="B35635" s="0" t="s">
        <v>7</v>
      </c>
      <c r="C35635" s="0" t="s">
        <v>200</v>
      </c>
    </row>
    <row r="35636" customFormat="false" ht="12.8" hidden="false" customHeight="false" outlineLevel="0" collapsed="false">
      <c r="B35636" s="0" t="s">
        <v>459</v>
      </c>
    </row>
    <row r="35637" customFormat="false" ht="12.8" hidden="false" customHeight="false" outlineLevel="0" collapsed="false">
      <c r="B35637" s="0" t="s">
        <v>124</v>
      </c>
    </row>
    <row r="35639" customFormat="false" ht="12.8" hidden="false" customHeight="false" outlineLevel="0" collapsed="false">
      <c r="A35639" s="0" t="s">
        <v>13002</v>
      </c>
      <c r="B35639" s="0" t="str">
        <f aca="false">HYPERLINK("https://lindat.mff.cuni.cz/services/teitok/pdtc10/index.php?action=vallex&amp;frame=v-w4867f1", "přelézt (v-w4867f1)")</f>
        <v>přelézt (v-w4867f1)</v>
      </c>
    </row>
    <row r="35640" customFormat="false" ht="12.8" hidden="false" customHeight="false" outlineLevel="0" collapsed="false">
      <c r="B35640" s="0" t="s">
        <v>7</v>
      </c>
    </row>
    <row r="35641" customFormat="false" ht="12.8" hidden="false" customHeight="false" outlineLevel="0" collapsed="false">
      <c r="B35641" s="0" t="s">
        <v>14</v>
      </c>
    </row>
    <row r="35643" customFormat="false" ht="12.8" hidden="false" customHeight="false" outlineLevel="0" collapsed="false">
      <c r="A35643" s="0" t="s">
        <v>13003</v>
      </c>
      <c r="B35643" s="0" t="str">
        <f aca="false">HYPERLINK("https://lindat.mff.cuni.cz/services/teitok/pdtc10/index.php?action=vallex&amp;frame=v-w4867f3_ZU", "přelézt (v-w4867f3_ZU)")</f>
        <v>přelézt (v-w4867f3_ZU)</v>
      </c>
    </row>
    <row r="35644" customFormat="false" ht="12.8" hidden="false" customHeight="false" outlineLevel="0" collapsed="false">
      <c r="B35644" s="0" t="s">
        <v>7</v>
      </c>
    </row>
    <row r="35645" customFormat="false" ht="12.8" hidden="false" customHeight="false" outlineLevel="0" collapsed="false">
      <c r="B35645" s="0" t="s">
        <v>4324</v>
      </c>
    </row>
    <row r="35647" customFormat="false" ht="12.8" hidden="false" customHeight="false" outlineLevel="0" collapsed="false">
      <c r="A35647" s="0" t="s">
        <v>13003</v>
      </c>
      <c r="B35647" s="0" t="str">
        <f aca="false">HYPERLINK("https://lindat.mff.cuni.cz/services/teitok/pdtc10/index.php?action=vallex&amp;frame=v-w4867f2_ZU", "přelézt (v-w4867f2_ZU) - substituted with v-w4867f3_ZU")</f>
        <v>přelézt (v-w4867f2_ZU) - substituted with v-w4867f3_ZU</v>
      </c>
    </row>
    <row r="35648" customFormat="false" ht="12.8" hidden="false" customHeight="false" outlineLevel="0" collapsed="false">
      <c r="B35648" s="0" t="s">
        <v>7</v>
      </c>
    </row>
    <row r="35649" customFormat="false" ht="12.8" hidden="false" customHeight="false" outlineLevel="0" collapsed="false">
      <c r="B35649" s="0" t="s">
        <v>4324</v>
      </c>
    </row>
    <row r="35651" customFormat="false" ht="12.8" hidden="false" customHeight="false" outlineLevel="0" collapsed="false">
      <c r="A35651" s="0" t="s">
        <v>13004</v>
      </c>
      <c r="B35651" s="0" t="str">
        <f aca="false">HYPERLINK("https://lindat.mff.cuni.cz/services/teitok/pdtc10/index.php?action=vallex&amp;frame=v-w4871f1", "přelít (v-w4871f1)")</f>
        <v>přelít (v-w4871f1)</v>
      </c>
    </row>
    <row r="35652" customFormat="false" ht="12.8" hidden="false" customHeight="false" outlineLevel="0" collapsed="false">
      <c r="B35652" s="0" t="s">
        <v>7</v>
      </c>
      <c r="C35652" s="0" t="s">
        <v>4136</v>
      </c>
      <c r="D35652" s="0" t="s">
        <v>4161</v>
      </c>
      <c r="E35652" s="0" t="s">
        <v>4161</v>
      </c>
      <c r="F35652" s="0" t="s">
        <v>4161</v>
      </c>
    </row>
    <row r="35653" customFormat="false" ht="12.8" hidden="false" customHeight="false" outlineLevel="0" collapsed="false">
      <c r="B35653" s="0" t="s">
        <v>14</v>
      </c>
      <c r="C35653" s="0" t="s">
        <v>469</v>
      </c>
      <c r="D35653" s="0" t="s">
        <v>8195</v>
      </c>
      <c r="E35653" s="0" t="s">
        <v>8195</v>
      </c>
      <c r="F35653" s="0" t="s">
        <v>8195</v>
      </c>
    </row>
    <row r="35654" customFormat="false" ht="12.8" hidden="false" customHeight="false" outlineLevel="0" collapsed="false">
      <c r="B35654" s="0" t="s">
        <v>459</v>
      </c>
    </row>
    <row r="35655" customFormat="false" ht="12.8" hidden="false" customHeight="false" outlineLevel="0" collapsed="false">
      <c r="B35655" s="0" t="s">
        <v>124</v>
      </c>
      <c r="D35655" s="0" t="s">
        <v>10830</v>
      </c>
      <c r="E35655" s="0" t="s">
        <v>10830</v>
      </c>
      <c r="F35655" s="0" t="s">
        <v>10830</v>
      </c>
    </row>
    <row r="35657" customFormat="false" ht="12.8" hidden="false" customHeight="false" outlineLevel="0" collapsed="false">
      <c r="A35657" s="0" t="s">
        <v>13005</v>
      </c>
      <c r="B35657" s="0" t="str">
        <f aca="false">HYPERLINK("https://lindat.mff.cuni.cz/services/teitok/pdtc10/index.php?action=vallex&amp;frame=v-whsa_1287f1_ZU", "přelítnout (v-whsa_1287f1_ZU)")</f>
        <v>přelítnout (v-whsa_1287f1_ZU)</v>
      </c>
    </row>
    <row r="35658" customFormat="false" ht="12.8" hidden="false" customHeight="false" outlineLevel="0" collapsed="false">
      <c r="B35658" s="0" t="s">
        <v>7</v>
      </c>
    </row>
    <row r="35659" customFormat="false" ht="12.8" hidden="false" customHeight="false" outlineLevel="0" collapsed="false">
      <c r="B35659" s="0" t="s">
        <v>459</v>
      </c>
    </row>
    <row r="35660" customFormat="false" ht="12.8" hidden="false" customHeight="false" outlineLevel="0" collapsed="false">
      <c r="B35660" s="0" t="s">
        <v>124</v>
      </c>
    </row>
    <row r="35662" customFormat="false" ht="12.8" hidden="false" customHeight="false" outlineLevel="0" collapsed="false">
      <c r="A35662" s="0" t="s">
        <v>13005</v>
      </c>
      <c r="B35662" s="0" t="str">
        <f aca="false">HYPERLINK("https://lindat.mff.cuni.cz/services/teitok/pdtc10/index.php?action=vallex&amp;frame=v-whsa_1287hsa_1288", "přelítnout (v-whsa_1287hsa_1288) - substituted with v-whsa_1287f1_ZU")</f>
        <v>přelítnout (v-whsa_1287hsa_1288) - substituted with v-whsa_1287f1_ZU</v>
      </c>
    </row>
    <row r="35663" customFormat="false" ht="12.8" hidden="false" customHeight="false" outlineLevel="0" collapsed="false">
      <c r="B35663" s="0" t="s">
        <v>7</v>
      </c>
    </row>
    <row r="35664" customFormat="false" ht="12.8" hidden="false" customHeight="false" outlineLevel="0" collapsed="false">
      <c r="B35664" s="0" t="s">
        <v>459</v>
      </c>
    </row>
    <row r="35665" customFormat="false" ht="12.8" hidden="false" customHeight="false" outlineLevel="0" collapsed="false">
      <c r="B35665" s="0" t="s">
        <v>124</v>
      </c>
    </row>
    <row r="35667" customFormat="false" ht="12.8" hidden="false" customHeight="false" outlineLevel="0" collapsed="false">
      <c r="A35667" s="0" t="s">
        <v>13006</v>
      </c>
      <c r="B35667" s="0" t="str">
        <f aca="false">HYPERLINK("https://lindat.mff.cuni.cz/services/teitok/pdtc10/index.php?action=vallex&amp;frame=v-w10560f2", "přemalovat (v-w10560f2)")</f>
        <v>přemalovat (v-w10560f2)</v>
      </c>
    </row>
    <row r="35668" customFormat="false" ht="12.8" hidden="false" customHeight="false" outlineLevel="0" collapsed="false">
      <c r="B35668" s="0" t="s">
        <v>7</v>
      </c>
      <c r="D35668" s="0" t="s">
        <v>32</v>
      </c>
      <c r="E35668" s="0" t="s">
        <v>32</v>
      </c>
      <c r="F35668" s="0" t="s">
        <v>32</v>
      </c>
    </row>
    <row r="35669" customFormat="false" ht="12.8" hidden="false" customHeight="false" outlineLevel="0" collapsed="false">
      <c r="B35669" s="0" t="s">
        <v>14</v>
      </c>
      <c r="D35669" s="0" t="s">
        <v>34</v>
      </c>
      <c r="E35669" s="0" t="s">
        <v>34</v>
      </c>
      <c r="F35669" s="0" t="s">
        <v>34</v>
      </c>
    </row>
    <row r="35670" customFormat="false" ht="12.8" hidden="false" customHeight="false" outlineLevel="0" collapsed="false">
      <c r="B35670" s="0" t="s">
        <v>35</v>
      </c>
      <c r="D35670" s="0" t="s">
        <v>36</v>
      </c>
      <c r="E35670" s="0" t="s">
        <v>36</v>
      </c>
      <c r="F35670" s="0" t="s">
        <v>36</v>
      </c>
    </row>
    <row r="35671" customFormat="false" ht="12.8" hidden="false" customHeight="false" outlineLevel="0" collapsed="false">
      <c r="B35671" s="0" t="s">
        <v>84</v>
      </c>
      <c r="D35671" s="0" t="s">
        <v>39</v>
      </c>
      <c r="E35671" s="0" t="s">
        <v>39</v>
      </c>
      <c r="F35671" s="0" t="s">
        <v>39</v>
      </c>
    </row>
    <row r="35673" customFormat="false" ht="12.8" hidden="false" customHeight="false" outlineLevel="0" collapsed="false">
      <c r="A35673" s="0" t="s">
        <v>13007</v>
      </c>
      <c r="B35673" s="0" t="str">
        <f aca="false">HYPERLINK("https://lindat.mff.cuni.cz/services/teitok/pdtc10/index.php?action=vallex&amp;frame=v-w4884f1", "přemisťovat (v-w4884f1)")</f>
        <v>přemisťovat (v-w4884f1)</v>
      </c>
    </row>
    <row r="35674" customFormat="false" ht="12.8" hidden="false" customHeight="false" outlineLevel="0" collapsed="false">
      <c r="B35674" s="0" t="s">
        <v>7</v>
      </c>
      <c r="C35674" s="0" t="s">
        <v>4136</v>
      </c>
      <c r="D35674" s="0" t="s">
        <v>12987</v>
      </c>
      <c r="E35674" s="0" t="s">
        <v>12987</v>
      </c>
      <c r="F35674" s="0" t="s">
        <v>12987</v>
      </c>
    </row>
    <row r="35675" customFormat="false" ht="12.8" hidden="false" customHeight="false" outlineLevel="0" collapsed="false">
      <c r="B35675" s="0" t="s">
        <v>14</v>
      </c>
      <c r="C35675" s="0" t="s">
        <v>469</v>
      </c>
      <c r="D35675" s="0" t="s">
        <v>11535</v>
      </c>
      <c r="E35675" s="0" t="s">
        <v>11535</v>
      </c>
      <c r="F35675" s="0" t="s">
        <v>11535</v>
      </c>
    </row>
    <row r="35676" customFormat="false" ht="12.8" hidden="false" customHeight="false" outlineLevel="0" collapsed="false">
      <c r="B35676" s="0" t="s">
        <v>459</v>
      </c>
    </row>
    <row r="35677" customFormat="false" ht="12.8" hidden="false" customHeight="false" outlineLevel="0" collapsed="false">
      <c r="B35677" s="0" t="s">
        <v>124</v>
      </c>
      <c r="D35677" s="0" t="s">
        <v>12989</v>
      </c>
      <c r="E35677" s="0" t="s">
        <v>12989</v>
      </c>
      <c r="F35677" s="0" t="s">
        <v>12989</v>
      </c>
    </row>
    <row r="35679" customFormat="false" ht="12.8" hidden="false" customHeight="false" outlineLevel="0" collapsed="false">
      <c r="A35679" s="0" t="s">
        <v>13008</v>
      </c>
      <c r="B35679" s="0" t="str">
        <f aca="false">HYPERLINK("https://lindat.mff.cuni.cz/services/teitok/pdtc10/index.php?action=vallex&amp;frame=v-w4887f1", "přemlouvat (v-w4887f1)")</f>
        <v>přemlouvat (v-w4887f1)</v>
      </c>
    </row>
    <row r="35680" customFormat="false" ht="12.8" hidden="false" customHeight="false" outlineLevel="0" collapsed="false">
      <c r="B35680" s="0" t="s">
        <v>7</v>
      </c>
      <c r="C35680" s="0" t="s">
        <v>460</v>
      </c>
    </row>
    <row r="35681" customFormat="false" ht="12.8" hidden="false" customHeight="false" outlineLevel="0" collapsed="false">
      <c r="B35681" s="0" t="s">
        <v>81</v>
      </c>
      <c r="C35681" s="0" t="s">
        <v>13009</v>
      </c>
    </row>
    <row r="35682" customFormat="false" ht="12.8" hidden="false" customHeight="false" outlineLevel="0" collapsed="false">
      <c r="B35682" s="0" t="s">
        <v>13010</v>
      </c>
      <c r="C35682" s="0" t="s">
        <v>7595</v>
      </c>
    </row>
    <row r="35684" customFormat="false" ht="12.8" hidden="false" customHeight="false" outlineLevel="0" collapsed="false">
      <c r="A35684" s="0" t="s">
        <v>13011</v>
      </c>
      <c r="B35684" s="0" t="str">
        <f aca="false">HYPERLINK("https://lindat.mff.cuni.cz/services/teitok/pdtc10/index.php?action=vallex&amp;frame=v-w4888f1", "přemluvit (v-w4888f1)")</f>
        <v>přemluvit (v-w4888f1)</v>
      </c>
    </row>
    <row r="35685" customFormat="false" ht="12.8" hidden="false" customHeight="false" outlineLevel="0" collapsed="false">
      <c r="B35685" s="0" t="s">
        <v>7</v>
      </c>
      <c r="C35685" s="0" t="s">
        <v>46</v>
      </c>
      <c r="D35685" s="0" t="s">
        <v>2041</v>
      </c>
      <c r="E35685" s="0" t="s">
        <v>2041</v>
      </c>
      <c r="F35685" s="0" t="s">
        <v>2041</v>
      </c>
    </row>
    <row r="35686" customFormat="false" ht="12.8" hidden="false" customHeight="false" outlineLevel="0" collapsed="false">
      <c r="B35686" s="0" t="s">
        <v>81</v>
      </c>
      <c r="C35686" s="0" t="s">
        <v>3426</v>
      </c>
      <c r="D35686" s="0" t="s">
        <v>2045</v>
      </c>
      <c r="E35686" s="0" t="s">
        <v>2045</v>
      </c>
      <c r="F35686" s="0" t="s">
        <v>2045</v>
      </c>
    </row>
    <row r="35687" customFormat="false" ht="12.8" hidden="false" customHeight="false" outlineLevel="0" collapsed="false">
      <c r="B35687" s="0" t="s">
        <v>13010</v>
      </c>
      <c r="C35687" s="0" t="s">
        <v>3427</v>
      </c>
      <c r="D35687" s="0" t="s">
        <v>2043</v>
      </c>
      <c r="E35687" s="0" t="s">
        <v>2043</v>
      </c>
      <c r="F35687" s="0" t="s">
        <v>2043</v>
      </c>
    </row>
    <row r="35689" customFormat="false" ht="12.8" hidden="false" customHeight="false" outlineLevel="0" collapsed="false">
      <c r="A35689" s="0" t="s">
        <v>13012</v>
      </c>
      <c r="B35689" s="0" t="str">
        <f aca="false">HYPERLINK("https://lindat.mff.cuni.cz/services/teitok/pdtc10/index.php?action=vallex&amp;frame=v-w11831_ZUf1_ZU", "přemnožit se (v-w11831_ZUf1_ZU)")</f>
        <v>přemnožit se (v-w11831_ZUf1_ZU)</v>
      </c>
    </row>
    <row r="35690" customFormat="false" ht="12.8" hidden="false" customHeight="false" outlineLevel="0" collapsed="false">
      <c r="B35690" s="0" t="s">
        <v>7</v>
      </c>
    </row>
    <row r="35692" customFormat="false" ht="12.8" hidden="false" customHeight="false" outlineLevel="0" collapsed="false">
      <c r="A35692" s="0" t="s">
        <v>13013</v>
      </c>
      <c r="B35692" s="0" t="str">
        <f aca="false">HYPERLINK("https://lindat.mff.cuni.cz/services/teitok/pdtc10/index.php?action=vallex&amp;frame=v-w4889f1", "přemoci (v-w4889f1)")</f>
        <v>přemoci (v-w4889f1)</v>
      </c>
    </row>
    <row r="35693" customFormat="false" ht="12.8" hidden="false" customHeight="false" outlineLevel="0" collapsed="false">
      <c r="B35693" s="0" t="s">
        <v>7</v>
      </c>
      <c r="C35693" s="0" t="s">
        <v>460</v>
      </c>
    </row>
    <row r="35694" customFormat="false" ht="12.8" hidden="false" customHeight="false" outlineLevel="0" collapsed="false">
      <c r="B35694" s="0" t="s">
        <v>14</v>
      </c>
      <c r="C35694" s="0" t="s">
        <v>78</v>
      </c>
    </row>
    <row r="35696" customFormat="false" ht="12.8" hidden="false" customHeight="false" outlineLevel="0" collapsed="false">
      <c r="A35696" s="0" t="s">
        <v>13014</v>
      </c>
      <c r="B35696" s="0" t="str">
        <f aca="false">HYPERLINK("https://lindat.mff.cuni.cz/services/teitok/pdtc10/index.php?action=vallex&amp;frame=v-w4891f1", "přemostit (v-w4891f1)")</f>
        <v>přemostit (v-w4891f1)</v>
      </c>
    </row>
    <row r="35697" customFormat="false" ht="12.8" hidden="false" customHeight="false" outlineLevel="0" collapsed="false">
      <c r="B35697" s="0" t="s">
        <v>7</v>
      </c>
    </row>
    <row r="35698" customFormat="false" ht="12.8" hidden="false" customHeight="false" outlineLevel="0" collapsed="false">
      <c r="B35698" s="0" t="s">
        <v>14</v>
      </c>
    </row>
    <row r="35700" customFormat="false" ht="12.8" hidden="false" customHeight="false" outlineLevel="0" collapsed="false">
      <c r="A35700" s="0" t="s">
        <v>13015</v>
      </c>
      <c r="B35700" s="0" t="str">
        <f aca="false">HYPERLINK("https://lindat.mff.cuni.cz/services/teitok/pdtc10/index.php?action=vallex&amp;frame=v-whsa_1050hsa_1051", "přemáhat se (v-whsa_1050hsa_1051)")</f>
        <v>přemáhat se (v-whsa_1050hsa_1051)</v>
      </c>
    </row>
    <row r="35701" customFormat="false" ht="12.8" hidden="false" customHeight="false" outlineLevel="0" collapsed="false">
      <c r="B35701" s="0" t="s">
        <v>7</v>
      </c>
    </row>
    <row r="35703" customFormat="false" ht="12.8" hidden="false" customHeight="false" outlineLevel="0" collapsed="false">
      <c r="A35703" s="0" t="s">
        <v>13016</v>
      </c>
      <c r="B35703" s="0" t="str">
        <f aca="false">HYPERLINK("https://lindat.mff.cuni.cz/services/teitok/pdtc10/index.php?action=vallex&amp;frame=v-w4881f1", "přemístit (v-w4881f1)")</f>
        <v>přemístit (v-w4881f1)</v>
      </c>
    </row>
    <row r="35704" customFormat="false" ht="12.8" hidden="false" customHeight="false" outlineLevel="0" collapsed="false">
      <c r="B35704" s="0" t="s">
        <v>7</v>
      </c>
      <c r="C35704" s="0" t="s">
        <v>4136</v>
      </c>
      <c r="D35704" s="0" t="s">
        <v>12987</v>
      </c>
      <c r="E35704" s="0" t="s">
        <v>12987</v>
      </c>
      <c r="F35704" s="0" t="s">
        <v>12987</v>
      </c>
    </row>
    <row r="35705" customFormat="false" ht="12.8" hidden="false" customHeight="false" outlineLevel="0" collapsed="false">
      <c r="B35705" s="0" t="s">
        <v>14</v>
      </c>
      <c r="C35705" s="0" t="s">
        <v>469</v>
      </c>
      <c r="D35705" s="0" t="s">
        <v>11535</v>
      </c>
      <c r="E35705" s="0" t="s">
        <v>11535</v>
      </c>
      <c r="F35705" s="0" t="s">
        <v>11535</v>
      </c>
    </row>
    <row r="35706" customFormat="false" ht="12.8" hidden="false" customHeight="false" outlineLevel="0" collapsed="false">
      <c r="B35706" s="0" t="s">
        <v>459</v>
      </c>
    </row>
    <row r="35707" customFormat="false" ht="12.8" hidden="false" customHeight="false" outlineLevel="0" collapsed="false">
      <c r="B35707" s="0" t="s">
        <v>124</v>
      </c>
      <c r="D35707" s="0" t="s">
        <v>12989</v>
      </c>
      <c r="E35707" s="0" t="s">
        <v>12989</v>
      </c>
      <c r="F35707" s="0" t="s">
        <v>12989</v>
      </c>
    </row>
    <row r="35709" customFormat="false" ht="12.8" hidden="false" customHeight="false" outlineLevel="0" collapsed="false">
      <c r="A35709" s="0" t="s">
        <v>13017</v>
      </c>
      <c r="B35709" s="0" t="str">
        <f aca="false">HYPERLINK("https://lindat.mff.cuni.cz/services/teitok/pdtc10/index.php?action=vallex&amp;frame=v-w4881f2", "přemístit (v-w4881f2)")</f>
        <v>přemístit (v-w4881f2)</v>
      </c>
    </row>
    <row r="35710" customFormat="false" ht="12.8" hidden="false" customHeight="false" outlineLevel="0" collapsed="false">
      <c r="B35710" s="0" t="s">
        <v>7</v>
      </c>
      <c r="C35710" s="0" t="s">
        <v>4136</v>
      </c>
      <c r="D35710" s="0" t="s">
        <v>12987</v>
      </c>
      <c r="E35710" s="0" t="s">
        <v>12987</v>
      </c>
      <c r="F35710" s="0" t="s">
        <v>12987</v>
      </c>
    </row>
    <row r="35711" customFormat="false" ht="12.8" hidden="false" customHeight="false" outlineLevel="0" collapsed="false">
      <c r="B35711" s="0" t="s">
        <v>14</v>
      </c>
      <c r="C35711" s="0" t="s">
        <v>2394</v>
      </c>
      <c r="D35711" s="0" t="s">
        <v>11535</v>
      </c>
      <c r="E35711" s="0" t="s">
        <v>11535</v>
      </c>
      <c r="F35711" s="0" t="s">
        <v>11535</v>
      </c>
    </row>
    <row r="35712" customFormat="false" ht="12.8" hidden="false" customHeight="false" outlineLevel="0" collapsed="false">
      <c r="B35712" s="0" t="s">
        <v>459</v>
      </c>
    </row>
    <row r="35713" customFormat="false" ht="12.8" hidden="false" customHeight="false" outlineLevel="0" collapsed="false">
      <c r="B35713" s="0" t="s">
        <v>124</v>
      </c>
      <c r="C35713" s="0" t="s">
        <v>4127</v>
      </c>
      <c r="D35713" s="0" t="s">
        <v>12989</v>
      </c>
      <c r="E35713" s="0" t="s">
        <v>12989</v>
      </c>
      <c r="F35713" s="0" t="s">
        <v>12989</v>
      </c>
    </row>
    <row r="35715" customFormat="false" ht="12.8" hidden="false" customHeight="false" outlineLevel="0" collapsed="false">
      <c r="A35715" s="0" t="s">
        <v>13018</v>
      </c>
      <c r="B35715" s="0" t="str">
        <f aca="false">HYPERLINK("https://lindat.mff.cuni.cz/services/teitok/pdtc10/index.php?action=vallex&amp;frame=v-w4882f1", "přemístit se (v-w4882f1)")</f>
        <v>přemístit se (v-w4882f1)</v>
      </c>
    </row>
    <row r="35716" customFormat="false" ht="12.8" hidden="false" customHeight="false" outlineLevel="0" collapsed="false">
      <c r="B35716" s="0" t="s">
        <v>7</v>
      </c>
      <c r="C35716" s="0" t="s">
        <v>16</v>
      </c>
      <c r="D35716" s="0" t="s">
        <v>3856</v>
      </c>
      <c r="E35716" s="0" t="s">
        <v>3856</v>
      </c>
      <c r="F35716" s="0" t="s">
        <v>3856</v>
      </c>
    </row>
    <row r="35717" customFormat="false" ht="12.8" hidden="false" customHeight="false" outlineLevel="0" collapsed="false">
      <c r="B35717" s="0" t="s">
        <v>459</v>
      </c>
    </row>
    <row r="35718" customFormat="false" ht="12.8" hidden="false" customHeight="false" outlineLevel="0" collapsed="false">
      <c r="B35718" s="0" t="s">
        <v>124</v>
      </c>
    </row>
    <row r="35720" customFormat="false" ht="12.8" hidden="false" customHeight="false" outlineLevel="0" collapsed="false">
      <c r="A35720" s="0" t="s">
        <v>13019</v>
      </c>
      <c r="B35720" s="0" t="str">
        <f aca="false">HYPERLINK("https://lindat.mff.cuni.cz/services/teitok/pdtc10/index.php?action=vallex&amp;frame=v-w4886f1", "přemítat (v-w4886f1)")</f>
        <v>přemítat (v-w4886f1)</v>
      </c>
    </row>
    <row r="35721" customFormat="false" ht="12.8" hidden="false" customHeight="false" outlineLevel="0" collapsed="false">
      <c r="B35721" s="0" t="s">
        <v>7</v>
      </c>
      <c r="C35721" s="0" t="s">
        <v>460</v>
      </c>
      <c r="D35721" s="0" t="s">
        <v>515</v>
      </c>
      <c r="E35721" s="0" t="s">
        <v>515</v>
      </c>
      <c r="F35721" s="0" t="s">
        <v>515</v>
      </c>
    </row>
    <row r="35722" customFormat="false" ht="12.8" hidden="false" customHeight="false" outlineLevel="0" collapsed="false">
      <c r="B35722" s="0" t="s">
        <v>5358</v>
      </c>
      <c r="C35722" s="0" t="s">
        <v>1170</v>
      </c>
      <c r="D35722" s="0" t="s">
        <v>519</v>
      </c>
      <c r="E35722" s="0" t="s">
        <v>519</v>
      </c>
      <c r="F35722" s="0" t="s">
        <v>519</v>
      </c>
    </row>
    <row r="35724" customFormat="false" ht="12.8" hidden="false" customHeight="false" outlineLevel="0" collapsed="false">
      <c r="A35724" s="0" t="s">
        <v>13020</v>
      </c>
      <c r="B35724" s="0" t="str">
        <f aca="false">HYPERLINK("https://lindat.mff.cuni.cz/services/teitok/pdtc10/index.php?action=vallex&amp;frame=v-w4895f1", "přemýšlet (v-w4895f1)")</f>
        <v>přemýšlet (v-w4895f1)</v>
      </c>
    </row>
    <row r="35725" customFormat="false" ht="12.8" hidden="false" customHeight="false" outlineLevel="0" collapsed="false">
      <c r="B35725" s="0" t="s">
        <v>7</v>
      </c>
      <c r="C35725" s="0" t="s">
        <v>13021</v>
      </c>
      <c r="D35725" s="0" t="s">
        <v>13022</v>
      </c>
      <c r="E35725" s="0" t="s">
        <v>13022</v>
      </c>
      <c r="F35725" s="0" t="s">
        <v>13022</v>
      </c>
    </row>
    <row r="35726" customFormat="false" ht="12.8" hidden="false" customHeight="false" outlineLevel="0" collapsed="false">
      <c r="B35726" s="0" t="s">
        <v>2922</v>
      </c>
      <c r="C35726" s="0" t="s">
        <v>13023</v>
      </c>
      <c r="D35726" s="0" t="s">
        <v>13024</v>
      </c>
      <c r="E35726" s="0" t="s">
        <v>13024</v>
      </c>
      <c r="F35726" s="0" t="s">
        <v>13024</v>
      </c>
    </row>
    <row r="35728" customFormat="false" ht="12.8" hidden="false" customHeight="false" outlineLevel="0" collapsed="false">
      <c r="A35728" s="0" t="s">
        <v>13025</v>
      </c>
      <c r="B35728" s="0" t="str">
        <f aca="false">HYPERLINK("https://lindat.mff.cuni.cz/services/teitok/pdtc10/index.php?action=vallex&amp;frame=v-w4877f1", "přeměnit (v-w4877f1)")</f>
        <v>přeměnit (v-w4877f1)</v>
      </c>
    </row>
    <row r="35729" customFormat="false" ht="12.8" hidden="false" customHeight="false" outlineLevel="0" collapsed="false">
      <c r="B35729" s="0" t="s">
        <v>7</v>
      </c>
      <c r="C35729" s="0" t="s">
        <v>8623</v>
      </c>
      <c r="D35729" s="0" t="s">
        <v>32</v>
      </c>
      <c r="E35729" s="0" t="s">
        <v>32</v>
      </c>
      <c r="F35729" s="0" t="s">
        <v>32</v>
      </c>
    </row>
    <row r="35730" customFormat="false" ht="12.8" hidden="false" customHeight="false" outlineLevel="0" collapsed="false">
      <c r="B35730" s="0" t="s">
        <v>14</v>
      </c>
      <c r="C35730" s="0" t="s">
        <v>13026</v>
      </c>
      <c r="D35730" s="0" t="s">
        <v>34</v>
      </c>
      <c r="E35730" s="0" t="s">
        <v>34</v>
      </c>
      <c r="F35730" s="0" t="s">
        <v>34</v>
      </c>
    </row>
    <row r="35731" customFormat="false" ht="12.8" hidden="false" customHeight="false" outlineLevel="0" collapsed="false">
      <c r="B35731" s="0" t="s">
        <v>35</v>
      </c>
      <c r="C35731" s="0" t="s">
        <v>6197</v>
      </c>
      <c r="D35731" s="0" t="s">
        <v>36</v>
      </c>
      <c r="E35731" s="0" t="s">
        <v>36</v>
      </c>
      <c r="F35731" s="0" t="s">
        <v>36</v>
      </c>
    </row>
    <row r="35732" customFormat="false" ht="12.8" hidden="false" customHeight="false" outlineLevel="0" collapsed="false">
      <c r="B35732" s="0" t="s">
        <v>9483</v>
      </c>
      <c r="C35732" s="0" t="s">
        <v>13027</v>
      </c>
      <c r="D35732" s="0" t="s">
        <v>39</v>
      </c>
      <c r="E35732" s="0" t="s">
        <v>39</v>
      </c>
      <c r="F35732" s="0" t="s">
        <v>39</v>
      </c>
    </row>
    <row r="35734" customFormat="false" ht="12.8" hidden="false" customHeight="false" outlineLevel="0" collapsed="false">
      <c r="A35734" s="0" t="s">
        <v>13028</v>
      </c>
      <c r="B35734" s="0" t="str">
        <f aca="false">HYPERLINK("https://lindat.mff.cuni.cz/services/teitok/pdtc10/index.php?action=vallex&amp;frame=v-w11554_ZUf1_ZU", "přeměnit se (v-w11554_ZUf1_ZU)")</f>
        <v>přeměnit se (v-w11554_ZUf1_ZU)</v>
      </c>
    </row>
    <row r="35735" customFormat="false" ht="12.8" hidden="false" customHeight="false" outlineLevel="0" collapsed="false">
      <c r="B35735" s="0" t="s">
        <v>7</v>
      </c>
      <c r="C35735" s="0" t="s">
        <v>13029</v>
      </c>
      <c r="D35735" s="0" t="s">
        <v>6207</v>
      </c>
      <c r="E35735" s="0" t="s">
        <v>6207</v>
      </c>
      <c r="F35735" s="0" t="s">
        <v>6208</v>
      </c>
    </row>
    <row r="35736" customFormat="false" ht="12.8" hidden="false" customHeight="false" outlineLevel="0" collapsed="false">
      <c r="B35736" s="0" t="s">
        <v>13030</v>
      </c>
      <c r="C35736" s="0" t="s">
        <v>13031</v>
      </c>
      <c r="D35736" s="0" t="s">
        <v>6211</v>
      </c>
      <c r="E35736" s="0" t="s">
        <v>6211</v>
      </c>
      <c r="F35736" s="0" t="s">
        <v>6212</v>
      </c>
    </row>
    <row r="35737" customFormat="false" ht="12.8" hidden="false" customHeight="false" outlineLevel="0" collapsed="false">
      <c r="B35737" s="0" t="s">
        <v>35</v>
      </c>
      <c r="C35737" s="0" t="s">
        <v>11969</v>
      </c>
      <c r="D35737" s="0" t="s">
        <v>6214</v>
      </c>
      <c r="E35737" s="0" t="s">
        <v>6214</v>
      </c>
      <c r="F35737" s="0" t="s">
        <v>6215</v>
      </c>
    </row>
    <row r="35739" customFormat="false" ht="12.8" hidden="false" customHeight="false" outlineLevel="0" collapsed="false">
      <c r="A35739" s="0" t="s">
        <v>13032</v>
      </c>
      <c r="B35739" s="0" t="str">
        <f aca="false">HYPERLINK("https://lindat.mff.cuni.cz/services/teitok/pdtc10/index.php?action=vallex&amp;frame=v-w4878f1", "přeměňovat (v-w4878f1)")</f>
        <v>přeměňovat (v-w4878f1)</v>
      </c>
    </row>
    <row r="35740" customFormat="false" ht="12.8" hidden="false" customHeight="false" outlineLevel="0" collapsed="false">
      <c r="B35740" s="0" t="s">
        <v>7</v>
      </c>
      <c r="D35740" s="0" t="s">
        <v>32</v>
      </c>
      <c r="E35740" s="0" t="s">
        <v>32</v>
      </c>
      <c r="F35740" s="0" t="s">
        <v>32</v>
      </c>
    </row>
    <row r="35741" customFormat="false" ht="12.8" hidden="false" customHeight="false" outlineLevel="0" collapsed="false">
      <c r="B35741" s="0" t="s">
        <v>14</v>
      </c>
      <c r="D35741" s="0" t="s">
        <v>34</v>
      </c>
      <c r="E35741" s="0" t="s">
        <v>34</v>
      </c>
      <c r="F35741" s="0" t="s">
        <v>34</v>
      </c>
    </row>
    <row r="35742" customFormat="false" ht="12.8" hidden="false" customHeight="false" outlineLevel="0" collapsed="false">
      <c r="B35742" s="0" t="s">
        <v>35</v>
      </c>
      <c r="D35742" s="0" t="s">
        <v>36</v>
      </c>
      <c r="E35742" s="0" t="s">
        <v>36</v>
      </c>
      <c r="F35742" s="0" t="s">
        <v>36</v>
      </c>
    </row>
    <row r="35743" customFormat="false" ht="12.8" hidden="false" customHeight="false" outlineLevel="0" collapsed="false">
      <c r="B35743" s="0" t="s">
        <v>9483</v>
      </c>
      <c r="D35743" s="0" t="s">
        <v>39</v>
      </c>
      <c r="E35743" s="0" t="s">
        <v>39</v>
      </c>
      <c r="F35743" s="0" t="s">
        <v>39</v>
      </c>
    </row>
    <row r="35745" customFormat="false" ht="12.8" hidden="false" customHeight="false" outlineLevel="0" collapsed="false">
      <c r="A35745" s="0" t="s">
        <v>13033</v>
      </c>
      <c r="B35745" s="0" t="str">
        <f aca="false">HYPERLINK("https://lindat.mff.cuni.cz/services/teitok/pdtc10/index.php?action=vallex&amp;frame=v-w4879f1", "přeměřit (v-w4879f1)")</f>
        <v>přeměřit (v-w4879f1)</v>
      </c>
    </row>
    <row r="35746" customFormat="false" ht="12.8" hidden="false" customHeight="false" outlineLevel="0" collapsed="false">
      <c r="B35746" s="0" t="s">
        <v>7</v>
      </c>
    </row>
    <row r="35747" customFormat="false" ht="12.8" hidden="false" customHeight="false" outlineLevel="0" collapsed="false">
      <c r="B35747" s="0" t="s">
        <v>14</v>
      </c>
    </row>
    <row r="35749" customFormat="false" ht="12.8" hidden="false" customHeight="false" outlineLevel="0" collapsed="false">
      <c r="A35749" s="0" t="s">
        <v>13034</v>
      </c>
      <c r="B35749" s="0" t="str">
        <f aca="false">HYPERLINK("https://lindat.mff.cuni.cz/services/teitok/pdtc10/index.php?action=vallex&amp;frame=v-w11555_ZUf1_ZU", "přeměřovat (v-w11555_ZUf1_ZU)")</f>
        <v>přeměřovat (v-w11555_ZUf1_ZU)</v>
      </c>
    </row>
    <row r="35750" customFormat="false" ht="12.8" hidden="false" customHeight="false" outlineLevel="0" collapsed="false">
      <c r="B35750" s="0" t="s">
        <v>7</v>
      </c>
      <c r="D35750" s="0" t="s">
        <v>428</v>
      </c>
      <c r="E35750" s="0" t="s">
        <v>428</v>
      </c>
      <c r="F35750" s="0" t="s">
        <v>428</v>
      </c>
    </row>
    <row r="35751" customFormat="false" ht="12.8" hidden="false" customHeight="false" outlineLevel="0" collapsed="false">
      <c r="B35751" s="0" t="s">
        <v>14</v>
      </c>
      <c r="D35751" s="0" t="s">
        <v>7622</v>
      </c>
      <c r="E35751" s="0" t="s">
        <v>7622</v>
      </c>
      <c r="F35751" s="0" t="s">
        <v>7622</v>
      </c>
    </row>
    <row r="35753" customFormat="false" ht="12.8" hidden="false" customHeight="false" outlineLevel="0" collapsed="false">
      <c r="A35753" s="0" t="s">
        <v>13035</v>
      </c>
      <c r="B35753" s="0" t="str">
        <f aca="false">HYPERLINK("https://lindat.mff.cuni.cz/services/teitok/pdtc10/index.php?action=vallex&amp;frame=v-whsa_1434f1_ZU", "přendat (v-whsa_1434f1_ZU)")</f>
        <v>přendat (v-whsa_1434f1_ZU)</v>
      </c>
    </row>
    <row r="35754" customFormat="false" ht="12.8" hidden="false" customHeight="false" outlineLevel="0" collapsed="false">
      <c r="B35754" s="0" t="s">
        <v>7</v>
      </c>
    </row>
    <row r="35755" customFormat="false" ht="12.8" hidden="false" customHeight="false" outlineLevel="0" collapsed="false">
      <c r="B35755" s="0" t="s">
        <v>14</v>
      </c>
    </row>
    <row r="35756" customFormat="false" ht="12.8" hidden="false" customHeight="false" outlineLevel="0" collapsed="false">
      <c r="B35756" s="0" t="s">
        <v>459</v>
      </c>
    </row>
    <row r="35757" customFormat="false" ht="12.8" hidden="false" customHeight="false" outlineLevel="0" collapsed="false">
      <c r="B35757" s="0" t="s">
        <v>124</v>
      </c>
    </row>
    <row r="35759" customFormat="false" ht="12.8" hidden="false" customHeight="false" outlineLevel="0" collapsed="false">
      <c r="A35759" s="0" t="s">
        <v>13035</v>
      </c>
      <c r="B35759" s="0" t="str">
        <f aca="false">HYPERLINK("https://lindat.mff.cuni.cz/services/teitok/pdtc10/index.php?action=vallex&amp;frame=v-whsa_1434hsa_1435", "přendat (v-whsa_1434hsa_1435) - substituted with v-whsa_1434f1_ZU")</f>
        <v>přendat (v-whsa_1434hsa_1435) - substituted with v-whsa_1434f1_ZU</v>
      </c>
    </row>
    <row r="35760" customFormat="false" ht="12.8" hidden="false" customHeight="false" outlineLevel="0" collapsed="false">
      <c r="B35760" s="0" t="s">
        <v>7</v>
      </c>
    </row>
    <row r="35761" customFormat="false" ht="12.8" hidden="false" customHeight="false" outlineLevel="0" collapsed="false">
      <c r="B35761" s="0" t="s">
        <v>14</v>
      </c>
    </row>
    <row r="35762" customFormat="false" ht="12.8" hidden="false" customHeight="false" outlineLevel="0" collapsed="false">
      <c r="B35762" s="0" t="s">
        <v>459</v>
      </c>
    </row>
    <row r="35763" customFormat="false" ht="12.8" hidden="false" customHeight="false" outlineLevel="0" collapsed="false">
      <c r="B35763" s="0" t="s">
        <v>124</v>
      </c>
    </row>
    <row r="35765" customFormat="false" ht="12.8" hidden="false" customHeight="false" outlineLevel="0" collapsed="false">
      <c r="A35765" s="0" t="s">
        <v>13036</v>
      </c>
      <c r="B35765" s="0" t="str">
        <f aca="false">HYPERLINK("https://lindat.mff.cuni.cz/services/teitok/pdtc10/index.php?action=vallex&amp;frame=v-whsb_867hsa_868", "přendávat (v-whsb_867hsa_868)")</f>
        <v>přendávat (v-whsb_867hsa_868)</v>
      </c>
    </row>
    <row r="35766" customFormat="false" ht="12.8" hidden="false" customHeight="false" outlineLevel="0" collapsed="false">
      <c r="B35766" s="0" t="s">
        <v>7</v>
      </c>
    </row>
    <row r="35767" customFormat="false" ht="12.8" hidden="false" customHeight="false" outlineLevel="0" collapsed="false">
      <c r="B35767" s="0" t="s">
        <v>14</v>
      </c>
    </row>
    <row r="35768" customFormat="false" ht="12.8" hidden="false" customHeight="false" outlineLevel="0" collapsed="false">
      <c r="B35768" s="0" t="s">
        <v>459</v>
      </c>
    </row>
    <row r="35769" customFormat="false" ht="12.8" hidden="false" customHeight="false" outlineLevel="0" collapsed="false">
      <c r="B35769" s="0" t="s">
        <v>124</v>
      </c>
    </row>
    <row r="35771" customFormat="false" ht="12.8" hidden="false" customHeight="false" outlineLevel="0" collapsed="false">
      <c r="A35771" s="0" t="s">
        <v>13037</v>
      </c>
      <c r="B35771" s="0" t="str">
        <f aca="false">HYPERLINK("https://lindat.mff.cuni.cz/services/teitok/pdtc10/index.php?action=vallex&amp;frame=v-w4901f1", "přenechat (v-w4901f1)")</f>
        <v>přenechat (v-w4901f1)</v>
      </c>
    </row>
    <row r="35772" customFormat="false" ht="12.8" hidden="false" customHeight="false" outlineLevel="0" collapsed="false">
      <c r="B35772" s="0" t="s">
        <v>7</v>
      </c>
      <c r="C35772" s="0" t="s">
        <v>2256</v>
      </c>
      <c r="D35772" s="0" t="s">
        <v>108</v>
      </c>
      <c r="E35772" s="0" t="s">
        <v>126</v>
      </c>
      <c r="F35772" s="0" t="s">
        <v>126</v>
      </c>
    </row>
    <row r="35773" customFormat="false" ht="12.8" hidden="false" customHeight="false" outlineLevel="0" collapsed="false">
      <c r="B35773" s="0" t="s">
        <v>14</v>
      </c>
      <c r="C35773" s="0" t="s">
        <v>13038</v>
      </c>
      <c r="D35773" s="0" t="s">
        <v>625</v>
      </c>
      <c r="E35773" s="0" t="s">
        <v>1146</v>
      </c>
      <c r="F35773" s="0" t="s">
        <v>1146</v>
      </c>
    </row>
    <row r="35774" customFormat="false" ht="12.8" hidden="false" customHeight="false" outlineLevel="0" collapsed="false">
      <c r="B35774" s="0" t="s">
        <v>48</v>
      </c>
      <c r="C35774" s="0" t="s">
        <v>13039</v>
      </c>
      <c r="D35774" s="0" t="s">
        <v>8227</v>
      </c>
      <c r="E35774" s="0" t="s">
        <v>8228</v>
      </c>
      <c r="F35774" s="0" t="s">
        <v>8228</v>
      </c>
    </row>
    <row r="35776" customFormat="false" ht="12.8" hidden="false" customHeight="false" outlineLevel="0" collapsed="false">
      <c r="A35776" s="0" t="s">
        <v>13040</v>
      </c>
      <c r="B35776" s="0" t="str">
        <f aca="false">HYPERLINK("https://lindat.mff.cuni.cz/services/teitok/pdtc10/index.php?action=vallex&amp;frame=v-w4901hsa_1015", "přenechat (v-w4901hsa_1015)")</f>
        <v>přenechat (v-w4901hsa_1015)</v>
      </c>
    </row>
    <row r="35777" customFormat="false" ht="12.8" hidden="false" customHeight="false" outlineLevel="0" collapsed="false">
      <c r="B35777" s="0" t="s">
        <v>7</v>
      </c>
      <c r="D35777" s="0" t="s">
        <v>108</v>
      </c>
      <c r="E35777" s="0" t="s">
        <v>126</v>
      </c>
      <c r="F35777" s="0" t="s">
        <v>126</v>
      </c>
    </row>
    <row r="35778" customFormat="false" ht="12.8" hidden="false" customHeight="false" outlineLevel="0" collapsed="false">
      <c r="B35778" s="0" t="s">
        <v>14</v>
      </c>
      <c r="D35778" s="0" t="s">
        <v>625</v>
      </c>
      <c r="E35778" s="0" t="s">
        <v>1146</v>
      </c>
      <c r="F35778" s="0" t="s">
        <v>1146</v>
      </c>
    </row>
    <row r="35779" customFormat="false" ht="12.8" hidden="false" customHeight="false" outlineLevel="0" collapsed="false">
      <c r="B35779" s="0" t="s">
        <v>7370</v>
      </c>
      <c r="D35779" s="0" t="s">
        <v>8227</v>
      </c>
      <c r="E35779" s="0" t="s">
        <v>8228</v>
      </c>
      <c r="F35779" s="0" t="s">
        <v>8228</v>
      </c>
    </row>
    <row r="35781" customFormat="false" ht="12.8" hidden="false" customHeight="false" outlineLevel="0" collapsed="false">
      <c r="A35781" s="0" t="s">
        <v>13041</v>
      </c>
      <c r="B35781" s="0" t="str">
        <f aca="false">HYPERLINK("https://lindat.mff.cuni.cz/services/teitok/pdtc10/index.php?action=vallex&amp;frame=v-w4902f1", "přenechávat (v-w4902f1)")</f>
        <v>přenechávat (v-w4902f1)</v>
      </c>
    </row>
    <row r="35782" customFormat="false" ht="12.8" hidden="false" customHeight="false" outlineLevel="0" collapsed="false">
      <c r="B35782" s="0" t="s">
        <v>7</v>
      </c>
      <c r="D35782" s="0" t="s">
        <v>108</v>
      </c>
      <c r="E35782" s="0" t="s">
        <v>126</v>
      </c>
      <c r="F35782" s="0" t="s">
        <v>126</v>
      </c>
    </row>
    <row r="35783" customFormat="false" ht="12.8" hidden="false" customHeight="false" outlineLevel="0" collapsed="false">
      <c r="B35783" s="0" t="s">
        <v>14</v>
      </c>
      <c r="D35783" s="0" t="s">
        <v>625</v>
      </c>
      <c r="E35783" s="0" t="s">
        <v>1146</v>
      </c>
      <c r="F35783" s="0" t="s">
        <v>1146</v>
      </c>
    </row>
    <row r="35784" customFormat="false" ht="12.8" hidden="false" customHeight="false" outlineLevel="0" collapsed="false">
      <c r="B35784" s="0" t="s">
        <v>48</v>
      </c>
      <c r="D35784" s="0" t="s">
        <v>8227</v>
      </c>
      <c r="E35784" s="0" t="s">
        <v>8228</v>
      </c>
      <c r="F35784" s="0" t="s">
        <v>8228</v>
      </c>
    </row>
    <row r="35786" customFormat="false" ht="12.8" hidden="false" customHeight="false" outlineLevel="0" collapsed="false">
      <c r="A35786" s="0" t="s">
        <v>13042</v>
      </c>
      <c r="B35786" s="0" t="str">
        <f aca="false">HYPERLINK("https://lindat.mff.cuni.cz/services/teitok/pdtc10/index.php?action=vallex&amp;frame=v-w12076_ZUf1_ZU", "přenocovat (v-w12076_ZUf1_ZU)")</f>
        <v>přenocovat (v-w12076_ZUf1_ZU)</v>
      </c>
    </row>
    <row r="35787" customFormat="false" ht="12.8" hidden="false" customHeight="false" outlineLevel="0" collapsed="false">
      <c r="B35787" s="0" t="s">
        <v>7</v>
      </c>
    </row>
    <row r="35789" customFormat="false" ht="12.8" hidden="false" customHeight="false" outlineLevel="0" collapsed="false">
      <c r="A35789" s="0" t="s">
        <v>13043</v>
      </c>
      <c r="B35789" s="0" t="str">
        <f aca="false">HYPERLINK("https://lindat.mff.cuni.cz/services/teitok/pdtc10/index.php?action=vallex&amp;frame=v-w4899f3", "přenášet (v-w4899f3)")</f>
        <v>přenášet (v-w4899f3)</v>
      </c>
    </row>
    <row r="35790" customFormat="false" ht="12.8" hidden="false" customHeight="false" outlineLevel="0" collapsed="false">
      <c r="B35790" s="0" t="s">
        <v>7</v>
      </c>
      <c r="C35790" s="0" t="s">
        <v>3243</v>
      </c>
      <c r="D35790" s="0" t="s">
        <v>4161</v>
      </c>
      <c r="E35790" s="0" t="s">
        <v>4161</v>
      </c>
      <c r="F35790" s="0" t="s">
        <v>4161</v>
      </c>
    </row>
    <row r="35791" customFormat="false" ht="12.8" hidden="false" customHeight="false" outlineLevel="0" collapsed="false">
      <c r="B35791" s="0" t="s">
        <v>14</v>
      </c>
      <c r="C35791" s="0" t="s">
        <v>3244</v>
      </c>
      <c r="D35791" s="0" t="s">
        <v>8195</v>
      </c>
      <c r="E35791" s="0" t="s">
        <v>8195</v>
      </c>
      <c r="F35791" s="0" t="s">
        <v>8195</v>
      </c>
    </row>
    <row r="35792" customFormat="false" ht="12.8" hidden="false" customHeight="false" outlineLevel="0" collapsed="false">
      <c r="B35792" s="0" t="s">
        <v>4101</v>
      </c>
      <c r="D35792" s="0" t="s">
        <v>13044</v>
      </c>
      <c r="E35792" s="0" t="s">
        <v>13044</v>
      </c>
      <c r="F35792" s="0" t="s">
        <v>13044</v>
      </c>
    </row>
    <row r="35793" customFormat="false" ht="12.8" hidden="false" customHeight="false" outlineLevel="0" collapsed="false">
      <c r="B35793" s="0" t="s">
        <v>35</v>
      </c>
    </row>
    <row r="35795" customFormat="false" ht="12.8" hidden="false" customHeight="false" outlineLevel="0" collapsed="false">
      <c r="A35795" s="0" t="s">
        <v>13045</v>
      </c>
      <c r="B35795" s="0" t="str">
        <f aca="false">HYPERLINK("https://lindat.mff.cuni.cz/services/teitok/pdtc10/index.php?action=vallex&amp;frame=v-w4899f1", "přenášet (v-w4899f1)")</f>
        <v>přenášet (v-w4899f1)</v>
      </c>
    </row>
    <row r="35796" customFormat="false" ht="12.8" hidden="false" customHeight="false" outlineLevel="0" collapsed="false">
      <c r="B35796" s="0" t="s">
        <v>7</v>
      </c>
      <c r="C35796" s="0" t="s">
        <v>460</v>
      </c>
      <c r="D35796" s="0" t="s">
        <v>4161</v>
      </c>
      <c r="E35796" s="0" t="s">
        <v>4161</v>
      </c>
      <c r="F35796" s="0" t="s">
        <v>4161</v>
      </c>
    </row>
    <row r="35797" customFormat="false" ht="12.8" hidden="false" customHeight="false" outlineLevel="0" collapsed="false">
      <c r="B35797" s="0" t="s">
        <v>14</v>
      </c>
      <c r="C35797" s="0" t="s">
        <v>625</v>
      </c>
      <c r="D35797" s="0" t="s">
        <v>8195</v>
      </c>
      <c r="E35797" s="0" t="s">
        <v>8195</v>
      </c>
      <c r="F35797" s="0" t="s">
        <v>8195</v>
      </c>
    </row>
    <row r="35798" customFormat="false" ht="12.8" hidden="false" customHeight="false" outlineLevel="0" collapsed="false">
      <c r="B35798" s="0" t="s">
        <v>459</v>
      </c>
    </row>
    <row r="35799" customFormat="false" ht="12.8" hidden="false" customHeight="false" outlineLevel="0" collapsed="false">
      <c r="B35799" s="0" t="s">
        <v>124</v>
      </c>
      <c r="D35799" s="0" t="s">
        <v>10830</v>
      </c>
      <c r="E35799" s="0" t="s">
        <v>10830</v>
      </c>
      <c r="F35799" s="0" t="s">
        <v>10830</v>
      </c>
    </row>
    <row r="35801" customFormat="false" ht="12.8" hidden="false" customHeight="false" outlineLevel="0" collapsed="false">
      <c r="A35801" s="0" t="s">
        <v>13046</v>
      </c>
      <c r="B35801" s="0" t="str">
        <f aca="false">HYPERLINK("https://lindat.mff.cuni.cz/services/teitok/pdtc10/index.php?action=vallex&amp;frame=v-w4899f2", "přenášet (v-w4899f2)")</f>
        <v>přenášet (v-w4899f2)</v>
      </c>
    </row>
    <row r="35802" customFormat="false" ht="12.8" hidden="false" customHeight="false" outlineLevel="0" collapsed="false">
      <c r="B35802" s="0" t="s">
        <v>7</v>
      </c>
      <c r="C35802" s="0" t="s">
        <v>12056</v>
      </c>
      <c r="D35802" s="0" t="s">
        <v>460</v>
      </c>
      <c r="E35802" s="0" t="s">
        <v>460</v>
      </c>
      <c r="F35802" s="0" t="s">
        <v>460</v>
      </c>
    </row>
    <row r="35803" customFormat="false" ht="12.8" hidden="false" customHeight="false" outlineLevel="0" collapsed="false">
      <c r="B35803" s="0" t="s">
        <v>14</v>
      </c>
      <c r="C35803" s="0" t="s">
        <v>7637</v>
      </c>
      <c r="D35803" s="0" t="s">
        <v>1315</v>
      </c>
      <c r="E35803" s="0" t="s">
        <v>1315</v>
      </c>
      <c r="F35803" s="0" t="s">
        <v>1315</v>
      </c>
    </row>
    <row r="35805" customFormat="false" ht="12.8" hidden="false" customHeight="false" outlineLevel="0" collapsed="false">
      <c r="A35805" s="0" t="s">
        <v>13047</v>
      </c>
      <c r="B35805" s="0" t="str">
        <f aca="false">HYPERLINK("https://lindat.mff.cuni.cz/services/teitok/pdtc10/index.php?action=vallex&amp;frame=v-w4899hsa_368", "přenášet (v-w4899hsa_368)")</f>
        <v>přenášet (v-w4899hsa_368)</v>
      </c>
    </row>
    <row r="35806" customFormat="false" ht="12.8" hidden="false" customHeight="false" outlineLevel="0" collapsed="false">
      <c r="B35806" s="0" t="s">
        <v>7</v>
      </c>
    </row>
    <row r="35807" customFormat="false" ht="12.8" hidden="false" customHeight="false" outlineLevel="0" collapsed="false">
      <c r="B35807" s="0" t="s">
        <v>14</v>
      </c>
    </row>
    <row r="35808" customFormat="false" ht="12.8" hidden="false" customHeight="false" outlineLevel="0" collapsed="false">
      <c r="B35808" s="0" t="s">
        <v>4101</v>
      </c>
    </row>
    <row r="35809" customFormat="false" ht="12.8" hidden="false" customHeight="false" outlineLevel="0" collapsed="false">
      <c r="B35809" s="0" t="s">
        <v>35</v>
      </c>
    </row>
    <row r="35811" customFormat="false" ht="12.8" hidden="false" customHeight="false" outlineLevel="0" collapsed="false">
      <c r="A35811" s="0" t="s">
        <v>13048</v>
      </c>
      <c r="B35811" s="0" t="str">
        <f aca="false">HYPERLINK("https://lindat.mff.cuni.cz/services/teitok/pdtc10/index.php?action=vallex&amp;frame=v-w4899f4_ZU", "přenášet (v-w4899f4_ZU)")</f>
        <v>přenášet (v-w4899f4_ZU)</v>
      </c>
    </row>
    <row r="35812" customFormat="false" ht="12.8" hidden="false" customHeight="false" outlineLevel="0" collapsed="false">
      <c r="B35812" s="0" t="s">
        <v>7</v>
      </c>
    </row>
    <row r="35813" customFormat="false" ht="12.8" hidden="false" customHeight="false" outlineLevel="0" collapsed="false">
      <c r="B35813" s="0" t="s">
        <v>14</v>
      </c>
    </row>
    <row r="35815" customFormat="false" ht="12.8" hidden="false" customHeight="false" outlineLevel="0" collapsed="false">
      <c r="A35815" s="0" t="s">
        <v>13049</v>
      </c>
      <c r="B35815" s="0" t="str">
        <f aca="false">HYPERLINK("https://lindat.mff.cuni.cz/services/teitok/pdtc10/index.php?action=vallex&amp;frame=v-w4900f1", "přenášet se (v-w4900f1)")</f>
        <v>přenášet se (v-w4900f1)</v>
      </c>
    </row>
    <row r="35816" customFormat="false" ht="12.8" hidden="false" customHeight="false" outlineLevel="0" collapsed="false">
      <c r="B35816" s="0" t="s">
        <v>7</v>
      </c>
    </row>
    <row r="35817" customFormat="false" ht="12.8" hidden="false" customHeight="false" outlineLevel="0" collapsed="false">
      <c r="B35817" s="0" t="s">
        <v>459</v>
      </c>
    </row>
    <row r="35818" customFormat="false" ht="12.8" hidden="false" customHeight="false" outlineLevel="0" collapsed="false">
      <c r="B35818" s="0" t="s">
        <v>124</v>
      </c>
    </row>
    <row r="35820" customFormat="false" ht="12.8" hidden="false" customHeight="false" outlineLevel="0" collapsed="false">
      <c r="A35820" s="0" t="s">
        <v>13050</v>
      </c>
      <c r="B35820" s="0" t="str">
        <f aca="false">HYPERLINK("https://lindat.mff.cuni.cz/services/teitok/pdtc10/index.php?action=vallex&amp;frame=v-w4904f2", "přenést (v-w4904f2)")</f>
        <v>přenést (v-w4904f2)</v>
      </c>
    </row>
    <row r="35821" customFormat="false" ht="12.8" hidden="false" customHeight="false" outlineLevel="0" collapsed="false">
      <c r="B35821" s="0" t="s">
        <v>7</v>
      </c>
      <c r="C35821" s="0" t="s">
        <v>108</v>
      </c>
      <c r="D35821" s="0" t="s">
        <v>4161</v>
      </c>
      <c r="E35821" s="0" t="s">
        <v>4161</v>
      </c>
      <c r="F35821" s="0" t="s">
        <v>4161</v>
      </c>
    </row>
    <row r="35822" customFormat="false" ht="12.8" hidden="false" customHeight="false" outlineLevel="0" collapsed="false">
      <c r="B35822" s="0" t="s">
        <v>14</v>
      </c>
      <c r="C35822" s="0" t="s">
        <v>13051</v>
      </c>
      <c r="D35822" s="0" t="s">
        <v>8195</v>
      </c>
      <c r="E35822" s="0" t="s">
        <v>8195</v>
      </c>
      <c r="F35822" s="0" t="s">
        <v>8195</v>
      </c>
    </row>
    <row r="35823" customFormat="false" ht="12.8" hidden="false" customHeight="false" outlineLevel="0" collapsed="false">
      <c r="B35823" s="0" t="s">
        <v>4101</v>
      </c>
      <c r="C35823" s="0" t="s">
        <v>13052</v>
      </c>
      <c r="D35823" s="0" t="s">
        <v>13044</v>
      </c>
      <c r="E35823" s="0" t="s">
        <v>13044</v>
      </c>
      <c r="F35823" s="0" t="s">
        <v>13044</v>
      </c>
    </row>
    <row r="35824" customFormat="false" ht="12.8" hidden="false" customHeight="false" outlineLevel="0" collapsed="false">
      <c r="B35824" s="0" t="s">
        <v>35</v>
      </c>
      <c r="C35824" s="0" t="s">
        <v>12603</v>
      </c>
    </row>
    <row r="35826" customFormat="false" ht="12.8" hidden="false" customHeight="false" outlineLevel="0" collapsed="false">
      <c r="A35826" s="0" t="s">
        <v>13053</v>
      </c>
      <c r="B35826" s="0" t="str">
        <f aca="false">HYPERLINK("https://lindat.mff.cuni.cz/services/teitok/pdtc10/index.php?action=vallex&amp;frame=v-w4904f3", "přenést (v-w4904f3)")</f>
        <v>přenést (v-w4904f3)</v>
      </c>
    </row>
    <row r="35827" customFormat="false" ht="12.8" hidden="false" customHeight="false" outlineLevel="0" collapsed="false">
      <c r="B35827" s="0" t="s">
        <v>7</v>
      </c>
      <c r="C35827" s="0" t="s">
        <v>46</v>
      </c>
    </row>
    <row r="35828" customFormat="false" ht="12.8" hidden="false" customHeight="false" outlineLevel="0" collapsed="false">
      <c r="B35828" s="0" t="s">
        <v>14</v>
      </c>
      <c r="C35828" s="0" t="s">
        <v>1170</v>
      </c>
    </row>
    <row r="35829" customFormat="false" ht="12.8" hidden="false" customHeight="false" outlineLevel="0" collapsed="false">
      <c r="B35829" s="0" t="s">
        <v>4101</v>
      </c>
      <c r="C35829" s="0" t="s">
        <v>7572</v>
      </c>
    </row>
    <row r="35830" customFormat="false" ht="12.8" hidden="false" customHeight="false" outlineLevel="0" collapsed="false">
      <c r="B35830" s="0" t="s">
        <v>35</v>
      </c>
    </row>
    <row r="35832" customFormat="false" ht="12.8" hidden="false" customHeight="false" outlineLevel="0" collapsed="false">
      <c r="A35832" s="0" t="s">
        <v>13054</v>
      </c>
      <c r="B35832" s="0" t="str">
        <f aca="false">HYPERLINK("https://lindat.mff.cuni.cz/services/teitok/pdtc10/index.php?action=vallex&amp;frame=v-w4904f1", "přenést (v-w4904f1)")</f>
        <v>přenést (v-w4904f1)</v>
      </c>
    </row>
    <row r="35833" customFormat="false" ht="12.8" hidden="false" customHeight="false" outlineLevel="0" collapsed="false">
      <c r="B35833" s="0" t="s">
        <v>7</v>
      </c>
      <c r="C35833" s="0" t="s">
        <v>7819</v>
      </c>
      <c r="D35833" s="0" t="s">
        <v>4161</v>
      </c>
      <c r="E35833" s="0" t="s">
        <v>4161</v>
      </c>
      <c r="F35833" s="0" t="s">
        <v>4161</v>
      </c>
    </row>
    <row r="35834" customFormat="false" ht="12.8" hidden="false" customHeight="false" outlineLevel="0" collapsed="false">
      <c r="B35834" s="0" t="s">
        <v>14</v>
      </c>
      <c r="C35834" s="0" t="s">
        <v>1367</v>
      </c>
      <c r="D35834" s="0" t="s">
        <v>8195</v>
      </c>
      <c r="E35834" s="0" t="s">
        <v>8195</v>
      </c>
      <c r="F35834" s="0" t="s">
        <v>8195</v>
      </c>
    </row>
    <row r="35835" customFormat="false" ht="12.8" hidden="false" customHeight="false" outlineLevel="0" collapsed="false">
      <c r="B35835" s="0" t="s">
        <v>459</v>
      </c>
    </row>
    <row r="35836" customFormat="false" ht="12.8" hidden="false" customHeight="false" outlineLevel="0" collapsed="false">
      <c r="B35836" s="0" t="s">
        <v>124</v>
      </c>
      <c r="C35836" s="0" t="s">
        <v>13055</v>
      </c>
      <c r="D35836" s="0" t="s">
        <v>10830</v>
      </c>
      <c r="E35836" s="0" t="s">
        <v>10830</v>
      </c>
      <c r="F35836" s="0" t="s">
        <v>10830</v>
      </c>
    </row>
    <row r="35838" customFormat="false" ht="12.8" hidden="false" customHeight="false" outlineLevel="0" collapsed="false">
      <c r="A35838" s="0" t="s">
        <v>13056</v>
      </c>
      <c r="B35838" s="0" t="str">
        <f aca="false">HYPERLINK("https://lindat.mff.cuni.cz/services/teitok/pdtc10/index.php?action=vallex&amp;frame=v-w4904f4", "přenést (v-w4904f4)")</f>
        <v>přenést (v-w4904f4)</v>
      </c>
    </row>
    <row r="35839" customFormat="false" ht="12.8" hidden="false" customHeight="false" outlineLevel="0" collapsed="false">
      <c r="B35839" s="0" t="s">
        <v>7</v>
      </c>
    </row>
    <row r="35840" customFormat="false" ht="12.8" hidden="false" customHeight="false" outlineLevel="0" collapsed="false">
      <c r="B35840" s="0" t="s">
        <v>14</v>
      </c>
    </row>
    <row r="35841" customFormat="false" ht="12.8" hidden="false" customHeight="false" outlineLevel="0" collapsed="false">
      <c r="B35841" s="0" t="s">
        <v>9826</v>
      </c>
    </row>
    <row r="35842" customFormat="false" ht="12.8" hidden="false" customHeight="false" outlineLevel="0" collapsed="false">
      <c r="B35842" s="0" t="s">
        <v>1492</v>
      </c>
    </row>
    <row r="35844" customFormat="false" ht="12.8" hidden="false" customHeight="false" outlineLevel="0" collapsed="false">
      <c r="A35844" s="0" t="s">
        <v>13057</v>
      </c>
      <c r="B35844" s="0" t="str">
        <f aca="false">HYPERLINK("https://lindat.mff.cuni.cz/services/teitok/pdtc10/index.php?action=vallex&amp;frame=v-w4904hsa_22", "přenést (v-w4904hsa_22)")</f>
        <v>přenést (v-w4904hsa_22)</v>
      </c>
    </row>
    <row r="35845" customFormat="false" ht="12.8" hidden="false" customHeight="false" outlineLevel="0" collapsed="false">
      <c r="B35845" s="0" t="s">
        <v>7</v>
      </c>
      <c r="D35845" s="0" t="s">
        <v>4161</v>
      </c>
      <c r="E35845" s="0" t="s">
        <v>4161</v>
      </c>
      <c r="F35845" s="0" t="s">
        <v>4161</v>
      </c>
    </row>
    <row r="35846" customFormat="false" ht="12.8" hidden="false" customHeight="false" outlineLevel="0" collapsed="false">
      <c r="B35846" s="0" t="s">
        <v>14</v>
      </c>
      <c r="D35846" s="0" t="s">
        <v>8195</v>
      </c>
      <c r="E35846" s="0" t="s">
        <v>8195</v>
      </c>
      <c r="F35846" s="0" t="s">
        <v>8195</v>
      </c>
    </row>
    <row r="35847" customFormat="false" ht="12.8" hidden="false" customHeight="false" outlineLevel="0" collapsed="false">
      <c r="B35847" s="0" t="s">
        <v>459</v>
      </c>
    </row>
    <row r="35848" customFormat="false" ht="12.8" hidden="false" customHeight="false" outlineLevel="0" collapsed="false">
      <c r="B35848" s="0" t="s">
        <v>124</v>
      </c>
      <c r="D35848" s="0" t="s">
        <v>10830</v>
      </c>
      <c r="E35848" s="0" t="s">
        <v>10830</v>
      </c>
      <c r="F35848" s="0" t="s">
        <v>10830</v>
      </c>
    </row>
    <row r="35850" customFormat="false" ht="12.8" hidden="false" customHeight="false" outlineLevel="0" collapsed="false">
      <c r="A35850" s="0" t="s">
        <v>13058</v>
      </c>
      <c r="B35850" s="0" t="str">
        <f aca="false">HYPERLINK("https://lindat.mff.cuni.cz/services/teitok/pdtc10/index.php?action=vallex&amp;frame=v-w4905f2", "přenést se (v-w4905f2)")</f>
        <v>přenést se (v-w4905f2)</v>
      </c>
    </row>
    <row r="35851" customFormat="false" ht="12.8" hidden="false" customHeight="false" outlineLevel="0" collapsed="false">
      <c r="B35851" s="0" t="s">
        <v>7</v>
      </c>
      <c r="C35851" s="0" t="s">
        <v>2498</v>
      </c>
      <c r="D35851" s="0" t="s">
        <v>569</v>
      </c>
      <c r="E35851" s="0" t="s">
        <v>569</v>
      </c>
      <c r="F35851" s="0" t="s">
        <v>569</v>
      </c>
    </row>
    <row r="35852" customFormat="false" ht="12.8" hidden="false" customHeight="false" outlineLevel="0" collapsed="false">
      <c r="B35852" s="0" t="s">
        <v>935</v>
      </c>
      <c r="C35852" s="0" t="s">
        <v>1544</v>
      </c>
      <c r="D35852" s="0" t="s">
        <v>384</v>
      </c>
      <c r="E35852" s="0" t="s">
        <v>384</v>
      </c>
      <c r="F35852" s="0" t="s">
        <v>384</v>
      </c>
    </row>
    <row r="35854" customFormat="false" ht="12.8" hidden="false" customHeight="false" outlineLevel="0" collapsed="false">
      <c r="A35854" s="0" t="s">
        <v>13059</v>
      </c>
      <c r="B35854" s="0" t="str">
        <f aca="false">HYPERLINK("https://lindat.mff.cuni.cz/services/teitok/pdtc10/index.php?action=vallex&amp;frame=v-w4905f1", "přenést se (v-w4905f1)")</f>
        <v>přenést se (v-w4905f1)</v>
      </c>
    </row>
    <row r="35855" customFormat="false" ht="12.8" hidden="false" customHeight="false" outlineLevel="0" collapsed="false">
      <c r="B35855" s="0" t="s">
        <v>7</v>
      </c>
      <c r="C35855" s="0" t="s">
        <v>9559</v>
      </c>
    </row>
    <row r="35856" customFormat="false" ht="12.8" hidden="false" customHeight="false" outlineLevel="0" collapsed="false">
      <c r="B35856" s="0" t="s">
        <v>459</v>
      </c>
    </row>
    <row r="35857" customFormat="false" ht="12.8" hidden="false" customHeight="false" outlineLevel="0" collapsed="false">
      <c r="B35857" s="0" t="s">
        <v>124</v>
      </c>
      <c r="C35857" s="0" t="s">
        <v>12621</v>
      </c>
    </row>
    <row r="35859" customFormat="false" ht="12.8" hidden="false" customHeight="false" outlineLevel="0" collapsed="false">
      <c r="A35859" s="0" t="s">
        <v>13060</v>
      </c>
      <c r="B35859" s="0" t="str">
        <f aca="false">HYPERLINK("https://lindat.mff.cuni.cz/services/teitok/pdtc10/index.php?action=vallex&amp;frame=v-w4905f3", "přenést se (v-w4905f3)")</f>
        <v>přenést se (v-w4905f3)</v>
      </c>
    </row>
    <row r="35860" customFormat="false" ht="12.8" hidden="false" customHeight="false" outlineLevel="0" collapsed="false">
      <c r="B35860" s="0" t="s">
        <v>7</v>
      </c>
    </row>
    <row r="35862" customFormat="false" ht="12.8" hidden="false" customHeight="false" outlineLevel="0" collapsed="false">
      <c r="A35862" s="0" t="s">
        <v>13061</v>
      </c>
      <c r="B35862" s="0" t="str">
        <f aca="false">HYPERLINK("https://lindat.mff.cuni.cz/services/teitok/pdtc10/index.php?action=vallex&amp;frame=v-whsa_393hsa_394", "přeorganizovat (v-whsa_393hsa_394)")</f>
        <v>přeorganizovat (v-whsa_393hsa_394)</v>
      </c>
    </row>
    <row r="35863" customFormat="false" ht="12.8" hidden="false" customHeight="false" outlineLevel="0" collapsed="false">
      <c r="B35863" s="0" t="s">
        <v>7</v>
      </c>
      <c r="C35863" s="0" t="s">
        <v>191</v>
      </c>
      <c r="D35863" s="0" t="s">
        <v>46</v>
      </c>
      <c r="E35863" s="0" t="s">
        <v>46</v>
      </c>
      <c r="F35863" s="0" t="s">
        <v>46</v>
      </c>
    </row>
    <row r="35864" customFormat="false" ht="12.8" hidden="false" customHeight="false" outlineLevel="0" collapsed="false">
      <c r="B35864" s="0" t="s">
        <v>14</v>
      </c>
      <c r="C35864" s="0" t="s">
        <v>567</v>
      </c>
      <c r="D35864" s="0" t="s">
        <v>115</v>
      </c>
      <c r="E35864" s="0" t="s">
        <v>115</v>
      </c>
      <c r="F35864" s="0" t="s">
        <v>115</v>
      </c>
    </row>
    <row r="35865" customFormat="false" ht="12.8" hidden="false" customHeight="false" outlineLevel="0" collapsed="false">
      <c r="B35865" s="0" t="s">
        <v>35</v>
      </c>
    </row>
    <row r="35866" customFormat="false" ht="12.8" hidden="false" customHeight="false" outlineLevel="0" collapsed="false">
      <c r="B35866" s="0" t="s">
        <v>84</v>
      </c>
    </row>
    <row r="35868" customFormat="false" ht="12.8" hidden="false" customHeight="false" outlineLevel="0" collapsed="false">
      <c r="A35868" s="0" t="s">
        <v>13062</v>
      </c>
      <c r="B35868" s="0" t="str">
        <f aca="false">HYPERLINK("https://lindat.mff.cuni.cz/services/teitok/pdtc10/index.php?action=vallex&amp;frame=v-w11266f1", "přeorientovat (v-w11266f1)")</f>
        <v>přeorientovat (v-w11266f1)</v>
      </c>
    </row>
    <row r="35869" customFormat="false" ht="12.8" hidden="false" customHeight="false" outlineLevel="0" collapsed="false">
      <c r="B35869" s="0" t="s">
        <v>7</v>
      </c>
      <c r="C35869" s="0" t="s">
        <v>191</v>
      </c>
      <c r="D35869" s="0" t="s">
        <v>191</v>
      </c>
      <c r="E35869" s="0" t="s">
        <v>191</v>
      </c>
      <c r="F35869" s="0" t="s">
        <v>191</v>
      </c>
    </row>
    <row r="35870" customFormat="false" ht="12.8" hidden="false" customHeight="false" outlineLevel="0" collapsed="false">
      <c r="B35870" s="0" t="s">
        <v>14</v>
      </c>
      <c r="C35870" s="0" t="s">
        <v>47</v>
      </c>
      <c r="D35870" s="0" t="s">
        <v>47</v>
      </c>
      <c r="E35870" s="0" t="s">
        <v>47</v>
      </c>
      <c r="F35870" s="0" t="s">
        <v>47</v>
      </c>
    </row>
    <row r="35871" customFormat="false" ht="12.8" hidden="false" customHeight="false" outlineLevel="0" collapsed="false">
      <c r="B35871" s="0" t="s">
        <v>124</v>
      </c>
    </row>
    <row r="35873" customFormat="false" ht="12.8" hidden="false" customHeight="false" outlineLevel="0" collapsed="false">
      <c r="A35873" s="0" t="s">
        <v>13063</v>
      </c>
      <c r="B35873" s="0" t="str">
        <f aca="false">HYPERLINK("https://lindat.mff.cuni.cz/services/teitok/pdtc10/index.php?action=vallex&amp;frame=v-w4907f1", "přeorientovat se (v-w4907f1)")</f>
        <v>přeorientovat se (v-w4907f1)</v>
      </c>
    </row>
    <row r="35874" customFormat="false" ht="12.8" hidden="false" customHeight="false" outlineLevel="0" collapsed="false">
      <c r="B35874" s="0" t="s">
        <v>7</v>
      </c>
      <c r="C35874" s="0" t="s">
        <v>7605</v>
      </c>
      <c r="D35874" s="0" t="s">
        <v>12599</v>
      </c>
      <c r="E35874" s="0" t="s">
        <v>12599</v>
      </c>
      <c r="F35874" s="0" t="s">
        <v>12599</v>
      </c>
    </row>
    <row r="35875" customFormat="false" ht="12.8" hidden="false" customHeight="false" outlineLevel="0" collapsed="false">
      <c r="B35875" s="0" t="s">
        <v>41</v>
      </c>
      <c r="C35875" s="0" t="s">
        <v>13064</v>
      </c>
      <c r="D35875" s="0" t="s">
        <v>12602</v>
      </c>
      <c r="E35875" s="0" t="s">
        <v>12602</v>
      </c>
      <c r="F35875" s="0" t="s">
        <v>12602</v>
      </c>
    </row>
    <row r="35877" customFormat="false" ht="12.8" hidden="false" customHeight="false" outlineLevel="0" collapsed="false">
      <c r="A35877" s="0" t="s">
        <v>13065</v>
      </c>
      <c r="B35877" s="0" t="str">
        <f aca="false">HYPERLINK("https://lindat.mff.cuni.cz/services/teitok/pdtc10/index.php?action=vallex&amp;frame=v-w4907f2", "přeorientovat se (v-w4907f2)")</f>
        <v>přeorientovat se (v-w4907f2)</v>
      </c>
    </row>
    <row r="35878" customFormat="false" ht="12.8" hidden="false" customHeight="false" outlineLevel="0" collapsed="false">
      <c r="B35878" s="0" t="s">
        <v>7</v>
      </c>
    </row>
    <row r="35880" customFormat="false" ht="12.8" hidden="false" customHeight="false" outlineLevel="0" collapsed="false">
      <c r="A35880" s="0" t="s">
        <v>13066</v>
      </c>
      <c r="B35880" s="0" t="str">
        <f aca="false">HYPERLINK("https://lindat.mff.cuni.cz/services/teitok/pdtc10/index.php?action=vallex&amp;frame=v-w4910f1", "přepadat (v-w4910f1)")</f>
        <v>přepadat (v-w4910f1)</v>
      </c>
    </row>
    <row r="35881" customFormat="false" ht="12.8" hidden="false" customHeight="false" outlineLevel="0" collapsed="false">
      <c r="B35881" s="0" t="s">
        <v>7</v>
      </c>
      <c r="D35881" s="0" t="s">
        <v>150</v>
      </c>
      <c r="E35881" s="0" t="s">
        <v>150</v>
      </c>
      <c r="F35881" s="0" t="s">
        <v>150</v>
      </c>
    </row>
    <row r="35882" customFormat="false" ht="12.8" hidden="false" customHeight="false" outlineLevel="0" collapsed="false">
      <c r="B35882" s="0" t="s">
        <v>14</v>
      </c>
      <c r="D35882" s="0" t="s">
        <v>152</v>
      </c>
      <c r="E35882" s="0" t="s">
        <v>152</v>
      </c>
      <c r="F35882" s="0" t="s">
        <v>152</v>
      </c>
    </row>
    <row r="35884" customFormat="false" ht="12.8" hidden="false" customHeight="false" outlineLevel="0" collapsed="false">
      <c r="A35884" s="0" t="s">
        <v>13067</v>
      </c>
      <c r="B35884" s="0" t="str">
        <f aca="false">HYPERLINK("https://lindat.mff.cuni.cz/services/teitok/pdtc10/index.php?action=vallex&amp;frame=v-w4912f1", "přepadnout (v-w4912f1)")</f>
        <v>přepadnout (v-w4912f1)</v>
      </c>
    </row>
    <row r="35885" customFormat="false" ht="12.8" hidden="false" customHeight="false" outlineLevel="0" collapsed="false">
      <c r="B35885" s="0" t="s">
        <v>7</v>
      </c>
      <c r="C35885" s="0" t="s">
        <v>46</v>
      </c>
      <c r="D35885" s="0" t="s">
        <v>150</v>
      </c>
      <c r="E35885" s="0" t="s">
        <v>150</v>
      </c>
      <c r="F35885" s="0" t="s">
        <v>150</v>
      </c>
    </row>
    <row r="35886" customFormat="false" ht="12.8" hidden="false" customHeight="false" outlineLevel="0" collapsed="false">
      <c r="B35886" s="0" t="s">
        <v>14</v>
      </c>
      <c r="C35886" s="0" t="s">
        <v>1170</v>
      </c>
      <c r="D35886" s="0" t="s">
        <v>152</v>
      </c>
      <c r="E35886" s="0" t="s">
        <v>152</v>
      </c>
      <c r="F35886" s="0" t="s">
        <v>152</v>
      </c>
    </row>
    <row r="35888" customFormat="false" ht="12.8" hidden="false" customHeight="false" outlineLevel="0" collapsed="false">
      <c r="A35888" s="0" t="s">
        <v>13068</v>
      </c>
      <c r="B35888" s="0" t="str">
        <f aca="false">HYPERLINK("https://lindat.mff.cuni.cz/services/teitok/pdtc10/index.php?action=vallex&amp;frame=v-w4912hsa_1892", "přepadnout (v-w4912hsa_1892)")</f>
        <v>přepadnout (v-w4912hsa_1892)</v>
      </c>
    </row>
    <row r="35889" customFormat="false" ht="12.8" hidden="false" customHeight="false" outlineLevel="0" collapsed="false">
      <c r="B35889" s="0" t="s">
        <v>7</v>
      </c>
    </row>
    <row r="35890" customFormat="false" ht="12.8" hidden="false" customHeight="false" outlineLevel="0" collapsed="false">
      <c r="B35890" s="0" t="s">
        <v>14</v>
      </c>
    </row>
    <row r="35892" customFormat="false" ht="12.8" hidden="false" customHeight="false" outlineLevel="0" collapsed="false">
      <c r="A35892" s="0" t="s">
        <v>13069</v>
      </c>
      <c r="B35892" s="0" t="str">
        <f aca="false">HYPERLINK("https://lindat.mff.cuni.cz/services/teitok/pdtc10/index.php?action=vallex&amp;frame=v-w11894_ZUf1_ZU", "přepadávat (v-w11894_ZUf1_ZU)")</f>
        <v>přepadávat (v-w11894_ZUf1_ZU)</v>
      </c>
    </row>
    <row r="35893" customFormat="false" ht="12.8" hidden="false" customHeight="false" outlineLevel="0" collapsed="false">
      <c r="B35893" s="0" t="s">
        <v>7</v>
      </c>
    </row>
    <row r="35894" customFormat="false" ht="12.8" hidden="false" customHeight="false" outlineLevel="0" collapsed="false">
      <c r="B35894" s="0" t="s">
        <v>14</v>
      </c>
    </row>
    <row r="35896" customFormat="false" ht="12.8" hidden="false" customHeight="false" outlineLevel="0" collapsed="false">
      <c r="A35896" s="0" t="s">
        <v>13070</v>
      </c>
      <c r="B35896" s="0" t="str">
        <f aca="false">HYPERLINK("https://lindat.mff.cuni.cz/services/teitok/pdtc10/index.php?action=vallex&amp;frame=v-whsa_235f1_ZU", "přepalovat se (v-whsa_235f1_ZU)")</f>
        <v>přepalovat se (v-whsa_235f1_ZU)</v>
      </c>
    </row>
    <row r="35897" customFormat="false" ht="12.8" hidden="false" customHeight="false" outlineLevel="0" collapsed="false">
      <c r="B35897" s="0" t="s">
        <v>7</v>
      </c>
    </row>
    <row r="35899" customFormat="false" ht="12.8" hidden="false" customHeight="false" outlineLevel="0" collapsed="false">
      <c r="A35899" s="0" t="s">
        <v>13071</v>
      </c>
      <c r="B35899" s="0" t="str">
        <f aca="false">HYPERLINK("https://lindat.mff.cuni.cz/services/teitok/pdtc10/index.php?action=vallex&amp;frame=v-whsb_235hsa_236", "přepalovat se (v-whsb_235hsa_236)")</f>
        <v>přepalovat se (v-whsb_235hsa_236)</v>
      </c>
    </row>
    <row r="35900" customFormat="false" ht="12.8" hidden="false" customHeight="false" outlineLevel="0" collapsed="false">
      <c r="B35900" s="0" t="s">
        <v>7</v>
      </c>
    </row>
    <row r="35902" customFormat="false" ht="12.8" hidden="false" customHeight="false" outlineLevel="0" collapsed="false">
      <c r="A35902" s="0" t="s">
        <v>13072</v>
      </c>
      <c r="B35902" s="0" t="str">
        <f aca="false">HYPERLINK("https://lindat.mff.cuni.cz/services/teitok/pdtc10/index.php?action=vallex&amp;frame=v-w4916f1", "přepisovat (v-w4916f1)")</f>
        <v>přepisovat (v-w4916f1)</v>
      </c>
    </row>
    <row r="35903" customFormat="false" ht="12.8" hidden="false" customHeight="false" outlineLevel="0" collapsed="false">
      <c r="B35903" s="0" t="s">
        <v>7</v>
      </c>
      <c r="C35903" s="0" t="s">
        <v>184</v>
      </c>
      <c r="D35903" s="0" t="s">
        <v>231</v>
      </c>
      <c r="E35903" s="0" t="s">
        <v>231</v>
      </c>
      <c r="F35903" s="0" t="s">
        <v>231</v>
      </c>
    </row>
    <row r="35904" customFormat="false" ht="12.8" hidden="false" customHeight="false" outlineLevel="0" collapsed="false">
      <c r="B35904" s="0" t="s">
        <v>14</v>
      </c>
      <c r="C35904" s="0" t="s">
        <v>384</v>
      </c>
      <c r="D35904" s="0" t="s">
        <v>233</v>
      </c>
      <c r="E35904" s="0" t="s">
        <v>233</v>
      </c>
      <c r="F35904" s="0" t="s">
        <v>233</v>
      </c>
    </row>
    <row r="35906" customFormat="false" ht="12.8" hidden="false" customHeight="false" outlineLevel="0" collapsed="false">
      <c r="A35906" s="0" t="s">
        <v>13073</v>
      </c>
      <c r="B35906" s="0" t="str">
        <f aca="false">HYPERLINK("https://lindat.mff.cuni.cz/services/teitok/pdtc10/index.php?action=vallex&amp;frame=v-w10675f2", "přeplatit (v-w10675f2)")</f>
        <v>přeplatit (v-w10675f2)</v>
      </c>
    </row>
    <row r="35907" customFormat="false" ht="12.8" hidden="false" customHeight="false" outlineLevel="0" collapsed="false">
      <c r="B35907" s="0" t="s">
        <v>7</v>
      </c>
      <c r="C35907" s="0" t="s">
        <v>191</v>
      </c>
      <c r="D35907" s="0" t="s">
        <v>335</v>
      </c>
      <c r="E35907" s="0" t="s">
        <v>335</v>
      </c>
      <c r="F35907" s="0" t="s">
        <v>335</v>
      </c>
    </row>
    <row r="35908" customFormat="false" ht="12.8" hidden="false" customHeight="false" outlineLevel="0" collapsed="false">
      <c r="B35908" s="0" t="s">
        <v>14</v>
      </c>
      <c r="C35908" s="0" t="s">
        <v>155</v>
      </c>
      <c r="D35908" s="0" t="s">
        <v>6832</v>
      </c>
      <c r="E35908" s="0" t="s">
        <v>6832</v>
      </c>
      <c r="F35908" s="0" t="s">
        <v>6832</v>
      </c>
    </row>
    <row r="35910" customFormat="false" ht="12.8" hidden="false" customHeight="false" outlineLevel="0" collapsed="false">
      <c r="A35910" s="0" t="s">
        <v>13074</v>
      </c>
      <c r="B35910" s="0" t="str">
        <f aca="false">HYPERLINK("https://lindat.mff.cuni.cz/services/teitok/pdtc10/index.php?action=vallex&amp;frame=v-whsa_1162f1_ZU", "přeplavat (v-whsa_1162f1_ZU)")</f>
        <v>přeplavat (v-whsa_1162f1_ZU)</v>
      </c>
    </row>
    <row r="35911" customFormat="false" ht="12.8" hidden="false" customHeight="false" outlineLevel="0" collapsed="false">
      <c r="B35911" s="0" t="s">
        <v>7</v>
      </c>
    </row>
    <row r="35912" customFormat="false" ht="12.8" hidden="false" customHeight="false" outlineLevel="0" collapsed="false">
      <c r="B35912" s="0" t="s">
        <v>459</v>
      </c>
    </row>
    <row r="35913" customFormat="false" ht="12.8" hidden="false" customHeight="false" outlineLevel="0" collapsed="false">
      <c r="B35913" s="0" t="s">
        <v>124</v>
      </c>
    </row>
    <row r="35915" customFormat="false" ht="12.8" hidden="false" customHeight="false" outlineLevel="0" collapsed="false">
      <c r="A35915" s="0" t="s">
        <v>13074</v>
      </c>
      <c r="B35915" s="0" t="str">
        <f aca="false">HYPERLINK("https://lindat.mff.cuni.cz/services/teitok/pdtc10/index.php?action=vallex&amp;frame=v-whsb_1162hsa_1163", "přeplavat (v-whsb_1162hsa_1163) - substituted with v-whsa_1162f1_ZU")</f>
        <v>přeplavat (v-whsb_1162hsa_1163) - substituted with v-whsa_1162f1_ZU</v>
      </c>
    </row>
    <row r="35916" customFormat="false" ht="12.8" hidden="false" customHeight="false" outlineLevel="0" collapsed="false">
      <c r="B35916" s="0" t="s">
        <v>7</v>
      </c>
    </row>
    <row r="35917" customFormat="false" ht="12.8" hidden="false" customHeight="false" outlineLevel="0" collapsed="false">
      <c r="B35917" s="0" t="s">
        <v>459</v>
      </c>
    </row>
    <row r="35918" customFormat="false" ht="12.8" hidden="false" customHeight="false" outlineLevel="0" collapsed="false">
      <c r="B35918" s="0" t="s">
        <v>124</v>
      </c>
    </row>
    <row r="35920" customFormat="false" ht="12.8" hidden="false" customHeight="false" outlineLevel="0" collapsed="false">
      <c r="A35920" s="0" t="s">
        <v>13075</v>
      </c>
      <c r="B35920" s="0" t="str">
        <f aca="false">HYPERLINK("https://lindat.mff.cuni.cz/services/teitok/pdtc10/index.php?action=vallex&amp;frame=v-whsa_1162f2_ZU", "přeplavat (v-whsa_1162f2_ZU)")</f>
        <v>přeplavat (v-whsa_1162f2_ZU)</v>
      </c>
    </row>
    <row r="35921" customFormat="false" ht="12.8" hidden="false" customHeight="false" outlineLevel="0" collapsed="false">
      <c r="B35921" s="0" t="s">
        <v>7</v>
      </c>
    </row>
    <row r="35922" customFormat="false" ht="12.8" hidden="false" customHeight="false" outlineLevel="0" collapsed="false">
      <c r="B35922" s="0" t="s">
        <v>14</v>
      </c>
    </row>
    <row r="35924" customFormat="false" ht="12.8" hidden="false" customHeight="false" outlineLevel="0" collapsed="false">
      <c r="A35924" s="0" t="s">
        <v>13075</v>
      </c>
      <c r="B35924" s="0" t="str">
        <f aca="false">HYPERLINK("https://lindat.mff.cuni.cz/services/teitok/pdtc10/index.php?action=vallex&amp;frame=v-whsa_1162hsa_1164", "přeplavat (v-whsa_1162hsa_1164) - substituted with v-whsa_1162f2_ZU")</f>
        <v>přeplavat (v-whsa_1162hsa_1164) - substituted with v-whsa_1162f2_ZU</v>
      </c>
    </row>
    <row r="35925" customFormat="false" ht="12.8" hidden="false" customHeight="false" outlineLevel="0" collapsed="false">
      <c r="B35925" s="0" t="s">
        <v>7</v>
      </c>
    </row>
    <row r="35926" customFormat="false" ht="12.8" hidden="false" customHeight="false" outlineLevel="0" collapsed="false">
      <c r="B35926" s="0" t="s">
        <v>14</v>
      </c>
    </row>
    <row r="35928" customFormat="false" ht="12.8" hidden="false" customHeight="false" outlineLevel="0" collapsed="false">
      <c r="A35928" s="0" t="s">
        <v>13076</v>
      </c>
      <c r="B35928" s="0" t="str">
        <f aca="false">HYPERLINK("https://lindat.mff.cuni.cz/services/teitok/pdtc10/index.php?action=vallex&amp;frame=v-whsa_1314f1_ZU", "přeplavit (v-whsa_1314f1_ZU)")</f>
        <v>přeplavit (v-whsa_1314f1_ZU)</v>
      </c>
    </row>
    <row r="35929" customFormat="false" ht="12.8" hidden="false" customHeight="false" outlineLevel="0" collapsed="false">
      <c r="B35929" s="0" t="s">
        <v>7</v>
      </c>
    </row>
    <row r="35930" customFormat="false" ht="12.8" hidden="false" customHeight="false" outlineLevel="0" collapsed="false">
      <c r="B35930" s="0" t="s">
        <v>14</v>
      </c>
    </row>
    <row r="35931" customFormat="false" ht="12.8" hidden="false" customHeight="false" outlineLevel="0" collapsed="false">
      <c r="B35931" s="0" t="s">
        <v>459</v>
      </c>
    </row>
    <row r="35932" customFormat="false" ht="12.8" hidden="false" customHeight="false" outlineLevel="0" collapsed="false">
      <c r="B35932" s="0" t="s">
        <v>124</v>
      </c>
    </row>
    <row r="35934" customFormat="false" ht="12.8" hidden="false" customHeight="false" outlineLevel="0" collapsed="false">
      <c r="A35934" s="0" t="s">
        <v>13076</v>
      </c>
      <c r="B35934" s="0" t="str">
        <f aca="false">HYPERLINK("https://lindat.mff.cuni.cz/services/teitok/pdtc10/index.php?action=vallex&amp;frame=v-whsa_1314hsa_1315", "přeplavit (v-whsa_1314hsa_1315) - substituted with v-whsa_1314f1_ZU")</f>
        <v>přeplavit (v-whsa_1314hsa_1315) - substituted with v-whsa_1314f1_ZU</v>
      </c>
    </row>
    <row r="35935" customFormat="false" ht="12.8" hidden="false" customHeight="false" outlineLevel="0" collapsed="false">
      <c r="B35935" s="0" t="s">
        <v>7</v>
      </c>
    </row>
    <row r="35936" customFormat="false" ht="12.8" hidden="false" customHeight="false" outlineLevel="0" collapsed="false">
      <c r="B35936" s="0" t="s">
        <v>14</v>
      </c>
    </row>
    <row r="35937" customFormat="false" ht="12.8" hidden="false" customHeight="false" outlineLevel="0" collapsed="false">
      <c r="B35937" s="0" t="s">
        <v>459</v>
      </c>
    </row>
    <row r="35938" customFormat="false" ht="12.8" hidden="false" customHeight="false" outlineLevel="0" collapsed="false">
      <c r="B35938" s="0" t="s">
        <v>124</v>
      </c>
    </row>
    <row r="35940" customFormat="false" ht="12.8" hidden="false" customHeight="false" outlineLevel="0" collapsed="false">
      <c r="A35940" s="0" t="s">
        <v>13077</v>
      </c>
      <c r="B35940" s="0" t="str">
        <f aca="false">HYPERLINK("https://lindat.mff.cuni.cz/services/teitok/pdtc10/index.php?action=vallex&amp;frame=v-w4922f2", "přeplnit (v-w4922f2)")</f>
        <v>přeplnit (v-w4922f2)</v>
      </c>
    </row>
    <row r="35941" customFormat="false" ht="12.8" hidden="false" customHeight="false" outlineLevel="0" collapsed="false">
      <c r="B35941" s="0" t="s">
        <v>7</v>
      </c>
    </row>
    <row r="35942" customFormat="false" ht="12.8" hidden="false" customHeight="false" outlineLevel="0" collapsed="false">
      <c r="B35942" s="0" t="s">
        <v>14</v>
      </c>
    </row>
    <row r="35943" customFormat="false" ht="12.8" hidden="false" customHeight="false" outlineLevel="0" collapsed="false">
      <c r="B35943" s="0" t="s">
        <v>6292</v>
      </c>
    </row>
    <row r="35945" customFormat="false" ht="12.8" hidden="false" customHeight="false" outlineLevel="0" collapsed="false">
      <c r="A35945" s="0" t="s">
        <v>13078</v>
      </c>
      <c r="B35945" s="0" t="str">
        <f aca="false">HYPERLINK("https://lindat.mff.cuni.cz/services/teitok/pdtc10/index.php?action=vallex&amp;frame=v-w4922f1", "přeplnit (v-w4922f1)")</f>
        <v>přeplnit (v-w4922f1)</v>
      </c>
    </row>
    <row r="35946" customFormat="false" ht="12.8" hidden="false" customHeight="false" outlineLevel="0" collapsed="false">
      <c r="B35946" s="0" t="s">
        <v>7</v>
      </c>
    </row>
    <row r="35947" customFormat="false" ht="12.8" hidden="false" customHeight="false" outlineLevel="0" collapsed="false">
      <c r="B35947" s="0" t="s">
        <v>14</v>
      </c>
    </row>
    <row r="35949" customFormat="false" ht="12.8" hidden="false" customHeight="false" outlineLevel="0" collapsed="false">
      <c r="A35949" s="0" t="s">
        <v>13079</v>
      </c>
      <c r="B35949" s="0" t="str">
        <f aca="false">HYPERLINK("https://lindat.mff.cuni.cz/services/teitok/pdtc10/index.php?action=vallex&amp;frame=v-w4918f1", "přeplácet (v-w4918f1)")</f>
        <v>přeplácet (v-w4918f1)</v>
      </c>
    </row>
    <row r="35950" customFormat="false" ht="12.8" hidden="false" customHeight="false" outlineLevel="0" collapsed="false">
      <c r="B35950" s="0" t="s">
        <v>7</v>
      </c>
      <c r="C35950" s="0" t="s">
        <v>46</v>
      </c>
      <c r="D35950" s="0" t="s">
        <v>335</v>
      </c>
      <c r="E35950" s="0" t="s">
        <v>335</v>
      </c>
      <c r="F35950" s="0" t="s">
        <v>335</v>
      </c>
    </row>
    <row r="35951" customFormat="false" ht="12.8" hidden="false" customHeight="false" outlineLevel="0" collapsed="false">
      <c r="B35951" s="0" t="s">
        <v>14</v>
      </c>
      <c r="C35951" s="0" t="s">
        <v>1544</v>
      </c>
      <c r="D35951" s="0" t="s">
        <v>6832</v>
      </c>
      <c r="E35951" s="0" t="s">
        <v>6832</v>
      </c>
      <c r="F35951" s="0" t="s">
        <v>6832</v>
      </c>
    </row>
    <row r="35953" customFormat="false" ht="12.8" hidden="false" customHeight="false" outlineLevel="0" collapsed="false">
      <c r="A35953" s="0" t="s">
        <v>13080</v>
      </c>
      <c r="B35953" s="0" t="str">
        <f aca="false">HYPERLINK("https://lindat.mff.cuni.cz/services/teitok/pdtc10/index.php?action=vallex&amp;frame=v-w10662f2", "přeplánovat (v-w10662f2)")</f>
        <v>přeplánovat (v-w10662f2)</v>
      </c>
    </row>
    <row r="35954" customFormat="false" ht="12.8" hidden="false" customHeight="false" outlineLevel="0" collapsed="false">
      <c r="B35954" s="0" t="s">
        <v>7</v>
      </c>
    </row>
    <row r="35955" customFormat="false" ht="12.8" hidden="false" customHeight="false" outlineLevel="0" collapsed="false">
      <c r="B35955" s="0" t="s">
        <v>14</v>
      </c>
    </row>
    <row r="35957" customFormat="false" ht="12.8" hidden="false" customHeight="false" outlineLevel="0" collapsed="false">
      <c r="A35957" s="0" t="s">
        <v>13081</v>
      </c>
      <c r="B35957" s="0" t="str">
        <f aca="false">HYPERLINK("https://lindat.mff.cuni.cz/services/teitok/pdtc10/index.php?action=vallex&amp;frame=v-w10738f3", "přepnout (v-w10738f3)")</f>
        <v>přepnout (v-w10738f3)</v>
      </c>
    </row>
    <row r="35958" customFormat="false" ht="12.8" hidden="false" customHeight="false" outlineLevel="0" collapsed="false">
      <c r="B35958" s="0" t="s">
        <v>7</v>
      </c>
    </row>
    <row r="35959" customFormat="false" ht="12.8" hidden="false" customHeight="false" outlineLevel="0" collapsed="false">
      <c r="B35959" s="0" t="s">
        <v>5029</v>
      </c>
    </row>
    <row r="35960" customFormat="false" ht="12.8" hidden="false" customHeight="false" outlineLevel="0" collapsed="false">
      <c r="B35960" s="0" t="s">
        <v>35</v>
      </c>
    </row>
    <row r="35962" customFormat="false" ht="12.8" hidden="false" customHeight="false" outlineLevel="0" collapsed="false">
      <c r="A35962" s="0" t="s">
        <v>13082</v>
      </c>
      <c r="B35962" s="0" t="str">
        <f aca="false">HYPERLINK("https://lindat.mff.cuni.cz/services/teitok/pdtc10/index.php?action=vallex&amp;frame=v-w10738f2", "přepnout (v-w10738f2)")</f>
        <v>přepnout (v-w10738f2)</v>
      </c>
    </row>
    <row r="35963" customFormat="false" ht="12.8" hidden="false" customHeight="false" outlineLevel="0" collapsed="false">
      <c r="B35963" s="0" t="s">
        <v>7</v>
      </c>
    </row>
    <row r="35964" customFormat="false" ht="12.8" hidden="false" customHeight="false" outlineLevel="0" collapsed="false">
      <c r="B35964" s="0" t="s">
        <v>14</v>
      </c>
    </row>
    <row r="35965" customFormat="false" ht="12.8" hidden="false" customHeight="false" outlineLevel="0" collapsed="false">
      <c r="B35965" s="0" t="s">
        <v>459</v>
      </c>
    </row>
    <row r="35966" customFormat="false" ht="12.8" hidden="false" customHeight="false" outlineLevel="0" collapsed="false">
      <c r="B35966" s="0" t="s">
        <v>124</v>
      </c>
    </row>
    <row r="35968" customFormat="false" ht="12.8" hidden="false" customHeight="false" outlineLevel="0" collapsed="false">
      <c r="A35968" s="0" t="s">
        <v>13083</v>
      </c>
      <c r="B35968" s="0" t="str">
        <f aca="false">HYPERLINK("https://lindat.mff.cuni.cz/services/teitok/pdtc10/index.php?action=vallex&amp;frame=v-whsa_1023hsa_1024", "přepnout se (v-whsa_1023hsa_1024)")</f>
        <v>přepnout se (v-whsa_1023hsa_1024)</v>
      </c>
    </row>
    <row r="35969" customFormat="false" ht="12.8" hidden="false" customHeight="false" outlineLevel="0" collapsed="false">
      <c r="B35969" s="0" t="s">
        <v>7</v>
      </c>
      <c r="C35969" s="0" t="s">
        <v>6219</v>
      </c>
      <c r="D35969" s="0" t="s">
        <v>12599</v>
      </c>
      <c r="E35969" s="0" t="s">
        <v>12599</v>
      </c>
      <c r="F35969" s="0" t="s">
        <v>12599</v>
      </c>
    </row>
    <row r="35970" customFormat="false" ht="12.8" hidden="false" customHeight="false" outlineLevel="0" collapsed="false">
      <c r="B35970" s="0" t="s">
        <v>41</v>
      </c>
      <c r="C35970" s="0" t="s">
        <v>13084</v>
      </c>
      <c r="D35970" s="0" t="s">
        <v>12602</v>
      </c>
      <c r="E35970" s="0" t="s">
        <v>12602</v>
      </c>
      <c r="F35970" s="0" t="s">
        <v>12602</v>
      </c>
    </row>
    <row r="35971" customFormat="false" ht="12.8" hidden="false" customHeight="false" outlineLevel="0" collapsed="false">
      <c r="B35971" s="0" t="s">
        <v>35</v>
      </c>
      <c r="C35971" s="0" t="s">
        <v>6246</v>
      </c>
      <c r="D35971" s="0" t="s">
        <v>12603</v>
      </c>
      <c r="E35971" s="0" t="s">
        <v>12603</v>
      </c>
      <c r="F35971" s="0" t="s">
        <v>12603</v>
      </c>
    </row>
    <row r="35973" customFormat="false" ht="12.8" hidden="false" customHeight="false" outlineLevel="0" collapsed="false">
      <c r="A35973" s="0" t="s">
        <v>13085</v>
      </c>
      <c r="B35973" s="0" t="str">
        <f aca="false">HYPERLINK("https://lindat.mff.cuni.cz/services/teitok/pdtc10/index.php?action=vallex&amp;frame=v-w4925f1", "přepojit (v-w4925f1)")</f>
        <v>přepojit (v-w4925f1)</v>
      </c>
    </row>
    <row r="35974" customFormat="false" ht="12.8" hidden="false" customHeight="false" outlineLevel="0" collapsed="false">
      <c r="B35974" s="0" t="s">
        <v>7</v>
      </c>
    </row>
    <row r="35975" customFormat="false" ht="12.8" hidden="false" customHeight="false" outlineLevel="0" collapsed="false">
      <c r="B35975" s="0" t="s">
        <v>14</v>
      </c>
    </row>
    <row r="35976" customFormat="false" ht="12.8" hidden="false" customHeight="false" outlineLevel="0" collapsed="false">
      <c r="B35976" s="0" t="s">
        <v>459</v>
      </c>
    </row>
    <row r="35977" customFormat="false" ht="12.8" hidden="false" customHeight="false" outlineLevel="0" collapsed="false">
      <c r="B35977" s="0" t="s">
        <v>124</v>
      </c>
    </row>
    <row r="35979" customFormat="false" ht="12.8" hidden="false" customHeight="false" outlineLevel="0" collapsed="false">
      <c r="A35979" s="0" t="s">
        <v>13086</v>
      </c>
      <c r="B35979" s="0" t="str">
        <f aca="false">HYPERLINK("https://lindat.mff.cuni.cz/services/teitok/pdtc10/index.php?action=vallex&amp;frame=v-w11334f1", "přeposílat (v-w11334f1)")</f>
        <v>přeposílat (v-w11334f1)</v>
      </c>
    </row>
    <row r="35980" customFormat="false" ht="12.8" hidden="false" customHeight="false" outlineLevel="0" collapsed="false">
      <c r="B35980" s="0" t="s">
        <v>7</v>
      </c>
      <c r="D35980" s="0" t="s">
        <v>583</v>
      </c>
      <c r="E35980" s="0" t="s">
        <v>13087</v>
      </c>
      <c r="F35980" s="0" t="s">
        <v>13087</v>
      </c>
    </row>
    <row r="35981" customFormat="false" ht="12.8" hidden="false" customHeight="false" outlineLevel="0" collapsed="false">
      <c r="B35981" s="0" t="s">
        <v>14</v>
      </c>
      <c r="D35981" s="0" t="s">
        <v>13088</v>
      </c>
      <c r="E35981" s="0" t="s">
        <v>13089</v>
      </c>
      <c r="F35981" s="0" t="s">
        <v>13089</v>
      </c>
    </row>
    <row r="35982" customFormat="false" ht="12.8" hidden="false" customHeight="false" outlineLevel="0" collapsed="false">
      <c r="B35982" s="0" t="s">
        <v>48</v>
      </c>
      <c r="D35982" s="0" t="s">
        <v>13090</v>
      </c>
      <c r="E35982" s="0" t="s">
        <v>13091</v>
      </c>
      <c r="F35982" s="0" t="s">
        <v>13091</v>
      </c>
    </row>
    <row r="35984" customFormat="false" ht="12.8" hidden="false" customHeight="false" outlineLevel="0" collapsed="false">
      <c r="A35984" s="0" t="s">
        <v>13092</v>
      </c>
      <c r="B35984" s="0" t="str">
        <f aca="false">HYPERLINK("https://lindat.mff.cuni.cz/services/teitok/pdtc10/index.php?action=vallex&amp;frame=v-w10696f3_ZU", "přepočíst (v-w10696f3_ZU)")</f>
        <v>přepočíst (v-w10696f3_ZU)</v>
      </c>
    </row>
    <row r="35985" customFormat="false" ht="12.8" hidden="false" customHeight="false" outlineLevel="0" collapsed="false">
      <c r="B35985" s="0" t="s">
        <v>7</v>
      </c>
    </row>
    <row r="35986" customFormat="false" ht="12.8" hidden="false" customHeight="false" outlineLevel="0" collapsed="false">
      <c r="B35986" s="0" t="s">
        <v>54</v>
      </c>
    </row>
    <row r="35987" customFormat="false" ht="12.8" hidden="false" customHeight="false" outlineLevel="0" collapsed="false">
      <c r="B35987" s="0" t="s">
        <v>84</v>
      </c>
    </row>
    <row r="35989" customFormat="false" ht="12.8" hidden="false" customHeight="false" outlineLevel="0" collapsed="false">
      <c r="A35989" s="0" t="s">
        <v>13092</v>
      </c>
      <c r="B35989" s="0" t="str">
        <f aca="false">HYPERLINK("https://lindat.mff.cuni.cz/services/teitok/pdtc10/index.php?action=vallex&amp;frame=v-w10696f2", "přepočíst (v-w10696f2) - substituted with v-w10696f3_ZU")</f>
        <v>přepočíst (v-w10696f2) - substituted with v-w10696f3_ZU</v>
      </c>
    </row>
    <row r="35990" customFormat="false" ht="12.8" hidden="false" customHeight="false" outlineLevel="0" collapsed="false">
      <c r="B35990" s="0" t="s">
        <v>7</v>
      </c>
      <c r="C35990" s="0" t="s">
        <v>184</v>
      </c>
      <c r="D35990" s="0" t="s">
        <v>2220</v>
      </c>
      <c r="E35990" s="0" t="s">
        <v>2220</v>
      </c>
      <c r="F35990" s="0" t="s">
        <v>2220</v>
      </c>
    </row>
    <row r="35991" customFormat="false" ht="12.8" hidden="false" customHeight="false" outlineLevel="0" collapsed="false">
      <c r="B35991" s="0" t="s">
        <v>54</v>
      </c>
      <c r="C35991" s="0" t="s">
        <v>120</v>
      </c>
      <c r="D35991" s="0" t="s">
        <v>11865</v>
      </c>
      <c r="E35991" s="0" t="s">
        <v>11865</v>
      </c>
      <c r="F35991" s="0" t="s">
        <v>11865</v>
      </c>
    </row>
    <row r="35992" customFormat="false" ht="12.8" hidden="false" customHeight="false" outlineLevel="0" collapsed="false">
      <c r="B35992" s="0" t="s">
        <v>84</v>
      </c>
    </row>
    <row r="35994" customFormat="false" ht="12.8" hidden="false" customHeight="false" outlineLevel="0" collapsed="false">
      <c r="A35994" s="0" t="s">
        <v>13093</v>
      </c>
      <c r="B35994" s="0" t="str">
        <f aca="false">HYPERLINK("https://lindat.mff.cuni.cz/services/teitok/pdtc10/index.php?action=vallex&amp;frame=v-w11556_ZUf2_ZU", "přepočítat (v-w11556_ZUf2_ZU)")</f>
        <v>přepočítat (v-w11556_ZUf2_ZU)</v>
      </c>
    </row>
    <row r="35995" customFormat="false" ht="12.8" hidden="false" customHeight="false" outlineLevel="0" collapsed="false">
      <c r="B35995" s="0" t="s">
        <v>7</v>
      </c>
      <c r="C35995" s="0" t="s">
        <v>13094</v>
      </c>
    </row>
    <row r="35996" customFormat="false" ht="12.8" hidden="false" customHeight="false" outlineLevel="0" collapsed="false">
      <c r="B35996" s="0" t="s">
        <v>14</v>
      </c>
      <c r="C35996" s="0" t="s">
        <v>13095</v>
      </c>
    </row>
    <row r="35997" customFormat="false" ht="12.8" hidden="false" customHeight="false" outlineLevel="0" collapsed="false">
      <c r="B35997" s="0" t="s">
        <v>35</v>
      </c>
    </row>
    <row r="35998" customFormat="false" ht="12.8" hidden="false" customHeight="false" outlineLevel="0" collapsed="false">
      <c r="B35998" s="0" t="s">
        <v>84</v>
      </c>
      <c r="C35998" s="0" t="s">
        <v>13096</v>
      </c>
    </row>
    <row r="36000" customFormat="false" ht="12.8" hidden="false" customHeight="false" outlineLevel="0" collapsed="false">
      <c r="A36000" s="0" t="s">
        <v>13093</v>
      </c>
      <c r="B36000" s="0" t="str">
        <f aca="false">HYPERLINK("https://lindat.mff.cuni.cz/services/teitok/pdtc10/index.php?action=vallex&amp;frame=v-w11556_ZUf1_ZU", "přepočítat (v-w11556_ZUf1_ZU) - substituted with v-w11556_ZUf2_ZU")</f>
        <v>přepočítat (v-w11556_ZUf1_ZU) - substituted with v-w11556_ZUf2_ZU</v>
      </c>
    </row>
    <row r="36001" customFormat="false" ht="12.8" hidden="false" customHeight="false" outlineLevel="0" collapsed="false">
      <c r="B36001" s="0" t="s">
        <v>7</v>
      </c>
    </row>
    <row r="36002" customFormat="false" ht="12.8" hidden="false" customHeight="false" outlineLevel="0" collapsed="false">
      <c r="B36002" s="0" t="s">
        <v>14</v>
      </c>
    </row>
    <row r="36003" customFormat="false" ht="12.8" hidden="false" customHeight="false" outlineLevel="0" collapsed="false">
      <c r="B36003" s="0" t="s">
        <v>35</v>
      </c>
    </row>
    <row r="36004" customFormat="false" ht="12.8" hidden="false" customHeight="false" outlineLevel="0" collapsed="false">
      <c r="B36004" s="0" t="s">
        <v>84</v>
      </c>
    </row>
    <row r="36006" customFormat="false" ht="12.8" hidden="false" customHeight="false" outlineLevel="0" collapsed="false">
      <c r="A36006" s="0" t="s">
        <v>13097</v>
      </c>
      <c r="B36006" s="0" t="str">
        <f aca="false">HYPERLINK("https://lindat.mff.cuni.cz/services/teitok/pdtc10/index.php?action=vallex&amp;frame=v-w11556_ZUhsa_574", "přepočítat (v-w11556_ZUhsa_574)")</f>
        <v>přepočítat (v-w11556_ZUhsa_574)</v>
      </c>
    </row>
    <row r="36007" customFormat="false" ht="12.8" hidden="false" customHeight="false" outlineLevel="0" collapsed="false">
      <c r="B36007" s="0" t="s">
        <v>7</v>
      </c>
      <c r="C36007" s="0" t="s">
        <v>113</v>
      </c>
      <c r="D36007" s="0" t="s">
        <v>2220</v>
      </c>
      <c r="E36007" s="0" t="s">
        <v>2220</v>
      </c>
      <c r="F36007" s="0" t="s">
        <v>2220</v>
      </c>
    </row>
    <row r="36008" customFormat="false" ht="12.8" hidden="false" customHeight="false" outlineLevel="0" collapsed="false">
      <c r="B36008" s="0" t="s">
        <v>14</v>
      </c>
      <c r="C36008" s="0" t="s">
        <v>1405</v>
      </c>
      <c r="D36008" s="0" t="s">
        <v>11865</v>
      </c>
      <c r="E36008" s="0" t="s">
        <v>11865</v>
      </c>
      <c r="F36008" s="0" t="s">
        <v>11865</v>
      </c>
    </row>
    <row r="36010" customFormat="false" ht="12.8" hidden="false" customHeight="false" outlineLevel="0" collapsed="false">
      <c r="A36010" s="0" t="s">
        <v>13098</v>
      </c>
      <c r="B36010" s="0" t="str">
        <f aca="false">HYPERLINK("https://lindat.mff.cuni.cz/services/teitok/pdtc10/index.php?action=vallex&amp;frame=v-w4924f1", "přepočítat se (v-w4924f1)")</f>
        <v>přepočítat se (v-w4924f1)</v>
      </c>
    </row>
    <row r="36011" customFormat="false" ht="12.8" hidden="false" customHeight="false" outlineLevel="0" collapsed="false">
      <c r="B36011" s="0" t="s">
        <v>7</v>
      </c>
      <c r="C36011" s="0" t="s">
        <v>569</v>
      </c>
    </row>
    <row r="36013" customFormat="false" ht="12.8" hidden="false" customHeight="false" outlineLevel="0" collapsed="false">
      <c r="A36013" s="0" t="s">
        <v>13099</v>
      </c>
      <c r="B36013" s="0" t="str">
        <f aca="false">HYPERLINK("https://lindat.mff.cuni.cz/services/teitok/pdtc10/index.php?action=vallex&amp;frame=v-w10171f2", "přepočítávat (v-w10171f2)")</f>
        <v>přepočítávat (v-w10171f2)</v>
      </c>
    </row>
    <row r="36014" customFormat="false" ht="12.8" hidden="false" customHeight="false" outlineLevel="0" collapsed="false">
      <c r="B36014" s="0" t="s">
        <v>7</v>
      </c>
      <c r="C36014" s="0" t="s">
        <v>46</v>
      </c>
      <c r="D36014" s="0" t="s">
        <v>8931</v>
      </c>
      <c r="E36014" s="0" t="s">
        <v>8931</v>
      </c>
      <c r="F36014" s="0" t="s">
        <v>8931</v>
      </c>
    </row>
    <row r="36015" customFormat="false" ht="12.8" hidden="false" customHeight="false" outlineLevel="0" collapsed="false">
      <c r="B36015" s="0" t="s">
        <v>54</v>
      </c>
      <c r="C36015" s="0" t="s">
        <v>567</v>
      </c>
      <c r="D36015" s="0" t="s">
        <v>1205</v>
      </c>
      <c r="E36015" s="0" t="s">
        <v>1205</v>
      </c>
      <c r="F36015" s="0" t="s">
        <v>1205</v>
      </c>
    </row>
    <row r="36017" customFormat="false" ht="12.8" hidden="false" customHeight="false" outlineLevel="0" collapsed="false">
      <c r="A36017" s="0" t="s">
        <v>13100</v>
      </c>
      <c r="B36017" s="0" t="str">
        <f aca="false">HYPERLINK("https://lindat.mff.cuni.cz/services/teitok/pdtc10/index.php?action=vallex&amp;frame=v-w4927f3", "přepracovat (v-w4927f3)")</f>
        <v>přepracovat (v-w4927f3)</v>
      </c>
    </row>
    <row r="36018" customFormat="false" ht="12.8" hidden="false" customHeight="false" outlineLevel="0" collapsed="false">
      <c r="B36018" s="0" t="s">
        <v>7</v>
      </c>
      <c r="C36018" s="0" t="s">
        <v>2736</v>
      </c>
      <c r="D36018" s="0" t="s">
        <v>13101</v>
      </c>
      <c r="E36018" s="0" t="s">
        <v>13101</v>
      </c>
      <c r="F36018" s="0" t="s">
        <v>13101</v>
      </c>
    </row>
    <row r="36019" customFormat="false" ht="12.8" hidden="false" customHeight="false" outlineLevel="0" collapsed="false">
      <c r="B36019" s="0" t="s">
        <v>14</v>
      </c>
      <c r="C36019" s="0" t="s">
        <v>2666</v>
      </c>
      <c r="D36019" s="0" t="s">
        <v>13102</v>
      </c>
      <c r="E36019" s="0" t="s">
        <v>13102</v>
      </c>
      <c r="F36019" s="0" t="s">
        <v>13102</v>
      </c>
    </row>
    <row r="36020" customFormat="false" ht="12.8" hidden="false" customHeight="false" outlineLevel="0" collapsed="false">
      <c r="B36020" s="0" t="s">
        <v>35</v>
      </c>
      <c r="D36020" s="0" t="s">
        <v>36</v>
      </c>
      <c r="E36020" s="0" t="s">
        <v>36</v>
      </c>
      <c r="F36020" s="0" t="s">
        <v>36</v>
      </c>
    </row>
    <row r="36021" customFormat="false" ht="12.8" hidden="false" customHeight="false" outlineLevel="0" collapsed="false">
      <c r="B36021" s="0" t="s">
        <v>84</v>
      </c>
      <c r="D36021" s="0" t="s">
        <v>39</v>
      </c>
      <c r="E36021" s="0" t="s">
        <v>39</v>
      </c>
      <c r="F36021" s="0" t="s">
        <v>39</v>
      </c>
    </row>
    <row r="36023" customFormat="false" ht="12.8" hidden="false" customHeight="false" outlineLevel="0" collapsed="false">
      <c r="A36023" s="0" t="s">
        <v>13100</v>
      </c>
      <c r="B36023" s="0" t="str">
        <f aca="false">HYPERLINK("https://lindat.mff.cuni.cz/services/teitok/pdtc10/index.php?action=vallex&amp;frame=v-w4927f1", "přepracovat (v-w4927f1) - substituted with v-w4927f3")</f>
        <v>přepracovat (v-w4927f1) - substituted with v-w4927f3</v>
      </c>
    </row>
    <row r="36024" customFormat="false" ht="12.8" hidden="false" customHeight="false" outlineLevel="0" collapsed="false">
      <c r="B36024" s="0" t="s">
        <v>7</v>
      </c>
      <c r="C36024" s="0" t="s">
        <v>31</v>
      </c>
    </row>
    <row r="36025" customFormat="false" ht="12.8" hidden="false" customHeight="false" outlineLevel="0" collapsed="false">
      <c r="B36025" s="0" t="s">
        <v>14</v>
      </c>
      <c r="C36025" s="0" t="s">
        <v>173</v>
      </c>
    </row>
    <row r="36026" customFormat="false" ht="12.8" hidden="false" customHeight="false" outlineLevel="0" collapsed="false">
      <c r="B36026" s="0" t="s">
        <v>35</v>
      </c>
    </row>
    <row r="36027" customFormat="false" ht="12.8" hidden="false" customHeight="false" outlineLevel="0" collapsed="false">
      <c r="B36027" s="0" t="s">
        <v>84</v>
      </c>
    </row>
    <row r="36029" customFormat="false" ht="12.8" hidden="false" customHeight="false" outlineLevel="0" collapsed="false">
      <c r="A36029" s="0" t="s">
        <v>13103</v>
      </c>
      <c r="B36029" s="0" t="str">
        <f aca="false">HYPERLINK("https://lindat.mff.cuni.cz/services/teitok/pdtc10/index.php?action=vallex&amp;frame=v-w10881f3", "přepracovávat (v-w10881f3)")</f>
        <v>přepracovávat (v-w10881f3)</v>
      </c>
    </row>
    <row r="36030" customFormat="false" ht="12.8" hidden="false" customHeight="false" outlineLevel="0" collapsed="false">
      <c r="B36030" s="0" t="s">
        <v>7</v>
      </c>
      <c r="C36030" s="0" t="s">
        <v>184</v>
      </c>
      <c r="D36030" s="0" t="s">
        <v>32</v>
      </c>
      <c r="E36030" s="0" t="s">
        <v>32</v>
      </c>
      <c r="F36030" s="0" t="s">
        <v>32</v>
      </c>
    </row>
    <row r="36031" customFormat="false" ht="12.8" hidden="false" customHeight="false" outlineLevel="0" collapsed="false">
      <c r="B36031" s="0" t="s">
        <v>14</v>
      </c>
      <c r="C36031" s="0" t="s">
        <v>461</v>
      </c>
      <c r="D36031" s="0" t="s">
        <v>34</v>
      </c>
      <c r="E36031" s="0" t="s">
        <v>34</v>
      </c>
      <c r="F36031" s="0" t="s">
        <v>34</v>
      </c>
    </row>
    <row r="36032" customFormat="false" ht="12.8" hidden="false" customHeight="false" outlineLevel="0" collapsed="false">
      <c r="B36032" s="0" t="s">
        <v>35</v>
      </c>
      <c r="D36032" s="0" t="s">
        <v>36</v>
      </c>
      <c r="E36032" s="0" t="s">
        <v>36</v>
      </c>
      <c r="F36032" s="0" t="s">
        <v>36</v>
      </c>
    </row>
    <row r="36033" customFormat="false" ht="12.8" hidden="false" customHeight="false" outlineLevel="0" collapsed="false">
      <c r="B36033" s="0" t="s">
        <v>84</v>
      </c>
      <c r="D36033" s="0" t="s">
        <v>39</v>
      </c>
      <c r="E36033" s="0" t="s">
        <v>39</v>
      </c>
      <c r="F36033" s="0" t="s">
        <v>39</v>
      </c>
    </row>
    <row r="36035" customFormat="false" ht="12.8" hidden="false" customHeight="false" outlineLevel="0" collapsed="false">
      <c r="A36035" s="0" t="s">
        <v>13104</v>
      </c>
      <c r="B36035" s="0" t="str">
        <f aca="false">HYPERLINK("https://lindat.mff.cuni.cz/services/teitok/pdtc10/index.php?action=vallex&amp;frame=v-w12262_ZUf1_ZU", "přeprat (v-w12262_ZUf1_ZU)")</f>
        <v>přeprat (v-w12262_ZUf1_ZU)</v>
      </c>
    </row>
    <row r="36036" customFormat="false" ht="12.8" hidden="false" customHeight="false" outlineLevel="0" collapsed="false">
      <c r="B36036" s="0" t="s">
        <v>7</v>
      </c>
    </row>
    <row r="36037" customFormat="false" ht="12.8" hidden="false" customHeight="false" outlineLevel="0" collapsed="false">
      <c r="B36037" s="0" t="s">
        <v>14</v>
      </c>
    </row>
    <row r="36039" customFormat="false" ht="12.8" hidden="false" customHeight="false" outlineLevel="0" collapsed="false">
      <c r="A36039" s="0" t="s">
        <v>13105</v>
      </c>
      <c r="B36039" s="0" t="str">
        <f aca="false">HYPERLINK("https://lindat.mff.cuni.cz/services/teitok/pdtc10/index.php?action=vallex&amp;frame=v-w4930f1", "přepravit (v-w4930f1)")</f>
        <v>přepravit (v-w4930f1)</v>
      </c>
    </row>
    <row r="36040" customFormat="false" ht="12.8" hidden="false" customHeight="false" outlineLevel="0" collapsed="false">
      <c r="B36040" s="0" t="s">
        <v>7</v>
      </c>
      <c r="C36040" s="0" t="s">
        <v>2583</v>
      </c>
      <c r="D36040" s="0" t="s">
        <v>4161</v>
      </c>
      <c r="E36040" s="0" t="s">
        <v>4161</v>
      </c>
      <c r="F36040" s="0" t="s">
        <v>4161</v>
      </c>
    </row>
    <row r="36041" customFormat="false" ht="12.8" hidden="false" customHeight="false" outlineLevel="0" collapsed="false">
      <c r="B36041" s="0" t="s">
        <v>14</v>
      </c>
      <c r="C36041" s="0" t="s">
        <v>11456</v>
      </c>
      <c r="D36041" s="0" t="s">
        <v>8195</v>
      </c>
      <c r="E36041" s="0" t="s">
        <v>8195</v>
      </c>
      <c r="F36041" s="0" t="s">
        <v>8195</v>
      </c>
    </row>
    <row r="36042" customFormat="false" ht="12.8" hidden="false" customHeight="false" outlineLevel="0" collapsed="false">
      <c r="B36042" s="0" t="s">
        <v>459</v>
      </c>
    </row>
    <row r="36043" customFormat="false" ht="12.8" hidden="false" customHeight="false" outlineLevel="0" collapsed="false">
      <c r="B36043" s="0" t="s">
        <v>124</v>
      </c>
      <c r="D36043" s="0" t="s">
        <v>10830</v>
      </c>
      <c r="E36043" s="0" t="s">
        <v>10830</v>
      </c>
      <c r="F36043" s="0" t="s">
        <v>10830</v>
      </c>
    </row>
    <row r="36045" customFormat="false" ht="12.8" hidden="false" customHeight="false" outlineLevel="0" collapsed="false">
      <c r="A36045" s="0" t="s">
        <v>13106</v>
      </c>
      <c r="B36045" s="0" t="str">
        <f aca="false">HYPERLINK("https://lindat.mff.cuni.cz/services/teitok/pdtc10/index.php?action=vallex&amp;frame=v-w4931f1", "přepravovat (v-w4931f1)")</f>
        <v>přepravovat (v-w4931f1)</v>
      </c>
    </row>
    <row r="36046" customFormat="false" ht="12.8" hidden="false" customHeight="false" outlineLevel="0" collapsed="false">
      <c r="B36046" s="0" t="s">
        <v>7</v>
      </c>
      <c r="C36046" s="0" t="s">
        <v>1874</v>
      </c>
      <c r="D36046" s="0" t="s">
        <v>4161</v>
      </c>
      <c r="E36046" s="0" t="s">
        <v>4161</v>
      </c>
      <c r="F36046" s="0" t="s">
        <v>4161</v>
      </c>
    </row>
    <row r="36047" customFormat="false" ht="12.8" hidden="false" customHeight="false" outlineLevel="0" collapsed="false">
      <c r="B36047" s="0" t="s">
        <v>14</v>
      </c>
      <c r="C36047" s="0" t="s">
        <v>1277</v>
      </c>
      <c r="D36047" s="0" t="s">
        <v>8195</v>
      </c>
      <c r="E36047" s="0" t="s">
        <v>8195</v>
      </c>
      <c r="F36047" s="0" t="s">
        <v>8195</v>
      </c>
    </row>
    <row r="36048" customFormat="false" ht="12.8" hidden="false" customHeight="false" outlineLevel="0" collapsed="false">
      <c r="B36048" s="0" t="s">
        <v>459</v>
      </c>
    </row>
    <row r="36049" customFormat="false" ht="12.8" hidden="false" customHeight="false" outlineLevel="0" collapsed="false">
      <c r="B36049" s="0" t="s">
        <v>124</v>
      </c>
      <c r="D36049" s="0" t="s">
        <v>10830</v>
      </c>
      <c r="E36049" s="0" t="s">
        <v>10830</v>
      </c>
      <c r="F36049" s="0" t="s">
        <v>10830</v>
      </c>
    </row>
    <row r="36051" customFormat="false" ht="12.8" hidden="false" customHeight="false" outlineLevel="0" collapsed="false">
      <c r="A36051" s="0" t="s">
        <v>13107</v>
      </c>
      <c r="B36051" s="0" t="str">
        <f aca="false">HYPERLINK("https://lindat.mff.cuni.cz/services/teitok/pdtc10/index.php?action=vallex&amp;frame=v-w4933f1", "přepsat (v-w4933f1)")</f>
        <v>přepsat (v-w4933f1)</v>
      </c>
    </row>
    <row r="36052" customFormat="false" ht="12.8" hidden="false" customHeight="false" outlineLevel="0" collapsed="false">
      <c r="B36052" s="0" t="s">
        <v>7</v>
      </c>
    </row>
    <row r="36053" customFormat="false" ht="12.8" hidden="false" customHeight="false" outlineLevel="0" collapsed="false">
      <c r="B36053" s="0" t="s">
        <v>14</v>
      </c>
    </row>
    <row r="36054" customFormat="false" ht="12.8" hidden="false" customHeight="false" outlineLevel="0" collapsed="false">
      <c r="B36054" s="0" t="s">
        <v>6853</v>
      </c>
    </row>
    <row r="36055" customFormat="false" ht="12.8" hidden="false" customHeight="false" outlineLevel="0" collapsed="false">
      <c r="B36055" s="0" t="s">
        <v>3441</v>
      </c>
    </row>
    <row r="36057" customFormat="false" ht="12.8" hidden="false" customHeight="false" outlineLevel="0" collapsed="false">
      <c r="A36057" s="0" t="s">
        <v>13108</v>
      </c>
      <c r="B36057" s="0" t="str">
        <f aca="false">HYPERLINK("https://lindat.mff.cuni.cz/services/teitok/pdtc10/index.php?action=vallex&amp;frame=v-w4933f2_ZU", "přepsat (v-w4933f2_ZU)")</f>
        <v>přepsat (v-w4933f2_ZU)</v>
      </c>
    </row>
    <row r="36058" customFormat="false" ht="12.8" hidden="false" customHeight="false" outlineLevel="0" collapsed="false">
      <c r="B36058" s="0" t="s">
        <v>7</v>
      </c>
      <c r="D36058" s="0" t="s">
        <v>32</v>
      </c>
      <c r="E36058" s="0" t="s">
        <v>32</v>
      </c>
      <c r="F36058" s="0" t="s">
        <v>32</v>
      </c>
    </row>
    <row r="36059" customFormat="false" ht="12.8" hidden="false" customHeight="false" outlineLevel="0" collapsed="false">
      <c r="B36059" s="0" t="s">
        <v>14</v>
      </c>
      <c r="D36059" s="0" t="s">
        <v>34</v>
      </c>
      <c r="E36059" s="0" t="s">
        <v>34</v>
      </c>
      <c r="F36059" s="0" t="s">
        <v>34</v>
      </c>
    </row>
    <row r="36060" customFormat="false" ht="12.8" hidden="false" customHeight="false" outlineLevel="0" collapsed="false">
      <c r="B36060" s="0" t="s">
        <v>35</v>
      </c>
      <c r="D36060" s="0" t="s">
        <v>36</v>
      </c>
      <c r="E36060" s="0" t="s">
        <v>36</v>
      </c>
      <c r="F36060" s="0" t="s">
        <v>36</v>
      </c>
    </row>
    <row r="36061" customFormat="false" ht="12.8" hidden="false" customHeight="false" outlineLevel="0" collapsed="false">
      <c r="B36061" s="0" t="s">
        <v>84</v>
      </c>
      <c r="D36061" s="0" t="s">
        <v>39</v>
      </c>
      <c r="E36061" s="0" t="s">
        <v>39</v>
      </c>
      <c r="F36061" s="0" t="s">
        <v>39</v>
      </c>
    </row>
    <row r="36063" customFormat="false" ht="12.8" hidden="false" customHeight="false" outlineLevel="0" collapsed="false">
      <c r="A36063" s="0" t="s">
        <v>13109</v>
      </c>
      <c r="B36063" s="0" t="str">
        <f aca="false">HYPERLINK("https://lindat.mff.cuni.cz/services/teitok/pdtc10/index.php?action=vallex&amp;frame=v-w4934f1", "přepustit (v-w4934f1)")</f>
        <v>přepustit (v-w4934f1)</v>
      </c>
    </row>
    <row r="36064" customFormat="false" ht="12.8" hidden="false" customHeight="false" outlineLevel="0" collapsed="false">
      <c r="B36064" s="0" t="s">
        <v>7</v>
      </c>
    </row>
    <row r="36065" customFormat="false" ht="12.8" hidden="false" customHeight="false" outlineLevel="0" collapsed="false">
      <c r="B36065" s="0" t="s">
        <v>14</v>
      </c>
    </row>
    <row r="36066" customFormat="false" ht="12.8" hidden="false" customHeight="false" outlineLevel="0" collapsed="false">
      <c r="B36066" s="0" t="s">
        <v>48</v>
      </c>
    </row>
    <row r="36068" customFormat="false" ht="12.8" hidden="false" customHeight="false" outlineLevel="0" collapsed="false">
      <c r="A36068" s="0" t="s">
        <v>13110</v>
      </c>
      <c r="B36068" s="0" t="str">
        <f aca="false">HYPERLINK("https://lindat.mff.cuni.cz/services/teitok/pdtc10/index.php?action=vallex&amp;frame=v-w4914f1", "přepínat (v-w4914f1)")</f>
        <v>přepínat (v-w4914f1)</v>
      </c>
    </row>
    <row r="36069" customFormat="false" ht="12.8" hidden="false" customHeight="false" outlineLevel="0" collapsed="false">
      <c r="B36069" s="0" t="s">
        <v>7</v>
      </c>
      <c r="C36069" s="0" t="s">
        <v>46</v>
      </c>
    </row>
    <row r="36070" customFormat="false" ht="12.8" hidden="false" customHeight="false" outlineLevel="0" collapsed="false">
      <c r="B36070" s="0" t="s">
        <v>14</v>
      </c>
    </row>
    <row r="36071" customFormat="false" ht="12.8" hidden="false" customHeight="false" outlineLevel="0" collapsed="false">
      <c r="B36071" s="0" t="s">
        <v>459</v>
      </c>
    </row>
    <row r="36072" customFormat="false" ht="12.8" hidden="false" customHeight="false" outlineLevel="0" collapsed="false">
      <c r="B36072" s="0" t="s">
        <v>124</v>
      </c>
      <c r="C36072" s="0" t="s">
        <v>2238</v>
      </c>
    </row>
    <row r="36074" customFormat="false" ht="12.8" hidden="false" customHeight="false" outlineLevel="0" collapsed="false">
      <c r="A36074" s="0" t="s">
        <v>13111</v>
      </c>
      <c r="B36074" s="0" t="str">
        <f aca="false">HYPERLINK("https://lindat.mff.cuni.cz/services/teitok/pdtc10/index.php?action=vallex&amp;frame=v-w4935f1", "přerazit (v-w4935f1)")</f>
        <v>přerazit (v-w4935f1)</v>
      </c>
    </row>
    <row r="36075" customFormat="false" ht="12.8" hidden="false" customHeight="false" outlineLevel="0" collapsed="false">
      <c r="B36075" s="0" t="s">
        <v>7</v>
      </c>
      <c r="D36075" s="0" t="s">
        <v>2797</v>
      </c>
      <c r="E36075" s="0" t="s">
        <v>2797</v>
      </c>
      <c r="F36075" s="0" t="s">
        <v>2797</v>
      </c>
    </row>
    <row r="36076" customFormat="false" ht="12.8" hidden="false" customHeight="false" outlineLevel="0" collapsed="false">
      <c r="B36076" s="0" t="s">
        <v>14</v>
      </c>
      <c r="D36076" s="0" t="s">
        <v>4163</v>
      </c>
      <c r="E36076" s="0" t="s">
        <v>4163</v>
      </c>
      <c r="F36076" s="0" t="s">
        <v>4163</v>
      </c>
    </row>
    <row r="36077" customFormat="false" ht="12.8" hidden="false" customHeight="false" outlineLevel="0" collapsed="false">
      <c r="B36077" s="0" t="s">
        <v>2773</v>
      </c>
      <c r="D36077" s="0" t="s">
        <v>13112</v>
      </c>
      <c r="E36077" s="0" t="s">
        <v>13112</v>
      </c>
      <c r="F36077" s="0" t="s">
        <v>13112</v>
      </c>
    </row>
    <row r="36079" customFormat="false" ht="12.8" hidden="false" customHeight="false" outlineLevel="0" collapsed="false">
      <c r="A36079" s="0" t="s">
        <v>13113</v>
      </c>
      <c r="B36079" s="0" t="str">
        <f aca="false">HYPERLINK("https://lindat.mff.cuni.cz/services/teitok/pdtc10/index.php?action=vallex&amp;frame=v-w10228f2", "přerazítkovat (v-w10228f2)")</f>
        <v>přerazítkovat (v-w10228f2)</v>
      </c>
    </row>
    <row r="36080" customFormat="false" ht="12.8" hidden="false" customHeight="false" outlineLevel="0" collapsed="false">
      <c r="B36080" s="0" t="s">
        <v>7</v>
      </c>
    </row>
    <row r="36081" customFormat="false" ht="12.8" hidden="false" customHeight="false" outlineLevel="0" collapsed="false">
      <c r="B36081" s="0" t="s">
        <v>14</v>
      </c>
    </row>
    <row r="36082" customFormat="false" ht="12.8" hidden="false" customHeight="false" outlineLevel="0" collapsed="false">
      <c r="B36082" s="0" t="s">
        <v>35</v>
      </c>
    </row>
    <row r="36083" customFormat="false" ht="12.8" hidden="false" customHeight="false" outlineLevel="0" collapsed="false">
      <c r="B36083" s="0" t="s">
        <v>84</v>
      </c>
    </row>
    <row r="36085" customFormat="false" ht="12.8" hidden="false" customHeight="false" outlineLevel="0" collapsed="false">
      <c r="A36085" s="0" t="s">
        <v>13114</v>
      </c>
      <c r="B36085" s="0" t="str">
        <f aca="false">HYPERLINK("https://lindat.mff.cuni.cz/services/teitok/pdtc10/index.php?action=vallex&amp;frame=v-w4937f2", "přeregistrovat (v-w4937f2)")</f>
        <v>přeregistrovat (v-w4937f2)</v>
      </c>
    </row>
    <row r="36086" customFormat="false" ht="12.8" hidden="false" customHeight="false" outlineLevel="0" collapsed="false">
      <c r="B36086" s="0" t="s">
        <v>7</v>
      </c>
    </row>
    <row r="36087" customFormat="false" ht="12.8" hidden="false" customHeight="false" outlineLevel="0" collapsed="false">
      <c r="B36087" s="0" t="s">
        <v>14</v>
      </c>
    </row>
    <row r="36088" customFormat="false" ht="12.8" hidden="false" customHeight="false" outlineLevel="0" collapsed="false">
      <c r="B36088" s="0" t="s">
        <v>4101</v>
      </c>
    </row>
    <row r="36089" customFormat="false" ht="12.8" hidden="false" customHeight="false" outlineLevel="0" collapsed="false">
      <c r="B36089" s="0" t="s">
        <v>35</v>
      </c>
    </row>
    <row r="36091" customFormat="false" ht="12.8" hidden="false" customHeight="false" outlineLevel="0" collapsed="false">
      <c r="A36091" s="0" t="s">
        <v>13115</v>
      </c>
      <c r="B36091" s="0" t="str">
        <f aca="false">HYPERLINK("https://lindat.mff.cuni.cz/services/teitok/pdtc10/index.php?action=vallex&amp;frame=v-w4937f1", "přeregistrovat (v-w4937f1)")</f>
        <v>přeregistrovat (v-w4937f1)</v>
      </c>
    </row>
    <row r="36092" customFormat="false" ht="12.8" hidden="false" customHeight="false" outlineLevel="0" collapsed="false">
      <c r="B36092" s="0" t="s">
        <v>7</v>
      </c>
    </row>
    <row r="36093" customFormat="false" ht="12.8" hidden="false" customHeight="false" outlineLevel="0" collapsed="false">
      <c r="B36093" s="0" t="s">
        <v>14</v>
      </c>
    </row>
    <row r="36095" customFormat="false" ht="12.8" hidden="false" customHeight="false" outlineLevel="0" collapsed="false">
      <c r="A36095" s="0" t="s">
        <v>13116</v>
      </c>
      <c r="B36095" s="0" t="str">
        <f aca="false">HYPERLINK("https://lindat.mff.cuni.cz/services/teitok/pdtc10/index.php?action=vallex&amp;frame=v-w4938f1", "přeregistrovávat (v-w4938f1)")</f>
        <v>přeregistrovávat (v-w4938f1)</v>
      </c>
    </row>
    <row r="36096" customFormat="false" ht="12.8" hidden="false" customHeight="false" outlineLevel="0" collapsed="false">
      <c r="B36096" s="0" t="s">
        <v>7</v>
      </c>
    </row>
    <row r="36097" customFormat="false" ht="12.8" hidden="false" customHeight="false" outlineLevel="0" collapsed="false">
      <c r="B36097" s="0" t="s">
        <v>14</v>
      </c>
    </row>
    <row r="36099" customFormat="false" ht="12.8" hidden="false" customHeight="false" outlineLevel="0" collapsed="false">
      <c r="A36099" s="0" t="s">
        <v>13117</v>
      </c>
      <c r="B36099" s="0" t="str">
        <f aca="false">HYPERLINK("https://lindat.mff.cuni.cz/services/teitok/pdtc10/index.php?action=vallex&amp;frame=v-w4941f1", "přerozdělit (v-w4941f1)")</f>
        <v>přerozdělit (v-w4941f1)</v>
      </c>
    </row>
    <row r="36100" customFormat="false" ht="12.8" hidden="false" customHeight="false" outlineLevel="0" collapsed="false">
      <c r="B36100" s="0" t="s">
        <v>7</v>
      </c>
      <c r="C36100" s="0" t="s">
        <v>465</v>
      </c>
      <c r="D36100" s="0" t="s">
        <v>2507</v>
      </c>
      <c r="E36100" s="0" t="s">
        <v>2507</v>
      </c>
      <c r="F36100" s="0" t="s">
        <v>2507</v>
      </c>
    </row>
    <row r="36101" customFormat="false" ht="12.8" hidden="false" customHeight="false" outlineLevel="0" collapsed="false">
      <c r="B36101" s="0" t="s">
        <v>14</v>
      </c>
      <c r="C36101" s="0" t="s">
        <v>452</v>
      </c>
      <c r="D36101" s="0" t="s">
        <v>25</v>
      </c>
      <c r="E36101" s="0" t="s">
        <v>25</v>
      </c>
      <c r="F36101" s="0" t="s">
        <v>25</v>
      </c>
    </row>
    <row r="36102" customFormat="false" ht="12.8" hidden="false" customHeight="false" outlineLevel="0" collapsed="false">
      <c r="B36102" s="0" t="s">
        <v>1633</v>
      </c>
      <c r="C36102" s="0" t="s">
        <v>13118</v>
      </c>
      <c r="D36102" s="0" t="s">
        <v>1556</v>
      </c>
      <c r="E36102" s="0" t="s">
        <v>1556</v>
      </c>
      <c r="F36102" s="0" t="s">
        <v>1556</v>
      </c>
    </row>
    <row r="36104" customFormat="false" ht="12.8" hidden="false" customHeight="false" outlineLevel="0" collapsed="false">
      <c r="A36104" s="0" t="s">
        <v>13119</v>
      </c>
      <c r="B36104" s="0" t="str">
        <f aca="false">HYPERLINK("https://lindat.mff.cuni.cz/services/teitok/pdtc10/index.php?action=vallex&amp;frame=v-w4943f1", "přerozdělovat (v-w4943f1)")</f>
        <v>přerozdělovat (v-w4943f1)</v>
      </c>
    </row>
    <row r="36105" customFormat="false" ht="12.8" hidden="false" customHeight="false" outlineLevel="0" collapsed="false">
      <c r="B36105" s="0" t="s">
        <v>7</v>
      </c>
      <c r="C36105" s="0" t="s">
        <v>191</v>
      </c>
      <c r="D36105" s="0" t="s">
        <v>2507</v>
      </c>
      <c r="E36105" s="0" t="s">
        <v>2507</v>
      </c>
      <c r="F36105" s="0" t="s">
        <v>2507</v>
      </c>
    </row>
    <row r="36106" customFormat="false" ht="12.8" hidden="false" customHeight="false" outlineLevel="0" collapsed="false">
      <c r="B36106" s="0" t="s">
        <v>14</v>
      </c>
      <c r="C36106" s="0" t="s">
        <v>47</v>
      </c>
      <c r="D36106" s="0" t="s">
        <v>25</v>
      </c>
      <c r="E36106" s="0" t="s">
        <v>25</v>
      </c>
      <c r="F36106" s="0" t="s">
        <v>25</v>
      </c>
    </row>
    <row r="36107" customFormat="false" ht="12.8" hidden="false" customHeight="false" outlineLevel="0" collapsed="false">
      <c r="B36107" s="0" t="s">
        <v>1633</v>
      </c>
      <c r="D36107" s="0" t="s">
        <v>1556</v>
      </c>
      <c r="E36107" s="0" t="s">
        <v>1556</v>
      </c>
      <c r="F36107" s="0" t="s">
        <v>1556</v>
      </c>
    </row>
    <row r="36109" customFormat="false" ht="12.8" hidden="false" customHeight="false" outlineLevel="0" collapsed="false">
      <c r="A36109" s="0" t="s">
        <v>13120</v>
      </c>
      <c r="B36109" s="0" t="str">
        <f aca="false">HYPERLINK("https://lindat.mff.cuni.cz/services/teitok/pdtc10/index.php?action=vallex&amp;frame=v-w4948f1", "přerušit (v-w4948f1)")</f>
        <v>přerušit (v-w4948f1)</v>
      </c>
    </row>
    <row r="36110" customFormat="false" ht="12.8" hidden="false" customHeight="false" outlineLevel="0" collapsed="false">
      <c r="B36110" s="0" t="s">
        <v>7</v>
      </c>
      <c r="C36110" s="0" t="s">
        <v>13121</v>
      </c>
      <c r="D36110" s="0" t="s">
        <v>13122</v>
      </c>
      <c r="E36110" s="0" t="s">
        <v>13122</v>
      </c>
      <c r="F36110" s="0" t="s">
        <v>13122</v>
      </c>
    </row>
    <row r="36111" customFormat="false" ht="12.8" hidden="false" customHeight="false" outlineLevel="0" collapsed="false">
      <c r="B36111" s="0" t="s">
        <v>14</v>
      </c>
      <c r="C36111" s="0" t="s">
        <v>13123</v>
      </c>
      <c r="D36111" s="0" t="s">
        <v>13124</v>
      </c>
      <c r="E36111" s="0" t="s">
        <v>13124</v>
      </c>
      <c r="F36111" s="0" t="s">
        <v>13124</v>
      </c>
    </row>
    <row r="36113" customFormat="false" ht="12.8" hidden="false" customHeight="false" outlineLevel="0" collapsed="false">
      <c r="A36113" s="0" t="s">
        <v>13125</v>
      </c>
      <c r="B36113" s="0" t="str">
        <f aca="false">HYPERLINK("https://lindat.mff.cuni.cz/services/teitok/pdtc10/index.php?action=vallex&amp;frame=v-w4948f3_ZU", "přerušit (v-w4948f3_ZU)")</f>
        <v>přerušit (v-w4948f3_ZU)</v>
      </c>
    </row>
    <row r="36114" customFormat="false" ht="12.8" hidden="false" customHeight="false" outlineLevel="0" collapsed="false">
      <c r="B36114" s="0" t="s">
        <v>7</v>
      </c>
    </row>
    <row r="36115" customFormat="false" ht="12.8" hidden="false" customHeight="false" outlineLevel="0" collapsed="false">
      <c r="B36115" s="0" t="s">
        <v>14</v>
      </c>
    </row>
    <row r="36117" customFormat="false" ht="12.8" hidden="false" customHeight="false" outlineLevel="0" collapsed="false">
      <c r="A36117" s="0" t="s">
        <v>13125</v>
      </c>
      <c r="B36117" s="0" t="str">
        <f aca="false">HYPERLINK("https://lindat.mff.cuni.cz/services/teitok/pdtc10/index.php?action=vallex&amp;frame=v-w4948f2_ZU", "přerušit (v-w4948f2_ZU) - substituted with v-w4948f3_ZU")</f>
        <v>přerušit (v-w4948f2_ZU) - substituted with v-w4948f3_ZU</v>
      </c>
    </row>
    <row r="36118" customFormat="false" ht="12.8" hidden="false" customHeight="false" outlineLevel="0" collapsed="false">
      <c r="B36118" s="0" t="s">
        <v>7</v>
      </c>
      <c r="C36118" s="0" t="s">
        <v>108</v>
      </c>
      <c r="D36118" s="0" t="s">
        <v>7397</v>
      </c>
      <c r="E36118" s="0" t="s">
        <v>7397</v>
      </c>
      <c r="F36118" s="0" t="s">
        <v>7397</v>
      </c>
    </row>
    <row r="36119" customFormat="false" ht="12.8" hidden="false" customHeight="false" outlineLevel="0" collapsed="false">
      <c r="B36119" s="0" t="s">
        <v>14</v>
      </c>
      <c r="C36119" s="0" t="s">
        <v>173</v>
      </c>
      <c r="D36119" s="0" t="s">
        <v>7398</v>
      </c>
      <c r="E36119" s="0" t="s">
        <v>7398</v>
      </c>
      <c r="F36119" s="0" t="s">
        <v>7398</v>
      </c>
    </row>
    <row r="36121" customFormat="false" ht="12.8" hidden="false" customHeight="false" outlineLevel="0" collapsed="false">
      <c r="A36121" s="0" t="s">
        <v>13126</v>
      </c>
      <c r="B36121" s="0" t="str">
        <f aca="false">HYPERLINK("https://lindat.mff.cuni.cz/services/teitok/pdtc10/index.php?action=vallex&amp;frame=v-w4948hsa_119", "přerušit (v-w4948hsa_119)")</f>
        <v>přerušit (v-w4948hsa_119)</v>
      </c>
    </row>
    <row r="36122" customFormat="false" ht="12.8" hidden="false" customHeight="false" outlineLevel="0" collapsed="false">
      <c r="B36122" s="0" t="s">
        <v>7</v>
      </c>
      <c r="C36122" s="0" t="s">
        <v>46</v>
      </c>
      <c r="D36122" s="0" t="s">
        <v>46</v>
      </c>
      <c r="E36122" s="0" t="s">
        <v>46</v>
      </c>
      <c r="F36122" s="0" t="s">
        <v>46</v>
      </c>
    </row>
    <row r="36123" customFormat="false" ht="12.8" hidden="false" customHeight="false" outlineLevel="0" collapsed="false">
      <c r="B36123" s="0" t="s">
        <v>14</v>
      </c>
      <c r="C36123" s="0" t="s">
        <v>1170</v>
      </c>
      <c r="D36123" s="0" t="s">
        <v>33</v>
      </c>
      <c r="E36123" s="0" t="s">
        <v>33</v>
      </c>
      <c r="F36123" s="0" t="s">
        <v>33</v>
      </c>
    </row>
    <row r="36125" customFormat="false" ht="12.8" hidden="false" customHeight="false" outlineLevel="0" collapsed="false">
      <c r="A36125" s="0" t="s">
        <v>13127</v>
      </c>
      <c r="B36125" s="0" t="str">
        <f aca="false">HYPERLINK("https://lindat.mff.cuni.cz/services/teitok/pdtc10/index.php?action=vallex&amp;frame=v-w4948hsa_1192", "přerušit (v-w4948hsa_1192)")</f>
        <v>přerušit (v-w4948hsa_1192)</v>
      </c>
    </row>
    <row r="36126" customFormat="false" ht="12.8" hidden="false" customHeight="false" outlineLevel="0" collapsed="false">
      <c r="B36126" s="0" t="s">
        <v>7</v>
      </c>
    </row>
    <row r="36127" customFormat="false" ht="12.8" hidden="false" customHeight="false" outlineLevel="0" collapsed="false">
      <c r="B36127" s="0" t="s">
        <v>14</v>
      </c>
    </row>
    <row r="36129" customFormat="false" ht="12.8" hidden="false" customHeight="false" outlineLevel="0" collapsed="false">
      <c r="A36129" s="0" t="s">
        <v>13128</v>
      </c>
      <c r="B36129" s="0" t="str">
        <f aca="false">HYPERLINK("https://lindat.mff.cuni.cz/services/teitok/pdtc10/index.php?action=vallex&amp;frame=v-w10819f2", "přerušovat (v-w10819f2)")</f>
        <v>přerušovat (v-w10819f2)</v>
      </c>
    </row>
    <row r="36130" customFormat="false" ht="12.8" hidden="false" customHeight="false" outlineLevel="0" collapsed="false">
      <c r="B36130" s="0" t="s">
        <v>7</v>
      </c>
      <c r="C36130" s="0" t="s">
        <v>184</v>
      </c>
      <c r="D36130" s="0" t="s">
        <v>7397</v>
      </c>
      <c r="E36130" s="0" t="s">
        <v>7397</v>
      </c>
      <c r="F36130" s="0" t="s">
        <v>7397</v>
      </c>
    </row>
    <row r="36131" customFormat="false" ht="12.8" hidden="false" customHeight="false" outlineLevel="0" collapsed="false">
      <c r="B36131" s="0" t="s">
        <v>14</v>
      </c>
      <c r="C36131" s="0" t="s">
        <v>461</v>
      </c>
      <c r="D36131" s="0" t="s">
        <v>7398</v>
      </c>
      <c r="E36131" s="0" t="s">
        <v>7398</v>
      </c>
      <c r="F36131" s="0" t="s">
        <v>7398</v>
      </c>
    </row>
    <row r="36133" customFormat="false" ht="12.8" hidden="false" customHeight="false" outlineLevel="0" collapsed="false">
      <c r="A36133" s="0" t="s">
        <v>13129</v>
      </c>
      <c r="B36133" s="0" t="str">
        <f aca="false">HYPERLINK("https://lindat.mff.cuni.cz/services/teitok/pdtc10/index.php?action=vallex&amp;frame=v-w10819f3_ZU", "přerušovat (v-w10819f3_ZU)")</f>
        <v>přerušovat (v-w10819f3_ZU)</v>
      </c>
    </row>
    <row r="36134" customFormat="false" ht="12.8" hidden="false" customHeight="false" outlineLevel="0" collapsed="false">
      <c r="B36134" s="0" t="s">
        <v>7</v>
      </c>
    </row>
    <row r="36135" customFormat="false" ht="12.8" hidden="false" customHeight="false" outlineLevel="0" collapsed="false">
      <c r="B36135" s="0" t="s">
        <v>14</v>
      </c>
    </row>
    <row r="36137" customFormat="false" ht="12.8" hidden="false" customHeight="false" outlineLevel="0" collapsed="false">
      <c r="A36137" s="0" t="s">
        <v>13129</v>
      </c>
      <c r="B36137" s="0" t="str">
        <f aca="false">HYPERLINK("https://lindat.mff.cuni.cz/services/teitok/pdtc10/index.php?action=vallex&amp;frame=v-w10819hsa_101", "přerušovat (v-w10819hsa_101) - substituted with v-w10819f3_ZU")</f>
        <v>přerušovat (v-w10819hsa_101) - substituted with v-w10819f3_ZU</v>
      </c>
    </row>
    <row r="36138" customFormat="false" ht="12.8" hidden="false" customHeight="false" outlineLevel="0" collapsed="false">
      <c r="B36138" s="0" t="s">
        <v>7</v>
      </c>
    </row>
    <row r="36139" customFormat="false" ht="12.8" hidden="false" customHeight="false" outlineLevel="0" collapsed="false">
      <c r="B36139" s="0" t="s">
        <v>14</v>
      </c>
    </row>
    <row r="36141" customFormat="false" ht="12.8" hidden="false" customHeight="false" outlineLevel="0" collapsed="false">
      <c r="A36141" s="0" t="s">
        <v>13130</v>
      </c>
      <c r="B36141" s="0" t="str">
        <f aca="false">HYPERLINK("https://lindat.mff.cuni.cz/services/teitok/pdtc10/index.php?action=vallex&amp;frame=v-w4950f1", "přervat (v-w4950f1)")</f>
        <v>přervat (v-w4950f1)</v>
      </c>
    </row>
    <row r="36142" customFormat="false" ht="12.8" hidden="false" customHeight="false" outlineLevel="0" collapsed="false">
      <c r="B36142" s="0" t="s">
        <v>7</v>
      </c>
    </row>
    <row r="36143" customFormat="false" ht="12.8" hidden="false" customHeight="false" outlineLevel="0" collapsed="false">
      <c r="B36143" s="0" t="s">
        <v>14</v>
      </c>
    </row>
    <row r="36145" customFormat="false" ht="12.8" hidden="false" customHeight="false" outlineLevel="0" collapsed="false">
      <c r="A36145" s="0" t="s">
        <v>13131</v>
      </c>
      <c r="B36145" s="0" t="str">
        <f aca="false">HYPERLINK("https://lindat.mff.cuni.cz/services/teitok/pdtc10/index.php?action=vallex&amp;frame=v-w4944f2", "přerůst (v-w4944f2)")</f>
        <v>přerůst (v-w4944f2)</v>
      </c>
    </row>
    <row r="36146" customFormat="false" ht="12.8" hidden="false" customHeight="false" outlineLevel="0" collapsed="false">
      <c r="B36146" s="0" t="s">
        <v>7</v>
      </c>
    </row>
    <row r="36147" customFormat="false" ht="12.8" hidden="false" customHeight="false" outlineLevel="0" collapsed="false">
      <c r="B36147" s="0" t="s">
        <v>13132</v>
      </c>
    </row>
    <row r="36149" customFormat="false" ht="12.8" hidden="false" customHeight="false" outlineLevel="0" collapsed="false">
      <c r="A36149" s="0" t="s">
        <v>13133</v>
      </c>
      <c r="B36149" s="0" t="str">
        <f aca="false">HYPERLINK("https://lindat.mff.cuni.cz/services/teitok/pdtc10/index.php?action=vallex&amp;frame=v-w4944f1", "přerůst (v-w4944f1)")</f>
        <v>přerůst (v-w4944f1)</v>
      </c>
    </row>
    <row r="36150" customFormat="false" ht="12.8" hidden="false" customHeight="false" outlineLevel="0" collapsed="false">
      <c r="B36150" s="0" t="s">
        <v>7</v>
      </c>
    </row>
    <row r="36151" customFormat="false" ht="12.8" hidden="false" customHeight="false" outlineLevel="0" collapsed="false">
      <c r="B36151" s="0" t="s">
        <v>2275</v>
      </c>
    </row>
    <row r="36153" customFormat="false" ht="12.8" hidden="false" customHeight="false" outlineLevel="0" collapsed="false">
      <c r="A36153" s="0" t="s">
        <v>13134</v>
      </c>
      <c r="B36153" s="0" t="str">
        <f aca="false">HYPERLINK("https://lindat.mff.cuni.cz/services/teitok/pdtc10/index.php?action=vallex&amp;frame=v-w4944f3", "přerůst (v-w4944f3)")</f>
        <v>přerůst (v-w4944f3)</v>
      </c>
    </row>
    <row r="36154" customFormat="false" ht="12.8" hidden="false" customHeight="false" outlineLevel="0" collapsed="false">
      <c r="B36154" s="0" t="s">
        <v>7</v>
      </c>
    </row>
    <row r="36155" customFormat="false" ht="12.8" hidden="false" customHeight="false" outlineLevel="0" collapsed="false">
      <c r="B36155" s="0" t="s">
        <v>13135</v>
      </c>
    </row>
    <row r="36156" customFormat="false" ht="12.8" hidden="false" customHeight="false" outlineLevel="0" collapsed="false">
      <c r="B36156" s="0" t="s">
        <v>142</v>
      </c>
    </row>
    <row r="36158" customFormat="false" ht="12.8" hidden="false" customHeight="false" outlineLevel="0" collapsed="false">
      <c r="A36158" s="0" t="s">
        <v>13136</v>
      </c>
      <c r="B36158" s="0" t="str">
        <f aca="false">HYPERLINK("https://lindat.mff.cuni.cz/services/teitok/pdtc10/index.php?action=vallex&amp;frame=v-w4945f1", "přerůstat (v-w4945f1)")</f>
        <v>přerůstat (v-w4945f1)</v>
      </c>
    </row>
    <row r="36159" customFormat="false" ht="12.8" hidden="false" customHeight="false" outlineLevel="0" collapsed="false">
      <c r="B36159" s="0" t="s">
        <v>7</v>
      </c>
    </row>
    <row r="36160" customFormat="false" ht="12.8" hidden="false" customHeight="false" outlineLevel="0" collapsed="false">
      <c r="B36160" s="0" t="s">
        <v>2275</v>
      </c>
    </row>
    <row r="36162" customFormat="false" ht="12.8" hidden="false" customHeight="false" outlineLevel="0" collapsed="false">
      <c r="A36162" s="0" t="s">
        <v>13137</v>
      </c>
      <c r="B36162" s="0" t="str">
        <f aca="false">HYPERLINK("https://lindat.mff.cuni.cz/services/teitok/pdtc10/index.php?action=vallex&amp;frame=v-w4945f2_ZU", "přerůstat (v-w4945f2_ZU)")</f>
        <v>přerůstat (v-w4945f2_ZU)</v>
      </c>
    </row>
    <row r="36163" customFormat="false" ht="12.8" hidden="false" customHeight="false" outlineLevel="0" collapsed="false">
      <c r="B36163" s="0" t="s">
        <v>7</v>
      </c>
    </row>
    <row r="36164" customFormat="false" ht="12.8" hidden="false" customHeight="false" outlineLevel="0" collapsed="false">
      <c r="B36164" s="0" t="s">
        <v>14</v>
      </c>
    </row>
    <row r="36166" customFormat="false" ht="12.8" hidden="false" customHeight="false" outlineLevel="0" collapsed="false">
      <c r="A36166" s="0" t="s">
        <v>13138</v>
      </c>
      <c r="B36166" s="0" t="str">
        <f aca="false">HYPERLINK("https://lindat.mff.cuni.cz/services/teitok/pdtc10/index.php?action=vallex&amp;frame=v-w4954f1", "přesadit (v-w4954f1)")</f>
        <v>přesadit (v-w4954f1)</v>
      </c>
    </row>
    <row r="36167" customFormat="false" ht="12.8" hidden="false" customHeight="false" outlineLevel="0" collapsed="false">
      <c r="B36167" s="0" t="s">
        <v>7</v>
      </c>
    </row>
    <row r="36168" customFormat="false" ht="12.8" hidden="false" customHeight="false" outlineLevel="0" collapsed="false">
      <c r="B36168" s="0" t="s">
        <v>14</v>
      </c>
    </row>
    <row r="36169" customFormat="false" ht="12.8" hidden="false" customHeight="false" outlineLevel="0" collapsed="false">
      <c r="B36169" s="0" t="s">
        <v>459</v>
      </c>
    </row>
    <row r="36170" customFormat="false" ht="12.8" hidden="false" customHeight="false" outlineLevel="0" collapsed="false">
      <c r="B36170" s="0" t="s">
        <v>124</v>
      </c>
    </row>
    <row r="36172" customFormat="false" ht="12.8" hidden="false" customHeight="false" outlineLevel="0" collapsed="false">
      <c r="A36172" s="0" t="s">
        <v>13139</v>
      </c>
      <c r="B36172" s="0" t="str">
        <f aca="false">HYPERLINK("https://lindat.mff.cuni.cz/services/teitok/pdtc10/index.php?action=vallex&amp;frame=v-w4957f1", "přesahovat (v-w4957f1)")</f>
        <v>přesahovat (v-w4957f1)</v>
      </c>
    </row>
    <row r="36173" customFormat="false" ht="12.8" hidden="false" customHeight="false" outlineLevel="0" collapsed="false">
      <c r="B36173" s="0" t="s">
        <v>7</v>
      </c>
      <c r="C36173" s="0" t="s">
        <v>13140</v>
      </c>
      <c r="D36173" s="0" t="s">
        <v>12917</v>
      </c>
      <c r="E36173" s="0" t="s">
        <v>12917</v>
      </c>
      <c r="F36173" s="0" t="s">
        <v>12917</v>
      </c>
    </row>
    <row r="36174" customFormat="false" ht="12.8" hidden="false" customHeight="false" outlineLevel="0" collapsed="false">
      <c r="B36174" s="0" t="s">
        <v>14</v>
      </c>
      <c r="C36174" s="0" t="s">
        <v>13141</v>
      </c>
      <c r="D36174" s="0" t="s">
        <v>12919</v>
      </c>
      <c r="E36174" s="0" t="s">
        <v>12919</v>
      </c>
      <c r="F36174" s="0" t="s">
        <v>12919</v>
      </c>
    </row>
    <row r="36176" customFormat="false" ht="12.8" hidden="false" customHeight="false" outlineLevel="0" collapsed="false">
      <c r="A36176" s="0" t="s">
        <v>13142</v>
      </c>
      <c r="B36176" s="0" t="str">
        <f aca="false">HYPERLINK("https://lindat.mff.cuni.cz/services/teitok/pdtc10/index.php?action=vallex&amp;frame=v-w4957f2", "přesahovat (v-w4957f2)")</f>
        <v>přesahovat (v-w4957f2)</v>
      </c>
    </row>
    <row r="36177" customFormat="false" ht="12.8" hidden="false" customHeight="false" outlineLevel="0" collapsed="false">
      <c r="B36177" s="0" t="s">
        <v>7</v>
      </c>
      <c r="C36177" s="0" t="s">
        <v>4386</v>
      </c>
      <c r="D36177" s="0" t="s">
        <v>12917</v>
      </c>
      <c r="E36177" s="0" t="s">
        <v>12917</v>
      </c>
      <c r="F36177" s="0" t="s">
        <v>12917</v>
      </c>
    </row>
    <row r="36178" customFormat="false" ht="12.8" hidden="false" customHeight="false" outlineLevel="0" collapsed="false">
      <c r="B36178" s="0" t="s">
        <v>14</v>
      </c>
      <c r="D36178" s="0" t="s">
        <v>12919</v>
      </c>
      <c r="E36178" s="0" t="s">
        <v>12919</v>
      </c>
      <c r="F36178" s="0" t="s">
        <v>12919</v>
      </c>
    </row>
    <row r="36180" customFormat="false" ht="12.8" hidden="false" customHeight="false" outlineLevel="0" collapsed="false">
      <c r="A36180" s="0" t="s">
        <v>13143</v>
      </c>
      <c r="B36180" s="0" t="str">
        <f aca="false">HYPERLINK("https://lindat.mff.cuni.cz/services/teitok/pdtc10/index.php?action=vallex&amp;frame=v-w4957f3", "přesahovat (v-w4957f3)")</f>
        <v>přesahovat (v-w4957f3)</v>
      </c>
    </row>
    <row r="36181" customFormat="false" ht="12.8" hidden="false" customHeight="false" outlineLevel="0" collapsed="false">
      <c r="B36181" s="0" t="s">
        <v>7</v>
      </c>
    </row>
    <row r="36182" customFormat="false" ht="12.8" hidden="false" customHeight="false" outlineLevel="0" collapsed="false">
      <c r="B36182" s="0" t="s">
        <v>124</v>
      </c>
    </row>
    <row r="36184" customFormat="false" ht="12.8" hidden="false" customHeight="false" outlineLevel="0" collapsed="false">
      <c r="A36184" s="0" t="s">
        <v>13144</v>
      </c>
      <c r="B36184" s="0" t="str">
        <f aca="false">HYPERLINK("https://lindat.mff.cuni.cz/services/teitok/pdtc10/index.php?action=vallex&amp;frame=v-w4959f3", "přesedlat (v-w4959f3)")</f>
        <v>přesedlat (v-w4959f3)</v>
      </c>
    </row>
    <row r="36185" customFormat="false" ht="12.8" hidden="false" customHeight="false" outlineLevel="0" collapsed="false">
      <c r="B36185" s="0" t="s">
        <v>7</v>
      </c>
      <c r="C36185" s="0" t="s">
        <v>11843</v>
      </c>
      <c r="D36185" s="0" t="s">
        <v>12599</v>
      </c>
      <c r="E36185" s="0" t="s">
        <v>12599</v>
      </c>
      <c r="F36185" s="0" t="s">
        <v>12599</v>
      </c>
    </row>
    <row r="36186" customFormat="false" ht="12.8" hidden="false" customHeight="false" outlineLevel="0" collapsed="false">
      <c r="B36186" s="0" t="s">
        <v>41</v>
      </c>
      <c r="D36186" s="0" t="s">
        <v>12602</v>
      </c>
      <c r="E36186" s="0" t="s">
        <v>12602</v>
      </c>
      <c r="F36186" s="0" t="s">
        <v>12602</v>
      </c>
    </row>
    <row r="36187" customFormat="false" ht="12.8" hidden="false" customHeight="false" outlineLevel="0" collapsed="false">
      <c r="B36187" s="0" t="s">
        <v>2339</v>
      </c>
      <c r="D36187" s="0" t="s">
        <v>12603</v>
      </c>
      <c r="E36187" s="0" t="s">
        <v>12603</v>
      </c>
      <c r="F36187" s="0" t="s">
        <v>12603</v>
      </c>
    </row>
    <row r="36189" customFormat="false" ht="12.8" hidden="false" customHeight="false" outlineLevel="0" collapsed="false">
      <c r="A36189" s="0" t="s">
        <v>13144</v>
      </c>
      <c r="B36189" s="0" t="str">
        <f aca="false">HYPERLINK("https://lindat.mff.cuni.cz/services/teitok/pdtc10/index.php?action=vallex&amp;frame=v-w4959f1", "přesedlat (v-w4959f1) - substituted with v-w4959f3")</f>
        <v>přesedlat (v-w4959f1) - substituted with v-w4959f3</v>
      </c>
    </row>
    <row r="36190" customFormat="false" ht="12.8" hidden="false" customHeight="false" outlineLevel="0" collapsed="false">
      <c r="B36190" s="0" t="s">
        <v>7</v>
      </c>
    </row>
    <row r="36191" customFormat="false" ht="12.8" hidden="false" customHeight="false" outlineLevel="0" collapsed="false">
      <c r="B36191" s="0" t="s">
        <v>41</v>
      </c>
    </row>
    <row r="36192" customFormat="false" ht="12.8" hidden="false" customHeight="false" outlineLevel="0" collapsed="false">
      <c r="B36192" s="0" t="s">
        <v>2339</v>
      </c>
    </row>
    <row r="36194" customFormat="false" ht="12.8" hidden="false" customHeight="false" outlineLevel="0" collapsed="false">
      <c r="A36194" s="0" t="s">
        <v>13145</v>
      </c>
      <c r="B36194" s="0" t="str">
        <f aca="false">HYPERLINK("https://lindat.mff.cuni.cz/services/teitok/pdtc10/index.php?action=vallex&amp;frame=v-w4959f2", "přesedlat (v-w4959f2)")</f>
        <v>přesedlat (v-w4959f2)</v>
      </c>
    </row>
    <row r="36195" customFormat="false" ht="12.8" hidden="false" customHeight="false" outlineLevel="0" collapsed="false">
      <c r="B36195" s="0" t="s">
        <v>7</v>
      </c>
    </row>
    <row r="36196" customFormat="false" ht="12.8" hidden="false" customHeight="false" outlineLevel="0" collapsed="false">
      <c r="B36196" s="0" t="s">
        <v>14</v>
      </c>
    </row>
    <row r="36198" customFormat="false" ht="12.8" hidden="false" customHeight="false" outlineLevel="0" collapsed="false">
      <c r="A36198" s="0" t="s">
        <v>13146</v>
      </c>
      <c r="B36198" s="0" t="str">
        <f aca="false">HYPERLINK("https://lindat.mff.cuni.cz/services/teitok/pdtc10/index.php?action=vallex&amp;frame=v-w4960f1", "přesedlávat (v-w4960f1)")</f>
        <v>přesedlávat (v-w4960f1)</v>
      </c>
    </row>
    <row r="36199" customFormat="false" ht="12.8" hidden="false" customHeight="false" outlineLevel="0" collapsed="false">
      <c r="B36199" s="0" t="s">
        <v>7</v>
      </c>
    </row>
    <row r="36200" customFormat="false" ht="12.8" hidden="false" customHeight="false" outlineLevel="0" collapsed="false">
      <c r="B36200" s="0" t="s">
        <v>459</v>
      </c>
    </row>
    <row r="36201" customFormat="false" ht="12.8" hidden="false" customHeight="false" outlineLevel="0" collapsed="false">
      <c r="B36201" s="0" t="s">
        <v>124</v>
      </c>
    </row>
    <row r="36203" customFormat="false" ht="12.8" hidden="false" customHeight="false" outlineLevel="0" collapsed="false">
      <c r="A36203" s="0" t="s">
        <v>13147</v>
      </c>
      <c r="B36203" s="0" t="str">
        <f aca="false">HYPERLINK("https://lindat.mff.cuni.cz/services/teitok/pdtc10/index.php?action=vallex&amp;frame=v-w12331_MMf1_MM", "přesednout (v-w12331_MMf1_MM)")</f>
        <v>přesednout (v-w12331_MMf1_MM)</v>
      </c>
    </row>
    <row r="36204" customFormat="false" ht="12.8" hidden="false" customHeight="false" outlineLevel="0" collapsed="false">
      <c r="B36204" s="0" t="s">
        <v>7</v>
      </c>
    </row>
    <row r="36205" customFormat="false" ht="12.8" hidden="false" customHeight="false" outlineLevel="0" collapsed="false">
      <c r="B36205" s="0" t="s">
        <v>459</v>
      </c>
    </row>
    <row r="36206" customFormat="false" ht="12.8" hidden="false" customHeight="false" outlineLevel="0" collapsed="false">
      <c r="B36206" s="0" t="s">
        <v>124</v>
      </c>
    </row>
    <row r="36208" customFormat="false" ht="12.8" hidden="false" customHeight="false" outlineLevel="0" collapsed="false">
      <c r="A36208" s="0" t="s">
        <v>13148</v>
      </c>
      <c r="B36208" s="0" t="str">
        <f aca="false">HYPERLINK("https://lindat.mff.cuni.cz/services/teitok/pdtc10/index.php?action=vallex&amp;frame=v-whsa_599f1_ZU", "přesednout si (v-whsa_599f1_ZU)")</f>
        <v>přesednout si (v-whsa_599f1_ZU)</v>
      </c>
    </row>
    <row r="36209" customFormat="false" ht="12.8" hidden="false" customHeight="false" outlineLevel="0" collapsed="false">
      <c r="B36209" s="0" t="s">
        <v>7</v>
      </c>
    </row>
    <row r="36210" customFormat="false" ht="12.8" hidden="false" customHeight="false" outlineLevel="0" collapsed="false">
      <c r="B36210" s="0" t="s">
        <v>459</v>
      </c>
    </row>
    <row r="36211" customFormat="false" ht="12.8" hidden="false" customHeight="false" outlineLevel="0" collapsed="false">
      <c r="B36211" s="0" t="s">
        <v>124</v>
      </c>
    </row>
    <row r="36213" customFormat="false" ht="12.8" hidden="false" customHeight="false" outlineLevel="0" collapsed="false">
      <c r="A36213" s="0" t="s">
        <v>13148</v>
      </c>
      <c r="B36213" s="0" t="str">
        <f aca="false">HYPERLINK("https://lindat.mff.cuni.cz/services/teitok/pdtc10/index.php?action=vallex&amp;frame=v-whsb_599hsa_600", "přesednout si (v-whsb_599hsa_600) - substituted with v-whsa_599f1_ZU")</f>
        <v>přesednout si (v-whsb_599hsa_600) - substituted with v-whsa_599f1_ZU</v>
      </c>
    </row>
    <row r="36214" customFormat="false" ht="12.8" hidden="false" customHeight="false" outlineLevel="0" collapsed="false">
      <c r="B36214" s="0" t="s">
        <v>7</v>
      </c>
    </row>
    <row r="36215" customFormat="false" ht="12.8" hidden="false" customHeight="false" outlineLevel="0" collapsed="false">
      <c r="B36215" s="0" t="s">
        <v>459</v>
      </c>
    </row>
    <row r="36216" customFormat="false" ht="12.8" hidden="false" customHeight="false" outlineLevel="0" collapsed="false">
      <c r="B36216" s="0" t="s">
        <v>124</v>
      </c>
    </row>
    <row r="36218" customFormat="false" ht="12.8" hidden="false" customHeight="false" outlineLevel="0" collapsed="false">
      <c r="A36218" s="0" t="s">
        <v>13149</v>
      </c>
      <c r="B36218" s="0" t="str">
        <f aca="false">HYPERLINK("https://lindat.mff.cuni.cz/services/teitok/pdtc10/index.php?action=vallex&amp;frame=v-w12109_ZUf1_ZU", "přeseknout (v-w12109_ZUf1_ZU)")</f>
        <v>přeseknout (v-w12109_ZUf1_ZU)</v>
      </c>
    </row>
    <row r="36219" customFormat="false" ht="12.8" hidden="false" customHeight="false" outlineLevel="0" collapsed="false">
      <c r="B36219" s="0" t="s">
        <v>7</v>
      </c>
    </row>
    <row r="36220" customFormat="false" ht="12.8" hidden="false" customHeight="false" outlineLevel="0" collapsed="false">
      <c r="B36220" s="0" t="s">
        <v>14</v>
      </c>
    </row>
    <row r="36221" customFormat="false" ht="12.8" hidden="false" customHeight="false" outlineLevel="0" collapsed="false">
      <c r="B36221" s="0" t="s">
        <v>2773</v>
      </c>
    </row>
    <row r="36223" customFormat="false" ht="12.8" hidden="false" customHeight="false" outlineLevel="0" collapsed="false">
      <c r="A36223" s="0" t="s">
        <v>13150</v>
      </c>
      <c r="B36223" s="0" t="str">
        <f aca="false">HYPERLINK("https://lindat.mff.cuni.cz/services/teitok/pdtc10/index.php?action=vallex&amp;frame=v-w10531f2", "přeskakovat (v-w10531f2)")</f>
        <v>přeskakovat (v-w10531f2)</v>
      </c>
    </row>
    <row r="36224" customFormat="false" ht="12.8" hidden="false" customHeight="false" outlineLevel="0" collapsed="false">
      <c r="B36224" s="0" t="s">
        <v>7</v>
      </c>
      <c r="C36224" s="0" t="s">
        <v>396</v>
      </c>
    </row>
    <row r="36225" customFormat="false" ht="12.8" hidden="false" customHeight="false" outlineLevel="0" collapsed="false">
      <c r="B36225" s="0" t="s">
        <v>14</v>
      </c>
    </row>
    <row r="36227" customFormat="false" ht="12.8" hidden="false" customHeight="false" outlineLevel="0" collapsed="false">
      <c r="A36227" s="0" t="s">
        <v>13151</v>
      </c>
      <c r="B36227" s="0" t="str">
        <f aca="false">HYPERLINK("https://lindat.mff.cuni.cz/services/teitok/pdtc10/index.php?action=vallex&amp;frame=v-w10531f3", "přeskakovat (v-w10531f3)")</f>
        <v>přeskakovat (v-w10531f3)</v>
      </c>
    </row>
    <row r="36228" customFormat="false" ht="12.8" hidden="false" customHeight="false" outlineLevel="0" collapsed="false">
      <c r="B36228" s="0" t="s">
        <v>7</v>
      </c>
      <c r="C36228" s="0" t="s">
        <v>184</v>
      </c>
    </row>
    <row r="36229" customFormat="false" ht="12.8" hidden="false" customHeight="false" outlineLevel="0" collapsed="false">
      <c r="B36229" s="0" t="s">
        <v>459</v>
      </c>
    </row>
    <row r="36230" customFormat="false" ht="12.8" hidden="false" customHeight="false" outlineLevel="0" collapsed="false">
      <c r="B36230" s="0" t="s">
        <v>124</v>
      </c>
    </row>
    <row r="36232" customFormat="false" ht="12.8" hidden="false" customHeight="false" outlineLevel="0" collapsed="false">
      <c r="A36232" s="0" t="s">
        <v>13152</v>
      </c>
      <c r="B36232" s="0" t="str">
        <f aca="false">HYPERLINK("https://lindat.mff.cuni.cz/services/teitok/pdtc10/index.php?action=vallex&amp;frame=v-w4963f2", "přeskočit (v-w4963f2)")</f>
        <v>přeskočit (v-w4963f2)</v>
      </c>
    </row>
    <row r="36233" customFormat="false" ht="12.8" hidden="false" customHeight="false" outlineLevel="0" collapsed="false">
      <c r="B36233" s="0" t="s">
        <v>7</v>
      </c>
      <c r="D36233" s="0" t="s">
        <v>12917</v>
      </c>
      <c r="E36233" s="0" t="s">
        <v>12917</v>
      </c>
      <c r="F36233" s="0" t="s">
        <v>12917</v>
      </c>
    </row>
    <row r="36234" customFormat="false" ht="12.8" hidden="false" customHeight="false" outlineLevel="0" collapsed="false">
      <c r="B36234" s="0" t="s">
        <v>14</v>
      </c>
      <c r="D36234" s="0" t="s">
        <v>12919</v>
      </c>
      <c r="E36234" s="0" t="s">
        <v>12919</v>
      </c>
      <c r="F36234" s="0" t="s">
        <v>12919</v>
      </c>
    </row>
    <row r="36236" customFormat="false" ht="12.8" hidden="false" customHeight="false" outlineLevel="0" collapsed="false">
      <c r="A36236" s="0" t="s">
        <v>13153</v>
      </c>
      <c r="B36236" s="0" t="str">
        <f aca="false">HYPERLINK("https://lindat.mff.cuni.cz/services/teitok/pdtc10/index.php?action=vallex&amp;frame=v-w4963f5_ZU", "přeskočit (v-w4963f5_ZU)")</f>
        <v>přeskočit (v-w4963f5_ZU)</v>
      </c>
    </row>
    <row r="36237" customFormat="false" ht="12.8" hidden="false" customHeight="false" outlineLevel="0" collapsed="false">
      <c r="B36237" s="0" t="s">
        <v>7</v>
      </c>
      <c r="C36237" s="0" t="s">
        <v>113</v>
      </c>
      <c r="D36237" s="0" t="s">
        <v>1637</v>
      </c>
      <c r="E36237" s="0" t="s">
        <v>1637</v>
      </c>
      <c r="F36237" s="0" t="s">
        <v>1637</v>
      </c>
    </row>
    <row r="36238" customFormat="false" ht="12.8" hidden="false" customHeight="false" outlineLevel="0" collapsed="false">
      <c r="B36238" s="0" t="s">
        <v>14</v>
      </c>
      <c r="C36238" s="0" t="s">
        <v>11753</v>
      </c>
      <c r="D36238" s="0" t="s">
        <v>1205</v>
      </c>
      <c r="E36238" s="0" t="s">
        <v>1205</v>
      </c>
      <c r="F36238" s="0" t="s">
        <v>1205</v>
      </c>
    </row>
    <row r="36240" customFormat="false" ht="12.8" hidden="false" customHeight="false" outlineLevel="0" collapsed="false">
      <c r="A36240" s="0" t="s">
        <v>13153</v>
      </c>
      <c r="B36240" s="0" t="str">
        <f aca="false">HYPERLINK("https://lindat.mff.cuni.cz/services/teitok/pdtc10/index.php?action=vallex&amp;frame=v-w4963f4_ZU", "přeskočit (v-w4963f4_ZU) - substituted with v-w4963f5_ZU")</f>
        <v>přeskočit (v-w4963f4_ZU) - substituted with v-w4963f5_ZU</v>
      </c>
    </row>
    <row r="36241" customFormat="false" ht="12.8" hidden="false" customHeight="false" outlineLevel="0" collapsed="false">
      <c r="B36241" s="0" t="s">
        <v>7</v>
      </c>
    </row>
    <row r="36242" customFormat="false" ht="12.8" hidden="false" customHeight="false" outlineLevel="0" collapsed="false">
      <c r="B36242" s="0" t="s">
        <v>14</v>
      </c>
    </row>
    <row r="36244" customFormat="false" ht="12.8" hidden="false" customHeight="false" outlineLevel="0" collapsed="false">
      <c r="A36244" s="0" t="s">
        <v>13154</v>
      </c>
      <c r="B36244" s="0" t="str">
        <f aca="false">HYPERLINK("https://lindat.mff.cuni.cz/services/teitok/pdtc10/index.php?action=vallex&amp;frame=v-w4963f1", "přeskočit (v-w4963f1)")</f>
        <v>přeskočit (v-w4963f1)</v>
      </c>
    </row>
    <row r="36245" customFormat="false" ht="12.8" hidden="false" customHeight="false" outlineLevel="0" collapsed="false">
      <c r="B36245" s="0" t="s">
        <v>7</v>
      </c>
    </row>
    <row r="36246" customFormat="false" ht="12.8" hidden="false" customHeight="false" outlineLevel="0" collapsed="false">
      <c r="B36246" s="0" t="s">
        <v>459</v>
      </c>
    </row>
    <row r="36247" customFormat="false" ht="12.8" hidden="false" customHeight="false" outlineLevel="0" collapsed="false">
      <c r="B36247" s="0" t="s">
        <v>124</v>
      </c>
    </row>
    <row r="36249" customFormat="false" ht="12.8" hidden="false" customHeight="false" outlineLevel="0" collapsed="false">
      <c r="A36249" s="0" t="s">
        <v>13155</v>
      </c>
      <c r="B36249" s="0" t="str">
        <f aca="false">HYPERLINK("https://lindat.mff.cuni.cz/services/teitok/pdtc10/index.php?action=vallex&amp;frame=v-w4963f3", "přeskočit (v-w4963f3)")</f>
        <v>přeskočit (v-w4963f3)</v>
      </c>
    </row>
    <row r="36250" customFormat="false" ht="12.8" hidden="false" customHeight="false" outlineLevel="0" collapsed="false">
      <c r="B36250" s="0" t="s">
        <v>603</v>
      </c>
    </row>
    <row r="36252" customFormat="false" ht="12.8" hidden="false" customHeight="false" outlineLevel="0" collapsed="false">
      <c r="A36252" s="0" t="s">
        <v>13156</v>
      </c>
      <c r="B36252" s="0" t="str">
        <f aca="false">HYPERLINK("https://lindat.mff.cuni.cz/services/teitok/pdtc10/index.php?action=vallex&amp;frame=v-w4963f6_ZU", "přeskočit (v-w4963f6_ZU)")</f>
        <v>přeskočit (v-w4963f6_ZU)</v>
      </c>
    </row>
    <row r="36253" customFormat="false" ht="12.8" hidden="false" customHeight="false" outlineLevel="0" collapsed="false">
      <c r="B36253" s="0" t="s">
        <v>7</v>
      </c>
    </row>
    <row r="36254" customFormat="false" ht="12.8" hidden="false" customHeight="false" outlineLevel="0" collapsed="false">
      <c r="B36254" s="0" t="s">
        <v>459</v>
      </c>
    </row>
    <row r="36255" customFormat="false" ht="12.8" hidden="false" customHeight="false" outlineLevel="0" collapsed="false">
      <c r="B36255" s="0" t="s">
        <v>124</v>
      </c>
    </row>
    <row r="36257" customFormat="false" ht="12.8" hidden="false" customHeight="false" outlineLevel="0" collapsed="false">
      <c r="A36257" s="0" t="s">
        <v>13156</v>
      </c>
      <c r="B36257" s="0" t="str">
        <f aca="false">HYPERLINK("https://lindat.mff.cuni.cz/services/teitok/pdtc10/index.php?action=vallex&amp;frame=v-w4963hsa_1677", "přeskočit (v-w4963hsa_1677) - substituted with v-w4963f6_ZU")</f>
        <v>přeskočit (v-w4963hsa_1677) - substituted with v-w4963f6_ZU</v>
      </c>
    </row>
    <row r="36258" customFormat="false" ht="12.8" hidden="false" customHeight="false" outlineLevel="0" collapsed="false">
      <c r="B36258" s="0" t="s">
        <v>7</v>
      </c>
    </row>
    <row r="36259" customFormat="false" ht="12.8" hidden="false" customHeight="false" outlineLevel="0" collapsed="false">
      <c r="B36259" s="0" t="s">
        <v>459</v>
      </c>
    </row>
    <row r="36260" customFormat="false" ht="12.8" hidden="false" customHeight="false" outlineLevel="0" collapsed="false">
      <c r="B36260" s="0" t="s">
        <v>124</v>
      </c>
    </row>
    <row r="36262" customFormat="false" ht="12.8" hidden="false" customHeight="false" outlineLevel="0" collapsed="false">
      <c r="A36262" s="0" t="s">
        <v>13157</v>
      </c>
      <c r="B36262" s="0" t="str">
        <f aca="false">HYPERLINK("https://lindat.mff.cuni.cz/services/teitok/pdtc10/index.php?action=vallex&amp;frame=v-w4963f7_ZU", "přeskočit (v-w4963f7_ZU)")</f>
        <v>přeskočit (v-w4963f7_ZU)</v>
      </c>
    </row>
    <row r="36263" customFormat="false" ht="12.8" hidden="false" customHeight="false" outlineLevel="0" collapsed="false">
      <c r="B36263" s="0" t="s">
        <v>7</v>
      </c>
    </row>
    <row r="36264" customFormat="false" ht="12.8" hidden="false" customHeight="false" outlineLevel="0" collapsed="false">
      <c r="B36264" s="0" t="s">
        <v>14</v>
      </c>
    </row>
    <row r="36266" customFormat="false" ht="12.8" hidden="false" customHeight="false" outlineLevel="0" collapsed="false">
      <c r="A36266" s="0" t="s">
        <v>13158</v>
      </c>
      <c r="B36266" s="0" t="str">
        <f aca="false">HYPERLINK("https://lindat.mff.cuni.cz/services/teitok/pdtc10/index.php?action=vallex&amp;frame=v-w4965f1", "přeskupit (v-w4965f1)")</f>
        <v>přeskupit (v-w4965f1)</v>
      </c>
    </row>
    <row r="36267" customFormat="false" ht="12.8" hidden="false" customHeight="false" outlineLevel="0" collapsed="false">
      <c r="B36267" s="0" t="s">
        <v>7</v>
      </c>
      <c r="C36267" s="0" t="s">
        <v>184</v>
      </c>
    </row>
    <row r="36268" customFormat="false" ht="12.8" hidden="false" customHeight="false" outlineLevel="0" collapsed="false">
      <c r="B36268" s="0" t="s">
        <v>14</v>
      </c>
      <c r="C36268" s="0" t="s">
        <v>384</v>
      </c>
    </row>
    <row r="36270" customFormat="false" ht="12.8" hidden="false" customHeight="false" outlineLevel="0" collapsed="false">
      <c r="A36270" s="0" t="s">
        <v>13159</v>
      </c>
      <c r="B36270" s="0" t="str">
        <f aca="false">HYPERLINK("https://lindat.mff.cuni.cz/services/teitok/pdtc10/index.php?action=vallex&amp;frame=v-w11012f2", "přeskupovat (v-w11012f2)")</f>
        <v>přeskupovat (v-w11012f2)</v>
      </c>
    </row>
    <row r="36271" customFormat="false" ht="12.8" hidden="false" customHeight="false" outlineLevel="0" collapsed="false">
      <c r="B36271" s="0" t="s">
        <v>7</v>
      </c>
      <c r="C36271" s="0" t="s">
        <v>191</v>
      </c>
      <c r="D36271" s="0" t="s">
        <v>12987</v>
      </c>
      <c r="E36271" s="0" t="s">
        <v>12987</v>
      </c>
      <c r="F36271" s="0" t="s">
        <v>12987</v>
      </c>
    </row>
    <row r="36272" customFormat="false" ht="12.8" hidden="false" customHeight="false" outlineLevel="0" collapsed="false">
      <c r="B36272" s="0" t="s">
        <v>14</v>
      </c>
      <c r="C36272" s="0" t="s">
        <v>567</v>
      </c>
      <c r="D36272" s="0" t="s">
        <v>11535</v>
      </c>
      <c r="E36272" s="0" t="s">
        <v>11535</v>
      </c>
      <c r="F36272" s="0" t="s">
        <v>11535</v>
      </c>
    </row>
    <row r="36274" customFormat="false" ht="12.8" hidden="false" customHeight="false" outlineLevel="0" collapsed="false">
      <c r="A36274" s="0" t="s">
        <v>13160</v>
      </c>
      <c r="B36274" s="0" t="str">
        <f aca="false">HYPERLINK("https://lindat.mff.cuni.cz/services/teitok/pdtc10/index.php?action=vallex&amp;frame=v-whsa_945hsa_946", "přeskupovat se (v-whsa_945hsa_946)")</f>
        <v>přeskupovat se (v-whsa_945hsa_946)</v>
      </c>
    </row>
    <row r="36275" customFormat="false" ht="12.8" hidden="false" customHeight="false" outlineLevel="0" collapsed="false">
      <c r="B36275" s="0" t="s">
        <v>7</v>
      </c>
    </row>
    <row r="36277" customFormat="false" ht="12.8" hidden="false" customHeight="false" outlineLevel="0" collapsed="false">
      <c r="A36277" s="0" t="s">
        <v>13161</v>
      </c>
      <c r="B36277" s="0" t="str">
        <f aca="false">HYPERLINK("https://lindat.mff.cuni.cz/services/teitok/pdtc10/index.php?action=vallex&amp;frame=v-w11952_ZUf1_ZU", "přeslechnout (v-w11952_ZUf1_ZU)")</f>
        <v>přeslechnout (v-w11952_ZUf1_ZU)</v>
      </c>
    </row>
    <row r="36278" customFormat="false" ht="12.8" hidden="false" customHeight="false" outlineLevel="0" collapsed="false">
      <c r="B36278" s="0" t="s">
        <v>7</v>
      </c>
    </row>
    <row r="36279" customFormat="false" ht="12.8" hidden="false" customHeight="false" outlineLevel="0" collapsed="false">
      <c r="B36279" s="0" t="s">
        <v>14</v>
      </c>
    </row>
    <row r="36281" customFormat="false" ht="12.8" hidden="false" customHeight="false" outlineLevel="0" collapsed="false">
      <c r="A36281" s="0" t="s">
        <v>13162</v>
      </c>
      <c r="B36281" s="0" t="str">
        <f aca="false">HYPERLINK("https://lindat.mff.cuni.cz/services/teitok/pdtc10/index.php?action=vallex&amp;frame=v-whsa_355hsa_356", "přesluhovat (v-whsa_355hsa_356)")</f>
        <v>přesluhovat (v-whsa_355hsa_356)</v>
      </c>
    </row>
    <row r="36282" customFormat="false" ht="12.8" hidden="false" customHeight="false" outlineLevel="0" collapsed="false">
      <c r="B36282" s="0" t="s">
        <v>7</v>
      </c>
    </row>
    <row r="36284" customFormat="false" ht="12.8" hidden="false" customHeight="false" outlineLevel="0" collapsed="false">
      <c r="A36284" s="0" t="s">
        <v>13163</v>
      </c>
      <c r="B36284" s="0" t="str">
        <f aca="false">HYPERLINK("https://lindat.mff.cuni.cz/services/teitok/pdtc10/index.php?action=vallex&amp;frame=v-w10808f2", "přesměrovat (v-w10808f2)")</f>
        <v>přesměrovat (v-w10808f2)</v>
      </c>
    </row>
    <row r="36285" customFormat="false" ht="12.8" hidden="false" customHeight="false" outlineLevel="0" collapsed="false">
      <c r="B36285" s="0" t="s">
        <v>7</v>
      </c>
      <c r="C36285" s="0" t="s">
        <v>1263</v>
      </c>
      <c r="D36285" s="0" t="s">
        <v>149</v>
      </c>
      <c r="E36285" s="0" t="s">
        <v>149</v>
      </c>
      <c r="F36285" s="0" t="s">
        <v>149</v>
      </c>
    </row>
    <row r="36286" customFormat="false" ht="12.8" hidden="false" customHeight="false" outlineLevel="0" collapsed="false">
      <c r="B36286" s="0" t="s">
        <v>14</v>
      </c>
      <c r="C36286" s="0" t="s">
        <v>1205</v>
      </c>
      <c r="D36286" s="0" t="s">
        <v>3860</v>
      </c>
      <c r="E36286" s="0" t="s">
        <v>3860</v>
      </c>
      <c r="F36286" s="0" t="s">
        <v>3860</v>
      </c>
    </row>
    <row r="36287" customFormat="false" ht="12.8" hidden="false" customHeight="false" outlineLevel="0" collapsed="false">
      <c r="B36287" s="0" t="s">
        <v>459</v>
      </c>
    </row>
    <row r="36288" customFormat="false" ht="12.8" hidden="false" customHeight="false" outlineLevel="0" collapsed="false">
      <c r="B36288" s="0" t="s">
        <v>124</v>
      </c>
      <c r="C36288" s="0" t="s">
        <v>2238</v>
      </c>
    </row>
    <row r="36290" customFormat="false" ht="12.8" hidden="false" customHeight="false" outlineLevel="0" collapsed="false">
      <c r="A36290" s="0" t="s">
        <v>13164</v>
      </c>
      <c r="B36290" s="0" t="str">
        <f aca="false">HYPERLINK("https://lindat.mff.cuni.cz/services/teitok/pdtc10/index.php?action=vallex&amp;frame=v-w10663f2", "přesměrovávat (v-w10663f2)")</f>
        <v>přesměrovávat (v-w10663f2)</v>
      </c>
    </row>
    <row r="36291" customFormat="false" ht="12.8" hidden="false" customHeight="false" outlineLevel="0" collapsed="false">
      <c r="B36291" s="0" t="s">
        <v>7</v>
      </c>
      <c r="D36291" s="0" t="s">
        <v>149</v>
      </c>
      <c r="E36291" s="0" t="s">
        <v>149</v>
      </c>
      <c r="F36291" s="0" t="s">
        <v>149</v>
      </c>
    </row>
    <row r="36292" customFormat="false" ht="12.8" hidden="false" customHeight="false" outlineLevel="0" collapsed="false">
      <c r="B36292" s="0" t="s">
        <v>14</v>
      </c>
      <c r="D36292" s="0" t="s">
        <v>3860</v>
      </c>
      <c r="E36292" s="0" t="s">
        <v>3860</v>
      </c>
      <c r="F36292" s="0" t="s">
        <v>3860</v>
      </c>
    </row>
    <row r="36293" customFormat="false" ht="12.8" hidden="false" customHeight="false" outlineLevel="0" collapsed="false">
      <c r="B36293" s="0" t="s">
        <v>459</v>
      </c>
    </row>
    <row r="36294" customFormat="false" ht="12.8" hidden="false" customHeight="false" outlineLevel="0" collapsed="false">
      <c r="B36294" s="0" t="s">
        <v>124</v>
      </c>
    </row>
    <row r="36296" customFormat="false" ht="12.8" hidden="false" customHeight="false" outlineLevel="0" collapsed="false">
      <c r="A36296" s="0" t="s">
        <v>13165</v>
      </c>
      <c r="B36296" s="0" t="str">
        <f aca="false">HYPERLINK("https://lindat.mff.cuni.cz/services/teitok/pdtc10/index.php?action=vallex&amp;frame=v-w4966f1", "přesouvat (v-w4966f1)")</f>
        <v>přesouvat (v-w4966f1)</v>
      </c>
    </row>
    <row r="36297" customFormat="false" ht="12.8" hidden="false" customHeight="false" outlineLevel="0" collapsed="false">
      <c r="B36297" s="0" t="s">
        <v>7</v>
      </c>
      <c r="C36297" s="0" t="s">
        <v>1680</v>
      </c>
      <c r="D36297" s="0" t="s">
        <v>4161</v>
      </c>
      <c r="E36297" s="0" t="s">
        <v>4161</v>
      </c>
      <c r="F36297" s="0" t="s">
        <v>4161</v>
      </c>
    </row>
    <row r="36298" customFormat="false" ht="12.8" hidden="false" customHeight="false" outlineLevel="0" collapsed="false">
      <c r="B36298" s="0" t="s">
        <v>14</v>
      </c>
      <c r="C36298" s="0" t="s">
        <v>13166</v>
      </c>
      <c r="D36298" s="0" t="s">
        <v>8195</v>
      </c>
      <c r="E36298" s="0" t="s">
        <v>8195</v>
      </c>
      <c r="F36298" s="0" t="s">
        <v>8195</v>
      </c>
    </row>
    <row r="36299" customFormat="false" ht="12.8" hidden="false" customHeight="false" outlineLevel="0" collapsed="false">
      <c r="B36299" s="0" t="s">
        <v>459</v>
      </c>
    </row>
    <row r="36300" customFormat="false" ht="12.8" hidden="false" customHeight="false" outlineLevel="0" collapsed="false">
      <c r="B36300" s="0" t="s">
        <v>124</v>
      </c>
      <c r="C36300" s="0" t="s">
        <v>2238</v>
      </c>
      <c r="D36300" s="0" t="s">
        <v>10830</v>
      </c>
      <c r="E36300" s="0" t="s">
        <v>10830</v>
      </c>
      <c r="F36300" s="0" t="s">
        <v>10830</v>
      </c>
    </row>
    <row r="36302" customFormat="false" ht="12.8" hidden="false" customHeight="false" outlineLevel="0" collapsed="false">
      <c r="A36302" s="0" t="s">
        <v>13167</v>
      </c>
      <c r="B36302" s="0" t="str">
        <f aca="false">HYPERLINK("https://lindat.mff.cuni.cz/services/teitok/pdtc10/index.php?action=vallex&amp;frame=v-w4966f2", "přesouvat (v-w4966f2)")</f>
        <v>přesouvat (v-w4966f2)</v>
      </c>
    </row>
    <row r="36303" customFormat="false" ht="12.8" hidden="false" customHeight="false" outlineLevel="0" collapsed="false">
      <c r="B36303" s="0" t="s">
        <v>7</v>
      </c>
      <c r="D36303" s="0" t="s">
        <v>4677</v>
      </c>
      <c r="E36303" s="0" t="s">
        <v>4677</v>
      </c>
      <c r="F36303" s="0" t="s">
        <v>4677</v>
      </c>
    </row>
    <row r="36304" customFormat="false" ht="12.8" hidden="false" customHeight="false" outlineLevel="0" collapsed="false">
      <c r="B36304" s="0" t="s">
        <v>14</v>
      </c>
      <c r="C36304" s="0" t="s">
        <v>13168</v>
      </c>
      <c r="D36304" s="0" t="s">
        <v>12991</v>
      </c>
      <c r="E36304" s="0" t="s">
        <v>12991</v>
      </c>
      <c r="F36304" s="0" t="s">
        <v>12991</v>
      </c>
    </row>
    <row r="36305" customFormat="false" ht="12.8" hidden="false" customHeight="false" outlineLevel="0" collapsed="false">
      <c r="B36305" s="0" t="s">
        <v>9826</v>
      </c>
      <c r="D36305" s="0" t="s">
        <v>12992</v>
      </c>
      <c r="E36305" s="0" t="s">
        <v>12992</v>
      </c>
      <c r="F36305" s="0" t="s">
        <v>12992</v>
      </c>
    </row>
    <row r="36306" customFormat="false" ht="12.8" hidden="false" customHeight="false" outlineLevel="0" collapsed="false">
      <c r="B36306" s="0" t="s">
        <v>1492</v>
      </c>
      <c r="D36306" s="0" t="s">
        <v>12994</v>
      </c>
      <c r="E36306" s="0" t="s">
        <v>12994</v>
      </c>
      <c r="F36306" s="0" t="s">
        <v>12994</v>
      </c>
    </row>
    <row r="36308" customFormat="false" ht="12.8" hidden="false" customHeight="false" outlineLevel="0" collapsed="false">
      <c r="A36308" s="0" t="s">
        <v>13169</v>
      </c>
      <c r="B36308" s="0" t="str">
        <f aca="false">HYPERLINK("https://lindat.mff.cuni.cz/services/teitok/pdtc10/index.php?action=vallex&amp;frame=v-w4966hsa_290", "přesouvat (v-w4966hsa_290)")</f>
        <v>přesouvat (v-w4966hsa_290)</v>
      </c>
    </row>
    <row r="36309" customFormat="false" ht="12.8" hidden="false" customHeight="false" outlineLevel="0" collapsed="false">
      <c r="B36309" s="0" t="s">
        <v>7</v>
      </c>
      <c r="C36309" s="0" t="s">
        <v>569</v>
      </c>
    </row>
    <row r="36310" customFormat="false" ht="12.8" hidden="false" customHeight="false" outlineLevel="0" collapsed="false">
      <c r="B36310" s="0" t="s">
        <v>14</v>
      </c>
      <c r="C36310" s="0" t="s">
        <v>78</v>
      </c>
    </row>
    <row r="36311" customFormat="false" ht="12.8" hidden="false" customHeight="false" outlineLevel="0" collapsed="false">
      <c r="B36311" s="0" t="s">
        <v>48</v>
      </c>
    </row>
    <row r="36313" customFormat="false" ht="12.8" hidden="false" customHeight="false" outlineLevel="0" collapsed="false">
      <c r="A36313" s="0" t="s">
        <v>13170</v>
      </c>
      <c r="B36313" s="0" t="str">
        <f aca="false">HYPERLINK("https://lindat.mff.cuni.cz/services/teitok/pdtc10/index.php?action=vallex&amp;frame=v-w4967f1", "přesouvat se (v-w4967f1)")</f>
        <v>přesouvat se (v-w4967f1)</v>
      </c>
    </row>
    <row r="36314" customFormat="false" ht="12.8" hidden="false" customHeight="false" outlineLevel="0" collapsed="false">
      <c r="B36314" s="0" t="s">
        <v>7</v>
      </c>
      <c r="C36314" s="0" t="s">
        <v>13171</v>
      </c>
      <c r="D36314" s="0" t="s">
        <v>1582</v>
      </c>
      <c r="E36314" s="0" t="s">
        <v>1582</v>
      </c>
      <c r="F36314" s="0" t="s">
        <v>1582</v>
      </c>
    </row>
    <row r="36315" customFormat="false" ht="12.8" hidden="false" customHeight="false" outlineLevel="0" collapsed="false">
      <c r="B36315" s="0" t="s">
        <v>459</v>
      </c>
      <c r="D36315" s="0" t="s">
        <v>1583</v>
      </c>
      <c r="E36315" s="0" t="s">
        <v>1583</v>
      </c>
      <c r="F36315" s="0" t="s">
        <v>1583</v>
      </c>
    </row>
    <row r="36316" customFormat="false" ht="12.8" hidden="false" customHeight="false" outlineLevel="0" collapsed="false">
      <c r="B36316" s="0" t="s">
        <v>124</v>
      </c>
    </row>
    <row r="36318" customFormat="false" ht="12.8" hidden="false" customHeight="false" outlineLevel="0" collapsed="false">
      <c r="A36318" s="0" t="s">
        <v>13172</v>
      </c>
      <c r="B36318" s="0" t="str">
        <f aca="false">HYPERLINK("https://lindat.mff.cuni.cz/services/teitok/pdtc10/index.php?action=vallex&amp;frame=v-w4968f1", "přespat (v-w4968f1)")</f>
        <v>přespat (v-w4968f1)</v>
      </c>
    </row>
    <row r="36319" customFormat="false" ht="12.8" hidden="false" customHeight="false" outlineLevel="0" collapsed="false">
      <c r="B36319" s="0" t="s">
        <v>7</v>
      </c>
    </row>
    <row r="36320" customFormat="false" ht="12.8" hidden="false" customHeight="false" outlineLevel="0" collapsed="false">
      <c r="B36320" s="0" t="s">
        <v>11</v>
      </c>
    </row>
    <row r="36322" customFormat="false" ht="12.8" hidden="false" customHeight="false" outlineLevel="0" collapsed="false">
      <c r="A36322" s="0" t="s">
        <v>13173</v>
      </c>
      <c r="B36322" s="0" t="str">
        <f aca="false">HYPERLINK("https://lindat.mff.cuni.cz/services/teitok/pdtc10/index.php?action=vallex&amp;frame=v-w4970f1", "přesprintovat (v-w4970f1)")</f>
        <v>přesprintovat (v-w4970f1)</v>
      </c>
    </row>
    <row r="36323" customFormat="false" ht="12.8" hidden="false" customHeight="false" outlineLevel="0" collapsed="false">
      <c r="B36323" s="0" t="s">
        <v>7</v>
      </c>
    </row>
    <row r="36324" customFormat="false" ht="12.8" hidden="false" customHeight="false" outlineLevel="0" collapsed="false">
      <c r="B36324" s="0" t="s">
        <v>14</v>
      </c>
    </row>
    <row r="36326" customFormat="false" ht="12.8" hidden="false" customHeight="false" outlineLevel="0" collapsed="false">
      <c r="A36326" s="0" t="s">
        <v>13174</v>
      </c>
      <c r="B36326" s="0" t="str">
        <f aca="false">HYPERLINK("https://lindat.mff.cuni.cz/services/teitok/pdtc10/index.php?action=vallex&amp;frame=v-w4969f1", "přespávat (v-w4969f1)")</f>
        <v>přespávat (v-w4969f1)</v>
      </c>
    </row>
    <row r="36327" customFormat="false" ht="12.8" hidden="false" customHeight="false" outlineLevel="0" collapsed="false">
      <c r="B36327" s="0" t="s">
        <v>7</v>
      </c>
    </row>
    <row r="36328" customFormat="false" ht="12.8" hidden="false" customHeight="false" outlineLevel="0" collapsed="false">
      <c r="B36328" s="0" t="s">
        <v>11</v>
      </c>
    </row>
    <row r="36330" customFormat="false" ht="12.8" hidden="false" customHeight="false" outlineLevel="0" collapsed="false">
      <c r="A36330" s="0" t="s">
        <v>13175</v>
      </c>
      <c r="B36330" s="0" t="str">
        <f aca="false">HYPERLINK("https://lindat.mff.cuni.cz/services/teitok/pdtc10/index.php?action=vallex&amp;frame=v-w4971f1", "přestat (v-w4971f1)")</f>
        <v>přestat (v-w4971f1)</v>
      </c>
    </row>
    <row r="36331" customFormat="false" ht="12.8" hidden="false" customHeight="false" outlineLevel="0" collapsed="false">
      <c r="B36331" s="0" t="s">
        <v>7</v>
      </c>
      <c r="C36331" s="0" t="s">
        <v>13176</v>
      </c>
    </row>
    <row r="36332" customFormat="false" ht="12.8" hidden="false" customHeight="false" outlineLevel="0" collapsed="false">
      <c r="B36332" s="0" t="s">
        <v>10861</v>
      </c>
      <c r="C36332" s="0" t="s">
        <v>13177</v>
      </c>
    </row>
    <row r="36334" customFormat="false" ht="12.8" hidden="false" customHeight="false" outlineLevel="0" collapsed="false">
      <c r="A36334" s="0" t="s">
        <v>13178</v>
      </c>
      <c r="B36334" s="0" t="str">
        <f aca="false">HYPERLINK("https://lindat.mff.cuni.cz/services/teitok/pdtc10/index.php?action=vallex&amp;frame=v-w4971f2", "přestat (v-w4971f2)")</f>
        <v>přestat (v-w4971f2)</v>
      </c>
    </row>
    <row r="36335" customFormat="false" ht="12.8" hidden="false" customHeight="false" outlineLevel="0" collapsed="false">
      <c r="B36335" s="0" t="s">
        <v>265</v>
      </c>
      <c r="C36335" s="0" t="s">
        <v>3675</v>
      </c>
      <c r="D36335" s="0" t="s">
        <v>3676</v>
      </c>
      <c r="E36335" s="0" t="s">
        <v>3676</v>
      </c>
      <c r="F36335" s="0" t="s">
        <v>3676</v>
      </c>
    </row>
    <row r="36337" customFormat="false" ht="12.8" hidden="false" customHeight="false" outlineLevel="0" collapsed="false">
      <c r="A36337" s="0" t="s">
        <v>13179</v>
      </c>
      <c r="B36337" s="0" t="str">
        <f aca="false">HYPERLINK("https://lindat.mff.cuni.cz/services/teitok/pdtc10/index.php?action=vallex&amp;frame=v-whsa_540f1_ZU", "přestavit (v-whsa_540f1_ZU)")</f>
        <v>přestavit (v-whsa_540f1_ZU)</v>
      </c>
    </row>
    <row r="36338" customFormat="false" ht="12.8" hidden="false" customHeight="false" outlineLevel="0" collapsed="false">
      <c r="B36338" s="0" t="s">
        <v>7</v>
      </c>
    </row>
    <row r="36339" customFormat="false" ht="12.8" hidden="false" customHeight="false" outlineLevel="0" collapsed="false">
      <c r="B36339" s="0" t="s">
        <v>14</v>
      </c>
    </row>
    <row r="36340" customFormat="false" ht="12.8" hidden="false" customHeight="false" outlineLevel="0" collapsed="false">
      <c r="B36340" s="0" t="s">
        <v>35</v>
      </c>
    </row>
    <row r="36341" customFormat="false" ht="12.8" hidden="false" customHeight="false" outlineLevel="0" collapsed="false">
      <c r="B36341" s="0" t="s">
        <v>84</v>
      </c>
    </row>
    <row r="36343" customFormat="false" ht="12.8" hidden="false" customHeight="false" outlineLevel="0" collapsed="false">
      <c r="A36343" s="0" t="s">
        <v>13179</v>
      </c>
      <c r="B36343" s="0" t="str">
        <f aca="false">HYPERLINK("https://lindat.mff.cuni.cz/services/teitok/pdtc10/index.php?action=vallex&amp;frame=v-whsa_540hsa_541", "přestavit (v-whsa_540hsa_541) - substituted with v-whsa_540f1_ZU")</f>
        <v>přestavit (v-whsa_540hsa_541) - substituted with v-whsa_540f1_ZU</v>
      </c>
    </row>
    <row r="36344" customFormat="false" ht="12.8" hidden="false" customHeight="false" outlineLevel="0" collapsed="false">
      <c r="B36344" s="0" t="s">
        <v>7</v>
      </c>
    </row>
    <row r="36345" customFormat="false" ht="12.8" hidden="false" customHeight="false" outlineLevel="0" collapsed="false">
      <c r="B36345" s="0" t="s">
        <v>14</v>
      </c>
    </row>
    <row r="36346" customFormat="false" ht="12.8" hidden="false" customHeight="false" outlineLevel="0" collapsed="false">
      <c r="B36346" s="0" t="s">
        <v>35</v>
      </c>
    </row>
    <row r="36347" customFormat="false" ht="12.8" hidden="false" customHeight="false" outlineLevel="0" collapsed="false">
      <c r="B36347" s="0" t="s">
        <v>84</v>
      </c>
    </row>
    <row r="36349" customFormat="false" ht="12.8" hidden="false" customHeight="false" outlineLevel="0" collapsed="false">
      <c r="A36349" s="0" t="s">
        <v>13180</v>
      </c>
      <c r="B36349" s="0" t="str">
        <f aca="false">HYPERLINK("https://lindat.mff.cuni.cz/services/teitok/pdtc10/index.php?action=vallex&amp;frame=v-w4977f1", "přestavovat (v-w4977f1)")</f>
        <v>přestavovat (v-w4977f1)</v>
      </c>
    </row>
    <row r="36350" customFormat="false" ht="12.8" hidden="false" customHeight="false" outlineLevel="0" collapsed="false">
      <c r="B36350" s="0" t="s">
        <v>7</v>
      </c>
      <c r="D36350" s="0" t="s">
        <v>32</v>
      </c>
      <c r="E36350" s="0" t="s">
        <v>32</v>
      </c>
      <c r="F36350" s="0" t="s">
        <v>32</v>
      </c>
    </row>
    <row r="36351" customFormat="false" ht="12.8" hidden="false" customHeight="false" outlineLevel="0" collapsed="false">
      <c r="B36351" s="0" t="s">
        <v>14</v>
      </c>
      <c r="D36351" s="0" t="s">
        <v>34</v>
      </c>
      <c r="E36351" s="0" t="s">
        <v>34</v>
      </c>
      <c r="F36351" s="0" t="s">
        <v>34</v>
      </c>
    </row>
    <row r="36352" customFormat="false" ht="12.8" hidden="false" customHeight="false" outlineLevel="0" collapsed="false">
      <c r="B36352" s="0" t="s">
        <v>35</v>
      </c>
      <c r="D36352" s="0" t="s">
        <v>36</v>
      </c>
      <c r="E36352" s="0" t="s">
        <v>36</v>
      </c>
      <c r="F36352" s="0" t="s">
        <v>36</v>
      </c>
    </row>
    <row r="36353" customFormat="false" ht="12.8" hidden="false" customHeight="false" outlineLevel="0" collapsed="false">
      <c r="B36353" s="0" t="s">
        <v>37</v>
      </c>
      <c r="D36353" s="0" t="s">
        <v>39</v>
      </c>
      <c r="E36353" s="0" t="s">
        <v>39</v>
      </c>
      <c r="F36353" s="0" t="s">
        <v>39</v>
      </c>
    </row>
    <row r="36355" customFormat="false" ht="12.8" hidden="false" customHeight="false" outlineLevel="0" collapsed="false">
      <c r="A36355" s="0" t="s">
        <v>13181</v>
      </c>
      <c r="B36355" s="0" t="str">
        <f aca="false">HYPERLINK("https://lindat.mff.cuni.cz/services/teitok/pdtc10/index.php?action=vallex&amp;frame=v-w4975f2_MM", "přestavět (v-w4975f2_MM)")</f>
        <v>přestavět (v-w4975f2_MM)</v>
      </c>
    </row>
    <row r="36356" customFormat="false" ht="12.8" hidden="false" customHeight="false" outlineLevel="0" collapsed="false">
      <c r="B36356" s="0" t="s">
        <v>7</v>
      </c>
    </row>
    <row r="36357" customFormat="false" ht="12.8" hidden="false" customHeight="false" outlineLevel="0" collapsed="false">
      <c r="B36357" s="0" t="s">
        <v>14</v>
      </c>
    </row>
    <row r="36358" customFormat="false" ht="12.8" hidden="false" customHeight="false" outlineLevel="0" collapsed="false">
      <c r="B36358" s="0" t="s">
        <v>13182</v>
      </c>
    </row>
    <row r="36359" customFormat="false" ht="12.8" hidden="false" customHeight="false" outlineLevel="0" collapsed="false">
      <c r="B36359" s="0" t="s">
        <v>35</v>
      </c>
    </row>
    <row r="36361" customFormat="false" ht="12.8" hidden="false" customHeight="false" outlineLevel="0" collapsed="false">
      <c r="A36361" s="0" t="s">
        <v>13181</v>
      </c>
      <c r="B36361" s="0" t="str">
        <f aca="false">HYPERLINK("https://lindat.mff.cuni.cz/services/teitok/pdtc10/index.php?action=vallex&amp;frame=v-w4975f1", "přestavět (v-w4975f1) - substituted with v-w4975f2_MM")</f>
        <v>přestavět (v-w4975f1) - substituted with v-w4975f2_MM</v>
      </c>
    </row>
    <row r="36362" customFormat="false" ht="12.8" hidden="false" customHeight="false" outlineLevel="0" collapsed="false">
      <c r="B36362" s="0" t="s">
        <v>7</v>
      </c>
      <c r="C36362" s="0" t="s">
        <v>1637</v>
      </c>
      <c r="D36362" s="0" t="s">
        <v>32</v>
      </c>
      <c r="E36362" s="0" t="s">
        <v>32</v>
      </c>
      <c r="F36362" s="0" t="s">
        <v>32</v>
      </c>
    </row>
    <row r="36363" customFormat="false" ht="12.8" hidden="false" customHeight="false" outlineLevel="0" collapsed="false">
      <c r="B36363" s="0" t="s">
        <v>14</v>
      </c>
      <c r="C36363" s="0" t="s">
        <v>13183</v>
      </c>
      <c r="D36363" s="0" t="s">
        <v>34</v>
      </c>
      <c r="E36363" s="0" t="s">
        <v>34</v>
      </c>
      <c r="F36363" s="0" t="s">
        <v>34</v>
      </c>
    </row>
    <row r="36364" customFormat="false" ht="12.8" hidden="false" customHeight="false" outlineLevel="0" collapsed="false">
      <c r="B36364" s="0" t="s">
        <v>13182</v>
      </c>
      <c r="C36364" s="0" t="s">
        <v>13184</v>
      </c>
      <c r="D36364" s="0" t="s">
        <v>39</v>
      </c>
      <c r="E36364" s="0" t="s">
        <v>39</v>
      </c>
      <c r="F36364" s="0" t="s">
        <v>39</v>
      </c>
    </row>
    <row r="36365" customFormat="false" ht="12.8" hidden="false" customHeight="false" outlineLevel="0" collapsed="false">
      <c r="B36365" s="0" t="s">
        <v>35</v>
      </c>
      <c r="D36365" s="0" t="s">
        <v>36</v>
      </c>
      <c r="E36365" s="0" t="s">
        <v>36</v>
      </c>
      <c r="F36365" s="0" t="s">
        <v>36</v>
      </c>
    </row>
    <row r="36367" customFormat="false" ht="12.8" hidden="false" customHeight="false" outlineLevel="0" collapsed="false">
      <c r="A36367" s="0" t="s">
        <v>13185</v>
      </c>
      <c r="B36367" s="0" t="str">
        <f aca="false">HYPERLINK("https://lindat.mff.cuni.cz/services/teitok/pdtc10/index.php?action=vallex&amp;frame=v-w4981f1", "přestoupit (v-w4981f1)")</f>
        <v>přestoupit (v-w4981f1)</v>
      </c>
    </row>
    <row r="36368" customFormat="false" ht="12.8" hidden="false" customHeight="false" outlineLevel="0" collapsed="false">
      <c r="B36368" s="0" t="s">
        <v>7</v>
      </c>
      <c r="C36368" s="0" t="s">
        <v>247</v>
      </c>
      <c r="D36368" s="0" t="s">
        <v>3856</v>
      </c>
      <c r="E36368" s="0" t="s">
        <v>3856</v>
      </c>
      <c r="F36368" s="0" t="s">
        <v>3856</v>
      </c>
    </row>
    <row r="36369" customFormat="false" ht="12.8" hidden="false" customHeight="false" outlineLevel="0" collapsed="false">
      <c r="B36369" s="0" t="s">
        <v>459</v>
      </c>
    </row>
    <row r="36370" customFormat="false" ht="12.8" hidden="false" customHeight="false" outlineLevel="0" collapsed="false">
      <c r="B36370" s="0" t="s">
        <v>124</v>
      </c>
    </row>
    <row r="36372" customFormat="false" ht="12.8" hidden="false" customHeight="false" outlineLevel="0" collapsed="false">
      <c r="A36372" s="0" t="s">
        <v>13186</v>
      </c>
      <c r="B36372" s="0" t="str">
        <f aca="false">HYPERLINK("https://lindat.mff.cuni.cz/services/teitok/pdtc10/index.php?action=vallex&amp;frame=v-w4981hsa_2003", "přestoupit (v-w4981hsa_2003)")</f>
        <v>přestoupit (v-w4981hsa_2003)</v>
      </c>
    </row>
    <row r="36373" customFormat="false" ht="12.8" hidden="false" customHeight="false" outlineLevel="0" collapsed="false">
      <c r="B36373" s="0" t="s">
        <v>7</v>
      </c>
    </row>
    <row r="36374" customFormat="false" ht="12.8" hidden="false" customHeight="false" outlineLevel="0" collapsed="false">
      <c r="B36374" s="0" t="s">
        <v>14</v>
      </c>
    </row>
    <row r="36376" customFormat="false" ht="12.8" hidden="false" customHeight="false" outlineLevel="0" collapsed="false">
      <c r="A36376" s="0" t="s">
        <v>13187</v>
      </c>
      <c r="B36376" s="0" t="str">
        <f aca="false">HYPERLINK("https://lindat.mff.cuni.cz/services/teitok/pdtc10/index.php?action=vallex&amp;frame=v-w4981hsa_2004", "přestoupit (v-w4981hsa_2004)")</f>
        <v>přestoupit (v-w4981hsa_2004)</v>
      </c>
    </row>
    <row r="36377" customFormat="false" ht="12.8" hidden="false" customHeight="false" outlineLevel="0" collapsed="false">
      <c r="B36377" s="0" t="s">
        <v>7</v>
      </c>
    </row>
    <row r="36378" customFormat="false" ht="12.8" hidden="false" customHeight="false" outlineLevel="0" collapsed="false">
      <c r="B36378" s="0" t="s">
        <v>124</v>
      </c>
    </row>
    <row r="36380" customFormat="false" ht="12.8" hidden="false" customHeight="false" outlineLevel="0" collapsed="false">
      <c r="A36380" s="0" t="s">
        <v>13188</v>
      </c>
      <c r="B36380" s="0" t="str">
        <f aca="false">HYPERLINK("https://lindat.mff.cuni.cz/services/teitok/pdtc10/index.php?action=vallex&amp;frame=v-w10792f2", "přestrukturovat (v-w10792f2)")</f>
        <v>přestrukturovat (v-w10792f2)</v>
      </c>
    </row>
    <row r="36381" customFormat="false" ht="12.8" hidden="false" customHeight="false" outlineLevel="0" collapsed="false">
      <c r="B36381" s="0" t="s">
        <v>7</v>
      </c>
    </row>
    <row r="36382" customFormat="false" ht="12.8" hidden="false" customHeight="false" outlineLevel="0" collapsed="false">
      <c r="B36382" s="0" t="s">
        <v>14</v>
      </c>
    </row>
    <row r="36384" customFormat="false" ht="12.8" hidden="false" customHeight="false" outlineLevel="0" collapsed="false">
      <c r="A36384" s="0" t="s">
        <v>13189</v>
      </c>
      <c r="B36384" s="0" t="str">
        <f aca="false">HYPERLINK("https://lindat.mff.cuni.cz/services/teitok/pdtc10/index.php?action=vallex&amp;frame=v-w4985f1", "přestupovat (v-w4985f1)")</f>
        <v>přestupovat (v-w4985f1)</v>
      </c>
    </row>
    <row r="36385" customFormat="false" ht="12.8" hidden="false" customHeight="false" outlineLevel="0" collapsed="false">
      <c r="B36385" s="0" t="s">
        <v>7</v>
      </c>
      <c r="D36385" s="0" t="s">
        <v>3856</v>
      </c>
      <c r="E36385" s="0" t="s">
        <v>3856</v>
      </c>
      <c r="F36385" s="0" t="s">
        <v>3856</v>
      </c>
    </row>
    <row r="36386" customFormat="false" ht="12.8" hidden="false" customHeight="false" outlineLevel="0" collapsed="false">
      <c r="B36386" s="0" t="s">
        <v>459</v>
      </c>
    </row>
    <row r="36387" customFormat="false" ht="12.8" hidden="false" customHeight="false" outlineLevel="0" collapsed="false">
      <c r="B36387" s="0" t="s">
        <v>124</v>
      </c>
    </row>
    <row r="36389" customFormat="false" ht="12.8" hidden="false" customHeight="false" outlineLevel="0" collapsed="false">
      <c r="A36389" s="0" t="s">
        <v>13190</v>
      </c>
      <c r="B36389" s="0" t="str">
        <f aca="false">HYPERLINK("https://lindat.mff.cuni.cz/services/teitok/pdtc10/index.php?action=vallex&amp;frame=v-w4972f1", "přestát (v-w4972f1)")</f>
        <v>přestát (v-w4972f1)</v>
      </c>
    </row>
    <row r="36390" customFormat="false" ht="12.8" hidden="false" customHeight="false" outlineLevel="0" collapsed="false">
      <c r="B36390" s="0" t="s">
        <v>7</v>
      </c>
      <c r="C36390" s="0" t="s">
        <v>13191</v>
      </c>
      <c r="D36390" s="0" t="s">
        <v>569</v>
      </c>
      <c r="E36390" s="0" t="s">
        <v>569</v>
      </c>
      <c r="F36390" s="0" t="s">
        <v>569</v>
      </c>
    </row>
    <row r="36391" customFormat="false" ht="12.8" hidden="false" customHeight="false" outlineLevel="0" collapsed="false">
      <c r="B36391" s="0" t="s">
        <v>14</v>
      </c>
      <c r="C36391" s="0" t="s">
        <v>13192</v>
      </c>
      <c r="D36391" s="0" t="s">
        <v>384</v>
      </c>
      <c r="E36391" s="0" t="s">
        <v>384</v>
      </c>
      <c r="F36391" s="0" t="s">
        <v>384</v>
      </c>
    </row>
    <row r="36393" customFormat="false" ht="12.8" hidden="false" customHeight="false" outlineLevel="0" collapsed="false">
      <c r="A36393" s="0" t="s">
        <v>13193</v>
      </c>
      <c r="B36393" s="0" t="str">
        <f aca="false">HYPERLINK("https://lindat.mff.cuni.cz/services/teitok/pdtc10/index.php?action=vallex&amp;frame=v-w4973f1", "přestávat (v-w4973f1)")</f>
        <v>přestávat (v-w4973f1)</v>
      </c>
    </row>
    <row r="36394" customFormat="false" ht="12.8" hidden="false" customHeight="false" outlineLevel="0" collapsed="false">
      <c r="B36394" s="0" t="s">
        <v>7</v>
      </c>
      <c r="C36394" s="0" t="s">
        <v>13194</v>
      </c>
      <c r="D36394" s="0" t="s">
        <v>1399</v>
      </c>
      <c r="E36394" s="0" t="s">
        <v>1399</v>
      </c>
      <c r="F36394" s="0" t="s">
        <v>1399</v>
      </c>
    </row>
    <row r="36395" customFormat="false" ht="12.8" hidden="false" customHeight="false" outlineLevel="0" collapsed="false">
      <c r="B36395" s="0" t="s">
        <v>10861</v>
      </c>
      <c r="C36395" s="0" t="s">
        <v>7144</v>
      </c>
      <c r="D36395" s="0" t="s">
        <v>1401</v>
      </c>
      <c r="E36395" s="0" t="s">
        <v>1401</v>
      </c>
      <c r="F36395" s="0" t="s">
        <v>1401</v>
      </c>
    </row>
    <row r="36397" customFormat="false" ht="12.8" hidden="false" customHeight="false" outlineLevel="0" collapsed="false">
      <c r="A36397" s="0" t="s">
        <v>13195</v>
      </c>
      <c r="B36397" s="0" t="str">
        <f aca="false">HYPERLINK("https://lindat.mff.cuni.cz/services/teitok/pdtc10/index.php?action=vallex&amp;frame=v-w4973f2", "přestávat (v-w4973f2)")</f>
        <v>přestávat (v-w4973f2)</v>
      </c>
    </row>
    <row r="36398" customFormat="false" ht="12.8" hidden="false" customHeight="false" outlineLevel="0" collapsed="false">
      <c r="B36398" s="0" t="s">
        <v>265</v>
      </c>
      <c r="D36398" s="0" t="s">
        <v>3676</v>
      </c>
      <c r="E36398" s="0" t="s">
        <v>3676</v>
      </c>
      <c r="F36398" s="0" t="s">
        <v>3676</v>
      </c>
    </row>
    <row r="36400" customFormat="false" ht="12.8" hidden="false" customHeight="false" outlineLevel="0" collapsed="false">
      <c r="A36400" s="0" t="s">
        <v>13196</v>
      </c>
      <c r="B36400" s="0" t="str">
        <f aca="false">HYPERLINK("https://lindat.mff.cuni.cz/services/teitok/pdtc10/index.php?action=vallex&amp;frame=v-w4979f1", "přestěhovat (v-w4979f1)")</f>
        <v>přestěhovat (v-w4979f1)</v>
      </c>
    </row>
    <row r="36401" customFormat="false" ht="12.8" hidden="false" customHeight="false" outlineLevel="0" collapsed="false">
      <c r="B36401" s="0" t="s">
        <v>7</v>
      </c>
      <c r="C36401" s="0" t="s">
        <v>13197</v>
      </c>
      <c r="D36401" s="0" t="s">
        <v>4161</v>
      </c>
      <c r="E36401" s="0" t="s">
        <v>4161</v>
      </c>
      <c r="F36401" s="0" t="s">
        <v>4161</v>
      </c>
    </row>
    <row r="36402" customFormat="false" ht="12.8" hidden="false" customHeight="false" outlineLevel="0" collapsed="false">
      <c r="B36402" s="0" t="s">
        <v>14</v>
      </c>
      <c r="C36402" s="0" t="s">
        <v>7637</v>
      </c>
      <c r="D36402" s="0" t="s">
        <v>8195</v>
      </c>
      <c r="E36402" s="0" t="s">
        <v>8195</v>
      </c>
      <c r="F36402" s="0" t="s">
        <v>8195</v>
      </c>
    </row>
    <row r="36403" customFormat="false" ht="12.8" hidden="false" customHeight="false" outlineLevel="0" collapsed="false">
      <c r="B36403" s="0" t="s">
        <v>459</v>
      </c>
    </row>
    <row r="36404" customFormat="false" ht="12.8" hidden="false" customHeight="false" outlineLevel="0" collapsed="false">
      <c r="B36404" s="0" t="s">
        <v>124</v>
      </c>
      <c r="D36404" s="0" t="s">
        <v>10830</v>
      </c>
      <c r="E36404" s="0" t="s">
        <v>10830</v>
      </c>
      <c r="F36404" s="0" t="s">
        <v>10830</v>
      </c>
    </row>
    <row r="36406" customFormat="false" ht="12.8" hidden="false" customHeight="false" outlineLevel="0" collapsed="false">
      <c r="A36406" s="0" t="s">
        <v>13198</v>
      </c>
      <c r="B36406" s="0" t="str">
        <f aca="false">HYPERLINK("https://lindat.mff.cuni.cz/services/teitok/pdtc10/index.php?action=vallex&amp;frame=v-w4980f1", "přestěhovat se (v-w4980f1)")</f>
        <v>přestěhovat se (v-w4980f1)</v>
      </c>
    </row>
    <row r="36407" customFormat="false" ht="12.8" hidden="false" customHeight="false" outlineLevel="0" collapsed="false">
      <c r="B36407" s="0" t="s">
        <v>7</v>
      </c>
      <c r="C36407" s="0" t="s">
        <v>3855</v>
      </c>
      <c r="D36407" s="0" t="s">
        <v>1582</v>
      </c>
      <c r="E36407" s="0" t="s">
        <v>1582</v>
      </c>
      <c r="F36407" s="0" t="s">
        <v>1582</v>
      </c>
    </row>
    <row r="36408" customFormat="false" ht="12.8" hidden="false" customHeight="false" outlineLevel="0" collapsed="false">
      <c r="B36408" s="0" t="s">
        <v>459</v>
      </c>
      <c r="D36408" s="0" t="s">
        <v>1583</v>
      </c>
      <c r="E36408" s="0" t="s">
        <v>1583</v>
      </c>
      <c r="F36408" s="0" t="s">
        <v>1583</v>
      </c>
    </row>
    <row r="36409" customFormat="false" ht="12.8" hidden="false" customHeight="false" outlineLevel="0" collapsed="false">
      <c r="B36409" s="0" t="s">
        <v>124</v>
      </c>
    </row>
    <row r="36411" customFormat="false" ht="12.8" hidden="false" customHeight="false" outlineLevel="0" collapsed="false">
      <c r="A36411" s="0" t="s">
        <v>13199</v>
      </c>
      <c r="B36411" s="0" t="str">
        <f aca="false">HYPERLINK("https://lindat.mff.cuni.cz/services/teitok/pdtc10/index.php?action=vallex&amp;frame=v-w4982f1", "přestřelit (v-w4982f1)")</f>
        <v>přestřelit (v-w4982f1)</v>
      </c>
    </row>
    <row r="36412" customFormat="false" ht="12.8" hidden="false" customHeight="false" outlineLevel="0" collapsed="false">
      <c r="B36412" s="0" t="s">
        <v>7</v>
      </c>
    </row>
    <row r="36413" customFormat="false" ht="12.8" hidden="false" customHeight="false" outlineLevel="0" collapsed="false">
      <c r="B36413" s="0" t="s">
        <v>14</v>
      </c>
    </row>
    <row r="36415" customFormat="false" ht="12.8" hidden="false" customHeight="false" outlineLevel="0" collapsed="false">
      <c r="A36415" s="0" t="s">
        <v>13200</v>
      </c>
      <c r="B36415" s="0" t="str">
        <f aca="false">HYPERLINK("https://lindat.mff.cuni.cz/services/teitok/pdtc10/index.php?action=vallex&amp;frame=v-w10850f3", "přestřihnout (v-w10850f3)")</f>
        <v>přestřihnout (v-w10850f3)</v>
      </c>
    </row>
    <row r="36416" customFormat="false" ht="12.8" hidden="false" customHeight="false" outlineLevel="0" collapsed="false">
      <c r="B36416" s="0" t="s">
        <v>7</v>
      </c>
    </row>
    <row r="36417" customFormat="false" ht="12.8" hidden="false" customHeight="false" outlineLevel="0" collapsed="false">
      <c r="B36417" s="0" t="s">
        <v>14</v>
      </c>
    </row>
    <row r="36419" customFormat="false" ht="12.8" hidden="false" customHeight="false" outlineLevel="0" collapsed="false">
      <c r="A36419" s="0" t="s">
        <v>13201</v>
      </c>
      <c r="B36419" s="0" t="str">
        <f aca="false">HYPERLINK("https://lindat.mff.cuni.cz/services/teitok/pdtc10/index.php?action=vallex&amp;frame=v-w10850f2", "přestřihnout (v-w10850f2)")</f>
        <v>přestřihnout (v-w10850f2)</v>
      </c>
    </row>
    <row r="36420" customFormat="false" ht="12.8" hidden="false" customHeight="false" outlineLevel="0" collapsed="false">
      <c r="B36420" s="0" t="s">
        <v>7</v>
      </c>
    </row>
    <row r="36421" customFormat="false" ht="12.8" hidden="false" customHeight="false" outlineLevel="0" collapsed="false">
      <c r="B36421" s="0" t="s">
        <v>14</v>
      </c>
    </row>
    <row r="36423" customFormat="false" ht="12.8" hidden="false" customHeight="false" outlineLevel="0" collapsed="false">
      <c r="A36423" s="0" t="s">
        <v>13202</v>
      </c>
      <c r="B36423" s="0" t="str">
        <f aca="false">HYPERLINK("https://lindat.mff.cuni.cz/services/teitok/pdtc10/index.php?action=vallex&amp;frame=v-w4987f2", "přesunout (v-w4987f2)")</f>
        <v>přesunout (v-w4987f2)</v>
      </c>
    </row>
    <row r="36424" customFormat="false" ht="12.8" hidden="false" customHeight="false" outlineLevel="0" collapsed="false">
      <c r="B36424" s="0" t="s">
        <v>7</v>
      </c>
      <c r="C36424" s="0" t="s">
        <v>13203</v>
      </c>
      <c r="D36424" s="0" t="s">
        <v>4161</v>
      </c>
      <c r="E36424" s="0" t="s">
        <v>4161</v>
      </c>
      <c r="F36424" s="0" t="s">
        <v>4161</v>
      </c>
    </row>
    <row r="36425" customFormat="false" ht="12.8" hidden="false" customHeight="false" outlineLevel="0" collapsed="false">
      <c r="B36425" s="0" t="s">
        <v>14</v>
      </c>
      <c r="C36425" s="0" t="s">
        <v>2182</v>
      </c>
      <c r="D36425" s="0" t="s">
        <v>8195</v>
      </c>
      <c r="E36425" s="0" t="s">
        <v>8195</v>
      </c>
      <c r="F36425" s="0" t="s">
        <v>8195</v>
      </c>
    </row>
    <row r="36426" customFormat="false" ht="12.8" hidden="false" customHeight="false" outlineLevel="0" collapsed="false">
      <c r="B36426" s="0" t="s">
        <v>4101</v>
      </c>
      <c r="C36426" s="0" t="s">
        <v>3288</v>
      </c>
      <c r="D36426" s="0" t="s">
        <v>13044</v>
      </c>
      <c r="E36426" s="0" t="s">
        <v>13044</v>
      </c>
      <c r="F36426" s="0" t="s">
        <v>13044</v>
      </c>
    </row>
    <row r="36427" customFormat="false" ht="12.8" hidden="false" customHeight="false" outlineLevel="0" collapsed="false">
      <c r="B36427" s="0" t="s">
        <v>35</v>
      </c>
    </row>
    <row r="36429" customFormat="false" ht="12.8" hidden="false" customHeight="false" outlineLevel="0" collapsed="false">
      <c r="A36429" s="0" t="s">
        <v>13204</v>
      </c>
      <c r="B36429" s="0" t="str">
        <f aca="false">HYPERLINK("https://lindat.mff.cuni.cz/services/teitok/pdtc10/index.php?action=vallex&amp;frame=v-w4987f4_ZU", "přesunout (v-w4987f4_ZU)")</f>
        <v>přesunout (v-w4987f4_ZU)</v>
      </c>
    </row>
    <row r="36430" customFormat="false" ht="12.8" hidden="false" customHeight="false" outlineLevel="0" collapsed="false">
      <c r="B36430" s="0" t="s">
        <v>7</v>
      </c>
      <c r="C36430" s="0" t="s">
        <v>88</v>
      </c>
      <c r="D36430" s="0" t="s">
        <v>4161</v>
      </c>
      <c r="E36430" s="0" t="s">
        <v>4161</v>
      </c>
      <c r="F36430" s="0" t="s">
        <v>4161</v>
      </c>
    </row>
    <row r="36431" customFormat="false" ht="12.8" hidden="false" customHeight="false" outlineLevel="0" collapsed="false">
      <c r="B36431" s="0" t="s">
        <v>14</v>
      </c>
      <c r="C36431" s="0" t="s">
        <v>24</v>
      </c>
      <c r="D36431" s="0" t="s">
        <v>8195</v>
      </c>
      <c r="E36431" s="0" t="s">
        <v>8195</v>
      </c>
      <c r="F36431" s="0" t="s">
        <v>8195</v>
      </c>
    </row>
    <row r="36432" customFormat="false" ht="12.8" hidden="false" customHeight="false" outlineLevel="0" collapsed="false">
      <c r="B36432" s="0" t="s">
        <v>35</v>
      </c>
    </row>
    <row r="36433" customFormat="false" ht="12.8" hidden="false" customHeight="false" outlineLevel="0" collapsed="false">
      <c r="B36433" s="0" t="s">
        <v>13205</v>
      </c>
      <c r="D36433" s="0" t="s">
        <v>8417</v>
      </c>
      <c r="E36433" s="0" t="s">
        <v>8417</v>
      </c>
      <c r="F36433" s="0" t="s">
        <v>8417</v>
      </c>
    </row>
    <row r="36435" customFormat="false" ht="12.8" hidden="false" customHeight="false" outlineLevel="0" collapsed="false">
      <c r="A36435" s="0" t="s">
        <v>13206</v>
      </c>
      <c r="B36435" s="0" t="str">
        <f aca="false">HYPERLINK("https://lindat.mff.cuni.cz/services/teitok/pdtc10/index.php?action=vallex&amp;frame=v-w4987f1", "přesunout (v-w4987f1)")</f>
        <v>přesunout (v-w4987f1)</v>
      </c>
    </row>
    <row r="36436" customFormat="false" ht="12.8" hidden="false" customHeight="false" outlineLevel="0" collapsed="false">
      <c r="B36436" s="0" t="s">
        <v>7</v>
      </c>
      <c r="C36436" s="0" t="s">
        <v>13207</v>
      </c>
      <c r="D36436" s="0" t="s">
        <v>2235</v>
      </c>
      <c r="E36436" s="0" t="s">
        <v>2235</v>
      </c>
      <c r="F36436" s="0" t="s">
        <v>2235</v>
      </c>
    </row>
    <row r="36437" customFormat="false" ht="12.8" hidden="false" customHeight="false" outlineLevel="0" collapsed="false">
      <c r="B36437" s="0" t="s">
        <v>14</v>
      </c>
      <c r="C36437" s="0" t="s">
        <v>13208</v>
      </c>
      <c r="D36437" s="0" t="s">
        <v>13209</v>
      </c>
      <c r="E36437" s="0" t="s">
        <v>13209</v>
      </c>
      <c r="F36437" s="0" t="s">
        <v>13209</v>
      </c>
    </row>
    <row r="36438" customFormat="false" ht="12.8" hidden="false" customHeight="false" outlineLevel="0" collapsed="false">
      <c r="B36438" s="0" t="s">
        <v>459</v>
      </c>
    </row>
    <row r="36439" customFormat="false" ht="12.8" hidden="false" customHeight="false" outlineLevel="0" collapsed="false">
      <c r="B36439" s="0" t="s">
        <v>124</v>
      </c>
      <c r="C36439" s="0" t="s">
        <v>13210</v>
      </c>
      <c r="D36439" s="0" t="s">
        <v>13211</v>
      </c>
      <c r="E36439" s="0" t="s">
        <v>13211</v>
      </c>
      <c r="F36439" s="0" t="s">
        <v>13211</v>
      </c>
    </row>
    <row r="36441" customFormat="false" ht="12.8" hidden="false" customHeight="false" outlineLevel="0" collapsed="false">
      <c r="A36441" s="0" t="s">
        <v>13212</v>
      </c>
      <c r="B36441" s="0" t="str">
        <f aca="false">HYPERLINK("https://lindat.mff.cuni.cz/services/teitok/pdtc10/index.php?action=vallex&amp;frame=v-w4987f3", "přesunout (v-w4987f3)")</f>
        <v>přesunout (v-w4987f3)</v>
      </c>
    </row>
    <row r="36442" customFormat="false" ht="12.8" hidden="false" customHeight="false" outlineLevel="0" collapsed="false">
      <c r="B36442" s="0" t="s">
        <v>7</v>
      </c>
      <c r="C36442" s="0" t="s">
        <v>1874</v>
      </c>
      <c r="D36442" s="0" t="s">
        <v>4677</v>
      </c>
      <c r="E36442" s="0" t="s">
        <v>4677</v>
      </c>
      <c r="F36442" s="0" t="s">
        <v>4677</v>
      </c>
    </row>
    <row r="36443" customFormat="false" ht="12.8" hidden="false" customHeight="false" outlineLevel="0" collapsed="false">
      <c r="B36443" s="0" t="s">
        <v>14</v>
      </c>
      <c r="C36443" s="0" t="s">
        <v>3565</v>
      </c>
      <c r="D36443" s="0" t="s">
        <v>12991</v>
      </c>
      <c r="E36443" s="0" t="s">
        <v>12991</v>
      </c>
      <c r="F36443" s="0" t="s">
        <v>12991</v>
      </c>
    </row>
    <row r="36444" customFormat="false" ht="12.8" hidden="false" customHeight="false" outlineLevel="0" collapsed="false">
      <c r="B36444" s="0" t="s">
        <v>9826</v>
      </c>
      <c r="D36444" s="0" t="s">
        <v>12992</v>
      </c>
      <c r="E36444" s="0" t="s">
        <v>12992</v>
      </c>
      <c r="F36444" s="0" t="s">
        <v>12992</v>
      </c>
    </row>
    <row r="36445" customFormat="false" ht="12.8" hidden="false" customHeight="false" outlineLevel="0" collapsed="false">
      <c r="B36445" s="0" t="s">
        <v>1492</v>
      </c>
      <c r="C36445" s="0" t="s">
        <v>12993</v>
      </c>
      <c r="D36445" s="0" t="s">
        <v>12994</v>
      </c>
      <c r="E36445" s="0" t="s">
        <v>12994</v>
      </c>
      <c r="F36445" s="0" t="s">
        <v>12994</v>
      </c>
    </row>
    <row r="36447" customFormat="false" ht="12.8" hidden="false" customHeight="false" outlineLevel="0" collapsed="false">
      <c r="A36447" s="0" t="s">
        <v>13213</v>
      </c>
      <c r="B36447" s="0" t="str">
        <f aca="false">HYPERLINK("https://lindat.mff.cuni.cz/services/teitok/pdtc10/index.php?action=vallex&amp;frame=v-w4988f1", "přesunout se (v-w4988f1)")</f>
        <v>přesunout se (v-w4988f1)</v>
      </c>
    </row>
    <row r="36448" customFormat="false" ht="12.8" hidden="false" customHeight="false" outlineLevel="0" collapsed="false">
      <c r="B36448" s="0" t="s">
        <v>7</v>
      </c>
      <c r="C36448" s="0" t="s">
        <v>13214</v>
      </c>
      <c r="D36448" s="0" t="s">
        <v>1582</v>
      </c>
      <c r="E36448" s="0" t="s">
        <v>1582</v>
      </c>
      <c r="F36448" s="0" t="s">
        <v>1582</v>
      </c>
    </row>
    <row r="36449" customFormat="false" ht="12.8" hidden="false" customHeight="false" outlineLevel="0" collapsed="false">
      <c r="B36449" s="0" t="s">
        <v>459</v>
      </c>
      <c r="D36449" s="0" t="s">
        <v>1583</v>
      </c>
      <c r="E36449" s="0" t="s">
        <v>1583</v>
      </c>
      <c r="F36449" s="0" t="s">
        <v>1583</v>
      </c>
    </row>
    <row r="36450" customFormat="false" ht="12.8" hidden="false" customHeight="false" outlineLevel="0" collapsed="false">
      <c r="B36450" s="0" t="s">
        <v>124</v>
      </c>
    </row>
    <row r="36452" customFormat="false" ht="12.8" hidden="false" customHeight="false" outlineLevel="0" collapsed="false">
      <c r="A36452" s="0" t="s">
        <v>13215</v>
      </c>
      <c r="B36452" s="0" t="str">
        <f aca="false">HYPERLINK("https://lindat.mff.cuni.cz/services/teitok/pdtc10/index.php?action=vallex&amp;frame=v-w4988f2_ZU", "přesunout se (v-w4988f2_ZU)")</f>
        <v>přesunout se (v-w4988f2_ZU)</v>
      </c>
    </row>
    <row r="36453" customFormat="false" ht="12.8" hidden="false" customHeight="false" outlineLevel="0" collapsed="false">
      <c r="B36453" s="0" t="s">
        <v>7</v>
      </c>
    </row>
    <row r="36454" customFormat="false" ht="12.8" hidden="false" customHeight="false" outlineLevel="0" collapsed="false">
      <c r="B36454" s="0" t="s">
        <v>3902</v>
      </c>
    </row>
    <row r="36455" customFormat="false" ht="12.8" hidden="false" customHeight="false" outlineLevel="0" collapsed="false">
      <c r="B36455" s="0" t="s">
        <v>2339</v>
      </c>
    </row>
    <row r="36457" customFormat="false" ht="12.8" hidden="false" customHeight="false" outlineLevel="0" collapsed="false">
      <c r="A36457" s="0" t="s">
        <v>13216</v>
      </c>
      <c r="B36457" s="0" t="str">
        <f aca="false">HYPERLINK("https://lindat.mff.cuni.cz/services/teitok/pdtc10/index.php?action=vallex&amp;frame=v-w4989f2", "přesunovat (v-w4989f2)")</f>
        <v>přesunovat (v-w4989f2)</v>
      </c>
    </row>
    <row r="36458" customFormat="false" ht="12.8" hidden="false" customHeight="false" outlineLevel="0" collapsed="false">
      <c r="B36458" s="0" t="s">
        <v>7</v>
      </c>
    </row>
    <row r="36459" customFormat="false" ht="12.8" hidden="false" customHeight="false" outlineLevel="0" collapsed="false">
      <c r="B36459" s="0" t="s">
        <v>14</v>
      </c>
    </row>
    <row r="36460" customFormat="false" ht="12.8" hidden="false" customHeight="false" outlineLevel="0" collapsed="false">
      <c r="B36460" s="0" t="s">
        <v>122</v>
      </c>
    </row>
    <row r="36462" customFormat="false" ht="12.8" hidden="false" customHeight="false" outlineLevel="0" collapsed="false">
      <c r="A36462" s="0" t="s">
        <v>13217</v>
      </c>
      <c r="B36462" s="0" t="str">
        <f aca="false">HYPERLINK("https://lindat.mff.cuni.cz/services/teitok/pdtc10/index.php?action=vallex&amp;frame=v-w4989f1", "přesunovat (v-w4989f1)")</f>
        <v>přesunovat (v-w4989f1)</v>
      </c>
    </row>
    <row r="36463" customFormat="false" ht="12.8" hidden="false" customHeight="false" outlineLevel="0" collapsed="false">
      <c r="B36463" s="0" t="s">
        <v>7</v>
      </c>
      <c r="D36463" s="0" t="s">
        <v>4161</v>
      </c>
      <c r="E36463" s="0" t="s">
        <v>4161</v>
      </c>
      <c r="F36463" s="0" t="s">
        <v>4161</v>
      </c>
    </row>
    <row r="36464" customFormat="false" ht="12.8" hidden="false" customHeight="false" outlineLevel="0" collapsed="false">
      <c r="B36464" s="0" t="s">
        <v>14</v>
      </c>
      <c r="D36464" s="0" t="s">
        <v>8195</v>
      </c>
      <c r="E36464" s="0" t="s">
        <v>8195</v>
      </c>
      <c r="F36464" s="0" t="s">
        <v>8195</v>
      </c>
    </row>
    <row r="36465" customFormat="false" ht="12.8" hidden="false" customHeight="false" outlineLevel="0" collapsed="false">
      <c r="B36465" s="0" t="s">
        <v>459</v>
      </c>
    </row>
    <row r="36466" customFormat="false" ht="12.8" hidden="false" customHeight="false" outlineLevel="0" collapsed="false">
      <c r="B36466" s="0" t="s">
        <v>124</v>
      </c>
      <c r="D36466" s="0" t="s">
        <v>10830</v>
      </c>
      <c r="E36466" s="0" t="s">
        <v>10830</v>
      </c>
      <c r="F36466" s="0" t="s">
        <v>10830</v>
      </c>
    </row>
    <row r="36468" customFormat="false" ht="12.8" hidden="false" customHeight="false" outlineLevel="0" collapsed="false">
      <c r="A36468" s="0" t="s">
        <v>13218</v>
      </c>
      <c r="B36468" s="0" t="str">
        <f aca="false">HYPERLINK("https://lindat.mff.cuni.cz/services/teitok/pdtc10/index.php?action=vallex&amp;frame=v-w4990f1", "přesunovat se (v-w4990f1)")</f>
        <v>přesunovat se (v-w4990f1)</v>
      </c>
    </row>
    <row r="36469" customFormat="false" ht="12.8" hidden="false" customHeight="false" outlineLevel="0" collapsed="false">
      <c r="B36469" s="0" t="s">
        <v>7</v>
      </c>
      <c r="C36469" s="0" t="s">
        <v>3855</v>
      </c>
      <c r="D36469" s="0" t="s">
        <v>1582</v>
      </c>
      <c r="E36469" s="0" t="s">
        <v>1582</v>
      </c>
      <c r="F36469" s="0" t="s">
        <v>1582</v>
      </c>
    </row>
    <row r="36470" customFormat="false" ht="12.8" hidden="false" customHeight="false" outlineLevel="0" collapsed="false">
      <c r="B36470" s="0" t="s">
        <v>459</v>
      </c>
      <c r="D36470" s="0" t="s">
        <v>1583</v>
      </c>
      <c r="E36470" s="0" t="s">
        <v>1583</v>
      </c>
      <c r="F36470" s="0" t="s">
        <v>1583</v>
      </c>
    </row>
    <row r="36471" customFormat="false" ht="12.8" hidden="false" customHeight="false" outlineLevel="0" collapsed="false">
      <c r="B36471" s="0" t="s">
        <v>124</v>
      </c>
    </row>
    <row r="36473" customFormat="false" ht="12.8" hidden="false" customHeight="false" outlineLevel="0" collapsed="false">
      <c r="A36473" s="0" t="s">
        <v>13219</v>
      </c>
      <c r="B36473" s="0" t="str">
        <f aca="false">HYPERLINK("https://lindat.mff.cuni.cz/services/teitok/pdtc10/index.php?action=vallex&amp;frame=v-w4994f1", "přesvědčit (v-w4994f1)")</f>
        <v>přesvědčit (v-w4994f1)</v>
      </c>
    </row>
    <row r="36474" customFormat="false" ht="12.8" hidden="false" customHeight="false" outlineLevel="0" collapsed="false">
      <c r="B36474" s="0" t="s">
        <v>7</v>
      </c>
      <c r="C36474" s="0" t="s">
        <v>13220</v>
      </c>
      <c r="D36474" s="0" t="s">
        <v>2041</v>
      </c>
      <c r="E36474" s="0" t="s">
        <v>2041</v>
      </c>
      <c r="F36474" s="0" t="s">
        <v>2041</v>
      </c>
    </row>
    <row r="36475" customFormat="false" ht="12.8" hidden="false" customHeight="false" outlineLevel="0" collapsed="false">
      <c r="B36475" s="0" t="s">
        <v>13221</v>
      </c>
      <c r="C36475" s="0" t="s">
        <v>13222</v>
      </c>
      <c r="D36475" s="0" t="s">
        <v>2043</v>
      </c>
      <c r="E36475" s="0" t="s">
        <v>2043</v>
      </c>
      <c r="F36475" s="0" t="s">
        <v>2043</v>
      </c>
    </row>
    <row r="36476" customFormat="false" ht="12.8" hidden="false" customHeight="false" outlineLevel="0" collapsed="false">
      <c r="B36476" s="0" t="s">
        <v>81</v>
      </c>
      <c r="C36476" s="0" t="s">
        <v>13223</v>
      </c>
      <c r="D36476" s="0" t="s">
        <v>2045</v>
      </c>
      <c r="E36476" s="0" t="s">
        <v>2045</v>
      </c>
      <c r="F36476" s="0" t="s">
        <v>2045</v>
      </c>
    </row>
    <row r="36478" customFormat="false" ht="12.8" hidden="false" customHeight="false" outlineLevel="0" collapsed="false">
      <c r="A36478" s="0" t="s">
        <v>13224</v>
      </c>
      <c r="B36478" s="0" t="str">
        <f aca="false">HYPERLINK("https://lindat.mff.cuni.cz/services/teitok/pdtc10/index.php?action=vallex&amp;frame=v-w4995f1", "přesvědčit se (v-w4995f1)")</f>
        <v>přesvědčit se (v-w4995f1)</v>
      </c>
    </row>
    <row r="36479" customFormat="false" ht="12.8" hidden="false" customHeight="false" outlineLevel="0" collapsed="false">
      <c r="B36479" s="0" t="s">
        <v>7</v>
      </c>
      <c r="C36479" s="0" t="s">
        <v>184</v>
      </c>
      <c r="D36479" s="0" t="s">
        <v>11736</v>
      </c>
      <c r="E36479" s="0" t="s">
        <v>11736</v>
      </c>
      <c r="F36479" s="0" t="s">
        <v>11736</v>
      </c>
    </row>
    <row r="36480" customFormat="false" ht="12.8" hidden="false" customHeight="false" outlineLevel="0" collapsed="false">
      <c r="B36480" s="0" t="s">
        <v>11133</v>
      </c>
      <c r="C36480" s="0" t="s">
        <v>47</v>
      </c>
      <c r="D36480" s="0" t="s">
        <v>10569</v>
      </c>
      <c r="E36480" s="0" t="s">
        <v>10569</v>
      </c>
      <c r="F36480" s="0" t="s">
        <v>10569</v>
      </c>
    </row>
    <row r="36482" customFormat="false" ht="12.8" hidden="false" customHeight="false" outlineLevel="0" collapsed="false">
      <c r="A36482" s="0" t="s">
        <v>13225</v>
      </c>
      <c r="B36482" s="0" t="str">
        <f aca="false">HYPERLINK("https://lindat.mff.cuni.cz/services/teitok/pdtc10/index.php?action=vallex&amp;frame=v-w4995f2", "přesvědčit se (v-w4995f2)")</f>
        <v>přesvědčit se (v-w4995f2)</v>
      </c>
    </row>
    <row r="36483" customFormat="false" ht="12.8" hidden="false" customHeight="false" outlineLevel="0" collapsed="false">
      <c r="B36483" s="0" t="s">
        <v>7</v>
      </c>
      <c r="D36483" s="0" t="s">
        <v>11736</v>
      </c>
      <c r="E36483" s="0" t="s">
        <v>11736</v>
      </c>
      <c r="F36483" s="0" t="s">
        <v>11736</v>
      </c>
    </row>
    <row r="36484" customFormat="false" ht="12.8" hidden="false" customHeight="false" outlineLevel="0" collapsed="false">
      <c r="B36484" s="0" t="s">
        <v>13226</v>
      </c>
      <c r="D36484" s="0" t="s">
        <v>13227</v>
      </c>
      <c r="E36484" s="0" t="s">
        <v>13227</v>
      </c>
      <c r="F36484" s="0" t="s">
        <v>13227</v>
      </c>
    </row>
    <row r="36485" customFormat="false" ht="12.8" hidden="false" customHeight="false" outlineLevel="0" collapsed="false">
      <c r="B36485" s="0" t="s">
        <v>363</v>
      </c>
    </row>
    <row r="36487" customFormat="false" ht="12.8" hidden="false" customHeight="false" outlineLevel="0" collapsed="false">
      <c r="A36487" s="0" t="s">
        <v>13228</v>
      </c>
      <c r="B36487" s="0" t="str">
        <f aca="false">HYPERLINK("https://lindat.mff.cuni.cz/services/teitok/pdtc10/index.php?action=vallex&amp;frame=v-w4996hsa_900", "přesvědčovat (v-w4996hsa_900)")</f>
        <v>přesvědčovat (v-w4996hsa_900)</v>
      </c>
    </row>
    <row r="36488" customFormat="false" ht="12.8" hidden="false" customHeight="false" outlineLevel="0" collapsed="false">
      <c r="B36488" s="0" t="s">
        <v>641</v>
      </c>
    </row>
    <row r="36489" customFormat="false" ht="12.8" hidden="false" customHeight="false" outlineLevel="0" collapsed="false">
      <c r="B36489" s="0" t="s">
        <v>13229</v>
      </c>
    </row>
    <row r="36490" customFormat="false" ht="12.8" hidden="false" customHeight="false" outlineLevel="0" collapsed="false">
      <c r="B36490" s="0" t="s">
        <v>81</v>
      </c>
    </row>
    <row r="36492" customFormat="false" ht="12.8" hidden="false" customHeight="false" outlineLevel="0" collapsed="false">
      <c r="A36492" s="0" t="s">
        <v>13228</v>
      </c>
      <c r="B36492" s="0" t="str">
        <f aca="false">HYPERLINK("https://lindat.mff.cuni.cz/services/teitok/pdtc10/index.php?action=vallex&amp;frame=v-w4996f1", "přesvědčovat (v-w4996f1) - substituted with v-w4996hsa_900")</f>
        <v>přesvědčovat (v-w4996f1) - substituted with v-w4996hsa_900</v>
      </c>
    </row>
    <row r="36493" customFormat="false" ht="12.8" hidden="false" customHeight="false" outlineLevel="0" collapsed="false">
      <c r="B36493" s="0" t="s">
        <v>641</v>
      </c>
      <c r="C36493" s="0" t="s">
        <v>4231</v>
      </c>
    </row>
    <row r="36494" customFormat="false" ht="12.8" hidden="false" customHeight="false" outlineLevel="0" collapsed="false">
      <c r="B36494" s="0" t="s">
        <v>13229</v>
      </c>
      <c r="C36494" s="0" t="s">
        <v>13230</v>
      </c>
    </row>
    <row r="36495" customFormat="false" ht="12.8" hidden="false" customHeight="false" outlineLevel="0" collapsed="false">
      <c r="B36495" s="0" t="s">
        <v>81</v>
      </c>
      <c r="C36495" s="0" t="s">
        <v>13231</v>
      </c>
    </row>
    <row r="36497" customFormat="false" ht="12.8" hidden="false" customHeight="false" outlineLevel="0" collapsed="false">
      <c r="A36497" s="0" t="s">
        <v>13232</v>
      </c>
      <c r="B36497" s="0" t="str">
        <f aca="false">HYPERLINK("https://lindat.mff.cuni.cz/services/teitok/pdtc10/index.php?action=vallex&amp;frame=v-w4997f2", "přesvědčovat se (v-w4997f2)")</f>
        <v>přesvědčovat se (v-w4997f2)</v>
      </c>
    </row>
    <row r="36498" customFormat="false" ht="12.8" hidden="false" customHeight="false" outlineLevel="0" collapsed="false">
      <c r="B36498" s="0" t="s">
        <v>7</v>
      </c>
      <c r="D36498" s="0" t="s">
        <v>11736</v>
      </c>
      <c r="E36498" s="0" t="s">
        <v>11736</v>
      </c>
      <c r="F36498" s="0" t="s">
        <v>11736</v>
      </c>
    </row>
    <row r="36499" customFormat="false" ht="12.8" hidden="false" customHeight="false" outlineLevel="0" collapsed="false">
      <c r="B36499" s="0" t="s">
        <v>244</v>
      </c>
      <c r="D36499" s="0" t="s">
        <v>10569</v>
      </c>
      <c r="E36499" s="0" t="s">
        <v>10569</v>
      </c>
      <c r="F36499" s="0" t="s">
        <v>10569</v>
      </c>
    </row>
    <row r="36501" customFormat="false" ht="12.8" hidden="false" customHeight="false" outlineLevel="0" collapsed="false">
      <c r="A36501" s="0" t="s">
        <v>13233</v>
      </c>
      <c r="B36501" s="0" t="str">
        <f aca="false">HYPERLINK("https://lindat.mff.cuni.cz/services/teitok/pdtc10/index.php?action=vallex&amp;frame=v-w4997f1", "přesvědčovat se (v-w4997f1)")</f>
        <v>přesvědčovat se (v-w4997f1)</v>
      </c>
    </row>
    <row r="36502" customFormat="false" ht="12.8" hidden="false" customHeight="false" outlineLevel="0" collapsed="false">
      <c r="B36502" s="0" t="s">
        <v>7</v>
      </c>
      <c r="D36502" s="0" t="s">
        <v>11736</v>
      </c>
      <c r="E36502" s="0" t="s">
        <v>11736</v>
      </c>
      <c r="F36502" s="0" t="s">
        <v>11736</v>
      </c>
    </row>
    <row r="36503" customFormat="false" ht="12.8" hidden="false" customHeight="false" outlineLevel="0" collapsed="false">
      <c r="B36503" s="0" t="s">
        <v>13226</v>
      </c>
      <c r="D36503" s="0" t="s">
        <v>13227</v>
      </c>
      <c r="E36503" s="0" t="s">
        <v>13227</v>
      </c>
      <c r="F36503" s="0" t="s">
        <v>13227</v>
      </c>
    </row>
    <row r="36504" customFormat="false" ht="12.8" hidden="false" customHeight="false" outlineLevel="0" collapsed="false">
      <c r="B36504" s="0" t="s">
        <v>363</v>
      </c>
    </row>
    <row r="36506" customFormat="false" ht="12.8" hidden="false" customHeight="false" outlineLevel="0" collapsed="false">
      <c r="A36506" s="0" t="s">
        <v>13234</v>
      </c>
      <c r="B36506" s="0" t="str">
        <f aca="false">HYPERLINK("https://lindat.mff.cuni.cz/services/teitok/pdtc10/index.php?action=vallex&amp;frame=v-w4998f1", "přesytit (v-w4998f1)")</f>
        <v>přesytit (v-w4998f1)</v>
      </c>
    </row>
    <row r="36507" customFormat="false" ht="12.8" hidden="false" customHeight="false" outlineLevel="0" collapsed="false">
      <c r="B36507" s="0" t="s">
        <v>7</v>
      </c>
      <c r="C36507" s="0" t="s">
        <v>191</v>
      </c>
      <c r="D36507" s="0" t="s">
        <v>13235</v>
      </c>
      <c r="E36507" s="0" t="s">
        <v>13236</v>
      </c>
      <c r="F36507" s="0" t="s">
        <v>13236</v>
      </c>
    </row>
    <row r="36508" customFormat="false" ht="12.8" hidden="false" customHeight="false" outlineLevel="0" collapsed="false">
      <c r="B36508" s="0" t="s">
        <v>14</v>
      </c>
      <c r="C36508" s="0" t="s">
        <v>155</v>
      </c>
      <c r="D36508" s="0" t="s">
        <v>13237</v>
      </c>
      <c r="E36508" s="0" t="s">
        <v>13238</v>
      </c>
      <c r="F36508" s="0" t="s">
        <v>13238</v>
      </c>
    </row>
    <row r="36510" customFormat="false" ht="12.8" hidden="false" customHeight="false" outlineLevel="0" collapsed="false">
      <c r="A36510" s="0" t="s">
        <v>13239</v>
      </c>
      <c r="B36510" s="0" t="str">
        <f aca="false">HYPERLINK("https://lindat.mff.cuni.cz/services/teitok/pdtc10/index.php?action=vallex&amp;frame=v-whsa_689hsa_690", "přesytit se (v-whsa_689hsa_690)")</f>
        <v>přesytit se (v-whsa_689hsa_690)</v>
      </c>
    </row>
    <row r="36511" customFormat="false" ht="12.8" hidden="false" customHeight="false" outlineLevel="0" collapsed="false">
      <c r="B36511" s="0" t="s">
        <v>7</v>
      </c>
      <c r="C36511" s="0" t="s">
        <v>4459</v>
      </c>
      <c r="D36511" s="0" t="s">
        <v>13240</v>
      </c>
      <c r="E36511" s="0" t="s">
        <v>13241</v>
      </c>
      <c r="F36511" s="0" t="s">
        <v>13241</v>
      </c>
    </row>
    <row r="36513" customFormat="false" ht="12.8" hidden="false" customHeight="false" outlineLevel="0" collapsed="false">
      <c r="A36513" s="0" t="s">
        <v>13242</v>
      </c>
      <c r="B36513" s="0" t="str">
        <f aca="false">HYPERLINK("https://lindat.mff.cuni.cz/services/teitok/pdtc10/index.php?action=vallex&amp;frame=v-w4956f1", "přesáhnout (v-w4956f1)")</f>
        <v>přesáhnout (v-w4956f1)</v>
      </c>
    </row>
    <row r="36514" customFormat="false" ht="12.8" hidden="false" customHeight="false" outlineLevel="0" collapsed="false">
      <c r="B36514" s="0" t="s">
        <v>265</v>
      </c>
      <c r="C36514" s="0" t="s">
        <v>13243</v>
      </c>
      <c r="D36514" s="0" t="s">
        <v>12917</v>
      </c>
      <c r="E36514" s="0" t="s">
        <v>12917</v>
      </c>
      <c r="F36514" s="0" t="s">
        <v>12917</v>
      </c>
    </row>
    <row r="36515" customFormat="false" ht="12.8" hidden="false" customHeight="false" outlineLevel="0" collapsed="false">
      <c r="B36515" s="0" t="s">
        <v>14</v>
      </c>
      <c r="C36515" s="0" t="s">
        <v>13244</v>
      </c>
      <c r="D36515" s="0" t="s">
        <v>12919</v>
      </c>
      <c r="E36515" s="0" t="s">
        <v>12919</v>
      </c>
      <c r="F36515" s="0" t="s">
        <v>12919</v>
      </c>
    </row>
    <row r="36517" customFormat="false" ht="12.8" hidden="false" customHeight="false" outlineLevel="0" collapsed="false">
      <c r="A36517" s="0" t="s">
        <v>13245</v>
      </c>
      <c r="B36517" s="0" t="str">
        <f aca="false">HYPERLINK("https://lindat.mff.cuni.cz/services/teitok/pdtc10/index.php?action=vallex&amp;frame=v-w4962f1", "přesídlit (v-w4962f1)")</f>
        <v>přesídlit (v-w4962f1)</v>
      </c>
    </row>
    <row r="36518" customFormat="false" ht="12.8" hidden="false" customHeight="false" outlineLevel="0" collapsed="false">
      <c r="B36518" s="0" t="s">
        <v>7</v>
      </c>
      <c r="C36518" s="0" t="s">
        <v>13171</v>
      </c>
      <c r="D36518" s="0" t="s">
        <v>1582</v>
      </c>
      <c r="E36518" s="0" t="s">
        <v>1582</v>
      </c>
      <c r="F36518" s="0" t="s">
        <v>1582</v>
      </c>
    </row>
    <row r="36519" customFormat="false" ht="12.8" hidden="false" customHeight="false" outlineLevel="0" collapsed="false">
      <c r="B36519" s="0" t="s">
        <v>459</v>
      </c>
      <c r="D36519" s="0" t="s">
        <v>1583</v>
      </c>
      <c r="E36519" s="0" t="s">
        <v>1583</v>
      </c>
      <c r="F36519" s="0" t="s">
        <v>1583</v>
      </c>
    </row>
    <row r="36520" customFormat="false" ht="12.8" hidden="false" customHeight="false" outlineLevel="0" collapsed="false">
      <c r="B36520" s="0" t="s">
        <v>124</v>
      </c>
    </row>
    <row r="36522" customFormat="false" ht="12.8" hidden="false" customHeight="false" outlineLevel="0" collapsed="false">
      <c r="A36522" s="0" t="s">
        <v>13246</v>
      </c>
      <c r="B36522" s="0" t="str">
        <f aca="false">HYPERLINK("https://lindat.mff.cuni.cz/services/teitok/pdtc10/index.php?action=vallex&amp;frame=v-w10262f2", "přesílat (v-w10262f2)")</f>
        <v>přesílat (v-w10262f2)</v>
      </c>
    </row>
    <row r="36523" customFormat="false" ht="12.8" hidden="false" customHeight="false" outlineLevel="0" collapsed="false">
      <c r="B36523" s="0" t="s">
        <v>7</v>
      </c>
    </row>
    <row r="36524" customFormat="false" ht="12.8" hidden="false" customHeight="false" outlineLevel="0" collapsed="false">
      <c r="B36524" s="0" t="s">
        <v>14</v>
      </c>
    </row>
    <row r="36525" customFormat="false" ht="12.8" hidden="false" customHeight="false" outlineLevel="0" collapsed="false">
      <c r="B36525" s="0" t="s">
        <v>459</v>
      </c>
    </row>
    <row r="36526" customFormat="false" ht="12.8" hidden="false" customHeight="false" outlineLevel="0" collapsed="false">
      <c r="B36526" s="0" t="s">
        <v>124</v>
      </c>
    </row>
    <row r="36528" customFormat="false" ht="12.8" hidden="false" customHeight="false" outlineLevel="0" collapsed="false">
      <c r="A36528" s="0" t="s">
        <v>13247</v>
      </c>
      <c r="B36528" s="0" t="str">
        <f aca="false">HYPERLINK("https://lindat.mff.cuni.cz/services/teitok/pdtc10/index.php?action=vallex&amp;frame=v-w11709_ZUf1_ZU", "přesýpat (v-w11709_ZUf1_ZU)")</f>
        <v>přesýpat (v-w11709_ZUf1_ZU)</v>
      </c>
    </row>
    <row r="36529" customFormat="false" ht="12.8" hidden="false" customHeight="false" outlineLevel="0" collapsed="false">
      <c r="B36529" s="0" t="s">
        <v>7</v>
      </c>
    </row>
    <row r="36530" customFormat="false" ht="12.8" hidden="false" customHeight="false" outlineLevel="0" collapsed="false">
      <c r="B36530" s="0" t="s">
        <v>14</v>
      </c>
    </row>
    <row r="36531" customFormat="false" ht="12.8" hidden="false" customHeight="false" outlineLevel="0" collapsed="false">
      <c r="B36531" s="0" t="s">
        <v>459</v>
      </c>
    </row>
    <row r="36532" customFormat="false" ht="12.8" hidden="false" customHeight="false" outlineLevel="0" collapsed="false">
      <c r="B36532" s="0" t="s">
        <v>124</v>
      </c>
    </row>
    <row r="36534" customFormat="false" ht="12.8" hidden="false" customHeight="false" outlineLevel="0" collapsed="false">
      <c r="A36534" s="0" t="s">
        <v>13248</v>
      </c>
      <c r="B36534" s="0" t="str">
        <f aca="false">HYPERLINK("https://lindat.mff.cuni.cz/services/teitok/pdtc10/index.php?action=vallex&amp;frame=v-w12212_ZUf1_ZU", "přetahovat (v-w12212_ZUf1_ZU)")</f>
        <v>přetahovat (v-w12212_ZUf1_ZU)</v>
      </c>
    </row>
    <row r="36535" customFormat="false" ht="12.8" hidden="false" customHeight="false" outlineLevel="0" collapsed="false">
      <c r="B36535" s="0" t="s">
        <v>7</v>
      </c>
    </row>
    <row r="36536" customFormat="false" ht="12.8" hidden="false" customHeight="false" outlineLevel="0" collapsed="false">
      <c r="B36536" s="0" t="s">
        <v>14</v>
      </c>
    </row>
    <row r="36537" customFormat="false" ht="12.8" hidden="false" customHeight="false" outlineLevel="0" collapsed="false">
      <c r="B36537" s="0" t="s">
        <v>124</v>
      </c>
    </row>
    <row r="36539" customFormat="false" ht="12.8" hidden="false" customHeight="false" outlineLevel="0" collapsed="false">
      <c r="A36539" s="0" t="s">
        <v>13249</v>
      </c>
      <c r="B36539" s="0" t="str">
        <f aca="false">HYPERLINK("https://lindat.mff.cuni.cz/services/teitok/pdtc10/index.php?action=vallex&amp;frame=v-w5004f1", "přetahovat se (v-w5004f1)")</f>
        <v>přetahovat se (v-w5004f1)</v>
      </c>
    </row>
    <row r="36540" customFormat="false" ht="12.8" hidden="false" customHeight="false" outlineLevel="0" collapsed="false">
      <c r="B36540" s="0" t="s">
        <v>7</v>
      </c>
      <c r="C36540" s="0" t="s">
        <v>191</v>
      </c>
      <c r="D36540" s="0" t="s">
        <v>316</v>
      </c>
      <c r="E36540" s="0" t="s">
        <v>316</v>
      </c>
      <c r="F36540" s="0" t="s">
        <v>316</v>
      </c>
    </row>
    <row r="36541" customFormat="false" ht="12.8" hidden="false" customHeight="false" outlineLevel="0" collapsed="false">
      <c r="B36541" s="0" t="s">
        <v>207</v>
      </c>
      <c r="D36541" s="0" t="s">
        <v>319</v>
      </c>
      <c r="E36541" s="0" t="s">
        <v>319</v>
      </c>
      <c r="F36541" s="0" t="s">
        <v>319</v>
      </c>
    </row>
    <row r="36542" customFormat="false" ht="12.8" hidden="false" customHeight="false" outlineLevel="0" collapsed="false">
      <c r="B36542" s="0" t="s">
        <v>2721</v>
      </c>
      <c r="D36542" s="0" t="s">
        <v>322</v>
      </c>
      <c r="E36542" s="0" t="s">
        <v>322</v>
      </c>
      <c r="F36542" s="0" t="s">
        <v>322</v>
      </c>
    </row>
    <row r="36544" customFormat="false" ht="12.8" hidden="false" customHeight="false" outlineLevel="0" collapsed="false">
      <c r="A36544" s="0" t="s">
        <v>13250</v>
      </c>
      <c r="B36544" s="0" t="str">
        <f aca="false">HYPERLINK("https://lindat.mff.cuni.cz/services/teitok/pdtc10/index.php?action=vallex&amp;frame=v-w5004f2", "přetahovat se (v-w5004f2)")</f>
        <v>přetahovat se (v-w5004f2)</v>
      </c>
    </row>
    <row r="36545" customFormat="false" ht="12.8" hidden="false" customHeight="false" outlineLevel="0" collapsed="false">
      <c r="B36545" s="0" t="s">
        <v>7</v>
      </c>
    </row>
    <row r="36547" customFormat="false" ht="12.8" hidden="false" customHeight="false" outlineLevel="0" collapsed="false">
      <c r="A36547" s="0" t="s">
        <v>13251</v>
      </c>
      <c r="B36547" s="0" t="str">
        <f aca="false">HYPERLINK("https://lindat.mff.cuni.cz/services/teitok/pdtc10/index.php?action=vallex&amp;frame=v-w5007f1", "přetavit se (v-w5007f1)")</f>
        <v>přetavit se (v-w5007f1)</v>
      </c>
    </row>
    <row r="36548" customFormat="false" ht="12.8" hidden="false" customHeight="false" outlineLevel="0" collapsed="false">
      <c r="B36548" s="0" t="s">
        <v>7</v>
      </c>
      <c r="C36548" s="0" t="s">
        <v>191</v>
      </c>
      <c r="D36548" s="0" t="s">
        <v>6207</v>
      </c>
      <c r="E36548" s="0" t="s">
        <v>6207</v>
      </c>
      <c r="F36548" s="0" t="s">
        <v>6207</v>
      </c>
    </row>
    <row r="36549" customFormat="false" ht="12.8" hidden="false" customHeight="false" outlineLevel="0" collapsed="false">
      <c r="B36549" s="0" t="s">
        <v>13252</v>
      </c>
      <c r="C36549" s="0" t="s">
        <v>1544</v>
      </c>
      <c r="D36549" s="0" t="s">
        <v>6211</v>
      </c>
      <c r="E36549" s="0" t="s">
        <v>6211</v>
      </c>
      <c r="F36549" s="0" t="s">
        <v>6211</v>
      </c>
    </row>
    <row r="36551" customFormat="false" ht="12.8" hidden="false" customHeight="false" outlineLevel="0" collapsed="false">
      <c r="A36551" s="0" t="s">
        <v>13253</v>
      </c>
      <c r="B36551" s="0" t="str">
        <f aca="false">HYPERLINK("https://lindat.mff.cuni.cz/services/teitok/pdtc10/index.php?action=vallex&amp;frame=v-w5008f1", "přetavovat (v-w5008f1)")</f>
        <v>přetavovat (v-w5008f1)</v>
      </c>
    </row>
    <row r="36552" customFormat="false" ht="12.8" hidden="false" customHeight="false" outlineLevel="0" collapsed="false">
      <c r="B36552" s="0" t="s">
        <v>7</v>
      </c>
    </row>
    <row r="36553" customFormat="false" ht="12.8" hidden="false" customHeight="false" outlineLevel="0" collapsed="false">
      <c r="B36553" s="0" t="s">
        <v>14</v>
      </c>
    </row>
    <row r="36554" customFormat="false" ht="12.8" hidden="false" customHeight="false" outlineLevel="0" collapsed="false">
      <c r="B36554" s="0" t="s">
        <v>4885</v>
      </c>
    </row>
    <row r="36556" customFormat="false" ht="12.8" hidden="false" customHeight="false" outlineLevel="0" collapsed="false">
      <c r="A36556" s="0" t="s">
        <v>13254</v>
      </c>
      <c r="B36556" s="0" t="str">
        <f aca="false">HYPERLINK("https://lindat.mff.cuni.cz/services/teitok/pdtc10/index.php?action=vallex&amp;frame=v-w5011f1", "přetisknout (v-w5011f1)")</f>
        <v>přetisknout (v-w5011f1)</v>
      </c>
    </row>
    <row r="36557" customFormat="false" ht="12.8" hidden="false" customHeight="false" outlineLevel="0" collapsed="false">
      <c r="B36557" s="0" t="s">
        <v>7</v>
      </c>
      <c r="C36557" s="0" t="s">
        <v>191</v>
      </c>
    </row>
    <row r="36558" customFormat="false" ht="12.8" hidden="false" customHeight="false" outlineLevel="0" collapsed="false">
      <c r="B36558" s="0" t="s">
        <v>1520</v>
      </c>
      <c r="C36558" s="0" t="s">
        <v>567</v>
      </c>
    </row>
    <row r="36560" customFormat="false" ht="12.8" hidden="false" customHeight="false" outlineLevel="0" collapsed="false">
      <c r="A36560" s="0" t="s">
        <v>13255</v>
      </c>
      <c r="B36560" s="0" t="str">
        <f aca="false">HYPERLINK("https://lindat.mff.cuni.cz/services/teitok/pdtc10/index.php?action=vallex&amp;frame=v-w5013f1", "přetlumočit (v-w5013f1)")</f>
        <v>přetlumočit (v-w5013f1)</v>
      </c>
    </row>
    <row r="36561" customFormat="false" ht="12.8" hidden="false" customHeight="false" outlineLevel="0" collapsed="false">
      <c r="B36561" s="0" t="s">
        <v>7</v>
      </c>
    </row>
    <row r="36562" customFormat="false" ht="12.8" hidden="false" customHeight="false" outlineLevel="0" collapsed="false">
      <c r="B36562" s="0" t="s">
        <v>14</v>
      </c>
    </row>
    <row r="36563" customFormat="false" ht="12.8" hidden="false" customHeight="false" outlineLevel="0" collapsed="false">
      <c r="B36563" s="0" t="s">
        <v>35</v>
      </c>
    </row>
    <row r="36564" customFormat="false" ht="12.8" hidden="false" customHeight="false" outlineLevel="0" collapsed="false">
      <c r="B36564" s="0" t="s">
        <v>181</v>
      </c>
    </row>
    <row r="36566" customFormat="false" ht="12.8" hidden="false" customHeight="false" outlineLevel="0" collapsed="false">
      <c r="A36566" s="0" t="s">
        <v>13256</v>
      </c>
      <c r="B36566" s="0" t="str">
        <f aca="false">HYPERLINK("https://lindat.mff.cuni.cz/services/teitok/pdtc10/index.php?action=vallex&amp;frame=v-w5014f1", "přetočit (v-w5014f1)")</f>
        <v>přetočit (v-w5014f1)</v>
      </c>
    </row>
    <row r="36567" customFormat="false" ht="12.8" hidden="false" customHeight="false" outlineLevel="0" collapsed="false">
      <c r="B36567" s="0" t="s">
        <v>7</v>
      </c>
    </row>
    <row r="36568" customFormat="false" ht="12.8" hidden="false" customHeight="false" outlineLevel="0" collapsed="false">
      <c r="B36568" s="0" t="s">
        <v>14</v>
      </c>
    </row>
    <row r="36570" customFormat="false" ht="12.8" hidden="false" customHeight="false" outlineLevel="0" collapsed="false">
      <c r="A36570" s="0" t="s">
        <v>13257</v>
      </c>
      <c r="B36570" s="0" t="str">
        <f aca="false">HYPERLINK("https://lindat.mff.cuni.cz/services/teitok/pdtc10/index.php?action=vallex&amp;frame=v-w5016f1", "přetransformovat (v-w5016f1)")</f>
        <v>přetransformovat (v-w5016f1)</v>
      </c>
    </row>
    <row r="36571" customFormat="false" ht="12.8" hidden="false" customHeight="false" outlineLevel="0" collapsed="false">
      <c r="B36571" s="0" t="s">
        <v>7</v>
      </c>
      <c r="C36571" s="0" t="s">
        <v>11401</v>
      </c>
      <c r="D36571" s="0" t="s">
        <v>32</v>
      </c>
      <c r="E36571" s="0" t="s">
        <v>32</v>
      </c>
      <c r="F36571" s="0" t="s">
        <v>32</v>
      </c>
    </row>
    <row r="36572" customFormat="false" ht="12.8" hidden="false" customHeight="false" outlineLevel="0" collapsed="false">
      <c r="B36572" s="0" t="s">
        <v>14</v>
      </c>
      <c r="C36572" s="0" t="s">
        <v>13258</v>
      </c>
      <c r="D36572" s="0" t="s">
        <v>34</v>
      </c>
      <c r="E36572" s="0" t="s">
        <v>34</v>
      </c>
      <c r="F36572" s="0" t="s">
        <v>34</v>
      </c>
    </row>
    <row r="36573" customFormat="false" ht="12.8" hidden="false" customHeight="false" outlineLevel="0" collapsed="false">
      <c r="B36573" s="0" t="s">
        <v>35</v>
      </c>
      <c r="C36573" s="0" t="s">
        <v>6214</v>
      </c>
      <c r="D36573" s="0" t="s">
        <v>36</v>
      </c>
      <c r="E36573" s="0" t="s">
        <v>36</v>
      </c>
      <c r="F36573" s="0" t="s">
        <v>36</v>
      </c>
    </row>
    <row r="36574" customFormat="false" ht="12.8" hidden="false" customHeight="false" outlineLevel="0" collapsed="false">
      <c r="B36574" s="0" t="s">
        <v>37</v>
      </c>
      <c r="C36574" s="0" t="s">
        <v>13259</v>
      </c>
      <c r="D36574" s="0" t="s">
        <v>39</v>
      </c>
      <c r="E36574" s="0" t="s">
        <v>39</v>
      </c>
      <c r="F36574" s="0" t="s">
        <v>39</v>
      </c>
    </row>
    <row r="36576" customFormat="false" ht="12.8" hidden="false" customHeight="false" outlineLevel="0" collapsed="false">
      <c r="A36576" s="0" t="s">
        <v>13260</v>
      </c>
      <c r="B36576" s="0" t="str">
        <f aca="false">HYPERLINK("https://lindat.mff.cuni.cz/services/teitok/pdtc10/index.php?action=vallex&amp;frame=v-w10392f2", "přetrhnout (v-w10392f2)")</f>
        <v>přetrhnout (v-w10392f2)</v>
      </c>
    </row>
    <row r="36577" customFormat="false" ht="12.8" hidden="false" customHeight="false" outlineLevel="0" collapsed="false">
      <c r="B36577" s="0" t="s">
        <v>7</v>
      </c>
    </row>
    <row r="36578" customFormat="false" ht="12.8" hidden="false" customHeight="false" outlineLevel="0" collapsed="false">
      <c r="B36578" s="0" t="s">
        <v>14</v>
      </c>
    </row>
    <row r="36579" customFormat="false" ht="12.8" hidden="false" customHeight="false" outlineLevel="0" collapsed="false">
      <c r="B36579" s="0" t="s">
        <v>84</v>
      </c>
    </row>
    <row r="36581" customFormat="false" ht="12.8" hidden="false" customHeight="false" outlineLevel="0" collapsed="false">
      <c r="A36581" s="0" t="s">
        <v>13261</v>
      </c>
      <c r="B36581" s="0" t="str">
        <f aca="false">HYPERLINK("https://lindat.mff.cuni.cz/services/teitok/pdtc10/index.php?action=vallex&amp;frame=v-w10392f3", "přetrhnout (v-w10392f3)")</f>
        <v>přetrhnout (v-w10392f3)</v>
      </c>
    </row>
    <row r="36582" customFormat="false" ht="12.8" hidden="false" customHeight="false" outlineLevel="0" collapsed="false">
      <c r="B36582" s="0" t="s">
        <v>7</v>
      </c>
    </row>
    <row r="36583" customFormat="false" ht="12.8" hidden="false" customHeight="false" outlineLevel="0" collapsed="false">
      <c r="B36583" s="0" t="s">
        <v>14</v>
      </c>
    </row>
    <row r="36585" customFormat="false" ht="12.8" hidden="false" customHeight="false" outlineLevel="0" collapsed="false">
      <c r="A36585" s="0" t="s">
        <v>13262</v>
      </c>
      <c r="B36585" s="0" t="str">
        <f aca="false">HYPERLINK("https://lindat.mff.cuni.cz/services/teitok/pdtc10/index.php?action=vallex&amp;frame=v-w11301f1", "přetrhnout se (v-w11301f1)")</f>
        <v>přetrhnout se (v-w11301f1)</v>
      </c>
    </row>
    <row r="36586" customFormat="false" ht="12.8" hidden="false" customHeight="false" outlineLevel="0" collapsed="false">
      <c r="B36586" s="0" t="s">
        <v>7</v>
      </c>
    </row>
    <row r="36588" customFormat="false" ht="12.8" hidden="false" customHeight="false" outlineLevel="0" collapsed="false">
      <c r="A36588" s="0" t="s">
        <v>13263</v>
      </c>
      <c r="B36588" s="0" t="str">
        <f aca="false">HYPERLINK("https://lindat.mff.cuni.cz/services/teitok/pdtc10/index.php?action=vallex&amp;frame=v-w11301f2_ZU", "přetrhnout se (v-w11301f2_ZU)")</f>
        <v>přetrhnout se (v-w11301f2_ZU)</v>
      </c>
    </row>
    <row r="36589" customFormat="false" ht="12.8" hidden="false" customHeight="false" outlineLevel="0" collapsed="false">
      <c r="B36589" s="0" t="s">
        <v>7</v>
      </c>
    </row>
    <row r="36591" customFormat="false" ht="12.8" hidden="false" customHeight="false" outlineLevel="0" collapsed="false">
      <c r="A36591" s="0" t="s">
        <v>13264</v>
      </c>
      <c r="B36591" s="0" t="str">
        <f aca="false">HYPERLINK("https://lindat.mff.cuni.cz/services/teitok/pdtc10/index.php?action=vallex&amp;frame=v-whsa_323hsa_324", "přetrhávat (v-whsa_323hsa_324)")</f>
        <v>přetrhávat (v-whsa_323hsa_324)</v>
      </c>
    </row>
    <row r="36592" customFormat="false" ht="12.8" hidden="false" customHeight="false" outlineLevel="0" collapsed="false">
      <c r="B36592" s="0" t="s">
        <v>7</v>
      </c>
    </row>
    <row r="36593" customFormat="false" ht="12.8" hidden="false" customHeight="false" outlineLevel="0" collapsed="false">
      <c r="B36593" s="0" t="s">
        <v>14</v>
      </c>
    </row>
    <row r="36595" customFormat="false" ht="12.8" hidden="false" customHeight="false" outlineLevel="0" collapsed="false">
      <c r="A36595" s="0" t="s">
        <v>13265</v>
      </c>
      <c r="B36595" s="0" t="str">
        <f aca="false">HYPERLINK("https://lindat.mff.cuni.cz/services/teitok/pdtc10/index.php?action=vallex&amp;frame=v-w11738_ZUf1_ZU", "přetrpět (v-w11738_ZUf1_ZU)")</f>
        <v>přetrpět (v-w11738_ZUf1_ZU)</v>
      </c>
    </row>
    <row r="36596" customFormat="false" ht="12.8" hidden="false" customHeight="false" outlineLevel="0" collapsed="false">
      <c r="B36596" s="0" t="s">
        <v>7</v>
      </c>
    </row>
    <row r="36597" customFormat="false" ht="12.8" hidden="false" customHeight="false" outlineLevel="0" collapsed="false">
      <c r="B36597" s="0" t="s">
        <v>14</v>
      </c>
    </row>
    <row r="36599" customFormat="false" ht="12.8" hidden="false" customHeight="false" outlineLevel="0" collapsed="false">
      <c r="A36599" s="0" t="s">
        <v>13266</v>
      </c>
      <c r="B36599" s="0" t="str">
        <f aca="false">HYPERLINK("https://lindat.mff.cuni.cz/services/teitok/pdtc10/index.php?action=vallex&amp;frame=v-w5018f2", "přetrvat (v-w5018f2)")</f>
        <v>přetrvat (v-w5018f2)</v>
      </c>
    </row>
    <row r="36600" customFormat="false" ht="12.8" hidden="false" customHeight="false" outlineLevel="0" collapsed="false">
      <c r="B36600" s="0" t="s">
        <v>7</v>
      </c>
    </row>
    <row r="36601" customFormat="false" ht="12.8" hidden="false" customHeight="false" outlineLevel="0" collapsed="false">
      <c r="B36601" s="0" t="s">
        <v>14</v>
      </c>
    </row>
    <row r="36603" customFormat="false" ht="12.8" hidden="false" customHeight="false" outlineLevel="0" collapsed="false">
      <c r="A36603" s="0" t="s">
        <v>13267</v>
      </c>
      <c r="B36603" s="0" t="str">
        <f aca="false">HYPERLINK("https://lindat.mff.cuni.cz/services/teitok/pdtc10/index.php?action=vallex&amp;frame=v-w5018f1", "přetrvat (v-w5018f1)")</f>
        <v>přetrvat (v-w5018f1)</v>
      </c>
    </row>
    <row r="36604" customFormat="false" ht="12.8" hidden="false" customHeight="false" outlineLevel="0" collapsed="false">
      <c r="B36604" s="0" t="s">
        <v>7</v>
      </c>
      <c r="C36604" s="0" t="s">
        <v>1753</v>
      </c>
      <c r="D36604" s="0" t="s">
        <v>13268</v>
      </c>
      <c r="E36604" s="0" t="s">
        <v>13268</v>
      </c>
      <c r="F36604" s="0" t="s">
        <v>13268</v>
      </c>
    </row>
    <row r="36606" customFormat="false" ht="12.8" hidden="false" customHeight="false" outlineLevel="0" collapsed="false">
      <c r="A36606" s="0" t="s">
        <v>13269</v>
      </c>
      <c r="B36606" s="0" t="str">
        <f aca="false">HYPERLINK("https://lindat.mff.cuni.cz/services/teitok/pdtc10/index.php?action=vallex&amp;frame=v-w5020f1", "přetrvávat (v-w5020f1)")</f>
        <v>přetrvávat (v-w5020f1)</v>
      </c>
    </row>
    <row r="36607" customFormat="false" ht="12.8" hidden="false" customHeight="false" outlineLevel="0" collapsed="false">
      <c r="B36607" s="0" t="s">
        <v>7</v>
      </c>
      <c r="C36607" s="0" t="s">
        <v>13270</v>
      </c>
      <c r="D36607" s="0" t="s">
        <v>13271</v>
      </c>
      <c r="E36607" s="0" t="s">
        <v>13271</v>
      </c>
      <c r="F36607" s="0" t="s">
        <v>13271</v>
      </c>
    </row>
    <row r="36609" customFormat="false" ht="12.8" hidden="false" customHeight="false" outlineLevel="0" collapsed="false">
      <c r="A36609" s="0" t="s">
        <v>13272</v>
      </c>
      <c r="B36609" s="0" t="str">
        <f aca="false">HYPERLINK("https://lindat.mff.cuni.cz/services/teitok/pdtc10/index.php?action=vallex&amp;frame=v-w11719_ZUf1_ZU", "přetvařovat se (v-w11719_ZUf1_ZU)")</f>
        <v>přetvařovat se (v-w11719_ZUf1_ZU)</v>
      </c>
    </row>
    <row r="36610" customFormat="false" ht="12.8" hidden="false" customHeight="false" outlineLevel="0" collapsed="false">
      <c r="B36610" s="0" t="s">
        <v>7</v>
      </c>
    </row>
    <row r="36612" customFormat="false" ht="12.8" hidden="false" customHeight="false" outlineLevel="0" collapsed="false">
      <c r="A36612" s="0" t="s">
        <v>13273</v>
      </c>
      <c r="B36612" s="0" t="str">
        <f aca="false">HYPERLINK("https://lindat.mff.cuni.cz/services/teitok/pdtc10/index.php?action=vallex&amp;frame=v-w5026f2_ZU", "přetvořit (v-w5026f2_ZU)")</f>
        <v>přetvořit (v-w5026f2_ZU)</v>
      </c>
    </row>
    <row r="36613" customFormat="false" ht="12.8" hidden="false" customHeight="false" outlineLevel="0" collapsed="false">
      <c r="B36613" s="0" t="s">
        <v>7</v>
      </c>
      <c r="D36613" s="0" t="s">
        <v>32</v>
      </c>
      <c r="E36613" s="0" t="s">
        <v>32</v>
      </c>
      <c r="F36613" s="0" t="s">
        <v>32</v>
      </c>
    </row>
    <row r="36614" customFormat="false" ht="12.8" hidden="false" customHeight="false" outlineLevel="0" collapsed="false">
      <c r="B36614" s="0" t="s">
        <v>14</v>
      </c>
      <c r="D36614" s="0" t="s">
        <v>34</v>
      </c>
      <c r="E36614" s="0" t="s">
        <v>34</v>
      </c>
      <c r="F36614" s="0" t="s">
        <v>34</v>
      </c>
    </row>
    <row r="36615" customFormat="false" ht="12.8" hidden="false" customHeight="false" outlineLevel="0" collapsed="false">
      <c r="B36615" s="0" t="s">
        <v>35</v>
      </c>
      <c r="D36615" s="0" t="s">
        <v>36</v>
      </c>
      <c r="E36615" s="0" t="s">
        <v>36</v>
      </c>
      <c r="F36615" s="0" t="s">
        <v>36</v>
      </c>
    </row>
    <row r="36616" customFormat="false" ht="12.8" hidden="false" customHeight="false" outlineLevel="0" collapsed="false">
      <c r="B36616" s="0" t="s">
        <v>13274</v>
      </c>
      <c r="D36616" s="0" t="s">
        <v>39</v>
      </c>
      <c r="E36616" s="0" t="s">
        <v>39</v>
      </c>
      <c r="F36616" s="0" t="s">
        <v>39</v>
      </c>
    </row>
    <row r="36618" customFormat="false" ht="12.8" hidden="false" customHeight="false" outlineLevel="0" collapsed="false">
      <c r="A36618" s="0" t="s">
        <v>13273</v>
      </c>
      <c r="B36618" s="0" t="str">
        <f aca="false">HYPERLINK("https://lindat.mff.cuni.cz/services/teitok/pdtc10/index.php?action=vallex&amp;frame=v-w5026f1", "přetvořit (v-w5026f1) - substituted with v-w5026f2_ZU")</f>
        <v>přetvořit (v-w5026f1) - substituted with v-w5026f2_ZU</v>
      </c>
    </row>
    <row r="36619" customFormat="false" ht="12.8" hidden="false" customHeight="false" outlineLevel="0" collapsed="false">
      <c r="B36619" s="0" t="s">
        <v>7</v>
      </c>
    </row>
    <row r="36620" customFormat="false" ht="12.8" hidden="false" customHeight="false" outlineLevel="0" collapsed="false">
      <c r="B36620" s="0" t="s">
        <v>14</v>
      </c>
    </row>
    <row r="36621" customFormat="false" ht="12.8" hidden="false" customHeight="false" outlineLevel="0" collapsed="false">
      <c r="B36621" s="0" t="s">
        <v>35</v>
      </c>
    </row>
    <row r="36622" customFormat="false" ht="12.8" hidden="false" customHeight="false" outlineLevel="0" collapsed="false">
      <c r="B36622" s="0" t="s">
        <v>13274</v>
      </c>
    </row>
    <row r="36624" customFormat="false" ht="12.8" hidden="false" customHeight="false" outlineLevel="0" collapsed="false">
      <c r="A36624" s="0" t="s">
        <v>13275</v>
      </c>
      <c r="B36624" s="0" t="str">
        <f aca="false">HYPERLINK("https://lindat.mff.cuni.cz/services/teitok/pdtc10/index.php?action=vallex&amp;frame=v-w5024f1", "přetvářet (v-w5024f1)")</f>
        <v>přetvářet (v-w5024f1)</v>
      </c>
    </row>
    <row r="36625" customFormat="false" ht="12.8" hidden="false" customHeight="false" outlineLevel="0" collapsed="false">
      <c r="B36625" s="0" t="s">
        <v>7</v>
      </c>
      <c r="C36625" s="0" t="s">
        <v>157</v>
      </c>
      <c r="D36625" s="0" t="s">
        <v>32</v>
      </c>
      <c r="E36625" s="0" t="s">
        <v>32</v>
      </c>
      <c r="F36625" s="0" t="s">
        <v>32</v>
      </c>
    </row>
    <row r="36626" customFormat="false" ht="12.8" hidden="false" customHeight="false" outlineLevel="0" collapsed="false">
      <c r="B36626" s="0" t="s">
        <v>14</v>
      </c>
      <c r="C36626" s="0" t="s">
        <v>488</v>
      </c>
      <c r="D36626" s="0" t="s">
        <v>34</v>
      </c>
      <c r="E36626" s="0" t="s">
        <v>34</v>
      </c>
      <c r="F36626" s="0" t="s">
        <v>34</v>
      </c>
    </row>
    <row r="36627" customFormat="false" ht="12.8" hidden="false" customHeight="false" outlineLevel="0" collapsed="false">
      <c r="B36627" s="0" t="s">
        <v>35</v>
      </c>
      <c r="C36627" s="0" t="s">
        <v>11969</v>
      </c>
      <c r="D36627" s="0" t="s">
        <v>36</v>
      </c>
      <c r="E36627" s="0" t="s">
        <v>36</v>
      </c>
      <c r="F36627" s="0" t="s">
        <v>36</v>
      </c>
    </row>
    <row r="36628" customFormat="false" ht="12.8" hidden="false" customHeight="false" outlineLevel="0" collapsed="false">
      <c r="B36628" s="0" t="s">
        <v>6192</v>
      </c>
      <c r="C36628" s="0" t="s">
        <v>13276</v>
      </c>
      <c r="D36628" s="0" t="s">
        <v>39</v>
      </c>
      <c r="E36628" s="0" t="s">
        <v>39</v>
      </c>
      <c r="F36628" s="0" t="s">
        <v>39</v>
      </c>
    </row>
    <row r="36630" customFormat="false" ht="12.8" hidden="false" customHeight="false" outlineLevel="0" collapsed="false">
      <c r="A36630" s="0" t="s">
        <v>13277</v>
      </c>
      <c r="B36630" s="0" t="str">
        <f aca="false">HYPERLINK("https://lindat.mff.cuni.cz/services/teitok/pdtc10/index.php?action=vallex&amp;frame=v-w5002f1", "přetáhnout (v-w5002f1)")</f>
        <v>přetáhnout (v-w5002f1)</v>
      </c>
    </row>
    <row r="36631" customFormat="false" ht="12.8" hidden="false" customHeight="false" outlineLevel="0" collapsed="false">
      <c r="B36631" s="0" t="s">
        <v>7</v>
      </c>
      <c r="C36631" s="0" t="s">
        <v>2656</v>
      </c>
      <c r="D36631" s="0" t="s">
        <v>4161</v>
      </c>
      <c r="E36631" s="0" t="s">
        <v>4161</v>
      </c>
      <c r="F36631" s="0" t="s">
        <v>4161</v>
      </c>
    </row>
    <row r="36632" customFormat="false" ht="12.8" hidden="false" customHeight="false" outlineLevel="0" collapsed="false">
      <c r="B36632" s="0" t="s">
        <v>14</v>
      </c>
      <c r="C36632" s="0" t="s">
        <v>13278</v>
      </c>
      <c r="D36632" s="0" t="s">
        <v>8195</v>
      </c>
      <c r="E36632" s="0" t="s">
        <v>8195</v>
      </c>
      <c r="F36632" s="0" t="s">
        <v>8195</v>
      </c>
    </row>
    <row r="36633" customFormat="false" ht="12.8" hidden="false" customHeight="false" outlineLevel="0" collapsed="false">
      <c r="B36633" s="0" t="s">
        <v>124</v>
      </c>
      <c r="D36633" s="0" t="s">
        <v>10830</v>
      </c>
      <c r="E36633" s="0" t="s">
        <v>10830</v>
      </c>
      <c r="F36633" s="0" t="s">
        <v>10830</v>
      </c>
    </row>
    <row r="36635" customFormat="false" ht="12.8" hidden="false" customHeight="false" outlineLevel="0" collapsed="false">
      <c r="A36635" s="0" t="s">
        <v>13279</v>
      </c>
      <c r="B36635" s="0" t="str">
        <f aca="false">HYPERLINK("https://lindat.mff.cuni.cz/services/teitok/pdtc10/index.php?action=vallex&amp;frame=v-w5002hsa_1780", "přetáhnout (v-w5002hsa_1780)")</f>
        <v>přetáhnout (v-w5002hsa_1780)</v>
      </c>
    </row>
    <row r="36636" customFormat="false" ht="12.8" hidden="false" customHeight="false" outlineLevel="0" collapsed="false">
      <c r="B36636" s="0" t="s">
        <v>7</v>
      </c>
    </row>
    <row r="36637" customFormat="false" ht="12.8" hidden="false" customHeight="false" outlineLevel="0" collapsed="false">
      <c r="B36637" s="0" t="s">
        <v>14</v>
      </c>
    </row>
    <row r="36639" customFormat="false" ht="12.8" hidden="false" customHeight="false" outlineLevel="0" collapsed="false">
      <c r="A36639" s="0" t="s">
        <v>13280</v>
      </c>
      <c r="B36639" s="0" t="str">
        <f aca="false">HYPERLINK("https://lindat.mff.cuni.cz/services/teitok/pdtc10/index.php?action=vallex&amp;frame=v-w5005f1", "přetápět (v-w5005f1)")</f>
        <v>přetápět (v-w5005f1)</v>
      </c>
    </row>
    <row r="36640" customFormat="false" ht="12.8" hidden="false" customHeight="false" outlineLevel="0" collapsed="false">
      <c r="B36640" s="0" t="s">
        <v>7</v>
      </c>
    </row>
    <row r="36641" customFormat="false" ht="12.8" hidden="false" customHeight="false" outlineLevel="0" collapsed="false">
      <c r="B36641" s="0" t="s">
        <v>14</v>
      </c>
    </row>
    <row r="36643" customFormat="false" ht="12.8" hidden="false" customHeight="false" outlineLevel="0" collapsed="false">
      <c r="A36643" s="0" t="s">
        <v>13281</v>
      </c>
      <c r="B36643" s="0" t="str">
        <f aca="false">HYPERLINK("https://lindat.mff.cuni.cz/services/teitok/pdtc10/index.php?action=vallex&amp;frame=v-w10241f2", "přetéci (v-w10241f2)")</f>
        <v>přetéci (v-w10241f2)</v>
      </c>
    </row>
    <row r="36644" customFormat="false" ht="12.8" hidden="false" customHeight="false" outlineLevel="0" collapsed="false">
      <c r="B36644" s="0" t="s">
        <v>7</v>
      </c>
    </row>
    <row r="36646" customFormat="false" ht="12.8" hidden="false" customHeight="false" outlineLevel="0" collapsed="false">
      <c r="A36646" s="0" t="s">
        <v>13282</v>
      </c>
      <c r="B36646" s="0" t="str">
        <f aca="false">HYPERLINK("https://lindat.mff.cuni.cz/services/teitok/pdtc10/index.php?action=vallex&amp;frame=v-w5009f1", "přetékat (v-w5009f1)")</f>
        <v>přetékat (v-w5009f1)</v>
      </c>
    </row>
    <row r="36647" customFormat="false" ht="12.8" hidden="false" customHeight="false" outlineLevel="0" collapsed="false">
      <c r="B36647" s="0" t="s">
        <v>7</v>
      </c>
      <c r="C36647" s="0" t="s">
        <v>247</v>
      </c>
      <c r="D36647" s="0" t="s">
        <v>248</v>
      </c>
      <c r="E36647" s="0" t="s">
        <v>248</v>
      </c>
      <c r="F36647" s="0" t="s">
        <v>248</v>
      </c>
    </row>
    <row r="36648" customFormat="false" ht="12.8" hidden="false" customHeight="false" outlineLevel="0" collapsed="false">
      <c r="B36648" s="0" t="s">
        <v>216</v>
      </c>
      <c r="C36648" s="0" t="s">
        <v>1544</v>
      </c>
      <c r="D36648" s="0" t="s">
        <v>1588</v>
      </c>
      <c r="E36648" s="0" t="s">
        <v>1588</v>
      </c>
      <c r="F36648" s="0" t="s">
        <v>1588</v>
      </c>
    </row>
    <row r="36650" customFormat="false" ht="12.8" hidden="false" customHeight="false" outlineLevel="0" collapsed="false">
      <c r="A36650" s="0" t="s">
        <v>13283</v>
      </c>
      <c r="B36650" s="0" t="str">
        <f aca="false">HYPERLINK("https://lindat.mff.cuni.cz/services/teitok/pdtc10/index.php?action=vallex&amp;frame=v-w5009f2", "přetékat (v-w5009f2)")</f>
        <v>přetékat (v-w5009f2)</v>
      </c>
    </row>
    <row r="36651" customFormat="false" ht="12.8" hidden="false" customHeight="false" outlineLevel="0" collapsed="false">
      <c r="B36651" s="0" t="s">
        <v>7</v>
      </c>
    </row>
    <row r="36652" customFormat="false" ht="12.8" hidden="false" customHeight="false" outlineLevel="0" collapsed="false">
      <c r="B36652" s="0" t="s">
        <v>459</v>
      </c>
    </row>
    <row r="36653" customFormat="false" ht="12.8" hidden="false" customHeight="false" outlineLevel="0" collapsed="false">
      <c r="B36653" s="0" t="s">
        <v>124</v>
      </c>
    </row>
    <row r="36655" customFormat="false" ht="12.8" hidden="false" customHeight="false" outlineLevel="0" collapsed="false">
      <c r="A36655" s="0" t="s">
        <v>13284</v>
      </c>
      <c r="B36655" s="0" t="str">
        <f aca="false">HYPERLINK("https://lindat.mff.cuni.cz/services/teitok/pdtc10/index.php?action=vallex&amp;frame=v-w5009f3", "přetékat (v-w5009f3)")</f>
        <v>přetékat (v-w5009f3)</v>
      </c>
    </row>
    <row r="36656" customFormat="false" ht="12.8" hidden="false" customHeight="false" outlineLevel="0" collapsed="false">
      <c r="B36656" s="0" t="s">
        <v>7</v>
      </c>
    </row>
    <row r="36658" customFormat="false" ht="12.8" hidden="false" customHeight="false" outlineLevel="0" collapsed="false">
      <c r="A36658" s="0" t="s">
        <v>13285</v>
      </c>
      <c r="B36658" s="0" t="str">
        <f aca="false">HYPERLINK("https://lindat.mff.cuni.cz/services/teitok/pdtc10/index.php?action=vallex&amp;frame=v-w5012f1", "přetížit (v-w5012f1)")</f>
        <v>přetížit (v-w5012f1)</v>
      </c>
    </row>
    <row r="36659" customFormat="false" ht="12.8" hidden="false" customHeight="false" outlineLevel="0" collapsed="false">
      <c r="B36659" s="0" t="s">
        <v>7</v>
      </c>
    </row>
    <row r="36660" customFormat="false" ht="12.8" hidden="false" customHeight="false" outlineLevel="0" collapsed="false">
      <c r="B36660" s="0" t="s">
        <v>14</v>
      </c>
    </row>
    <row r="36662" customFormat="false" ht="12.8" hidden="false" customHeight="false" outlineLevel="0" collapsed="false">
      <c r="A36662" s="0" t="s">
        <v>13286</v>
      </c>
      <c r="B36662" s="0" t="str">
        <f aca="false">HYPERLINK("https://lindat.mff.cuni.cz/services/teitok/pdtc10/index.php?action=vallex&amp;frame=v-w5010f1", "přetěžovat (v-w5010f1)")</f>
        <v>přetěžovat (v-w5010f1)</v>
      </c>
    </row>
    <row r="36663" customFormat="false" ht="12.8" hidden="false" customHeight="false" outlineLevel="0" collapsed="false">
      <c r="B36663" s="0" t="s">
        <v>7</v>
      </c>
    </row>
    <row r="36664" customFormat="false" ht="12.8" hidden="false" customHeight="false" outlineLevel="0" collapsed="false">
      <c r="B36664" s="0" t="s">
        <v>14</v>
      </c>
    </row>
    <row r="36666" customFormat="false" ht="12.8" hidden="false" customHeight="false" outlineLevel="0" collapsed="false">
      <c r="A36666" s="0" t="s">
        <v>13287</v>
      </c>
      <c r="B36666" s="0" t="str">
        <f aca="false">HYPERLINK("https://lindat.mff.cuni.cz/services/teitok/pdtc10/index.php?action=vallex&amp;frame=v-w5021f1", "přetřásat (v-w5021f1)")</f>
        <v>přetřásat (v-w5021f1)</v>
      </c>
    </row>
    <row r="36667" customFormat="false" ht="12.8" hidden="false" customHeight="false" outlineLevel="0" collapsed="false">
      <c r="B36667" s="0" t="s">
        <v>7</v>
      </c>
    </row>
    <row r="36668" customFormat="false" ht="12.8" hidden="false" customHeight="false" outlineLevel="0" collapsed="false">
      <c r="B36668" s="0" t="s">
        <v>172</v>
      </c>
    </row>
    <row r="36670" customFormat="false" ht="12.8" hidden="false" customHeight="false" outlineLevel="0" collapsed="false">
      <c r="A36670" s="0" t="s">
        <v>13288</v>
      </c>
      <c r="B36670" s="0" t="str">
        <f aca="false">HYPERLINK("https://lindat.mff.cuni.cz/services/teitok/pdtc10/index.php?action=vallex&amp;frame=v-w5022f1", "přetřít (v-w5022f1)")</f>
        <v>přetřít (v-w5022f1)</v>
      </c>
    </row>
    <row r="36671" customFormat="false" ht="12.8" hidden="false" customHeight="false" outlineLevel="0" collapsed="false">
      <c r="B36671" s="0" t="s">
        <v>7</v>
      </c>
    </row>
    <row r="36672" customFormat="false" ht="12.8" hidden="false" customHeight="false" outlineLevel="0" collapsed="false">
      <c r="B36672" s="0" t="s">
        <v>14</v>
      </c>
    </row>
    <row r="36674" customFormat="false" ht="12.8" hidden="false" customHeight="false" outlineLevel="0" collapsed="false">
      <c r="A36674" s="0" t="s">
        <v>13289</v>
      </c>
      <c r="B36674" s="0" t="str">
        <f aca="false">HYPERLINK("https://lindat.mff.cuni.cz/services/teitok/pdtc10/index.php?action=vallex&amp;frame=v-w11328f3", "převalit se (v-w11328f3)")</f>
        <v>převalit se (v-w11328f3)</v>
      </c>
    </row>
    <row r="36675" customFormat="false" ht="12.8" hidden="false" customHeight="false" outlineLevel="0" collapsed="false">
      <c r="B36675" s="0" t="s">
        <v>7</v>
      </c>
    </row>
    <row r="36676" customFormat="false" ht="12.8" hidden="false" customHeight="false" outlineLevel="0" collapsed="false">
      <c r="B36676" s="0" t="s">
        <v>459</v>
      </c>
    </row>
    <row r="36677" customFormat="false" ht="12.8" hidden="false" customHeight="false" outlineLevel="0" collapsed="false">
      <c r="B36677" s="0" t="s">
        <v>124</v>
      </c>
    </row>
    <row r="36679" customFormat="false" ht="12.8" hidden="false" customHeight="false" outlineLevel="0" collapsed="false">
      <c r="A36679" s="0" t="s">
        <v>13290</v>
      </c>
      <c r="B36679" s="0" t="str">
        <f aca="false">HYPERLINK("https://lindat.mff.cuni.cz/services/teitok/pdtc10/index.php?action=vallex&amp;frame=v-w11328f2", "převalit se (v-w11328f2)")</f>
        <v>převalit se (v-w11328f2)</v>
      </c>
    </row>
    <row r="36680" customFormat="false" ht="12.8" hidden="false" customHeight="false" outlineLevel="0" collapsed="false">
      <c r="B36680" s="0" t="s">
        <v>7</v>
      </c>
    </row>
    <row r="36681" customFormat="false" ht="12.8" hidden="false" customHeight="false" outlineLevel="0" collapsed="false">
      <c r="B36681" s="0" t="s">
        <v>259</v>
      </c>
    </row>
    <row r="36683" customFormat="false" ht="12.8" hidden="false" customHeight="false" outlineLevel="0" collapsed="false">
      <c r="A36683" s="0" t="s">
        <v>13291</v>
      </c>
      <c r="B36683" s="0" t="str">
        <f aca="false">HYPERLINK("https://lindat.mff.cuni.cz/services/teitok/pdtc10/index.php?action=vallex&amp;frame=v-w5031f1", "převalovat se (v-w5031f1)")</f>
        <v>převalovat se (v-w5031f1)</v>
      </c>
    </row>
    <row r="36684" customFormat="false" ht="12.8" hidden="false" customHeight="false" outlineLevel="0" collapsed="false">
      <c r="B36684" s="0" t="s">
        <v>7</v>
      </c>
    </row>
    <row r="36686" customFormat="false" ht="12.8" hidden="false" customHeight="false" outlineLevel="0" collapsed="false">
      <c r="A36686" s="0" t="s">
        <v>13292</v>
      </c>
      <c r="B36686" s="0" t="str">
        <f aca="false">HYPERLINK("https://lindat.mff.cuni.cz/services/teitok/pdtc10/index.php?action=vallex&amp;frame=v-w5035f2", "převažovat (v-w5035f2)")</f>
        <v>převažovat (v-w5035f2)</v>
      </c>
    </row>
    <row r="36687" customFormat="false" ht="12.8" hidden="false" customHeight="false" outlineLevel="0" collapsed="false">
      <c r="B36687" s="0" t="s">
        <v>7</v>
      </c>
      <c r="C36687" s="0" t="s">
        <v>460</v>
      </c>
    </row>
    <row r="36688" customFormat="false" ht="12.8" hidden="false" customHeight="false" outlineLevel="0" collapsed="false">
      <c r="B36688" s="0" t="s">
        <v>14</v>
      </c>
      <c r="C36688" s="0" t="s">
        <v>461</v>
      </c>
    </row>
    <row r="36690" customFormat="false" ht="12.8" hidden="false" customHeight="false" outlineLevel="0" collapsed="false">
      <c r="A36690" s="0" t="s">
        <v>13293</v>
      </c>
      <c r="B36690" s="0" t="str">
        <f aca="false">HYPERLINK("https://lindat.mff.cuni.cz/services/teitok/pdtc10/index.php?action=vallex&amp;frame=v-w5035f1", "převažovat (v-w5035f1)")</f>
        <v>převažovat (v-w5035f1)</v>
      </c>
    </row>
    <row r="36691" customFormat="false" ht="12.8" hidden="false" customHeight="false" outlineLevel="0" collapsed="false">
      <c r="B36691" s="0" t="s">
        <v>7</v>
      </c>
      <c r="C36691" s="0" t="s">
        <v>13294</v>
      </c>
    </row>
    <row r="36692" customFormat="false" ht="12.8" hidden="false" customHeight="false" outlineLevel="0" collapsed="false">
      <c r="B36692" s="0" t="s">
        <v>13295</v>
      </c>
      <c r="C36692" s="0" t="s">
        <v>1264</v>
      </c>
    </row>
    <row r="36694" customFormat="false" ht="12.8" hidden="false" customHeight="false" outlineLevel="0" collapsed="false">
      <c r="A36694" s="0" t="s">
        <v>13296</v>
      </c>
      <c r="B36694" s="0" t="str">
        <f aca="false">HYPERLINK("https://lindat.mff.cuni.cz/services/teitok/pdtc10/index.php?action=vallex&amp;frame=v-w5038f1", "převelet (v-w5038f1)")</f>
        <v>převelet (v-w5038f1)</v>
      </c>
    </row>
    <row r="36695" customFormat="false" ht="12.8" hidden="false" customHeight="false" outlineLevel="0" collapsed="false">
      <c r="B36695" s="0" t="s">
        <v>7</v>
      </c>
      <c r="C36695" s="0" t="s">
        <v>13297</v>
      </c>
      <c r="D36695" s="0" t="s">
        <v>2235</v>
      </c>
      <c r="E36695" s="0" t="s">
        <v>2235</v>
      </c>
      <c r="F36695" s="0" t="s">
        <v>2235</v>
      </c>
    </row>
    <row r="36696" customFormat="false" ht="12.8" hidden="false" customHeight="false" outlineLevel="0" collapsed="false">
      <c r="B36696" s="0" t="s">
        <v>14</v>
      </c>
      <c r="C36696" s="0" t="s">
        <v>203</v>
      </c>
      <c r="D36696" s="0" t="s">
        <v>13209</v>
      </c>
      <c r="E36696" s="0" t="s">
        <v>13209</v>
      </c>
      <c r="F36696" s="0" t="s">
        <v>13209</v>
      </c>
    </row>
    <row r="36697" customFormat="false" ht="12.8" hidden="false" customHeight="false" outlineLevel="0" collapsed="false">
      <c r="B36697" s="0" t="s">
        <v>459</v>
      </c>
    </row>
    <row r="36698" customFormat="false" ht="12.8" hidden="false" customHeight="false" outlineLevel="0" collapsed="false">
      <c r="B36698" s="0" t="s">
        <v>124</v>
      </c>
      <c r="D36698" s="0" t="s">
        <v>13211</v>
      </c>
      <c r="E36698" s="0" t="s">
        <v>13211</v>
      </c>
      <c r="F36698" s="0" t="s">
        <v>13211</v>
      </c>
    </row>
    <row r="36700" customFormat="false" ht="12.8" hidden="false" customHeight="false" outlineLevel="0" collapsed="false">
      <c r="A36700" s="0" t="s">
        <v>13298</v>
      </c>
      <c r="B36700" s="0" t="str">
        <f aca="false">HYPERLINK("https://lindat.mff.cuni.cz/services/teitok/pdtc10/index.php?action=vallex&amp;frame=v-w11960_ZUf1_ZU", "převelit (v-w11960_ZUf1_ZU)")</f>
        <v>převelit (v-w11960_ZUf1_ZU)</v>
      </c>
    </row>
    <row r="36701" customFormat="false" ht="12.8" hidden="false" customHeight="false" outlineLevel="0" collapsed="false">
      <c r="B36701" s="0" t="s">
        <v>7</v>
      </c>
    </row>
    <row r="36702" customFormat="false" ht="12.8" hidden="false" customHeight="false" outlineLevel="0" collapsed="false">
      <c r="B36702" s="0" t="s">
        <v>14</v>
      </c>
    </row>
    <row r="36703" customFormat="false" ht="12.8" hidden="false" customHeight="false" outlineLevel="0" collapsed="false">
      <c r="B36703" s="0" t="s">
        <v>459</v>
      </c>
    </row>
    <row r="36704" customFormat="false" ht="12.8" hidden="false" customHeight="false" outlineLevel="0" collapsed="false">
      <c r="B36704" s="0" t="s">
        <v>124</v>
      </c>
    </row>
    <row r="36706" customFormat="false" ht="12.8" hidden="false" customHeight="false" outlineLevel="0" collapsed="false">
      <c r="A36706" s="0" t="s">
        <v>13299</v>
      </c>
      <c r="B36706" s="0" t="str">
        <f aca="false">HYPERLINK("https://lindat.mff.cuni.cz/services/teitok/pdtc10/index.php?action=vallex&amp;frame=v-w5042f1", "převládat (v-w5042f1)")</f>
        <v>převládat (v-w5042f1)</v>
      </c>
    </row>
    <row r="36707" customFormat="false" ht="12.8" hidden="false" customHeight="false" outlineLevel="0" collapsed="false">
      <c r="B36707" s="0" t="s">
        <v>7</v>
      </c>
      <c r="C36707" s="0" t="s">
        <v>13300</v>
      </c>
    </row>
    <row r="36708" customFormat="false" ht="12.8" hidden="false" customHeight="false" outlineLevel="0" collapsed="false">
      <c r="B36708" s="0" t="s">
        <v>3620</v>
      </c>
    </row>
    <row r="36710" customFormat="false" ht="12.8" hidden="false" customHeight="false" outlineLevel="0" collapsed="false">
      <c r="A36710" s="0" t="s">
        <v>13301</v>
      </c>
      <c r="B36710" s="0" t="str">
        <f aca="false">HYPERLINK("https://lindat.mff.cuni.cz/services/teitok/pdtc10/index.php?action=vallex&amp;frame=v-w5043hsa_1041", "převládnout (v-w5043hsa_1041)")</f>
        <v>převládnout (v-w5043hsa_1041)</v>
      </c>
    </row>
    <row r="36711" customFormat="false" ht="12.8" hidden="false" customHeight="false" outlineLevel="0" collapsed="false">
      <c r="B36711" s="0" t="s">
        <v>7</v>
      </c>
    </row>
    <row r="36712" customFormat="false" ht="12.8" hidden="false" customHeight="false" outlineLevel="0" collapsed="false">
      <c r="B36712" s="0" t="s">
        <v>3620</v>
      </c>
    </row>
    <row r="36714" customFormat="false" ht="12.8" hidden="false" customHeight="false" outlineLevel="0" collapsed="false">
      <c r="A36714" s="0" t="s">
        <v>13301</v>
      </c>
      <c r="B36714" s="0" t="str">
        <f aca="false">HYPERLINK("https://lindat.mff.cuni.cz/services/teitok/pdtc10/index.php?action=vallex&amp;frame=v-w5043f1", "převládnout (v-w5043f1) - substituted with v-w5043hsa_1041")</f>
        <v>převládnout (v-w5043f1) - substituted with v-w5043hsa_1041</v>
      </c>
    </row>
    <row r="36715" customFormat="false" ht="12.8" hidden="false" customHeight="false" outlineLevel="0" collapsed="false">
      <c r="B36715" s="0" t="s">
        <v>7</v>
      </c>
      <c r="C36715" s="0" t="s">
        <v>460</v>
      </c>
    </row>
    <row r="36716" customFormat="false" ht="12.8" hidden="false" customHeight="false" outlineLevel="0" collapsed="false">
      <c r="B36716" s="0" t="s">
        <v>3620</v>
      </c>
    </row>
    <row r="36718" customFormat="false" ht="12.8" hidden="false" customHeight="false" outlineLevel="0" collapsed="false">
      <c r="A36718" s="0" t="s">
        <v>13302</v>
      </c>
      <c r="B36718" s="0" t="str">
        <f aca="false">HYPERLINK("https://lindat.mff.cuni.cz/services/teitok/pdtc10/index.php?action=vallex&amp;frame=v-w10470f2", "převléci (v-w10470f2)")</f>
        <v>převléci (v-w10470f2)</v>
      </c>
    </row>
    <row r="36719" customFormat="false" ht="12.8" hidden="false" customHeight="false" outlineLevel="0" collapsed="false">
      <c r="B36719" s="0" t="s">
        <v>7</v>
      </c>
    </row>
    <row r="36720" customFormat="false" ht="12.8" hidden="false" customHeight="false" outlineLevel="0" collapsed="false">
      <c r="B36720" s="0" t="s">
        <v>14</v>
      </c>
    </row>
    <row r="36721" customFormat="false" ht="12.8" hidden="false" customHeight="false" outlineLevel="0" collapsed="false">
      <c r="B36721" s="0" t="s">
        <v>106</v>
      </c>
    </row>
    <row r="36723" customFormat="false" ht="12.8" hidden="false" customHeight="false" outlineLevel="0" collapsed="false">
      <c r="A36723" s="0" t="s">
        <v>13303</v>
      </c>
      <c r="B36723" s="0" t="str">
        <f aca="false">HYPERLINK("https://lindat.mff.cuni.cz/services/teitok/pdtc10/index.php?action=vallex&amp;frame=v-w10470f4", "převléci (v-w10470f4)")</f>
        <v>převléci (v-w10470f4)</v>
      </c>
    </row>
    <row r="36724" customFormat="false" ht="12.8" hidden="false" customHeight="false" outlineLevel="0" collapsed="false">
      <c r="B36724" s="0" t="s">
        <v>7</v>
      </c>
    </row>
    <row r="36725" customFormat="false" ht="12.8" hidden="false" customHeight="false" outlineLevel="0" collapsed="false">
      <c r="B36725" s="0" t="s">
        <v>14</v>
      </c>
    </row>
    <row r="36726" customFormat="false" ht="12.8" hidden="false" customHeight="false" outlineLevel="0" collapsed="false">
      <c r="B36726" s="0" t="s">
        <v>550</v>
      </c>
      <c r="C36726" s="0" t="s">
        <v>1527</v>
      </c>
      <c r="D36726" s="0" t="s">
        <v>1527</v>
      </c>
      <c r="E36726" s="0" t="s">
        <v>1527</v>
      </c>
      <c r="F36726" s="0" t="s">
        <v>1527</v>
      </c>
    </row>
    <row r="36728" customFormat="false" ht="12.8" hidden="false" customHeight="false" outlineLevel="0" collapsed="false">
      <c r="A36728" s="0" t="s">
        <v>13304</v>
      </c>
      <c r="B36728" s="0" t="str">
        <f aca="false">HYPERLINK("https://lindat.mff.cuni.cz/services/teitok/pdtc10/index.php?action=vallex&amp;frame=v-w10081f2", "převlékat (v-w10081f2)")</f>
        <v>převlékat (v-w10081f2)</v>
      </c>
    </row>
    <row r="36729" customFormat="false" ht="12.8" hidden="false" customHeight="false" outlineLevel="0" collapsed="false">
      <c r="B36729" s="0" t="s">
        <v>7</v>
      </c>
    </row>
    <row r="36730" customFormat="false" ht="12.8" hidden="false" customHeight="false" outlineLevel="0" collapsed="false">
      <c r="B36730" s="0" t="s">
        <v>14</v>
      </c>
    </row>
    <row r="36731" customFormat="false" ht="12.8" hidden="false" customHeight="false" outlineLevel="0" collapsed="false">
      <c r="B36731" s="0" t="s">
        <v>106</v>
      </c>
    </row>
    <row r="36733" customFormat="false" ht="12.8" hidden="false" customHeight="false" outlineLevel="0" collapsed="false">
      <c r="A36733" s="0" t="s">
        <v>13305</v>
      </c>
      <c r="B36733" s="0" t="str">
        <f aca="false">HYPERLINK("https://lindat.mff.cuni.cz/services/teitok/pdtc10/index.php?action=vallex&amp;frame=v-w10487f2", "převléknout (v-w10487f2)")</f>
        <v>převléknout (v-w10487f2)</v>
      </c>
    </row>
    <row r="36734" customFormat="false" ht="12.8" hidden="false" customHeight="false" outlineLevel="0" collapsed="false">
      <c r="B36734" s="0" t="s">
        <v>7</v>
      </c>
    </row>
    <row r="36735" customFormat="false" ht="12.8" hidden="false" customHeight="false" outlineLevel="0" collapsed="false">
      <c r="B36735" s="0" t="s">
        <v>13306</v>
      </c>
    </row>
    <row r="36737" customFormat="false" ht="12.8" hidden="false" customHeight="false" outlineLevel="0" collapsed="false">
      <c r="A36737" s="0" t="s">
        <v>13307</v>
      </c>
      <c r="B36737" s="0" t="str">
        <f aca="false">HYPERLINK("https://lindat.mff.cuni.cz/services/teitok/pdtc10/index.php?action=vallex&amp;frame=v-w10487f3_ZU", "převléknout (v-w10487f3_ZU)")</f>
        <v>převléknout (v-w10487f3_ZU)</v>
      </c>
    </row>
    <row r="36738" customFormat="false" ht="12.8" hidden="false" customHeight="false" outlineLevel="0" collapsed="false">
      <c r="B36738" s="0" t="s">
        <v>7</v>
      </c>
    </row>
    <row r="36739" customFormat="false" ht="12.8" hidden="false" customHeight="false" outlineLevel="0" collapsed="false">
      <c r="B36739" s="0" t="s">
        <v>14</v>
      </c>
    </row>
    <row r="36740" customFormat="false" ht="12.8" hidden="false" customHeight="false" outlineLevel="0" collapsed="false">
      <c r="B36740" s="0" t="s">
        <v>35</v>
      </c>
    </row>
    <row r="36741" customFormat="false" ht="12.8" hidden="false" customHeight="false" outlineLevel="0" collapsed="false">
      <c r="B36741" s="0" t="s">
        <v>181</v>
      </c>
    </row>
    <row r="36743" customFormat="false" ht="12.8" hidden="false" customHeight="false" outlineLevel="0" collapsed="false">
      <c r="A36743" s="0" t="s">
        <v>13307</v>
      </c>
      <c r="B36743" s="0" t="str">
        <f aca="false">HYPERLINK("https://lindat.mff.cuni.cz/services/teitok/pdtc10/index.php?action=vallex&amp;frame=v-w10487hsa_1522", "převléknout (v-w10487hsa_1522) - substituted with v-w10487f3_ZU")</f>
        <v>převléknout (v-w10487hsa_1522) - substituted with v-w10487f3_ZU</v>
      </c>
    </row>
    <row r="36744" customFormat="false" ht="12.8" hidden="false" customHeight="false" outlineLevel="0" collapsed="false">
      <c r="B36744" s="0" t="s">
        <v>7</v>
      </c>
    </row>
    <row r="36745" customFormat="false" ht="12.8" hidden="false" customHeight="false" outlineLevel="0" collapsed="false">
      <c r="B36745" s="0" t="s">
        <v>14</v>
      </c>
    </row>
    <row r="36746" customFormat="false" ht="12.8" hidden="false" customHeight="false" outlineLevel="0" collapsed="false">
      <c r="B36746" s="0" t="s">
        <v>35</v>
      </c>
    </row>
    <row r="36747" customFormat="false" ht="12.8" hidden="false" customHeight="false" outlineLevel="0" collapsed="false">
      <c r="B36747" s="0" t="s">
        <v>181</v>
      </c>
    </row>
    <row r="36749" customFormat="false" ht="12.8" hidden="false" customHeight="false" outlineLevel="0" collapsed="false">
      <c r="A36749" s="0" t="s">
        <v>13308</v>
      </c>
      <c r="B36749" s="0" t="str">
        <f aca="false">HYPERLINK("https://lindat.mff.cuni.cz/services/teitok/pdtc10/index.php?action=vallex&amp;frame=v-w11677_ZUf1_ZU", "převlíct (v-w11677_ZUf1_ZU)")</f>
        <v>převlíct (v-w11677_ZUf1_ZU)</v>
      </c>
    </row>
    <row r="36750" customFormat="false" ht="12.8" hidden="false" customHeight="false" outlineLevel="0" collapsed="false">
      <c r="B36750" s="0" t="s">
        <v>7</v>
      </c>
    </row>
    <row r="36751" customFormat="false" ht="12.8" hidden="false" customHeight="false" outlineLevel="0" collapsed="false">
      <c r="B36751" s="0" t="s">
        <v>14</v>
      </c>
    </row>
    <row r="36752" customFormat="false" ht="12.8" hidden="false" customHeight="false" outlineLevel="0" collapsed="false">
      <c r="B36752" s="0" t="s">
        <v>35</v>
      </c>
    </row>
    <row r="36753" customFormat="false" ht="12.8" hidden="false" customHeight="false" outlineLevel="0" collapsed="false">
      <c r="B36753" s="0" t="s">
        <v>181</v>
      </c>
    </row>
    <row r="36755" customFormat="false" ht="12.8" hidden="false" customHeight="false" outlineLevel="0" collapsed="false">
      <c r="A36755" s="0" t="s">
        <v>13309</v>
      </c>
      <c r="B36755" s="0" t="str">
        <f aca="false">HYPERLINK("https://lindat.mff.cuni.cz/services/teitok/pdtc10/index.php?action=vallex&amp;frame=v-w12184_ZUf1_ZU", "převlíkat (v-w12184_ZUf1_ZU)")</f>
        <v>převlíkat (v-w12184_ZUf1_ZU)</v>
      </c>
    </row>
    <row r="36756" customFormat="false" ht="12.8" hidden="false" customHeight="false" outlineLevel="0" collapsed="false">
      <c r="B36756" s="0" t="s">
        <v>7</v>
      </c>
    </row>
    <row r="36757" customFormat="false" ht="12.8" hidden="false" customHeight="false" outlineLevel="0" collapsed="false">
      <c r="B36757" s="0" t="s">
        <v>14</v>
      </c>
    </row>
    <row r="36758" customFormat="false" ht="12.8" hidden="false" customHeight="false" outlineLevel="0" collapsed="false">
      <c r="B36758" s="0" t="s">
        <v>550</v>
      </c>
    </row>
    <row r="36760" customFormat="false" ht="12.8" hidden="false" customHeight="false" outlineLevel="0" collapsed="false">
      <c r="A36760" s="0" t="s">
        <v>13310</v>
      </c>
      <c r="B36760" s="0" t="str">
        <f aca="false">HYPERLINK("https://lindat.mff.cuni.cz/services/teitok/pdtc10/index.php?action=vallex&amp;frame=v-whsa_692f1_ZU", "převlíknout (v-whsa_692f1_ZU)")</f>
        <v>převlíknout (v-whsa_692f1_ZU)</v>
      </c>
    </row>
    <row r="36761" customFormat="false" ht="12.8" hidden="false" customHeight="false" outlineLevel="0" collapsed="false">
      <c r="B36761" s="0" t="s">
        <v>7</v>
      </c>
    </row>
    <row r="36762" customFormat="false" ht="12.8" hidden="false" customHeight="false" outlineLevel="0" collapsed="false">
      <c r="B36762" s="0" t="s">
        <v>14</v>
      </c>
    </row>
    <row r="36763" customFormat="false" ht="12.8" hidden="false" customHeight="false" outlineLevel="0" collapsed="false">
      <c r="B36763" s="0" t="s">
        <v>35</v>
      </c>
    </row>
    <row r="36764" customFormat="false" ht="12.8" hidden="false" customHeight="false" outlineLevel="0" collapsed="false">
      <c r="B36764" s="0" t="s">
        <v>181</v>
      </c>
    </row>
    <row r="36766" customFormat="false" ht="12.8" hidden="false" customHeight="false" outlineLevel="0" collapsed="false">
      <c r="A36766" s="0" t="s">
        <v>13310</v>
      </c>
      <c r="B36766" s="0" t="str">
        <f aca="false">HYPERLINK("https://lindat.mff.cuni.cz/services/teitok/pdtc10/index.php?action=vallex&amp;frame=v-whsa_692hsa_693", "převlíknout (v-whsa_692hsa_693) - substituted with v-whsa_692f1_ZU")</f>
        <v>převlíknout (v-whsa_692hsa_693) - substituted with v-whsa_692f1_ZU</v>
      </c>
    </row>
    <row r="36767" customFormat="false" ht="12.8" hidden="false" customHeight="false" outlineLevel="0" collapsed="false">
      <c r="B36767" s="0" t="s">
        <v>7</v>
      </c>
    </row>
    <row r="36768" customFormat="false" ht="12.8" hidden="false" customHeight="false" outlineLevel="0" collapsed="false">
      <c r="B36768" s="0" t="s">
        <v>14</v>
      </c>
    </row>
    <row r="36769" customFormat="false" ht="12.8" hidden="false" customHeight="false" outlineLevel="0" collapsed="false">
      <c r="B36769" s="0" t="s">
        <v>35</v>
      </c>
    </row>
    <row r="36770" customFormat="false" ht="12.8" hidden="false" customHeight="false" outlineLevel="0" collapsed="false">
      <c r="B36770" s="0" t="s">
        <v>181</v>
      </c>
    </row>
    <row r="36772" customFormat="false" ht="12.8" hidden="false" customHeight="false" outlineLevel="0" collapsed="false">
      <c r="A36772" s="0" t="s">
        <v>13311</v>
      </c>
      <c r="B36772" s="0" t="str">
        <f aca="false">HYPERLINK("https://lindat.mff.cuni.cz/services/teitok/pdtc10/index.php?action=vallex&amp;frame=v-whsb_306hsa_307", "převracet se (v-whsb_306hsa_307)")</f>
        <v>převracet se (v-whsb_306hsa_307)</v>
      </c>
    </row>
    <row r="36773" customFormat="false" ht="12.8" hidden="false" customHeight="false" outlineLevel="0" collapsed="false">
      <c r="B36773" s="0" t="s">
        <v>7</v>
      </c>
    </row>
    <row r="36775" customFormat="false" ht="12.8" hidden="false" customHeight="false" outlineLevel="0" collapsed="false">
      <c r="A36775" s="0" t="s">
        <v>13312</v>
      </c>
      <c r="B36775" s="0" t="str">
        <f aca="false">HYPERLINK("https://lindat.mff.cuni.cz/services/teitok/pdtc10/index.php?action=vallex&amp;frame=v-w5048f1", "převrhnout (v-w5048f1)")</f>
        <v>převrhnout (v-w5048f1)</v>
      </c>
    </row>
    <row r="36776" customFormat="false" ht="12.8" hidden="false" customHeight="false" outlineLevel="0" collapsed="false">
      <c r="B36776" s="0" t="s">
        <v>7</v>
      </c>
      <c r="D36776" s="0" t="s">
        <v>46</v>
      </c>
      <c r="E36776" s="0" t="s">
        <v>46</v>
      </c>
      <c r="F36776" s="0" t="s">
        <v>46</v>
      </c>
    </row>
    <row r="36777" customFormat="false" ht="12.8" hidden="false" customHeight="false" outlineLevel="0" collapsed="false">
      <c r="B36777" s="0" t="s">
        <v>14</v>
      </c>
      <c r="D36777" s="0" t="s">
        <v>567</v>
      </c>
      <c r="E36777" s="0" t="s">
        <v>567</v>
      </c>
      <c r="F36777" s="0" t="s">
        <v>567</v>
      </c>
    </row>
    <row r="36779" customFormat="false" ht="12.8" hidden="false" customHeight="false" outlineLevel="0" collapsed="false">
      <c r="A36779" s="0" t="s">
        <v>13313</v>
      </c>
      <c r="B36779" s="0" t="str">
        <f aca="false">HYPERLINK("https://lindat.mff.cuni.cz/services/teitok/pdtc10/index.php?action=vallex&amp;frame=v-w5049f1", "převrhnout se (v-w5049f1)")</f>
        <v>převrhnout se (v-w5049f1)</v>
      </c>
    </row>
    <row r="36780" customFormat="false" ht="12.8" hidden="false" customHeight="false" outlineLevel="0" collapsed="false">
      <c r="B36780" s="0" t="s">
        <v>7</v>
      </c>
    </row>
    <row r="36782" customFormat="false" ht="12.8" hidden="false" customHeight="false" outlineLevel="0" collapsed="false">
      <c r="A36782" s="0" t="s">
        <v>13314</v>
      </c>
      <c r="B36782" s="0" t="str">
        <f aca="false">HYPERLINK("https://lindat.mff.cuni.cz/services/teitok/pdtc10/index.php?action=vallex&amp;frame=v-w11557_ZUf1_ZU", "převrátit (v-w11557_ZUf1_ZU)")</f>
        <v>převrátit (v-w11557_ZUf1_ZU)</v>
      </c>
    </row>
    <row r="36783" customFormat="false" ht="12.8" hidden="false" customHeight="false" outlineLevel="0" collapsed="false">
      <c r="B36783" s="0" t="s">
        <v>7</v>
      </c>
      <c r="C36783" s="0" t="s">
        <v>46</v>
      </c>
      <c r="D36783" s="0" t="s">
        <v>46</v>
      </c>
      <c r="E36783" s="0" t="s">
        <v>46</v>
      </c>
      <c r="F36783" s="0" t="s">
        <v>46</v>
      </c>
    </row>
    <row r="36784" customFormat="false" ht="12.8" hidden="false" customHeight="false" outlineLevel="0" collapsed="false">
      <c r="B36784" s="0" t="s">
        <v>14</v>
      </c>
      <c r="C36784" s="0" t="s">
        <v>115</v>
      </c>
      <c r="D36784" s="0" t="s">
        <v>115</v>
      </c>
      <c r="E36784" s="0" t="s">
        <v>115</v>
      </c>
      <c r="F36784" s="0" t="s">
        <v>115</v>
      </c>
    </row>
    <row r="36786" customFormat="false" ht="12.8" hidden="false" customHeight="false" outlineLevel="0" collapsed="false">
      <c r="A36786" s="0" t="s">
        <v>13315</v>
      </c>
      <c r="B36786" s="0" t="str">
        <f aca="false">HYPERLINK("https://lindat.mff.cuni.cz/services/teitok/pdtc10/index.php?action=vallex&amp;frame=v-w5047f1", "převrátit se (v-w5047f1)")</f>
        <v>převrátit se (v-w5047f1)</v>
      </c>
    </row>
    <row r="36787" customFormat="false" ht="12.8" hidden="false" customHeight="false" outlineLevel="0" collapsed="false">
      <c r="B36787" s="0" t="s">
        <v>7</v>
      </c>
    </row>
    <row r="36789" customFormat="false" ht="12.8" hidden="false" customHeight="false" outlineLevel="0" collapsed="false">
      <c r="A36789" s="0" t="s">
        <v>13316</v>
      </c>
      <c r="B36789" s="0" t="str">
        <f aca="false">HYPERLINK("https://lindat.mff.cuni.cz/services/teitok/pdtc10/index.php?action=vallex&amp;frame=v-w5047f2", "převrátit se (v-w5047f2)")</f>
        <v>převrátit se (v-w5047f2)</v>
      </c>
    </row>
    <row r="36790" customFormat="false" ht="12.8" hidden="false" customHeight="false" outlineLevel="0" collapsed="false">
      <c r="B36790" s="0" t="s">
        <v>7</v>
      </c>
    </row>
    <row r="36792" customFormat="false" ht="12.8" hidden="false" customHeight="false" outlineLevel="0" collapsed="false">
      <c r="A36792" s="0" t="s">
        <v>13317</v>
      </c>
      <c r="B36792" s="0" t="str">
        <f aca="false">HYPERLINK("https://lindat.mff.cuni.cz/services/teitok/pdtc10/index.php?action=vallex&amp;frame=v-w5052f1", "převychovat (v-w5052f1)")</f>
        <v>převychovat (v-w5052f1)</v>
      </c>
    </row>
    <row r="36793" customFormat="false" ht="12.8" hidden="false" customHeight="false" outlineLevel="0" collapsed="false">
      <c r="B36793" s="0" t="s">
        <v>7</v>
      </c>
    </row>
    <row r="36794" customFormat="false" ht="12.8" hidden="false" customHeight="false" outlineLevel="0" collapsed="false">
      <c r="B36794" s="0" t="s">
        <v>14</v>
      </c>
    </row>
    <row r="36796" customFormat="false" ht="12.8" hidden="false" customHeight="false" outlineLevel="0" collapsed="false">
      <c r="A36796" s="0" t="s">
        <v>13318</v>
      </c>
      <c r="B36796" s="0" t="str">
        <f aca="false">HYPERLINK("https://lindat.mff.cuni.cz/services/teitok/pdtc10/index.php?action=vallex&amp;frame=v-w5053f1", "převychovávat (v-w5053f1)")</f>
        <v>převychovávat (v-w5053f1)</v>
      </c>
    </row>
    <row r="36797" customFormat="false" ht="12.8" hidden="false" customHeight="false" outlineLevel="0" collapsed="false">
      <c r="B36797" s="0" t="s">
        <v>7</v>
      </c>
    </row>
    <row r="36798" customFormat="false" ht="12.8" hidden="false" customHeight="false" outlineLevel="0" collapsed="false">
      <c r="B36798" s="0" t="s">
        <v>14</v>
      </c>
    </row>
    <row r="36800" customFormat="false" ht="12.8" hidden="false" customHeight="false" outlineLevel="0" collapsed="false">
      <c r="A36800" s="0" t="s">
        <v>13319</v>
      </c>
      <c r="B36800" s="0" t="str">
        <f aca="false">HYPERLINK("https://lindat.mff.cuni.cz/services/teitok/pdtc10/index.php?action=vallex&amp;frame=v-w11558_ZUf1_ZU", "převyprávět (v-w11558_ZUf1_ZU)")</f>
        <v>převyprávět (v-w11558_ZUf1_ZU)</v>
      </c>
    </row>
    <row r="36801" customFormat="false" ht="12.8" hidden="false" customHeight="false" outlineLevel="0" collapsed="false">
      <c r="B36801" s="0" t="s">
        <v>7</v>
      </c>
      <c r="C36801" s="0" t="s">
        <v>6263</v>
      </c>
      <c r="D36801" s="0" t="s">
        <v>5393</v>
      </c>
      <c r="E36801" s="0" t="s">
        <v>5393</v>
      </c>
      <c r="F36801" s="0" t="s">
        <v>5393</v>
      </c>
    </row>
    <row r="36802" customFormat="false" ht="12.8" hidden="false" customHeight="false" outlineLevel="0" collapsed="false">
      <c r="B36802" s="0" t="s">
        <v>48</v>
      </c>
      <c r="C36802" s="0" t="s">
        <v>6264</v>
      </c>
      <c r="D36802" s="0" t="s">
        <v>5324</v>
      </c>
      <c r="E36802" s="0" t="s">
        <v>5324</v>
      </c>
      <c r="F36802" s="0" t="s">
        <v>5324</v>
      </c>
    </row>
    <row r="36803" customFormat="false" ht="12.8" hidden="false" customHeight="false" outlineLevel="0" collapsed="false">
      <c r="B36803" s="0" t="s">
        <v>245</v>
      </c>
      <c r="C36803" s="0" t="s">
        <v>2690</v>
      </c>
      <c r="D36803" s="0" t="s">
        <v>13320</v>
      </c>
      <c r="E36803" s="0" t="s">
        <v>13320</v>
      </c>
      <c r="F36803" s="0" t="s">
        <v>13320</v>
      </c>
    </row>
    <row r="36804" customFormat="false" ht="12.8" hidden="false" customHeight="false" outlineLevel="0" collapsed="false">
      <c r="B36804" s="0" t="s">
        <v>363</v>
      </c>
      <c r="C36804" s="0" t="s">
        <v>624</v>
      </c>
      <c r="D36804" s="0" t="s">
        <v>11240</v>
      </c>
      <c r="E36804" s="0" t="s">
        <v>11240</v>
      </c>
      <c r="F36804" s="0" t="s">
        <v>11240</v>
      </c>
    </row>
    <row r="36806" customFormat="false" ht="12.8" hidden="false" customHeight="false" outlineLevel="0" collapsed="false">
      <c r="A36806" s="0" t="s">
        <v>13321</v>
      </c>
      <c r="B36806" s="0" t="str">
        <f aca="false">HYPERLINK("https://lindat.mff.cuni.cz/services/teitok/pdtc10/index.php?action=vallex&amp;frame=v-w5056f1", "převyšovat (v-w5056f1)")</f>
        <v>převyšovat (v-w5056f1)</v>
      </c>
    </row>
    <row r="36807" customFormat="false" ht="12.8" hidden="false" customHeight="false" outlineLevel="0" collapsed="false">
      <c r="B36807" s="0" t="s">
        <v>7</v>
      </c>
      <c r="C36807" s="0" t="s">
        <v>13322</v>
      </c>
      <c r="D36807" s="0" t="s">
        <v>13323</v>
      </c>
      <c r="E36807" s="0" t="s">
        <v>13324</v>
      </c>
      <c r="F36807" s="0" t="s">
        <v>13324</v>
      </c>
    </row>
    <row r="36808" customFormat="false" ht="12.8" hidden="false" customHeight="false" outlineLevel="0" collapsed="false">
      <c r="B36808" s="0" t="s">
        <v>14</v>
      </c>
      <c r="C36808" s="0" t="s">
        <v>13325</v>
      </c>
      <c r="D36808" s="0" t="s">
        <v>13326</v>
      </c>
      <c r="E36808" s="0" t="s">
        <v>13327</v>
      </c>
      <c r="F36808" s="0" t="s">
        <v>13327</v>
      </c>
    </row>
    <row r="36810" customFormat="false" ht="12.8" hidden="false" customHeight="false" outlineLevel="0" collapsed="false">
      <c r="A36810" s="0" t="s">
        <v>13328</v>
      </c>
      <c r="B36810" s="0" t="str">
        <f aca="false">HYPERLINK("https://lindat.mff.cuni.cz/services/teitok/pdtc10/index.php?action=vallex&amp;frame=v-w5060f1", "převzít (v-w5060f1)")</f>
        <v>převzít (v-w5060f1)</v>
      </c>
    </row>
    <row r="36811" customFormat="false" ht="12.8" hidden="false" customHeight="false" outlineLevel="0" collapsed="false">
      <c r="B36811" s="0" t="s">
        <v>7</v>
      </c>
      <c r="C36811" s="0" t="s">
        <v>13329</v>
      </c>
      <c r="D36811" s="0" t="s">
        <v>13330</v>
      </c>
      <c r="E36811" s="0" t="s">
        <v>13331</v>
      </c>
      <c r="F36811" s="0" t="s">
        <v>13331</v>
      </c>
    </row>
    <row r="36812" customFormat="false" ht="12.8" hidden="false" customHeight="false" outlineLevel="0" collapsed="false">
      <c r="B36812" s="0" t="s">
        <v>14</v>
      </c>
      <c r="C36812" s="0" t="s">
        <v>13332</v>
      </c>
      <c r="D36812" s="0" t="s">
        <v>4163</v>
      </c>
      <c r="E36812" s="0" t="s">
        <v>13333</v>
      </c>
      <c r="F36812" s="0" t="s">
        <v>13333</v>
      </c>
    </row>
    <row r="36813" customFormat="false" ht="12.8" hidden="false" customHeight="false" outlineLevel="0" collapsed="false">
      <c r="B36813" s="0" t="s">
        <v>13334</v>
      </c>
      <c r="C36813" s="0" t="s">
        <v>13335</v>
      </c>
      <c r="D36813" s="0" t="s">
        <v>11969</v>
      </c>
      <c r="E36813" s="0" t="s">
        <v>13336</v>
      </c>
      <c r="F36813" s="0" t="s">
        <v>13336</v>
      </c>
    </row>
    <row r="36815" customFormat="false" ht="12.8" hidden="false" customHeight="false" outlineLevel="0" collapsed="false">
      <c r="A36815" s="0" t="s">
        <v>13337</v>
      </c>
      <c r="B36815" s="0" t="str">
        <f aca="false">HYPERLINK("https://lindat.mff.cuni.cz/services/teitok/pdtc10/index.php?action=vallex&amp;frame=v-w5060f2", "převzít (v-w5060f2)")</f>
        <v>převzít (v-w5060f2)</v>
      </c>
    </row>
    <row r="36816" customFormat="false" ht="12.8" hidden="false" customHeight="false" outlineLevel="0" collapsed="false">
      <c r="B36816" s="0" t="s">
        <v>7</v>
      </c>
      <c r="C36816" s="0" t="s">
        <v>13338</v>
      </c>
      <c r="E36816" s="0" t="s">
        <v>2361</v>
      </c>
      <c r="F36816" s="0" t="s">
        <v>2361</v>
      </c>
    </row>
    <row r="36817" customFormat="false" ht="12.8" hidden="false" customHeight="false" outlineLevel="0" collapsed="false">
      <c r="B36817" s="0" t="s">
        <v>14</v>
      </c>
      <c r="C36817" s="0" t="s">
        <v>13339</v>
      </c>
      <c r="E36817" s="0" t="s">
        <v>2363</v>
      </c>
      <c r="F36817" s="0" t="s">
        <v>2363</v>
      </c>
    </row>
    <row r="36818" customFormat="false" ht="12.8" hidden="false" customHeight="false" outlineLevel="0" collapsed="false">
      <c r="B36818" s="0" t="s">
        <v>441</v>
      </c>
      <c r="C36818" s="0" t="s">
        <v>13340</v>
      </c>
      <c r="E36818" s="0" t="s">
        <v>3654</v>
      </c>
      <c r="F36818" s="0" t="s">
        <v>3654</v>
      </c>
    </row>
    <row r="36820" customFormat="false" ht="12.8" hidden="false" customHeight="false" outlineLevel="0" collapsed="false">
      <c r="A36820" s="0" t="s">
        <v>13341</v>
      </c>
      <c r="B36820" s="0" t="str">
        <f aca="false">HYPERLINK("https://lindat.mff.cuni.cz/services/teitok/pdtc10/index.php?action=vallex&amp;frame=v-w5060f3", "převzít (v-w5060f3)")</f>
        <v>převzít (v-w5060f3)</v>
      </c>
    </row>
    <row r="36821" customFormat="false" ht="12.8" hidden="false" customHeight="false" outlineLevel="0" collapsed="false">
      <c r="B36821" s="0" t="s">
        <v>7</v>
      </c>
      <c r="C36821" s="0" t="s">
        <v>88</v>
      </c>
      <c r="D36821" s="0" t="s">
        <v>13342</v>
      </c>
      <c r="E36821" s="0" t="s">
        <v>13342</v>
      </c>
      <c r="F36821" s="0" t="s">
        <v>13342</v>
      </c>
    </row>
    <row r="36822" customFormat="false" ht="12.8" hidden="false" customHeight="false" outlineLevel="0" collapsed="false">
      <c r="B36822" s="0" t="s">
        <v>14</v>
      </c>
      <c r="C36822" s="0" t="s">
        <v>461</v>
      </c>
      <c r="D36822" s="0" t="s">
        <v>413</v>
      </c>
      <c r="E36822" s="0" t="s">
        <v>413</v>
      </c>
      <c r="F36822" s="0" t="s">
        <v>413</v>
      </c>
    </row>
    <row r="36823" customFormat="false" ht="12.8" hidden="false" customHeight="false" outlineLevel="0" collapsed="false">
      <c r="B36823" s="0" t="s">
        <v>459</v>
      </c>
      <c r="C36823" s="0" t="s">
        <v>13343</v>
      </c>
      <c r="D36823" s="0" t="s">
        <v>13343</v>
      </c>
      <c r="E36823" s="0" t="s">
        <v>13343</v>
      </c>
      <c r="F36823" s="0" t="s">
        <v>13343</v>
      </c>
    </row>
    <row r="36825" customFormat="false" ht="12.8" hidden="false" customHeight="false" outlineLevel="0" collapsed="false">
      <c r="A36825" s="0" t="s">
        <v>13344</v>
      </c>
      <c r="B36825" s="0" t="str">
        <f aca="false">HYPERLINK("https://lindat.mff.cuni.cz/services/teitok/pdtc10/index.php?action=vallex&amp;frame=v-w5060f4", "převzít (v-w5060f4)")</f>
        <v>převzít (v-w5060f4)</v>
      </c>
    </row>
    <row r="36826" customFormat="false" ht="12.8" hidden="false" customHeight="false" outlineLevel="0" collapsed="false">
      <c r="B36826" s="0" t="s">
        <v>7</v>
      </c>
    </row>
    <row r="36827" customFormat="false" ht="12.8" hidden="false" customHeight="false" outlineLevel="0" collapsed="false">
      <c r="B36827" s="0" t="s">
        <v>14</v>
      </c>
    </row>
    <row r="36828" customFormat="false" ht="12.8" hidden="false" customHeight="false" outlineLevel="0" collapsed="false">
      <c r="B36828" s="0" t="s">
        <v>9826</v>
      </c>
    </row>
    <row r="36830" customFormat="false" ht="12.8" hidden="false" customHeight="false" outlineLevel="0" collapsed="false">
      <c r="A36830" s="0" t="s">
        <v>13345</v>
      </c>
      <c r="B36830" s="0" t="str">
        <f aca="false">HYPERLINK("https://lindat.mff.cuni.cz/services/teitok/pdtc10/index.php?action=vallex&amp;frame=v-w5060f6_ZU", "převzít (v-w5060f6_ZU)")</f>
        <v>převzít (v-w5060f6_ZU)</v>
      </c>
    </row>
    <row r="36831" customFormat="false" ht="12.8" hidden="false" customHeight="false" outlineLevel="0" collapsed="false">
      <c r="B36831" s="0" t="s">
        <v>7</v>
      </c>
      <c r="C36831" s="0" t="s">
        <v>8111</v>
      </c>
    </row>
    <row r="36832" customFormat="false" ht="12.8" hidden="false" customHeight="false" outlineLevel="0" collapsed="false">
      <c r="B36832" s="0" t="s">
        <v>12569</v>
      </c>
    </row>
    <row r="36833" customFormat="false" ht="12.8" hidden="false" customHeight="false" outlineLevel="0" collapsed="false">
      <c r="B36833" s="0" t="s">
        <v>14</v>
      </c>
      <c r="C36833" s="0" t="s">
        <v>25</v>
      </c>
    </row>
    <row r="36834" customFormat="false" ht="12.8" hidden="false" customHeight="false" outlineLevel="0" collapsed="false">
      <c r="B36834" s="0" t="s">
        <v>441</v>
      </c>
      <c r="C36834" s="0" t="s">
        <v>13346</v>
      </c>
    </row>
    <row r="36836" customFormat="false" ht="12.8" hidden="false" customHeight="false" outlineLevel="0" collapsed="false">
      <c r="A36836" s="0" t="s">
        <v>13345</v>
      </c>
      <c r="B36836" s="0" t="str">
        <f aca="false">HYPERLINK("https://lindat.mff.cuni.cz/services/teitok/pdtc10/index.php?action=vallex&amp;frame=v-w5060hsa_465", "převzít (v-w5060hsa_465) - substituted with v-w5060f6_ZU")</f>
        <v>převzít (v-w5060hsa_465) - substituted with v-w5060f6_ZU</v>
      </c>
    </row>
    <row r="36837" customFormat="false" ht="12.8" hidden="false" customHeight="false" outlineLevel="0" collapsed="false">
      <c r="B36837" s="0" t="s">
        <v>7</v>
      </c>
    </row>
    <row r="36838" customFormat="false" ht="12.8" hidden="false" customHeight="false" outlineLevel="0" collapsed="false">
      <c r="B36838" s="0" t="s">
        <v>12569</v>
      </c>
    </row>
    <row r="36839" customFormat="false" ht="12.8" hidden="false" customHeight="false" outlineLevel="0" collapsed="false">
      <c r="B36839" s="0" t="s">
        <v>14</v>
      </c>
    </row>
    <row r="36840" customFormat="false" ht="12.8" hidden="false" customHeight="false" outlineLevel="0" collapsed="false">
      <c r="B36840" s="0" t="s">
        <v>441</v>
      </c>
    </row>
    <row r="36842" customFormat="false" ht="12.8" hidden="false" customHeight="false" outlineLevel="0" collapsed="false">
      <c r="A36842" s="0" t="s">
        <v>13347</v>
      </c>
      <c r="B36842" s="0" t="str">
        <f aca="false">HYPERLINK("https://lindat.mff.cuni.cz/services/teitok/pdtc10/index.php?action=vallex&amp;frame=v-w5060f5_ZU", "převzít (v-w5060f5_ZU)")</f>
        <v>převzít (v-w5060f5_ZU)</v>
      </c>
    </row>
    <row r="36843" customFormat="false" ht="12.8" hidden="false" customHeight="false" outlineLevel="0" collapsed="false">
      <c r="B36843" s="0" t="s">
        <v>7</v>
      </c>
      <c r="C36843" s="0" t="s">
        <v>442</v>
      </c>
      <c r="D36843" s="0" t="s">
        <v>391</v>
      </c>
      <c r="E36843" s="0" t="s">
        <v>391</v>
      </c>
      <c r="F36843" s="0" t="s">
        <v>391</v>
      </c>
    </row>
    <row r="36844" customFormat="false" ht="12.8" hidden="false" customHeight="false" outlineLevel="0" collapsed="false">
      <c r="B36844" s="0" t="s">
        <v>13348</v>
      </c>
      <c r="C36844" s="0" t="s">
        <v>13349</v>
      </c>
      <c r="D36844" s="0" t="s">
        <v>13350</v>
      </c>
      <c r="E36844" s="0" t="s">
        <v>13350</v>
      </c>
      <c r="F36844" s="0" t="s">
        <v>13350</v>
      </c>
    </row>
    <row r="36845" customFormat="false" ht="12.8" hidden="false" customHeight="false" outlineLevel="0" collapsed="false">
      <c r="B36845" s="0" t="s">
        <v>441</v>
      </c>
    </row>
    <row r="36847" customFormat="false" ht="12.8" hidden="false" customHeight="false" outlineLevel="0" collapsed="false">
      <c r="A36847" s="0" t="s">
        <v>13351</v>
      </c>
      <c r="B36847" s="0" t="str">
        <f aca="false">HYPERLINK("https://lindat.mff.cuni.cz/services/teitok/pdtc10/index.php?action=vallex&amp;frame=v-w5061f1", "převzít si (v-w5061f1)")</f>
        <v>převzít si (v-w5061f1)</v>
      </c>
    </row>
    <row r="36848" customFormat="false" ht="12.8" hidden="false" customHeight="false" outlineLevel="0" collapsed="false">
      <c r="B36848" s="0" t="s">
        <v>7</v>
      </c>
    </row>
    <row r="36849" customFormat="false" ht="12.8" hidden="false" customHeight="false" outlineLevel="0" collapsed="false">
      <c r="B36849" s="0" t="s">
        <v>14</v>
      </c>
    </row>
    <row r="36850" customFormat="false" ht="12.8" hidden="false" customHeight="false" outlineLevel="0" collapsed="false">
      <c r="B36850" s="0" t="s">
        <v>441</v>
      </c>
    </row>
    <row r="36852" customFormat="false" ht="12.8" hidden="false" customHeight="false" outlineLevel="0" collapsed="false">
      <c r="A36852" s="0" t="s">
        <v>13352</v>
      </c>
      <c r="B36852" s="0" t="str">
        <f aca="false">HYPERLINK("https://lindat.mff.cuni.cz/services/teitok/pdtc10/index.php?action=vallex&amp;frame=v-w5029f1", "převádět (v-w5029f1)")</f>
        <v>převádět (v-w5029f1)</v>
      </c>
    </row>
    <row r="36853" customFormat="false" ht="12.8" hidden="false" customHeight="false" outlineLevel="0" collapsed="false">
      <c r="B36853" s="0" t="s">
        <v>7</v>
      </c>
      <c r="C36853" s="0" t="s">
        <v>13353</v>
      </c>
      <c r="D36853" s="0" t="s">
        <v>4161</v>
      </c>
      <c r="E36853" s="0" t="s">
        <v>4161</v>
      </c>
      <c r="F36853" s="0" t="s">
        <v>4161</v>
      </c>
    </row>
    <row r="36854" customFormat="false" ht="12.8" hidden="false" customHeight="false" outlineLevel="0" collapsed="false">
      <c r="B36854" s="0" t="s">
        <v>14</v>
      </c>
      <c r="C36854" s="0" t="s">
        <v>13354</v>
      </c>
      <c r="D36854" s="0" t="s">
        <v>8195</v>
      </c>
      <c r="E36854" s="0" t="s">
        <v>8195</v>
      </c>
      <c r="F36854" s="0" t="s">
        <v>8195</v>
      </c>
    </row>
    <row r="36855" customFormat="false" ht="12.8" hidden="false" customHeight="false" outlineLevel="0" collapsed="false">
      <c r="B36855" s="0" t="s">
        <v>4101</v>
      </c>
      <c r="C36855" s="0" t="s">
        <v>13355</v>
      </c>
      <c r="D36855" s="0" t="s">
        <v>13044</v>
      </c>
      <c r="E36855" s="0" t="s">
        <v>13044</v>
      </c>
      <c r="F36855" s="0" t="s">
        <v>13044</v>
      </c>
    </row>
    <row r="36856" customFormat="false" ht="12.8" hidden="false" customHeight="false" outlineLevel="0" collapsed="false">
      <c r="B36856" s="0" t="s">
        <v>35</v>
      </c>
      <c r="C36856" s="0" t="s">
        <v>13356</v>
      </c>
    </row>
    <row r="36858" customFormat="false" ht="12.8" hidden="false" customHeight="false" outlineLevel="0" collapsed="false">
      <c r="A36858" s="0" t="s">
        <v>13357</v>
      </c>
      <c r="B36858" s="0" t="str">
        <f aca="false">HYPERLINK("https://lindat.mff.cuni.cz/services/teitok/pdtc10/index.php?action=vallex&amp;frame=v-w5029f3_ZU", "převádět (v-w5029f3_ZU)")</f>
        <v>převádět (v-w5029f3_ZU)</v>
      </c>
    </row>
    <row r="36859" customFormat="false" ht="12.8" hidden="false" customHeight="false" outlineLevel="0" collapsed="false">
      <c r="B36859" s="0" t="s">
        <v>7</v>
      </c>
      <c r="C36859" s="0" t="s">
        <v>13358</v>
      </c>
      <c r="D36859" s="0" t="s">
        <v>32</v>
      </c>
      <c r="E36859" s="0" t="s">
        <v>32</v>
      </c>
      <c r="F36859" s="0" t="s">
        <v>32</v>
      </c>
    </row>
    <row r="36860" customFormat="false" ht="12.8" hidden="false" customHeight="false" outlineLevel="0" collapsed="false">
      <c r="B36860" s="0" t="s">
        <v>14</v>
      </c>
      <c r="C36860" s="0" t="s">
        <v>13359</v>
      </c>
      <c r="D36860" s="0" t="s">
        <v>34</v>
      </c>
      <c r="E36860" s="0" t="s">
        <v>34</v>
      </c>
      <c r="F36860" s="0" t="s">
        <v>34</v>
      </c>
    </row>
    <row r="36861" customFormat="false" ht="12.8" hidden="false" customHeight="false" outlineLevel="0" collapsed="false">
      <c r="B36861" s="0" t="s">
        <v>35</v>
      </c>
      <c r="D36861" s="0" t="s">
        <v>36</v>
      </c>
      <c r="E36861" s="0" t="s">
        <v>36</v>
      </c>
      <c r="F36861" s="0" t="s">
        <v>36</v>
      </c>
    </row>
    <row r="36862" customFormat="false" ht="12.8" hidden="false" customHeight="false" outlineLevel="0" collapsed="false">
      <c r="B36862" s="0" t="s">
        <v>6192</v>
      </c>
      <c r="C36862" s="0" t="s">
        <v>13360</v>
      </c>
      <c r="D36862" s="0" t="s">
        <v>39</v>
      </c>
      <c r="E36862" s="0" t="s">
        <v>39</v>
      </c>
      <c r="F36862" s="0" t="s">
        <v>39</v>
      </c>
    </row>
    <row r="36864" customFormat="false" ht="12.8" hidden="false" customHeight="false" outlineLevel="0" collapsed="false">
      <c r="A36864" s="0" t="s">
        <v>13361</v>
      </c>
      <c r="B36864" s="0" t="str">
        <f aca="false">HYPERLINK("https://lindat.mff.cuni.cz/services/teitok/pdtc10/index.php?action=vallex&amp;frame=v-w5029f2", "převádět (v-w5029f2)")</f>
        <v>převádět (v-w5029f2)</v>
      </c>
    </row>
    <row r="36865" customFormat="false" ht="12.8" hidden="false" customHeight="false" outlineLevel="0" collapsed="false">
      <c r="B36865" s="0" t="s">
        <v>7</v>
      </c>
      <c r="C36865" s="0" t="s">
        <v>3028</v>
      </c>
      <c r="D36865" s="0" t="s">
        <v>4161</v>
      </c>
      <c r="E36865" s="0" t="s">
        <v>4161</v>
      </c>
      <c r="F36865" s="0" t="s">
        <v>4161</v>
      </c>
    </row>
    <row r="36866" customFormat="false" ht="12.8" hidden="false" customHeight="false" outlineLevel="0" collapsed="false">
      <c r="B36866" s="0" t="s">
        <v>14</v>
      </c>
      <c r="C36866" s="0" t="s">
        <v>13362</v>
      </c>
      <c r="D36866" s="0" t="s">
        <v>8195</v>
      </c>
      <c r="E36866" s="0" t="s">
        <v>8195</v>
      </c>
      <c r="F36866" s="0" t="s">
        <v>8195</v>
      </c>
    </row>
    <row r="36867" customFormat="false" ht="12.8" hidden="false" customHeight="false" outlineLevel="0" collapsed="false">
      <c r="B36867" s="0" t="s">
        <v>459</v>
      </c>
    </row>
    <row r="36868" customFormat="false" ht="12.8" hidden="false" customHeight="false" outlineLevel="0" collapsed="false">
      <c r="B36868" s="0" t="s">
        <v>124</v>
      </c>
      <c r="C36868" s="0" t="s">
        <v>13363</v>
      </c>
      <c r="D36868" s="0" t="s">
        <v>10830</v>
      </c>
      <c r="E36868" s="0" t="s">
        <v>10830</v>
      </c>
      <c r="F36868" s="0" t="s">
        <v>10830</v>
      </c>
    </row>
    <row r="36870" customFormat="false" ht="12.8" hidden="false" customHeight="false" outlineLevel="0" collapsed="false">
      <c r="A36870" s="0" t="s">
        <v>13364</v>
      </c>
      <c r="B36870" s="0" t="str">
        <f aca="false">HYPERLINK("https://lindat.mff.cuni.cz/services/teitok/pdtc10/index.php?action=vallex&amp;frame=v-w10255f2", "převálcovat (v-w10255f2)")</f>
        <v>převálcovat (v-w10255f2)</v>
      </c>
    </row>
    <row r="36871" customFormat="false" ht="12.8" hidden="false" customHeight="false" outlineLevel="0" collapsed="false">
      <c r="B36871" s="0" t="s">
        <v>7</v>
      </c>
      <c r="C36871" s="0" t="s">
        <v>31</v>
      </c>
      <c r="D36871" s="0" t="s">
        <v>8314</v>
      </c>
      <c r="E36871" s="0" t="s">
        <v>8314</v>
      </c>
      <c r="F36871" s="0" t="s">
        <v>8314</v>
      </c>
    </row>
    <row r="36872" customFormat="false" ht="12.8" hidden="false" customHeight="false" outlineLevel="0" collapsed="false">
      <c r="B36872" s="0" t="s">
        <v>14</v>
      </c>
      <c r="C36872" s="0" t="s">
        <v>159</v>
      </c>
      <c r="D36872" s="0" t="s">
        <v>8316</v>
      </c>
      <c r="E36872" s="0" t="s">
        <v>8316</v>
      </c>
      <c r="F36872" s="0" t="s">
        <v>8316</v>
      </c>
    </row>
    <row r="36874" customFormat="false" ht="12.8" hidden="false" customHeight="false" outlineLevel="0" collapsed="false">
      <c r="A36874" s="0" t="s">
        <v>13365</v>
      </c>
      <c r="B36874" s="0" t="str">
        <f aca="false">HYPERLINK("https://lindat.mff.cuni.cz/services/teitok/pdtc10/index.php?action=vallex&amp;frame=v-w11977_ZUf1_ZU", "převázat (v-w11977_ZUf1_ZU)")</f>
        <v>převázat (v-w11977_ZUf1_ZU)</v>
      </c>
    </row>
    <row r="36875" customFormat="false" ht="12.8" hidden="false" customHeight="false" outlineLevel="0" collapsed="false">
      <c r="B36875" s="0" t="s">
        <v>7</v>
      </c>
    </row>
    <row r="36876" customFormat="false" ht="12.8" hidden="false" customHeight="false" outlineLevel="0" collapsed="false">
      <c r="B36876" s="0" t="s">
        <v>14</v>
      </c>
    </row>
    <row r="36878" customFormat="false" ht="12.8" hidden="false" customHeight="false" outlineLevel="0" collapsed="false">
      <c r="A36878" s="0" t="s">
        <v>13366</v>
      </c>
      <c r="B36878" s="0" t="str">
        <f aca="false">HYPERLINK("https://lindat.mff.cuni.cz/services/teitok/pdtc10/index.php?action=vallex&amp;frame=v-w5033f1", "převážet (v-w5033f1)")</f>
        <v>převážet (v-w5033f1)</v>
      </c>
    </row>
    <row r="36879" customFormat="false" ht="12.8" hidden="false" customHeight="false" outlineLevel="0" collapsed="false">
      <c r="B36879" s="0" t="s">
        <v>7</v>
      </c>
      <c r="C36879" s="0" t="s">
        <v>113</v>
      </c>
      <c r="D36879" s="0" t="s">
        <v>3844</v>
      </c>
      <c r="E36879" s="0" t="s">
        <v>3844</v>
      </c>
      <c r="F36879" s="0" t="s">
        <v>3844</v>
      </c>
    </row>
    <row r="36880" customFormat="false" ht="12.8" hidden="false" customHeight="false" outlineLevel="0" collapsed="false">
      <c r="B36880" s="0" t="s">
        <v>14</v>
      </c>
      <c r="C36880" s="0" t="s">
        <v>89</v>
      </c>
      <c r="D36880" s="0" t="s">
        <v>312</v>
      </c>
      <c r="E36880" s="0" t="s">
        <v>312</v>
      </c>
      <c r="F36880" s="0" t="s">
        <v>312</v>
      </c>
    </row>
    <row r="36881" customFormat="false" ht="12.8" hidden="false" customHeight="false" outlineLevel="0" collapsed="false">
      <c r="B36881" s="0" t="s">
        <v>459</v>
      </c>
    </row>
    <row r="36882" customFormat="false" ht="12.8" hidden="false" customHeight="false" outlineLevel="0" collapsed="false">
      <c r="B36882" s="0" t="s">
        <v>124</v>
      </c>
    </row>
    <row r="36884" customFormat="false" ht="12.8" hidden="false" customHeight="false" outlineLevel="0" collapsed="false">
      <c r="A36884" s="0" t="s">
        <v>13367</v>
      </c>
      <c r="B36884" s="0" t="str">
        <f aca="false">HYPERLINK("https://lindat.mff.cuni.cz/services/teitok/pdtc10/index.php?action=vallex&amp;frame=v-w5034f2", "převážit (v-w5034f2)")</f>
        <v>převážit (v-w5034f2)</v>
      </c>
    </row>
    <row r="36885" customFormat="false" ht="12.8" hidden="false" customHeight="false" outlineLevel="0" collapsed="false">
      <c r="B36885" s="0" t="s">
        <v>7</v>
      </c>
      <c r="C36885" s="0" t="s">
        <v>460</v>
      </c>
    </row>
    <row r="36886" customFormat="false" ht="12.8" hidden="false" customHeight="false" outlineLevel="0" collapsed="false">
      <c r="B36886" s="0" t="s">
        <v>14</v>
      </c>
      <c r="C36886" s="0" t="s">
        <v>461</v>
      </c>
    </row>
    <row r="36888" customFormat="false" ht="12.8" hidden="false" customHeight="false" outlineLevel="0" collapsed="false">
      <c r="A36888" s="0" t="s">
        <v>13368</v>
      </c>
      <c r="B36888" s="0" t="str">
        <f aca="false">HYPERLINK("https://lindat.mff.cuni.cz/services/teitok/pdtc10/index.php?action=vallex&amp;frame=v-w5034f1", "převážit (v-w5034f1)")</f>
        <v>převážit (v-w5034f1)</v>
      </c>
    </row>
    <row r="36889" customFormat="false" ht="12.8" hidden="false" customHeight="false" outlineLevel="0" collapsed="false">
      <c r="B36889" s="0" t="s">
        <v>7</v>
      </c>
      <c r="C36889" s="0" t="s">
        <v>13369</v>
      </c>
    </row>
    <row r="36890" customFormat="false" ht="12.8" hidden="false" customHeight="false" outlineLevel="0" collapsed="false">
      <c r="B36890" s="0" t="s">
        <v>3620</v>
      </c>
      <c r="C36890" s="0" t="s">
        <v>13370</v>
      </c>
    </row>
    <row r="36892" customFormat="false" ht="12.8" hidden="false" customHeight="false" outlineLevel="0" collapsed="false">
      <c r="A36892" s="0" t="s">
        <v>13371</v>
      </c>
      <c r="B36892" s="0" t="str">
        <f aca="false">HYPERLINK("https://lindat.mff.cuni.cz/services/teitok/pdtc10/index.php?action=vallex&amp;frame=v-w5039f1", "převést (v-w5039f1)")</f>
        <v>převést (v-w5039f1)</v>
      </c>
    </row>
    <row r="36893" customFormat="false" ht="12.8" hidden="false" customHeight="false" outlineLevel="0" collapsed="false">
      <c r="B36893" s="0" t="s">
        <v>7</v>
      </c>
      <c r="C36893" s="0" t="s">
        <v>126</v>
      </c>
      <c r="D36893" s="0" t="s">
        <v>4161</v>
      </c>
      <c r="E36893" s="0" t="s">
        <v>4161</v>
      </c>
      <c r="F36893" s="0" t="s">
        <v>4161</v>
      </c>
    </row>
    <row r="36894" customFormat="false" ht="12.8" hidden="false" customHeight="false" outlineLevel="0" collapsed="false">
      <c r="B36894" s="0" t="s">
        <v>14</v>
      </c>
      <c r="C36894" s="0" t="s">
        <v>13372</v>
      </c>
      <c r="D36894" s="0" t="s">
        <v>8195</v>
      </c>
      <c r="E36894" s="0" t="s">
        <v>8195</v>
      </c>
      <c r="F36894" s="0" t="s">
        <v>8195</v>
      </c>
    </row>
    <row r="36895" customFormat="false" ht="12.8" hidden="false" customHeight="false" outlineLevel="0" collapsed="false">
      <c r="B36895" s="0" t="s">
        <v>4101</v>
      </c>
      <c r="C36895" s="0" t="s">
        <v>7373</v>
      </c>
      <c r="D36895" s="0" t="s">
        <v>13044</v>
      </c>
      <c r="E36895" s="0" t="s">
        <v>13044</v>
      </c>
      <c r="F36895" s="0" t="s">
        <v>13044</v>
      </c>
    </row>
    <row r="36896" customFormat="false" ht="12.8" hidden="false" customHeight="false" outlineLevel="0" collapsed="false">
      <c r="B36896" s="0" t="s">
        <v>35</v>
      </c>
    </row>
    <row r="36898" customFormat="false" ht="12.8" hidden="false" customHeight="false" outlineLevel="0" collapsed="false">
      <c r="A36898" s="0" t="s">
        <v>13373</v>
      </c>
      <c r="B36898" s="0" t="str">
        <f aca="false">HYPERLINK("https://lindat.mff.cuni.cz/services/teitok/pdtc10/index.php?action=vallex&amp;frame=v-w5039f5", "převést (v-w5039f5)")</f>
        <v>převést (v-w5039f5)</v>
      </c>
    </row>
    <row r="36899" customFormat="false" ht="12.8" hidden="false" customHeight="false" outlineLevel="0" collapsed="false">
      <c r="B36899" s="0" t="s">
        <v>7</v>
      </c>
      <c r="C36899" s="0" t="s">
        <v>21</v>
      </c>
    </row>
    <row r="36900" customFormat="false" ht="12.8" hidden="false" customHeight="false" outlineLevel="0" collapsed="false">
      <c r="B36900" s="0" t="s">
        <v>14</v>
      </c>
      <c r="C36900" s="0" t="s">
        <v>3860</v>
      </c>
    </row>
    <row r="36901" customFormat="false" ht="12.8" hidden="false" customHeight="false" outlineLevel="0" collapsed="false">
      <c r="B36901" s="0" t="s">
        <v>48</v>
      </c>
    </row>
    <row r="36903" customFormat="false" ht="12.8" hidden="false" customHeight="false" outlineLevel="0" collapsed="false">
      <c r="A36903" s="0" t="s">
        <v>13374</v>
      </c>
      <c r="B36903" s="0" t="str">
        <f aca="false">HYPERLINK("https://lindat.mff.cuni.cz/services/teitok/pdtc10/index.php?action=vallex&amp;frame=v-w5039f4", "převést (v-w5039f4)")</f>
        <v>převést (v-w5039f4)</v>
      </c>
    </row>
    <row r="36904" customFormat="false" ht="12.8" hidden="false" customHeight="false" outlineLevel="0" collapsed="false">
      <c r="B36904" s="0" t="s">
        <v>7</v>
      </c>
      <c r="C36904" s="0" t="s">
        <v>4136</v>
      </c>
      <c r="D36904" s="0" t="s">
        <v>32</v>
      </c>
      <c r="E36904" s="0" t="s">
        <v>32</v>
      </c>
      <c r="F36904" s="0" t="s">
        <v>32</v>
      </c>
    </row>
    <row r="36905" customFormat="false" ht="12.8" hidden="false" customHeight="false" outlineLevel="0" collapsed="false">
      <c r="B36905" s="0" t="s">
        <v>14</v>
      </c>
      <c r="C36905" s="0" t="s">
        <v>13375</v>
      </c>
      <c r="D36905" s="0" t="s">
        <v>34</v>
      </c>
      <c r="E36905" s="0" t="s">
        <v>34</v>
      </c>
      <c r="F36905" s="0" t="s">
        <v>34</v>
      </c>
    </row>
    <row r="36906" customFormat="false" ht="12.8" hidden="false" customHeight="false" outlineLevel="0" collapsed="false">
      <c r="B36906" s="0" t="s">
        <v>35</v>
      </c>
      <c r="D36906" s="0" t="s">
        <v>36</v>
      </c>
      <c r="E36906" s="0" t="s">
        <v>36</v>
      </c>
      <c r="F36906" s="0" t="s">
        <v>36</v>
      </c>
    </row>
    <row r="36907" customFormat="false" ht="12.8" hidden="false" customHeight="false" outlineLevel="0" collapsed="false">
      <c r="B36907" s="0" t="s">
        <v>6192</v>
      </c>
      <c r="C36907" s="0" t="s">
        <v>13360</v>
      </c>
      <c r="D36907" s="0" t="s">
        <v>39</v>
      </c>
      <c r="E36907" s="0" t="s">
        <v>39</v>
      </c>
      <c r="F36907" s="0" t="s">
        <v>39</v>
      </c>
    </row>
    <row r="36909" customFormat="false" ht="12.8" hidden="false" customHeight="false" outlineLevel="0" collapsed="false">
      <c r="A36909" s="0" t="s">
        <v>13376</v>
      </c>
      <c r="B36909" s="0" t="str">
        <f aca="false">HYPERLINK("https://lindat.mff.cuni.cz/services/teitok/pdtc10/index.php?action=vallex&amp;frame=v-w5039f2", "převést (v-w5039f2)")</f>
        <v>převést (v-w5039f2)</v>
      </c>
    </row>
    <row r="36910" customFormat="false" ht="12.8" hidden="false" customHeight="false" outlineLevel="0" collapsed="false">
      <c r="B36910" s="0" t="s">
        <v>7</v>
      </c>
      <c r="C36910" s="0" t="s">
        <v>6712</v>
      </c>
      <c r="D36910" s="0" t="s">
        <v>4161</v>
      </c>
      <c r="E36910" s="0" t="s">
        <v>4161</v>
      </c>
      <c r="F36910" s="0" t="s">
        <v>4161</v>
      </c>
    </row>
    <row r="36911" customFormat="false" ht="12.8" hidden="false" customHeight="false" outlineLevel="0" collapsed="false">
      <c r="B36911" s="0" t="s">
        <v>14</v>
      </c>
      <c r="C36911" s="0" t="s">
        <v>13377</v>
      </c>
      <c r="D36911" s="0" t="s">
        <v>8195</v>
      </c>
      <c r="E36911" s="0" t="s">
        <v>8195</v>
      </c>
      <c r="F36911" s="0" t="s">
        <v>8195</v>
      </c>
    </row>
    <row r="36912" customFormat="false" ht="12.8" hidden="false" customHeight="false" outlineLevel="0" collapsed="false">
      <c r="B36912" s="0" t="s">
        <v>459</v>
      </c>
      <c r="C36912" s="0" t="s">
        <v>13378</v>
      </c>
    </row>
    <row r="36913" customFormat="false" ht="12.8" hidden="false" customHeight="false" outlineLevel="0" collapsed="false">
      <c r="B36913" s="0" t="s">
        <v>124</v>
      </c>
      <c r="C36913" s="0" t="s">
        <v>13363</v>
      </c>
      <c r="D36913" s="0" t="s">
        <v>10830</v>
      </c>
      <c r="E36913" s="0" t="s">
        <v>10830</v>
      </c>
      <c r="F36913" s="0" t="s">
        <v>10830</v>
      </c>
    </row>
    <row r="36915" customFormat="false" ht="12.8" hidden="false" customHeight="false" outlineLevel="0" collapsed="false">
      <c r="A36915" s="0" t="s">
        <v>13379</v>
      </c>
      <c r="B36915" s="0" t="str">
        <f aca="false">HYPERLINK("https://lindat.mff.cuni.cz/services/teitok/pdtc10/index.php?action=vallex&amp;frame=v-w5039f3", "převést (v-w5039f3)")</f>
        <v>převést (v-w5039f3)</v>
      </c>
    </row>
    <row r="36916" customFormat="false" ht="12.8" hidden="false" customHeight="false" outlineLevel="0" collapsed="false">
      <c r="B36916" s="0" t="s">
        <v>7</v>
      </c>
    </row>
    <row r="36917" customFormat="false" ht="12.8" hidden="false" customHeight="false" outlineLevel="0" collapsed="false">
      <c r="B36917" s="0" t="s">
        <v>14</v>
      </c>
    </row>
    <row r="36918" customFormat="false" ht="12.8" hidden="false" customHeight="false" outlineLevel="0" collapsed="false">
      <c r="B36918" s="0" t="s">
        <v>259</v>
      </c>
    </row>
    <row r="36920" customFormat="false" ht="12.8" hidden="false" customHeight="false" outlineLevel="0" collapsed="false">
      <c r="A36920" s="0" t="s">
        <v>13380</v>
      </c>
      <c r="B36920" s="0" t="str">
        <f aca="false">HYPERLINK("https://lindat.mff.cuni.cz/services/teitok/pdtc10/index.php?action=vallex&amp;frame=v-w5040f1", "převézt (v-w5040f1)")</f>
        <v>převézt (v-w5040f1)</v>
      </c>
    </row>
    <row r="36921" customFormat="false" ht="12.8" hidden="false" customHeight="false" outlineLevel="0" collapsed="false">
      <c r="B36921" s="0" t="s">
        <v>7</v>
      </c>
      <c r="C36921" s="0" t="s">
        <v>358</v>
      </c>
      <c r="D36921" s="0" t="s">
        <v>3844</v>
      </c>
      <c r="E36921" s="0" t="s">
        <v>3844</v>
      </c>
      <c r="F36921" s="0" t="s">
        <v>3844</v>
      </c>
    </row>
    <row r="36922" customFormat="false" ht="12.8" hidden="false" customHeight="false" outlineLevel="0" collapsed="false">
      <c r="B36922" s="0" t="s">
        <v>14</v>
      </c>
      <c r="C36922" s="0" t="s">
        <v>26</v>
      </c>
      <c r="D36922" s="0" t="s">
        <v>312</v>
      </c>
      <c r="E36922" s="0" t="s">
        <v>312</v>
      </c>
      <c r="F36922" s="0" t="s">
        <v>312</v>
      </c>
    </row>
    <row r="36923" customFormat="false" ht="12.8" hidden="false" customHeight="false" outlineLevel="0" collapsed="false">
      <c r="B36923" s="0" t="s">
        <v>459</v>
      </c>
    </row>
    <row r="36924" customFormat="false" ht="12.8" hidden="false" customHeight="false" outlineLevel="0" collapsed="false">
      <c r="B36924" s="0" t="s">
        <v>124</v>
      </c>
    </row>
    <row r="36926" customFormat="false" ht="12.8" hidden="false" customHeight="false" outlineLevel="0" collapsed="false">
      <c r="A36926" s="0" t="s">
        <v>13381</v>
      </c>
      <c r="B36926" s="0" t="str">
        <f aca="false">HYPERLINK("https://lindat.mff.cuni.cz/services/teitok/pdtc10/index.php?action=vallex&amp;frame=v-w5040f2", "převézt (v-w5040f2)")</f>
        <v>převézt (v-w5040f2)</v>
      </c>
    </row>
    <row r="36927" customFormat="false" ht="12.8" hidden="false" customHeight="false" outlineLevel="0" collapsed="false">
      <c r="B36927" s="0" t="s">
        <v>7</v>
      </c>
    </row>
    <row r="36928" customFormat="false" ht="12.8" hidden="false" customHeight="false" outlineLevel="0" collapsed="false">
      <c r="B36928" s="0" t="s">
        <v>14</v>
      </c>
    </row>
    <row r="36930" customFormat="false" ht="12.8" hidden="false" customHeight="false" outlineLevel="0" collapsed="false">
      <c r="A36930" s="0" t="s">
        <v>13382</v>
      </c>
      <c r="B36930" s="0" t="str">
        <f aca="false">HYPERLINK("https://lindat.mff.cuni.cz/services/teitok/pdtc10/index.php?action=vallex&amp;frame=v-w5055f1", "převýšit (v-w5055f1)")</f>
        <v>převýšit (v-w5055f1)</v>
      </c>
    </row>
    <row r="36931" customFormat="false" ht="12.8" hidden="false" customHeight="false" outlineLevel="0" collapsed="false">
      <c r="B36931" s="0" t="s">
        <v>7</v>
      </c>
      <c r="C36931" s="0" t="s">
        <v>13383</v>
      </c>
      <c r="D36931" s="0" t="s">
        <v>13323</v>
      </c>
      <c r="E36931" s="0" t="s">
        <v>13324</v>
      </c>
      <c r="F36931" s="0" t="s">
        <v>13324</v>
      </c>
    </row>
    <row r="36932" customFormat="false" ht="12.8" hidden="false" customHeight="false" outlineLevel="0" collapsed="false">
      <c r="B36932" s="0" t="s">
        <v>14</v>
      </c>
      <c r="C36932" s="0" t="s">
        <v>13384</v>
      </c>
      <c r="D36932" s="0" t="s">
        <v>13326</v>
      </c>
      <c r="E36932" s="0" t="s">
        <v>13327</v>
      </c>
      <c r="F36932" s="0" t="s">
        <v>13327</v>
      </c>
    </row>
    <row r="36934" customFormat="false" ht="12.8" hidden="false" customHeight="false" outlineLevel="0" collapsed="false">
      <c r="A36934" s="0" t="s">
        <v>13385</v>
      </c>
      <c r="B36934" s="0" t="str">
        <f aca="false">HYPERLINK("https://lindat.mff.cuni.cz/services/teitok/pdtc10/index.php?action=vallex&amp;frame=v-w5063f1", "přezbrojit (v-w5063f1)")</f>
        <v>přezbrojit (v-w5063f1)</v>
      </c>
    </row>
    <row r="36935" customFormat="false" ht="12.8" hidden="false" customHeight="false" outlineLevel="0" collapsed="false">
      <c r="B36935" s="0" t="s">
        <v>7</v>
      </c>
    </row>
    <row r="36936" customFormat="false" ht="12.8" hidden="false" customHeight="false" outlineLevel="0" collapsed="false">
      <c r="B36936" s="0" t="s">
        <v>14</v>
      </c>
    </row>
    <row r="36938" customFormat="false" ht="12.8" hidden="false" customHeight="false" outlineLevel="0" collapsed="false">
      <c r="A36938" s="0" t="s">
        <v>13386</v>
      </c>
      <c r="B36938" s="0" t="str">
        <f aca="false">HYPERLINK("https://lindat.mff.cuni.cz/services/teitok/pdtc10/index.php?action=vallex&amp;frame=v-w5066f1", "přezdívat (v-w5066f1)")</f>
        <v>přezdívat (v-w5066f1)</v>
      </c>
    </row>
    <row r="36939" customFormat="false" ht="12.8" hidden="false" customHeight="false" outlineLevel="0" collapsed="false">
      <c r="B36939" s="0" t="s">
        <v>7</v>
      </c>
      <c r="C36939" s="0" t="s">
        <v>31</v>
      </c>
      <c r="D36939" s="0" t="s">
        <v>2266</v>
      </c>
      <c r="E36939" s="0" t="s">
        <v>2266</v>
      </c>
      <c r="F36939" s="0" t="s">
        <v>2266</v>
      </c>
    </row>
    <row r="36940" customFormat="false" ht="12.8" hidden="false" customHeight="false" outlineLevel="0" collapsed="false">
      <c r="B36940" s="0" t="s">
        <v>6428</v>
      </c>
      <c r="C36940" s="0" t="s">
        <v>78</v>
      </c>
      <c r="D36940" s="0" t="s">
        <v>7292</v>
      </c>
      <c r="E36940" s="0" t="s">
        <v>7292</v>
      </c>
      <c r="F36940" s="0" t="s">
        <v>7292</v>
      </c>
    </row>
    <row r="36941" customFormat="false" ht="12.8" hidden="false" customHeight="false" outlineLevel="0" collapsed="false">
      <c r="B36941" s="0" t="s">
        <v>7293</v>
      </c>
      <c r="C36941" s="0" t="s">
        <v>13387</v>
      </c>
      <c r="D36941" s="0" t="s">
        <v>7295</v>
      </c>
      <c r="E36941" s="0" t="s">
        <v>7295</v>
      </c>
      <c r="F36941" s="0" t="s">
        <v>7295</v>
      </c>
    </row>
    <row r="36943" customFormat="false" ht="12.8" hidden="false" customHeight="false" outlineLevel="0" collapsed="false">
      <c r="A36943" s="0" t="s">
        <v>13388</v>
      </c>
      <c r="B36943" s="0" t="str">
        <f aca="false">HYPERLINK("https://lindat.mff.cuni.cz/services/teitok/pdtc10/index.php?action=vallex&amp;frame=v-w5068f1", "přezkoumat (v-w5068f1)")</f>
        <v>přezkoumat (v-w5068f1)</v>
      </c>
    </row>
    <row r="36944" customFormat="false" ht="12.8" hidden="false" customHeight="false" outlineLevel="0" collapsed="false">
      <c r="B36944" s="0" t="s">
        <v>7</v>
      </c>
      <c r="C36944" s="0" t="s">
        <v>3610</v>
      </c>
      <c r="D36944" s="0" t="s">
        <v>12368</v>
      </c>
      <c r="E36944" s="0" t="s">
        <v>12368</v>
      </c>
      <c r="F36944" s="0" t="s">
        <v>12368</v>
      </c>
    </row>
    <row r="36945" customFormat="false" ht="12.8" hidden="false" customHeight="false" outlineLevel="0" collapsed="false">
      <c r="B36945" s="0" t="s">
        <v>2030</v>
      </c>
      <c r="C36945" s="0" t="s">
        <v>469</v>
      </c>
      <c r="D36945" s="0" t="s">
        <v>12370</v>
      </c>
      <c r="E36945" s="0" t="s">
        <v>12370</v>
      </c>
      <c r="F36945" s="0" t="s">
        <v>12370</v>
      </c>
    </row>
    <row r="36947" customFormat="false" ht="12.8" hidden="false" customHeight="false" outlineLevel="0" collapsed="false">
      <c r="A36947" s="0" t="s">
        <v>13389</v>
      </c>
      <c r="B36947" s="0" t="str">
        <f aca="false">HYPERLINK("https://lindat.mff.cuni.cz/services/teitok/pdtc10/index.php?action=vallex&amp;frame=v-w10100f2", "přezkoumávat (v-w10100f2)")</f>
        <v>přezkoumávat (v-w10100f2)</v>
      </c>
    </row>
    <row r="36948" customFormat="false" ht="12.8" hidden="false" customHeight="false" outlineLevel="0" collapsed="false">
      <c r="B36948" s="0" t="s">
        <v>7</v>
      </c>
      <c r="C36948" s="0" t="s">
        <v>7632</v>
      </c>
      <c r="D36948" s="0" t="s">
        <v>12368</v>
      </c>
      <c r="E36948" s="0" t="s">
        <v>12368</v>
      </c>
      <c r="F36948" s="0" t="s">
        <v>12368</v>
      </c>
    </row>
    <row r="36949" customFormat="false" ht="12.8" hidden="false" customHeight="false" outlineLevel="0" collapsed="false">
      <c r="B36949" s="0" t="s">
        <v>2030</v>
      </c>
      <c r="C36949" s="0" t="s">
        <v>13390</v>
      </c>
      <c r="D36949" s="0" t="s">
        <v>12370</v>
      </c>
      <c r="E36949" s="0" t="s">
        <v>12370</v>
      </c>
      <c r="F36949" s="0" t="s">
        <v>12370</v>
      </c>
    </row>
    <row r="36951" customFormat="false" ht="12.8" hidden="false" customHeight="false" outlineLevel="0" collapsed="false">
      <c r="A36951" s="0" t="s">
        <v>13391</v>
      </c>
      <c r="B36951" s="0" t="str">
        <f aca="false">HYPERLINK("https://lindat.mff.cuni.cz/services/teitok/pdtc10/index.php?action=vallex&amp;frame=v-w5069f1", "přezkušovat (v-w5069f1)")</f>
        <v>přezkušovat (v-w5069f1)</v>
      </c>
    </row>
    <row r="36952" customFormat="false" ht="12.8" hidden="false" customHeight="false" outlineLevel="0" collapsed="false">
      <c r="B36952" s="0" t="s">
        <v>7</v>
      </c>
    </row>
    <row r="36953" customFormat="false" ht="12.8" hidden="false" customHeight="false" outlineLevel="0" collapsed="false">
      <c r="B36953" s="0" t="s">
        <v>1814</v>
      </c>
    </row>
    <row r="36955" customFormat="false" ht="12.8" hidden="false" customHeight="false" outlineLevel="0" collapsed="false">
      <c r="A36955" s="0" t="s">
        <v>13392</v>
      </c>
      <c r="B36955" s="0" t="str">
        <f aca="false">HYPERLINK("https://lindat.mff.cuni.cz/services/teitok/pdtc10/index.php?action=vallex&amp;frame=v-w5070f1", "přezouvat (v-w5070f1)")</f>
        <v>přezouvat (v-w5070f1)</v>
      </c>
    </row>
    <row r="36956" customFormat="false" ht="12.8" hidden="false" customHeight="false" outlineLevel="0" collapsed="false">
      <c r="B36956" s="0" t="s">
        <v>7</v>
      </c>
    </row>
    <row r="36957" customFormat="false" ht="12.8" hidden="false" customHeight="false" outlineLevel="0" collapsed="false">
      <c r="B36957" s="0" t="s">
        <v>14</v>
      </c>
    </row>
    <row r="36959" customFormat="false" ht="12.8" hidden="false" customHeight="false" outlineLevel="0" collapsed="false">
      <c r="A36959" s="0" t="s">
        <v>13393</v>
      </c>
      <c r="B36959" s="0" t="str">
        <f aca="false">HYPERLINK("https://lindat.mff.cuni.cz/services/teitok/pdtc10/index.php?action=vallex&amp;frame=v-w4684f1", "přečerpat (v-w4684f1)")</f>
        <v>přečerpat (v-w4684f1)</v>
      </c>
    </row>
    <row r="36960" customFormat="false" ht="12.8" hidden="false" customHeight="false" outlineLevel="0" collapsed="false">
      <c r="B36960" s="0" t="s">
        <v>7</v>
      </c>
    </row>
    <row r="36961" customFormat="false" ht="12.8" hidden="false" customHeight="false" outlineLevel="0" collapsed="false">
      <c r="B36961" s="0" t="s">
        <v>14</v>
      </c>
    </row>
    <row r="36963" customFormat="false" ht="12.8" hidden="false" customHeight="false" outlineLevel="0" collapsed="false">
      <c r="A36963" s="0" t="s">
        <v>13394</v>
      </c>
      <c r="B36963" s="0" t="str">
        <f aca="false">HYPERLINK("https://lindat.mff.cuni.cz/services/teitok/pdtc10/index.php?action=vallex&amp;frame=v-w4684hsa_161", "přečerpat (v-w4684hsa_161)")</f>
        <v>přečerpat (v-w4684hsa_161)</v>
      </c>
    </row>
    <row r="36964" customFormat="false" ht="12.8" hidden="false" customHeight="false" outlineLevel="0" collapsed="false">
      <c r="B36964" s="0" t="s">
        <v>7</v>
      </c>
      <c r="C36964" s="0" t="s">
        <v>335</v>
      </c>
    </row>
    <row r="36965" customFormat="false" ht="12.8" hidden="false" customHeight="false" outlineLevel="0" collapsed="false">
      <c r="B36965" s="0" t="s">
        <v>14</v>
      </c>
      <c r="C36965" s="0" t="s">
        <v>115</v>
      </c>
    </row>
    <row r="36966" customFormat="false" ht="12.8" hidden="false" customHeight="false" outlineLevel="0" collapsed="false">
      <c r="B36966" s="0" t="s">
        <v>459</v>
      </c>
      <c r="C36966" s="0" t="s">
        <v>13395</v>
      </c>
    </row>
    <row r="36967" customFormat="false" ht="12.8" hidden="false" customHeight="false" outlineLevel="0" collapsed="false">
      <c r="B36967" s="0" t="s">
        <v>124</v>
      </c>
    </row>
    <row r="36969" customFormat="false" ht="12.8" hidden="false" customHeight="false" outlineLevel="0" collapsed="false">
      <c r="A36969" s="0" t="s">
        <v>13396</v>
      </c>
      <c r="B36969" s="0" t="str">
        <f aca="false">HYPERLINK("https://lindat.mff.cuni.cz/services/teitok/pdtc10/index.php?action=vallex&amp;frame=v-w4687f1", "přečistit (v-w4687f1)")</f>
        <v>přečistit (v-w4687f1)</v>
      </c>
    </row>
    <row r="36970" customFormat="false" ht="12.8" hidden="false" customHeight="false" outlineLevel="0" collapsed="false">
      <c r="B36970" s="0" t="s">
        <v>7</v>
      </c>
      <c r="D36970" s="0" t="s">
        <v>108</v>
      </c>
      <c r="E36970" s="0" t="s">
        <v>108</v>
      </c>
      <c r="F36970" s="0" t="s">
        <v>108</v>
      </c>
    </row>
    <row r="36971" customFormat="false" ht="12.8" hidden="false" customHeight="false" outlineLevel="0" collapsed="false">
      <c r="B36971" s="0" t="s">
        <v>14</v>
      </c>
      <c r="D36971" s="0" t="s">
        <v>5146</v>
      </c>
      <c r="E36971" s="0" t="s">
        <v>5146</v>
      </c>
      <c r="F36971" s="0" t="s">
        <v>5146</v>
      </c>
    </row>
    <row r="36973" customFormat="false" ht="12.8" hidden="false" customHeight="false" outlineLevel="0" collapsed="false">
      <c r="A36973" s="0" t="s">
        <v>13397</v>
      </c>
      <c r="B36973" s="0" t="str">
        <f aca="false">HYPERLINK("https://lindat.mff.cuni.cz/services/teitok/pdtc10/index.php?action=vallex&amp;frame=v-w4689f1", "přečkat (v-w4689f1)")</f>
        <v>přečkat (v-w4689f1)</v>
      </c>
    </row>
    <row r="36974" customFormat="false" ht="12.8" hidden="false" customHeight="false" outlineLevel="0" collapsed="false">
      <c r="B36974" s="0" t="s">
        <v>7</v>
      </c>
      <c r="C36974" s="0" t="s">
        <v>3844</v>
      </c>
      <c r="D36974" s="0" t="s">
        <v>12251</v>
      </c>
      <c r="E36974" s="0" t="s">
        <v>12251</v>
      </c>
      <c r="F36974" s="0" t="s">
        <v>12251</v>
      </c>
    </row>
    <row r="36975" customFormat="false" ht="12.8" hidden="false" customHeight="false" outlineLevel="0" collapsed="false">
      <c r="B36975" s="0" t="s">
        <v>14</v>
      </c>
      <c r="C36975" s="0" t="s">
        <v>13398</v>
      </c>
      <c r="D36975" s="0" t="s">
        <v>12252</v>
      </c>
      <c r="E36975" s="0" t="s">
        <v>12252</v>
      </c>
      <c r="F36975" s="0" t="s">
        <v>12252</v>
      </c>
    </row>
    <row r="36977" customFormat="false" ht="12.8" hidden="false" customHeight="false" outlineLevel="0" collapsed="false">
      <c r="A36977" s="0" t="s">
        <v>13399</v>
      </c>
      <c r="B36977" s="0" t="str">
        <f aca="false">HYPERLINK("https://lindat.mff.cuni.cz/services/teitok/pdtc10/index.php?action=vallex&amp;frame=v-whsa_337hsa_338", "přečkávat (v-whsa_337hsa_338)")</f>
        <v>přečkávat (v-whsa_337hsa_338)</v>
      </c>
    </row>
    <row r="36978" customFormat="false" ht="12.8" hidden="false" customHeight="false" outlineLevel="0" collapsed="false">
      <c r="B36978" s="0" t="s">
        <v>7</v>
      </c>
      <c r="C36978" s="0" t="s">
        <v>184</v>
      </c>
      <c r="D36978" s="0" t="s">
        <v>12251</v>
      </c>
      <c r="E36978" s="0" t="s">
        <v>12251</v>
      </c>
      <c r="F36978" s="0" t="s">
        <v>12251</v>
      </c>
    </row>
    <row r="36979" customFormat="false" ht="12.8" hidden="false" customHeight="false" outlineLevel="0" collapsed="false">
      <c r="B36979" s="0" t="s">
        <v>14</v>
      </c>
      <c r="C36979" s="0" t="s">
        <v>384</v>
      </c>
      <c r="D36979" s="0" t="s">
        <v>12252</v>
      </c>
      <c r="E36979" s="0" t="s">
        <v>12252</v>
      </c>
      <c r="F36979" s="0" t="s">
        <v>12252</v>
      </c>
    </row>
    <row r="36981" customFormat="false" ht="12.8" hidden="false" customHeight="false" outlineLevel="0" collapsed="false">
      <c r="A36981" s="0" t="s">
        <v>13400</v>
      </c>
      <c r="B36981" s="0" t="str">
        <f aca="false">HYPERLINK("https://lindat.mff.cuni.cz/services/teitok/pdtc10/index.php?action=vallex&amp;frame=v-w11096f2", "přečíslit (v-w11096f2)")</f>
        <v>přečíslit (v-w11096f2)</v>
      </c>
    </row>
    <row r="36982" customFormat="false" ht="12.8" hidden="false" customHeight="false" outlineLevel="0" collapsed="false">
      <c r="B36982" s="0" t="s">
        <v>7</v>
      </c>
    </row>
    <row r="36983" customFormat="false" ht="12.8" hidden="false" customHeight="false" outlineLevel="0" collapsed="false">
      <c r="B36983" s="0" t="s">
        <v>14</v>
      </c>
    </row>
    <row r="36985" customFormat="false" ht="12.8" hidden="false" customHeight="false" outlineLevel="0" collapsed="false">
      <c r="A36985" s="0" t="s">
        <v>13401</v>
      </c>
      <c r="B36985" s="0" t="str">
        <f aca="false">HYPERLINK("https://lindat.mff.cuni.cz/services/teitok/pdtc10/index.php?action=vallex&amp;frame=v-w4685f1", "přečíslovat (v-w4685f1)")</f>
        <v>přečíslovat (v-w4685f1)</v>
      </c>
    </row>
    <row r="36986" customFormat="false" ht="12.8" hidden="false" customHeight="false" outlineLevel="0" collapsed="false">
      <c r="B36986" s="0" t="s">
        <v>7</v>
      </c>
    </row>
    <row r="36987" customFormat="false" ht="12.8" hidden="false" customHeight="false" outlineLevel="0" collapsed="false">
      <c r="B36987" s="0" t="s">
        <v>14</v>
      </c>
    </row>
    <row r="36989" customFormat="false" ht="12.8" hidden="false" customHeight="false" outlineLevel="0" collapsed="false">
      <c r="A36989" s="0" t="s">
        <v>13402</v>
      </c>
      <c r="B36989" s="0" t="str">
        <f aca="false">HYPERLINK("https://lindat.mff.cuni.cz/services/teitok/pdtc10/index.php?action=vallex&amp;frame=v-w4686f2", "přečíst (v-w4686f2)")</f>
        <v>přečíst (v-w4686f2)</v>
      </c>
    </row>
    <row r="36990" customFormat="false" ht="12.8" hidden="false" customHeight="false" outlineLevel="0" collapsed="false">
      <c r="B36990" s="0" t="s">
        <v>7</v>
      </c>
      <c r="C36990" s="0" t="s">
        <v>13403</v>
      </c>
      <c r="D36990" s="0" t="s">
        <v>13404</v>
      </c>
      <c r="E36990" s="0" t="s">
        <v>13404</v>
      </c>
      <c r="F36990" s="0" t="s">
        <v>13404</v>
      </c>
    </row>
    <row r="36991" customFormat="false" ht="12.8" hidden="false" customHeight="false" outlineLevel="0" collapsed="false">
      <c r="B36991" s="0" t="s">
        <v>14</v>
      </c>
      <c r="C36991" s="0" t="s">
        <v>13405</v>
      </c>
      <c r="D36991" s="0" t="s">
        <v>13406</v>
      </c>
      <c r="E36991" s="0" t="s">
        <v>13406</v>
      </c>
      <c r="F36991" s="0" t="s">
        <v>13406</v>
      </c>
    </row>
    <row r="36992" customFormat="false" ht="12.8" hidden="false" customHeight="false" outlineLevel="0" collapsed="false">
      <c r="B36992" s="0" t="s">
        <v>106</v>
      </c>
      <c r="C36992" s="0" t="s">
        <v>1165</v>
      </c>
    </row>
    <row r="36994" customFormat="false" ht="12.8" hidden="false" customHeight="false" outlineLevel="0" collapsed="false">
      <c r="A36994" s="0" t="s">
        <v>13407</v>
      </c>
      <c r="B36994" s="0" t="str">
        <f aca="false">HYPERLINK("https://lindat.mff.cuni.cz/services/teitok/pdtc10/index.php?action=vallex&amp;frame=v-w4686f3", "přečíst (v-w4686f3)")</f>
        <v>přečíst (v-w4686f3)</v>
      </c>
    </row>
    <row r="36995" customFormat="false" ht="12.8" hidden="false" customHeight="false" outlineLevel="0" collapsed="false">
      <c r="B36995" s="0" t="s">
        <v>7</v>
      </c>
    </row>
    <row r="36996" customFormat="false" ht="12.8" hidden="false" customHeight="false" outlineLevel="0" collapsed="false">
      <c r="B36996" s="0" t="s">
        <v>244</v>
      </c>
    </row>
    <row r="36997" customFormat="false" ht="12.8" hidden="false" customHeight="false" outlineLevel="0" collapsed="false">
      <c r="B36997" s="0" t="s">
        <v>106</v>
      </c>
    </row>
    <row r="36999" customFormat="false" ht="12.8" hidden="false" customHeight="false" outlineLevel="0" collapsed="false">
      <c r="A36999" s="0" t="s">
        <v>13408</v>
      </c>
      <c r="B36999" s="0" t="str">
        <f aca="false">HYPERLINK("https://lindat.mff.cuni.cz/services/teitok/pdtc10/index.php?action=vallex&amp;frame=v-w4686f4", "přečíst (v-w4686f4)")</f>
        <v>přečíst (v-w4686f4)</v>
      </c>
    </row>
    <row r="37000" customFormat="false" ht="12.8" hidden="false" customHeight="false" outlineLevel="0" collapsed="false">
      <c r="B37000" s="0" t="s">
        <v>7</v>
      </c>
    </row>
    <row r="37001" customFormat="false" ht="12.8" hidden="false" customHeight="false" outlineLevel="0" collapsed="false">
      <c r="B37001" s="0" t="s">
        <v>14</v>
      </c>
    </row>
    <row r="37003" customFormat="false" ht="12.8" hidden="false" customHeight="false" outlineLevel="0" collapsed="false">
      <c r="A37003" s="0" t="s">
        <v>13409</v>
      </c>
      <c r="B37003" s="0" t="str">
        <f aca="false">HYPERLINK("https://lindat.mff.cuni.cz/services/teitok/pdtc10/index.php?action=vallex&amp;frame=v-w4686f1", "přečíst (v-w4686f1)")</f>
        <v>přečíst (v-w4686f1)</v>
      </c>
    </row>
    <row r="37004" customFormat="false" ht="12.8" hidden="false" customHeight="false" outlineLevel="0" collapsed="false">
      <c r="B37004" s="0" t="s">
        <v>7</v>
      </c>
      <c r="C37004" s="0" t="s">
        <v>2668</v>
      </c>
      <c r="D37004" s="0" t="s">
        <v>410</v>
      </c>
      <c r="E37004" s="0" t="s">
        <v>410</v>
      </c>
      <c r="F37004" s="0" t="s">
        <v>410</v>
      </c>
    </row>
    <row r="37005" customFormat="false" ht="12.8" hidden="false" customHeight="false" outlineLevel="0" collapsed="false">
      <c r="B37005" s="0" t="s">
        <v>12807</v>
      </c>
      <c r="C37005" s="0" t="s">
        <v>2710</v>
      </c>
      <c r="D37005" s="0" t="s">
        <v>12809</v>
      </c>
      <c r="E37005" s="0" t="s">
        <v>12809</v>
      </c>
      <c r="F37005" s="0" t="s">
        <v>12809</v>
      </c>
    </row>
    <row r="37006" customFormat="false" ht="12.8" hidden="false" customHeight="false" outlineLevel="0" collapsed="false">
      <c r="B37006" s="0" t="s">
        <v>363</v>
      </c>
      <c r="D37006" s="0" t="s">
        <v>12810</v>
      </c>
      <c r="E37006" s="0" t="s">
        <v>12810</v>
      </c>
      <c r="F37006" s="0" t="s">
        <v>12810</v>
      </c>
    </row>
    <row r="37007" customFormat="false" ht="12.8" hidden="false" customHeight="false" outlineLevel="0" collapsed="false">
      <c r="B37007" s="0" t="s">
        <v>106</v>
      </c>
      <c r="C37007" s="0" t="s">
        <v>1165</v>
      </c>
      <c r="D37007" s="0" t="s">
        <v>1165</v>
      </c>
      <c r="E37007" s="0" t="s">
        <v>1165</v>
      </c>
      <c r="F37007" s="0" t="s">
        <v>1165</v>
      </c>
    </row>
    <row r="37009" customFormat="false" ht="12.8" hidden="false" customHeight="false" outlineLevel="0" collapsed="false">
      <c r="A37009" s="0" t="s">
        <v>13410</v>
      </c>
      <c r="B37009" s="0" t="str">
        <f aca="false">HYPERLINK("https://lindat.mff.cuni.cz/services/teitok/pdtc10/index.php?action=vallex&amp;frame=v-w4951f2_ZU", "přeřadit (v-w4951f2_ZU)")</f>
        <v>přeřadit (v-w4951f2_ZU)</v>
      </c>
    </row>
    <row r="37010" customFormat="false" ht="12.8" hidden="false" customHeight="false" outlineLevel="0" collapsed="false">
      <c r="B37010" s="0" t="s">
        <v>7</v>
      </c>
      <c r="C37010" s="0" t="s">
        <v>11843</v>
      </c>
    </row>
    <row r="37011" customFormat="false" ht="12.8" hidden="false" customHeight="false" outlineLevel="0" collapsed="false">
      <c r="B37011" s="0" t="s">
        <v>297</v>
      </c>
    </row>
    <row r="37012" customFormat="false" ht="12.8" hidden="false" customHeight="false" outlineLevel="0" collapsed="false">
      <c r="B37012" s="0" t="s">
        <v>35</v>
      </c>
    </row>
    <row r="37013" customFormat="false" ht="12.8" hidden="false" customHeight="false" outlineLevel="0" collapsed="false">
      <c r="B37013" s="0" t="s">
        <v>84</v>
      </c>
    </row>
    <row r="37015" customFormat="false" ht="12.8" hidden="false" customHeight="false" outlineLevel="0" collapsed="false">
      <c r="A37015" s="0" t="s">
        <v>13411</v>
      </c>
      <c r="B37015" s="0" t="str">
        <f aca="false">HYPERLINK("https://lindat.mff.cuni.cz/services/teitok/pdtc10/index.php?action=vallex&amp;frame=v-w4951f1", "přeřadit (v-w4951f1)")</f>
        <v>přeřadit (v-w4951f1)</v>
      </c>
    </row>
    <row r="37016" customFormat="false" ht="12.8" hidden="false" customHeight="false" outlineLevel="0" collapsed="false">
      <c r="B37016" s="0" t="s">
        <v>7</v>
      </c>
      <c r="C37016" s="0" t="s">
        <v>1874</v>
      </c>
      <c r="D37016" s="0" t="s">
        <v>4161</v>
      </c>
      <c r="E37016" s="0" t="s">
        <v>4161</v>
      </c>
      <c r="F37016" s="0" t="s">
        <v>4161</v>
      </c>
    </row>
    <row r="37017" customFormat="false" ht="12.8" hidden="false" customHeight="false" outlineLevel="0" collapsed="false">
      <c r="B37017" s="0" t="s">
        <v>14</v>
      </c>
      <c r="C37017" s="0" t="s">
        <v>342</v>
      </c>
      <c r="D37017" s="0" t="s">
        <v>8195</v>
      </c>
      <c r="E37017" s="0" t="s">
        <v>8195</v>
      </c>
      <c r="F37017" s="0" t="s">
        <v>8195</v>
      </c>
    </row>
    <row r="37018" customFormat="false" ht="12.8" hidden="false" customHeight="false" outlineLevel="0" collapsed="false">
      <c r="B37018" s="0" t="s">
        <v>459</v>
      </c>
    </row>
    <row r="37019" customFormat="false" ht="12.8" hidden="false" customHeight="false" outlineLevel="0" collapsed="false">
      <c r="B37019" s="0" t="s">
        <v>124</v>
      </c>
      <c r="C37019" s="0" t="s">
        <v>2238</v>
      </c>
      <c r="D37019" s="0" t="s">
        <v>10830</v>
      </c>
      <c r="E37019" s="0" t="s">
        <v>10830</v>
      </c>
      <c r="F37019" s="0" t="s">
        <v>10830</v>
      </c>
    </row>
    <row r="37021" customFormat="false" ht="12.8" hidden="false" customHeight="false" outlineLevel="0" collapsed="false">
      <c r="A37021" s="0" t="s">
        <v>13412</v>
      </c>
      <c r="B37021" s="0" t="str">
        <f aca="false">HYPERLINK("https://lindat.mff.cuni.cz/services/teitok/pdtc10/index.php?action=vallex&amp;frame=v-w10710f2", "přeřazovat (v-w10710f2)")</f>
        <v>přeřazovat (v-w10710f2)</v>
      </c>
    </row>
    <row r="37022" customFormat="false" ht="12.8" hidden="false" customHeight="false" outlineLevel="0" collapsed="false">
      <c r="B37022" s="0" t="s">
        <v>7</v>
      </c>
    </row>
    <row r="37023" customFormat="false" ht="12.8" hidden="false" customHeight="false" outlineLevel="0" collapsed="false">
      <c r="B37023" s="0" t="s">
        <v>41</v>
      </c>
    </row>
    <row r="37025" customFormat="false" ht="12.8" hidden="false" customHeight="false" outlineLevel="0" collapsed="false">
      <c r="A37025" s="0" t="s">
        <v>13413</v>
      </c>
      <c r="B37025" s="0" t="str">
        <f aca="false">HYPERLINK("https://lindat.mff.cuni.cz/services/teitok/pdtc10/index.php?action=vallex&amp;frame=v-w10710f3_ZU", "přeřazovat (v-w10710f3_ZU)")</f>
        <v>přeřazovat (v-w10710f3_ZU)</v>
      </c>
    </row>
    <row r="37026" customFormat="false" ht="12.8" hidden="false" customHeight="false" outlineLevel="0" collapsed="false">
      <c r="B37026" s="0" t="s">
        <v>7</v>
      </c>
    </row>
    <row r="37027" customFormat="false" ht="12.8" hidden="false" customHeight="false" outlineLevel="0" collapsed="false">
      <c r="B37027" s="0" t="s">
        <v>14</v>
      </c>
    </row>
    <row r="37028" customFormat="false" ht="12.8" hidden="false" customHeight="false" outlineLevel="0" collapsed="false">
      <c r="B37028" s="0" t="s">
        <v>5382</v>
      </c>
    </row>
    <row r="37029" customFormat="false" ht="12.8" hidden="false" customHeight="false" outlineLevel="0" collapsed="false">
      <c r="B37029" s="0" t="s">
        <v>338</v>
      </c>
    </row>
    <row r="37031" customFormat="false" ht="12.8" hidden="false" customHeight="false" outlineLevel="0" collapsed="false">
      <c r="A37031" s="0" t="s">
        <v>13414</v>
      </c>
      <c r="B37031" s="0" t="str">
        <f aca="false">HYPERLINK("https://lindat.mff.cuni.cz/services/teitok/pdtc10/index.php?action=vallex&amp;frame=v-whsa_554hsa_555", "přeřeknout se (v-whsa_554hsa_555)")</f>
        <v>přeřeknout se (v-whsa_554hsa_555)</v>
      </c>
    </row>
    <row r="37032" customFormat="false" ht="12.8" hidden="false" customHeight="false" outlineLevel="0" collapsed="false">
      <c r="B37032" s="0" t="s">
        <v>7</v>
      </c>
    </row>
    <row r="37034" customFormat="false" ht="12.8" hidden="false" customHeight="false" outlineLevel="0" collapsed="false">
      <c r="A37034" s="0" t="s">
        <v>13415</v>
      </c>
      <c r="B37034" s="0" t="str">
        <f aca="false">HYPERLINK("https://lindat.mff.cuni.cz/services/teitok/pdtc10/index.php?action=vallex&amp;frame=v-w10748f3", "přeříznout (v-w10748f3)")</f>
        <v>přeříznout (v-w10748f3)</v>
      </c>
    </row>
    <row r="37035" customFormat="false" ht="12.8" hidden="false" customHeight="false" outlineLevel="0" collapsed="false">
      <c r="B37035" s="0" t="s">
        <v>7</v>
      </c>
    </row>
    <row r="37036" customFormat="false" ht="12.8" hidden="false" customHeight="false" outlineLevel="0" collapsed="false">
      <c r="B37036" s="0" t="s">
        <v>14</v>
      </c>
    </row>
    <row r="37037" customFormat="false" ht="12.8" hidden="false" customHeight="false" outlineLevel="0" collapsed="false">
      <c r="B37037" s="0" t="s">
        <v>2773</v>
      </c>
    </row>
    <row r="37039" customFormat="false" ht="12.8" hidden="false" customHeight="false" outlineLevel="0" collapsed="false">
      <c r="A37039" s="0" t="s">
        <v>13416</v>
      </c>
      <c r="B37039" s="0" t="str">
        <f aca="false">HYPERLINK("https://lindat.mff.cuni.cz/services/teitok/pdtc10/index.php?action=vallex&amp;frame=v-whsa_894hsa_895", "přešetřovat (v-whsa_894hsa_895)")</f>
        <v>přešetřovat (v-whsa_894hsa_895)</v>
      </c>
    </row>
    <row r="37040" customFormat="false" ht="12.8" hidden="false" customHeight="false" outlineLevel="0" collapsed="false">
      <c r="B37040" s="0" t="s">
        <v>7</v>
      </c>
    </row>
    <row r="37041" customFormat="false" ht="12.8" hidden="false" customHeight="false" outlineLevel="0" collapsed="false">
      <c r="B37041" s="0" t="s">
        <v>14</v>
      </c>
    </row>
    <row r="37043" customFormat="false" ht="12.8" hidden="false" customHeight="false" outlineLevel="0" collapsed="false">
      <c r="A37043" s="0" t="s">
        <v>13417</v>
      </c>
      <c r="B37043" s="0" t="str">
        <f aca="false">HYPERLINK("https://lindat.mff.cuni.cz/services/teitok/pdtc10/index.php?action=vallex&amp;frame=v-w5000f1", "přeškolit (v-w5000f1)")</f>
        <v>přeškolit (v-w5000f1)</v>
      </c>
    </row>
    <row r="37044" customFormat="false" ht="12.8" hidden="false" customHeight="false" outlineLevel="0" collapsed="false">
      <c r="B37044" s="0" t="s">
        <v>7</v>
      </c>
    </row>
    <row r="37045" customFormat="false" ht="12.8" hidden="false" customHeight="false" outlineLevel="0" collapsed="false">
      <c r="B37045" s="0" t="s">
        <v>14</v>
      </c>
    </row>
    <row r="37046" customFormat="false" ht="12.8" hidden="false" customHeight="false" outlineLevel="0" collapsed="false">
      <c r="B37046" s="0" t="s">
        <v>84</v>
      </c>
    </row>
    <row r="37048" customFormat="false" ht="12.8" hidden="false" customHeight="false" outlineLevel="0" collapsed="false">
      <c r="A37048" s="0" t="s">
        <v>13418</v>
      </c>
      <c r="B37048" s="0" t="str">
        <f aca="false">HYPERLINK("https://lindat.mff.cuni.cz/services/teitok/pdtc10/index.php?action=vallex&amp;frame=v-w12065_ZUf1_ZU", "přeškolovat (v-w12065_ZUf1_ZU)")</f>
        <v>přeškolovat (v-w12065_ZUf1_ZU)</v>
      </c>
    </row>
    <row r="37049" customFormat="false" ht="12.8" hidden="false" customHeight="false" outlineLevel="0" collapsed="false">
      <c r="B37049" s="0" t="s">
        <v>7</v>
      </c>
    </row>
    <row r="37050" customFormat="false" ht="12.8" hidden="false" customHeight="false" outlineLevel="0" collapsed="false">
      <c r="B37050" s="0" t="s">
        <v>14</v>
      </c>
    </row>
    <row r="37051" customFormat="false" ht="12.8" hidden="false" customHeight="false" outlineLevel="0" collapsed="false">
      <c r="B37051" s="0" t="s">
        <v>35</v>
      </c>
    </row>
    <row r="37052" customFormat="false" ht="12.8" hidden="false" customHeight="false" outlineLevel="0" collapsed="false">
      <c r="B37052" s="0" t="s">
        <v>84</v>
      </c>
    </row>
    <row r="37054" customFormat="false" ht="12.8" hidden="false" customHeight="false" outlineLevel="0" collapsed="false">
      <c r="A37054" s="0" t="s">
        <v>13419</v>
      </c>
      <c r="B37054" s="0" t="str">
        <f aca="false">HYPERLINK("https://lindat.mff.cuni.cz/services/teitok/pdtc10/index.php?action=vallex&amp;frame=v-whsa_306hsa_307", "přeškrtnout (v-whsa_306hsa_307)")</f>
        <v>přeškrtnout (v-whsa_306hsa_307)</v>
      </c>
    </row>
    <row r="37055" customFormat="false" ht="12.8" hidden="false" customHeight="false" outlineLevel="0" collapsed="false">
      <c r="B37055" s="0" t="s">
        <v>7</v>
      </c>
      <c r="C37055" s="0" t="s">
        <v>191</v>
      </c>
      <c r="D37055" s="0" t="s">
        <v>88</v>
      </c>
      <c r="E37055" s="0" t="s">
        <v>88</v>
      </c>
      <c r="F37055" s="0" t="s">
        <v>88</v>
      </c>
    </row>
    <row r="37056" customFormat="false" ht="12.8" hidden="false" customHeight="false" outlineLevel="0" collapsed="false">
      <c r="B37056" s="0" t="s">
        <v>14</v>
      </c>
      <c r="C37056" s="0" t="s">
        <v>47</v>
      </c>
      <c r="D37056" s="0" t="s">
        <v>3872</v>
      </c>
      <c r="E37056" s="0" t="s">
        <v>3872</v>
      </c>
      <c r="F37056" s="0" t="s">
        <v>3872</v>
      </c>
    </row>
    <row r="37058" customFormat="false" ht="12.8" hidden="false" customHeight="false" outlineLevel="0" collapsed="false">
      <c r="A37058" s="0" t="s">
        <v>13420</v>
      </c>
      <c r="B37058" s="0" t="str">
        <f aca="false">HYPERLINK("https://lindat.mff.cuni.cz/services/teitok/pdtc10/index.php?action=vallex&amp;frame=v-w5001f1", "přešlapovat (v-w5001f1)")</f>
        <v>přešlapovat (v-w5001f1)</v>
      </c>
    </row>
    <row r="37059" customFormat="false" ht="12.8" hidden="false" customHeight="false" outlineLevel="0" collapsed="false">
      <c r="B37059" s="0" t="s">
        <v>7</v>
      </c>
    </row>
    <row r="37060" customFormat="false" ht="12.8" hidden="false" customHeight="false" outlineLevel="0" collapsed="false">
      <c r="B37060" s="0" t="s">
        <v>14</v>
      </c>
    </row>
    <row r="37062" customFormat="false" ht="12.8" hidden="false" customHeight="false" outlineLevel="0" collapsed="false">
      <c r="A37062" s="0" t="s">
        <v>13421</v>
      </c>
      <c r="B37062" s="0" t="str">
        <f aca="false">HYPERLINK("https://lindat.mff.cuni.cz/services/teitok/pdtc10/index.php?action=vallex&amp;frame=v-w5001f2", "přešlapovat (v-w5001f2)")</f>
        <v>přešlapovat (v-w5001f2)</v>
      </c>
    </row>
    <row r="37063" customFormat="false" ht="12.8" hidden="false" customHeight="false" outlineLevel="0" collapsed="false">
      <c r="B37063" s="0" t="s">
        <v>7</v>
      </c>
      <c r="C37063" s="0" t="s">
        <v>5274</v>
      </c>
    </row>
    <row r="37065" customFormat="false" ht="12.8" hidden="false" customHeight="false" outlineLevel="0" collapsed="false">
      <c r="A37065" s="0" t="s">
        <v>13422</v>
      </c>
      <c r="B37065" s="0" t="str">
        <f aca="false">HYPERLINK("https://lindat.mff.cuni.cz/services/teitok/pdtc10/index.php?action=vallex&amp;frame=v-w12350_MMf1_MM", "přešoupnout (v-w12350_MMf1_MM)")</f>
        <v>přešoupnout (v-w12350_MMf1_MM)</v>
      </c>
    </row>
    <row r="37066" customFormat="false" ht="12.8" hidden="false" customHeight="false" outlineLevel="0" collapsed="false">
      <c r="B37066" s="0" t="s">
        <v>7</v>
      </c>
    </row>
    <row r="37067" customFormat="false" ht="12.8" hidden="false" customHeight="false" outlineLevel="0" collapsed="false">
      <c r="B37067" s="0" t="s">
        <v>14</v>
      </c>
    </row>
    <row r="37068" customFormat="false" ht="12.8" hidden="false" customHeight="false" outlineLevel="0" collapsed="false">
      <c r="B37068" s="0" t="s">
        <v>459</v>
      </c>
    </row>
    <row r="37069" customFormat="false" ht="12.8" hidden="false" customHeight="false" outlineLevel="0" collapsed="false">
      <c r="B37069" s="0" t="s">
        <v>124</v>
      </c>
    </row>
    <row r="37071" customFormat="false" ht="12.8" hidden="false" customHeight="false" outlineLevel="0" collapsed="false">
      <c r="A37071" s="0" t="s">
        <v>13423</v>
      </c>
      <c r="B37071" s="0" t="str">
        <f aca="false">HYPERLINK("https://lindat.mff.cuni.cz/services/teitok/pdtc10/index.php?action=vallex&amp;frame=v-w12242_ZUf1_ZU", "přeštípat (v-w12242_ZUf1_ZU)")</f>
        <v>přeštípat (v-w12242_ZUf1_ZU)</v>
      </c>
    </row>
    <row r="37072" customFormat="false" ht="12.8" hidden="false" customHeight="false" outlineLevel="0" collapsed="false">
      <c r="B37072" s="0" t="s">
        <v>7</v>
      </c>
    </row>
    <row r="37073" customFormat="false" ht="12.8" hidden="false" customHeight="false" outlineLevel="0" collapsed="false">
      <c r="B37073" s="0" t="s">
        <v>14</v>
      </c>
    </row>
    <row r="37075" customFormat="false" ht="12.8" hidden="false" customHeight="false" outlineLevel="0" collapsed="false">
      <c r="A37075" s="0" t="s">
        <v>13424</v>
      </c>
      <c r="B37075" s="0" t="str">
        <f aca="false">HYPERLINK("https://lindat.mff.cuni.cz/services/teitok/pdtc10/index.php?action=vallex&amp;frame=v-whsa_1401f1_ZU", "přešít (v-whsa_1401f1_ZU)")</f>
        <v>přešít (v-whsa_1401f1_ZU)</v>
      </c>
    </row>
    <row r="37076" customFormat="false" ht="12.8" hidden="false" customHeight="false" outlineLevel="0" collapsed="false">
      <c r="B37076" s="0" t="s">
        <v>7</v>
      </c>
    </row>
    <row r="37077" customFormat="false" ht="12.8" hidden="false" customHeight="false" outlineLevel="0" collapsed="false">
      <c r="B37077" s="0" t="s">
        <v>14</v>
      </c>
    </row>
    <row r="37078" customFormat="false" ht="12.8" hidden="false" customHeight="false" outlineLevel="0" collapsed="false">
      <c r="B37078" s="0" t="s">
        <v>35</v>
      </c>
    </row>
    <row r="37079" customFormat="false" ht="12.8" hidden="false" customHeight="false" outlineLevel="0" collapsed="false">
      <c r="B37079" s="0" t="s">
        <v>84</v>
      </c>
    </row>
    <row r="37081" customFormat="false" ht="12.8" hidden="false" customHeight="false" outlineLevel="0" collapsed="false">
      <c r="A37081" s="0" t="s">
        <v>13424</v>
      </c>
      <c r="B37081" s="0" t="str">
        <f aca="false">HYPERLINK("https://lindat.mff.cuni.cz/services/teitok/pdtc10/index.php?action=vallex&amp;frame=v-whsa_1401hsa_1402", "přešít (v-whsa_1401hsa_1402) - substituted with v-whsa_1401f1_ZU")</f>
        <v>přešít (v-whsa_1401hsa_1402) - substituted with v-whsa_1401f1_ZU</v>
      </c>
    </row>
    <row r="37082" customFormat="false" ht="12.8" hidden="false" customHeight="false" outlineLevel="0" collapsed="false">
      <c r="B37082" s="0" t="s">
        <v>7</v>
      </c>
    </row>
    <row r="37083" customFormat="false" ht="12.8" hidden="false" customHeight="false" outlineLevel="0" collapsed="false">
      <c r="B37083" s="0" t="s">
        <v>14</v>
      </c>
    </row>
    <row r="37084" customFormat="false" ht="12.8" hidden="false" customHeight="false" outlineLevel="0" collapsed="false">
      <c r="B37084" s="0" t="s">
        <v>35</v>
      </c>
    </row>
    <row r="37085" customFormat="false" ht="12.8" hidden="false" customHeight="false" outlineLevel="0" collapsed="false">
      <c r="B37085" s="0" t="s">
        <v>84</v>
      </c>
    </row>
    <row r="37087" customFormat="false" ht="12.8" hidden="false" customHeight="false" outlineLevel="0" collapsed="false">
      <c r="A37087" s="0" t="s">
        <v>13425</v>
      </c>
      <c r="B37087" s="0" t="str">
        <f aca="false">HYPERLINK("https://lindat.mff.cuni.cz/services/teitok/pdtc10/index.php?action=vallex&amp;frame=v-w11559_ZUf1_ZU", "přežvykovat (v-w11559_ZUf1_ZU)")</f>
        <v>přežvykovat (v-w11559_ZUf1_ZU)</v>
      </c>
    </row>
    <row r="37088" customFormat="false" ht="12.8" hidden="false" customHeight="false" outlineLevel="0" collapsed="false">
      <c r="B37088" s="0" t="s">
        <v>7</v>
      </c>
    </row>
    <row r="37089" customFormat="false" ht="12.8" hidden="false" customHeight="false" outlineLevel="0" collapsed="false">
      <c r="B37089" s="0" t="s">
        <v>14</v>
      </c>
    </row>
    <row r="37091" customFormat="false" ht="12.8" hidden="false" customHeight="false" outlineLevel="0" collapsed="false">
      <c r="A37091" s="0" t="s">
        <v>13426</v>
      </c>
      <c r="B37091" s="0" t="str">
        <f aca="false">HYPERLINK("https://lindat.mff.cuni.cz/services/teitok/pdtc10/index.php?action=vallex&amp;frame=v-w5071f1", "přežít (v-w5071f1)")</f>
        <v>přežít (v-w5071f1)</v>
      </c>
    </row>
    <row r="37092" customFormat="false" ht="12.8" hidden="false" customHeight="false" outlineLevel="0" collapsed="false">
      <c r="B37092" s="0" t="s">
        <v>7</v>
      </c>
      <c r="C37092" s="0" t="s">
        <v>391</v>
      </c>
      <c r="D37092" s="0" t="s">
        <v>12251</v>
      </c>
      <c r="E37092" s="0" t="s">
        <v>12251</v>
      </c>
      <c r="F37092" s="0" t="s">
        <v>12251</v>
      </c>
    </row>
    <row r="37093" customFormat="false" ht="12.8" hidden="false" customHeight="false" outlineLevel="0" collapsed="false">
      <c r="B37093" s="0" t="s">
        <v>14</v>
      </c>
      <c r="C37093" s="0" t="s">
        <v>159</v>
      </c>
      <c r="D37093" s="0" t="s">
        <v>12252</v>
      </c>
      <c r="E37093" s="0" t="s">
        <v>12252</v>
      </c>
      <c r="F37093" s="0" t="s">
        <v>12252</v>
      </c>
    </row>
    <row r="37095" customFormat="false" ht="12.8" hidden="false" customHeight="false" outlineLevel="0" collapsed="false">
      <c r="A37095" s="0" t="s">
        <v>13427</v>
      </c>
      <c r="B37095" s="0" t="str">
        <f aca="false">HYPERLINK("https://lindat.mff.cuni.cz/services/teitok/pdtc10/index.php?action=vallex&amp;frame=v-w5071f4_ZU", "přežít (v-w5071f4_ZU)")</f>
        <v>přežít (v-w5071f4_ZU)</v>
      </c>
    </row>
    <row r="37096" customFormat="false" ht="12.8" hidden="false" customHeight="false" outlineLevel="0" collapsed="false">
      <c r="B37096" s="0" t="s">
        <v>7</v>
      </c>
    </row>
    <row r="37097" customFormat="false" ht="12.8" hidden="false" customHeight="false" outlineLevel="0" collapsed="false">
      <c r="B37097" s="0" t="s">
        <v>232</v>
      </c>
    </row>
    <row r="37099" customFormat="false" ht="12.8" hidden="false" customHeight="false" outlineLevel="0" collapsed="false">
      <c r="A37099" s="0" t="s">
        <v>13427</v>
      </c>
      <c r="B37099" s="0" t="str">
        <f aca="false">HYPERLINK("https://lindat.mff.cuni.cz/services/teitok/pdtc10/index.php?action=vallex&amp;frame=v-w5071f3", "přežít (v-w5071f3) - substituted with v-w5071f4_ZU")</f>
        <v>přežít (v-w5071f3) - substituted with v-w5071f4_ZU</v>
      </c>
    </row>
    <row r="37100" customFormat="false" ht="12.8" hidden="false" customHeight="false" outlineLevel="0" collapsed="false">
      <c r="B37100" s="0" t="s">
        <v>7</v>
      </c>
      <c r="C37100" s="0" t="s">
        <v>157</v>
      </c>
      <c r="D37100" s="0" t="s">
        <v>12251</v>
      </c>
      <c r="E37100" s="0" t="s">
        <v>12251</v>
      </c>
      <c r="F37100" s="0" t="s">
        <v>12251</v>
      </c>
    </row>
    <row r="37101" customFormat="false" ht="12.8" hidden="false" customHeight="false" outlineLevel="0" collapsed="false">
      <c r="B37101" s="0" t="s">
        <v>232</v>
      </c>
      <c r="C37101" s="0" t="s">
        <v>159</v>
      </c>
      <c r="D37101" s="0" t="s">
        <v>12252</v>
      </c>
      <c r="E37101" s="0" t="s">
        <v>12252</v>
      </c>
      <c r="F37101" s="0" t="s">
        <v>12252</v>
      </c>
    </row>
    <row r="37103" customFormat="false" ht="12.8" hidden="false" customHeight="false" outlineLevel="0" collapsed="false">
      <c r="A37103" s="0" t="s">
        <v>13428</v>
      </c>
      <c r="B37103" s="0" t="str">
        <f aca="false">HYPERLINK("https://lindat.mff.cuni.cz/services/teitok/pdtc10/index.php?action=vallex&amp;frame=v-w5071f2", "přežít (v-w5071f2)")</f>
        <v>přežít (v-w5071f2)</v>
      </c>
    </row>
    <row r="37104" customFormat="false" ht="12.8" hidden="false" customHeight="false" outlineLevel="0" collapsed="false">
      <c r="B37104" s="0" t="s">
        <v>7</v>
      </c>
      <c r="C37104" s="0" t="s">
        <v>13429</v>
      </c>
      <c r="D37104" s="0" t="s">
        <v>12251</v>
      </c>
      <c r="E37104" s="0" t="s">
        <v>12251</v>
      </c>
      <c r="F37104" s="0" t="s">
        <v>12251</v>
      </c>
    </row>
    <row r="37106" customFormat="false" ht="12.8" hidden="false" customHeight="false" outlineLevel="0" collapsed="false">
      <c r="A37106" s="0" t="s">
        <v>13430</v>
      </c>
      <c r="B37106" s="0" t="str">
        <f aca="false">HYPERLINK("https://lindat.mff.cuni.cz/services/teitok/pdtc10/index.php?action=vallex&amp;frame=v-w5074f1", "přežít se (v-w5074f1)")</f>
        <v>přežít se (v-w5074f1)</v>
      </c>
    </row>
    <row r="37107" customFormat="false" ht="12.8" hidden="false" customHeight="false" outlineLevel="0" collapsed="false">
      <c r="B37107" s="0" t="s">
        <v>7</v>
      </c>
      <c r="E37107" s="0" t="s">
        <v>8473</v>
      </c>
      <c r="F37107" s="0" t="s">
        <v>8473</v>
      </c>
    </row>
    <row r="37109" customFormat="false" ht="12.8" hidden="false" customHeight="false" outlineLevel="0" collapsed="false">
      <c r="A37109" s="0" t="s">
        <v>13431</v>
      </c>
      <c r="B37109" s="0" t="str">
        <f aca="false">HYPERLINK("https://lindat.mff.cuni.cz/services/teitok/pdtc10/index.php?action=vallex&amp;frame=v-w5075f2", "přežívat (v-w5075f2)")</f>
        <v>přežívat (v-w5075f2)</v>
      </c>
    </row>
    <row r="37110" customFormat="false" ht="12.8" hidden="false" customHeight="false" outlineLevel="0" collapsed="false">
      <c r="B37110" s="0" t="s">
        <v>7</v>
      </c>
      <c r="D37110" s="0" t="s">
        <v>12251</v>
      </c>
      <c r="E37110" s="0" t="s">
        <v>12251</v>
      </c>
      <c r="F37110" s="0" t="s">
        <v>12251</v>
      </c>
    </row>
    <row r="37111" customFormat="false" ht="12.8" hidden="false" customHeight="false" outlineLevel="0" collapsed="false">
      <c r="B37111" s="0" t="s">
        <v>14</v>
      </c>
      <c r="D37111" s="0" t="s">
        <v>12252</v>
      </c>
      <c r="E37111" s="0" t="s">
        <v>12252</v>
      </c>
      <c r="F37111" s="0" t="s">
        <v>12252</v>
      </c>
    </row>
    <row r="37113" customFormat="false" ht="12.8" hidden="false" customHeight="false" outlineLevel="0" collapsed="false">
      <c r="A37113" s="0" t="s">
        <v>13432</v>
      </c>
      <c r="B37113" s="0" t="str">
        <f aca="false">HYPERLINK("https://lindat.mff.cuni.cz/services/teitok/pdtc10/index.php?action=vallex&amp;frame=v-w5075f3", "přežívat (v-w5075f3)")</f>
        <v>přežívat (v-w5075f3)</v>
      </c>
    </row>
    <row r="37114" customFormat="false" ht="12.8" hidden="false" customHeight="false" outlineLevel="0" collapsed="false">
      <c r="B37114" s="0" t="s">
        <v>7</v>
      </c>
      <c r="D37114" s="0" t="s">
        <v>12251</v>
      </c>
      <c r="E37114" s="0" t="s">
        <v>12251</v>
      </c>
      <c r="F37114" s="0" t="s">
        <v>12251</v>
      </c>
    </row>
    <row r="37115" customFormat="false" ht="12.8" hidden="false" customHeight="false" outlineLevel="0" collapsed="false">
      <c r="B37115" s="0" t="s">
        <v>14</v>
      </c>
      <c r="D37115" s="0" t="s">
        <v>12252</v>
      </c>
      <c r="E37115" s="0" t="s">
        <v>12252</v>
      </c>
      <c r="F37115" s="0" t="s">
        <v>12252</v>
      </c>
    </row>
    <row r="37117" customFormat="false" ht="12.8" hidden="false" customHeight="false" outlineLevel="0" collapsed="false">
      <c r="A37117" s="0" t="s">
        <v>13433</v>
      </c>
      <c r="B37117" s="0" t="str">
        <f aca="false">HYPERLINK("https://lindat.mff.cuni.cz/services/teitok/pdtc10/index.php?action=vallex&amp;frame=v-w5075f1", "přežívat (v-w5075f1)")</f>
        <v>přežívat (v-w5075f1)</v>
      </c>
    </row>
    <row r="37118" customFormat="false" ht="12.8" hidden="false" customHeight="false" outlineLevel="0" collapsed="false">
      <c r="B37118" s="0" t="s">
        <v>7</v>
      </c>
      <c r="C37118" s="0" t="s">
        <v>247</v>
      </c>
      <c r="D37118" s="0" t="s">
        <v>12251</v>
      </c>
      <c r="E37118" s="0" t="s">
        <v>12251</v>
      </c>
      <c r="F37118" s="0" t="s">
        <v>12251</v>
      </c>
    </row>
    <row r="37120" customFormat="false" ht="12.8" hidden="false" customHeight="false" outlineLevel="0" collapsed="false">
      <c r="A37120" s="0" t="s">
        <v>13434</v>
      </c>
      <c r="B37120" s="0" t="str">
        <f aca="false">HYPERLINK("https://lindat.mff.cuni.cz/services/teitok/pdtc10/index.php?action=vallex&amp;frame=v-whsa_1983hsa_1984", "přibalit (v-whsa_1983hsa_1984)")</f>
        <v>přibalit (v-whsa_1983hsa_1984)</v>
      </c>
    </row>
    <row r="37121" customFormat="false" ht="12.8" hidden="false" customHeight="false" outlineLevel="0" collapsed="false">
      <c r="B37121" s="0" t="s">
        <v>7</v>
      </c>
    </row>
    <row r="37122" customFormat="false" ht="12.8" hidden="false" customHeight="false" outlineLevel="0" collapsed="false">
      <c r="B37122" s="0" t="s">
        <v>14</v>
      </c>
    </row>
    <row r="37123" customFormat="false" ht="12.8" hidden="false" customHeight="false" outlineLevel="0" collapsed="false">
      <c r="B37123" s="0" t="s">
        <v>124</v>
      </c>
    </row>
    <row r="37125" customFormat="false" ht="12.8" hidden="false" customHeight="false" outlineLevel="0" collapsed="false">
      <c r="A37125" s="0" t="s">
        <v>13435</v>
      </c>
      <c r="B37125" s="0" t="str">
        <f aca="false">HYPERLINK("https://lindat.mff.cuni.cz/services/teitok/pdtc10/index.php?action=vallex&amp;frame=v-w10749f2", "přibarvovat (v-w10749f2)")</f>
        <v>přibarvovat (v-w10749f2)</v>
      </c>
    </row>
    <row r="37126" customFormat="false" ht="12.8" hidden="false" customHeight="false" outlineLevel="0" collapsed="false">
      <c r="B37126" s="0" t="s">
        <v>7</v>
      </c>
    </row>
    <row r="37127" customFormat="false" ht="12.8" hidden="false" customHeight="false" outlineLevel="0" collapsed="false">
      <c r="B37127" s="0" t="s">
        <v>14</v>
      </c>
    </row>
    <row r="37129" customFormat="false" ht="12.8" hidden="false" customHeight="false" outlineLevel="0" collapsed="false">
      <c r="A37129" s="0" t="s">
        <v>13436</v>
      </c>
      <c r="B37129" s="0" t="str">
        <f aca="false">HYPERLINK("https://lindat.mff.cuni.cz/services/teitok/pdtc10/index.php?action=vallex&amp;frame=v-w5084f1", "přibližovat (v-w5084f1)")</f>
        <v>přibližovat (v-w5084f1)</v>
      </c>
    </row>
    <row r="37130" customFormat="false" ht="12.8" hidden="false" customHeight="false" outlineLevel="0" collapsed="false">
      <c r="B37130" s="0" t="s">
        <v>7</v>
      </c>
    </row>
    <row r="37131" customFormat="false" ht="12.8" hidden="false" customHeight="false" outlineLevel="0" collapsed="false">
      <c r="B37131" s="0" t="s">
        <v>14</v>
      </c>
    </row>
    <row r="37132" customFormat="false" ht="12.8" hidden="false" customHeight="false" outlineLevel="0" collapsed="false">
      <c r="B37132" s="0" t="s">
        <v>48</v>
      </c>
    </row>
    <row r="37134" customFormat="false" ht="12.8" hidden="false" customHeight="false" outlineLevel="0" collapsed="false">
      <c r="A37134" s="0" t="s">
        <v>13437</v>
      </c>
      <c r="B37134" s="0" t="str">
        <f aca="false">HYPERLINK("https://lindat.mff.cuni.cz/services/teitok/pdtc10/index.php?action=vallex&amp;frame=v-w5084f3", "přibližovat (v-w5084f3)")</f>
        <v>přibližovat (v-w5084f3)</v>
      </c>
    </row>
    <row r="37135" customFormat="false" ht="12.8" hidden="false" customHeight="false" outlineLevel="0" collapsed="false">
      <c r="B37135" s="0" t="s">
        <v>7</v>
      </c>
    </row>
    <row r="37136" customFormat="false" ht="12.8" hidden="false" customHeight="false" outlineLevel="0" collapsed="false">
      <c r="B37136" s="0" t="s">
        <v>14</v>
      </c>
    </row>
    <row r="37137" customFormat="false" ht="12.8" hidden="false" customHeight="false" outlineLevel="0" collapsed="false">
      <c r="B37137" s="0" t="s">
        <v>13438</v>
      </c>
    </row>
    <row r="37139" customFormat="false" ht="12.8" hidden="false" customHeight="false" outlineLevel="0" collapsed="false">
      <c r="A37139" s="0" t="s">
        <v>13439</v>
      </c>
      <c r="B37139" s="0" t="str">
        <f aca="false">HYPERLINK("https://lindat.mff.cuni.cz/services/teitok/pdtc10/index.php?action=vallex&amp;frame=v-w5084f2", "přibližovat (v-w5084f2)")</f>
        <v>přibližovat (v-w5084f2)</v>
      </c>
    </row>
    <row r="37140" customFormat="false" ht="12.8" hidden="false" customHeight="false" outlineLevel="0" collapsed="false">
      <c r="B37140" s="0" t="s">
        <v>7</v>
      </c>
    </row>
    <row r="37141" customFormat="false" ht="12.8" hidden="false" customHeight="false" outlineLevel="0" collapsed="false">
      <c r="B37141" s="0" t="s">
        <v>14</v>
      </c>
    </row>
    <row r="37142" customFormat="false" ht="12.8" hidden="false" customHeight="false" outlineLevel="0" collapsed="false">
      <c r="B37142" s="0" t="s">
        <v>124</v>
      </c>
    </row>
    <row r="37144" customFormat="false" ht="12.8" hidden="false" customHeight="false" outlineLevel="0" collapsed="false">
      <c r="A37144" s="0" t="s">
        <v>13440</v>
      </c>
      <c r="B37144" s="0" t="str">
        <f aca="false">HYPERLINK("https://lindat.mff.cuni.cz/services/teitok/pdtc10/index.php?action=vallex&amp;frame=v-w5085f3", "přibližovat se (v-w5085f3)")</f>
        <v>přibližovat se (v-w5085f3)</v>
      </c>
    </row>
    <row r="37145" customFormat="false" ht="12.8" hidden="false" customHeight="false" outlineLevel="0" collapsed="false">
      <c r="B37145" s="0" t="s">
        <v>7</v>
      </c>
      <c r="C37145" s="0" t="s">
        <v>272</v>
      </c>
      <c r="D37145" s="0" t="s">
        <v>273</v>
      </c>
      <c r="E37145" s="0" t="s">
        <v>273</v>
      </c>
      <c r="F37145" s="0" t="s">
        <v>273</v>
      </c>
    </row>
    <row r="37146" customFormat="false" ht="12.8" hidden="false" customHeight="false" outlineLevel="0" collapsed="false">
      <c r="B37146" s="0" t="s">
        <v>268</v>
      </c>
      <c r="C37146" s="0" t="s">
        <v>274</v>
      </c>
      <c r="D37146" s="0" t="s">
        <v>275</v>
      </c>
      <c r="E37146" s="0" t="s">
        <v>275</v>
      </c>
      <c r="F37146" s="0" t="s">
        <v>275</v>
      </c>
    </row>
    <row r="37148" customFormat="false" ht="12.8" hidden="false" customHeight="false" outlineLevel="0" collapsed="false">
      <c r="A37148" s="0" t="s">
        <v>13441</v>
      </c>
      <c r="B37148" s="0" t="str">
        <f aca="false">HYPERLINK("https://lindat.mff.cuni.cz/services/teitok/pdtc10/index.php?action=vallex&amp;frame=v-w5085f1", "přibližovat se (v-w5085f1)")</f>
        <v>přibližovat se (v-w5085f1)</v>
      </c>
    </row>
    <row r="37149" customFormat="false" ht="12.8" hidden="false" customHeight="false" outlineLevel="0" collapsed="false">
      <c r="B37149" s="0" t="s">
        <v>7</v>
      </c>
      <c r="D37149" s="0" t="s">
        <v>273</v>
      </c>
      <c r="E37149" s="0" t="s">
        <v>273</v>
      </c>
      <c r="F37149" s="0" t="s">
        <v>273</v>
      </c>
    </row>
    <row r="37150" customFormat="false" ht="12.8" hidden="false" customHeight="false" outlineLevel="0" collapsed="false">
      <c r="B37150" s="0" t="s">
        <v>142</v>
      </c>
      <c r="D37150" s="0" t="s">
        <v>275</v>
      </c>
      <c r="E37150" s="0" t="s">
        <v>275</v>
      </c>
      <c r="F37150" s="0" t="s">
        <v>275</v>
      </c>
    </row>
    <row r="37152" customFormat="false" ht="12.8" hidden="false" customHeight="false" outlineLevel="0" collapsed="false">
      <c r="A37152" s="0" t="s">
        <v>13442</v>
      </c>
      <c r="B37152" s="0" t="str">
        <f aca="false">HYPERLINK("https://lindat.mff.cuni.cz/services/teitok/pdtc10/index.php?action=vallex&amp;frame=v-w5085f2", "přibližovat se (v-w5085f2)")</f>
        <v>přibližovat se (v-w5085f2)</v>
      </c>
    </row>
    <row r="37153" customFormat="false" ht="12.8" hidden="false" customHeight="false" outlineLevel="0" collapsed="false">
      <c r="B37153" s="0" t="s">
        <v>7</v>
      </c>
      <c r="C37153" s="0" t="s">
        <v>3855</v>
      </c>
      <c r="D37153" s="0" t="s">
        <v>284</v>
      </c>
      <c r="E37153" s="0" t="s">
        <v>284</v>
      </c>
      <c r="F37153" s="0" t="s">
        <v>284</v>
      </c>
    </row>
    <row r="37154" customFormat="false" ht="12.8" hidden="false" customHeight="false" outlineLevel="0" collapsed="false">
      <c r="B37154" s="0" t="s">
        <v>124</v>
      </c>
      <c r="D37154" s="0" t="s">
        <v>285</v>
      </c>
      <c r="E37154" s="0" t="s">
        <v>285</v>
      </c>
      <c r="F37154" s="0" t="s">
        <v>285</v>
      </c>
    </row>
    <row r="37156" customFormat="false" ht="12.8" hidden="false" customHeight="false" outlineLevel="0" collapsed="false">
      <c r="A37156" s="0" t="s">
        <v>13443</v>
      </c>
      <c r="B37156" s="0" t="str">
        <f aca="false">HYPERLINK("https://lindat.mff.cuni.cz/services/teitok/pdtc10/index.php?action=vallex&amp;frame=v-w5085f4", "přibližovat se (v-w5085f4)")</f>
        <v>přibližovat se (v-w5085f4)</v>
      </c>
    </row>
    <row r="37157" customFormat="false" ht="12.8" hidden="false" customHeight="false" outlineLevel="0" collapsed="false">
      <c r="B37157" s="0" t="s">
        <v>7</v>
      </c>
    </row>
    <row r="37159" customFormat="false" ht="12.8" hidden="false" customHeight="false" outlineLevel="0" collapsed="false">
      <c r="A37159" s="0" t="s">
        <v>13444</v>
      </c>
      <c r="B37159" s="0" t="str">
        <f aca="false">HYPERLINK("https://lindat.mff.cuni.cz/services/teitok/pdtc10/index.php?action=vallex&amp;frame=v-w5080f1", "přiblížit (v-w5080f1)")</f>
        <v>přiblížit (v-w5080f1)</v>
      </c>
    </row>
    <row r="37160" customFormat="false" ht="12.8" hidden="false" customHeight="false" outlineLevel="0" collapsed="false">
      <c r="B37160" s="0" t="s">
        <v>7</v>
      </c>
      <c r="D37160" s="0" t="s">
        <v>504</v>
      </c>
      <c r="E37160" s="0" t="s">
        <v>504</v>
      </c>
      <c r="F37160" s="0" t="s">
        <v>504</v>
      </c>
    </row>
    <row r="37161" customFormat="false" ht="12.8" hidden="false" customHeight="false" outlineLevel="0" collapsed="false">
      <c r="B37161" s="0" t="s">
        <v>14</v>
      </c>
      <c r="C37161" s="0" t="s">
        <v>155</v>
      </c>
      <c r="D37161" s="0" t="s">
        <v>466</v>
      </c>
      <c r="E37161" s="0" t="s">
        <v>466</v>
      </c>
      <c r="F37161" s="0" t="s">
        <v>466</v>
      </c>
    </row>
    <row r="37162" customFormat="false" ht="12.8" hidden="false" customHeight="false" outlineLevel="0" collapsed="false">
      <c r="B37162" s="0" t="s">
        <v>48</v>
      </c>
      <c r="D37162" s="0" t="s">
        <v>9849</v>
      </c>
      <c r="E37162" s="0" t="s">
        <v>9849</v>
      </c>
      <c r="F37162" s="0" t="s">
        <v>9849</v>
      </c>
    </row>
    <row r="37164" customFormat="false" ht="12.8" hidden="false" customHeight="false" outlineLevel="0" collapsed="false">
      <c r="A37164" s="0" t="s">
        <v>13445</v>
      </c>
      <c r="B37164" s="0" t="str">
        <f aca="false">HYPERLINK("https://lindat.mff.cuni.cz/services/teitok/pdtc10/index.php?action=vallex&amp;frame=v-w5080f2", "přiblížit (v-w5080f2)")</f>
        <v>přiblížit (v-w5080f2)</v>
      </c>
    </row>
    <row r="37165" customFormat="false" ht="12.8" hidden="false" customHeight="false" outlineLevel="0" collapsed="false">
      <c r="B37165" s="0" t="s">
        <v>7</v>
      </c>
      <c r="C37165" s="0" t="s">
        <v>1509</v>
      </c>
    </row>
    <row r="37166" customFormat="false" ht="12.8" hidden="false" customHeight="false" outlineLevel="0" collapsed="false">
      <c r="B37166" s="0" t="s">
        <v>14</v>
      </c>
      <c r="C37166" s="0" t="s">
        <v>13446</v>
      </c>
    </row>
    <row r="37167" customFormat="false" ht="12.8" hidden="false" customHeight="false" outlineLevel="0" collapsed="false">
      <c r="B37167" s="0" t="s">
        <v>13438</v>
      </c>
      <c r="C37167" s="0" t="s">
        <v>38</v>
      </c>
    </row>
    <row r="37169" customFormat="false" ht="12.8" hidden="false" customHeight="false" outlineLevel="0" collapsed="false">
      <c r="A37169" s="0" t="s">
        <v>13447</v>
      </c>
      <c r="B37169" s="0" t="str">
        <f aca="false">HYPERLINK("https://lindat.mff.cuni.cz/services/teitok/pdtc10/index.php?action=vallex&amp;frame=v-w5080f3", "přiblížit (v-w5080f3)")</f>
        <v>přiblížit (v-w5080f3)</v>
      </c>
    </row>
    <row r="37170" customFormat="false" ht="12.8" hidden="false" customHeight="false" outlineLevel="0" collapsed="false">
      <c r="B37170" s="0" t="s">
        <v>7</v>
      </c>
    </row>
    <row r="37171" customFormat="false" ht="12.8" hidden="false" customHeight="false" outlineLevel="0" collapsed="false">
      <c r="B37171" s="0" t="s">
        <v>14</v>
      </c>
    </row>
    <row r="37172" customFormat="false" ht="12.8" hidden="false" customHeight="false" outlineLevel="0" collapsed="false">
      <c r="B37172" s="0" t="s">
        <v>124</v>
      </c>
    </row>
    <row r="37174" customFormat="false" ht="12.8" hidden="false" customHeight="false" outlineLevel="0" collapsed="false">
      <c r="A37174" s="0" t="s">
        <v>13448</v>
      </c>
      <c r="B37174" s="0" t="str">
        <f aca="false">HYPERLINK("https://lindat.mff.cuni.cz/services/teitok/pdtc10/index.php?action=vallex&amp;frame=v-w5081f4", "přiblížit se (v-w5081f4)")</f>
        <v>přiblížit se (v-w5081f4)</v>
      </c>
    </row>
    <row r="37175" customFormat="false" ht="12.8" hidden="false" customHeight="false" outlineLevel="0" collapsed="false">
      <c r="B37175" s="0" t="s">
        <v>7</v>
      </c>
      <c r="C37175" s="0" t="s">
        <v>4651</v>
      </c>
      <c r="D37175" s="0" t="s">
        <v>273</v>
      </c>
      <c r="E37175" s="0" t="s">
        <v>273</v>
      </c>
      <c r="F37175" s="0" t="s">
        <v>273</v>
      </c>
    </row>
    <row r="37176" customFormat="false" ht="12.8" hidden="false" customHeight="false" outlineLevel="0" collapsed="false">
      <c r="B37176" s="0" t="s">
        <v>268</v>
      </c>
      <c r="D37176" s="0" t="s">
        <v>275</v>
      </c>
      <c r="E37176" s="0" t="s">
        <v>275</v>
      </c>
      <c r="F37176" s="0" t="s">
        <v>275</v>
      </c>
    </row>
    <row r="37178" customFormat="false" ht="12.8" hidden="false" customHeight="false" outlineLevel="0" collapsed="false">
      <c r="A37178" s="0" t="s">
        <v>13449</v>
      </c>
      <c r="B37178" s="0" t="str">
        <f aca="false">HYPERLINK("https://lindat.mff.cuni.cz/services/teitok/pdtc10/index.php?action=vallex&amp;frame=v-w5081f1", "přiblížit se (v-w5081f1)")</f>
        <v>přiblížit se (v-w5081f1)</v>
      </c>
    </row>
    <row r="37179" customFormat="false" ht="12.8" hidden="false" customHeight="false" outlineLevel="0" collapsed="false">
      <c r="B37179" s="0" t="s">
        <v>7</v>
      </c>
      <c r="C37179" s="0" t="s">
        <v>5089</v>
      </c>
      <c r="D37179" s="0" t="s">
        <v>273</v>
      </c>
      <c r="E37179" s="0" t="s">
        <v>273</v>
      </c>
      <c r="F37179" s="0" t="s">
        <v>273</v>
      </c>
    </row>
    <row r="37180" customFormat="false" ht="12.8" hidden="false" customHeight="false" outlineLevel="0" collapsed="false">
      <c r="B37180" s="0" t="s">
        <v>142</v>
      </c>
      <c r="C37180" s="0" t="s">
        <v>5091</v>
      </c>
      <c r="D37180" s="0" t="s">
        <v>275</v>
      </c>
      <c r="E37180" s="0" t="s">
        <v>275</v>
      </c>
      <c r="F37180" s="0" t="s">
        <v>275</v>
      </c>
    </row>
    <row r="37182" customFormat="false" ht="12.8" hidden="false" customHeight="false" outlineLevel="0" collapsed="false">
      <c r="A37182" s="0" t="s">
        <v>13450</v>
      </c>
      <c r="B37182" s="0" t="str">
        <f aca="false">HYPERLINK("https://lindat.mff.cuni.cz/services/teitok/pdtc10/index.php?action=vallex&amp;frame=v-w5081f2", "přiblížit se (v-w5081f2)")</f>
        <v>přiblížit se (v-w5081f2)</v>
      </c>
    </row>
    <row r="37183" customFormat="false" ht="12.8" hidden="false" customHeight="false" outlineLevel="0" collapsed="false">
      <c r="B37183" s="0" t="s">
        <v>7</v>
      </c>
      <c r="C37183" s="0" t="s">
        <v>1902</v>
      </c>
      <c r="D37183" s="0" t="s">
        <v>284</v>
      </c>
      <c r="E37183" s="0" t="s">
        <v>284</v>
      </c>
      <c r="F37183" s="0" t="s">
        <v>284</v>
      </c>
    </row>
    <row r="37184" customFormat="false" ht="12.8" hidden="false" customHeight="false" outlineLevel="0" collapsed="false">
      <c r="B37184" s="0" t="s">
        <v>124</v>
      </c>
      <c r="C37184" s="0" t="s">
        <v>285</v>
      </c>
      <c r="D37184" s="0" t="s">
        <v>285</v>
      </c>
      <c r="E37184" s="0" t="s">
        <v>285</v>
      </c>
      <c r="F37184" s="0" t="s">
        <v>285</v>
      </c>
    </row>
    <row r="37186" customFormat="false" ht="12.8" hidden="false" customHeight="false" outlineLevel="0" collapsed="false">
      <c r="A37186" s="0" t="s">
        <v>13451</v>
      </c>
      <c r="B37186" s="0" t="str">
        <f aca="false">HYPERLINK("https://lindat.mff.cuni.cz/services/teitok/pdtc10/index.php?action=vallex&amp;frame=v-w5081f3", "přiblížit se (v-w5081f3)")</f>
        <v>přiblížit se (v-w5081f3)</v>
      </c>
    </row>
    <row r="37187" customFormat="false" ht="12.8" hidden="false" customHeight="false" outlineLevel="0" collapsed="false">
      <c r="B37187" s="0" t="s">
        <v>7</v>
      </c>
    </row>
    <row r="37189" customFormat="false" ht="12.8" hidden="false" customHeight="false" outlineLevel="0" collapsed="false">
      <c r="A37189" s="0" t="s">
        <v>13452</v>
      </c>
      <c r="B37189" s="0" t="str">
        <f aca="false">HYPERLINK("https://lindat.mff.cuni.cz/services/teitok/pdtc10/index.php?action=vallex&amp;frame=v-w5088f1", "přibrat (v-w5088f1)")</f>
        <v>přibrat (v-w5088f1)</v>
      </c>
    </row>
    <row r="37190" customFormat="false" ht="12.8" hidden="false" customHeight="false" outlineLevel="0" collapsed="false">
      <c r="B37190" s="0" t="s">
        <v>7</v>
      </c>
      <c r="C37190" s="0" t="s">
        <v>13453</v>
      </c>
      <c r="D37190" s="0" t="s">
        <v>13454</v>
      </c>
      <c r="E37190" s="0" t="s">
        <v>13454</v>
      </c>
      <c r="F37190" s="0" t="s">
        <v>13454</v>
      </c>
    </row>
    <row r="37191" customFormat="false" ht="12.8" hidden="false" customHeight="false" outlineLevel="0" collapsed="false">
      <c r="B37191" s="0" t="s">
        <v>14</v>
      </c>
      <c r="C37191" s="0" t="s">
        <v>10828</v>
      </c>
      <c r="D37191" s="0" t="s">
        <v>13455</v>
      </c>
      <c r="E37191" s="0" t="s">
        <v>13455</v>
      </c>
      <c r="F37191" s="0" t="s">
        <v>13455</v>
      </c>
    </row>
    <row r="37193" customFormat="false" ht="12.8" hidden="false" customHeight="false" outlineLevel="0" collapsed="false">
      <c r="A37193" s="0" t="s">
        <v>13456</v>
      </c>
      <c r="B37193" s="0" t="str">
        <f aca="false">HYPERLINK("https://lindat.mff.cuni.cz/services/teitok/pdtc10/index.php?action=vallex&amp;frame=v-w5088f2_ZU", "přibrat (v-w5088f2_ZU)")</f>
        <v>přibrat (v-w5088f2_ZU)</v>
      </c>
    </row>
    <row r="37194" customFormat="false" ht="12.8" hidden="false" customHeight="false" outlineLevel="0" collapsed="false">
      <c r="B37194" s="0" t="s">
        <v>7</v>
      </c>
    </row>
    <row r="37195" customFormat="false" ht="12.8" hidden="false" customHeight="false" outlineLevel="0" collapsed="false">
      <c r="B37195" s="0" t="s">
        <v>13457</v>
      </c>
    </row>
    <row r="37197" customFormat="false" ht="12.8" hidden="false" customHeight="false" outlineLevel="0" collapsed="false">
      <c r="A37197" s="0" t="s">
        <v>13458</v>
      </c>
      <c r="B37197" s="0" t="str">
        <f aca="false">HYPERLINK("https://lindat.mff.cuni.cz/services/teitok/pdtc10/index.php?action=vallex&amp;frame=v-w5090f1", "přibrzdit (v-w5090f1)")</f>
        <v>přibrzdit (v-w5090f1)</v>
      </c>
    </row>
    <row r="37198" customFormat="false" ht="12.8" hidden="false" customHeight="false" outlineLevel="0" collapsed="false">
      <c r="B37198" s="0" t="s">
        <v>7</v>
      </c>
      <c r="C37198" s="0" t="s">
        <v>108</v>
      </c>
    </row>
    <row r="37199" customFormat="false" ht="12.8" hidden="false" customHeight="false" outlineLevel="0" collapsed="false">
      <c r="B37199" s="0" t="s">
        <v>14</v>
      </c>
      <c r="C37199" s="0" t="s">
        <v>155</v>
      </c>
    </row>
    <row r="37201" customFormat="false" ht="12.8" hidden="false" customHeight="false" outlineLevel="0" collapsed="false">
      <c r="A37201" s="0" t="s">
        <v>13459</v>
      </c>
      <c r="B37201" s="0" t="str">
        <f aca="false">HYPERLINK("https://lindat.mff.cuni.cz/services/teitok/pdtc10/index.php?action=vallex&amp;frame=v-w5090f2", "přibrzdit (v-w5090f2)")</f>
        <v>přibrzdit (v-w5090f2)</v>
      </c>
    </row>
    <row r="37202" customFormat="false" ht="12.8" hidden="false" customHeight="false" outlineLevel="0" collapsed="false">
      <c r="B37202" s="0" t="s">
        <v>7</v>
      </c>
    </row>
    <row r="37203" customFormat="false" ht="12.8" hidden="false" customHeight="false" outlineLevel="0" collapsed="false">
      <c r="B37203" s="0" t="s">
        <v>14</v>
      </c>
    </row>
    <row r="37205" customFormat="false" ht="12.8" hidden="false" customHeight="false" outlineLevel="0" collapsed="false">
      <c r="A37205" s="0" t="s">
        <v>13460</v>
      </c>
      <c r="B37205" s="0" t="str">
        <f aca="false">HYPERLINK("https://lindat.mff.cuni.cz/services/teitok/pdtc10/index.php?action=vallex&amp;frame=v-w5090f3_ZU", "přibrzdit (v-w5090f3_ZU)")</f>
        <v>přibrzdit (v-w5090f3_ZU)</v>
      </c>
    </row>
    <row r="37206" customFormat="false" ht="12.8" hidden="false" customHeight="false" outlineLevel="0" collapsed="false">
      <c r="B37206" s="0" t="s">
        <v>7</v>
      </c>
      <c r="C37206" s="0" t="s">
        <v>396</v>
      </c>
      <c r="D37206" s="0" t="s">
        <v>396</v>
      </c>
      <c r="E37206" s="0" t="s">
        <v>396</v>
      </c>
      <c r="F37206" s="0" t="s">
        <v>396</v>
      </c>
    </row>
    <row r="37207" customFormat="false" ht="12.8" hidden="false" customHeight="false" outlineLevel="0" collapsed="false">
      <c r="B37207" s="0" t="s">
        <v>297</v>
      </c>
      <c r="D37207" s="0" t="s">
        <v>3860</v>
      </c>
      <c r="E37207" s="0" t="s">
        <v>3860</v>
      </c>
      <c r="F37207" s="0" t="s">
        <v>3860</v>
      </c>
    </row>
    <row r="37209" customFormat="false" ht="12.8" hidden="false" customHeight="false" outlineLevel="0" collapsed="false">
      <c r="A37209" s="0" t="s">
        <v>13461</v>
      </c>
      <c r="B37209" s="0" t="str">
        <f aca="false">HYPERLINK("https://lindat.mff.cuni.cz/services/teitok/pdtc10/index.php?action=vallex&amp;frame=v-w5090f4_ZU", "přibrzdit (v-w5090f4_ZU)")</f>
        <v>přibrzdit (v-w5090f4_ZU)</v>
      </c>
    </row>
    <row r="37210" customFormat="false" ht="12.8" hidden="false" customHeight="false" outlineLevel="0" collapsed="false">
      <c r="B37210" s="0" t="s">
        <v>7</v>
      </c>
    </row>
    <row r="37211" customFormat="false" ht="12.8" hidden="false" customHeight="false" outlineLevel="0" collapsed="false">
      <c r="B37211" s="0" t="s">
        <v>581</v>
      </c>
    </row>
    <row r="37212" customFormat="false" ht="12.8" hidden="false" customHeight="false" outlineLevel="0" collapsed="false">
      <c r="B37212" s="0" t="s">
        <v>84</v>
      </c>
    </row>
    <row r="37214" customFormat="false" ht="12.8" hidden="false" customHeight="false" outlineLevel="0" collapsed="false">
      <c r="A37214" s="0" t="s">
        <v>13462</v>
      </c>
      <c r="B37214" s="0" t="str">
        <f aca="false">HYPERLINK("https://lindat.mff.cuni.cz/services/teitok/pdtc10/index.php?action=vallex&amp;frame=v-w10505f2", "přibíjet (v-w10505f2)")</f>
        <v>přibíjet (v-w10505f2)</v>
      </c>
    </row>
    <row r="37215" customFormat="false" ht="12.8" hidden="false" customHeight="false" outlineLevel="0" collapsed="false">
      <c r="B37215" s="0" t="s">
        <v>7</v>
      </c>
    </row>
    <row r="37216" customFormat="false" ht="12.8" hidden="false" customHeight="false" outlineLevel="0" collapsed="false">
      <c r="B37216" s="0" t="s">
        <v>14</v>
      </c>
    </row>
    <row r="37218" customFormat="false" ht="12.8" hidden="false" customHeight="false" outlineLevel="0" collapsed="false">
      <c r="A37218" s="0" t="s">
        <v>13463</v>
      </c>
      <c r="B37218" s="0" t="str">
        <f aca="false">HYPERLINK("https://lindat.mff.cuni.cz/services/teitok/pdtc10/index.php?action=vallex&amp;frame=v-whsa_1052hsa_1053", "přibírat (v-whsa_1052hsa_1053)")</f>
        <v>přibírat (v-whsa_1052hsa_1053)</v>
      </c>
    </row>
    <row r="37219" customFormat="false" ht="12.8" hidden="false" customHeight="false" outlineLevel="0" collapsed="false">
      <c r="B37219" s="0" t="s">
        <v>7</v>
      </c>
    </row>
    <row r="37220" customFormat="false" ht="12.8" hidden="false" customHeight="false" outlineLevel="0" collapsed="false">
      <c r="B37220" s="0" t="s">
        <v>14</v>
      </c>
    </row>
    <row r="37222" customFormat="false" ht="12.8" hidden="false" customHeight="false" outlineLevel="0" collapsed="false">
      <c r="A37222" s="0" t="s">
        <v>13464</v>
      </c>
      <c r="B37222" s="0" t="str">
        <f aca="false">HYPERLINK("https://lindat.mff.cuni.cz/services/teitok/pdtc10/index.php?action=vallex&amp;frame=v-w5077f1", "přibít (v-w5077f1)")</f>
        <v>přibít (v-w5077f1)</v>
      </c>
    </row>
    <row r="37223" customFormat="false" ht="12.8" hidden="false" customHeight="false" outlineLevel="0" collapsed="false">
      <c r="B37223" s="0" t="s">
        <v>7</v>
      </c>
    </row>
    <row r="37224" customFormat="false" ht="12.8" hidden="false" customHeight="false" outlineLevel="0" collapsed="false">
      <c r="B37224" s="0" t="s">
        <v>14</v>
      </c>
    </row>
    <row r="37226" customFormat="false" ht="12.8" hidden="false" customHeight="false" outlineLevel="0" collapsed="false">
      <c r="A37226" s="0" t="s">
        <v>13465</v>
      </c>
      <c r="B37226" s="0" t="str">
        <f aca="false">HYPERLINK("https://lindat.mff.cuni.cz/services/teitok/pdtc10/index.php?action=vallex&amp;frame=v-w5092f3_MM", "přibýt (v-w5092f3_MM)")</f>
        <v>přibýt (v-w5092f3_MM)</v>
      </c>
    </row>
    <row r="37227" customFormat="false" ht="12.8" hidden="false" customHeight="false" outlineLevel="0" collapsed="false">
      <c r="B37227" s="0" t="s">
        <v>13466</v>
      </c>
    </row>
    <row r="37228" customFormat="false" ht="12.8" hidden="false" customHeight="false" outlineLevel="0" collapsed="false">
      <c r="B37228" s="0" t="s">
        <v>124</v>
      </c>
    </row>
    <row r="37230" customFormat="false" ht="12.8" hidden="false" customHeight="false" outlineLevel="0" collapsed="false">
      <c r="A37230" s="0" t="s">
        <v>13465</v>
      </c>
      <c r="B37230" s="0" t="str">
        <f aca="false">HYPERLINK("https://lindat.mff.cuni.cz/services/teitok/pdtc10/index.php?action=vallex&amp;frame=v-w5092f2", "přibýt (v-w5092f2) - substituted with v-w5092f3_MM")</f>
        <v>přibýt (v-w5092f2) - substituted with v-w5092f3_MM</v>
      </c>
    </row>
    <row r="37231" customFormat="false" ht="12.8" hidden="false" customHeight="false" outlineLevel="0" collapsed="false">
      <c r="B37231" s="0" t="s">
        <v>13466</v>
      </c>
    </row>
    <row r="37232" customFormat="false" ht="12.8" hidden="false" customHeight="false" outlineLevel="0" collapsed="false">
      <c r="B37232" s="0" t="s">
        <v>124</v>
      </c>
    </row>
    <row r="37234" customFormat="false" ht="12.8" hidden="false" customHeight="false" outlineLevel="0" collapsed="false">
      <c r="A37234" s="0" t="s">
        <v>13467</v>
      </c>
      <c r="B37234" s="0" t="str">
        <f aca="false">HYPERLINK("https://lindat.mff.cuni.cz/services/teitok/pdtc10/index.php?action=vallex&amp;frame=v-w5092f1", "přibýt (v-w5092f1)")</f>
        <v>přibýt (v-w5092f1)</v>
      </c>
    </row>
    <row r="37235" customFormat="false" ht="12.8" hidden="false" customHeight="false" outlineLevel="0" collapsed="false">
      <c r="B37235" s="0" t="s">
        <v>2401</v>
      </c>
      <c r="C37235" s="0" t="s">
        <v>13468</v>
      </c>
    </row>
    <row r="37237" customFormat="false" ht="12.8" hidden="false" customHeight="false" outlineLevel="0" collapsed="false">
      <c r="A37237" s="0" t="s">
        <v>13469</v>
      </c>
      <c r="B37237" s="0" t="str">
        <f aca="false">HYPERLINK("https://lindat.mff.cuni.cz/services/teitok/pdtc10/index.php?action=vallex&amp;frame=v-w5094f2", "přibývat (v-w5094f2)")</f>
        <v>přibývat (v-w5094f2)</v>
      </c>
    </row>
    <row r="37238" customFormat="false" ht="12.8" hidden="false" customHeight="false" outlineLevel="0" collapsed="false">
      <c r="B37238" s="0" t="s">
        <v>13470</v>
      </c>
      <c r="C37238" s="0" t="s">
        <v>272</v>
      </c>
    </row>
    <row r="37239" customFormat="false" ht="12.8" hidden="false" customHeight="false" outlineLevel="0" collapsed="false">
      <c r="B37239" s="0" t="s">
        <v>142</v>
      </c>
      <c r="C37239" s="0" t="s">
        <v>13471</v>
      </c>
    </row>
    <row r="37241" customFormat="false" ht="12.8" hidden="false" customHeight="false" outlineLevel="0" collapsed="false">
      <c r="A37241" s="0" t="s">
        <v>13472</v>
      </c>
      <c r="B37241" s="0" t="str">
        <f aca="false">HYPERLINK("https://lindat.mff.cuni.cz/services/teitok/pdtc10/index.php?action=vallex&amp;frame=v-w5094f1", "přibývat (v-w5094f1)")</f>
        <v>přibývat (v-w5094f1)</v>
      </c>
    </row>
    <row r="37242" customFormat="false" ht="12.8" hidden="false" customHeight="false" outlineLevel="0" collapsed="false">
      <c r="B37242" s="0" t="s">
        <v>2401</v>
      </c>
      <c r="C37242" s="0" t="s">
        <v>13473</v>
      </c>
    </row>
    <row r="37244" customFormat="false" ht="12.8" hidden="false" customHeight="false" outlineLevel="0" collapsed="false">
      <c r="A37244" s="0" t="s">
        <v>13474</v>
      </c>
      <c r="B37244" s="0" t="str">
        <f aca="false">HYPERLINK("https://lindat.mff.cuni.cz/services/teitok/pdtc10/index.php?action=vallex&amp;frame=v-w5094f3_ZU", "přibývat (v-w5094f3_ZU)")</f>
        <v>přibývat (v-w5094f3_ZU)</v>
      </c>
    </row>
    <row r="37245" customFormat="false" ht="12.8" hidden="false" customHeight="false" outlineLevel="0" collapsed="false">
      <c r="B37245" s="0" t="s">
        <v>7</v>
      </c>
    </row>
    <row r="37246" customFormat="false" ht="12.8" hidden="false" customHeight="false" outlineLevel="0" collapsed="false">
      <c r="B37246" s="0" t="s">
        <v>220</v>
      </c>
    </row>
    <row r="37248" customFormat="false" ht="12.8" hidden="false" customHeight="false" outlineLevel="0" collapsed="false">
      <c r="A37248" s="0" t="s">
        <v>13475</v>
      </c>
      <c r="B37248" s="0" t="str">
        <f aca="false">HYPERLINK("https://lindat.mff.cuni.cz/services/teitok/pdtc10/index.php?action=vallex&amp;frame=v-w11080f2", "přiběhnout (v-w11080f2)")</f>
        <v>přiběhnout (v-w11080f2)</v>
      </c>
    </row>
    <row r="37249" customFormat="false" ht="12.8" hidden="false" customHeight="false" outlineLevel="0" collapsed="false">
      <c r="B37249" s="0" t="s">
        <v>7</v>
      </c>
      <c r="C37249" s="0" t="s">
        <v>13476</v>
      </c>
    </row>
    <row r="37250" customFormat="false" ht="12.8" hidden="false" customHeight="false" outlineLevel="0" collapsed="false">
      <c r="B37250" s="0" t="s">
        <v>124</v>
      </c>
    </row>
    <row r="37252" customFormat="false" ht="12.8" hidden="false" customHeight="false" outlineLevel="0" collapsed="false">
      <c r="A37252" s="0" t="s">
        <v>13477</v>
      </c>
      <c r="B37252" s="0" t="str">
        <f aca="false">HYPERLINK("https://lindat.mff.cuni.cz/services/teitok/pdtc10/index.php?action=vallex&amp;frame=v-w5095f1", "přicestovat (v-w5095f1)")</f>
        <v>přicestovat (v-w5095f1)</v>
      </c>
    </row>
    <row r="37253" customFormat="false" ht="12.8" hidden="false" customHeight="false" outlineLevel="0" collapsed="false">
      <c r="B37253" s="0" t="s">
        <v>7</v>
      </c>
    </row>
    <row r="37254" customFormat="false" ht="12.8" hidden="false" customHeight="false" outlineLevel="0" collapsed="false">
      <c r="B37254" s="0" t="s">
        <v>124</v>
      </c>
    </row>
    <row r="37256" customFormat="false" ht="12.8" hidden="false" customHeight="false" outlineLevel="0" collapsed="false">
      <c r="A37256" s="0" t="s">
        <v>13478</v>
      </c>
      <c r="B37256" s="0" t="str">
        <f aca="false">HYPERLINK("https://lindat.mff.cuni.cz/services/teitok/pdtc10/index.php?action=vallex&amp;frame=v-w5146f2", "přichystat (v-w5146f2)")</f>
        <v>přichystat (v-w5146f2)</v>
      </c>
    </row>
    <row r="37257" customFormat="false" ht="12.8" hidden="false" customHeight="false" outlineLevel="0" collapsed="false">
      <c r="B37257" s="0" t="s">
        <v>7</v>
      </c>
    </row>
    <row r="37258" customFormat="false" ht="12.8" hidden="false" customHeight="false" outlineLevel="0" collapsed="false">
      <c r="B37258" s="0" t="s">
        <v>14</v>
      </c>
    </row>
    <row r="37259" customFormat="false" ht="12.8" hidden="false" customHeight="false" outlineLevel="0" collapsed="false">
      <c r="B37259" s="0" t="s">
        <v>35</v>
      </c>
    </row>
    <row r="37261" customFormat="false" ht="12.8" hidden="false" customHeight="false" outlineLevel="0" collapsed="false">
      <c r="A37261" s="0" t="s">
        <v>13479</v>
      </c>
      <c r="B37261" s="0" t="str">
        <f aca="false">HYPERLINK("https://lindat.mff.cuni.cz/services/teitok/pdtc10/index.php?action=vallex&amp;frame=v-w5146f3_ZU", "přichystat (v-w5146f3_ZU)")</f>
        <v>přichystat (v-w5146f3_ZU)</v>
      </c>
    </row>
    <row r="37262" customFormat="false" ht="12.8" hidden="false" customHeight="false" outlineLevel="0" collapsed="false">
      <c r="B37262" s="0" t="s">
        <v>7</v>
      </c>
    </row>
    <row r="37263" customFormat="false" ht="12.8" hidden="false" customHeight="false" outlineLevel="0" collapsed="false">
      <c r="B37263" s="0" t="s">
        <v>14</v>
      </c>
    </row>
    <row r="37265" customFormat="false" ht="12.8" hidden="false" customHeight="false" outlineLevel="0" collapsed="false">
      <c r="A37265" s="0" t="s">
        <v>13479</v>
      </c>
      <c r="B37265" s="0" t="str">
        <f aca="false">HYPERLINK("https://lindat.mff.cuni.cz/services/teitok/pdtc10/index.php?action=vallex&amp;frame=v-w5146f1", "přichystat (v-w5146f1) - substituted with v-w5146f3_ZU")</f>
        <v>přichystat (v-w5146f1) - substituted with v-w5146f3_ZU</v>
      </c>
    </row>
    <row r="37266" customFormat="false" ht="12.8" hidden="false" customHeight="false" outlineLevel="0" collapsed="false">
      <c r="B37266" s="0" t="s">
        <v>7</v>
      </c>
    </row>
    <row r="37267" customFormat="false" ht="12.8" hidden="false" customHeight="false" outlineLevel="0" collapsed="false">
      <c r="B37267" s="0" t="s">
        <v>14</v>
      </c>
    </row>
    <row r="37269" customFormat="false" ht="12.8" hidden="false" customHeight="false" outlineLevel="0" collapsed="false">
      <c r="A37269" s="0" t="s">
        <v>13480</v>
      </c>
      <c r="B37269" s="0" t="str">
        <f aca="false">HYPERLINK("https://lindat.mff.cuni.cz/services/teitok/pdtc10/index.php?action=vallex&amp;frame=v-w5147f1", "přichystat se (v-w5147f1)")</f>
        <v>přichystat se (v-w5147f1)</v>
      </c>
    </row>
    <row r="37270" customFormat="false" ht="12.8" hidden="false" customHeight="false" outlineLevel="0" collapsed="false">
      <c r="B37270" s="0" t="s">
        <v>7</v>
      </c>
    </row>
    <row r="37271" customFormat="false" ht="12.8" hidden="false" customHeight="false" outlineLevel="0" collapsed="false">
      <c r="B37271" s="0" t="s">
        <v>13481</v>
      </c>
    </row>
    <row r="37273" customFormat="false" ht="12.8" hidden="false" customHeight="false" outlineLevel="0" collapsed="false">
      <c r="A37273" s="0" t="s">
        <v>13482</v>
      </c>
      <c r="B37273" s="0" t="str">
        <f aca="false">HYPERLINK("https://lindat.mff.cuni.cz/services/teitok/pdtc10/index.php?action=vallex&amp;frame=v-whsa_858hsa_859", "přichytávat se (v-whsa_858hsa_859)")</f>
        <v>přichytávat se (v-whsa_858hsa_859)</v>
      </c>
    </row>
    <row r="37274" customFormat="false" ht="12.8" hidden="false" customHeight="false" outlineLevel="0" collapsed="false">
      <c r="B37274" s="0" t="s">
        <v>7</v>
      </c>
    </row>
    <row r="37275" customFormat="false" ht="12.8" hidden="false" customHeight="false" outlineLevel="0" collapsed="false">
      <c r="B37275" s="0" t="s">
        <v>237</v>
      </c>
    </row>
    <row r="37277" customFormat="false" ht="12.8" hidden="false" customHeight="false" outlineLevel="0" collapsed="false">
      <c r="A37277" s="0" t="s">
        <v>13483</v>
      </c>
      <c r="B37277" s="0" t="str">
        <f aca="false">HYPERLINK("https://lindat.mff.cuni.cz/services/teitok/pdtc10/index.php?action=vallex&amp;frame=v-w5143f17", "přicházet (v-w5143f17)")</f>
        <v>přicházet (v-w5143f17)</v>
      </c>
    </row>
    <row r="37278" customFormat="false" ht="12.8" hidden="false" customHeight="false" outlineLevel="0" collapsed="false">
      <c r="B37278" s="0" t="s">
        <v>7</v>
      </c>
      <c r="D37278" s="0" t="s">
        <v>13484</v>
      </c>
      <c r="E37278" s="0" t="s">
        <v>13484</v>
      </c>
      <c r="F37278" s="0" t="s">
        <v>13484</v>
      </c>
    </row>
    <row r="37279" customFormat="false" ht="12.8" hidden="false" customHeight="false" outlineLevel="0" collapsed="false">
      <c r="B37279" s="0" t="s">
        <v>41</v>
      </c>
      <c r="D37279" s="0" t="s">
        <v>13485</v>
      </c>
      <c r="E37279" s="0" t="s">
        <v>13485</v>
      </c>
      <c r="F37279" s="0" t="s">
        <v>13485</v>
      </c>
    </row>
    <row r="37280" customFormat="false" ht="12.8" hidden="false" customHeight="false" outlineLevel="0" collapsed="false">
      <c r="B37280" s="0" t="s">
        <v>81</v>
      </c>
      <c r="D37280" s="0" t="s">
        <v>13486</v>
      </c>
      <c r="E37280" s="0" t="s">
        <v>13486</v>
      </c>
      <c r="F37280" s="0" t="s">
        <v>13486</v>
      </c>
    </row>
    <row r="37282" customFormat="false" ht="12.8" hidden="false" customHeight="false" outlineLevel="0" collapsed="false">
      <c r="A37282" s="0" t="s">
        <v>13487</v>
      </c>
      <c r="B37282" s="0" t="str">
        <f aca="false">HYPERLINK("https://lindat.mff.cuni.cz/services/teitok/pdtc10/index.php?action=vallex&amp;frame=v-w5143f9", "přicházet (v-w5143f9)")</f>
        <v>přicházet (v-w5143f9)</v>
      </c>
    </row>
    <row r="37283" customFormat="false" ht="12.8" hidden="false" customHeight="false" outlineLevel="0" collapsed="false">
      <c r="B37283" s="0" t="s">
        <v>7</v>
      </c>
    </row>
    <row r="37284" customFormat="false" ht="12.8" hidden="false" customHeight="false" outlineLevel="0" collapsed="false">
      <c r="B37284" s="0" t="s">
        <v>237</v>
      </c>
    </row>
    <row r="37286" customFormat="false" ht="12.8" hidden="false" customHeight="false" outlineLevel="0" collapsed="false">
      <c r="A37286" s="0" t="s">
        <v>13488</v>
      </c>
      <c r="B37286" s="0" t="str">
        <f aca="false">HYPERLINK("https://lindat.mff.cuni.cz/services/teitok/pdtc10/index.php?action=vallex&amp;frame=v-w5143f8", "přicházet (v-w5143f8)")</f>
        <v>přicházet (v-w5143f8)</v>
      </c>
    </row>
    <row r="37287" customFormat="false" ht="12.8" hidden="false" customHeight="false" outlineLevel="0" collapsed="false">
      <c r="B37287" s="0" t="s">
        <v>7</v>
      </c>
      <c r="C37287" s="0" t="s">
        <v>2199</v>
      </c>
      <c r="D37287" s="0" t="s">
        <v>6342</v>
      </c>
      <c r="E37287" s="0" t="s">
        <v>6342</v>
      </c>
      <c r="F37287" s="0" t="s">
        <v>6342</v>
      </c>
    </row>
    <row r="37288" customFormat="false" ht="12.8" hidden="false" customHeight="false" outlineLevel="0" collapsed="false">
      <c r="B37288" s="0" t="s">
        <v>41</v>
      </c>
      <c r="C37288" s="0" t="s">
        <v>2850</v>
      </c>
      <c r="D37288" s="0" t="s">
        <v>6344</v>
      </c>
      <c r="E37288" s="0" t="s">
        <v>6344</v>
      </c>
      <c r="F37288" s="0" t="s">
        <v>6344</v>
      </c>
    </row>
    <row r="37290" customFormat="false" ht="12.8" hidden="false" customHeight="false" outlineLevel="0" collapsed="false">
      <c r="A37290" s="0" t="s">
        <v>13489</v>
      </c>
      <c r="B37290" s="0" t="str">
        <f aca="false">HYPERLINK("https://lindat.mff.cuni.cz/services/teitok/pdtc10/index.php?action=vallex&amp;frame=v-w5143f3", "přicházet (v-w5143f3)")</f>
        <v>přicházet (v-w5143f3)</v>
      </c>
    </row>
    <row r="37291" customFormat="false" ht="12.8" hidden="false" customHeight="false" outlineLevel="0" collapsed="false">
      <c r="B37291" s="0" t="s">
        <v>7</v>
      </c>
      <c r="C37291" s="0" t="s">
        <v>13490</v>
      </c>
      <c r="D37291" s="0" t="s">
        <v>13490</v>
      </c>
      <c r="E37291" s="0" t="s">
        <v>13490</v>
      </c>
      <c r="F37291" s="0" t="s">
        <v>13490</v>
      </c>
    </row>
    <row r="37292" customFormat="false" ht="12.8" hidden="false" customHeight="false" outlineLevel="0" collapsed="false">
      <c r="B37292" s="0" t="s">
        <v>615</v>
      </c>
      <c r="C37292" s="0" t="s">
        <v>9030</v>
      </c>
      <c r="D37292" s="0" t="s">
        <v>2892</v>
      </c>
      <c r="E37292" s="0" t="s">
        <v>2892</v>
      </c>
      <c r="F37292" s="0" t="s">
        <v>2892</v>
      </c>
    </row>
    <row r="37294" customFormat="false" ht="12.8" hidden="false" customHeight="false" outlineLevel="0" collapsed="false">
      <c r="A37294" s="0" t="s">
        <v>13491</v>
      </c>
      <c r="B37294" s="0" t="str">
        <f aca="false">HYPERLINK("https://lindat.mff.cuni.cz/services/teitok/pdtc10/index.php?action=vallex&amp;frame=v-w5143f11", "přicházet (v-w5143f11)")</f>
        <v>přicházet (v-w5143f11)</v>
      </c>
    </row>
    <row r="37295" customFormat="false" ht="12.8" hidden="false" customHeight="false" outlineLevel="0" collapsed="false">
      <c r="B37295" s="0" t="s">
        <v>7</v>
      </c>
      <c r="C37295" s="0" t="s">
        <v>13492</v>
      </c>
      <c r="D37295" s="0" t="s">
        <v>13493</v>
      </c>
      <c r="E37295" s="0" t="s">
        <v>13493</v>
      </c>
      <c r="F37295" s="0" t="s">
        <v>13493</v>
      </c>
    </row>
    <row r="37296" customFormat="false" ht="12.8" hidden="false" customHeight="false" outlineLevel="0" collapsed="false">
      <c r="B37296" s="0" t="s">
        <v>244</v>
      </c>
      <c r="C37296" s="0" t="s">
        <v>13494</v>
      </c>
      <c r="D37296" s="0" t="s">
        <v>13495</v>
      </c>
      <c r="E37296" s="0" t="s">
        <v>13495</v>
      </c>
      <c r="F37296" s="0" t="s">
        <v>13495</v>
      </c>
    </row>
    <row r="37298" customFormat="false" ht="12.8" hidden="false" customHeight="false" outlineLevel="0" collapsed="false">
      <c r="A37298" s="0" t="s">
        <v>13496</v>
      </c>
      <c r="B37298" s="0" t="str">
        <f aca="false">HYPERLINK("https://lindat.mff.cuni.cz/services/teitok/pdtc10/index.php?action=vallex&amp;frame=v-w5143f12", "přicházet (v-w5143f12)")</f>
        <v>přicházet (v-w5143f12)</v>
      </c>
    </row>
    <row r="37299" customFormat="false" ht="12.8" hidden="false" customHeight="false" outlineLevel="0" collapsed="false">
      <c r="B37299" s="0" t="s">
        <v>7</v>
      </c>
      <c r="C37299" s="0" t="s">
        <v>13497</v>
      </c>
      <c r="D37299" s="0" t="s">
        <v>13498</v>
      </c>
      <c r="E37299" s="0" t="s">
        <v>13498</v>
      </c>
      <c r="F37299" s="0" t="s">
        <v>13498</v>
      </c>
    </row>
    <row r="37300" customFormat="false" ht="12.8" hidden="false" customHeight="false" outlineLevel="0" collapsed="false">
      <c r="B37300" s="0" t="s">
        <v>548</v>
      </c>
      <c r="C37300" s="0" t="s">
        <v>8089</v>
      </c>
      <c r="D37300" s="0" t="s">
        <v>13499</v>
      </c>
      <c r="E37300" s="0" t="s">
        <v>13499</v>
      </c>
      <c r="F37300" s="0" t="s">
        <v>13499</v>
      </c>
    </row>
    <row r="37302" customFormat="false" ht="12.8" hidden="false" customHeight="false" outlineLevel="0" collapsed="false">
      <c r="A37302" s="0" t="s">
        <v>13500</v>
      </c>
      <c r="B37302" s="0" t="str">
        <f aca="false">HYPERLINK("https://lindat.mff.cuni.cz/services/teitok/pdtc10/index.php?action=vallex&amp;frame=v-w5143f19_ZU", "přicházet (v-w5143f19_ZU)")</f>
        <v>přicházet (v-w5143f19_ZU)</v>
      </c>
    </row>
    <row r="37303" customFormat="false" ht="12.8" hidden="false" customHeight="false" outlineLevel="0" collapsed="false">
      <c r="B37303" s="0" t="s">
        <v>7</v>
      </c>
      <c r="C37303" s="0" t="s">
        <v>13501</v>
      </c>
      <c r="D37303" s="0" t="s">
        <v>9818</v>
      </c>
      <c r="E37303" s="0" t="s">
        <v>9818</v>
      </c>
      <c r="F37303" s="0" t="s">
        <v>9818</v>
      </c>
    </row>
    <row r="37304" customFormat="false" ht="12.8" hidden="false" customHeight="false" outlineLevel="0" collapsed="false">
      <c r="B37304" s="0" t="s">
        <v>1490</v>
      </c>
      <c r="D37304" s="0" t="s">
        <v>9820</v>
      </c>
      <c r="E37304" s="0" t="s">
        <v>9820</v>
      </c>
      <c r="F37304" s="0" t="s">
        <v>9820</v>
      </c>
    </row>
    <row r="37306" customFormat="false" ht="12.8" hidden="false" customHeight="false" outlineLevel="0" collapsed="false">
      <c r="A37306" s="0" t="s">
        <v>13502</v>
      </c>
      <c r="B37306" s="0" t="str">
        <f aca="false">HYPERLINK("https://lindat.mff.cuni.cz/services/teitok/pdtc10/index.php?action=vallex&amp;frame=v-w5143f2", "přicházet (v-w5143f2)")</f>
        <v>přicházet (v-w5143f2)</v>
      </c>
    </row>
    <row r="37307" customFormat="false" ht="12.8" hidden="false" customHeight="false" outlineLevel="0" collapsed="false">
      <c r="B37307" s="0" t="s">
        <v>7</v>
      </c>
      <c r="C37307" s="0" t="s">
        <v>13503</v>
      </c>
      <c r="D37307" s="0" t="s">
        <v>13504</v>
      </c>
      <c r="E37307" s="0" t="s">
        <v>13505</v>
      </c>
      <c r="F37307" s="0" t="s">
        <v>13505</v>
      </c>
    </row>
    <row r="37308" customFormat="false" ht="12.8" hidden="false" customHeight="false" outlineLevel="0" collapsed="false">
      <c r="B37308" s="0" t="s">
        <v>124</v>
      </c>
      <c r="C37308" s="0" t="s">
        <v>13506</v>
      </c>
      <c r="D37308" s="0" t="s">
        <v>13507</v>
      </c>
      <c r="E37308" s="0" t="s">
        <v>13507</v>
      </c>
      <c r="F37308" s="0" t="s">
        <v>13507</v>
      </c>
    </row>
    <row r="37310" customFormat="false" ht="12.8" hidden="false" customHeight="false" outlineLevel="0" collapsed="false">
      <c r="A37310" s="0" t="s">
        <v>13508</v>
      </c>
      <c r="B37310" s="0" t="str">
        <f aca="false">HYPERLINK("https://lindat.mff.cuni.cz/services/teitok/pdtc10/index.php?action=vallex&amp;frame=v-w5143f18_ZU", "přicházet (v-w5143f18_ZU)")</f>
        <v>přicházet (v-w5143f18_ZU)</v>
      </c>
    </row>
    <row r="37311" customFormat="false" ht="12.8" hidden="false" customHeight="false" outlineLevel="0" collapsed="false">
      <c r="B37311" s="0" t="s">
        <v>7</v>
      </c>
      <c r="D37311" s="0" t="s">
        <v>1705</v>
      </c>
      <c r="E37311" s="0" t="s">
        <v>1706</v>
      </c>
      <c r="F37311" s="0" t="s">
        <v>1706</v>
      </c>
    </row>
    <row r="37312" customFormat="false" ht="12.8" hidden="false" customHeight="false" outlineLevel="0" collapsed="false">
      <c r="B37312" s="0" t="s">
        <v>279</v>
      </c>
      <c r="D37312" s="0" t="s">
        <v>1707</v>
      </c>
      <c r="E37312" s="0" t="s">
        <v>1707</v>
      </c>
      <c r="F37312" s="0" t="s">
        <v>1707</v>
      </c>
    </row>
    <row r="37314" customFormat="false" ht="12.8" hidden="false" customHeight="false" outlineLevel="0" collapsed="false">
      <c r="A37314" s="0" t="s">
        <v>13509</v>
      </c>
      <c r="B37314" s="0" t="str">
        <f aca="false">HYPERLINK("https://lindat.mff.cuni.cz/services/teitok/pdtc10/index.php?action=vallex&amp;frame=v-w5143f1", "přicházet (v-w5143f1)")</f>
        <v>přicházet (v-w5143f1)</v>
      </c>
    </row>
    <row r="37315" customFormat="false" ht="12.8" hidden="false" customHeight="false" outlineLevel="0" collapsed="false">
      <c r="B37315" s="0" t="s">
        <v>7</v>
      </c>
      <c r="C37315" s="0" t="s">
        <v>13510</v>
      </c>
      <c r="D37315" s="0" t="s">
        <v>1899</v>
      </c>
      <c r="E37315" s="0" t="s">
        <v>1899</v>
      </c>
      <c r="F37315" s="0" t="s">
        <v>1899</v>
      </c>
    </row>
    <row r="37317" customFormat="false" ht="12.8" hidden="false" customHeight="false" outlineLevel="0" collapsed="false">
      <c r="A37317" s="0" t="s">
        <v>13511</v>
      </c>
      <c r="B37317" s="0" t="str">
        <f aca="false">HYPERLINK("https://lindat.mff.cuni.cz/services/teitok/pdtc10/index.php?action=vallex&amp;frame=v-w5143f5", "přicházet (v-w5143f5)")</f>
        <v>přicházet (v-w5143f5)</v>
      </c>
    </row>
    <row r="37318" customFormat="false" ht="12.8" hidden="false" customHeight="false" outlineLevel="0" collapsed="false">
      <c r="B37318" s="0" t="s">
        <v>7</v>
      </c>
    </row>
    <row r="37319" customFormat="false" ht="12.8" hidden="false" customHeight="false" outlineLevel="0" collapsed="false">
      <c r="B37319" s="0" t="s">
        <v>13512</v>
      </c>
    </row>
    <row r="37321" customFormat="false" ht="12.8" hidden="false" customHeight="false" outlineLevel="0" collapsed="false">
      <c r="A37321" s="0" t="s">
        <v>13513</v>
      </c>
      <c r="B37321" s="0" t="str">
        <f aca="false">HYPERLINK("https://lindat.mff.cuni.cz/services/teitok/pdtc10/index.php?action=vallex&amp;frame=v-w5143f14", "přicházet (v-w5143f14)")</f>
        <v>přicházet (v-w5143f14)</v>
      </c>
    </row>
    <row r="37322" customFormat="false" ht="12.8" hidden="false" customHeight="false" outlineLevel="0" collapsed="false">
      <c r="B37322" s="0" t="s">
        <v>7</v>
      </c>
    </row>
    <row r="37323" customFormat="false" ht="12.8" hidden="false" customHeight="false" outlineLevel="0" collapsed="false">
      <c r="B37323" s="0" t="s">
        <v>13514</v>
      </c>
    </row>
    <row r="37325" customFormat="false" ht="12.8" hidden="false" customHeight="false" outlineLevel="0" collapsed="false">
      <c r="A37325" s="0" t="s">
        <v>13515</v>
      </c>
      <c r="B37325" s="0" t="str">
        <f aca="false">HYPERLINK("https://lindat.mff.cuni.cz/services/teitok/pdtc10/index.php?action=vallex&amp;frame=v-w5143f13", "přicházet (v-w5143f13)")</f>
        <v>přicházet (v-w5143f13)</v>
      </c>
    </row>
    <row r="37326" customFormat="false" ht="12.8" hidden="false" customHeight="false" outlineLevel="0" collapsed="false">
      <c r="B37326" s="0" t="s">
        <v>7</v>
      </c>
    </row>
    <row r="37327" customFormat="false" ht="12.8" hidden="false" customHeight="false" outlineLevel="0" collapsed="false">
      <c r="B37327" s="0" t="s">
        <v>13516</v>
      </c>
    </row>
    <row r="37329" customFormat="false" ht="12.8" hidden="false" customHeight="false" outlineLevel="0" collapsed="false">
      <c r="A37329" s="0" t="s">
        <v>13517</v>
      </c>
      <c r="B37329" s="0" t="str">
        <f aca="false">HYPERLINK("https://lindat.mff.cuni.cz/services/teitok/pdtc10/index.php?action=vallex&amp;frame=v-w5143f6", "přicházet (v-w5143f6)")</f>
        <v>přicházet (v-w5143f6)</v>
      </c>
    </row>
    <row r="37330" customFormat="false" ht="12.8" hidden="false" customHeight="false" outlineLevel="0" collapsed="false">
      <c r="B37330" s="0" t="s">
        <v>7</v>
      </c>
      <c r="D37330" s="0" t="s">
        <v>13518</v>
      </c>
      <c r="E37330" s="0" t="s">
        <v>13518</v>
      </c>
      <c r="F37330" s="0" t="s">
        <v>13518</v>
      </c>
    </row>
    <row r="37331" customFormat="false" ht="12.8" hidden="false" customHeight="false" outlineLevel="0" collapsed="false">
      <c r="B37331" s="0" t="s">
        <v>13519</v>
      </c>
      <c r="D37331" s="0" t="s">
        <v>13520</v>
      </c>
      <c r="E37331" s="0" t="s">
        <v>13520</v>
      </c>
      <c r="F37331" s="0" t="s">
        <v>13520</v>
      </c>
    </row>
    <row r="37333" customFormat="false" ht="12.8" hidden="false" customHeight="false" outlineLevel="0" collapsed="false">
      <c r="A37333" s="0" t="s">
        <v>13521</v>
      </c>
      <c r="B37333" s="0" t="str">
        <f aca="false">HYPERLINK("https://lindat.mff.cuni.cz/services/teitok/pdtc10/index.php?action=vallex&amp;frame=v-w5143f24_ZU", "přicházet (v-w5143f24_ZU)")</f>
        <v>přicházet (v-w5143f24_ZU)</v>
      </c>
    </row>
    <row r="37334" customFormat="false" ht="12.8" hidden="false" customHeight="false" outlineLevel="0" collapsed="false">
      <c r="B37334" s="0" t="s">
        <v>3622</v>
      </c>
    </row>
    <row r="37335" customFormat="false" ht="12.8" hidden="false" customHeight="false" outlineLevel="0" collapsed="false">
      <c r="B37335" s="0" t="s">
        <v>13522</v>
      </c>
    </row>
    <row r="37337" customFormat="false" ht="12.8" hidden="false" customHeight="false" outlineLevel="0" collapsed="false">
      <c r="A37337" s="0" t="s">
        <v>13521</v>
      </c>
      <c r="B37337" s="0" t="str">
        <f aca="false">HYPERLINK("https://lindat.mff.cuni.cz/services/teitok/pdtc10/index.php?action=vallex&amp;frame=v-w5143f4", "přicházet (v-w5143f4) - substituted with v-w5143f24_ZU")</f>
        <v>přicházet (v-w5143f4) - substituted with v-w5143f24_ZU</v>
      </c>
    </row>
    <row r="37338" customFormat="false" ht="12.8" hidden="false" customHeight="false" outlineLevel="0" collapsed="false">
      <c r="B37338" s="0" t="s">
        <v>3622</v>
      </c>
      <c r="C37338" s="0" t="s">
        <v>748</v>
      </c>
    </row>
    <row r="37339" customFormat="false" ht="12.8" hidden="false" customHeight="false" outlineLevel="0" collapsed="false">
      <c r="B37339" s="0" t="s">
        <v>13522</v>
      </c>
      <c r="C37339" s="0" t="s">
        <v>13523</v>
      </c>
    </row>
    <row r="37341" customFormat="false" ht="12.8" hidden="false" customHeight="false" outlineLevel="0" collapsed="false">
      <c r="A37341" s="0" t="s">
        <v>13524</v>
      </c>
      <c r="B37341" s="0" t="str">
        <f aca="false">HYPERLINK("https://lindat.mff.cuni.cz/services/teitok/pdtc10/index.php?action=vallex&amp;frame=v-w5143f10", "přicházet (v-w5143f10)")</f>
        <v>přicházet (v-w5143f10)</v>
      </c>
    </row>
    <row r="37342" customFormat="false" ht="12.8" hidden="false" customHeight="false" outlineLevel="0" collapsed="false">
      <c r="B37342" s="0" t="s">
        <v>7</v>
      </c>
    </row>
    <row r="37343" customFormat="false" ht="12.8" hidden="false" customHeight="false" outlineLevel="0" collapsed="false">
      <c r="B37343" s="0" t="s">
        <v>13525</v>
      </c>
    </row>
    <row r="37345" customFormat="false" ht="12.8" hidden="false" customHeight="false" outlineLevel="0" collapsed="false">
      <c r="A37345" s="0" t="s">
        <v>13526</v>
      </c>
      <c r="B37345" s="0" t="str">
        <f aca="false">HYPERLINK("https://lindat.mff.cuni.cz/services/teitok/pdtc10/index.php?action=vallex&amp;frame=v-w5143f7", "přicházet (v-w5143f7)")</f>
        <v>přicházet (v-w5143f7)</v>
      </c>
    </row>
    <row r="37346" customFormat="false" ht="12.8" hidden="false" customHeight="false" outlineLevel="0" collapsed="false">
      <c r="B37346" s="0" t="s">
        <v>7</v>
      </c>
      <c r="C37346" s="0" t="s">
        <v>13527</v>
      </c>
    </row>
    <row r="37347" customFormat="false" ht="12.8" hidden="false" customHeight="false" outlineLevel="0" collapsed="false">
      <c r="B37347" s="0" t="s">
        <v>13528</v>
      </c>
    </row>
    <row r="37349" customFormat="false" ht="12.8" hidden="false" customHeight="false" outlineLevel="0" collapsed="false">
      <c r="A37349" s="0" t="s">
        <v>13529</v>
      </c>
      <c r="B37349" s="0" t="str">
        <f aca="false">HYPERLINK("https://lindat.mff.cuni.cz/services/teitok/pdtc10/index.php?action=vallex&amp;frame=v-w5143f15", "přicházet (v-w5143f15)")</f>
        <v>přicházet (v-w5143f15)</v>
      </c>
    </row>
    <row r="37350" customFormat="false" ht="12.8" hidden="false" customHeight="false" outlineLevel="0" collapsed="false">
      <c r="B37350" s="0" t="s">
        <v>7</v>
      </c>
    </row>
    <row r="37351" customFormat="false" ht="12.8" hidden="false" customHeight="false" outlineLevel="0" collapsed="false">
      <c r="B37351" s="0" t="s">
        <v>13530</v>
      </c>
    </row>
    <row r="37353" customFormat="false" ht="12.8" hidden="false" customHeight="false" outlineLevel="0" collapsed="false">
      <c r="A37353" s="0" t="s">
        <v>13531</v>
      </c>
      <c r="B37353" s="0" t="str">
        <f aca="false">HYPERLINK("https://lindat.mff.cuni.cz/services/teitok/pdtc10/index.php?action=vallex&amp;frame=v-w5143f16", "přicházet (v-w5143f16)")</f>
        <v>přicházet (v-w5143f16)</v>
      </c>
    </row>
    <row r="37354" customFormat="false" ht="12.8" hidden="false" customHeight="false" outlineLevel="0" collapsed="false">
      <c r="B37354" s="0" t="s">
        <v>929</v>
      </c>
    </row>
    <row r="37355" customFormat="false" ht="12.8" hidden="false" customHeight="false" outlineLevel="0" collapsed="false">
      <c r="B37355" s="0" t="s">
        <v>13532</v>
      </c>
    </row>
    <row r="37357" customFormat="false" ht="12.8" hidden="false" customHeight="false" outlineLevel="0" collapsed="false">
      <c r="A37357" s="0" t="s">
        <v>13533</v>
      </c>
      <c r="B37357" s="0" t="str">
        <f aca="false">HYPERLINK("https://lindat.mff.cuni.cz/services/teitok/pdtc10/index.php?action=vallex&amp;frame=v-w5143f21_ZU", "přicházet (v-w5143f21_ZU)")</f>
        <v>přicházet (v-w5143f21_ZU)</v>
      </c>
    </row>
    <row r="37358" customFormat="false" ht="12.8" hidden="false" customHeight="false" outlineLevel="0" collapsed="false">
      <c r="B37358" s="0" t="s">
        <v>7</v>
      </c>
      <c r="C37358" s="0" t="s">
        <v>272</v>
      </c>
    </row>
    <row r="37359" customFormat="false" ht="12.8" hidden="false" customHeight="false" outlineLevel="0" collapsed="false">
      <c r="B37359" s="0" t="s">
        <v>12484</v>
      </c>
    </row>
    <row r="37361" customFormat="false" ht="12.8" hidden="false" customHeight="false" outlineLevel="0" collapsed="false">
      <c r="A37361" s="0" t="s">
        <v>13533</v>
      </c>
      <c r="B37361" s="0" t="str">
        <f aca="false">HYPERLINK("https://lindat.mff.cuni.cz/services/teitok/pdtc10/index.php?action=vallex&amp;frame=v-w5143hsa_773", "přicházet (v-w5143hsa_773) - substituted with v-w5143f21_ZU")</f>
        <v>přicházet (v-w5143hsa_773) - substituted with v-w5143f21_ZU</v>
      </c>
    </row>
    <row r="37362" customFormat="false" ht="12.8" hidden="false" customHeight="false" outlineLevel="0" collapsed="false">
      <c r="B37362" s="0" t="s">
        <v>7</v>
      </c>
    </row>
    <row r="37363" customFormat="false" ht="12.8" hidden="false" customHeight="false" outlineLevel="0" collapsed="false">
      <c r="B37363" s="0" t="s">
        <v>12484</v>
      </c>
    </row>
    <row r="37365" customFormat="false" ht="12.8" hidden="false" customHeight="false" outlineLevel="0" collapsed="false">
      <c r="A37365" s="0" t="s">
        <v>13534</v>
      </c>
      <c r="B37365" s="0" t="str">
        <f aca="false">HYPERLINK("https://lindat.mff.cuni.cz/services/teitok/pdtc10/index.php?action=vallex&amp;frame=v-w5143f22_ZU", "přicházet (v-w5143f22_ZU)")</f>
        <v>přicházet (v-w5143f22_ZU)</v>
      </c>
    </row>
    <row r="37366" customFormat="false" ht="12.8" hidden="false" customHeight="false" outlineLevel="0" collapsed="false">
      <c r="B37366" s="0" t="s">
        <v>7</v>
      </c>
      <c r="C37366" s="0" t="s">
        <v>13527</v>
      </c>
    </row>
    <row r="37367" customFormat="false" ht="12.8" hidden="false" customHeight="false" outlineLevel="0" collapsed="false">
      <c r="B37367" s="0" t="s">
        <v>13535</v>
      </c>
    </row>
    <row r="37369" customFormat="false" ht="12.8" hidden="false" customHeight="false" outlineLevel="0" collapsed="false">
      <c r="A37369" s="0" t="s">
        <v>13534</v>
      </c>
      <c r="B37369" s="0" t="str">
        <f aca="false">HYPERLINK("https://lindat.mff.cuni.cz/services/teitok/pdtc10/index.php?action=vallex&amp;frame=v-w5143hsa_774", "přicházet (v-w5143hsa_774) - substituted with v-w5143f22_ZU")</f>
        <v>přicházet (v-w5143hsa_774) - substituted with v-w5143f22_ZU</v>
      </c>
    </row>
    <row r="37370" customFormat="false" ht="12.8" hidden="false" customHeight="false" outlineLevel="0" collapsed="false">
      <c r="B37370" s="0" t="s">
        <v>7</v>
      </c>
    </row>
    <row r="37371" customFormat="false" ht="12.8" hidden="false" customHeight="false" outlineLevel="0" collapsed="false">
      <c r="B37371" s="0" t="s">
        <v>13535</v>
      </c>
    </row>
    <row r="37373" customFormat="false" ht="12.8" hidden="false" customHeight="false" outlineLevel="0" collapsed="false">
      <c r="A37373" s="0" t="s">
        <v>13536</v>
      </c>
      <c r="B37373" s="0" t="str">
        <f aca="false">HYPERLINK("https://lindat.mff.cuni.cz/services/teitok/pdtc10/index.php?action=vallex&amp;frame=v-w5143f20_ZU", "přicházet (v-w5143f20_ZU)")</f>
        <v>přicházet (v-w5143f20_ZU)</v>
      </c>
    </row>
    <row r="37374" customFormat="false" ht="12.8" hidden="false" customHeight="false" outlineLevel="0" collapsed="false">
      <c r="B37374" s="0" t="s">
        <v>7</v>
      </c>
      <c r="C37374" s="0" t="s">
        <v>13537</v>
      </c>
      <c r="D37374" s="0" t="s">
        <v>9818</v>
      </c>
      <c r="E37374" s="0" t="s">
        <v>9818</v>
      </c>
      <c r="F37374" s="0" t="s">
        <v>9818</v>
      </c>
    </row>
    <row r="37375" customFormat="false" ht="12.8" hidden="false" customHeight="false" outlineLevel="0" collapsed="false">
      <c r="B37375" s="0" t="s">
        <v>8012</v>
      </c>
      <c r="D37375" s="0" t="s">
        <v>9820</v>
      </c>
      <c r="E37375" s="0" t="s">
        <v>9820</v>
      </c>
      <c r="F37375" s="0" t="s">
        <v>9820</v>
      </c>
    </row>
    <row r="37377" customFormat="false" ht="12.8" hidden="false" customHeight="false" outlineLevel="0" collapsed="false">
      <c r="A37377" s="0" t="s">
        <v>13538</v>
      </c>
      <c r="B37377" s="0" t="str">
        <f aca="false">HYPERLINK("https://lindat.mff.cuni.cz/services/teitok/pdtc10/index.php?action=vallex&amp;frame=v-w5143f25_MM", "přicházet (v-w5143f25_MM)")</f>
        <v>přicházet (v-w5143f25_MM)</v>
      </c>
    </row>
    <row r="37378" customFormat="false" ht="12.8" hidden="false" customHeight="false" outlineLevel="0" collapsed="false">
      <c r="B37378" s="0" t="s">
        <v>641</v>
      </c>
    </row>
    <row r="37379" customFormat="false" ht="12.8" hidden="false" customHeight="false" outlineLevel="0" collapsed="false">
      <c r="B37379" s="0" t="s">
        <v>13539</v>
      </c>
    </row>
    <row r="37380" customFormat="false" ht="12.8" hidden="false" customHeight="false" outlineLevel="0" collapsed="false">
      <c r="B37380" s="0" t="s">
        <v>142</v>
      </c>
    </row>
    <row r="37382" customFormat="false" ht="12.8" hidden="false" customHeight="false" outlineLevel="0" collapsed="false">
      <c r="A37382" s="0" t="s">
        <v>13538</v>
      </c>
      <c r="B37382" s="0" t="str">
        <f aca="false">HYPERLINK("https://lindat.mff.cuni.cz/services/teitok/pdtc10/index.php?action=vallex&amp;frame=v-w5143f23_ZU", "přicházet (v-w5143f23_ZU) - substituted with v-w5143f25_MM")</f>
        <v>přicházet (v-w5143f23_ZU) - substituted with v-w5143f25_MM</v>
      </c>
    </row>
    <row r="37383" customFormat="false" ht="12.8" hidden="false" customHeight="false" outlineLevel="0" collapsed="false">
      <c r="B37383" s="0" t="s">
        <v>641</v>
      </c>
    </row>
    <row r="37384" customFormat="false" ht="12.8" hidden="false" customHeight="false" outlineLevel="0" collapsed="false">
      <c r="B37384" s="0" t="s">
        <v>13539</v>
      </c>
    </row>
    <row r="37385" customFormat="false" ht="12.8" hidden="false" customHeight="false" outlineLevel="0" collapsed="false">
      <c r="B37385" s="0" t="s">
        <v>142</v>
      </c>
    </row>
    <row r="37387" customFormat="false" ht="12.8" hidden="false" customHeight="false" outlineLevel="0" collapsed="false">
      <c r="A37387" s="0" t="s">
        <v>13540</v>
      </c>
      <c r="B37387" s="0" t="str">
        <f aca="false">HYPERLINK("https://lindat.mff.cuni.cz/services/teitok/pdtc10/index.php?action=vallex&amp;frame=v-w5143hsa_1724", "přicházet (v-w5143hsa_1724)")</f>
        <v>přicházet (v-w5143hsa_1724)</v>
      </c>
    </row>
    <row r="37388" customFormat="false" ht="12.8" hidden="false" customHeight="false" outlineLevel="0" collapsed="false">
      <c r="B37388" s="0" t="s">
        <v>7</v>
      </c>
    </row>
    <row r="37389" customFormat="false" ht="12.8" hidden="false" customHeight="false" outlineLevel="0" collapsed="false">
      <c r="B37389" s="0" t="s">
        <v>8012</v>
      </c>
    </row>
    <row r="37391" customFormat="false" ht="12.8" hidden="false" customHeight="false" outlineLevel="0" collapsed="false">
      <c r="A37391" s="0" t="s">
        <v>13541</v>
      </c>
      <c r="B37391" s="0" t="str">
        <f aca="false">HYPERLINK("https://lindat.mff.cuni.cz/services/teitok/pdtc10/index.php?action=vallex&amp;frame=v-w5144f1", "přicházet si (v-w5144f1)")</f>
        <v>přicházet si (v-w5144f1)</v>
      </c>
    </row>
    <row r="37392" customFormat="false" ht="12.8" hidden="false" customHeight="false" outlineLevel="0" collapsed="false">
      <c r="B37392" s="0" t="s">
        <v>7</v>
      </c>
    </row>
    <row r="37393" customFormat="false" ht="12.8" hidden="false" customHeight="false" outlineLevel="0" collapsed="false">
      <c r="B37393" s="0" t="s">
        <v>13542</v>
      </c>
    </row>
    <row r="37395" customFormat="false" ht="12.8" hidden="false" customHeight="false" outlineLevel="0" collapsed="false">
      <c r="A37395" s="0" t="s">
        <v>13543</v>
      </c>
      <c r="B37395" s="0" t="str">
        <f aca="false">HYPERLINK("https://lindat.mff.cuni.cz/services/teitok/pdtc10/index.php?action=vallex&amp;frame=v-w12304_MMf1_MM", "přicmrdovat (v-w12304_MMf1_MM)")</f>
        <v>přicmrdovat (v-w12304_MMf1_MM)</v>
      </c>
    </row>
    <row r="37396" customFormat="false" ht="12.8" hidden="false" customHeight="false" outlineLevel="0" collapsed="false">
      <c r="B37396" s="0" t="s">
        <v>7</v>
      </c>
    </row>
    <row r="37397" customFormat="false" ht="12.8" hidden="false" customHeight="false" outlineLevel="0" collapsed="false">
      <c r="B37397" s="0" t="s">
        <v>48</v>
      </c>
    </row>
    <row r="37398" customFormat="false" ht="12.8" hidden="false" customHeight="false" outlineLevel="0" collapsed="false">
      <c r="B37398" s="0" t="s">
        <v>13544</v>
      </c>
    </row>
    <row r="37400" customFormat="false" ht="12.8" hidden="false" customHeight="false" outlineLevel="0" collapsed="false">
      <c r="A37400" s="0" t="s">
        <v>13545</v>
      </c>
      <c r="B37400" s="0" t="str">
        <f aca="false">HYPERLINK("https://lindat.mff.cuni.cz/services/teitok/pdtc10/index.php?action=vallex&amp;frame=v-w5103f2", "přidat (v-w5103f2)")</f>
        <v>přidat (v-w5103f2)</v>
      </c>
    </row>
    <row r="37401" customFormat="false" ht="12.8" hidden="false" customHeight="false" outlineLevel="0" collapsed="false">
      <c r="B37401" s="0" t="s">
        <v>7</v>
      </c>
      <c r="C37401" s="0" t="s">
        <v>13546</v>
      </c>
      <c r="D37401" s="0" t="s">
        <v>1740</v>
      </c>
      <c r="E37401" s="0" t="s">
        <v>1740</v>
      </c>
      <c r="F37401" s="0" t="s">
        <v>1740</v>
      </c>
    </row>
    <row r="37402" customFormat="false" ht="12.8" hidden="false" customHeight="false" outlineLevel="0" collapsed="false">
      <c r="B37402" s="0" t="s">
        <v>6288</v>
      </c>
      <c r="C37402" s="0" t="s">
        <v>13547</v>
      </c>
      <c r="D37402" s="0" t="s">
        <v>1743</v>
      </c>
      <c r="E37402" s="0" t="s">
        <v>1743</v>
      </c>
      <c r="F37402" s="0" t="s">
        <v>1743</v>
      </c>
    </row>
    <row r="37403" customFormat="false" ht="12.8" hidden="false" customHeight="false" outlineLevel="0" collapsed="false">
      <c r="B37403" s="0" t="s">
        <v>48</v>
      </c>
    </row>
    <row r="37405" customFormat="false" ht="12.8" hidden="false" customHeight="false" outlineLevel="0" collapsed="false">
      <c r="A37405" s="0" t="s">
        <v>13548</v>
      </c>
      <c r="B37405" s="0" t="str">
        <f aca="false">HYPERLINK("https://lindat.mff.cuni.cz/services/teitok/pdtc10/index.php?action=vallex&amp;frame=v-w5103f4_ZU", "přidat (v-w5103f4_ZU)")</f>
        <v>přidat (v-w5103f4_ZU)</v>
      </c>
    </row>
    <row r="37406" customFormat="false" ht="12.8" hidden="false" customHeight="false" outlineLevel="0" collapsed="false">
      <c r="B37406" s="0" t="s">
        <v>7</v>
      </c>
      <c r="C37406" s="0" t="s">
        <v>1753</v>
      </c>
    </row>
    <row r="37407" customFormat="false" ht="12.8" hidden="false" customHeight="false" outlineLevel="0" collapsed="false">
      <c r="B37407" s="0" t="s">
        <v>14</v>
      </c>
      <c r="C37407" s="0" t="s">
        <v>1754</v>
      </c>
    </row>
    <row r="37408" customFormat="false" ht="12.8" hidden="false" customHeight="false" outlineLevel="0" collapsed="false">
      <c r="B37408" s="0" t="s">
        <v>1755</v>
      </c>
      <c r="C37408" s="0" t="s">
        <v>1756</v>
      </c>
    </row>
    <row r="37410" customFormat="false" ht="12.8" hidden="false" customHeight="false" outlineLevel="0" collapsed="false">
      <c r="A37410" s="0" t="s">
        <v>13549</v>
      </c>
      <c r="B37410" s="0" t="str">
        <f aca="false">HYPERLINK("https://lindat.mff.cuni.cz/services/teitok/pdtc10/index.php?action=vallex&amp;frame=v-w5103f1", "přidat (v-w5103f1)")</f>
        <v>přidat (v-w5103f1)</v>
      </c>
    </row>
    <row r="37411" customFormat="false" ht="12.8" hidden="false" customHeight="false" outlineLevel="0" collapsed="false">
      <c r="B37411" s="0" t="s">
        <v>7</v>
      </c>
      <c r="C37411" s="0" t="s">
        <v>13550</v>
      </c>
      <c r="D37411" s="0" t="s">
        <v>13551</v>
      </c>
      <c r="E37411" s="0" t="s">
        <v>13551</v>
      </c>
      <c r="F37411" s="0" t="s">
        <v>13551</v>
      </c>
    </row>
    <row r="37412" customFormat="false" ht="12.8" hidden="false" customHeight="false" outlineLevel="0" collapsed="false">
      <c r="B37412" s="0" t="s">
        <v>14</v>
      </c>
      <c r="C37412" s="0" t="s">
        <v>13552</v>
      </c>
      <c r="D37412" s="0" t="s">
        <v>13553</v>
      </c>
      <c r="E37412" s="0" t="s">
        <v>13553</v>
      </c>
      <c r="F37412" s="0" t="s">
        <v>13553</v>
      </c>
    </row>
    <row r="37413" customFormat="false" ht="12.8" hidden="false" customHeight="false" outlineLevel="0" collapsed="false">
      <c r="B37413" s="0" t="s">
        <v>124</v>
      </c>
      <c r="C37413" s="0" t="s">
        <v>13554</v>
      </c>
      <c r="D37413" s="0" t="s">
        <v>13555</v>
      </c>
      <c r="E37413" s="0" t="s">
        <v>13555</v>
      </c>
      <c r="F37413" s="0" t="s">
        <v>13555</v>
      </c>
    </row>
    <row r="37415" customFormat="false" ht="12.8" hidden="false" customHeight="false" outlineLevel="0" collapsed="false">
      <c r="A37415" s="0" t="s">
        <v>13556</v>
      </c>
      <c r="B37415" s="0" t="str">
        <f aca="false">HYPERLINK("https://lindat.mff.cuni.cz/services/teitok/pdtc10/index.php?action=vallex&amp;frame=v-w5103f5_ZU", "přidat (v-w5103f5_ZU)")</f>
        <v>přidat (v-w5103f5_ZU)</v>
      </c>
    </row>
    <row r="37416" customFormat="false" ht="12.8" hidden="false" customHeight="false" outlineLevel="0" collapsed="false">
      <c r="B37416" s="0" t="s">
        <v>7</v>
      </c>
    </row>
    <row r="37417" customFormat="false" ht="12.8" hidden="false" customHeight="false" outlineLevel="0" collapsed="false">
      <c r="B37417" s="0" t="s">
        <v>6288</v>
      </c>
    </row>
    <row r="37419" customFormat="false" ht="12.8" hidden="false" customHeight="false" outlineLevel="0" collapsed="false">
      <c r="A37419" s="0" t="s">
        <v>13556</v>
      </c>
      <c r="B37419" s="0" t="str">
        <f aca="false">HYPERLINK("https://lindat.mff.cuni.cz/services/teitok/pdtc10/index.php?action=vallex&amp;frame=v-w5103f3", "přidat (v-w5103f3) - substituted with v-w5103f5_ZU")</f>
        <v>přidat (v-w5103f3) - substituted with v-w5103f5_ZU</v>
      </c>
    </row>
    <row r="37420" customFormat="false" ht="12.8" hidden="false" customHeight="false" outlineLevel="0" collapsed="false">
      <c r="B37420" s="0" t="s">
        <v>7</v>
      </c>
      <c r="C37420" s="0" t="s">
        <v>13557</v>
      </c>
    </row>
    <row r="37421" customFormat="false" ht="12.8" hidden="false" customHeight="false" outlineLevel="0" collapsed="false">
      <c r="B37421" s="0" t="s">
        <v>6288</v>
      </c>
      <c r="C37421" s="0" t="s">
        <v>13558</v>
      </c>
    </row>
    <row r="37423" customFormat="false" ht="12.8" hidden="false" customHeight="false" outlineLevel="0" collapsed="false">
      <c r="A37423" s="0" t="s">
        <v>13559</v>
      </c>
      <c r="B37423" s="0" t="str">
        <f aca="false">HYPERLINK("https://lindat.mff.cuni.cz/services/teitok/pdtc10/index.php?action=vallex&amp;frame=v-w5104f2", "přidat se (v-w5104f2)")</f>
        <v>přidat se (v-w5104f2)</v>
      </c>
    </row>
    <row r="37424" customFormat="false" ht="12.8" hidden="false" customHeight="false" outlineLevel="0" collapsed="false">
      <c r="B37424" s="0" t="s">
        <v>7</v>
      </c>
      <c r="C37424" s="0" t="s">
        <v>13560</v>
      </c>
      <c r="D37424" s="0" t="s">
        <v>141</v>
      </c>
      <c r="E37424" s="0" t="s">
        <v>141</v>
      </c>
      <c r="F37424" s="0" t="s">
        <v>141</v>
      </c>
    </row>
    <row r="37425" customFormat="false" ht="12.8" hidden="false" customHeight="false" outlineLevel="0" collapsed="false">
      <c r="B37425" s="0" t="s">
        <v>237</v>
      </c>
      <c r="C37425" s="0" t="s">
        <v>3244</v>
      </c>
      <c r="D37425" s="0" t="s">
        <v>144</v>
      </c>
      <c r="E37425" s="0" t="s">
        <v>144</v>
      </c>
      <c r="F37425" s="0" t="s">
        <v>144</v>
      </c>
    </row>
    <row r="37427" customFormat="false" ht="12.8" hidden="false" customHeight="false" outlineLevel="0" collapsed="false">
      <c r="A37427" s="0" t="s">
        <v>13561</v>
      </c>
      <c r="B37427" s="0" t="str">
        <f aca="false">HYPERLINK("https://lindat.mff.cuni.cz/services/teitok/pdtc10/index.php?action=vallex&amp;frame=v-w5104f1", "přidat se (v-w5104f1)")</f>
        <v>přidat se (v-w5104f1)</v>
      </c>
    </row>
    <row r="37428" customFormat="false" ht="12.8" hidden="false" customHeight="false" outlineLevel="0" collapsed="false">
      <c r="B37428" s="0" t="s">
        <v>7</v>
      </c>
      <c r="C37428" s="0" t="s">
        <v>13562</v>
      </c>
      <c r="D37428" s="0" t="s">
        <v>3837</v>
      </c>
      <c r="E37428" s="0" t="s">
        <v>3837</v>
      </c>
      <c r="F37428" s="0" t="s">
        <v>3837</v>
      </c>
    </row>
    <row r="37429" customFormat="false" ht="12.8" hidden="false" customHeight="false" outlineLevel="0" collapsed="false">
      <c r="B37429" s="0" t="s">
        <v>124</v>
      </c>
      <c r="C37429" s="0" t="s">
        <v>13563</v>
      </c>
      <c r="D37429" s="0" t="s">
        <v>7040</v>
      </c>
      <c r="E37429" s="0" t="s">
        <v>7040</v>
      </c>
      <c r="F37429" s="0" t="s">
        <v>7040</v>
      </c>
    </row>
    <row r="37431" customFormat="false" ht="12.8" hidden="false" customHeight="false" outlineLevel="0" collapsed="false">
      <c r="A37431" s="0" t="s">
        <v>13564</v>
      </c>
      <c r="B37431" s="0" t="str">
        <f aca="false">HYPERLINK("https://lindat.mff.cuni.cz/services/teitok/pdtc10/index.php?action=vallex&amp;frame=v-w11490f1", "přidružit se (v-w11490f1)")</f>
        <v>přidružit se (v-w11490f1)</v>
      </c>
    </row>
    <row r="37432" customFormat="false" ht="12.8" hidden="false" customHeight="false" outlineLevel="0" collapsed="false">
      <c r="B37432" s="0" t="s">
        <v>7</v>
      </c>
      <c r="D37432" s="0" t="s">
        <v>3837</v>
      </c>
      <c r="E37432" s="0" t="s">
        <v>3837</v>
      </c>
      <c r="F37432" s="0" t="s">
        <v>3837</v>
      </c>
    </row>
    <row r="37433" customFormat="false" ht="12.8" hidden="false" customHeight="false" outlineLevel="0" collapsed="false">
      <c r="B37433" s="0" t="s">
        <v>237</v>
      </c>
      <c r="D37433" s="0" t="s">
        <v>1918</v>
      </c>
      <c r="E37433" s="0" t="s">
        <v>1918</v>
      </c>
      <c r="F37433" s="0" t="s">
        <v>1918</v>
      </c>
    </row>
    <row r="37435" customFormat="false" ht="12.8" hidden="false" customHeight="false" outlineLevel="0" collapsed="false">
      <c r="A37435" s="0" t="s">
        <v>13565</v>
      </c>
      <c r="B37435" s="0" t="str">
        <f aca="false">HYPERLINK("https://lindat.mff.cuni.cz/services/teitok/pdtc10/index.php?action=vallex&amp;frame=v-w5118f1", "přidržet se (v-w5118f1)")</f>
        <v>přidržet se (v-w5118f1)</v>
      </c>
    </row>
    <row r="37436" customFormat="false" ht="12.8" hidden="false" customHeight="false" outlineLevel="0" collapsed="false">
      <c r="B37436" s="0" t="s">
        <v>7</v>
      </c>
      <c r="C37436" s="0" t="s">
        <v>184</v>
      </c>
    </row>
    <row r="37437" customFormat="false" ht="12.8" hidden="false" customHeight="false" outlineLevel="0" collapsed="false">
      <c r="B37437" s="0" t="s">
        <v>1087</v>
      </c>
      <c r="C37437" s="0" t="s">
        <v>115</v>
      </c>
    </row>
    <row r="37439" customFormat="false" ht="12.8" hidden="false" customHeight="false" outlineLevel="0" collapsed="false">
      <c r="A37439" s="0" t="s">
        <v>13566</v>
      </c>
      <c r="B37439" s="0" t="str">
        <f aca="false">HYPERLINK("https://lindat.mff.cuni.cz/services/teitok/pdtc10/index.php?action=vallex&amp;frame=v-w5118f2", "přidržet se (v-w5118f2)")</f>
        <v>přidržet se (v-w5118f2)</v>
      </c>
    </row>
    <row r="37440" customFormat="false" ht="12.8" hidden="false" customHeight="false" outlineLevel="0" collapsed="false">
      <c r="B37440" s="0" t="s">
        <v>7</v>
      </c>
    </row>
    <row r="37441" customFormat="false" ht="12.8" hidden="false" customHeight="false" outlineLevel="0" collapsed="false">
      <c r="B37441" s="0" t="s">
        <v>1087</v>
      </c>
    </row>
    <row r="37443" customFormat="false" ht="12.8" hidden="false" customHeight="false" outlineLevel="0" collapsed="false">
      <c r="A37443" s="0" t="s">
        <v>13567</v>
      </c>
      <c r="B37443" s="0" t="str">
        <f aca="false">HYPERLINK("https://lindat.mff.cuni.cz/services/teitok/pdtc10/index.php?action=vallex&amp;frame=v-w12011_ZUf1_ZU", "přidržovat (v-w12011_ZUf1_ZU)")</f>
        <v>přidržovat (v-w12011_ZUf1_ZU)</v>
      </c>
    </row>
    <row r="37444" customFormat="false" ht="12.8" hidden="false" customHeight="false" outlineLevel="0" collapsed="false">
      <c r="B37444" s="0" t="s">
        <v>7</v>
      </c>
    </row>
    <row r="37445" customFormat="false" ht="12.8" hidden="false" customHeight="false" outlineLevel="0" collapsed="false">
      <c r="B37445" s="0" t="s">
        <v>14</v>
      </c>
    </row>
    <row r="37447" customFormat="false" ht="12.8" hidden="false" customHeight="false" outlineLevel="0" collapsed="false">
      <c r="A37447" s="0" t="s">
        <v>13568</v>
      </c>
      <c r="B37447" s="0" t="str">
        <f aca="false">HYPERLINK("https://lindat.mff.cuni.cz/services/teitok/pdtc10/index.php?action=vallex&amp;frame=v-w5106f2", "přidávat (v-w5106f2)")</f>
        <v>přidávat (v-w5106f2)</v>
      </c>
    </row>
    <row r="37448" customFormat="false" ht="12.8" hidden="false" customHeight="false" outlineLevel="0" collapsed="false">
      <c r="B37448" s="0" t="s">
        <v>7</v>
      </c>
      <c r="C37448" s="0" t="s">
        <v>7720</v>
      </c>
      <c r="D37448" s="0" t="s">
        <v>1740</v>
      </c>
      <c r="E37448" s="0" t="s">
        <v>1740</v>
      </c>
      <c r="F37448" s="0" t="s">
        <v>1740</v>
      </c>
    </row>
    <row r="37449" customFormat="false" ht="12.8" hidden="false" customHeight="false" outlineLevel="0" collapsed="false">
      <c r="B37449" s="0" t="s">
        <v>6288</v>
      </c>
      <c r="C37449" s="0" t="s">
        <v>1367</v>
      </c>
      <c r="D37449" s="0" t="s">
        <v>1743</v>
      </c>
      <c r="E37449" s="0" t="s">
        <v>1743</v>
      </c>
      <c r="F37449" s="0" t="s">
        <v>1743</v>
      </c>
    </row>
    <row r="37450" customFormat="false" ht="12.8" hidden="false" customHeight="false" outlineLevel="0" collapsed="false">
      <c r="B37450" s="0" t="s">
        <v>48</v>
      </c>
    </row>
    <row r="37452" customFormat="false" ht="12.8" hidden="false" customHeight="false" outlineLevel="0" collapsed="false">
      <c r="A37452" s="0" t="s">
        <v>13569</v>
      </c>
      <c r="B37452" s="0" t="str">
        <f aca="false">HYPERLINK("https://lindat.mff.cuni.cz/services/teitok/pdtc10/index.php?action=vallex&amp;frame=v-w5106f1", "přidávat (v-w5106f1)")</f>
        <v>přidávat (v-w5106f1)</v>
      </c>
    </row>
    <row r="37453" customFormat="false" ht="12.8" hidden="false" customHeight="false" outlineLevel="0" collapsed="false">
      <c r="B37453" s="0" t="s">
        <v>7</v>
      </c>
      <c r="C37453" s="0" t="s">
        <v>11189</v>
      </c>
      <c r="D37453" s="0" t="s">
        <v>13551</v>
      </c>
      <c r="E37453" s="0" t="s">
        <v>13551</v>
      </c>
      <c r="F37453" s="0" t="s">
        <v>13551</v>
      </c>
    </row>
    <row r="37454" customFormat="false" ht="12.8" hidden="false" customHeight="false" outlineLevel="0" collapsed="false">
      <c r="B37454" s="0" t="s">
        <v>14</v>
      </c>
      <c r="C37454" s="0" t="s">
        <v>12227</v>
      </c>
      <c r="D37454" s="0" t="s">
        <v>13553</v>
      </c>
      <c r="E37454" s="0" t="s">
        <v>13553</v>
      </c>
      <c r="F37454" s="0" t="s">
        <v>13553</v>
      </c>
    </row>
    <row r="37455" customFormat="false" ht="12.8" hidden="false" customHeight="false" outlineLevel="0" collapsed="false">
      <c r="B37455" s="0" t="s">
        <v>124</v>
      </c>
      <c r="C37455" s="0" t="s">
        <v>4440</v>
      </c>
      <c r="D37455" s="0" t="s">
        <v>13555</v>
      </c>
      <c r="E37455" s="0" t="s">
        <v>13555</v>
      </c>
      <c r="F37455" s="0" t="s">
        <v>13555</v>
      </c>
    </row>
    <row r="37457" customFormat="false" ht="12.8" hidden="false" customHeight="false" outlineLevel="0" collapsed="false">
      <c r="A37457" s="0" t="s">
        <v>13570</v>
      </c>
      <c r="B37457" s="0" t="str">
        <f aca="false">HYPERLINK("https://lindat.mff.cuni.cz/services/teitok/pdtc10/index.php?action=vallex&amp;frame=v-w5106f3", "přidávat (v-w5106f3)")</f>
        <v>přidávat (v-w5106f3)</v>
      </c>
    </row>
    <row r="37458" customFormat="false" ht="12.8" hidden="false" customHeight="false" outlineLevel="0" collapsed="false">
      <c r="B37458" s="0" t="s">
        <v>7</v>
      </c>
      <c r="C37458" s="0" t="s">
        <v>13571</v>
      </c>
      <c r="D37458" s="0" t="s">
        <v>1740</v>
      </c>
      <c r="E37458" s="0" t="s">
        <v>1740</v>
      </c>
      <c r="F37458" s="0" t="s">
        <v>1740</v>
      </c>
    </row>
    <row r="37459" customFormat="false" ht="12.8" hidden="false" customHeight="false" outlineLevel="0" collapsed="false">
      <c r="B37459" s="0" t="s">
        <v>14</v>
      </c>
      <c r="C37459" s="0" t="s">
        <v>1367</v>
      </c>
      <c r="D37459" s="0" t="s">
        <v>1743</v>
      </c>
      <c r="E37459" s="0" t="s">
        <v>1743</v>
      </c>
      <c r="F37459" s="0" t="s">
        <v>1743</v>
      </c>
    </row>
    <row r="37461" customFormat="false" ht="12.8" hidden="false" customHeight="false" outlineLevel="0" collapsed="false">
      <c r="A37461" s="0" t="s">
        <v>13572</v>
      </c>
      <c r="B37461" s="0" t="str">
        <f aca="false">HYPERLINK("https://lindat.mff.cuni.cz/services/teitok/pdtc10/index.php?action=vallex&amp;frame=v-w5107f1", "přidávat se (v-w5107f1)")</f>
        <v>přidávat se (v-w5107f1)</v>
      </c>
    </row>
    <row r="37462" customFormat="false" ht="12.8" hidden="false" customHeight="false" outlineLevel="0" collapsed="false">
      <c r="B37462" s="0" t="s">
        <v>7</v>
      </c>
      <c r="C37462" s="0" t="s">
        <v>9355</v>
      </c>
      <c r="D37462" s="0" t="s">
        <v>141</v>
      </c>
      <c r="E37462" s="0" t="s">
        <v>141</v>
      </c>
      <c r="F37462" s="0" t="s">
        <v>141</v>
      </c>
    </row>
    <row r="37463" customFormat="false" ht="12.8" hidden="false" customHeight="false" outlineLevel="0" collapsed="false">
      <c r="B37463" s="0" t="s">
        <v>237</v>
      </c>
      <c r="C37463" s="0" t="s">
        <v>7053</v>
      </c>
      <c r="D37463" s="0" t="s">
        <v>144</v>
      </c>
      <c r="E37463" s="0" t="s">
        <v>144</v>
      </c>
      <c r="F37463" s="0" t="s">
        <v>144</v>
      </c>
    </row>
    <row r="37465" customFormat="false" ht="12.8" hidden="false" customHeight="false" outlineLevel="0" collapsed="false">
      <c r="A37465" s="0" t="s">
        <v>13573</v>
      </c>
      <c r="B37465" s="0" t="str">
        <f aca="false">HYPERLINK("https://lindat.mff.cuni.cz/services/teitok/pdtc10/index.php?action=vallex&amp;frame=v-w5107f2", "přidávat se (v-w5107f2)")</f>
        <v>přidávat se (v-w5107f2)</v>
      </c>
    </row>
    <row r="37466" customFormat="false" ht="12.8" hidden="false" customHeight="false" outlineLevel="0" collapsed="false">
      <c r="B37466" s="0" t="s">
        <v>7</v>
      </c>
      <c r="D37466" s="0" t="s">
        <v>3837</v>
      </c>
      <c r="E37466" s="0" t="s">
        <v>3837</v>
      </c>
      <c r="F37466" s="0" t="s">
        <v>3837</v>
      </c>
    </row>
    <row r="37467" customFormat="false" ht="12.8" hidden="false" customHeight="false" outlineLevel="0" collapsed="false">
      <c r="B37467" s="0" t="s">
        <v>124</v>
      </c>
      <c r="D37467" s="0" t="s">
        <v>7040</v>
      </c>
      <c r="E37467" s="0" t="s">
        <v>7040</v>
      </c>
      <c r="F37467" s="0" t="s">
        <v>7040</v>
      </c>
    </row>
    <row r="37469" customFormat="false" ht="12.8" hidden="false" customHeight="false" outlineLevel="0" collapsed="false">
      <c r="A37469" s="0" t="s">
        <v>13574</v>
      </c>
      <c r="B37469" s="0" t="str">
        <f aca="false">HYPERLINK("https://lindat.mff.cuni.cz/services/teitok/pdtc10/index.php?action=vallex&amp;frame=v-w5110f1", "přidělat (v-w5110f1)")</f>
        <v>přidělat (v-w5110f1)</v>
      </c>
    </row>
    <row r="37470" customFormat="false" ht="12.8" hidden="false" customHeight="false" outlineLevel="0" collapsed="false">
      <c r="B37470" s="0" t="s">
        <v>7</v>
      </c>
    </row>
    <row r="37471" customFormat="false" ht="12.8" hidden="false" customHeight="false" outlineLevel="0" collapsed="false">
      <c r="B37471" s="0" t="s">
        <v>14</v>
      </c>
    </row>
    <row r="37472" customFormat="false" ht="12.8" hidden="false" customHeight="false" outlineLevel="0" collapsed="false">
      <c r="B37472" s="0" t="s">
        <v>48</v>
      </c>
    </row>
    <row r="37474" customFormat="false" ht="12.8" hidden="false" customHeight="false" outlineLevel="0" collapsed="false">
      <c r="A37474" s="0" t="s">
        <v>13575</v>
      </c>
      <c r="B37474" s="0" t="str">
        <f aca="false">HYPERLINK("https://lindat.mff.cuni.cz/services/teitok/pdtc10/index.php?action=vallex&amp;frame=v-w5110f2_ZU", "přidělat (v-w5110f2_ZU)")</f>
        <v>přidělat (v-w5110f2_ZU)</v>
      </c>
    </row>
    <row r="37475" customFormat="false" ht="12.8" hidden="false" customHeight="false" outlineLevel="0" collapsed="false">
      <c r="B37475" s="0" t="s">
        <v>7</v>
      </c>
    </row>
    <row r="37476" customFormat="false" ht="12.8" hidden="false" customHeight="false" outlineLevel="0" collapsed="false">
      <c r="B37476" s="0" t="s">
        <v>4381</v>
      </c>
    </row>
    <row r="37477" customFormat="false" ht="12.8" hidden="false" customHeight="false" outlineLevel="0" collapsed="false">
      <c r="B37477" s="0" t="s">
        <v>35</v>
      </c>
    </row>
    <row r="37479" customFormat="false" ht="12.8" hidden="false" customHeight="false" outlineLevel="0" collapsed="false">
      <c r="A37479" s="0" t="s">
        <v>13575</v>
      </c>
      <c r="B37479" s="0" t="str">
        <f aca="false">HYPERLINK("https://lindat.mff.cuni.cz/services/teitok/pdtc10/index.php?action=vallex&amp;frame=v-w5110hsa_1641", "přidělat (v-w5110hsa_1641) - substituted with v-w5110f2_ZU")</f>
        <v>přidělat (v-w5110hsa_1641) - substituted with v-w5110f2_ZU</v>
      </c>
    </row>
    <row r="37480" customFormat="false" ht="12.8" hidden="false" customHeight="false" outlineLevel="0" collapsed="false">
      <c r="B37480" s="0" t="s">
        <v>7</v>
      </c>
    </row>
    <row r="37481" customFormat="false" ht="12.8" hidden="false" customHeight="false" outlineLevel="0" collapsed="false">
      <c r="B37481" s="0" t="s">
        <v>4381</v>
      </c>
    </row>
    <row r="37482" customFormat="false" ht="12.8" hidden="false" customHeight="false" outlineLevel="0" collapsed="false">
      <c r="B37482" s="0" t="s">
        <v>35</v>
      </c>
    </row>
    <row r="37484" customFormat="false" ht="12.8" hidden="false" customHeight="false" outlineLevel="0" collapsed="false">
      <c r="A37484" s="0" t="s">
        <v>13576</v>
      </c>
      <c r="B37484" s="0" t="str">
        <f aca="false">HYPERLINK("https://lindat.mff.cuni.cz/services/teitok/pdtc10/index.php?action=vallex&amp;frame=v-w5114f1", "přidělit (v-w5114f1)")</f>
        <v>přidělit (v-w5114f1)</v>
      </c>
    </row>
    <row r="37485" customFormat="false" ht="12.8" hidden="false" customHeight="false" outlineLevel="0" collapsed="false">
      <c r="B37485" s="0" t="s">
        <v>7</v>
      </c>
      <c r="C37485" s="0" t="s">
        <v>2560</v>
      </c>
      <c r="D37485" s="0" t="s">
        <v>13577</v>
      </c>
      <c r="E37485" s="0" t="s">
        <v>13577</v>
      </c>
      <c r="F37485" s="0" t="s">
        <v>13577</v>
      </c>
    </row>
    <row r="37486" customFormat="false" ht="12.8" hidden="false" customHeight="false" outlineLevel="0" collapsed="false">
      <c r="B37486" s="0" t="s">
        <v>14</v>
      </c>
      <c r="C37486" s="0" t="s">
        <v>13578</v>
      </c>
      <c r="D37486" s="0" t="s">
        <v>13579</v>
      </c>
      <c r="E37486" s="0" t="s">
        <v>13579</v>
      </c>
      <c r="F37486" s="0" t="s">
        <v>13579</v>
      </c>
    </row>
    <row r="37487" customFormat="false" ht="12.8" hidden="false" customHeight="false" outlineLevel="0" collapsed="false">
      <c r="B37487" s="0" t="s">
        <v>48</v>
      </c>
      <c r="C37487" s="0" t="s">
        <v>13580</v>
      </c>
      <c r="D37487" s="0" t="s">
        <v>13581</v>
      </c>
      <c r="E37487" s="0" t="s">
        <v>13581</v>
      </c>
      <c r="F37487" s="0" t="s">
        <v>13581</v>
      </c>
    </row>
    <row r="37489" customFormat="false" ht="12.8" hidden="false" customHeight="false" outlineLevel="0" collapsed="false">
      <c r="A37489" s="0" t="s">
        <v>13582</v>
      </c>
      <c r="B37489" s="0" t="str">
        <f aca="false">HYPERLINK("https://lindat.mff.cuni.cz/services/teitok/pdtc10/index.php?action=vallex&amp;frame=v-w5114hsa_76", "přidělit (v-w5114hsa_76)")</f>
        <v>přidělit (v-w5114hsa_76)</v>
      </c>
    </row>
    <row r="37490" customFormat="false" ht="12.8" hidden="false" customHeight="false" outlineLevel="0" collapsed="false">
      <c r="B37490" s="0" t="s">
        <v>7</v>
      </c>
      <c r="C37490" s="0" t="s">
        <v>335</v>
      </c>
    </row>
    <row r="37491" customFormat="false" ht="12.8" hidden="false" customHeight="false" outlineLevel="0" collapsed="false">
      <c r="B37491" s="0" t="s">
        <v>14</v>
      </c>
      <c r="C37491" s="0" t="s">
        <v>10937</v>
      </c>
    </row>
    <row r="37492" customFormat="false" ht="12.8" hidden="false" customHeight="false" outlineLevel="0" collapsed="false">
      <c r="B37492" s="0" t="s">
        <v>124</v>
      </c>
      <c r="C37492" s="0" t="s">
        <v>13583</v>
      </c>
    </row>
    <row r="37494" customFormat="false" ht="12.8" hidden="false" customHeight="false" outlineLevel="0" collapsed="false">
      <c r="A37494" s="0" t="s">
        <v>13584</v>
      </c>
      <c r="B37494" s="0" t="str">
        <f aca="false">HYPERLINK("https://lindat.mff.cuni.cz/services/teitok/pdtc10/index.php?action=vallex&amp;frame=v-w5116f1", "přidělovat (v-w5116f1)")</f>
        <v>přidělovat (v-w5116f1)</v>
      </c>
    </row>
    <row r="37495" customFormat="false" ht="12.8" hidden="false" customHeight="false" outlineLevel="0" collapsed="false">
      <c r="B37495" s="0" t="s">
        <v>7</v>
      </c>
      <c r="C37495" s="0" t="s">
        <v>88</v>
      </c>
      <c r="D37495" s="0" t="s">
        <v>4171</v>
      </c>
      <c r="E37495" s="0" t="s">
        <v>4171</v>
      </c>
      <c r="F37495" s="0" t="s">
        <v>4171</v>
      </c>
    </row>
    <row r="37496" customFormat="false" ht="12.8" hidden="false" customHeight="false" outlineLevel="0" collapsed="false">
      <c r="B37496" s="0" t="s">
        <v>14</v>
      </c>
      <c r="C37496" s="0" t="s">
        <v>13585</v>
      </c>
      <c r="D37496" s="0" t="s">
        <v>1631</v>
      </c>
      <c r="E37496" s="0" t="s">
        <v>1631</v>
      </c>
      <c r="F37496" s="0" t="s">
        <v>1631</v>
      </c>
    </row>
    <row r="37497" customFormat="false" ht="12.8" hidden="false" customHeight="false" outlineLevel="0" collapsed="false">
      <c r="B37497" s="0" t="s">
        <v>48</v>
      </c>
      <c r="C37497" s="0" t="s">
        <v>13586</v>
      </c>
      <c r="D37497" s="0" t="s">
        <v>11275</v>
      </c>
      <c r="E37497" s="0" t="s">
        <v>11275</v>
      </c>
      <c r="F37497" s="0" t="s">
        <v>11275</v>
      </c>
    </row>
    <row r="37499" customFormat="false" ht="12.8" hidden="false" customHeight="false" outlineLevel="0" collapsed="false">
      <c r="A37499" s="0" t="s">
        <v>13587</v>
      </c>
      <c r="B37499" s="0" t="str">
        <f aca="false">HYPERLINK("https://lindat.mff.cuni.cz/services/teitok/pdtc10/index.php?action=vallex&amp;frame=v-w5116hsa_319", "přidělovat (v-w5116hsa_319)")</f>
        <v>přidělovat (v-w5116hsa_319)</v>
      </c>
    </row>
    <row r="37500" customFormat="false" ht="12.8" hidden="false" customHeight="false" outlineLevel="0" collapsed="false">
      <c r="B37500" s="0" t="s">
        <v>7</v>
      </c>
      <c r="C37500" s="0" t="s">
        <v>113</v>
      </c>
    </row>
    <row r="37501" customFormat="false" ht="12.8" hidden="false" customHeight="false" outlineLevel="0" collapsed="false">
      <c r="B37501" s="0" t="s">
        <v>14</v>
      </c>
      <c r="C37501" s="0" t="s">
        <v>1405</v>
      </c>
    </row>
    <row r="37502" customFormat="false" ht="12.8" hidden="false" customHeight="false" outlineLevel="0" collapsed="false">
      <c r="B37502" s="0" t="s">
        <v>124</v>
      </c>
      <c r="C37502" s="0" t="s">
        <v>13588</v>
      </c>
    </row>
    <row r="37504" customFormat="false" ht="12.8" hidden="false" customHeight="false" outlineLevel="0" collapsed="false">
      <c r="A37504" s="0" t="s">
        <v>13589</v>
      </c>
      <c r="B37504" s="0" t="str">
        <f aca="false">HYPERLINK("https://lindat.mff.cuni.cz/services/teitok/pdtc10/index.php?action=vallex&amp;frame=v-w5111f1", "přidělávat (v-w5111f1)")</f>
        <v>přidělávat (v-w5111f1)</v>
      </c>
    </row>
    <row r="37505" customFormat="false" ht="12.8" hidden="false" customHeight="false" outlineLevel="0" collapsed="false">
      <c r="B37505" s="0" t="s">
        <v>7</v>
      </c>
    </row>
    <row r="37506" customFormat="false" ht="12.8" hidden="false" customHeight="false" outlineLevel="0" collapsed="false">
      <c r="B37506" s="0" t="s">
        <v>14</v>
      </c>
    </row>
    <row r="37507" customFormat="false" ht="12.8" hidden="false" customHeight="false" outlineLevel="0" collapsed="false">
      <c r="B37507" s="0" t="s">
        <v>48</v>
      </c>
    </row>
    <row r="37509" customFormat="false" ht="12.8" hidden="false" customHeight="false" outlineLevel="0" collapsed="false">
      <c r="A37509" s="0" t="s">
        <v>13590</v>
      </c>
      <c r="B37509" s="0" t="str">
        <f aca="false">HYPERLINK("https://lindat.mff.cuni.cz/services/teitok/pdtc10/index.php?action=vallex&amp;frame=v-w5111f2_ZU", "přidělávat (v-w5111f2_ZU)")</f>
        <v>přidělávat (v-w5111f2_ZU)</v>
      </c>
    </row>
    <row r="37510" customFormat="false" ht="12.8" hidden="false" customHeight="false" outlineLevel="0" collapsed="false">
      <c r="B37510" s="0" t="s">
        <v>7</v>
      </c>
    </row>
    <row r="37511" customFormat="false" ht="12.8" hidden="false" customHeight="false" outlineLevel="0" collapsed="false">
      <c r="B37511" s="0" t="s">
        <v>14</v>
      </c>
    </row>
    <row r="37512" customFormat="false" ht="12.8" hidden="false" customHeight="false" outlineLevel="0" collapsed="false">
      <c r="B37512" s="0" t="s">
        <v>35</v>
      </c>
    </row>
    <row r="37514" customFormat="false" ht="12.8" hidden="false" customHeight="false" outlineLevel="0" collapsed="false">
      <c r="A37514" s="0" t="s">
        <v>13590</v>
      </c>
      <c r="B37514" s="0" t="str">
        <f aca="false">HYPERLINK("https://lindat.mff.cuni.cz/services/teitok/pdtc10/index.php?action=vallex&amp;frame=v-w5111hsa_1585", "přidělávat (v-w5111hsa_1585) - substituted with v-w5111f2_ZU")</f>
        <v>přidělávat (v-w5111hsa_1585) - substituted with v-w5111f2_ZU</v>
      </c>
    </row>
    <row r="37515" customFormat="false" ht="12.8" hidden="false" customHeight="false" outlineLevel="0" collapsed="false">
      <c r="B37515" s="0" t="s">
        <v>7</v>
      </c>
    </row>
    <row r="37516" customFormat="false" ht="12.8" hidden="false" customHeight="false" outlineLevel="0" collapsed="false">
      <c r="B37516" s="0" t="s">
        <v>14</v>
      </c>
    </row>
    <row r="37517" customFormat="false" ht="12.8" hidden="false" customHeight="false" outlineLevel="0" collapsed="false">
      <c r="B37517" s="0" t="s">
        <v>35</v>
      </c>
    </row>
    <row r="37519" customFormat="false" ht="12.8" hidden="false" customHeight="false" outlineLevel="0" collapsed="false">
      <c r="A37519" s="0" t="s">
        <v>13591</v>
      </c>
      <c r="B37519" s="0" t="str">
        <f aca="false">HYPERLINK("https://lindat.mff.cuni.cz/services/teitok/pdtc10/index.php?action=vallex&amp;frame=v-w12102_ZUf1_ZU", "přifařit se (v-w12102_ZUf1_ZU)")</f>
        <v>přifařit se (v-w12102_ZUf1_ZU)</v>
      </c>
    </row>
    <row r="37520" customFormat="false" ht="12.8" hidden="false" customHeight="false" outlineLevel="0" collapsed="false">
      <c r="B37520" s="0" t="s">
        <v>7</v>
      </c>
    </row>
    <row r="37521" customFormat="false" ht="12.8" hidden="false" customHeight="false" outlineLevel="0" collapsed="false">
      <c r="B37521" s="0" t="s">
        <v>338</v>
      </c>
    </row>
    <row r="37523" customFormat="false" ht="12.8" hidden="false" customHeight="false" outlineLevel="0" collapsed="false">
      <c r="A37523" s="0" t="s">
        <v>13592</v>
      </c>
      <c r="B37523" s="0" t="str">
        <f aca="false">HYPERLINK("https://lindat.mff.cuni.cz/services/teitok/pdtc10/index.php?action=vallex&amp;frame=v-w10911f2", "přihazovat (v-w10911f2)")</f>
        <v>přihazovat (v-w10911f2)</v>
      </c>
    </row>
    <row r="37524" customFormat="false" ht="12.8" hidden="false" customHeight="false" outlineLevel="0" collapsed="false">
      <c r="B37524" s="0" t="s">
        <v>7</v>
      </c>
    </row>
    <row r="37525" customFormat="false" ht="12.8" hidden="false" customHeight="false" outlineLevel="0" collapsed="false">
      <c r="B37525" s="0" t="s">
        <v>297</v>
      </c>
    </row>
    <row r="37527" customFormat="false" ht="12.8" hidden="false" customHeight="false" outlineLevel="0" collapsed="false">
      <c r="A37527" s="0" t="s">
        <v>13593</v>
      </c>
      <c r="B37527" s="0" t="str">
        <f aca="false">HYPERLINK("https://lindat.mff.cuni.cz/services/teitok/pdtc10/index.php?action=vallex&amp;frame=v-w5126f1", "přihlašovat (v-w5126f1)")</f>
        <v>přihlašovat (v-w5126f1)</v>
      </c>
    </row>
    <row r="37528" customFormat="false" ht="12.8" hidden="false" customHeight="false" outlineLevel="0" collapsed="false">
      <c r="B37528" s="0" t="s">
        <v>7</v>
      </c>
    </row>
    <row r="37529" customFormat="false" ht="12.8" hidden="false" customHeight="false" outlineLevel="0" collapsed="false">
      <c r="B37529" s="0" t="s">
        <v>14</v>
      </c>
    </row>
    <row r="37530" customFormat="false" ht="12.8" hidden="false" customHeight="false" outlineLevel="0" collapsed="false">
      <c r="B37530" s="0" t="s">
        <v>124</v>
      </c>
    </row>
    <row r="37532" customFormat="false" ht="12.8" hidden="false" customHeight="false" outlineLevel="0" collapsed="false">
      <c r="A37532" s="0" t="s">
        <v>13594</v>
      </c>
      <c r="B37532" s="0" t="str">
        <f aca="false">HYPERLINK("https://lindat.mff.cuni.cz/services/teitok/pdtc10/index.php?action=vallex&amp;frame=v-w5119f5_ZU", "přihlásit (v-w5119f5_ZU)")</f>
        <v>přihlásit (v-w5119f5_ZU)</v>
      </c>
    </row>
    <row r="37533" customFormat="false" ht="12.8" hidden="false" customHeight="false" outlineLevel="0" collapsed="false">
      <c r="B37533" s="0" t="s">
        <v>7</v>
      </c>
    </row>
    <row r="37534" customFormat="false" ht="12.8" hidden="false" customHeight="false" outlineLevel="0" collapsed="false">
      <c r="B37534" s="0" t="s">
        <v>14</v>
      </c>
    </row>
    <row r="37535" customFormat="false" ht="12.8" hidden="false" customHeight="false" outlineLevel="0" collapsed="false">
      <c r="B37535" s="0" t="s">
        <v>48</v>
      </c>
    </row>
    <row r="37536" customFormat="false" ht="12.8" hidden="false" customHeight="false" outlineLevel="0" collapsed="false">
      <c r="B37536" s="0" t="s">
        <v>13595</v>
      </c>
    </row>
    <row r="37538" customFormat="false" ht="12.8" hidden="false" customHeight="false" outlineLevel="0" collapsed="false">
      <c r="A37538" s="0" t="s">
        <v>13594</v>
      </c>
      <c r="B37538" s="0" t="str">
        <f aca="false">HYPERLINK("https://lindat.mff.cuni.cz/services/teitok/pdtc10/index.php?action=vallex&amp;frame=v-w5119f3", "přihlásit (v-w5119f3) - substituted with v-w5119f5_ZU")</f>
        <v>přihlásit (v-w5119f3) - substituted with v-w5119f5_ZU</v>
      </c>
    </row>
    <row r="37539" customFormat="false" ht="12.8" hidden="false" customHeight="false" outlineLevel="0" collapsed="false">
      <c r="B37539" s="0" t="s">
        <v>7</v>
      </c>
    </row>
    <row r="37540" customFormat="false" ht="12.8" hidden="false" customHeight="false" outlineLevel="0" collapsed="false">
      <c r="B37540" s="0" t="s">
        <v>14</v>
      </c>
    </row>
    <row r="37541" customFormat="false" ht="12.8" hidden="false" customHeight="false" outlineLevel="0" collapsed="false">
      <c r="B37541" s="0" t="s">
        <v>48</v>
      </c>
    </row>
    <row r="37542" customFormat="false" ht="12.8" hidden="false" customHeight="false" outlineLevel="0" collapsed="false">
      <c r="B37542" s="0" t="s">
        <v>13595</v>
      </c>
    </row>
    <row r="37544" customFormat="false" ht="12.8" hidden="false" customHeight="false" outlineLevel="0" collapsed="false">
      <c r="A37544" s="0" t="s">
        <v>13594</v>
      </c>
      <c r="B37544" s="0" t="str">
        <f aca="false">HYPERLINK("https://lindat.mff.cuni.cz/services/teitok/pdtc10/index.php?action=vallex&amp;frame=v-w5119f4_ZU", "přihlásit (v-w5119f4_ZU) - substituted with v-w5119f5_ZU")</f>
        <v>přihlásit (v-w5119f4_ZU) - substituted with v-w5119f5_ZU</v>
      </c>
    </row>
    <row r="37545" customFormat="false" ht="12.8" hidden="false" customHeight="false" outlineLevel="0" collapsed="false">
      <c r="B37545" s="0" t="s">
        <v>7</v>
      </c>
    </row>
    <row r="37546" customFormat="false" ht="12.8" hidden="false" customHeight="false" outlineLevel="0" collapsed="false">
      <c r="B37546" s="0" t="s">
        <v>14</v>
      </c>
    </row>
    <row r="37547" customFormat="false" ht="12.8" hidden="false" customHeight="false" outlineLevel="0" collapsed="false">
      <c r="B37547" s="0" t="s">
        <v>48</v>
      </c>
    </row>
    <row r="37548" customFormat="false" ht="12.8" hidden="false" customHeight="false" outlineLevel="0" collapsed="false">
      <c r="B37548" s="0" t="s">
        <v>13595</v>
      </c>
    </row>
    <row r="37550" customFormat="false" ht="12.8" hidden="false" customHeight="false" outlineLevel="0" collapsed="false">
      <c r="A37550" s="0" t="s">
        <v>13596</v>
      </c>
      <c r="B37550" s="0" t="str">
        <f aca="false">HYPERLINK("https://lindat.mff.cuni.cz/services/teitok/pdtc10/index.php?action=vallex&amp;frame=v-w5119f2", "přihlásit (v-w5119f2)")</f>
        <v>přihlásit (v-w5119f2)</v>
      </c>
    </row>
    <row r="37551" customFormat="false" ht="12.8" hidden="false" customHeight="false" outlineLevel="0" collapsed="false">
      <c r="B37551" s="0" t="s">
        <v>7</v>
      </c>
    </row>
    <row r="37552" customFormat="false" ht="12.8" hidden="false" customHeight="false" outlineLevel="0" collapsed="false">
      <c r="B37552" s="0" t="s">
        <v>14</v>
      </c>
    </row>
    <row r="37553" customFormat="false" ht="12.8" hidden="false" customHeight="false" outlineLevel="0" collapsed="false">
      <c r="B37553" s="0" t="s">
        <v>11</v>
      </c>
    </row>
    <row r="37555" customFormat="false" ht="12.8" hidden="false" customHeight="false" outlineLevel="0" collapsed="false">
      <c r="A37555" s="0" t="s">
        <v>13597</v>
      </c>
      <c r="B37555" s="0" t="str">
        <f aca="false">HYPERLINK("https://lindat.mff.cuni.cz/services/teitok/pdtc10/index.php?action=vallex&amp;frame=v-w5119f1", "přihlásit (v-w5119f1)")</f>
        <v>přihlásit (v-w5119f1)</v>
      </c>
    </row>
    <row r="37556" customFormat="false" ht="12.8" hidden="false" customHeight="false" outlineLevel="0" collapsed="false">
      <c r="B37556" s="0" t="s">
        <v>7</v>
      </c>
    </row>
    <row r="37557" customFormat="false" ht="12.8" hidden="false" customHeight="false" outlineLevel="0" collapsed="false">
      <c r="B37557" s="0" t="s">
        <v>14</v>
      </c>
    </row>
    <row r="37558" customFormat="false" ht="12.8" hidden="false" customHeight="false" outlineLevel="0" collapsed="false">
      <c r="B37558" s="0" t="s">
        <v>124</v>
      </c>
    </row>
    <row r="37560" customFormat="false" ht="12.8" hidden="false" customHeight="false" outlineLevel="0" collapsed="false">
      <c r="A37560" s="0" t="s">
        <v>13598</v>
      </c>
      <c r="B37560" s="0" t="str">
        <f aca="false">HYPERLINK("https://lindat.mff.cuni.cz/services/teitok/pdtc10/index.php?action=vallex&amp;frame=v-w5120f5", "přihlásit se (v-w5120f5)")</f>
        <v>přihlásit se (v-w5120f5)</v>
      </c>
    </row>
    <row r="37561" customFormat="false" ht="12.8" hidden="false" customHeight="false" outlineLevel="0" collapsed="false">
      <c r="B37561" s="0" t="s">
        <v>7</v>
      </c>
      <c r="C37561" s="0" t="s">
        <v>580</v>
      </c>
      <c r="D37561" s="0" t="s">
        <v>13599</v>
      </c>
      <c r="E37561" s="0" t="s">
        <v>13599</v>
      </c>
      <c r="F37561" s="0" t="s">
        <v>13599</v>
      </c>
    </row>
    <row r="37562" customFormat="false" ht="12.8" hidden="false" customHeight="false" outlineLevel="0" collapsed="false">
      <c r="B37562" s="0" t="s">
        <v>142</v>
      </c>
      <c r="C37562" s="0" t="s">
        <v>13600</v>
      </c>
      <c r="D37562" s="0" t="s">
        <v>13601</v>
      </c>
      <c r="E37562" s="0" t="s">
        <v>13601</v>
      </c>
      <c r="F37562" s="0" t="s">
        <v>13601</v>
      </c>
    </row>
    <row r="37564" customFormat="false" ht="12.8" hidden="false" customHeight="false" outlineLevel="0" collapsed="false">
      <c r="A37564" s="0" t="s">
        <v>13602</v>
      </c>
      <c r="B37564" s="0" t="str">
        <f aca="false">HYPERLINK("https://lindat.mff.cuni.cz/services/teitok/pdtc10/index.php?action=vallex&amp;frame=v-w5120f1", "přihlásit se (v-w5120f1)")</f>
        <v>přihlásit se (v-w5120f1)</v>
      </c>
    </row>
    <row r="37565" customFormat="false" ht="12.8" hidden="false" customHeight="false" outlineLevel="0" collapsed="false">
      <c r="B37565" s="0" t="s">
        <v>7</v>
      </c>
      <c r="C37565" s="0" t="s">
        <v>118</v>
      </c>
    </row>
    <row r="37566" customFormat="false" ht="12.8" hidden="false" customHeight="false" outlineLevel="0" collapsed="false">
      <c r="B37566" s="0" t="s">
        <v>237</v>
      </c>
      <c r="C37566" s="0" t="s">
        <v>1405</v>
      </c>
    </row>
    <row r="37568" customFormat="false" ht="12.8" hidden="false" customHeight="false" outlineLevel="0" collapsed="false">
      <c r="A37568" s="0" t="s">
        <v>13603</v>
      </c>
      <c r="B37568" s="0" t="str">
        <f aca="false">HYPERLINK("https://lindat.mff.cuni.cz/services/teitok/pdtc10/index.php?action=vallex&amp;frame=v-w5120f4", "přihlásit se (v-w5120f4)")</f>
        <v>přihlásit se (v-w5120f4)</v>
      </c>
    </row>
    <row r="37569" customFormat="false" ht="12.8" hidden="false" customHeight="false" outlineLevel="0" collapsed="false">
      <c r="B37569" s="0" t="s">
        <v>7</v>
      </c>
      <c r="C37569" s="0" t="s">
        <v>335</v>
      </c>
      <c r="D37569" s="0" t="s">
        <v>10827</v>
      </c>
      <c r="E37569" s="0" t="s">
        <v>10827</v>
      </c>
      <c r="F37569" s="0" t="s">
        <v>10827</v>
      </c>
    </row>
    <row r="37570" customFormat="false" ht="12.8" hidden="false" customHeight="false" outlineLevel="0" collapsed="false">
      <c r="B37570" s="0" t="s">
        <v>615</v>
      </c>
      <c r="D37570" s="0" t="s">
        <v>13604</v>
      </c>
      <c r="E37570" s="0" t="s">
        <v>13604</v>
      </c>
      <c r="F37570" s="0" t="s">
        <v>13604</v>
      </c>
    </row>
    <row r="37572" customFormat="false" ht="12.8" hidden="false" customHeight="false" outlineLevel="0" collapsed="false">
      <c r="A37572" s="0" t="s">
        <v>13605</v>
      </c>
      <c r="B37572" s="0" t="str">
        <f aca="false">HYPERLINK("https://lindat.mff.cuni.cz/services/teitok/pdtc10/index.php?action=vallex&amp;frame=v-w5120f3", "přihlásit se (v-w5120f3)")</f>
        <v>přihlásit se (v-w5120f3)</v>
      </c>
    </row>
    <row r="37573" customFormat="false" ht="12.8" hidden="false" customHeight="false" outlineLevel="0" collapsed="false">
      <c r="B37573" s="0" t="s">
        <v>7</v>
      </c>
    </row>
    <row r="37574" customFormat="false" ht="12.8" hidden="false" customHeight="false" outlineLevel="0" collapsed="false">
      <c r="B37574" s="0" t="s">
        <v>11</v>
      </c>
    </row>
    <row r="37576" customFormat="false" ht="12.8" hidden="false" customHeight="false" outlineLevel="0" collapsed="false">
      <c r="A37576" s="0" t="s">
        <v>13606</v>
      </c>
      <c r="B37576" s="0" t="str">
        <f aca="false">HYPERLINK("https://lindat.mff.cuni.cz/services/teitok/pdtc10/index.php?action=vallex&amp;frame=v-w5120f2", "přihlásit se (v-w5120f2)")</f>
        <v>přihlásit se (v-w5120f2)</v>
      </c>
    </row>
    <row r="37577" customFormat="false" ht="12.8" hidden="false" customHeight="false" outlineLevel="0" collapsed="false">
      <c r="B37577" s="0" t="s">
        <v>7</v>
      </c>
      <c r="C37577" s="0" t="s">
        <v>348</v>
      </c>
      <c r="D37577" s="0" t="s">
        <v>3837</v>
      </c>
      <c r="E37577" s="0" t="s">
        <v>3837</v>
      </c>
      <c r="F37577" s="0" t="s">
        <v>3837</v>
      </c>
    </row>
    <row r="37578" customFormat="false" ht="12.8" hidden="false" customHeight="false" outlineLevel="0" collapsed="false">
      <c r="B37578" s="0" t="s">
        <v>124</v>
      </c>
      <c r="D37578" s="0" t="s">
        <v>7040</v>
      </c>
      <c r="E37578" s="0" t="s">
        <v>7040</v>
      </c>
      <c r="F37578" s="0" t="s">
        <v>7040</v>
      </c>
    </row>
    <row r="37580" customFormat="false" ht="12.8" hidden="false" customHeight="false" outlineLevel="0" collapsed="false">
      <c r="A37580" s="0" t="s">
        <v>13607</v>
      </c>
      <c r="B37580" s="0" t="str">
        <f aca="false">HYPERLINK("https://lindat.mff.cuni.cz/services/teitok/pdtc10/index.php?action=vallex&amp;frame=v-w5120f7_ZU", "přihlásit se (v-w5120f7_ZU)")</f>
        <v>přihlásit se (v-w5120f7_ZU)</v>
      </c>
    </row>
    <row r="37581" customFormat="false" ht="12.8" hidden="false" customHeight="false" outlineLevel="0" collapsed="false">
      <c r="B37581" s="0" t="s">
        <v>7</v>
      </c>
    </row>
    <row r="37582" customFormat="false" ht="12.8" hidden="false" customHeight="false" outlineLevel="0" collapsed="false">
      <c r="B37582" s="0" t="s">
        <v>3902</v>
      </c>
    </row>
    <row r="37584" customFormat="false" ht="12.8" hidden="false" customHeight="false" outlineLevel="0" collapsed="false">
      <c r="A37584" s="0" t="s">
        <v>13607</v>
      </c>
      <c r="B37584" s="0" t="str">
        <f aca="false">HYPERLINK("https://lindat.mff.cuni.cz/services/teitok/pdtc10/index.php?action=vallex&amp;frame=v-w5120f6_ZU", "přihlásit se (v-w5120f6_ZU) - substituted with v-w5120f7_ZU")</f>
        <v>přihlásit se (v-w5120f6_ZU) - substituted with v-w5120f7_ZU</v>
      </c>
    </row>
    <row r="37585" customFormat="false" ht="12.8" hidden="false" customHeight="false" outlineLevel="0" collapsed="false">
      <c r="B37585" s="0" t="s">
        <v>7</v>
      </c>
    </row>
    <row r="37586" customFormat="false" ht="12.8" hidden="false" customHeight="false" outlineLevel="0" collapsed="false">
      <c r="B37586" s="0" t="s">
        <v>3902</v>
      </c>
    </row>
    <row r="37588" customFormat="false" ht="12.8" hidden="false" customHeight="false" outlineLevel="0" collapsed="false">
      <c r="A37588" s="0" t="s">
        <v>13608</v>
      </c>
      <c r="B37588" s="0" t="str">
        <f aca="false">HYPERLINK("https://lindat.mff.cuni.cz/services/teitok/pdtc10/index.php?action=vallex&amp;frame=v-w5120hsa_87", "přihlásit se (v-w5120hsa_87)")</f>
        <v>přihlásit se (v-w5120hsa_87)</v>
      </c>
    </row>
    <row r="37589" customFormat="false" ht="12.8" hidden="false" customHeight="false" outlineLevel="0" collapsed="false">
      <c r="B37589" s="0" t="s">
        <v>7</v>
      </c>
    </row>
    <row r="37591" customFormat="false" ht="12.8" hidden="false" customHeight="false" outlineLevel="0" collapsed="false">
      <c r="A37591" s="0" t="s">
        <v>13609</v>
      </c>
      <c r="B37591" s="0" t="str">
        <f aca="false">HYPERLINK("https://lindat.mff.cuni.cz/services/teitok/pdtc10/index.php?action=vallex&amp;frame=v-w5127f1", "přihlédnout (v-w5127f1)")</f>
        <v>přihlédnout (v-w5127f1)</v>
      </c>
    </row>
    <row r="37592" customFormat="false" ht="12.8" hidden="false" customHeight="false" outlineLevel="0" collapsed="false">
      <c r="B37592" s="0" t="s">
        <v>7</v>
      </c>
      <c r="C37592" s="0" t="s">
        <v>113</v>
      </c>
    </row>
    <row r="37593" customFormat="false" ht="12.8" hidden="false" customHeight="false" outlineLevel="0" collapsed="false">
      <c r="B37593" s="0" t="s">
        <v>237</v>
      </c>
      <c r="C37593" s="0" t="s">
        <v>3249</v>
      </c>
    </row>
    <row r="37595" customFormat="false" ht="12.8" hidden="false" customHeight="false" outlineLevel="0" collapsed="false">
      <c r="A37595" s="0" t="s">
        <v>13610</v>
      </c>
      <c r="B37595" s="0" t="str">
        <f aca="false">HYPERLINK("https://lindat.mff.cuni.cz/services/teitok/pdtc10/index.php?action=vallex&amp;frame=v-w5130f1", "přihlížet (v-w5130f1)")</f>
        <v>přihlížet (v-w5130f1)</v>
      </c>
    </row>
    <row r="37596" customFormat="false" ht="12.8" hidden="false" customHeight="false" outlineLevel="0" collapsed="false">
      <c r="B37596" s="0" t="s">
        <v>7</v>
      </c>
      <c r="C37596" s="0" t="s">
        <v>13611</v>
      </c>
    </row>
    <row r="37597" customFormat="false" ht="12.8" hidden="false" customHeight="false" outlineLevel="0" collapsed="false">
      <c r="B37597" s="0" t="s">
        <v>13612</v>
      </c>
      <c r="C37597" s="0" t="s">
        <v>1522</v>
      </c>
    </row>
    <row r="37599" customFormat="false" ht="12.8" hidden="false" customHeight="false" outlineLevel="0" collapsed="false">
      <c r="A37599" s="0" t="s">
        <v>13613</v>
      </c>
      <c r="B37599" s="0" t="str">
        <f aca="false">HYPERLINK("https://lindat.mff.cuni.cz/services/teitok/pdtc10/index.php?action=vallex&amp;frame=v-w5130f2", "přihlížet (v-w5130f2)")</f>
        <v>přihlížet (v-w5130f2)</v>
      </c>
    </row>
    <row r="37600" customFormat="false" ht="12.8" hidden="false" customHeight="false" outlineLevel="0" collapsed="false">
      <c r="B37600" s="0" t="s">
        <v>7</v>
      </c>
      <c r="C37600" s="0" t="s">
        <v>46</v>
      </c>
    </row>
    <row r="37601" customFormat="false" ht="12.8" hidden="false" customHeight="false" outlineLevel="0" collapsed="false">
      <c r="B37601" s="0" t="s">
        <v>237</v>
      </c>
      <c r="C37601" s="0" t="s">
        <v>384</v>
      </c>
    </row>
    <row r="37603" customFormat="false" ht="12.8" hidden="false" customHeight="false" outlineLevel="0" collapsed="false">
      <c r="A37603" s="0" t="s">
        <v>13614</v>
      </c>
      <c r="B37603" s="0" t="str">
        <f aca="false">HYPERLINK("https://lindat.mff.cuni.cz/services/teitok/pdtc10/index.php?action=vallex&amp;frame=v-w5131f1", "přihnat (v-w5131f1)")</f>
        <v>přihnat (v-w5131f1)</v>
      </c>
    </row>
    <row r="37604" customFormat="false" ht="12.8" hidden="false" customHeight="false" outlineLevel="0" collapsed="false">
      <c r="B37604" s="0" t="s">
        <v>7</v>
      </c>
    </row>
    <row r="37605" customFormat="false" ht="12.8" hidden="false" customHeight="false" outlineLevel="0" collapsed="false">
      <c r="B37605" s="0" t="s">
        <v>14</v>
      </c>
    </row>
    <row r="37606" customFormat="false" ht="12.8" hidden="false" customHeight="false" outlineLevel="0" collapsed="false">
      <c r="B37606" s="0" t="s">
        <v>124</v>
      </c>
    </row>
    <row r="37608" customFormat="false" ht="12.8" hidden="false" customHeight="false" outlineLevel="0" collapsed="false">
      <c r="A37608" s="0" t="s">
        <v>13615</v>
      </c>
      <c r="B37608" s="0" t="str">
        <f aca="false">HYPERLINK("https://lindat.mff.cuni.cz/services/teitok/pdtc10/index.php?action=vallex&amp;frame=v-w5131f2_ZU", "přihnat (v-w5131f2_ZU)")</f>
        <v>přihnat (v-w5131f2_ZU)</v>
      </c>
    </row>
    <row r="37609" customFormat="false" ht="12.8" hidden="false" customHeight="false" outlineLevel="0" collapsed="false">
      <c r="B37609" s="0" t="s">
        <v>7</v>
      </c>
    </row>
    <row r="37610" customFormat="false" ht="12.8" hidden="false" customHeight="false" outlineLevel="0" collapsed="false">
      <c r="B37610" s="0" t="s">
        <v>81</v>
      </c>
    </row>
    <row r="37611" customFormat="false" ht="12.8" hidden="false" customHeight="false" outlineLevel="0" collapsed="false">
      <c r="B37611" s="0" t="s">
        <v>237</v>
      </c>
    </row>
    <row r="37613" customFormat="false" ht="12.8" hidden="false" customHeight="false" outlineLevel="0" collapsed="false">
      <c r="A37613" s="0" t="s">
        <v>13616</v>
      </c>
      <c r="B37613" s="0" t="str">
        <f aca="false">HYPERLINK("https://lindat.mff.cuni.cz/services/teitok/pdtc10/index.php?action=vallex&amp;frame=v-whsa_658hsa_659", "přihnat se (v-whsa_658hsa_659)")</f>
        <v>přihnat se (v-whsa_658hsa_659)</v>
      </c>
    </row>
    <row r="37614" customFormat="false" ht="12.8" hidden="false" customHeight="false" outlineLevel="0" collapsed="false">
      <c r="B37614" s="0" t="s">
        <v>7</v>
      </c>
    </row>
    <row r="37615" customFormat="false" ht="12.8" hidden="false" customHeight="false" outlineLevel="0" collapsed="false">
      <c r="B37615" s="0" t="s">
        <v>124</v>
      </c>
    </row>
    <row r="37617" customFormat="false" ht="12.8" hidden="false" customHeight="false" outlineLevel="0" collapsed="false">
      <c r="A37617" s="0" t="s">
        <v>13617</v>
      </c>
      <c r="B37617" s="0" t="str">
        <f aca="false">HYPERLINK("https://lindat.mff.cuni.cz/services/teitok/pdtc10/index.php?action=vallex&amp;frame=v-w5132f1", "přihodit (v-w5132f1)")</f>
        <v>přihodit (v-w5132f1)</v>
      </c>
    </row>
    <row r="37618" customFormat="false" ht="12.8" hidden="false" customHeight="false" outlineLevel="0" collapsed="false">
      <c r="B37618" s="0" t="s">
        <v>7</v>
      </c>
    </row>
    <row r="37619" customFormat="false" ht="12.8" hidden="false" customHeight="false" outlineLevel="0" collapsed="false">
      <c r="B37619" s="0" t="s">
        <v>14</v>
      </c>
    </row>
    <row r="37620" customFormat="false" ht="12.8" hidden="false" customHeight="false" outlineLevel="0" collapsed="false">
      <c r="B37620" s="0" t="s">
        <v>124</v>
      </c>
    </row>
    <row r="37622" customFormat="false" ht="12.8" hidden="false" customHeight="false" outlineLevel="0" collapsed="false">
      <c r="A37622" s="0" t="s">
        <v>13618</v>
      </c>
      <c r="B37622" s="0" t="str">
        <f aca="false">HYPERLINK("https://lindat.mff.cuni.cz/services/teitok/pdtc10/index.php?action=vallex&amp;frame=v-w5133f1", "přihodit se (v-w5133f1)")</f>
        <v>přihodit se (v-w5133f1)</v>
      </c>
    </row>
    <row r="37623" customFormat="false" ht="12.8" hidden="false" customHeight="false" outlineLevel="0" collapsed="false">
      <c r="B37623" s="0" t="s">
        <v>641</v>
      </c>
      <c r="C37623" s="0" t="s">
        <v>4397</v>
      </c>
      <c r="D37623" s="0" t="s">
        <v>3385</v>
      </c>
      <c r="E37623" s="0" t="s">
        <v>3385</v>
      </c>
      <c r="F37623" s="0" t="s">
        <v>3385</v>
      </c>
    </row>
    <row r="37624" customFormat="false" ht="12.8" hidden="false" customHeight="false" outlineLevel="0" collapsed="false">
      <c r="B37624" s="0" t="s">
        <v>119</v>
      </c>
      <c r="C37624" s="0" t="s">
        <v>3386</v>
      </c>
      <c r="D37624" s="0" t="s">
        <v>3386</v>
      </c>
      <c r="E37624" s="0" t="s">
        <v>3386</v>
      </c>
      <c r="F37624" s="0" t="s">
        <v>3386</v>
      </c>
    </row>
    <row r="37626" customFormat="false" ht="12.8" hidden="false" customHeight="false" outlineLevel="0" collapsed="false">
      <c r="A37626" s="0" t="s">
        <v>13619</v>
      </c>
      <c r="B37626" s="0" t="str">
        <f aca="false">HYPERLINK("https://lindat.mff.cuni.cz/services/teitok/pdtc10/index.php?action=vallex&amp;frame=v-w5133f2", "přihodit se (v-w5133f2)")</f>
        <v>přihodit se (v-w5133f2)</v>
      </c>
    </row>
    <row r="37627" customFormat="false" ht="12.8" hidden="false" customHeight="false" outlineLevel="0" collapsed="false">
      <c r="B37627" s="0" t="s">
        <v>7</v>
      </c>
      <c r="C37627" s="0" t="s">
        <v>13620</v>
      </c>
      <c r="D37627" s="0" t="s">
        <v>288</v>
      </c>
      <c r="E37627" s="0" t="s">
        <v>288</v>
      </c>
      <c r="F37627" s="0" t="s">
        <v>288</v>
      </c>
    </row>
    <row r="37629" customFormat="false" ht="12.8" hidden="false" customHeight="false" outlineLevel="0" collapsed="false">
      <c r="A37629" s="0" t="s">
        <v>13621</v>
      </c>
      <c r="B37629" s="0" t="str">
        <f aca="false">HYPERLINK("https://lindat.mff.cuni.cz/services/teitok/pdtc10/index.php?action=vallex&amp;frame=v-w5134f1", "přihoršit (v-w5134f1)")</f>
        <v>přihoršit (v-w5134f1)</v>
      </c>
    </row>
    <row r="37630" customFormat="false" ht="12.8" hidden="false" customHeight="false" outlineLevel="0" collapsed="false">
      <c r="B37630" s="0" t="s">
        <v>7</v>
      </c>
    </row>
    <row r="37631" customFormat="false" ht="12.8" hidden="false" customHeight="false" outlineLevel="0" collapsed="false">
      <c r="B37631" s="0" t="s">
        <v>142</v>
      </c>
    </row>
    <row r="37633" customFormat="false" ht="12.8" hidden="false" customHeight="false" outlineLevel="0" collapsed="false">
      <c r="A37633" s="0" t="s">
        <v>13622</v>
      </c>
      <c r="B37633" s="0" t="str">
        <f aca="false">HYPERLINK("https://lindat.mff.cuni.cz/services/teitok/pdtc10/index.php?action=vallex&amp;frame=v-w12144_ZUf1_ZU", "přihořívat (v-w12144_ZUf1_ZU)")</f>
        <v>přihořívat (v-w12144_ZUf1_ZU)</v>
      </c>
    </row>
    <row r="37634" customFormat="false" ht="12.8" hidden="false" customHeight="false" outlineLevel="0" collapsed="false">
      <c r="B37634" s="0" t="s">
        <v>7</v>
      </c>
    </row>
    <row r="37636" customFormat="false" ht="12.8" hidden="false" customHeight="false" outlineLevel="0" collapsed="false">
      <c r="A37636" s="0" t="s">
        <v>13623</v>
      </c>
      <c r="B37636" s="0" t="str">
        <f aca="false">HYPERLINK("https://lindat.mff.cuni.cz/services/teitok/pdtc10/index.php?action=vallex&amp;frame=v-w12144_ZUf3_MM", "přihořívat (v-w12144_ZUf3_MM)")</f>
        <v>přihořívat (v-w12144_ZUf3_MM)</v>
      </c>
    </row>
    <row r="37637" customFormat="false" ht="12.8" hidden="false" customHeight="false" outlineLevel="0" collapsed="false">
      <c r="B37637" s="0" t="s">
        <v>7</v>
      </c>
    </row>
    <row r="37638" customFormat="false" ht="12.8" hidden="false" customHeight="false" outlineLevel="0" collapsed="false">
      <c r="B37638" s="0" t="s">
        <v>119</v>
      </c>
    </row>
    <row r="37640" customFormat="false" ht="12.8" hidden="false" customHeight="false" outlineLevel="0" collapsed="false">
      <c r="A37640" s="0" t="s">
        <v>13623</v>
      </c>
      <c r="B37640" s="0" t="str">
        <f aca="false">HYPERLINK("https://lindat.mff.cuni.cz/services/teitok/pdtc10/index.php?action=vallex&amp;frame=v-w12144_ZUf2_ZU", "přihořívat (v-w12144_ZUf2_ZU) - substituted with v-w12144_ZUf3_MM")</f>
        <v>přihořívat (v-w12144_ZUf2_ZU) - substituted with v-w12144_ZUf3_MM</v>
      </c>
    </row>
    <row r="37641" customFormat="false" ht="12.8" hidden="false" customHeight="false" outlineLevel="0" collapsed="false">
      <c r="B37641" s="0" t="s">
        <v>7</v>
      </c>
    </row>
    <row r="37642" customFormat="false" ht="12.8" hidden="false" customHeight="false" outlineLevel="0" collapsed="false">
      <c r="B37642" s="0" t="s">
        <v>119</v>
      </c>
    </row>
    <row r="37644" customFormat="false" ht="12.8" hidden="false" customHeight="false" outlineLevel="0" collapsed="false">
      <c r="A37644" s="0" t="s">
        <v>13624</v>
      </c>
      <c r="B37644" s="0" t="str">
        <f aca="false">HYPERLINK("https://lindat.mff.cuni.cz/services/teitok/pdtc10/index.php?action=vallex&amp;frame=v-w11128f2", "přihrnout (v-w11128f2)")</f>
        <v>přihrnout (v-w11128f2)</v>
      </c>
    </row>
    <row r="37645" customFormat="false" ht="12.8" hidden="false" customHeight="false" outlineLevel="0" collapsed="false">
      <c r="B37645" s="0" t="s">
        <v>7</v>
      </c>
    </row>
    <row r="37646" customFormat="false" ht="12.8" hidden="false" customHeight="false" outlineLevel="0" collapsed="false">
      <c r="B37646" s="0" t="s">
        <v>14</v>
      </c>
    </row>
    <row r="37647" customFormat="false" ht="12.8" hidden="false" customHeight="false" outlineLevel="0" collapsed="false">
      <c r="B37647" s="0" t="s">
        <v>124</v>
      </c>
    </row>
    <row r="37649" customFormat="false" ht="12.8" hidden="false" customHeight="false" outlineLevel="0" collapsed="false">
      <c r="A37649" s="0" t="s">
        <v>13625</v>
      </c>
      <c r="B37649" s="0" t="str">
        <f aca="false">HYPERLINK("https://lindat.mff.cuni.cz/services/teitok/pdtc10/index.php?action=vallex&amp;frame=v-w5135f1", "přihrát (v-w5135f1)")</f>
        <v>přihrát (v-w5135f1)</v>
      </c>
    </row>
    <row r="37650" customFormat="false" ht="12.8" hidden="false" customHeight="false" outlineLevel="0" collapsed="false">
      <c r="B37650" s="0" t="s">
        <v>7</v>
      </c>
      <c r="D37650" s="0" t="s">
        <v>4960</v>
      </c>
      <c r="E37650" s="0" t="s">
        <v>4161</v>
      </c>
      <c r="F37650" s="0" t="s">
        <v>4161</v>
      </c>
    </row>
    <row r="37651" customFormat="false" ht="12.8" hidden="false" customHeight="false" outlineLevel="0" collapsed="false">
      <c r="B37651" s="0" t="s">
        <v>14</v>
      </c>
      <c r="D37651" s="0" t="s">
        <v>8123</v>
      </c>
      <c r="E37651" s="0" t="s">
        <v>8116</v>
      </c>
      <c r="F37651" s="0" t="s">
        <v>8116</v>
      </c>
    </row>
    <row r="37652" customFormat="false" ht="12.8" hidden="false" customHeight="false" outlineLevel="0" collapsed="false">
      <c r="B37652" s="0" t="s">
        <v>48</v>
      </c>
      <c r="D37652" s="0" t="s">
        <v>10939</v>
      </c>
      <c r="E37652" s="0" t="s">
        <v>10940</v>
      </c>
      <c r="F37652" s="0" t="s">
        <v>10940</v>
      </c>
    </row>
    <row r="37654" customFormat="false" ht="12.8" hidden="false" customHeight="false" outlineLevel="0" collapsed="false">
      <c r="A37654" s="0" t="s">
        <v>13626</v>
      </c>
      <c r="B37654" s="0" t="str">
        <f aca="false">HYPERLINK("https://lindat.mff.cuni.cz/services/teitok/pdtc10/index.php?action=vallex&amp;frame=v-w5136f1", "přihrávat (v-w5136f1)")</f>
        <v>přihrávat (v-w5136f1)</v>
      </c>
    </row>
    <row r="37655" customFormat="false" ht="12.8" hidden="false" customHeight="false" outlineLevel="0" collapsed="false">
      <c r="B37655" s="0" t="s">
        <v>7</v>
      </c>
    </row>
    <row r="37656" customFormat="false" ht="12.8" hidden="false" customHeight="false" outlineLevel="0" collapsed="false">
      <c r="B37656" s="0" t="s">
        <v>14</v>
      </c>
    </row>
    <row r="37657" customFormat="false" ht="12.8" hidden="false" customHeight="false" outlineLevel="0" collapsed="false">
      <c r="B37657" s="0" t="s">
        <v>48</v>
      </c>
    </row>
    <row r="37659" customFormat="false" ht="12.8" hidden="false" customHeight="false" outlineLevel="0" collapsed="false">
      <c r="A37659" s="0" t="s">
        <v>13627</v>
      </c>
      <c r="B37659" s="0" t="str">
        <f aca="false">HYPERLINK("https://lindat.mff.cuni.cz/services/teitok/pdtc10/index.php?action=vallex&amp;frame=v-w5141f1", "přihustit (v-w5141f1)")</f>
        <v>přihustit (v-w5141f1)</v>
      </c>
    </row>
    <row r="37660" customFormat="false" ht="12.8" hidden="false" customHeight="false" outlineLevel="0" collapsed="false">
      <c r="B37660" s="0" t="s">
        <v>7</v>
      </c>
    </row>
    <row r="37661" customFormat="false" ht="12.8" hidden="false" customHeight="false" outlineLevel="0" collapsed="false">
      <c r="B37661" s="0" t="s">
        <v>14</v>
      </c>
    </row>
    <row r="37663" customFormat="false" ht="12.8" hidden="false" customHeight="false" outlineLevel="0" collapsed="false">
      <c r="A37663" s="0" t="s">
        <v>13628</v>
      </c>
      <c r="B37663" s="0" t="str">
        <f aca="false">HYPERLINK("https://lindat.mff.cuni.cz/services/teitok/pdtc10/index.php?action=vallex&amp;frame=v-w5138f1", "přihřát (v-w5138f1)")</f>
        <v>přihřát (v-w5138f1)</v>
      </c>
    </row>
    <row r="37664" customFormat="false" ht="12.8" hidden="false" customHeight="false" outlineLevel="0" collapsed="false">
      <c r="B37664" s="0" t="s">
        <v>7</v>
      </c>
    </row>
    <row r="37665" customFormat="false" ht="12.8" hidden="false" customHeight="false" outlineLevel="0" collapsed="false">
      <c r="B37665" s="0" t="s">
        <v>14</v>
      </c>
    </row>
    <row r="37667" customFormat="false" ht="12.8" hidden="false" customHeight="false" outlineLevel="0" collapsed="false">
      <c r="A37667" s="0" t="s">
        <v>13629</v>
      </c>
      <c r="B37667" s="0" t="str">
        <f aca="false">HYPERLINK("https://lindat.mff.cuni.cz/services/teitok/pdtc10/index.php?action=vallex&amp;frame=v-w5139f1", "přihřát se (v-w5139f1)")</f>
        <v>přihřát se (v-w5139f1)</v>
      </c>
    </row>
    <row r="37668" customFormat="false" ht="12.8" hidden="false" customHeight="false" outlineLevel="0" collapsed="false">
      <c r="B37668" s="0" t="s">
        <v>7</v>
      </c>
    </row>
    <row r="37670" customFormat="false" ht="12.8" hidden="false" customHeight="false" outlineLevel="0" collapsed="false">
      <c r="A37670" s="0" t="s">
        <v>13630</v>
      </c>
      <c r="B37670" s="0" t="str">
        <f aca="false">HYPERLINK("https://lindat.mff.cuni.cz/services/teitok/pdtc10/index.php?action=vallex&amp;frame=v-w5140f1", "přihřát si (v-w5140f1)")</f>
        <v>přihřát si (v-w5140f1)</v>
      </c>
    </row>
    <row r="37671" customFormat="false" ht="12.8" hidden="false" customHeight="false" outlineLevel="0" collapsed="false">
      <c r="B37671" s="0" t="s">
        <v>7</v>
      </c>
    </row>
    <row r="37672" customFormat="false" ht="12.8" hidden="false" customHeight="false" outlineLevel="0" collapsed="false">
      <c r="B37672" s="0" t="s">
        <v>13631</v>
      </c>
    </row>
    <row r="37674" customFormat="false" ht="12.8" hidden="false" customHeight="false" outlineLevel="0" collapsed="false">
      <c r="A37674" s="0" t="s">
        <v>13632</v>
      </c>
      <c r="B37674" s="0" t="str">
        <f aca="false">HYPERLINK("https://lindat.mff.cuni.cz/services/teitok/pdtc10/index.php?action=vallex&amp;frame=v-whsa_996hsa_997", "přihřívat (v-whsa_996hsa_997)")</f>
        <v>přihřívat (v-whsa_996hsa_997)</v>
      </c>
    </row>
    <row r="37675" customFormat="false" ht="12.8" hidden="false" customHeight="false" outlineLevel="0" collapsed="false">
      <c r="B37675" s="0" t="s">
        <v>7</v>
      </c>
    </row>
    <row r="37676" customFormat="false" ht="12.8" hidden="false" customHeight="false" outlineLevel="0" collapsed="false">
      <c r="B37676" s="0" t="s">
        <v>14</v>
      </c>
    </row>
    <row r="37678" customFormat="false" ht="12.8" hidden="false" customHeight="false" outlineLevel="0" collapsed="false">
      <c r="A37678" s="0" t="s">
        <v>13633</v>
      </c>
      <c r="B37678" s="0" t="str">
        <f aca="false">HYPERLINK("https://lindat.mff.cuni.cz/services/teitok/pdtc10/index.php?action=vallex&amp;frame=v-w5152f1", "přijet (v-w5152f1)")</f>
        <v>přijet (v-w5152f1)</v>
      </c>
    </row>
    <row r="37679" customFormat="false" ht="12.8" hidden="false" customHeight="false" outlineLevel="0" collapsed="false">
      <c r="B37679" s="0" t="s">
        <v>7</v>
      </c>
      <c r="C37679" s="0" t="s">
        <v>13634</v>
      </c>
      <c r="D37679" s="0" t="s">
        <v>1705</v>
      </c>
      <c r="E37679" s="0" t="s">
        <v>1706</v>
      </c>
      <c r="F37679" s="0" t="s">
        <v>1706</v>
      </c>
    </row>
    <row r="37680" customFormat="false" ht="12.8" hidden="false" customHeight="false" outlineLevel="0" collapsed="false">
      <c r="B37680" s="0" t="s">
        <v>124</v>
      </c>
      <c r="D37680" s="0" t="s">
        <v>1707</v>
      </c>
      <c r="E37680" s="0" t="s">
        <v>1707</v>
      </c>
      <c r="F37680" s="0" t="s">
        <v>1707</v>
      </c>
    </row>
    <row r="37682" customFormat="false" ht="12.8" hidden="false" customHeight="false" outlineLevel="0" collapsed="false">
      <c r="A37682" s="0" t="s">
        <v>13635</v>
      </c>
      <c r="B37682" s="0" t="str">
        <f aca="false">HYPERLINK("https://lindat.mff.cuni.cz/services/teitok/pdtc10/index.php?action=vallex&amp;frame=v-w5152f2_ZU", "přijet (v-w5152f2_ZU)")</f>
        <v>přijet (v-w5152f2_ZU)</v>
      </c>
    </row>
    <row r="37683" customFormat="false" ht="12.8" hidden="false" customHeight="false" outlineLevel="0" collapsed="false">
      <c r="B37683" s="0" t="s">
        <v>7</v>
      </c>
    </row>
    <row r="37684" customFormat="false" ht="12.8" hidden="false" customHeight="false" outlineLevel="0" collapsed="false">
      <c r="B37684" s="0" t="s">
        <v>14</v>
      </c>
    </row>
    <row r="37686" customFormat="false" ht="12.8" hidden="false" customHeight="false" outlineLevel="0" collapsed="false">
      <c r="A37686" s="0" t="s">
        <v>13636</v>
      </c>
      <c r="B37686" s="0" t="str">
        <f aca="false">HYPERLINK("https://lindat.mff.cuni.cz/services/teitok/pdtc10/index.php?action=vallex&amp;frame=v-w5161f3", "přijmout (v-w5161f3)")</f>
        <v>přijmout (v-w5161f3)</v>
      </c>
    </row>
    <row r="37687" customFormat="false" ht="12.8" hidden="false" customHeight="false" outlineLevel="0" collapsed="false">
      <c r="B37687" s="0" t="s">
        <v>7</v>
      </c>
      <c r="C37687" s="0" t="s">
        <v>13637</v>
      </c>
      <c r="D37687" s="0" t="s">
        <v>1725</v>
      </c>
      <c r="E37687" s="0" t="s">
        <v>2299</v>
      </c>
      <c r="F37687" s="0" t="s">
        <v>2299</v>
      </c>
    </row>
    <row r="37688" customFormat="false" ht="12.8" hidden="false" customHeight="false" outlineLevel="0" collapsed="false">
      <c r="B37688" s="0" t="s">
        <v>1693</v>
      </c>
      <c r="C37688" s="0" t="s">
        <v>13638</v>
      </c>
      <c r="D37688" s="0" t="s">
        <v>1728</v>
      </c>
      <c r="E37688" s="0" t="s">
        <v>2301</v>
      </c>
      <c r="F37688" s="0" t="s">
        <v>2301</v>
      </c>
    </row>
    <row r="37689" customFormat="false" ht="12.8" hidden="false" customHeight="false" outlineLevel="0" collapsed="false">
      <c r="B37689" s="0" t="s">
        <v>441</v>
      </c>
      <c r="C37689" s="0" t="s">
        <v>13639</v>
      </c>
      <c r="D37689" s="0" t="s">
        <v>1730</v>
      </c>
      <c r="E37689" s="0" t="s">
        <v>2303</v>
      </c>
      <c r="F37689" s="0" t="s">
        <v>2303</v>
      </c>
    </row>
    <row r="37691" customFormat="false" ht="12.8" hidden="false" customHeight="false" outlineLevel="0" collapsed="false">
      <c r="A37691" s="0" t="s">
        <v>13640</v>
      </c>
      <c r="B37691" s="0" t="str">
        <f aca="false">HYPERLINK("https://lindat.mff.cuni.cz/services/teitok/pdtc10/index.php?action=vallex&amp;frame=v-w5161f5", "přijmout (v-w5161f5)")</f>
        <v>přijmout (v-w5161f5)</v>
      </c>
    </row>
    <row r="37692" customFormat="false" ht="12.8" hidden="false" customHeight="false" outlineLevel="0" collapsed="false">
      <c r="B37692" s="0" t="s">
        <v>7</v>
      </c>
      <c r="C37692" s="0" t="s">
        <v>157</v>
      </c>
    </row>
    <row r="37693" customFormat="false" ht="12.8" hidden="false" customHeight="false" outlineLevel="0" collapsed="false">
      <c r="B37693" s="0" t="s">
        <v>14</v>
      </c>
      <c r="C37693" s="0" t="s">
        <v>466</v>
      </c>
    </row>
    <row r="37694" customFormat="false" ht="12.8" hidden="false" customHeight="false" outlineLevel="0" collapsed="false">
      <c r="B37694" s="0" t="s">
        <v>98</v>
      </c>
    </row>
    <row r="37696" customFormat="false" ht="12.8" hidden="false" customHeight="false" outlineLevel="0" collapsed="false">
      <c r="A37696" s="0" t="s">
        <v>13641</v>
      </c>
      <c r="B37696" s="0" t="str">
        <f aca="false">HYPERLINK("https://lindat.mff.cuni.cz/services/teitok/pdtc10/index.php?action=vallex&amp;frame=v-w5161f1", "přijmout (v-w5161f1)")</f>
        <v>přijmout (v-w5161f1)</v>
      </c>
    </row>
    <row r="37697" customFormat="false" ht="12.8" hidden="false" customHeight="false" outlineLevel="0" collapsed="false">
      <c r="B37697" s="0" t="s">
        <v>7</v>
      </c>
      <c r="C37697" s="0" t="s">
        <v>13642</v>
      </c>
      <c r="D37697" s="0" t="s">
        <v>158</v>
      </c>
      <c r="E37697" s="0" t="s">
        <v>158</v>
      </c>
      <c r="F37697" s="0" t="s">
        <v>13643</v>
      </c>
    </row>
    <row r="37698" customFormat="false" ht="12.8" hidden="false" customHeight="false" outlineLevel="0" collapsed="false">
      <c r="B37698" s="0" t="s">
        <v>14</v>
      </c>
      <c r="C37698" s="0" t="s">
        <v>13644</v>
      </c>
      <c r="D37698" s="0" t="s">
        <v>160</v>
      </c>
      <c r="E37698" s="0" t="s">
        <v>160</v>
      </c>
      <c r="F37698" s="0" t="s">
        <v>13645</v>
      </c>
    </row>
    <row r="37700" customFormat="false" ht="12.8" hidden="false" customHeight="false" outlineLevel="0" collapsed="false">
      <c r="A37700" s="0" t="s">
        <v>13646</v>
      </c>
      <c r="B37700" s="0" t="str">
        <f aca="false">HYPERLINK("https://lindat.mff.cuni.cz/services/teitok/pdtc10/index.php?action=vallex&amp;frame=v-w5161f2", "přijmout (v-w5161f2)")</f>
        <v>přijmout (v-w5161f2)</v>
      </c>
    </row>
    <row r="37701" customFormat="false" ht="12.8" hidden="false" customHeight="false" outlineLevel="0" collapsed="false">
      <c r="B37701" s="0" t="s">
        <v>7</v>
      </c>
      <c r="C37701" s="0" t="s">
        <v>13647</v>
      </c>
      <c r="D37701" s="0" t="s">
        <v>132</v>
      </c>
      <c r="E37701" s="0" t="s">
        <v>132</v>
      </c>
      <c r="F37701" s="0" t="s">
        <v>132</v>
      </c>
    </row>
    <row r="37702" customFormat="false" ht="12.8" hidden="false" customHeight="false" outlineLevel="0" collapsed="false">
      <c r="B37702" s="0" t="s">
        <v>14</v>
      </c>
      <c r="C37702" s="0" t="s">
        <v>13648</v>
      </c>
      <c r="D37702" s="0" t="s">
        <v>6522</v>
      </c>
      <c r="E37702" s="0" t="s">
        <v>6522</v>
      </c>
      <c r="F37702" s="0" t="s">
        <v>6522</v>
      </c>
    </row>
    <row r="37704" customFormat="false" ht="12.8" hidden="false" customHeight="false" outlineLevel="0" collapsed="false">
      <c r="A37704" s="0" t="s">
        <v>13649</v>
      </c>
      <c r="B37704" s="0" t="str">
        <f aca="false">HYPERLINK("https://lindat.mff.cuni.cz/services/teitok/pdtc10/index.php?action=vallex&amp;frame=v-w5161f9_ZU", "přijmout (v-w5161f9_ZU)")</f>
        <v>přijmout (v-w5161f9_ZU)</v>
      </c>
    </row>
    <row r="37705" customFormat="false" ht="12.8" hidden="false" customHeight="false" outlineLevel="0" collapsed="false">
      <c r="B37705" s="0" t="s">
        <v>7</v>
      </c>
      <c r="C37705" s="0" t="s">
        <v>10431</v>
      </c>
      <c r="D37705" s="0" t="s">
        <v>158</v>
      </c>
      <c r="E37705" s="0" t="s">
        <v>158</v>
      </c>
      <c r="F37705" s="0" t="s">
        <v>158</v>
      </c>
    </row>
    <row r="37706" customFormat="false" ht="12.8" hidden="false" customHeight="false" outlineLevel="0" collapsed="false">
      <c r="B37706" s="0" t="s">
        <v>13650</v>
      </c>
      <c r="C37706" s="0" t="s">
        <v>13651</v>
      </c>
      <c r="D37706" s="0" t="s">
        <v>13652</v>
      </c>
      <c r="E37706" s="0" t="s">
        <v>13652</v>
      </c>
      <c r="F37706" s="0" t="s">
        <v>13652</v>
      </c>
    </row>
    <row r="37708" customFormat="false" ht="12.8" hidden="false" customHeight="false" outlineLevel="0" collapsed="false">
      <c r="A37708" s="0" t="s">
        <v>13649</v>
      </c>
      <c r="B37708" s="0" t="str">
        <f aca="false">HYPERLINK("https://lindat.mff.cuni.cz/services/teitok/pdtc10/index.php?action=vallex&amp;frame=v-w5161f4", "přijmout (v-w5161f4) - substituted with v-w5161f9_ZU")</f>
        <v>přijmout (v-w5161f4) - substituted with v-w5161f9_ZU</v>
      </c>
    </row>
    <row r="37709" customFormat="false" ht="12.8" hidden="false" customHeight="false" outlineLevel="0" collapsed="false">
      <c r="B37709" s="0" t="s">
        <v>7</v>
      </c>
      <c r="C37709" s="0" t="s">
        <v>13653</v>
      </c>
    </row>
    <row r="37710" customFormat="false" ht="12.8" hidden="false" customHeight="false" outlineLevel="0" collapsed="false">
      <c r="B37710" s="0" t="s">
        <v>13650</v>
      </c>
      <c r="C37710" s="0" t="s">
        <v>13654</v>
      </c>
    </row>
    <row r="37712" customFormat="false" ht="12.8" hidden="false" customHeight="false" outlineLevel="0" collapsed="false">
      <c r="A37712" s="0" t="s">
        <v>13649</v>
      </c>
      <c r="B37712" s="0" t="str">
        <f aca="false">HYPERLINK("https://lindat.mff.cuni.cz/services/teitok/pdtc10/index.php?action=vallex&amp;frame=v-w5161f8_ZU", "přijmout (v-w5161f8_ZU) - substituted with v-w5161f9_ZU")</f>
        <v>přijmout (v-w5161f8_ZU) - substituted with v-w5161f9_ZU</v>
      </c>
    </row>
    <row r="37713" customFormat="false" ht="12.8" hidden="false" customHeight="false" outlineLevel="0" collapsed="false">
      <c r="B37713" s="0" t="s">
        <v>7</v>
      </c>
      <c r="C37713" s="0" t="s">
        <v>13655</v>
      </c>
    </row>
    <row r="37714" customFormat="false" ht="12.8" hidden="false" customHeight="false" outlineLevel="0" collapsed="false">
      <c r="B37714" s="0" t="s">
        <v>13650</v>
      </c>
      <c r="C37714" s="0" t="s">
        <v>13656</v>
      </c>
    </row>
    <row r="37716" customFormat="false" ht="12.8" hidden="false" customHeight="false" outlineLevel="0" collapsed="false">
      <c r="A37716" s="0" t="s">
        <v>13649</v>
      </c>
      <c r="B37716" s="0" t="str">
        <f aca="false">HYPERLINK("https://lindat.mff.cuni.cz/services/teitok/pdtc10/index.php?action=vallex&amp;frame=v-w5161hsa_124", "přijmout (v-w5161hsa_124) - substituted with v-w5161f9_ZU")</f>
        <v>přijmout (v-w5161hsa_124) - substituted with v-w5161f9_ZU</v>
      </c>
    </row>
    <row r="37717" customFormat="false" ht="12.8" hidden="false" customHeight="false" outlineLevel="0" collapsed="false">
      <c r="B37717" s="0" t="s">
        <v>7</v>
      </c>
      <c r="C37717" s="0" t="s">
        <v>13657</v>
      </c>
    </row>
    <row r="37718" customFormat="false" ht="12.8" hidden="false" customHeight="false" outlineLevel="0" collapsed="false">
      <c r="B37718" s="0" t="s">
        <v>13650</v>
      </c>
      <c r="C37718" s="0" t="s">
        <v>13658</v>
      </c>
    </row>
    <row r="37720" customFormat="false" ht="12.8" hidden="false" customHeight="false" outlineLevel="0" collapsed="false">
      <c r="A37720" s="0" t="s">
        <v>13659</v>
      </c>
      <c r="B37720" s="0" t="str">
        <f aca="false">HYPERLINK("https://lindat.mff.cuni.cz/services/teitok/pdtc10/index.php?action=vallex&amp;frame=v-w5161f7", "přijmout (v-w5161f7)")</f>
        <v>přijmout (v-w5161f7)</v>
      </c>
    </row>
    <row r="37721" customFormat="false" ht="12.8" hidden="false" customHeight="false" outlineLevel="0" collapsed="false">
      <c r="B37721" s="0" t="s">
        <v>7</v>
      </c>
    </row>
    <row r="37722" customFormat="false" ht="12.8" hidden="false" customHeight="false" outlineLevel="0" collapsed="false">
      <c r="B37722" s="0" t="s">
        <v>12569</v>
      </c>
    </row>
    <row r="37723" customFormat="false" ht="12.8" hidden="false" customHeight="false" outlineLevel="0" collapsed="false">
      <c r="B37723" s="0" t="s">
        <v>14</v>
      </c>
    </row>
    <row r="37725" customFormat="false" ht="12.8" hidden="false" customHeight="false" outlineLevel="0" collapsed="false">
      <c r="A37725" s="0" t="s">
        <v>13660</v>
      </c>
      <c r="B37725" s="0" t="str">
        <f aca="false">HYPERLINK("https://lindat.mff.cuni.cz/services/teitok/pdtc10/index.php?action=vallex&amp;frame=v-w5161f6", "přijmout (v-w5161f6)")</f>
        <v>přijmout (v-w5161f6)</v>
      </c>
    </row>
    <row r="37726" customFormat="false" ht="12.8" hidden="false" customHeight="false" outlineLevel="0" collapsed="false">
      <c r="B37726" s="0" t="s">
        <v>7</v>
      </c>
    </row>
    <row r="37727" customFormat="false" ht="12.8" hidden="false" customHeight="false" outlineLevel="0" collapsed="false">
      <c r="B37727" s="0" t="s">
        <v>13661</v>
      </c>
    </row>
    <row r="37728" customFormat="false" ht="12.8" hidden="false" customHeight="false" outlineLevel="0" collapsed="false">
      <c r="B37728" s="0" t="s">
        <v>172</v>
      </c>
    </row>
    <row r="37730" customFormat="false" ht="12.8" hidden="false" customHeight="false" outlineLevel="0" collapsed="false">
      <c r="A37730" s="0" t="s">
        <v>13662</v>
      </c>
      <c r="B37730" s="0" t="str">
        <f aca="false">HYPERLINK("https://lindat.mff.cuni.cz/services/teitok/pdtc10/index.php?action=vallex&amp;frame=v-w5161hsa_123", "přijmout (v-w5161hsa_123)")</f>
        <v>přijmout (v-w5161hsa_123)</v>
      </c>
    </row>
    <row r="37731" customFormat="false" ht="12.8" hidden="false" customHeight="false" outlineLevel="0" collapsed="false">
      <c r="B37731" s="0" t="s">
        <v>7</v>
      </c>
      <c r="C37731" s="0" t="s">
        <v>2344</v>
      </c>
    </row>
    <row r="37732" customFormat="false" ht="12.8" hidden="false" customHeight="false" outlineLevel="0" collapsed="false">
      <c r="B37732" s="0" t="s">
        <v>14</v>
      </c>
      <c r="C37732" s="0" t="s">
        <v>9777</v>
      </c>
    </row>
    <row r="37734" customFormat="false" ht="12.8" hidden="false" customHeight="false" outlineLevel="0" collapsed="false">
      <c r="A37734" s="0" t="s">
        <v>13663</v>
      </c>
      <c r="B37734" s="0" t="str">
        <f aca="false">HYPERLINK("https://lindat.mff.cuni.cz/services/teitok/pdtc10/index.php?action=vallex&amp;frame=v-w5161f12_ZU", "přijmout (v-w5161f12_ZU)")</f>
        <v>přijmout (v-w5161f12_ZU)</v>
      </c>
    </row>
    <row r="37735" customFormat="false" ht="12.8" hidden="false" customHeight="false" outlineLevel="0" collapsed="false">
      <c r="B37735" s="0" t="s">
        <v>7</v>
      </c>
    </row>
    <row r="37736" customFormat="false" ht="12.8" hidden="false" customHeight="false" outlineLevel="0" collapsed="false">
      <c r="B37736" s="0" t="s">
        <v>14</v>
      </c>
    </row>
    <row r="37738" customFormat="false" ht="12.8" hidden="false" customHeight="false" outlineLevel="0" collapsed="false">
      <c r="A37738" s="0" t="s">
        <v>13663</v>
      </c>
      <c r="B37738" s="0" t="str">
        <f aca="false">HYPERLINK("https://lindat.mff.cuni.cz/services/teitok/pdtc10/index.php?action=vallex&amp;frame=v-w5161f10_ZU", "přijmout (v-w5161f10_ZU) - substituted with v-w5161f12_ZU")</f>
        <v>přijmout (v-w5161f10_ZU) - substituted with v-w5161f12_ZU</v>
      </c>
    </row>
    <row r="37739" customFormat="false" ht="12.8" hidden="false" customHeight="false" outlineLevel="0" collapsed="false">
      <c r="B37739" s="0" t="s">
        <v>7</v>
      </c>
    </row>
    <row r="37740" customFormat="false" ht="12.8" hidden="false" customHeight="false" outlineLevel="0" collapsed="false">
      <c r="B37740" s="0" t="s">
        <v>14</v>
      </c>
    </row>
    <row r="37742" customFormat="false" ht="12.8" hidden="false" customHeight="false" outlineLevel="0" collapsed="false">
      <c r="A37742" s="0" t="s">
        <v>13663</v>
      </c>
      <c r="B37742" s="0" t="str">
        <f aca="false">HYPERLINK("https://lindat.mff.cuni.cz/services/teitok/pdtc10/index.php?action=vallex&amp;frame=v-w5161f11_ZU", "přijmout (v-w5161f11_ZU) - substituted with v-w5161f12_ZU")</f>
        <v>přijmout (v-w5161f11_ZU) - substituted with v-w5161f12_ZU</v>
      </c>
    </row>
    <row r="37743" customFormat="false" ht="12.8" hidden="false" customHeight="false" outlineLevel="0" collapsed="false">
      <c r="B37743" s="0" t="s">
        <v>7</v>
      </c>
    </row>
    <row r="37744" customFormat="false" ht="12.8" hidden="false" customHeight="false" outlineLevel="0" collapsed="false">
      <c r="B37744" s="0" t="s">
        <v>14</v>
      </c>
    </row>
    <row r="37746" customFormat="false" ht="12.8" hidden="false" customHeight="false" outlineLevel="0" collapsed="false">
      <c r="A37746" s="0" t="s">
        <v>13664</v>
      </c>
      <c r="B37746" s="0" t="str">
        <f aca="false">HYPERLINK("https://lindat.mff.cuni.cz/services/teitok/pdtc10/index.php?action=vallex&amp;frame=v-w5157f2", "přijímat (v-w5157f2)")</f>
        <v>přijímat (v-w5157f2)</v>
      </c>
    </row>
    <row r="37747" customFormat="false" ht="12.8" hidden="false" customHeight="false" outlineLevel="0" collapsed="false">
      <c r="B37747" s="0" t="s">
        <v>7</v>
      </c>
      <c r="C37747" s="0" t="s">
        <v>13665</v>
      </c>
      <c r="D37747" s="0" t="s">
        <v>1725</v>
      </c>
      <c r="E37747" s="0" t="s">
        <v>2299</v>
      </c>
      <c r="F37747" s="0" t="s">
        <v>2299</v>
      </c>
    </row>
    <row r="37748" customFormat="false" ht="12.8" hidden="false" customHeight="false" outlineLevel="0" collapsed="false">
      <c r="B37748" s="0" t="s">
        <v>1693</v>
      </c>
      <c r="C37748" s="0" t="s">
        <v>13666</v>
      </c>
      <c r="D37748" s="0" t="s">
        <v>1728</v>
      </c>
      <c r="E37748" s="0" t="s">
        <v>2301</v>
      </c>
      <c r="F37748" s="0" t="s">
        <v>2301</v>
      </c>
    </row>
    <row r="37749" customFormat="false" ht="12.8" hidden="false" customHeight="false" outlineLevel="0" collapsed="false">
      <c r="B37749" s="0" t="s">
        <v>441</v>
      </c>
      <c r="C37749" s="0" t="s">
        <v>13667</v>
      </c>
      <c r="D37749" s="0" t="s">
        <v>1730</v>
      </c>
      <c r="E37749" s="0" t="s">
        <v>2303</v>
      </c>
      <c r="F37749" s="0" t="s">
        <v>2303</v>
      </c>
    </row>
    <row r="37751" customFormat="false" ht="12.8" hidden="false" customHeight="false" outlineLevel="0" collapsed="false">
      <c r="A37751" s="0" t="s">
        <v>13668</v>
      </c>
      <c r="B37751" s="0" t="str">
        <f aca="false">HYPERLINK("https://lindat.mff.cuni.cz/services/teitok/pdtc10/index.php?action=vallex&amp;frame=v-w5157f8", "přijímat (v-w5157f8)")</f>
        <v>přijímat (v-w5157f8)</v>
      </c>
    </row>
    <row r="37752" customFormat="false" ht="12.8" hidden="false" customHeight="false" outlineLevel="0" collapsed="false">
      <c r="B37752" s="0" t="s">
        <v>7</v>
      </c>
    </row>
    <row r="37753" customFormat="false" ht="12.8" hidden="false" customHeight="false" outlineLevel="0" collapsed="false">
      <c r="B37753" s="0" t="s">
        <v>14</v>
      </c>
    </row>
    <row r="37754" customFormat="false" ht="12.8" hidden="false" customHeight="false" outlineLevel="0" collapsed="false">
      <c r="B37754" s="0" t="s">
        <v>98</v>
      </c>
    </row>
    <row r="37756" customFormat="false" ht="12.8" hidden="false" customHeight="false" outlineLevel="0" collapsed="false">
      <c r="A37756" s="0" t="s">
        <v>13669</v>
      </c>
      <c r="B37756" s="0" t="str">
        <f aca="false">HYPERLINK("https://lindat.mff.cuni.cz/services/teitok/pdtc10/index.php?action=vallex&amp;frame=v-w5157f4", "přijímat (v-w5157f4)")</f>
        <v>přijímat (v-w5157f4)</v>
      </c>
    </row>
    <row r="37757" customFormat="false" ht="12.8" hidden="false" customHeight="false" outlineLevel="0" collapsed="false">
      <c r="B37757" s="0" t="s">
        <v>7</v>
      </c>
      <c r="C37757" s="0" t="s">
        <v>13670</v>
      </c>
      <c r="D37757" s="0" t="s">
        <v>158</v>
      </c>
      <c r="E37757" s="0" t="s">
        <v>158</v>
      </c>
      <c r="F37757" s="0" t="s">
        <v>13643</v>
      </c>
    </row>
    <row r="37758" customFormat="false" ht="12.8" hidden="false" customHeight="false" outlineLevel="0" collapsed="false">
      <c r="B37758" s="0" t="s">
        <v>54</v>
      </c>
      <c r="C37758" s="0" t="s">
        <v>13671</v>
      </c>
      <c r="D37758" s="0" t="s">
        <v>160</v>
      </c>
      <c r="E37758" s="0" t="s">
        <v>160</v>
      </c>
      <c r="F37758" s="0" t="s">
        <v>13645</v>
      </c>
    </row>
    <row r="37760" customFormat="false" ht="12.8" hidden="false" customHeight="false" outlineLevel="0" collapsed="false">
      <c r="A37760" s="0" t="s">
        <v>13672</v>
      </c>
      <c r="B37760" s="0" t="str">
        <f aca="false">HYPERLINK("https://lindat.mff.cuni.cz/services/teitok/pdtc10/index.php?action=vallex&amp;frame=v-w5157f1", "přijímat (v-w5157f1)")</f>
        <v>přijímat (v-w5157f1)</v>
      </c>
    </row>
    <row r="37761" customFormat="false" ht="12.8" hidden="false" customHeight="false" outlineLevel="0" collapsed="false">
      <c r="B37761" s="0" t="s">
        <v>7</v>
      </c>
      <c r="C37761" s="0" t="s">
        <v>13673</v>
      </c>
    </row>
    <row r="37762" customFormat="false" ht="12.8" hidden="false" customHeight="false" outlineLevel="0" collapsed="false">
      <c r="B37762" s="0" t="s">
        <v>14</v>
      </c>
      <c r="C37762" s="0" t="s">
        <v>13674</v>
      </c>
    </row>
    <row r="37764" customFormat="false" ht="12.8" hidden="false" customHeight="false" outlineLevel="0" collapsed="false">
      <c r="A37764" s="0" t="s">
        <v>13675</v>
      </c>
      <c r="B37764" s="0" t="str">
        <f aca="false">HYPERLINK("https://lindat.mff.cuni.cz/services/teitok/pdtc10/index.php?action=vallex&amp;frame=v-w5157f6", "přijímat (v-w5157f6)")</f>
        <v>přijímat (v-w5157f6)</v>
      </c>
    </row>
    <row r="37765" customFormat="false" ht="12.8" hidden="false" customHeight="false" outlineLevel="0" collapsed="false">
      <c r="B37765" s="0" t="s">
        <v>7</v>
      </c>
      <c r="C37765" s="0" t="s">
        <v>4960</v>
      </c>
      <c r="D37765" s="0" t="s">
        <v>132</v>
      </c>
      <c r="E37765" s="0" t="s">
        <v>132</v>
      </c>
      <c r="F37765" s="0" t="s">
        <v>132</v>
      </c>
    </row>
    <row r="37766" customFormat="false" ht="12.8" hidden="false" customHeight="false" outlineLevel="0" collapsed="false">
      <c r="B37766" s="0" t="s">
        <v>14</v>
      </c>
      <c r="C37766" s="0" t="s">
        <v>7703</v>
      </c>
      <c r="D37766" s="0" t="s">
        <v>6522</v>
      </c>
      <c r="E37766" s="0" t="s">
        <v>6522</v>
      </c>
      <c r="F37766" s="0" t="s">
        <v>6522</v>
      </c>
    </row>
    <row r="37768" customFormat="false" ht="12.8" hidden="false" customHeight="false" outlineLevel="0" collapsed="false">
      <c r="A37768" s="0" t="s">
        <v>13676</v>
      </c>
      <c r="B37768" s="0" t="str">
        <f aca="false">HYPERLINK("https://lindat.mff.cuni.cz/services/teitok/pdtc10/index.php?action=vallex&amp;frame=v-w5157f5", "přijímat (v-w5157f5)")</f>
        <v>přijímat (v-w5157f5)</v>
      </c>
    </row>
    <row r="37769" customFormat="false" ht="12.8" hidden="false" customHeight="false" outlineLevel="0" collapsed="false">
      <c r="B37769" s="0" t="s">
        <v>7</v>
      </c>
      <c r="C37769" s="0" t="s">
        <v>4161</v>
      </c>
    </row>
    <row r="37770" customFormat="false" ht="12.8" hidden="false" customHeight="false" outlineLevel="0" collapsed="false">
      <c r="B37770" s="0" t="s">
        <v>14</v>
      </c>
      <c r="C37770" s="0" t="s">
        <v>13677</v>
      </c>
    </row>
    <row r="37772" customFormat="false" ht="12.8" hidden="false" customHeight="false" outlineLevel="0" collapsed="false">
      <c r="A37772" s="0" t="s">
        <v>13678</v>
      </c>
      <c r="B37772" s="0" t="str">
        <f aca="false">HYPERLINK("https://lindat.mff.cuni.cz/services/teitok/pdtc10/index.php?action=vallex&amp;frame=v-w5157f7", "přijímat (v-w5157f7)")</f>
        <v>přijímat (v-w5157f7)</v>
      </c>
    </row>
    <row r="37773" customFormat="false" ht="12.8" hidden="false" customHeight="false" outlineLevel="0" collapsed="false">
      <c r="B37773" s="0" t="s">
        <v>7</v>
      </c>
      <c r="C37773" s="0" t="s">
        <v>2344</v>
      </c>
    </row>
    <row r="37774" customFormat="false" ht="12.8" hidden="false" customHeight="false" outlineLevel="0" collapsed="false">
      <c r="B37774" s="0" t="s">
        <v>14</v>
      </c>
      <c r="C37774" s="0" t="s">
        <v>9777</v>
      </c>
    </row>
    <row r="37776" customFormat="false" ht="12.8" hidden="false" customHeight="false" outlineLevel="0" collapsed="false">
      <c r="A37776" s="0" t="s">
        <v>13679</v>
      </c>
      <c r="B37776" s="0" t="str">
        <f aca="false">HYPERLINK("https://lindat.mff.cuni.cz/services/teitok/pdtc10/index.php?action=vallex&amp;frame=v-w5157hsa_613", "přijímat (v-w5157hsa_613)")</f>
        <v>přijímat (v-w5157hsa_613)</v>
      </c>
    </row>
    <row r="37777" customFormat="false" ht="12.8" hidden="false" customHeight="false" outlineLevel="0" collapsed="false">
      <c r="B37777" s="0" t="s">
        <v>7</v>
      </c>
      <c r="C37777" s="0" t="s">
        <v>4116</v>
      </c>
      <c r="D37777" s="0" t="s">
        <v>569</v>
      </c>
      <c r="E37777" s="0" t="s">
        <v>569</v>
      </c>
      <c r="F37777" s="0" t="s">
        <v>569</v>
      </c>
    </row>
    <row r="37778" customFormat="false" ht="12.8" hidden="false" customHeight="false" outlineLevel="0" collapsed="false">
      <c r="B37778" s="0" t="s">
        <v>13680</v>
      </c>
      <c r="C37778" s="0" t="s">
        <v>13681</v>
      </c>
      <c r="D37778" s="0" t="s">
        <v>13682</v>
      </c>
      <c r="E37778" s="0" t="s">
        <v>13682</v>
      </c>
      <c r="F37778" s="0" t="s">
        <v>13682</v>
      </c>
    </row>
    <row r="37780" customFormat="false" ht="12.8" hidden="false" customHeight="false" outlineLevel="0" collapsed="false">
      <c r="A37780" s="0" t="s">
        <v>13679</v>
      </c>
      <c r="B37780" s="0" t="str">
        <f aca="false">HYPERLINK("https://lindat.mff.cuni.cz/services/teitok/pdtc10/index.php?action=vallex&amp;frame=v-w5157f3", "přijímat (v-w5157f3) - substituted with v-w5157hsa_613")</f>
        <v>přijímat (v-w5157f3) - substituted with v-w5157hsa_613</v>
      </c>
    </row>
    <row r="37781" customFormat="false" ht="12.8" hidden="false" customHeight="false" outlineLevel="0" collapsed="false">
      <c r="B37781" s="0" t="s">
        <v>7</v>
      </c>
    </row>
    <row r="37782" customFormat="false" ht="12.8" hidden="false" customHeight="false" outlineLevel="0" collapsed="false">
      <c r="B37782" s="0" t="s">
        <v>13680</v>
      </c>
    </row>
    <row r="37784" customFormat="false" ht="12.8" hidden="false" customHeight="false" outlineLevel="0" collapsed="false">
      <c r="A37784" s="0" t="s">
        <v>13683</v>
      </c>
      <c r="B37784" s="0" t="str">
        <f aca="false">HYPERLINK("https://lindat.mff.cuni.cz/services/teitok/pdtc10/index.php?action=vallex&amp;frame=v-w5158f50_ZU", "přijít (v-w5158f50_ZU)")</f>
        <v>přijít (v-w5158f50_ZU)</v>
      </c>
    </row>
    <row r="37785" customFormat="false" ht="12.8" hidden="false" customHeight="false" outlineLevel="0" collapsed="false">
      <c r="B37785" s="0" t="s">
        <v>265</v>
      </c>
    </row>
    <row r="37786" customFormat="false" ht="12.8" hidden="false" customHeight="false" outlineLevel="0" collapsed="false">
      <c r="B37786" s="0" t="s">
        <v>41</v>
      </c>
    </row>
    <row r="37787" customFormat="false" ht="12.8" hidden="false" customHeight="false" outlineLevel="0" collapsed="false">
      <c r="B37787" s="0" t="s">
        <v>81</v>
      </c>
    </row>
    <row r="37789" customFormat="false" ht="12.8" hidden="false" customHeight="false" outlineLevel="0" collapsed="false">
      <c r="A37789" s="0" t="s">
        <v>13683</v>
      </c>
      <c r="B37789" s="0" t="str">
        <f aca="false">HYPERLINK("https://lindat.mff.cuni.cz/services/teitok/pdtc10/index.php?action=vallex&amp;frame=v-w5158f4", "přijít (v-w5158f4) - substituted with v-w5158f50_ZU")</f>
        <v>přijít (v-w5158f4) - substituted with v-w5158f50_ZU</v>
      </c>
    </row>
    <row r="37790" customFormat="false" ht="12.8" hidden="false" customHeight="false" outlineLevel="0" collapsed="false">
      <c r="B37790" s="0" t="s">
        <v>265</v>
      </c>
      <c r="C37790" s="0" t="s">
        <v>13684</v>
      </c>
      <c r="D37790" s="0" t="s">
        <v>13484</v>
      </c>
      <c r="E37790" s="0" t="s">
        <v>13484</v>
      </c>
      <c r="F37790" s="0" t="s">
        <v>13484</v>
      </c>
    </row>
    <row r="37791" customFormat="false" ht="12.8" hidden="false" customHeight="false" outlineLevel="0" collapsed="false">
      <c r="B37791" s="0" t="s">
        <v>41</v>
      </c>
      <c r="C37791" s="0" t="s">
        <v>13685</v>
      </c>
      <c r="D37791" s="0" t="s">
        <v>13485</v>
      </c>
      <c r="E37791" s="0" t="s">
        <v>13485</v>
      </c>
      <c r="F37791" s="0" t="s">
        <v>13485</v>
      </c>
    </row>
    <row r="37792" customFormat="false" ht="12.8" hidden="false" customHeight="false" outlineLevel="0" collapsed="false">
      <c r="B37792" s="0" t="s">
        <v>81</v>
      </c>
      <c r="C37792" s="0" t="s">
        <v>13486</v>
      </c>
      <c r="D37792" s="0" t="s">
        <v>13486</v>
      </c>
      <c r="E37792" s="0" t="s">
        <v>13486</v>
      </c>
      <c r="F37792" s="0" t="s">
        <v>13486</v>
      </c>
    </row>
    <row r="37794" customFormat="false" ht="12.8" hidden="false" customHeight="false" outlineLevel="0" collapsed="false">
      <c r="A37794" s="0" t="s">
        <v>13686</v>
      </c>
      <c r="B37794" s="0" t="str">
        <f aca="false">HYPERLINK("https://lindat.mff.cuni.cz/services/teitok/pdtc10/index.php?action=vallex&amp;frame=v-w5158f59_ZU", "přijít (v-w5158f59_ZU)")</f>
        <v>přijít (v-w5158f59_ZU)</v>
      </c>
    </row>
    <row r="37795" customFormat="false" ht="12.8" hidden="false" customHeight="false" outlineLevel="0" collapsed="false">
      <c r="B37795" s="0" t="s">
        <v>603</v>
      </c>
    </row>
    <row r="37796" customFormat="false" ht="12.8" hidden="false" customHeight="false" outlineLevel="0" collapsed="false">
      <c r="B37796" s="0" t="s">
        <v>4305</v>
      </c>
    </row>
    <row r="37797" customFormat="false" ht="12.8" hidden="false" customHeight="false" outlineLevel="0" collapsed="false">
      <c r="B37797" s="0" t="s">
        <v>13687</v>
      </c>
    </row>
    <row r="37799" customFormat="false" ht="12.8" hidden="false" customHeight="false" outlineLevel="0" collapsed="false">
      <c r="A37799" s="0" t="s">
        <v>13686</v>
      </c>
      <c r="B37799" s="0" t="str">
        <f aca="false">HYPERLINK("https://lindat.mff.cuni.cz/services/teitok/pdtc10/index.php?action=vallex&amp;frame=v-w5158f16", "přijít (v-w5158f16) - substituted with v-w5158f59_ZU")</f>
        <v>přijít (v-w5158f16) - substituted with v-w5158f59_ZU</v>
      </c>
    </row>
    <row r="37800" customFormat="false" ht="12.8" hidden="false" customHeight="false" outlineLevel="0" collapsed="false">
      <c r="B37800" s="0" t="s">
        <v>603</v>
      </c>
    </row>
    <row r="37801" customFormat="false" ht="12.8" hidden="false" customHeight="false" outlineLevel="0" collapsed="false">
      <c r="B37801" s="0" t="s">
        <v>4305</v>
      </c>
    </row>
    <row r="37802" customFormat="false" ht="12.8" hidden="false" customHeight="false" outlineLevel="0" collapsed="false">
      <c r="B37802" s="0" t="s">
        <v>13687</v>
      </c>
    </row>
    <row r="37804" customFormat="false" ht="12.8" hidden="false" customHeight="false" outlineLevel="0" collapsed="false">
      <c r="A37804" s="0" t="s">
        <v>13686</v>
      </c>
      <c r="B37804" s="0" t="str">
        <f aca="false">HYPERLINK("https://lindat.mff.cuni.cz/services/teitok/pdtc10/index.php?action=vallex&amp;frame=v-w5158f46_ZU", "přijít (v-w5158f46_ZU) - substituted with v-w5158f59_ZU")</f>
        <v>přijít (v-w5158f46_ZU) - substituted with v-w5158f59_ZU</v>
      </c>
    </row>
    <row r="37805" customFormat="false" ht="12.8" hidden="false" customHeight="false" outlineLevel="0" collapsed="false">
      <c r="B37805" s="0" t="s">
        <v>603</v>
      </c>
    </row>
    <row r="37806" customFormat="false" ht="12.8" hidden="false" customHeight="false" outlineLevel="0" collapsed="false">
      <c r="B37806" s="0" t="s">
        <v>4305</v>
      </c>
    </row>
    <row r="37807" customFormat="false" ht="12.8" hidden="false" customHeight="false" outlineLevel="0" collapsed="false">
      <c r="B37807" s="0" t="s">
        <v>13687</v>
      </c>
    </row>
    <row r="37809" customFormat="false" ht="12.8" hidden="false" customHeight="false" outlineLevel="0" collapsed="false">
      <c r="A37809" s="0" t="s">
        <v>13686</v>
      </c>
      <c r="B37809" s="0" t="str">
        <f aca="false">HYPERLINK("https://lindat.mff.cuni.cz/services/teitok/pdtc10/index.php?action=vallex&amp;frame=v-w5158f49_ZU", "přijít (v-w5158f49_ZU) - substituted with v-w5158f59_ZU")</f>
        <v>přijít (v-w5158f49_ZU) - substituted with v-w5158f59_ZU</v>
      </c>
    </row>
    <row r="37810" customFormat="false" ht="12.8" hidden="false" customHeight="false" outlineLevel="0" collapsed="false">
      <c r="B37810" s="0" t="s">
        <v>603</v>
      </c>
    </row>
    <row r="37811" customFormat="false" ht="12.8" hidden="false" customHeight="false" outlineLevel="0" collapsed="false">
      <c r="B37811" s="0" t="s">
        <v>4305</v>
      </c>
    </row>
    <row r="37812" customFormat="false" ht="12.8" hidden="false" customHeight="false" outlineLevel="0" collapsed="false">
      <c r="B37812" s="0" t="s">
        <v>13687</v>
      </c>
    </row>
    <row r="37814" customFormat="false" ht="12.8" hidden="false" customHeight="false" outlineLevel="0" collapsed="false">
      <c r="A37814" s="0" t="s">
        <v>13686</v>
      </c>
      <c r="B37814" s="0" t="str">
        <f aca="false">HYPERLINK("https://lindat.mff.cuni.cz/services/teitok/pdtc10/index.php?action=vallex&amp;frame=v-w5158f54_ZU", "přijít (v-w5158f54_ZU) - substituted with v-w5158f59_ZU")</f>
        <v>přijít (v-w5158f54_ZU) - substituted with v-w5158f59_ZU</v>
      </c>
    </row>
    <row r="37815" customFormat="false" ht="12.8" hidden="false" customHeight="false" outlineLevel="0" collapsed="false">
      <c r="B37815" s="0" t="s">
        <v>603</v>
      </c>
    </row>
    <row r="37816" customFormat="false" ht="12.8" hidden="false" customHeight="false" outlineLevel="0" collapsed="false">
      <c r="B37816" s="0" t="s">
        <v>4305</v>
      </c>
    </row>
    <row r="37817" customFormat="false" ht="12.8" hidden="false" customHeight="false" outlineLevel="0" collapsed="false">
      <c r="B37817" s="0" t="s">
        <v>13687</v>
      </c>
    </row>
    <row r="37819" customFormat="false" ht="12.8" hidden="false" customHeight="false" outlineLevel="0" collapsed="false">
      <c r="A37819" s="0" t="s">
        <v>13686</v>
      </c>
      <c r="B37819" s="0" t="str">
        <f aca="false">HYPERLINK("https://lindat.mff.cuni.cz/services/teitok/pdtc10/index.php?action=vallex&amp;frame=v-w5158f58_ZU", "přijít (v-w5158f58_ZU) - substituted with v-w5158f59_ZU")</f>
        <v>přijít (v-w5158f58_ZU) - substituted with v-w5158f59_ZU</v>
      </c>
    </row>
    <row r="37820" customFormat="false" ht="12.8" hidden="false" customHeight="false" outlineLevel="0" collapsed="false">
      <c r="B37820" s="0" t="s">
        <v>603</v>
      </c>
    </row>
    <row r="37821" customFormat="false" ht="12.8" hidden="false" customHeight="false" outlineLevel="0" collapsed="false">
      <c r="B37821" s="0" t="s">
        <v>4305</v>
      </c>
    </row>
    <row r="37822" customFormat="false" ht="12.8" hidden="false" customHeight="false" outlineLevel="0" collapsed="false">
      <c r="B37822" s="0" t="s">
        <v>13687</v>
      </c>
    </row>
    <row r="37824" customFormat="false" ht="12.8" hidden="false" customHeight="false" outlineLevel="0" collapsed="false">
      <c r="A37824" s="0" t="s">
        <v>13686</v>
      </c>
      <c r="B37824" s="0" t="str">
        <f aca="false">HYPERLINK("https://lindat.mff.cuni.cz/services/teitok/pdtc10/index.php?action=vallex&amp;frame=v-w5158hsa_938", "přijít (v-w5158hsa_938) - substituted with v-w5158f59_ZU")</f>
        <v>přijít (v-w5158hsa_938) - substituted with v-w5158f59_ZU</v>
      </c>
    </row>
    <row r="37825" customFormat="false" ht="12.8" hidden="false" customHeight="false" outlineLevel="0" collapsed="false">
      <c r="B37825" s="0" t="s">
        <v>603</v>
      </c>
    </row>
    <row r="37826" customFormat="false" ht="12.8" hidden="false" customHeight="false" outlineLevel="0" collapsed="false">
      <c r="B37826" s="0" t="s">
        <v>4305</v>
      </c>
    </row>
    <row r="37827" customFormat="false" ht="12.8" hidden="false" customHeight="false" outlineLevel="0" collapsed="false">
      <c r="B37827" s="0" t="s">
        <v>13687</v>
      </c>
    </row>
    <row r="37829" customFormat="false" ht="12.8" hidden="false" customHeight="false" outlineLevel="0" collapsed="false">
      <c r="A37829" s="0" t="s">
        <v>13688</v>
      </c>
      <c r="B37829" s="0" t="str">
        <f aca="false">HYPERLINK("https://lindat.mff.cuni.cz/services/teitok/pdtc10/index.php?action=vallex&amp;frame=v-w5158f55_ZU", "přijít (v-w5158f55_ZU)")</f>
        <v>přijít (v-w5158f55_ZU)</v>
      </c>
    </row>
    <row r="37830" customFormat="false" ht="12.8" hidden="false" customHeight="false" outlineLevel="0" collapsed="false">
      <c r="B37830" s="0" t="s">
        <v>7</v>
      </c>
    </row>
    <row r="37831" customFormat="false" ht="12.8" hidden="false" customHeight="false" outlineLevel="0" collapsed="false">
      <c r="B37831" s="0" t="s">
        <v>237</v>
      </c>
    </row>
    <row r="37833" customFormat="false" ht="12.8" hidden="false" customHeight="false" outlineLevel="0" collapsed="false">
      <c r="A37833" s="0" t="s">
        <v>13688</v>
      </c>
      <c r="B37833" s="0" t="str">
        <f aca="false">HYPERLINK("https://lindat.mff.cuni.cz/services/teitok/pdtc10/index.php?action=vallex&amp;frame=v-w5158f7", "přijít (v-w5158f7) - substituted with v-w5158f55_ZU")</f>
        <v>přijít (v-w5158f7) - substituted with v-w5158f55_ZU</v>
      </c>
    </row>
    <row r="37834" customFormat="false" ht="12.8" hidden="false" customHeight="false" outlineLevel="0" collapsed="false">
      <c r="B37834" s="0" t="s">
        <v>7</v>
      </c>
      <c r="C37834" s="0" t="s">
        <v>9077</v>
      </c>
      <c r="D37834" s="0" t="s">
        <v>2332</v>
      </c>
      <c r="E37834" s="0" t="s">
        <v>2332</v>
      </c>
      <c r="F37834" s="0" t="s">
        <v>2332</v>
      </c>
    </row>
    <row r="37835" customFormat="false" ht="12.8" hidden="false" customHeight="false" outlineLevel="0" collapsed="false">
      <c r="B37835" s="0" t="s">
        <v>237</v>
      </c>
      <c r="C37835" s="0" t="s">
        <v>1277</v>
      </c>
      <c r="D37835" s="0" t="s">
        <v>2334</v>
      </c>
      <c r="E37835" s="0" t="s">
        <v>2334</v>
      </c>
      <c r="F37835" s="0" t="s">
        <v>2334</v>
      </c>
    </row>
    <row r="37837" customFormat="false" ht="12.8" hidden="false" customHeight="false" outlineLevel="0" collapsed="false">
      <c r="A37837" s="0" t="s">
        <v>13689</v>
      </c>
      <c r="B37837" s="0" t="str">
        <f aca="false">HYPERLINK("https://lindat.mff.cuni.cz/services/teitok/pdtc10/index.php?action=vallex&amp;frame=v-w5158f11", "přijít (v-w5158f11)")</f>
        <v>přijít (v-w5158f11)</v>
      </c>
    </row>
    <row r="37838" customFormat="false" ht="12.8" hidden="false" customHeight="false" outlineLevel="0" collapsed="false">
      <c r="B37838" s="0" t="s">
        <v>7</v>
      </c>
      <c r="C37838" s="0" t="s">
        <v>13690</v>
      </c>
      <c r="D37838" s="0" t="s">
        <v>6342</v>
      </c>
      <c r="E37838" s="0" t="s">
        <v>6342</v>
      </c>
      <c r="F37838" s="0" t="s">
        <v>6342</v>
      </c>
    </row>
    <row r="37839" customFormat="false" ht="12.8" hidden="false" customHeight="false" outlineLevel="0" collapsed="false">
      <c r="B37839" s="0" t="s">
        <v>41</v>
      </c>
      <c r="C37839" s="0" t="s">
        <v>13691</v>
      </c>
      <c r="D37839" s="0" t="s">
        <v>6344</v>
      </c>
      <c r="E37839" s="0" t="s">
        <v>6344</v>
      </c>
      <c r="F37839" s="0" t="s">
        <v>6344</v>
      </c>
    </row>
    <row r="37841" customFormat="false" ht="12.8" hidden="false" customHeight="false" outlineLevel="0" collapsed="false">
      <c r="A37841" s="0" t="s">
        <v>13692</v>
      </c>
      <c r="B37841" s="0" t="str">
        <f aca="false">HYPERLINK("https://lindat.mff.cuni.cz/services/teitok/pdtc10/index.php?action=vallex&amp;frame=v-w5158f28", "přijít (v-w5158f28)")</f>
        <v>přijít (v-w5158f28)</v>
      </c>
    </row>
    <row r="37842" customFormat="false" ht="12.8" hidden="false" customHeight="false" outlineLevel="0" collapsed="false">
      <c r="B37842" s="0" t="s">
        <v>7</v>
      </c>
      <c r="C37842" s="0" t="s">
        <v>13693</v>
      </c>
      <c r="D37842" s="0" t="s">
        <v>6342</v>
      </c>
      <c r="E37842" s="0" t="s">
        <v>6342</v>
      </c>
      <c r="F37842" s="0" t="s">
        <v>6342</v>
      </c>
    </row>
    <row r="37843" customFormat="false" ht="12.8" hidden="false" customHeight="false" outlineLevel="0" collapsed="false">
      <c r="B37843" s="0" t="s">
        <v>41</v>
      </c>
      <c r="C37843" s="0" t="s">
        <v>13694</v>
      </c>
      <c r="D37843" s="0" t="s">
        <v>6344</v>
      </c>
      <c r="E37843" s="0" t="s">
        <v>6344</v>
      </c>
      <c r="F37843" s="0" t="s">
        <v>6344</v>
      </c>
    </row>
    <row r="37845" customFormat="false" ht="12.8" hidden="false" customHeight="false" outlineLevel="0" collapsed="false">
      <c r="A37845" s="0" t="s">
        <v>13695</v>
      </c>
      <c r="B37845" s="0" t="str">
        <f aca="false">HYPERLINK("https://lindat.mff.cuni.cz/services/teitok/pdtc10/index.php?action=vallex&amp;frame=v-w5158f62_ZU", "přijít (v-w5158f62_ZU)")</f>
        <v>přijít (v-w5158f62_ZU)</v>
      </c>
    </row>
    <row r="37846" customFormat="false" ht="12.8" hidden="false" customHeight="false" outlineLevel="0" collapsed="false">
      <c r="B37846" s="0" t="s">
        <v>7</v>
      </c>
    </row>
    <row r="37847" customFormat="false" ht="12.8" hidden="false" customHeight="false" outlineLevel="0" collapsed="false">
      <c r="B37847" s="0" t="s">
        <v>615</v>
      </c>
    </row>
    <row r="37849" customFormat="false" ht="12.8" hidden="false" customHeight="false" outlineLevel="0" collapsed="false">
      <c r="A37849" s="0" t="s">
        <v>13695</v>
      </c>
      <c r="B37849" s="0" t="str">
        <f aca="false">HYPERLINK("https://lindat.mff.cuni.cz/services/teitok/pdtc10/index.php?action=vallex&amp;frame=v-w5158f2", "přijít (v-w5158f2) - substituted with v-w5158f62_ZU")</f>
        <v>přijít (v-w5158f2) - substituted with v-w5158f62_ZU</v>
      </c>
    </row>
    <row r="37850" customFormat="false" ht="12.8" hidden="false" customHeight="false" outlineLevel="0" collapsed="false">
      <c r="B37850" s="0" t="s">
        <v>7</v>
      </c>
      <c r="C37850" s="0" t="s">
        <v>13696</v>
      </c>
      <c r="D37850" s="0" t="s">
        <v>13493</v>
      </c>
      <c r="E37850" s="0" t="s">
        <v>13493</v>
      </c>
      <c r="F37850" s="0" t="s">
        <v>13493</v>
      </c>
    </row>
    <row r="37851" customFormat="false" ht="12.8" hidden="false" customHeight="false" outlineLevel="0" collapsed="false">
      <c r="B37851" s="0" t="s">
        <v>615</v>
      </c>
      <c r="C37851" s="0" t="s">
        <v>13697</v>
      </c>
      <c r="D37851" s="0" t="s">
        <v>13495</v>
      </c>
      <c r="E37851" s="0" t="s">
        <v>13495</v>
      </c>
      <c r="F37851" s="0" t="s">
        <v>13495</v>
      </c>
    </row>
    <row r="37853" customFormat="false" ht="12.8" hidden="false" customHeight="false" outlineLevel="0" collapsed="false">
      <c r="A37853" s="0" t="s">
        <v>13698</v>
      </c>
      <c r="B37853" s="0" t="str">
        <f aca="false">HYPERLINK("https://lindat.mff.cuni.cz/services/teitok/pdtc10/index.php?action=vallex&amp;frame=v-w5158f5", "přijít (v-w5158f5)")</f>
        <v>přijít (v-w5158f5)</v>
      </c>
    </row>
    <row r="37854" customFormat="false" ht="12.8" hidden="false" customHeight="false" outlineLevel="0" collapsed="false">
      <c r="B37854" s="0" t="s">
        <v>7</v>
      </c>
      <c r="C37854" s="0" t="s">
        <v>13699</v>
      </c>
      <c r="D37854" s="0" t="s">
        <v>13498</v>
      </c>
      <c r="E37854" s="0" t="s">
        <v>13498</v>
      </c>
      <c r="F37854" s="0" t="s">
        <v>13498</v>
      </c>
    </row>
    <row r="37855" customFormat="false" ht="12.8" hidden="false" customHeight="false" outlineLevel="0" collapsed="false">
      <c r="B37855" s="0" t="s">
        <v>548</v>
      </c>
      <c r="C37855" s="0" t="s">
        <v>13700</v>
      </c>
      <c r="D37855" s="0" t="s">
        <v>13499</v>
      </c>
      <c r="E37855" s="0" t="s">
        <v>13499</v>
      </c>
      <c r="F37855" s="0" t="s">
        <v>13499</v>
      </c>
    </row>
    <row r="37857" customFormat="false" ht="12.8" hidden="false" customHeight="false" outlineLevel="0" collapsed="false">
      <c r="A37857" s="0" t="s">
        <v>13701</v>
      </c>
      <c r="B37857" s="0" t="str">
        <f aca="false">HYPERLINK("https://lindat.mff.cuni.cz/services/teitok/pdtc10/index.php?action=vallex&amp;frame=v-w5158f34", "přijít (v-w5158f34)")</f>
        <v>přijít (v-w5158f34)</v>
      </c>
    </row>
    <row r="37858" customFormat="false" ht="12.8" hidden="false" customHeight="false" outlineLevel="0" collapsed="false">
      <c r="B37858" s="0" t="s">
        <v>603</v>
      </c>
    </row>
    <row r="37859" customFormat="false" ht="12.8" hidden="false" customHeight="false" outlineLevel="0" collapsed="false">
      <c r="B37859" s="0" t="s">
        <v>2933</v>
      </c>
    </row>
    <row r="37861" customFormat="false" ht="12.8" hidden="false" customHeight="false" outlineLevel="0" collapsed="false">
      <c r="A37861" s="0" t="s">
        <v>13702</v>
      </c>
      <c r="B37861" s="0" t="str">
        <f aca="false">HYPERLINK("https://lindat.mff.cuni.cz/services/teitok/pdtc10/index.php?action=vallex&amp;frame=v-w5158f64_ZU", "přijít (v-w5158f64_ZU)")</f>
        <v>přijít (v-w5158f64_ZU)</v>
      </c>
    </row>
    <row r="37862" customFormat="false" ht="12.8" hidden="false" customHeight="false" outlineLevel="0" collapsed="false">
      <c r="B37862" s="0" t="s">
        <v>7</v>
      </c>
    </row>
    <row r="37863" customFormat="false" ht="12.8" hidden="false" customHeight="false" outlineLevel="0" collapsed="false">
      <c r="B37863" s="0" t="s">
        <v>8012</v>
      </c>
    </row>
    <row r="37865" customFormat="false" ht="12.8" hidden="false" customHeight="false" outlineLevel="0" collapsed="false">
      <c r="A37865" s="0" t="s">
        <v>13702</v>
      </c>
      <c r="B37865" s="0" t="str">
        <f aca="false">HYPERLINK("https://lindat.mff.cuni.cz/services/teitok/pdtc10/index.php?action=vallex&amp;frame=v-w5158f39_ZU", "přijít (v-w5158f39_ZU) - substituted with v-w5158f64_ZU")</f>
        <v>přijít (v-w5158f39_ZU) - substituted with v-w5158f64_ZU</v>
      </c>
    </row>
    <row r="37866" customFormat="false" ht="12.8" hidden="false" customHeight="false" outlineLevel="0" collapsed="false">
      <c r="B37866" s="0" t="s">
        <v>7</v>
      </c>
      <c r="C37866" s="0" t="s">
        <v>1378</v>
      </c>
    </row>
    <row r="37867" customFormat="false" ht="12.8" hidden="false" customHeight="false" outlineLevel="0" collapsed="false">
      <c r="B37867" s="0" t="s">
        <v>8012</v>
      </c>
    </row>
    <row r="37869" customFormat="false" ht="12.8" hidden="false" customHeight="false" outlineLevel="0" collapsed="false">
      <c r="A37869" s="0" t="s">
        <v>13702</v>
      </c>
      <c r="B37869" s="0" t="str">
        <f aca="false">HYPERLINK("https://lindat.mff.cuni.cz/services/teitok/pdtc10/index.php?action=vallex&amp;frame=v-w5158f41_ZU", "přijít (v-w5158f41_ZU) - substituted with v-w5158f64_ZU")</f>
        <v>přijít (v-w5158f41_ZU) - substituted with v-w5158f64_ZU</v>
      </c>
    </row>
    <row r="37870" customFormat="false" ht="12.8" hidden="false" customHeight="false" outlineLevel="0" collapsed="false">
      <c r="B37870" s="0" t="s">
        <v>7</v>
      </c>
      <c r="C37870" s="0" t="s">
        <v>13501</v>
      </c>
      <c r="D37870" s="0" t="s">
        <v>9818</v>
      </c>
      <c r="E37870" s="0" t="s">
        <v>9818</v>
      </c>
      <c r="F37870" s="0" t="s">
        <v>9818</v>
      </c>
    </row>
    <row r="37871" customFormat="false" ht="12.8" hidden="false" customHeight="false" outlineLevel="0" collapsed="false">
      <c r="B37871" s="0" t="s">
        <v>8012</v>
      </c>
      <c r="D37871" s="0" t="s">
        <v>9820</v>
      </c>
      <c r="E37871" s="0" t="s">
        <v>9820</v>
      </c>
      <c r="F37871" s="0" t="s">
        <v>9820</v>
      </c>
    </row>
    <row r="37873" customFormat="false" ht="12.8" hidden="false" customHeight="false" outlineLevel="0" collapsed="false">
      <c r="A37873" s="0" t="s">
        <v>13703</v>
      </c>
      <c r="B37873" s="0" t="str">
        <f aca="false">HYPERLINK("https://lindat.mff.cuni.cz/services/teitok/pdtc10/index.php?action=vallex&amp;frame=v-w5158f68_ZU", "přijít (v-w5158f68_ZU)")</f>
        <v>přijít (v-w5158f68_ZU)</v>
      </c>
    </row>
    <row r="37874" customFormat="false" ht="12.8" hidden="false" customHeight="false" outlineLevel="0" collapsed="false">
      <c r="B37874" s="0" t="s">
        <v>7</v>
      </c>
    </row>
    <row r="37875" customFormat="false" ht="12.8" hidden="false" customHeight="false" outlineLevel="0" collapsed="false">
      <c r="B37875" s="0" t="s">
        <v>124</v>
      </c>
    </row>
    <row r="37877" customFormat="false" ht="12.8" hidden="false" customHeight="false" outlineLevel="0" collapsed="false">
      <c r="A37877" s="0" t="s">
        <v>13703</v>
      </c>
      <c r="B37877" s="0" t="str">
        <f aca="false">HYPERLINK("https://lindat.mff.cuni.cz/services/teitok/pdtc10/index.php?action=vallex&amp;frame=v-w5158f1", "přijít (v-w5158f1) - substituted with v-w5158f68_ZU")</f>
        <v>přijít (v-w5158f1) - substituted with v-w5158f68_ZU</v>
      </c>
    </row>
    <row r="37878" customFormat="false" ht="12.8" hidden="false" customHeight="false" outlineLevel="0" collapsed="false">
      <c r="B37878" s="0" t="s">
        <v>7</v>
      </c>
      <c r="C37878" s="0" t="s">
        <v>13704</v>
      </c>
      <c r="D37878" s="0" t="s">
        <v>1705</v>
      </c>
      <c r="E37878" s="0" t="s">
        <v>1706</v>
      </c>
      <c r="F37878" s="0" t="s">
        <v>1706</v>
      </c>
    </row>
    <row r="37879" customFormat="false" ht="12.8" hidden="false" customHeight="false" outlineLevel="0" collapsed="false">
      <c r="B37879" s="0" t="s">
        <v>124</v>
      </c>
      <c r="C37879" s="0" t="s">
        <v>13705</v>
      </c>
      <c r="D37879" s="0" t="s">
        <v>1707</v>
      </c>
      <c r="E37879" s="0" t="s">
        <v>1707</v>
      </c>
      <c r="F37879" s="0" t="s">
        <v>1707</v>
      </c>
    </row>
    <row r="37881" customFormat="false" ht="12.8" hidden="false" customHeight="false" outlineLevel="0" collapsed="false">
      <c r="A37881" s="0" t="s">
        <v>13703</v>
      </c>
      <c r="B37881" s="0" t="str">
        <f aca="false">HYPERLINK("https://lindat.mff.cuni.cz/services/teitok/pdtc10/index.php?action=vallex&amp;frame=v-w5158f66_ZU", "přijít (v-w5158f66_ZU) - substituted with v-w5158f68_ZU")</f>
        <v>přijít (v-w5158f66_ZU) - substituted with v-w5158f68_ZU</v>
      </c>
    </row>
    <row r="37882" customFormat="false" ht="12.8" hidden="false" customHeight="false" outlineLevel="0" collapsed="false">
      <c r="B37882" s="0" t="s">
        <v>7</v>
      </c>
    </row>
    <row r="37883" customFormat="false" ht="12.8" hidden="false" customHeight="false" outlineLevel="0" collapsed="false">
      <c r="B37883" s="0" t="s">
        <v>124</v>
      </c>
    </row>
    <row r="37885" customFormat="false" ht="12.8" hidden="false" customHeight="false" outlineLevel="0" collapsed="false">
      <c r="A37885" s="0" t="s">
        <v>13706</v>
      </c>
      <c r="B37885" s="0" t="str">
        <f aca="false">HYPERLINK("https://lindat.mff.cuni.cz/services/teitok/pdtc10/index.php?action=vallex&amp;frame=v-w5158f40_ZU", "přijít (v-w5158f40_ZU)")</f>
        <v>přijít (v-w5158f40_ZU)</v>
      </c>
    </row>
    <row r="37886" customFormat="false" ht="12.8" hidden="false" customHeight="false" outlineLevel="0" collapsed="false">
      <c r="B37886" s="0" t="s">
        <v>7</v>
      </c>
      <c r="C37886" s="0" t="s">
        <v>13707</v>
      </c>
    </row>
    <row r="37887" customFormat="false" ht="12.8" hidden="false" customHeight="false" outlineLevel="0" collapsed="false">
      <c r="B37887" s="0" t="s">
        <v>279</v>
      </c>
      <c r="C37887" s="0" t="s">
        <v>9630</v>
      </c>
    </row>
    <row r="37889" customFormat="false" ht="12.8" hidden="false" customHeight="false" outlineLevel="0" collapsed="false">
      <c r="A37889" s="0" t="s">
        <v>13706</v>
      </c>
      <c r="B37889" s="0" t="str">
        <f aca="false">HYPERLINK("https://lindat.mff.cuni.cz/services/teitok/pdtc10/index.php?action=vallex&amp;frame=v-w5158f30", "přijít (v-w5158f30) - substituted with v-w5158f40_ZU")</f>
        <v>přijít (v-w5158f30) - substituted with v-w5158f40_ZU</v>
      </c>
    </row>
    <row r="37890" customFormat="false" ht="12.8" hidden="false" customHeight="false" outlineLevel="0" collapsed="false">
      <c r="B37890" s="0" t="s">
        <v>7</v>
      </c>
      <c r="C37890" s="0" t="s">
        <v>3855</v>
      </c>
    </row>
    <row r="37891" customFormat="false" ht="12.8" hidden="false" customHeight="false" outlineLevel="0" collapsed="false">
      <c r="B37891" s="0" t="s">
        <v>279</v>
      </c>
    </row>
    <row r="37893" customFormat="false" ht="12.8" hidden="false" customHeight="false" outlineLevel="0" collapsed="false">
      <c r="A37893" s="0" t="s">
        <v>13708</v>
      </c>
      <c r="B37893" s="0" t="str">
        <f aca="false">HYPERLINK("https://lindat.mff.cuni.cz/services/teitok/pdtc10/index.php?action=vallex&amp;frame=v-w5158f12", "přijít (v-w5158f12)")</f>
        <v>přijít (v-w5158f12)</v>
      </c>
    </row>
    <row r="37894" customFormat="false" ht="12.8" hidden="false" customHeight="false" outlineLevel="0" collapsed="false">
      <c r="B37894" s="0" t="s">
        <v>7</v>
      </c>
      <c r="C37894" s="0" t="s">
        <v>498</v>
      </c>
    </row>
    <row r="37895" customFormat="false" ht="12.8" hidden="false" customHeight="false" outlineLevel="0" collapsed="false">
      <c r="B37895" s="0" t="s">
        <v>662</v>
      </c>
      <c r="C37895" s="0" t="s">
        <v>13709</v>
      </c>
    </row>
    <row r="37896" customFormat="false" ht="12.8" hidden="false" customHeight="false" outlineLevel="0" collapsed="false">
      <c r="B37896" s="0" t="s">
        <v>297</v>
      </c>
    </row>
    <row r="37898" customFormat="false" ht="12.8" hidden="false" customHeight="false" outlineLevel="0" collapsed="false">
      <c r="A37898" s="0" t="s">
        <v>13710</v>
      </c>
      <c r="B37898" s="0" t="str">
        <f aca="false">HYPERLINK("https://lindat.mff.cuni.cz/services/teitok/pdtc10/index.php?action=vallex&amp;frame=v-w5158f65_ZU", "přijít (v-w5158f65_ZU)")</f>
        <v>přijít (v-w5158f65_ZU)</v>
      </c>
    </row>
    <row r="37899" customFormat="false" ht="12.8" hidden="false" customHeight="false" outlineLevel="0" collapsed="false">
      <c r="B37899" s="0" t="s">
        <v>7</v>
      </c>
    </row>
    <row r="37901" customFormat="false" ht="12.8" hidden="false" customHeight="false" outlineLevel="0" collapsed="false">
      <c r="A37901" s="0" t="s">
        <v>13710</v>
      </c>
      <c r="B37901" s="0" t="str">
        <f aca="false">HYPERLINK("https://lindat.mff.cuni.cz/services/teitok/pdtc10/index.php?action=vallex&amp;frame=v-w5158f3", "přijít (v-w5158f3) - substituted with v-w5158f65_ZU")</f>
        <v>přijít (v-w5158f3) - substituted with v-w5158f65_ZU</v>
      </c>
    </row>
    <row r="37902" customFormat="false" ht="12.8" hidden="false" customHeight="false" outlineLevel="0" collapsed="false">
      <c r="B37902" s="0" t="s">
        <v>7</v>
      </c>
      <c r="C37902" s="0" t="s">
        <v>13711</v>
      </c>
      <c r="D37902" s="0" t="s">
        <v>1899</v>
      </c>
      <c r="E37902" s="0" t="s">
        <v>1899</v>
      </c>
      <c r="F37902" s="0" t="s">
        <v>1899</v>
      </c>
    </row>
    <row r="37904" customFormat="false" ht="12.8" hidden="false" customHeight="false" outlineLevel="0" collapsed="false">
      <c r="A37904" s="0" t="s">
        <v>13712</v>
      </c>
      <c r="B37904" s="0" t="str">
        <f aca="false">HYPERLINK("https://lindat.mff.cuni.cz/services/teitok/pdtc10/index.php?action=vallex&amp;frame=v-w5158f35_ZU", "přijít (v-w5158f35_ZU)")</f>
        <v>přijít (v-w5158f35_ZU)</v>
      </c>
    </row>
    <row r="37905" customFormat="false" ht="12.8" hidden="false" customHeight="false" outlineLevel="0" collapsed="false">
      <c r="B37905" s="0" t="s">
        <v>929</v>
      </c>
      <c r="C37905" s="0" t="s">
        <v>1902</v>
      </c>
    </row>
    <row r="37907" customFormat="false" ht="12.8" hidden="false" customHeight="false" outlineLevel="0" collapsed="false">
      <c r="A37907" s="0" t="s">
        <v>13713</v>
      </c>
      <c r="B37907" s="0" t="str">
        <f aca="false">HYPERLINK("https://lindat.mff.cuni.cz/services/teitok/pdtc10/index.php?action=vallex&amp;frame=v-w5158f9", "přijít (v-w5158f9)")</f>
        <v>přijít (v-w5158f9)</v>
      </c>
    </row>
    <row r="37908" customFormat="false" ht="12.8" hidden="false" customHeight="false" outlineLevel="0" collapsed="false">
      <c r="B37908" s="0" t="s">
        <v>7</v>
      </c>
    </row>
    <row r="37909" customFormat="false" ht="12.8" hidden="false" customHeight="false" outlineLevel="0" collapsed="false">
      <c r="B37909" s="0" t="s">
        <v>13512</v>
      </c>
    </row>
    <row r="37911" customFormat="false" ht="12.8" hidden="false" customHeight="false" outlineLevel="0" collapsed="false">
      <c r="A37911" s="0" t="s">
        <v>13714</v>
      </c>
      <c r="B37911" s="0" t="str">
        <f aca="false">HYPERLINK("https://lindat.mff.cuni.cz/services/teitok/pdtc10/index.php?action=vallex&amp;frame=v-w5158f19", "přijít (v-w5158f19)")</f>
        <v>přijít (v-w5158f19)</v>
      </c>
    </row>
    <row r="37912" customFormat="false" ht="12.8" hidden="false" customHeight="false" outlineLevel="0" collapsed="false">
      <c r="B37912" s="0" t="s">
        <v>7</v>
      </c>
    </row>
    <row r="37913" customFormat="false" ht="12.8" hidden="false" customHeight="false" outlineLevel="0" collapsed="false">
      <c r="B37913" s="0" t="s">
        <v>13514</v>
      </c>
    </row>
    <row r="37915" customFormat="false" ht="12.8" hidden="false" customHeight="false" outlineLevel="0" collapsed="false">
      <c r="A37915" s="0" t="s">
        <v>13715</v>
      </c>
      <c r="B37915" s="0" t="str">
        <f aca="false">HYPERLINK("https://lindat.mff.cuni.cz/services/teitok/pdtc10/index.php?action=vallex&amp;frame=v-w5158f10", "přijít (v-w5158f10)")</f>
        <v>přijít (v-w5158f10)</v>
      </c>
    </row>
    <row r="37916" customFormat="false" ht="12.8" hidden="false" customHeight="false" outlineLevel="0" collapsed="false">
      <c r="B37916" s="0" t="s">
        <v>7</v>
      </c>
    </row>
    <row r="37917" customFormat="false" ht="12.8" hidden="false" customHeight="false" outlineLevel="0" collapsed="false">
      <c r="B37917" s="0" t="s">
        <v>13716</v>
      </c>
    </row>
    <row r="37919" customFormat="false" ht="12.8" hidden="false" customHeight="false" outlineLevel="0" collapsed="false">
      <c r="A37919" s="0" t="s">
        <v>13717</v>
      </c>
      <c r="B37919" s="0" t="str">
        <f aca="false">HYPERLINK("https://lindat.mff.cuni.cz/services/teitok/pdtc10/index.php?action=vallex&amp;frame=v-w5158f45_ZU", "přijít (v-w5158f45_ZU)")</f>
        <v>přijít (v-w5158f45_ZU)</v>
      </c>
    </row>
    <row r="37920" customFormat="false" ht="12.8" hidden="false" customHeight="false" outlineLevel="0" collapsed="false">
      <c r="B37920" s="0" t="s">
        <v>7</v>
      </c>
      <c r="C37920" s="0" t="s">
        <v>2507</v>
      </c>
      <c r="D37920" s="0" t="s">
        <v>13518</v>
      </c>
      <c r="E37920" s="0" t="s">
        <v>13518</v>
      </c>
      <c r="F37920" s="0" t="s">
        <v>13518</v>
      </c>
    </row>
    <row r="37921" customFormat="false" ht="12.8" hidden="false" customHeight="false" outlineLevel="0" collapsed="false">
      <c r="B37921" s="0" t="s">
        <v>13718</v>
      </c>
      <c r="C37921" s="0" t="s">
        <v>13719</v>
      </c>
      <c r="D37921" s="0" t="s">
        <v>13520</v>
      </c>
      <c r="E37921" s="0" t="s">
        <v>13520</v>
      </c>
      <c r="F37921" s="0" t="s">
        <v>13520</v>
      </c>
    </row>
    <row r="37923" customFormat="false" ht="12.8" hidden="false" customHeight="false" outlineLevel="0" collapsed="false">
      <c r="A37923" s="0" t="s">
        <v>13717</v>
      </c>
      <c r="B37923" s="0" t="str">
        <f aca="false">HYPERLINK("https://lindat.mff.cuni.cz/services/teitok/pdtc10/index.php?action=vallex&amp;frame=v-w5158f6", "přijít (v-w5158f6) - substituted with v-w5158f45_ZU")</f>
        <v>přijít (v-w5158f6) - substituted with v-w5158f45_ZU</v>
      </c>
    </row>
    <row r="37924" customFormat="false" ht="12.8" hidden="false" customHeight="false" outlineLevel="0" collapsed="false">
      <c r="B37924" s="0" t="s">
        <v>7</v>
      </c>
      <c r="C37924" s="0" t="s">
        <v>2894</v>
      </c>
    </row>
    <row r="37925" customFormat="false" ht="12.8" hidden="false" customHeight="false" outlineLevel="0" collapsed="false">
      <c r="B37925" s="0" t="s">
        <v>13718</v>
      </c>
    </row>
    <row r="37927" customFormat="false" ht="12.8" hidden="false" customHeight="false" outlineLevel="0" collapsed="false">
      <c r="A37927" s="0" t="s">
        <v>13720</v>
      </c>
      <c r="B37927" s="0" t="str">
        <f aca="false">HYPERLINK("https://lindat.mff.cuni.cz/services/teitok/pdtc10/index.php?action=vallex&amp;frame=v-w5158f36_ZU", "přijít (v-w5158f36_ZU)")</f>
        <v>přijít (v-w5158f36_ZU)</v>
      </c>
    </row>
    <row r="37928" customFormat="false" ht="12.8" hidden="false" customHeight="false" outlineLevel="0" collapsed="false">
      <c r="B37928" s="0" t="s">
        <v>7</v>
      </c>
      <c r="C37928" s="0" t="s">
        <v>247</v>
      </c>
      <c r="D37928" s="0" t="s">
        <v>13518</v>
      </c>
      <c r="E37928" s="0" t="s">
        <v>13518</v>
      </c>
      <c r="F37928" s="0" t="s">
        <v>13518</v>
      </c>
    </row>
    <row r="37929" customFormat="false" ht="12.8" hidden="false" customHeight="false" outlineLevel="0" collapsed="false">
      <c r="B37929" s="0" t="s">
        <v>13721</v>
      </c>
      <c r="D37929" s="0" t="s">
        <v>13520</v>
      </c>
      <c r="E37929" s="0" t="s">
        <v>13520</v>
      </c>
      <c r="F37929" s="0" t="s">
        <v>13520</v>
      </c>
    </row>
    <row r="37931" customFormat="false" ht="12.8" hidden="false" customHeight="false" outlineLevel="0" collapsed="false">
      <c r="A37931" s="0" t="s">
        <v>13722</v>
      </c>
      <c r="B37931" s="0" t="str">
        <f aca="false">HYPERLINK("https://lindat.mff.cuni.cz/services/teitok/pdtc10/index.php?action=vallex&amp;frame=v-w5158f20", "přijít (v-w5158f20)")</f>
        <v>přijít (v-w5158f20)</v>
      </c>
    </row>
    <row r="37932" customFormat="false" ht="12.8" hidden="false" customHeight="false" outlineLevel="0" collapsed="false">
      <c r="B37932" s="0" t="s">
        <v>457</v>
      </c>
      <c r="C37932" s="0" t="s">
        <v>396</v>
      </c>
    </row>
    <row r="37933" customFormat="false" ht="12.8" hidden="false" customHeight="false" outlineLevel="0" collapsed="false">
      <c r="B37933" s="0" t="s">
        <v>13723</v>
      </c>
    </row>
    <row r="37934" customFormat="false" ht="12.8" hidden="false" customHeight="false" outlineLevel="0" collapsed="false">
      <c r="B37934" s="0" t="s">
        <v>142</v>
      </c>
    </row>
    <row r="37936" customFormat="false" ht="12.8" hidden="false" customHeight="false" outlineLevel="0" collapsed="false">
      <c r="A37936" s="0" t="s">
        <v>13724</v>
      </c>
      <c r="B37936" s="0" t="str">
        <f aca="false">HYPERLINK("https://lindat.mff.cuni.cz/services/teitok/pdtc10/index.php?action=vallex&amp;frame=v-w5158f15", "přijít (v-w5158f15)")</f>
        <v>přijít (v-w5158f15)</v>
      </c>
    </row>
    <row r="37937" customFormat="false" ht="12.8" hidden="false" customHeight="false" outlineLevel="0" collapsed="false">
      <c r="B37937" s="0" t="s">
        <v>7</v>
      </c>
    </row>
    <row r="37938" customFormat="false" ht="12.8" hidden="false" customHeight="false" outlineLevel="0" collapsed="false">
      <c r="B37938" s="0" t="s">
        <v>13725</v>
      </c>
    </row>
    <row r="37939" customFormat="false" ht="12.8" hidden="false" customHeight="false" outlineLevel="0" collapsed="false">
      <c r="B37939" s="0" t="s">
        <v>142</v>
      </c>
    </row>
    <row r="37941" customFormat="false" ht="12.8" hidden="false" customHeight="false" outlineLevel="0" collapsed="false">
      <c r="A37941" s="0" t="s">
        <v>13726</v>
      </c>
      <c r="B37941" s="0" t="str">
        <f aca="false">HYPERLINK("https://lindat.mff.cuni.cz/services/teitok/pdtc10/index.php?action=vallex&amp;frame=v-w5158f23", "přijít (v-w5158f23)")</f>
        <v>přijít (v-w5158f23)</v>
      </c>
    </row>
    <row r="37942" customFormat="false" ht="12.8" hidden="false" customHeight="false" outlineLevel="0" collapsed="false">
      <c r="B37942" s="0" t="s">
        <v>7</v>
      </c>
    </row>
    <row r="37943" customFormat="false" ht="12.8" hidden="false" customHeight="false" outlineLevel="0" collapsed="false">
      <c r="B37943" s="0" t="s">
        <v>13727</v>
      </c>
    </row>
    <row r="37944" customFormat="false" ht="12.8" hidden="false" customHeight="false" outlineLevel="0" collapsed="false">
      <c r="B37944" s="0" t="s">
        <v>142</v>
      </c>
    </row>
    <row r="37946" customFormat="false" ht="12.8" hidden="false" customHeight="false" outlineLevel="0" collapsed="false">
      <c r="A37946" s="0" t="s">
        <v>13728</v>
      </c>
      <c r="B37946" s="0" t="str">
        <f aca="false">HYPERLINK("https://lindat.mff.cuni.cz/services/teitok/pdtc10/index.php?action=vallex&amp;frame=v-w5158f27", "přijít (v-w5158f27)")</f>
        <v>přijít (v-w5158f27)</v>
      </c>
    </row>
    <row r="37947" customFormat="false" ht="12.8" hidden="false" customHeight="false" outlineLevel="0" collapsed="false">
      <c r="B37947" s="0" t="s">
        <v>603</v>
      </c>
    </row>
    <row r="37948" customFormat="false" ht="12.8" hidden="false" customHeight="false" outlineLevel="0" collapsed="false">
      <c r="B37948" s="0" t="s">
        <v>13729</v>
      </c>
    </row>
    <row r="37949" customFormat="false" ht="12.8" hidden="false" customHeight="false" outlineLevel="0" collapsed="false">
      <c r="B37949" s="0" t="s">
        <v>13730</v>
      </c>
    </row>
    <row r="37951" customFormat="false" ht="12.8" hidden="false" customHeight="false" outlineLevel="0" collapsed="false">
      <c r="A37951" s="0" t="s">
        <v>13731</v>
      </c>
      <c r="B37951" s="0" t="str">
        <f aca="false">HYPERLINK("https://lindat.mff.cuni.cz/services/teitok/pdtc10/index.php?action=vallex&amp;frame=v-w5158f29", "přijít (v-w5158f29)")</f>
        <v>přijít (v-w5158f29)</v>
      </c>
    </row>
    <row r="37952" customFormat="false" ht="12.8" hidden="false" customHeight="false" outlineLevel="0" collapsed="false">
      <c r="B37952" s="0" t="s">
        <v>641</v>
      </c>
    </row>
    <row r="37953" customFormat="false" ht="12.8" hidden="false" customHeight="false" outlineLevel="0" collapsed="false">
      <c r="B37953" s="0" t="s">
        <v>13732</v>
      </c>
    </row>
    <row r="37955" customFormat="false" ht="12.8" hidden="false" customHeight="false" outlineLevel="0" collapsed="false">
      <c r="A37955" s="0" t="s">
        <v>13733</v>
      </c>
      <c r="B37955" s="0" t="str">
        <f aca="false">HYPERLINK("https://lindat.mff.cuni.cz/services/teitok/pdtc10/index.php?action=vallex&amp;frame=v-w5158f26", "přijít (v-w5158f26)")</f>
        <v>přijít (v-w5158f26)</v>
      </c>
    </row>
    <row r="37956" customFormat="false" ht="12.8" hidden="false" customHeight="false" outlineLevel="0" collapsed="false">
      <c r="B37956" s="0" t="s">
        <v>7</v>
      </c>
    </row>
    <row r="37957" customFormat="false" ht="12.8" hidden="false" customHeight="false" outlineLevel="0" collapsed="false">
      <c r="B37957" s="0" t="s">
        <v>13734</v>
      </c>
    </row>
    <row r="37959" customFormat="false" ht="12.8" hidden="false" customHeight="false" outlineLevel="0" collapsed="false">
      <c r="A37959" s="0" t="s">
        <v>13735</v>
      </c>
      <c r="B37959" s="0" t="str">
        <f aca="false">HYPERLINK("https://lindat.mff.cuni.cz/services/teitok/pdtc10/index.php?action=vallex&amp;frame=v-w5158f33", "přijít (v-w5158f33)")</f>
        <v>přijít (v-w5158f33)</v>
      </c>
    </row>
    <row r="37960" customFormat="false" ht="12.8" hidden="false" customHeight="false" outlineLevel="0" collapsed="false">
      <c r="B37960" s="0" t="s">
        <v>7</v>
      </c>
    </row>
    <row r="37961" customFormat="false" ht="12.8" hidden="false" customHeight="false" outlineLevel="0" collapsed="false">
      <c r="B37961" s="0" t="s">
        <v>13736</v>
      </c>
    </row>
    <row r="37963" customFormat="false" ht="12.8" hidden="false" customHeight="false" outlineLevel="0" collapsed="false">
      <c r="A37963" s="0" t="s">
        <v>13737</v>
      </c>
      <c r="B37963" s="0" t="str">
        <f aca="false">HYPERLINK("https://lindat.mff.cuni.cz/services/teitok/pdtc10/index.php?action=vallex&amp;frame=v-w5158f32", "přijít (v-w5158f32)")</f>
        <v>přijít (v-w5158f32)</v>
      </c>
    </row>
    <row r="37964" customFormat="false" ht="12.8" hidden="false" customHeight="false" outlineLevel="0" collapsed="false">
      <c r="B37964" s="0" t="s">
        <v>7</v>
      </c>
    </row>
    <row r="37965" customFormat="false" ht="12.8" hidden="false" customHeight="false" outlineLevel="0" collapsed="false">
      <c r="B37965" s="0" t="s">
        <v>13738</v>
      </c>
    </row>
    <row r="37967" customFormat="false" ht="12.8" hidden="false" customHeight="false" outlineLevel="0" collapsed="false">
      <c r="A37967" s="0" t="s">
        <v>13739</v>
      </c>
      <c r="B37967" s="0" t="str">
        <f aca="false">HYPERLINK("https://lindat.mff.cuni.cz/services/teitok/pdtc10/index.php?action=vallex&amp;frame=v-w5158f8", "přijít (v-w5158f8)")</f>
        <v>přijít (v-w5158f8)</v>
      </c>
    </row>
    <row r="37968" customFormat="false" ht="12.8" hidden="false" customHeight="false" outlineLevel="0" collapsed="false">
      <c r="B37968" s="0" t="s">
        <v>7</v>
      </c>
    </row>
    <row r="37969" customFormat="false" ht="12.8" hidden="false" customHeight="false" outlineLevel="0" collapsed="false">
      <c r="B37969" s="0" t="s">
        <v>12484</v>
      </c>
    </row>
    <row r="37971" customFormat="false" ht="12.8" hidden="false" customHeight="false" outlineLevel="0" collapsed="false">
      <c r="A37971" s="0" t="s">
        <v>13740</v>
      </c>
      <c r="B37971" s="0" t="str">
        <f aca="false">HYPERLINK("https://lindat.mff.cuni.cz/services/teitok/pdtc10/index.php?action=vallex&amp;frame=v-w5158f24", "přijít (v-w5158f24)")</f>
        <v>přijít (v-w5158f24)</v>
      </c>
    </row>
    <row r="37972" customFormat="false" ht="12.8" hidden="false" customHeight="false" outlineLevel="0" collapsed="false">
      <c r="B37972" s="0" t="s">
        <v>7</v>
      </c>
    </row>
    <row r="37973" customFormat="false" ht="12.8" hidden="false" customHeight="false" outlineLevel="0" collapsed="false">
      <c r="B37973" s="0" t="s">
        <v>13741</v>
      </c>
    </row>
    <row r="37975" customFormat="false" ht="12.8" hidden="false" customHeight="false" outlineLevel="0" collapsed="false">
      <c r="A37975" s="0" t="s">
        <v>13742</v>
      </c>
      <c r="B37975" s="0" t="str">
        <f aca="false">HYPERLINK("https://lindat.mff.cuni.cz/services/teitok/pdtc10/index.php?action=vallex&amp;frame=v-w5158f31", "přijít (v-w5158f31)")</f>
        <v>přijít (v-w5158f31)</v>
      </c>
    </row>
    <row r="37976" customFormat="false" ht="12.8" hidden="false" customHeight="false" outlineLevel="0" collapsed="false">
      <c r="B37976" s="0" t="s">
        <v>7</v>
      </c>
    </row>
    <row r="37977" customFormat="false" ht="12.8" hidden="false" customHeight="false" outlineLevel="0" collapsed="false">
      <c r="B37977" s="0" t="s">
        <v>13525</v>
      </c>
    </row>
    <row r="37979" customFormat="false" ht="12.8" hidden="false" customHeight="false" outlineLevel="0" collapsed="false">
      <c r="A37979" s="0" t="s">
        <v>13743</v>
      </c>
      <c r="B37979" s="0" t="str">
        <f aca="false">HYPERLINK("https://lindat.mff.cuni.cz/services/teitok/pdtc10/index.php?action=vallex&amp;frame=v-w5158f14", "přijít (v-w5158f14)")</f>
        <v>přijít (v-w5158f14)</v>
      </c>
    </row>
    <row r="37980" customFormat="false" ht="12.8" hidden="false" customHeight="false" outlineLevel="0" collapsed="false">
      <c r="B37980" s="0" t="s">
        <v>7</v>
      </c>
      <c r="C37980" s="0" t="s">
        <v>13744</v>
      </c>
    </row>
    <row r="37981" customFormat="false" ht="12.8" hidden="false" customHeight="false" outlineLevel="0" collapsed="false">
      <c r="B37981" s="0" t="s">
        <v>13528</v>
      </c>
    </row>
    <row r="37983" customFormat="false" ht="12.8" hidden="false" customHeight="false" outlineLevel="0" collapsed="false">
      <c r="A37983" s="0" t="s">
        <v>13745</v>
      </c>
      <c r="B37983" s="0" t="str">
        <f aca="false">HYPERLINK("https://lindat.mff.cuni.cz/services/teitok/pdtc10/index.php?action=vallex&amp;frame=v-w5158f18", "přijít (v-w5158f18)")</f>
        <v>přijít (v-w5158f18)</v>
      </c>
    </row>
    <row r="37984" customFormat="false" ht="12.8" hidden="false" customHeight="false" outlineLevel="0" collapsed="false">
      <c r="B37984" s="0" t="s">
        <v>7</v>
      </c>
    </row>
    <row r="37985" customFormat="false" ht="12.8" hidden="false" customHeight="false" outlineLevel="0" collapsed="false">
      <c r="B37985" s="0" t="s">
        <v>13535</v>
      </c>
    </row>
    <row r="37987" customFormat="false" ht="12.8" hidden="false" customHeight="false" outlineLevel="0" collapsed="false">
      <c r="A37987" s="0" t="s">
        <v>13746</v>
      </c>
      <c r="B37987" s="0" t="str">
        <f aca="false">HYPERLINK("https://lindat.mff.cuni.cz/services/teitok/pdtc10/index.php?action=vallex&amp;frame=v-w5158f25", "přijít (v-w5158f25)")</f>
        <v>přijít (v-w5158f25)</v>
      </c>
    </row>
    <row r="37988" customFormat="false" ht="12.8" hidden="false" customHeight="false" outlineLevel="0" collapsed="false">
      <c r="B37988" s="0" t="s">
        <v>7</v>
      </c>
      <c r="F37988" s="0" t="s">
        <v>569</v>
      </c>
    </row>
    <row r="37989" customFormat="false" ht="12.8" hidden="false" customHeight="false" outlineLevel="0" collapsed="false">
      <c r="B37989" s="0" t="s">
        <v>13747</v>
      </c>
      <c r="F37989" s="0" t="s">
        <v>13748</v>
      </c>
    </row>
    <row r="37991" customFormat="false" ht="12.8" hidden="false" customHeight="false" outlineLevel="0" collapsed="false">
      <c r="A37991" s="0" t="s">
        <v>13749</v>
      </c>
      <c r="B37991" s="0" t="str">
        <f aca="false">HYPERLINK("https://lindat.mff.cuni.cz/services/teitok/pdtc10/index.php?action=vallex&amp;frame=v-w5158f17", "přijít (v-w5158f17)")</f>
        <v>přijít (v-w5158f17)</v>
      </c>
    </row>
    <row r="37992" customFormat="false" ht="12.8" hidden="false" customHeight="false" outlineLevel="0" collapsed="false">
      <c r="B37992" s="0" t="s">
        <v>7</v>
      </c>
      <c r="C37992" s="0" t="s">
        <v>200</v>
      </c>
      <c r="D37992" s="0" t="s">
        <v>200</v>
      </c>
      <c r="E37992" s="0" t="s">
        <v>200</v>
      </c>
      <c r="F37992" s="0" t="s">
        <v>200</v>
      </c>
    </row>
    <row r="37993" customFormat="false" ht="12.8" hidden="false" customHeight="false" outlineLevel="0" collapsed="false">
      <c r="B37993" s="0" t="s">
        <v>13732</v>
      </c>
      <c r="C37993" s="0" t="s">
        <v>7798</v>
      </c>
    </row>
    <row r="37995" customFormat="false" ht="12.8" hidden="false" customHeight="false" outlineLevel="0" collapsed="false">
      <c r="A37995" s="0" t="s">
        <v>13750</v>
      </c>
      <c r="B37995" s="0" t="str">
        <f aca="false">HYPERLINK("https://lindat.mff.cuni.cz/services/teitok/pdtc10/index.php?action=vallex&amp;frame=v-w5158f22", "přijít (v-w5158f22)")</f>
        <v>přijít (v-w5158f22)</v>
      </c>
    </row>
    <row r="37996" customFormat="false" ht="12.8" hidden="false" customHeight="false" outlineLevel="0" collapsed="false">
      <c r="B37996" s="0" t="s">
        <v>7</v>
      </c>
      <c r="F37996" s="0" t="s">
        <v>569</v>
      </c>
    </row>
    <row r="37997" customFormat="false" ht="12.8" hidden="false" customHeight="false" outlineLevel="0" collapsed="false">
      <c r="B37997" s="0" t="s">
        <v>4518</v>
      </c>
      <c r="F37997" s="0" t="s">
        <v>13748</v>
      </c>
    </row>
    <row r="37999" customFormat="false" ht="12.8" hidden="false" customHeight="false" outlineLevel="0" collapsed="false">
      <c r="A37999" s="0" t="s">
        <v>13751</v>
      </c>
      <c r="B37999" s="0" t="str">
        <f aca="false">HYPERLINK("https://lindat.mff.cuni.cz/services/teitok/pdtc10/index.php?action=vallex&amp;frame=v-w5158f13", "přijít (v-w5158f13)")</f>
        <v>přijít (v-w5158f13)</v>
      </c>
    </row>
    <row r="38000" customFormat="false" ht="12.8" hidden="false" customHeight="false" outlineLevel="0" collapsed="false">
      <c r="B38000" s="0" t="s">
        <v>7</v>
      </c>
    </row>
    <row r="38001" customFormat="false" ht="12.8" hidden="false" customHeight="false" outlineLevel="0" collapsed="false">
      <c r="B38001" s="0" t="s">
        <v>13530</v>
      </c>
    </row>
    <row r="38003" customFormat="false" ht="12.8" hidden="false" customHeight="false" outlineLevel="0" collapsed="false">
      <c r="A38003" s="0" t="s">
        <v>13752</v>
      </c>
      <c r="B38003" s="0" t="str">
        <f aca="false">HYPERLINK("https://lindat.mff.cuni.cz/services/teitok/pdtc10/index.php?action=vallex&amp;frame=v-w5158f21", "přijít (v-w5158f21)")</f>
        <v>přijít (v-w5158f21)</v>
      </c>
    </row>
    <row r="38004" customFormat="false" ht="12.8" hidden="false" customHeight="false" outlineLevel="0" collapsed="false">
      <c r="B38004" s="0" t="s">
        <v>929</v>
      </c>
    </row>
    <row r="38005" customFormat="false" ht="12.8" hidden="false" customHeight="false" outlineLevel="0" collapsed="false">
      <c r="B38005" s="0" t="s">
        <v>13532</v>
      </c>
    </row>
    <row r="38007" customFormat="false" ht="12.8" hidden="false" customHeight="false" outlineLevel="0" collapsed="false">
      <c r="A38007" s="0" t="s">
        <v>13753</v>
      </c>
      <c r="B38007" s="0" t="str">
        <f aca="false">HYPERLINK("https://lindat.mff.cuni.cz/services/teitok/pdtc10/index.php?action=vallex&amp;frame=v-w5158f37_ZU", "přijít (v-w5158f37_ZU)")</f>
        <v>přijít (v-w5158f37_ZU)</v>
      </c>
    </row>
    <row r="38008" customFormat="false" ht="12.8" hidden="false" customHeight="false" outlineLevel="0" collapsed="false">
      <c r="B38008" s="0" t="s">
        <v>7</v>
      </c>
      <c r="C38008" s="0" t="s">
        <v>1894</v>
      </c>
    </row>
    <row r="38009" customFormat="false" ht="12.8" hidden="false" customHeight="false" outlineLevel="0" collapsed="false">
      <c r="B38009" s="0" t="s">
        <v>13754</v>
      </c>
    </row>
    <row r="38011" customFormat="false" ht="12.8" hidden="false" customHeight="false" outlineLevel="0" collapsed="false">
      <c r="A38011" s="0" t="s">
        <v>13755</v>
      </c>
      <c r="B38011" s="0" t="str">
        <f aca="false">HYPERLINK("https://lindat.mff.cuni.cz/services/teitok/pdtc10/index.php?action=vallex&amp;frame=v-w5158f42_ZU", "přijít (v-w5158f42_ZU)")</f>
        <v>přijít (v-w5158f42_ZU)</v>
      </c>
    </row>
    <row r="38012" customFormat="false" ht="12.8" hidden="false" customHeight="false" outlineLevel="0" collapsed="false">
      <c r="B38012" s="0" t="s">
        <v>7</v>
      </c>
      <c r="C38012" s="0" t="s">
        <v>2894</v>
      </c>
    </row>
    <row r="38013" customFormat="false" ht="12.8" hidden="false" customHeight="false" outlineLevel="0" collapsed="false">
      <c r="B38013" s="0" t="s">
        <v>41</v>
      </c>
      <c r="C38013" s="0" t="s">
        <v>13756</v>
      </c>
    </row>
    <row r="38015" customFormat="false" ht="12.8" hidden="false" customHeight="false" outlineLevel="0" collapsed="false">
      <c r="A38015" s="0" t="s">
        <v>13755</v>
      </c>
      <c r="B38015" s="0" t="str">
        <f aca="false">HYPERLINK("https://lindat.mff.cuni.cz/services/teitok/pdtc10/index.php?action=vallex&amp;frame=v-w5158hsa_1092", "přijít (v-w5158hsa_1092) - substituted with v-w5158f42_ZU")</f>
        <v>přijít (v-w5158hsa_1092) - substituted with v-w5158f42_ZU</v>
      </c>
    </row>
    <row r="38016" customFormat="false" ht="12.8" hidden="false" customHeight="false" outlineLevel="0" collapsed="false">
      <c r="B38016" s="0" t="s">
        <v>7</v>
      </c>
    </row>
    <row r="38017" customFormat="false" ht="12.8" hidden="false" customHeight="false" outlineLevel="0" collapsed="false">
      <c r="B38017" s="0" t="s">
        <v>41</v>
      </c>
    </row>
    <row r="38019" customFormat="false" ht="12.8" hidden="false" customHeight="false" outlineLevel="0" collapsed="false">
      <c r="A38019" s="0" t="s">
        <v>13757</v>
      </c>
      <c r="B38019" s="0" t="str">
        <f aca="false">HYPERLINK("https://lindat.mff.cuni.cz/services/teitok/pdtc10/index.php?action=vallex&amp;frame=v-w5158f43_ZU", "přijít (v-w5158f43_ZU)")</f>
        <v>přijít (v-w5158f43_ZU)</v>
      </c>
    </row>
    <row r="38020" customFormat="false" ht="12.8" hidden="false" customHeight="false" outlineLevel="0" collapsed="false">
      <c r="B38020" s="0" t="s">
        <v>7</v>
      </c>
    </row>
    <row r="38021" customFormat="false" ht="12.8" hidden="false" customHeight="false" outlineLevel="0" collapsed="false">
      <c r="B38021" s="0" t="s">
        <v>13758</v>
      </c>
    </row>
    <row r="38023" customFormat="false" ht="12.8" hidden="false" customHeight="false" outlineLevel="0" collapsed="false">
      <c r="A38023" s="0" t="s">
        <v>13757</v>
      </c>
      <c r="B38023" s="0" t="str">
        <f aca="false">HYPERLINK("https://lindat.mff.cuni.cz/services/teitok/pdtc10/index.php?action=vallex&amp;frame=v-w5158hsa_1093", "přijít (v-w5158hsa_1093) - substituted with v-w5158f43_ZU")</f>
        <v>přijít (v-w5158hsa_1093) - substituted with v-w5158f43_ZU</v>
      </c>
    </row>
    <row r="38024" customFormat="false" ht="12.8" hidden="false" customHeight="false" outlineLevel="0" collapsed="false">
      <c r="B38024" s="0" t="s">
        <v>7</v>
      </c>
    </row>
    <row r="38025" customFormat="false" ht="12.8" hidden="false" customHeight="false" outlineLevel="0" collapsed="false">
      <c r="B38025" s="0" t="s">
        <v>13758</v>
      </c>
    </row>
    <row r="38027" customFormat="false" ht="12.8" hidden="false" customHeight="false" outlineLevel="0" collapsed="false">
      <c r="A38027" s="0" t="s">
        <v>13759</v>
      </c>
      <c r="B38027" s="0" t="str">
        <f aca="false">HYPERLINK("https://lindat.mff.cuni.cz/services/teitok/pdtc10/index.php?action=vallex&amp;frame=v-w5158f44_ZU", "přijít (v-w5158f44_ZU)")</f>
        <v>přijít (v-w5158f44_ZU)</v>
      </c>
    </row>
    <row r="38028" customFormat="false" ht="12.8" hidden="false" customHeight="false" outlineLevel="0" collapsed="false">
      <c r="B38028" s="0" t="s">
        <v>7</v>
      </c>
    </row>
    <row r="38029" customFormat="false" ht="12.8" hidden="false" customHeight="false" outlineLevel="0" collapsed="false">
      <c r="B38029" s="0" t="s">
        <v>13760</v>
      </c>
    </row>
    <row r="38031" customFormat="false" ht="12.8" hidden="false" customHeight="false" outlineLevel="0" collapsed="false">
      <c r="A38031" s="0" t="s">
        <v>13759</v>
      </c>
      <c r="B38031" s="0" t="str">
        <f aca="false">HYPERLINK("https://lindat.mff.cuni.cz/services/teitok/pdtc10/index.php?action=vallex&amp;frame=v-w5158hsa_1094", "přijít (v-w5158hsa_1094) - substituted with v-w5158f44_ZU")</f>
        <v>přijít (v-w5158hsa_1094) - substituted with v-w5158f44_ZU</v>
      </c>
    </row>
    <row r="38032" customFormat="false" ht="12.8" hidden="false" customHeight="false" outlineLevel="0" collapsed="false">
      <c r="B38032" s="0" t="s">
        <v>7</v>
      </c>
    </row>
    <row r="38033" customFormat="false" ht="12.8" hidden="false" customHeight="false" outlineLevel="0" collapsed="false">
      <c r="B38033" s="0" t="s">
        <v>13760</v>
      </c>
    </row>
    <row r="38035" customFormat="false" ht="12.8" hidden="false" customHeight="false" outlineLevel="0" collapsed="false">
      <c r="A38035" s="0" t="s">
        <v>13761</v>
      </c>
      <c r="B38035" s="0" t="str">
        <f aca="false">HYPERLINK("https://lindat.mff.cuni.cz/services/teitok/pdtc10/index.php?action=vallex&amp;frame=v-w5158f38_ZU", "přijít (v-w5158f38_ZU)")</f>
        <v>přijít (v-w5158f38_ZU)</v>
      </c>
    </row>
    <row r="38036" customFormat="false" ht="12.8" hidden="false" customHeight="false" outlineLevel="0" collapsed="false">
      <c r="B38036" s="0" t="s">
        <v>7</v>
      </c>
    </row>
    <row r="38037" customFormat="false" ht="12.8" hidden="false" customHeight="false" outlineLevel="0" collapsed="false">
      <c r="B38037" s="0" t="s">
        <v>279</v>
      </c>
    </row>
    <row r="38039" customFormat="false" ht="12.8" hidden="false" customHeight="false" outlineLevel="0" collapsed="false">
      <c r="A38039" s="0" t="s">
        <v>13762</v>
      </c>
      <c r="B38039" s="0" t="str">
        <f aca="false">HYPERLINK("https://lindat.mff.cuni.cz/services/teitok/pdtc10/index.php?action=vallex&amp;frame=v-w5158f47_ZU", "přijít (v-w5158f47_ZU)")</f>
        <v>přijít (v-w5158f47_ZU)</v>
      </c>
    </row>
    <row r="38040" customFormat="false" ht="12.8" hidden="false" customHeight="false" outlineLevel="0" collapsed="false">
      <c r="B38040" s="0" t="s">
        <v>641</v>
      </c>
    </row>
    <row r="38041" customFormat="false" ht="12.8" hidden="false" customHeight="false" outlineLevel="0" collapsed="false">
      <c r="B38041" s="0" t="s">
        <v>142</v>
      </c>
    </row>
    <row r="38042" customFormat="false" ht="12.8" hidden="false" customHeight="false" outlineLevel="0" collapsed="false">
      <c r="B38042" s="0" t="s">
        <v>1349</v>
      </c>
    </row>
    <row r="38044" customFormat="false" ht="12.8" hidden="false" customHeight="false" outlineLevel="0" collapsed="false">
      <c r="A38044" s="0" t="s">
        <v>13762</v>
      </c>
      <c r="B38044" s="0" t="str">
        <f aca="false">HYPERLINK("https://lindat.mff.cuni.cz/services/teitok/pdtc10/index.php?action=vallex&amp;frame=v-w5158hsa_941", "přijít (v-w5158hsa_941) - substituted with v-w5158f47_ZU")</f>
        <v>přijít (v-w5158hsa_941) - substituted with v-w5158f47_ZU</v>
      </c>
    </row>
    <row r="38045" customFormat="false" ht="12.8" hidden="false" customHeight="false" outlineLevel="0" collapsed="false">
      <c r="B38045" s="0" t="s">
        <v>641</v>
      </c>
    </row>
    <row r="38046" customFormat="false" ht="12.8" hidden="false" customHeight="false" outlineLevel="0" collapsed="false">
      <c r="B38046" s="0" t="s">
        <v>142</v>
      </c>
    </row>
    <row r="38047" customFormat="false" ht="12.8" hidden="false" customHeight="false" outlineLevel="0" collapsed="false">
      <c r="B38047" s="0" t="s">
        <v>1349</v>
      </c>
    </row>
    <row r="38049" customFormat="false" ht="12.8" hidden="false" customHeight="false" outlineLevel="0" collapsed="false">
      <c r="A38049" s="0" t="s">
        <v>13763</v>
      </c>
      <c r="B38049" s="0" t="str">
        <f aca="false">HYPERLINK("https://lindat.mff.cuni.cz/services/teitok/pdtc10/index.php?action=vallex&amp;frame=v-w5158f51_ZU", "přijít (v-w5158f51_ZU)")</f>
        <v>přijít (v-w5158f51_ZU)</v>
      </c>
    </row>
    <row r="38050" customFormat="false" ht="12.8" hidden="false" customHeight="false" outlineLevel="0" collapsed="false">
      <c r="B38050" s="0" t="s">
        <v>603</v>
      </c>
    </row>
    <row r="38051" customFormat="false" ht="12.8" hidden="false" customHeight="false" outlineLevel="0" collapsed="false">
      <c r="B38051" s="0" t="s">
        <v>328</v>
      </c>
    </row>
    <row r="38052" customFormat="false" ht="12.8" hidden="false" customHeight="false" outlineLevel="0" collapsed="false">
      <c r="B38052" s="0" t="s">
        <v>691</v>
      </c>
    </row>
    <row r="38054" customFormat="false" ht="12.8" hidden="false" customHeight="false" outlineLevel="0" collapsed="false">
      <c r="A38054" s="0" t="s">
        <v>13764</v>
      </c>
      <c r="B38054" s="0" t="str">
        <f aca="false">HYPERLINK("https://lindat.mff.cuni.cz/services/teitok/pdtc10/index.php?action=vallex&amp;frame=v-w5158f52_ZU", "přijít (v-w5158f52_ZU)")</f>
        <v>přijít (v-w5158f52_ZU)</v>
      </c>
    </row>
    <row r="38055" customFormat="false" ht="12.8" hidden="false" customHeight="false" outlineLevel="0" collapsed="false">
      <c r="B38055" s="0" t="s">
        <v>7</v>
      </c>
    </row>
    <row r="38056" customFormat="false" ht="12.8" hidden="false" customHeight="false" outlineLevel="0" collapsed="false">
      <c r="B38056" s="0" t="s">
        <v>13765</v>
      </c>
    </row>
    <row r="38057" customFormat="false" ht="12.8" hidden="false" customHeight="false" outlineLevel="0" collapsed="false">
      <c r="B38057" s="0" t="s">
        <v>142</v>
      </c>
    </row>
    <row r="38059" customFormat="false" ht="12.8" hidden="false" customHeight="false" outlineLevel="0" collapsed="false">
      <c r="A38059" s="0" t="s">
        <v>13766</v>
      </c>
      <c r="B38059" s="0" t="str">
        <f aca="false">HYPERLINK("https://lindat.mff.cuni.cz/services/teitok/pdtc10/index.php?action=vallex&amp;frame=v-w5158f53_ZU", "přijít (v-w5158f53_ZU)")</f>
        <v>přijít (v-w5158f53_ZU)</v>
      </c>
    </row>
    <row r="38060" customFormat="false" ht="12.8" hidden="false" customHeight="false" outlineLevel="0" collapsed="false">
      <c r="B38060" s="0" t="s">
        <v>4489</v>
      </c>
    </row>
    <row r="38062" customFormat="false" ht="12.8" hidden="false" customHeight="false" outlineLevel="0" collapsed="false">
      <c r="A38062" s="0" t="s">
        <v>13767</v>
      </c>
      <c r="B38062" s="0" t="str">
        <f aca="false">HYPERLINK("https://lindat.mff.cuni.cz/services/teitok/pdtc10/index.php?action=vallex&amp;frame=v-w5158f56_ZU", "přijít (v-w5158f56_ZU)")</f>
        <v>přijít (v-w5158f56_ZU)</v>
      </c>
    </row>
    <row r="38063" customFormat="false" ht="12.8" hidden="false" customHeight="false" outlineLevel="0" collapsed="false">
      <c r="B38063" s="0" t="s">
        <v>7</v>
      </c>
    </row>
    <row r="38064" customFormat="false" ht="12.8" hidden="false" customHeight="false" outlineLevel="0" collapsed="false">
      <c r="B38064" s="0" t="s">
        <v>13522</v>
      </c>
    </row>
    <row r="38066" customFormat="false" ht="12.8" hidden="false" customHeight="false" outlineLevel="0" collapsed="false">
      <c r="A38066" s="0" t="s">
        <v>13768</v>
      </c>
      <c r="B38066" s="0" t="str">
        <f aca="false">HYPERLINK("https://lindat.mff.cuni.cz/services/teitok/pdtc10/index.php?action=vallex&amp;frame=v-w5158f57_ZU", "přijít (v-w5158f57_ZU)")</f>
        <v>přijít (v-w5158f57_ZU)</v>
      </c>
    </row>
    <row r="38067" customFormat="false" ht="12.8" hidden="false" customHeight="false" outlineLevel="0" collapsed="false">
      <c r="B38067" s="0" t="s">
        <v>7</v>
      </c>
    </row>
    <row r="38068" customFormat="false" ht="12.8" hidden="false" customHeight="false" outlineLevel="0" collapsed="false">
      <c r="B38068" s="0" t="s">
        <v>13769</v>
      </c>
    </row>
    <row r="38070" customFormat="false" ht="12.8" hidden="false" customHeight="false" outlineLevel="0" collapsed="false">
      <c r="A38070" s="0" t="s">
        <v>13770</v>
      </c>
      <c r="B38070" s="0" t="str">
        <f aca="false">HYPERLINK("https://lindat.mff.cuni.cz/services/teitok/pdtc10/index.php?action=vallex&amp;frame=v-w5158f61_ZU", "přijít (v-w5158f61_ZU)")</f>
        <v>přijít (v-w5158f61_ZU)</v>
      </c>
    </row>
    <row r="38071" customFormat="false" ht="12.8" hidden="false" customHeight="false" outlineLevel="0" collapsed="false">
      <c r="B38071" s="0" t="s">
        <v>7</v>
      </c>
    </row>
    <row r="38072" customFormat="false" ht="12.8" hidden="false" customHeight="false" outlineLevel="0" collapsed="false">
      <c r="B38072" s="0" t="s">
        <v>237</v>
      </c>
    </row>
    <row r="38074" customFormat="false" ht="12.8" hidden="false" customHeight="false" outlineLevel="0" collapsed="false">
      <c r="A38074" s="0" t="s">
        <v>13771</v>
      </c>
      <c r="B38074" s="0" t="str">
        <f aca="false">HYPERLINK("https://lindat.mff.cuni.cz/services/teitok/pdtc10/index.php?action=vallex&amp;frame=v-w5158f63_ZU", "přijít (v-w5158f63_ZU)")</f>
        <v>přijít (v-w5158f63_ZU)</v>
      </c>
    </row>
    <row r="38075" customFormat="false" ht="12.8" hidden="false" customHeight="false" outlineLevel="0" collapsed="false">
      <c r="B38075" s="0" t="s">
        <v>7</v>
      </c>
    </row>
    <row r="38077" customFormat="false" ht="12.8" hidden="false" customHeight="false" outlineLevel="0" collapsed="false">
      <c r="A38077" s="0" t="s">
        <v>13772</v>
      </c>
      <c r="B38077" s="0" t="str">
        <f aca="false">HYPERLINK("https://lindat.mff.cuni.cz/services/teitok/pdtc10/index.php?action=vallex&amp;frame=v-w5158f67_ZU", "přijít (v-w5158f67_ZU)")</f>
        <v>přijít (v-w5158f67_ZU)</v>
      </c>
    </row>
    <row r="38078" customFormat="false" ht="12.8" hidden="false" customHeight="false" outlineLevel="0" collapsed="false">
      <c r="B38078" s="0" t="s">
        <v>7</v>
      </c>
    </row>
    <row r="38079" customFormat="false" ht="12.8" hidden="false" customHeight="false" outlineLevel="0" collapsed="false">
      <c r="B38079" s="0" t="s">
        <v>338</v>
      </c>
    </row>
    <row r="38081" customFormat="false" ht="12.8" hidden="false" customHeight="false" outlineLevel="0" collapsed="false">
      <c r="A38081" s="0" t="s">
        <v>13772</v>
      </c>
      <c r="B38081" s="0" t="str">
        <f aca="false">HYPERLINK("https://lindat.mff.cuni.cz/services/teitok/pdtc10/index.php?action=vallex&amp;frame=v-w5158f48_ZU", "přijít (v-w5158f48_ZU) - substituted with v-w5158f67_ZU")</f>
        <v>přijít (v-w5158f48_ZU) - substituted with v-w5158f67_ZU</v>
      </c>
    </row>
    <row r="38082" customFormat="false" ht="12.8" hidden="false" customHeight="false" outlineLevel="0" collapsed="false">
      <c r="B38082" s="0" t="s">
        <v>7</v>
      </c>
    </row>
    <row r="38083" customFormat="false" ht="12.8" hidden="false" customHeight="false" outlineLevel="0" collapsed="false">
      <c r="B38083" s="0" t="s">
        <v>338</v>
      </c>
    </row>
    <row r="38085" customFormat="false" ht="12.8" hidden="false" customHeight="false" outlineLevel="0" collapsed="false">
      <c r="A38085" s="0" t="s">
        <v>13772</v>
      </c>
      <c r="B38085" s="0" t="str">
        <f aca="false">HYPERLINK("https://lindat.mff.cuni.cz/services/teitok/pdtc10/index.php?action=vallex&amp;frame=v-w5158f60_ZU", "přijít (v-w5158f60_ZU) - substituted with v-w5158f67_ZU")</f>
        <v>přijít (v-w5158f60_ZU) - substituted with v-w5158f67_ZU</v>
      </c>
    </row>
    <row r="38086" customFormat="false" ht="12.8" hidden="false" customHeight="false" outlineLevel="0" collapsed="false">
      <c r="B38086" s="0" t="s">
        <v>7</v>
      </c>
    </row>
    <row r="38087" customFormat="false" ht="12.8" hidden="false" customHeight="false" outlineLevel="0" collapsed="false">
      <c r="B38087" s="0" t="s">
        <v>338</v>
      </c>
    </row>
    <row r="38089" customFormat="false" ht="12.8" hidden="false" customHeight="false" outlineLevel="0" collapsed="false">
      <c r="A38089" s="0" t="s">
        <v>13773</v>
      </c>
      <c r="B38089" s="0" t="str">
        <f aca="false">HYPERLINK("https://lindat.mff.cuni.cz/services/teitok/pdtc10/index.php?action=vallex&amp;frame=v-w5158hsa_939", "přijít (v-w5158hsa_939)")</f>
        <v>přijít (v-w5158hsa_939)</v>
      </c>
    </row>
    <row r="38090" customFormat="false" ht="12.8" hidden="false" customHeight="false" outlineLevel="0" collapsed="false">
      <c r="B38090" s="0" t="s">
        <v>7</v>
      </c>
    </row>
    <row r="38091" customFormat="false" ht="12.8" hidden="false" customHeight="false" outlineLevel="0" collapsed="false">
      <c r="B38091" s="0" t="s">
        <v>41</v>
      </c>
    </row>
    <row r="38093" customFormat="false" ht="12.8" hidden="false" customHeight="false" outlineLevel="0" collapsed="false">
      <c r="A38093" s="0" t="s">
        <v>13774</v>
      </c>
      <c r="B38093" s="0" t="str">
        <f aca="false">HYPERLINK("https://lindat.mff.cuni.cz/services/teitok/pdtc10/index.php?action=vallex&amp;frame=v-w5158hsa_940", "přijít (v-w5158hsa_940)")</f>
        <v>přijít (v-w5158hsa_940)</v>
      </c>
    </row>
    <row r="38094" customFormat="false" ht="12.8" hidden="false" customHeight="false" outlineLevel="0" collapsed="false">
      <c r="B38094" s="0" t="s">
        <v>7</v>
      </c>
    </row>
    <row r="38095" customFormat="false" ht="12.8" hidden="false" customHeight="false" outlineLevel="0" collapsed="false">
      <c r="B38095" s="0" t="s">
        <v>124</v>
      </c>
    </row>
    <row r="38097" customFormat="false" ht="12.8" hidden="false" customHeight="false" outlineLevel="0" collapsed="false">
      <c r="A38097" s="0" t="s">
        <v>13775</v>
      </c>
      <c r="B38097" s="0" t="str">
        <f aca="false">HYPERLINK("https://lindat.mff.cuni.cz/services/teitok/pdtc10/index.php?action=vallex&amp;frame=v-w5159f1", "přijít si (v-w5159f1)")</f>
        <v>přijít si (v-w5159f1)</v>
      </c>
    </row>
    <row r="38098" customFormat="false" ht="12.8" hidden="false" customHeight="false" outlineLevel="0" collapsed="false">
      <c r="B38098" s="0" t="s">
        <v>7</v>
      </c>
    </row>
    <row r="38099" customFormat="false" ht="12.8" hidden="false" customHeight="false" outlineLevel="0" collapsed="false">
      <c r="B38099" s="0" t="s">
        <v>41</v>
      </c>
    </row>
    <row r="38101" customFormat="false" ht="12.8" hidden="false" customHeight="false" outlineLevel="0" collapsed="false">
      <c r="A38101" s="0" t="s">
        <v>13776</v>
      </c>
      <c r="B38101" s="0" t="str">
        <f aca="false">HYPERLINK("https://lindat.mff.cuni.cz/services/teitok/pdtc10/index.php?action=vallex&amp;frame=v-w5159f2", "přijít si (v-w5159f2)")</f>
        <v>přijít si (v-w5159f2)</v>
      </c>
    </row>
    <row r="38102" customFormat="false" ht="12.8" hidden="false" customHeight="false" outlineLevel="0" collapsed="false">
      <c r="B38102" s="0" t="s">
        <v>7</v>
      </c>
    </row>
    <row r="38103" customFormat="false" ht="12.8" hidden="false" customHeight="false" outlineLevel="0" collapsed="false">
      <c r="B38103" s="0" t="s">
        <v>13542</v>
      </c>
    </row>
    <row r="38105" customFormat="false" ht="12.8" hidden="false" customHeight="false" outlineLevel="0" collapsed="false">
      <c r="A38105" s="0" t="s">
        <v>13777</v>
      </c>
      <c r="B38105" s="0" t="str">
        <f aca="false">HYPERLINK("https://lindat.mff.cuni.cz/services/teitok/pdtc10/index.php?action=vallex&amp;frame=v-w5159f3_ZU", "přijít si (v-w5159f3_ZU)")</f>
        <v>přijít si (v-w5159f3_ZU)</v>
      </c>
    </row>
    <row r="38106" customFormat="false" ht="12.8" hidden="false" customHeight="false" outlineLevel="0" collapsed="false">
      <c r="B38106" s="0" t="s">
        <v>7</v>
      </c>
    </row>
    <row r="38107" customFormat="false" ht="12.8" hidden="false" customHeight="false" outlineLevel="0" collapsed="false">
      <c r="B38107" s="0" t="s">
        <v>41</v>
      </c>
    </row>
    <row r="38109" customFormat="false" ht="12.8" hidden="false" customHeight="false" outlineLevel="0" collapsed="false">
      <c r="A38109" s="0" t="s">
        <v>13778</v>
      </c>
      <c r="B38109" s="0" t="str">
        <f aca="false">HYPERLINK("https://lindat.mff.cuni.cz/services/teitok/pdtc10/index.php?action=vallex&amp;frame=v-w5160f1", "přijíždět (v-w5160f1)")</f>
        <v>přijíždět (v-w5160f1)</v>
      </c>
    </row>
    <row r="38110" customFormat="false" ht="12.8" hidden="false" customHeight="false" outlineLevel="0" collapsed="false">
      <c r="B38110" s="0" t="s">
        <v>7</v>
      </c>
      <c r="C38110" s="0" t="s">
        <v>13779</v>
      </c>
      <c r="D38110" s="0" t="s">
        <v>1705</v>
      </c>
      <c r="E38110" s="0" t="s">
        <v>1706</v>
      </c>
      <c r="F38110" s="0" t="s">
        <v>1706</v>
      </c>
    </row>
    <row r="38111" customFormat="false" ht="12.8" hidden="false" customHeight="false" outlineLevel="0" collapsed="false">
      <c r="B38111" s="0" t="s">
        <v>124</v>
      </c>
      <c r="D38111" s="0" t="s">
        <v>1707</v>
      </c>
      <c r="E38111" s="0" t="s">
        <v>1707</v>
      </c>
      <c r="F38111" s="0" t="s">
        <v>1707</v>
      </c>
    </row>
    <row r="38113" customFormat="false" ht="12.8" hidden="false" customHeight="false" outlineLevel="0" collapsed="false">
      <c r="A38113" s="0" t="s">
        <v>13780</v>
      </c>
      <c r="B38113" s="0" t="str">
        <f aca="false">HYPERLINK("https://lindat.mff.cuni.cz/services/teitok/pdtc10/index.php?action=vallex&amp;frame=v-w5164f1", "přikazovat (v-w5164f1)")</f>
        <v>přikazovat (v-w5164f1)</v>
      </c>
    </row>
    <row r="38114" customFormat="false" ht="12.8" hidden="false" customHeight="false" outlineLevel="0" collapsed="false">
      <c r="B38114" s="0" t="s">
        <v>7</v>
      </c>
      <c r="C38114" s="0" t="s">
        <v>13781</v>
      </c>
      <c r="D38114" s="0" t="s">
        <v>316</v>
      </c>
      <c r="E38114" s="0" t="s">
        <v>316</v>
      </c>
      <c r="F38114" s="0" t="s">
        <v>316</v>
      </c>
    </row>
    <row r="38115" customFormat="false" ht="12.8" hidden="false" customHeight="false" outlineLevel="0" collapsed="false">
      <c r="B38115" s="0" t="s">
        <v>1599</v>
      </c>
      <c r="C38115" s="0" t="s">
        <v>13782</v>
      </c>
      <c r="D38115" s="0" t="s">
        <v>1600</v>
      </c>
      <c r="E38115" s="0" t="s">
        <v>1600</v>
      </c>
      <c r="F38115" s="0" t="s">
        <v>1600</v>
      </c>
    </row>
    <row r="38116" customFormat="false" ht="12.8" hidden="false" customHeight="false" outlineLevel="0" collapsed="false">
      <c r="B38116" s="0" t="s">
        <v>48</v>
      </c>
      <c r="C38116" s="0" t="s">
        <v>13783</v>
      </c>
      <c r="D38116" s="0" t="s">
        <v>1601</v>
      </c>
      <c r="E38116" s="0" t="s">
        <v>1601</v>
      </c>
      <c r="F38116" s="0" t="s">
        <v>1601</v>
      </c>
    </row>
    <row r="38118" customFormat="false" ht="12.8" hidden="false" customHeight="false" outlineLevel="0" collapsed="false">
      <c r="A38118" s="0" t="s">
        <v>13784</v>
      </c>
      <c r="B38118" s="0" t="str">
        <f aca="false">HYPERLINK("https://lindat.mff.cuni.cz/services/teitok/pdtc10/index.php?action=vallex&amp;frame=v-w5169f1", "přiklonit se (v-w5169f1)")</f>
        <v>přiklonit se (v-w5169f1)</v>
      </c>
    </row>
    <row r="38119" customFormat="false" ht="12.8" hidden="false" customHeight="false" outlineLevel="0" collapsed="false">
      <c r="B38119" s="0" t="s">
        <v>7</v>
      </c>
      <c r="C38119" s="0" t="s">
        <v>8607</v>
      </c>
      <c r="D38119" s="0" t="s">
        <v>3054</v>
      </c>
      <c r="E38119" s="0" t="s">
        <v>3054</v>
      </c>
      <c r="F38119" s="0" t="s">
        <v>3054</v>
      </c>
    </row>
    <row r="38120" customFormat="false" ht="12.8" hidden="false" customHeight="false" outlineLevel="0" collapsed="false">
      <c r="B38120" s="0" t="s">
        <v>237</v>
      </c>
      <c r="D38120" s="0" t="s">
        <v>4344</v>
      </c>
      <c r="E38120" s="0" t="s">
        <v>4344</v>
      </c>
      <c r="F38120" s="0" t="s">
        <v>4344</v>
      </c>
    </row>
    <row r="38122" customFormat="false" ht="12.8" hidden="false" customHeight="false" outlineLevel="0" collapsed="false">
      <c r="A38122" s="0" t="s">
        <v>13785</v>
      </c>
      <c r="B38122" s="0" t="str">
        <f aca="false">HYPERLINK("https://lindat.mff.cuni.cz/services/teitok/pdtc10/index.php?action=vallex&amp;frame=v-w5169f2", "přiklonit se (v-w5169f2)")</f>
        <v>přiklonit se (v-w5169f2)</v>
      </c>
    </row>
    <row r="38123" customFormat="false" ht="12.8" hidden="false" customHeight="false" outlineLevel="0" collapsed="false">
      <c r="B38123" s="0" t="s">
        <v>7</v>
      </c>
      <c r="C38123" s="0" t="s">
        <v>16</v>
      </c>
      <c r="D38123" s="0" t="s">
        <v>6781</v>
      </c>
      <c r="E38123" s="0" t="s">
        <v>6781</v>
      </c>
      <c r="F38123" s="0" t="s">
        <v>6781</v>
      </c>
    </row>
    <row r="38124" customFormat="false" ht="12.8" hidden="false" customHeight="false" outlineLevel="0" collapsed="false">
      <c r="B38124" s="0" t="s">
        <v>124</v>
      </c>
      <c r="C38124" s="0" t="s">
        <v>13786</v>
      </c>
      <c r="D38124" s="0" t="s">
        <v>13787</v>
      </c>
      <c r="E38124" s="0" t="s">
        <v>13787</v>
      </c>
      <c r="F38124" s="0" t="s">
        <v>13787</v>
      </c>
    </row>
    <row r="38126" customFormat="false" ht="12.8" hidden="false" customHeight="false" outlineLevel="0" collapsed="false">
      <c r="A38126" s="0" t="s">
        <v>13788</v>
      </c>
      <c r="B38126" s="0" t="str">
        <f aca="false">HYPERLINK("https://lindat.mff.cuni.cz/services/teitok/pdtc10/index.php?action=vallex&amp;frame=v-w5169f3", "přiklonit se (v-w5169f3)")</f>
        <v>přiklonit se (v-w5169f3)</v>
      </c>
    </row>
    <row r="38127" customFormat="false" ht="12.8" hidden="false" customHeight="false" outlineLevel="0" collapsed="false">
      <c r="B38127" s="0" t="s">
        <v>7</v>
      </c>
    </row>
    <row r="38128" customFormat="false" ht="12.8" hidden="false" customHeight="false" outlineLevel="0" collapsed="false">
      <c r="B38128" s="0" t="s">
        <v>124</v>
      </c>
    </row>
    <row r="38130" customFormat="false" ht="12.8" hidden="false" customHeight="false" outlineLevel="0" collapsed="false">
      <c r="A38130" s="0" t="s">
        <v>13789</v>
      </c>
      <c r="B38130" s="0" t="str">
        <f aca="false">HYPERLINK("https://lindat.mff.cuni.cz/services/teitok/pdtc10/index.php?action=vallex&amp;frame=v-w5166f1", "přikládat (v-w5166f1)")</f>
        <v>přikládat (v-w5166f1)</v>
      </c>
    </row>
    <row r="38131" customFormat="false" ht="12.8" hidden="false" customHeight="false" outlineLevel="0" collapsed="false">
      <c r="B38131" s="0" t="s">
        <v>7</v>
      </c>
      <c r="C38131" s="0" t="s">
        <v>845</v>
      </c>
    </row>
    <row r="38132" customFormat="false" ht="12.8" hidden="false" customHeight="false" outlineLevel="0" collapsed="false">
      <c r="B38132" s="0" t="s">
        <v>14</v>
      </c>
      <c r="C38132" s="0" t="s">
        <v>13790</v>
      </c>
    </row>
    <row r="38133" customFormat="false" ht="12.8" hidden="false" customHeight="false" outlineLevel="0" collapsed="false">
      <c r="B38133" s="0" t="s">
        <v>48</v>
      </c>
      <c r="C38133" s="0" t="s">
        <v>13791</v>
      </c>
    </row>
    <row r="38135" customFormat="false" ht="12.8" hidden="false" customHeight="false" outlineLevel="0" collapsed="false">
      <c r="A38135" s="0" t="s">
        <v>13792</v>
      </c>
      <c r="B38135" s="0" t="str">
        <f aca="false">HYPERLINK("https://lindat.mff.cuni.cz/services/teitok/pdtc10/index.php?action=vallex&amp;frame=v-w5166f2", "přikládat (v-w5166f2)")</f>
        <v>přikládat (v-w5166f2)</v>
      </c>
    </row>
    <row r="38136" customFormat="false" ht="12.8" hidden="false" customHeight="false" outlineLevel="0" collapsed="false">
      <c r="B38136" s="0" t="s">
        <v>7</v>
      </c>
      <c r="C38136" s="0" t="s">
        <v>3243</v>
      </c>
      <c r="D38136" s="0" t="s">
        <v>2235</v>
      </c>
      <c r="E38136" s="0" t="s">
        <v>2235</v>
      </c>
      <c r="F38136" s="0" t="s">
        <v>2235</v>
      </c>
    </row>
    <row r="38137" customFormat="false" ht="12.8" hidden="false" customHeight="false" outlineLevel="0" collapsed="false">
      <c r="B38137" s="0" t="s">
        <v>14</v>
      </c>
      <c r="C38137" s="0" t="s">
        <v>3244</v>
      </c>
      <c r="D38137" s="0" t="s">
        <v>2237</v>
      </c>
      <c r="E38137" s="0" t="s">
        <v>2237</v>
      </c>
      <c r="F38137" s="0" t="s">
        <v>2237</v>
      </c>
    </row>
    <row r="38138" customFormat="false" ht="12.8" hidden="false" customHeight="false" outlineLevel="0" collapsed="false">
      <c r="B38138" s="0" t="s">
        <v>124</v>
      </c>
      <c r="D38138" s="0" t="s">
        <v>2238</v>
      </c>
      <c r="E38138" s="0" t="s">
        <v>2238</v>
      </c>
      <c r="F38138" s="0" t="s">
        <v>2238</v>
      </c>
    </row>
    <row r="38140" customFormat="false" ht="12.8" hidden="false" customHeight="false" outlineLevel="0" collapsed="false">
      <c r="A38140" s="0" t="s">
        <v>13793</v>
      </c>
      <c r="B38140" s="0" t="str">
        <f aca="false">HYPERLINK("https://lindat.mff.cuni.cz/services/teitok/pdtc10/index.php?action=vallex&amp;frame=v-w5167f1", "přiklánět se (v-w5167f1)")</f>
        <v>přiklánět se (v-w5167f1)</v>
      </c>
    </row>
    <row r="38141" customFormat="false" ht="12.8" hidden="false" customHeight="false" outlineLevel="0" collapsed="false">
      <c r="B38141" s="0" t="s">
        <v>7</v>
      </c>
      <c r="C38141" s="0" t="s">
        <v>9062</v>
      </c>
      <c r="D38141" s="0" t="s">
        <v>3054</v>
      </c>
      <c r="E38141" s="0" t="s">
        <v>3054</v>
      </c>
      <c r="F38141" s="0" t="s">
        <v>3054</v>
      </c>
    </row>
    <row r="38142" customFormat="false" ht="12.8" hidden="false" customHeight="false" outlineLevel="0" collapsed="false">
      <c r="B38142" s="0" t="s">
        <v>237</v>
      </c>
      <c r="D38142" s="0" t="s">
        <v>4344</v>
      </c>
      <c r="E38142" s="0" t="s">
        <v>4344</v>
      </c>
      <c r="F38142" s="0" t="s">
        <v>4344</v>
      </c>
    </row>
    <row r="38144" customFormat="false" ht="12.8" hidden="false" customHeight="false" outlineLevel="0" collapsed="false">
      <c r="A38144" s="0" t="s">
        <v>13794</v>
      </c>
      <c r="B38144" s="0" t="str">
        <f aca="false">HYPERLINK("https://lindat.mff.cuni.cz/services/teitok/pdtc10/index.php?action=vallex&amp;frame=v-w5167f2", "přiklánět se (v-w5167f2)")</f>
        <v>přiklánět se (v-w5167f2)</v>
      </c>
    </row>
    <row r="38145" customFormat="false" ht="12.8" hidden="false" customHeight="false" outlineLevel="0" collapsed="false">
      <c r="B38145" s="0" t="s">
        <v>7</v>
      </c>
      <c r="D38145" s="0" t="s">
        <v>3054</v>
      </c>
      <c r="E38145" s="0" t="s">
        <v>3054</v>
      </c>
      <c r="F38145" s="0" t="s">
        <v>3054</v>
      </c>
    </row>
    <row r="38146" customFormat="false" ht="12.8" hidden="false" customHeight="false" outlineLevel="0" collapsed="false">
      <c r="B38146" s="0" t="s">
        <v>124</v>
      </c>
      <c r="D38146" s="0" t="s">
        <v>13795</v>
      </c>
      <c r="E38146" s="0" t="s">
        <v>13795</v>
      </c>
      <c r="F38146" s="0" t="s">
        <v>13795</v>
      </c>
    </row>
    <row r="38148" customFormat="false" ht="12.8" hidden="false" customHeight="false" outlineLevel="0" collapsed="false">
      <c r="A38148" s="0" t="s">
        <v>13796</v>
      </c>
      <c r="B38148" s="0" t="str">
        <f aca="false">HYPERLINK("https://lindat.mff.cuni.cz/services/teitok/pdtc10/index.php?action=vallex&amp;frame=v-w5167f3", "přiklánět se (v-w5167f3)")</f>
        <v>přiklánět se (v-w5167f3)</v>
      </c>
    </row>
    <row r="38149" customFormat="false" ht="12.8" hidden="false" customHeight="false" outlineLevel="0" collapsed="false">
      <c r="B38149" s="0" t="s">
        <v>7</v>
      </c>
      <c r="D38149" s="0" t="s">
        <v>13797</v>
      </c>
      <c r="E38149" s="0" t="s">
        <v>13798</v>
      </c>
      <c r="F38149" s="0" t="s">
        <v>13798</v>
      </c>
    </row>
    <row r="38150" customFormat="false" ht="12.8" hidden="false" customHeight="false" outlineLevel="0" collapsed="false">
      <c r="B38150" s="0" t="s">
        <v>124</v>
      </c>
    </row>
    <row r="38152" customFormat="false" ht="12.8" hidden="false" customHeight="false" outlineLevel="0" collapsed="false">
      <c r="A38152" s="0" t="s">
        <v>13799</v>
      </c>
      <c r="B38152" s="0" t="str">
        <f aca="false">HYPERLINK("https://lindat.mff.cuni.cz/services/teitok/pdtc10/index.php?action=vallex&amp;frame=v-w10376f2", "přikoupit (v-w10376f2)")</f>
        <v>přikoupit (v-w10376f2)</v>
      </c>
    </row>
    <row r="38153" customFormat="false" ht="12.8" hidden="false" customHeight="false" outlineLevel="0" collapsed="false">
      <c r="B38153" s="0" t="s">
        <v>7</v>
      </c>
      <c r="C38153" s="0" t="s">
        <v>13800</v>
      </c>
      <c r="D38153" s="0" t="s">
        <v>4927</v>
      </c>
      <c r="E38153" s="0" t="s">
        <v>4927</v>
      </c>
      <c r="F38153" s="0" t="s">
        <v>4927</v>
      </c>
    </row>
    <row r="38154" customFormat="false" ht="12.8" hidden="false" customHeight="false" outlineLevel="0" collapsed="false">
      <c r="B38154" s="0" t="s">
        <v>14</v>
      </c>
      <c r="C38154" s="0" t="s">
        <v>13801</v>
      </c>
      <c r="D38154" s="0" t="s">
        <v>4929</v>
      </c>
      <c r="E38154" s="0" t="s">
        <v>4929</v>
      </c>
      <c r="F38154" s="0" t="s">
        <v>4929</v>
      </c>
    </row>
    <row r="38155" customFormat="false" ht="12.8" hidden="false" customHeight="false" outlineLevel="0" collapsed="false">
      <c r="B38155" s="0" t="s">
        <v>1953</v>
      </c>
      <c r="C38155" s="0" t="s">
        <v>11430</v>
      </c>
      <c r="D38155" s="0" t="s">
        <v>4930</v>
      </c>
      <c r="E38155" s="0" t="s">
        <v>4930</v>
      </c>
      <c r="F38155" s="0" t="s">
        <v>4930</v>
      </c>
    </row>
    <row r="38156" customFormat="false" ht="12.8" hidden="false" customHeight="false" outlineLevel="0" collapsed="false">
      <c r="B38156" s="0" t="s">
        <v>441</v>
      </c>
      <c r="C38156" s="0" t="s">
        <v>13802</v>
      </c>
      <c r="D38156" s="0" t="s">
        <v>4932</v>
      </c>
      <c r="E38156" s="0" t="s">
        <v>4932</v>
      </c>
      <c r="F38156" s="0" t="s">
        <v>4932</v>
      </c>
    </row>
    <row r="38158" customFormat="false" ht="12.8" hidden="false" customHeight="false" outlineLevel="0" collapsed="false">
      <c r="A38158" s="0" t="s">
        <v>13803</v>
      </c>
      <c r="B38158" s="0" t="str">
        <f aca="false">HYPERLINK("https://lindat.mff.cuni.cz/services/teitok/pdtc10/index.php?action=vallex&amp;frame=v-w5170f1", "přikovat (v-w5170f1)")</f>
        <v>přikovat (v-w5170f1)</v>
      </c>
    </row>
    <row r="38159" customFormat="false" ht="12.8" hidden="false" customHeight="false" outlineLevel="0" collapsed="false">
      <c r="B38159" s="0" t="s">
        <v>7</v>
      </c>
    </row>
    <row r="38160" customFormat="false" ht="12.8" hidden="false" customHeight="false" outlineLevel="0" collapsed="false">
      <c r="B38160" s="0" t="s">
        <v>14</v>
      </c>
    </row>
    <row r="38161" customFormat="false" ht="12.8" hidden="false" customHeight="false" outlineLevel="0" collapsed="false">
      <c r="B38161" s="0" t="s">
        <v>124</v>
      </c>
    </row>
    <row r="38163" customFormat="false" ht="12.8" hidden="false" customHeight="false" outlineLevel="0" collapsed="false">
      <c r="A38163" s="0" t="s">
        <v>13804</v>
      </c>
      <c r="B38163" s="0" t="str">
        <f aca="false">HYPERLINK("https://lindat.mff.cuni.cz/services/teitok/pdtc10/index.php?action=vallex&amp;frame=v-w10597f2", "přikračovat (v-w10597f2)")</f>
        <v>přikračovat (v-w10597f2)</v>
      </c>
    </row>
    <row r="38164" customFormat="false" ht="12.8" hidden="false" customHeight="false" outlineLevel="0" collapsed="false">
      <c r="B38164" s="0" t="s">
        <v>7</v>
      </c>
      <c r="D38164" s="0" t="s">
        <v>149</v>
      </c>
      <c r="E38164" s="0" t="s">
        <v>149</v>
      </c>
      <c r="F38164" s="0" t="s">
        <v>149</v>
      </c>
    </row>
    <row r="38165" customFormat="false" ht="12.8" hidden="false" customHeight="false" outlineLevel="0" collapsed="false">
      <c r="B38165" s="0" t="s">
        <v>237</v>
      </c>
      <c r="D38165" s="0" t="s">
        <v>1289</v>
      </c>
      <c r="E38165" s="0" t="s">
        <v>1289</v>
      </c>
      <c r="F38165" s="0" t="s">
        <v>1289</v>
      </c>
    </row>
    <row r="38167" customFormat="false" ht="12.8" hidden="false" customHeight="false" outlineLevel="0" collapsed="false">
      <c r="A38167" s="0" t="s">
        <v>13805</v>
      </c>
      <c r="B38167" s="0" t="str">
        <f aca="false">HYPERLINK("https://lindat.mff.cuni.cz/services/teitok/pdtc10/index.php?action=vallex&amp;frame=v-whsa_533hsa_534", "přikreslit (v-whsa_533hsa_534)")</f>
        <v>přikreslit (v-whsa_533hsa_534)</v>
      </c>
    </row>
    <row r="38168" customFormat="false" ht="12.8" hidden="false" customHeight="false" outlineLevel="0" collapsed="false">
      <c r="B38168" s="0" t="s">
        <v>7</v>
      </c>
    </row>
    <row r="38169" customFormat="false" ht="12.8" hidden="false" customHeight="false" outlineLevel="0" collapsed="false">
      <c r="B38169" s="0" t="s">
        <v>14</v>
      </c>
    </row>
    <row r="38170" customFormat="false" ht="12.8" hidden="false" customHeight="false" outlineLevel="0" collapsed="false">
      <c r="B38170" s="0" t="s">
        <v>124</v>
      </c>
    </row>
    <row r="38172" customFormat="false" ht="12.8" hidden="false" customHeight="false" outlineLevel="0" collapsed="false">
      <c r="A38172" s="0" t="s">
        <v>13806</v>
      </c>
      <c r="B38172" s="0" t="str">
        <f aca="false">HYPERLINK("https://lindat.mff.cuni.cz/services/teitok/pdtc10/index.php?action=vallex&amp;frame=v-w10106f2", "přikrmit (v-w10106f2)")</f>
        <v>přikrmit (v-w10106f2)</v>
      </c>
    </row>
    <row r="38173" customFormat="false" ht="12.8" hidden="false" customHeight="false" outlineLevel="0" collapsed="false">
      <c r="B38173" s="0" t="s">
        <v>7</v>
      </c>
    </row>
    <row r="38174" customFormat="false" ht="12.8" hidden="false" customHeight="false" outlineLevel="0" collapsed="false">
      <c r="B38174" s="0" t="s">
        <v>14</v>
      </c>
    </row>
    <row r="38176" customFormat="false" ht="12.8" hidden="false" customHeight="false" outlineLevel="0" collapsed="false">
      <c r="A38176" s="0" t="s">
        <v>13807</v>
      </c>
      <c r="B38176" s="0" t="str">
        <f aca="false">HYPERLINK("https://lindat.mff.cuni.cz/services/teitok/pdtc10/index.php?action=vallex&amp;frame=v-w11887_ZUf2_ZU", "přikrmovat (v-w11887_ZUf2_ZU)")</f>
        <v>přikrmovat (v-w11887_ZUf2_ZU)</v>
      </c>
    </row>
    <row r="38177" customFormat="false" ht="12.8" hidden="false" customHeight="false" outlineLevel="0" collapsed="false">
      <c r="B38177" s="0" t="s">
        <v>7</v>
      </c>
    </row>
    <row r="38178" customFormat="false" ht="12.8" hidden="false" customHeight="false" outlineLevel="0" collapsed="false">
      <c r="B38178" s="0" t="s">
        <v>14</v>
      </c>
    </row>
    <row r="38180" customFormat="false" ht="12.8" hidden="false" customHeight="false" outlineLevel="0" collapsed="false">
      <c r="A38180" s="0" t="s">
        <v>13807</v>
      </c>
      <c r="B38180" s="0" t="str">
        <f aca="false">HYPERLINK("https://lindat.mff.cuni.cz/services/teitok/pdtc10/index.php?action=vallex&amp;frame=v-w11887_ZUf1_ZU", "přikrmovat (v-w11887_ZUf1_ZU) - substituted with v-w11887_ZUf2_ZU")</f>
        <v>přikrmovat (v-w11887_ZUf1_ZU) - substituted with v-w11887_ZUf2_ZU</v>
      </c>
    </row>
    <row r="38181" customFormat="false" ht="12.8" hidden="false" customHeight="false" outlineLevel="0" collapsed="false">
      <c r="B38181" s="0" t="s">
        <v>7</v>
      </c>
    </row>
    <row r="38182" customFormat="false" ht="12.8" hidden="false" customHeight="false" outlineLevel="0" collapsed="false">
      <c r="B38182" s="0" t="s">
        <v>14</v>
      </c>
    </row>
    <row r="38184" customFormat="false" ht="12.8" hidden="false" customHeight="false" outlineLevel="0" collapsed="false">
      <c r="A38184" s="0" t="s">
        <v>13808</v>
      </c>
      <c r="B38184" s="0" t="str">
        <f aca="false">HYPERLINK("https://lindat.mff.cuni.cz/services/teitok/pdtc10/index.php?action=vallex&amp;frame=v-w5173f1", "přikročit (v-w5173f1)")</f>
        <v>přikročit (v-w5173f1)</v>
      </c>
    </row>
    <row r="38185" customFormat="false" ht="12.8" hidden="false" customHeight="false" outlineLevel="0" collapsed="false">
      <c r="B38185" s="0" t="s">
        <v>7</v>
      </c>
      <c r="C38185" s="0" t="s">
        <v>13809</v>
      </c>
      <c r="D38185" s="0" t="s">
        <v>149</v>
      </c>
      <c r="E38185" s="0" t="s">
        <v>149</v>
      </c>
      <c r="F38185" s="0" t="s">
        <v>13810</v>
      </c>
    </row>
    <row r="38186" customFormat="false" ht="12.8" hidden="false" customHeight="false" outlineLevel="0" collapsed="false">
      <c r="B38186" s="0" t="s">
        <v>237</v>
      </c>
      <c r="C38186" s="0" t="s">
        <v>13811</v>
      </c>
      <c r="D38186" s="0" t="s">
        <v>1289</v>
      </c>
      <c r="E38186" s="0" t="s">
        <v>1289</v>
      </c>
      <c r="F38186" s="0" t="s">
        <v>13812</v>
      </c>
    </row>
    <row r="38188" customFormat="false" ht="12.8" hidden="false" customHeight="false" outlineLevel="0" collapsed="false">
      <c r="A38188" s="0" t="s">
        <v>13813</v>
      </c>
      <c r="B38188" s="0" t="str">
        <f aca="false">HYPERLINK("https://lindat.mff.cuni.cz/services/teitok/pdtc10/index.php?action=vallex&amp;frame=v-w5173f2", "přikročit (v-w5173f2)")</f>
        <v>přikročit (v-w5173f2)</v>
      </c>
    </row>
    <row r="38189" customFormat="false" ht="12.8" hidden="false" customHeight="false" outlineLevel="0" collapsed="false">
      <c r="B38189" s="0" t="s">
        <v>7</v>
      </c>
      <c r="D38189" s="0" t="s">
        <v>284</v>
      </c>
      <c r="E38189" s="0" t="s">
        <v>284</v>
      </c>
      <c r="F38189" s="0" t="s">
        <v>284</v>
      </c>
    </row>
    <row r="38190" customFormat="false" ht="12.8" hidden="false" customHeight="false" outlineLevel="0" collapsed="false">
      <c r="B38190" s="0" t="s">
        <v>124</v>
      </c>
      <c r="D38190" s="0" t="s">
        <v>285</v>
      </c>
      <c r="E38190" s="0" t="s">
        <v>285</v>
      </c>
      <c r="F38190" s="0" t="s">
        <v>285</v>
      </c>
    </row>
    <row r="38192" customFormat="false" ht="12.8" hidden="false" customHeight="false" outlineLevel="0" collapsed="false">
      <c r="A38192" s="0" t="s">
        <v>13814</v>
      </c>
      <c r="B38192" s="0" t="str">
        <f aca="false">HYPERLINK("https://lindat.mff.cuni.cz/services/teitok/pdtc10/index.php?action=vallex&amp;frame=v-w5171f1", "přikráčet (v-w5171f1)")</f>
        <v>přikráčet (v-w5171f1)</v>
      </c>
    </row>
    <row r="38193" customFormat="false" ht="12.8" hidden="false" customHeight="false" outlineLevel="0" collapsed="false">
      <c r="B38193" s="0" t="s">
        <v>7</v>
      </c>
      <c r="D38193" s="0" t="s">
        <v>284</v>
      </c>
      <c r="E38193" s="0" t="s">
        <v>284</v>
      </c>
      <c r="F38193" s="0" t="s">
        <v>284</v>
      </c>
    </row>
    <row r="38194" customFormat="false" ht="12.8" hidden="false" customHeight="false" outlineLevel="0" collapsed="false">
      <c r="B38194" s="0" t="s">
        <v>124</v>
      </c>
      <c r="D38194" s="0" t="s">
        <v>285</v>
      </c>
      <c r="E38194" s="0" t="s">
        <v>285</v>
      </c>
      <c r="F38194" s="0" t="s">
        <v>285</v>
      </c>
    </row>
    <row r="38196" customFormat="false" ht="12.8" hidden="false" customHeight="false" outlineLevel="0" collapsed="false">
      <c r="A38196" s="0" t="s">
        <v>13815</v>
      </c>
      <c r="B38196" s="0" t="str">
        <f aca="false">HYPERLINK("https://lindat.mff.cuni.cz/services/teitok/pdtc10/index.php?action=vallex&amp;frame=v-w12211_ZUf1_ZU", "přikrášlit (v-w12211_ZUf1_ZU)")</f>
        <v>přikrášlit (v-w12211_ZUf1_ZU)</v>
      </c>
    </row>
    <row r="38197" customFormat="false" ht="12.8" hidden="false" customHeight="false" outlineLevel="0" collapsed="false">
      <c r="B38197" s="0" t="s">
        <v>7</v>
      </c>
    </row>
    <row r="38198" customFormat="false" ht="12.8" hidden="false" customHeight="false" outlineLevel="0" collapsed="false">
      <c r="B38198" s="0" t="s">
        <v>14</v>
      </c>
    </row>
    <row r="38200" customFormat="false" ht="12.8" hidden="false" customHeight="false" outlineLevel="0" collapsed="false">
      <c r="A38200" s="0" t="s">
        <v>13816</v>
      </c>
      <c r="B38200" s="0" t="str">
        <f aca="false">HYPERLINK("https://lindat.mff.cuni.cz/services/teitok/pdtc10/index.php?action=vallex&amp;frame=v-whsa_831f1_ZU", "přikrýt (v-whsa_831f1_ZU)")</f>
        <v>přikrýt (v-whsa_831f1_ZU)</v>
      </c>
    </row>
    <row r="38201" customFormat="false" ht="12.8" hidden="false" customHeight="false" outlineLevel="0" collapsed="false">
      <c r="B38201" s="0" t="s">
        <v>7</v>
      </c>
    </row>
    <row r="38202" customFormat="false" ht="12.8" hidden="false" customHeight="false" outlineLevel="0" collapsed="false">
      <c r="B38202" s="0" t="s">
        <v>14</v>
      </c>
    </row>
    <row r="38204" customFormat="false" ht="12.8" hidden="false" customHeight="false" outlineLevel="0" collapsed="false">
      <c r="A38204" s="0" t="s">
        <v>13816</v>
      </c>
      <c r="B38204" s="0" t="str">
        <f aca="false">HYPERLINK("https://lindat.mff.cuni.cz/services/teitok/pdtc10/index.php?action=vallex&amp;frame=v-whsa_831hsa_833", "přikrýt (v-whsa_831hsa_833) - substituted with v-whsa_831f1_ZU")</f>
        <v>přikrýt (v-whsa_831hsa_833) - substituted with v-whsa_831f1_ZU</v>
      </c>
    </row>
    <row r="38205" customFormat="false" ht="12.8" hidden="false" customHeight="false" outlineLevel="0" collapsed="false">
      <c r="B38205" s="0" t="s">
        <v>7</v>
      </c>
    </row>
    <row r="38206" customFormat="false" ht="12.8" hidden="false" customHeight="false" outlineLevel="0" collapsed="false">
      <c r="B38206" s="0" t="s">
        <v>14</v>
      </c>
    </row>
    <row r="38208" customFormat="false" ht="12.8" hidden="false" customHeight="false" outlineLevel="0" collapsed="false">
      <c r="A38208" s="0" t="s">
        <v>13817</v>
      </c>
      <c r="B38208" s="0" t="str">
        <f aca="false">HYPERLINK("https://lindat.mff.cuni.cz/services/teitok/pdtc10/index.php?action=vallex&amp;frame=v-whsa_831hsa_832", "přikrýt (v-whsa_831hsa_832)")</f>
        <v>přikrýt (v-whsa_831hsa_832)</v>
      </c>
    </row>
    <row r="38209" customFormat="false" ht="12.8" hidden="false" customHeight="false" outlineLevel="0" collapsed="false">
      <c r="B38209" s="0" t="s">
        <v>7</v>
      </c>
    </row>
    <row r="38210" customFormat="false" ht="12.8" hidden="false" customHeight="false" outlineLevel="0" collapsed="false">
      <c r="B38210" s="0" t="s">
        <v>14</v>
      </c>
    </row>
    <row r="38212" customFormat="false" ht="12.8" hidden="false" customHeight="false" outlineLevel="0" collapsed="false">
      <c r="A38212" s="0" t="s">
        <v>13818</v>
      </c>
      <c r="B38212" s="0" t="str">
        <f aca="false">HYPERLINK("https://lindat.mff.cuni.cz/services/teitok/pdtc10/index.php?action=vallex&amp;frame=v-w11417f1", "přikrčit se (v-w11417f1)")</f>
        <v>přikrčit se (v-w11417f1)</v>
      </c>
    </row>
    <row r="38213" customFormat="false" ht="12.8" hidden="false" customHeight="false" outlineLevel="0" collapsed="false">
      <c r="B38213" s="0" t="s">
        <v>7</v>
      </c>
      <c r="D38213" s="0" t="s">
        <v>247</v>
      </c>
    </row>
    <row r="38215" customFormat="false" ht="12.8" hidden="false" customHeight="false" outlineLevel="0" collapsed="false">
      <c r="A38215" s="0" t="s">
        <v>13819</v>
      </c>
      <c r="B38215" s="0" t="str">
        <f aca="false">HYPERLINK("https://lindat.mff.cuni.cz/services/teitok/pdtc10/index.php?action=vallex&amp;frame=v-w5174f1", "přikusovat (v-w5174f1)")</f>
        <v>přikusovat (v-w5174f1)</v>
      </c>
    </row>
    <row r="38216" customFormat="false" ht="12.8" hidden="false" customHeight="false" outlineLevel="0" collapsed="false">
      <c r="B38216" s="0" t="s">
        <v>7</v>
      </c>
    </row>
    <row r="38217" customFormat="false" ht="12.8" hidden="false" customHeight="false" outlineLevel="0" collapsed="false">
      <c r="B38217" s="0" t="s">
        <v>14</v>
      </c>
    </row>
    <row r="38218" customFormat="false" ht="12.8" hidden="false" customHeight="false" outlineLevel="0" collapsed="false">
      <c r="B38218" s="0" t="s">
        <v>13820</v>
      </c>
    </row>
    <row r="38220" customFormat="false" ht="12.8" hidden="false" customHeight="false" outlineLevel="0" collapsed="false">
      <c r="A38220" s="0" t="s">
        <v>13821</v>
      </c>
      <c r="B38220" s="0" t="str">
        <f aca="false">HYPERLINK("https://lindat.mff.cuni.cz/services/teitok/pdtc10/index.php?action=vallex&amp;frame=v-w10299f2", "přikyvovat (v-w10299f2)")</f>
        <v>přikyvovat (v-w10299f2)</v>
      </c>
    </row>
    <row r="38221" customFormat="false" ht="12.8" hidden="false" customHeight="false" outlineLevel="0" collapsed="false">
      <c r="B38221" s="0" t="s">
        <v>7</v>
      </c>
      <c r="C38221" s="0" t="s">
        <v>46</v>
      </c>
      <c r="D38221" s="0" t="s">
        <v>3322</v>
      </c>
      <c r="E38221" s="0" t="s">
        <v>3322</v>
      </c>
      <c r="F38221" s="0" t="s">
        <v>3322</v>
      </c>
    </row>
    <row r="38222" customFormat="false" ht="12.8" hidden="false" customHeight="false" outlineLevel="0" collapsed="false">
      <c r="B38222" s="0" t="s">
        <v>13822</v>
      </c>
      <c r="C38222" s="0" t="s">
        <v>532</v>
      </c>
      <c r="D38222" s="0" t="s">
        <v>13823</v>
      </c>
      <c r="E38222" s="0" t="s">
        <v>13823</v>
      </c>
      <c r="F38222" s="0" t="s">
        <v>13823</v>
      </c>
    </row>
    <row r="38223" customFormat="false" ht="12.8" hidden="false" customHeight="false" outlineLevel="0" collapsed="false">
      <c r="B38223" s="0" t="s">
        <v>142</v>
      </c>
      <c r="D38223" s="0" t="s">
        <v>13824</v>
      </c>
      <c r="E38223" s="0" t="s">
        <v>13824</v>
      </c>
      <c r="F38223" s="0" t="s">
        <v>13824</v>
      </c>
    </row>
    <row r="38225" customFormat="false" ht="12.8" hidden="false" customHeight="false" outlineLevel="0" collapsed="false">
      <c r="A38225" s="0" t="s">
        <v>13825</v>
      </c>
      <c r="B38225" s="0" t="str">
        <f aca="false">HYPERLINK("https://lindat.mff.cuni.cz/services/teitok/pdtc10/index.php?action=vallex&amp;frame=v-w10299hsa_744", "přikyvovat (v-w10299hsa_744)")</f>
        <v>přikyvovat (v-w10299hsa_744)</v>
      </c>
    </row>
    <row r="38226" customFormat="false" ht="12.8" hidden="false" customHeight="false" outlineLevel="0" collapsed="false">
      <c r="B38226" s="0" t="s">
        <v>7</v>
      </c>
      <c r="C38226" s="0" t="s">
        <v>3976</v>
      </c>
    </row>
    <row r="38227" customFormat="false" ht="12.8" hidden="false" customHeight="false" outlineLevel="0" collapsed="false">
      <c r="B38227" s="0" t="s">
        <v>2193</v>
      </c>
      <c r="C38227" s="0" t="s">
        <v>1768</v>
      </c>
    </row>
    <row r="38228" customFormat="false" ht="12.8" hidden="false" customHeight="false" outlineLevel="0" collapsed="false">
      <c r="B38228" s="0" t="s">
        <v>106</v>
      </c>
      <c r="C38228" s="0" t="s">
        <v>3829</v>
      </c>
    </row>
    <row r="38230" customFormat="false" ht="12.8" hidden="false" customHeight="false" outlineLevel="0" collapsed="false">
      <c r="A38230" s="0" t="s">
        <v>13826</v>
      </c>
      <c r="B38230" s="0" t="str">
        <f aca="false">HYPERLINK("https://lindat.mff.cuni.cz/services/teitok/pdtc10/index.php?action=vallex&amp;frame=v-w5163f1", "přikázat (v-w5163f1)")</f>
        <v>přikázat (v-w5163f1)</v>
      </c>
    </row>
    <row r="38231" customFormat="false" ht="12.8" hidden="false" customHeight="false" outlineLevel="0" collapsed="false">
      <c r="B38231" s="0" t="s">
        <v>7</v>
      </c>
      <c r="C38231" s="0" t="s">
        <v>13827</v>
      </c>
      <c r="D38231" s="0" t="s">
        <v>316</v>
      </c>
      <c r="E38231" s="0" t="s">
        <v>316</v>
      </c>
      <c r="F38231" s="0" t="s">
        <v>316</v>
      </c>
    </row>
    <row r="38232" customFormat="false" ht="12.8" hidden="false" customHeight="false" outlineLevel="0" collapsed="false">
      <c r="B38232" s="0" t="s">
        <v>1599</v>
      </c>
      <c r="C38232" s="0" t="s">
        <v>13828</v>
      </c>
      <c r="D38232" s="0" t="s">
        <v>1600</v>
      </c>
      <c r="E38232" s="0" t="s">
        <v>1600</v>
      </c>
      <c r="F38232" s="0" t="s">
        <v>1600</v>
      </c>
    </row>
    <row r="38233" customFormat="false" ht="12.8" hidden="false" customHeight="false" outlineLevel="0" collapsed="false">
      <c r="B38233" s="0" t="s">
        <v>48</v>
      </c>
      <c r="C38233" s="0" t="s">
        <v>13829</v>
      </c>
      <c r="D38233" s="0" t="s">
        <v>1601</v>
      </c>
      <c r="E38233" s="0" t="s">
        <v>1601</v>
      </c>
      <c r="F38233" s="0" t="s">
        <v>1601</v>
      </c>
    </row>
    <row r="38235" customFormat="false" ht="12.8" hidden="false" customHeight="false" outlineLevel="0" collapsed="false">
      <c r="A38235" s="0" t="s">
        <v>13830</v>
      </c>
      <c r="B38235" s="0" t="str">
        <f aca="false">HYPERLINK("https://lindat.mff.cuni.cz/services/teitok/pdtc10/index.php?action=vallex&amp;frame=v-w5175f1", "přikývnout (v-w5175f1)")</f>
        <v>přikývnout (v-w5175f1)</v>
      </c>
    </row>
    <row r="38236" customFormat="false" ht="12.8" hidden="false" customHeight="false" outlineLevel="0" collapsed="false">
      <c r="B38236" s="0" t="s">
        <v>7</v>
      </c>
      <c r="E38236" s="0" t="s">
        <v>305</v>
      </c>
      <c r="F38236" s="0" t="s">
        <v>305</v>
      </c>
    </row>
    <row r="38237" customFormat="false" ht="12.8" hidden="false" customHeight="false" outlineLevel="0" collapsed="false">
      <c r="B38237" s="0" t="s">
        <v>2193</v>
      </c>
      <c r="E38237" s="0" t="s">
        <v>307</v>
      </c>
      <c r="F38237" s="0" t="s">
        <v>307</v>
      </c>
    </row>
    <row r="38238" customFormat="false" ht="12.8" hidden="false" customHeight="false" outlineLevel="0" collapsed="false">
      <c r="B38238" s="0" t="s">
        <v>106</v>
      </c>
      <c r="E38238" s="0" t="s">
        <v>709</v>
      </c>
      <c r="F38238" s="0" t="s">
        <v>709</v>
      </c>
    </row>
    <row r="38240" customFormat="false" ht="12.8" hidden="false" customHeight="false" outlineLevel="0" collapsed="false">
      <c r="A38240" s="0" t="s">
        <v>13831</v>
      </c>
      <c r="B38240" s="0" t="str">
        <f aca="false">HYPERLINK("https://lindat.mff.cuni.cz/services/teitok/pdtc10/index.php?action=vallex&amp;frame=v-w10489f3", "přilepit (v-w10489f3)")</f>
        <v>přilepit (v-w10489f3)</v>
      </c>
    </row>
    <row r="38241" customFormat="false" ht="12.8" hidden="false" customHeight="false" outlineLevel="0" collapsed="false">
      <c r="B38241" s="0" t="s">
        <v>7</v>
      </c>
      <c r="D38241" s="0" t="s">
        <v>113</v>
      </c>
      <c r="E38241" s="0" t="s">
        <v>113</v>
      </c>
      <c r="F38241" s="0" t="s">
        <v>113</v>
      </c>
    </row>
    <row r="38242" customFormat="false" ht="12.8" hidden="false" customHeight="false" outlineLevel="0" collapsed="false">
      <c r="B38242" s="0" t="s">
        <v>14</v>
      </c>
      <c r="C38242" s="0" t="s">
        <v>155</v>
      </c>
      <c r="D38242" s="0" t="s">
        <v>6903</v>
      </c>
      <c r="E38242" s="0" t="s">
        <v>6903</v>
      </c>
      <c r="F38242" s="0" t="s">
        <v>6903</v>
      </c>
    </row>
    <row r="38244" customFormat="false" ht="12.8" hidden="false" customHeight="false" outlineLevel="0" collapsed="false">
      <c r="A38244" s="0" t="s">
        <v>13832</v>
      </c>
      <c r="B38244" s="0" t="str">
        <f aca="false">HYPERLINK("https://lindat.mff.cuni.cz/services/teitok/pdtc10/index.php?action=vallex&amp;frame=v-whsa_1188hsa_1189", "přilepit se (v-whsa_1188hsa_1189)")</f>
        <v>přilepit se (v-whsa_1188hsa_1189)</v>
      </c>
    </row>
    <row r="38245" customFormat="false" ht="12.8" hidden="false" customHeight="false" outlineLevel="0" collapsed="false">
      <c r="B38245" s="0" t="s">
        <v>7</v>
      </c>
    </row>
    <row r="38246" customFormat="false" ht="12.8" hidden="false" customHeight="false" outlineLevel="0" collapsed="false">
      <c r="B38246" s="0" t="s">
        <v>124</v>
      </c>
    </row>
    <row r="38248" customFormat="false" ht="12.8" hidden="false" customHeight="false" outlineLevel="0" collapsed="false">
      <c r="A38248" s="0" t="s">
        <v>13833</v>
      </c>
      <c r="B38248" s="0" t="str">
        <f aca="false">HYPERLINK("https://lindat.mff.cuni.cz/services/teitok/pdtc10/index.php?action=vallex&amp;frame=v-w5179f1", "přilepšit (v-w5179f1)")</f>
        <v>přilepšit (v-w5179f1)</v>
      </c>
    </row>
    <row r="38249" customFormat="false" ht="12.8" hidden="false" customHeight="false" outlineLevel="0" collapsed="false">
      <c r="B38249" s="0" t="s">
        <v>7</v>
      </c>
      <c r="C38249" s="0" t="s">
        <v>3293</v>
      </c>
    </row>
    <row r="38250" customFormat="false" ht="12.8" hidden="false" customHeight="false" outlineLevel="0" collapsed="false">
      <c r="B38250" s="0" t="s">
        <v>142</v>
      </c>
      <c r="C38250" s="0" t="s">
        <v>3295</v>
      </c>
    </row>
    <row r="38252" customFormat="false" ht="12.8" hidden="false" customHeight="false" outlineLevel="0" collapsed="false">
      <c r="A38252" s="0" t="s">
        <v>13834</v>
      </c>
      <c r="B38252" s="0" t="str">
        <f aca="false">HYPERLINK("https://lindat.mff.cuni.cz/services/teitok/pdtc10/index.php?action=vallex&amp;frame=v-w5180f1", "přiletět (v-w5180f1)")</f>
        <v>přiletět (v-w5180f1)</v>
      </c>
    </row>
    <row r="38253" customFormat="false" ht="12.8" hidden="false" customHeight="false" outlineLevel="0" collapsed="false">
      <c r="B38253" s="0" t="s">
        <v>7</v>
      </c>
      <c r="C38253" s="0" t="s">
        <v>5274</v>
      </c>
      <c r="E38253" s="0" t="s">
        <v>13835</v>
      </c>
      <c r="F38253" s="0" t="s">
        <v>13835</v>
      </c>
    </row>
    <row r="38254" customFormat="false" ht="12.8" hidden="false" customHeight="false" outlineLevel="0" collapsed="false">
      <c r="B38254" s="0" t="s">
        <v>124</v>
      </c>
      <c r="E38254" s="0" t="s">
        <v>1988</v>
      </c>
      <c r="F38254" s="0" t="s">
        <v>1988</v>
      </c>
    </row>
    <row r="38256" customFormat="false" ht="12.8" hidden="false" customHeight="false" outlineLevel="0" collapsed="false">
      <c r="A38256" s="0" t="s">
        <v>13836</v>
      </c>
      <c r="B38256" s="0" t="str">
        <f aca="false">HYPERLINK("https://lindat.mff.cuni.cz/services/teitok/pdtc10/index.php?action=vallex&amp;frame=v-w5180hsa_866", "přiletět (v-w5180hsa_866)")</f>
        <v>přiletět (v-w5180hsa_866)</v>
      </c>
    </row>
    <row r="38257" customFormat="false" ht="12.8" hidden="false" customHeight="false" outlineLevel="0" collapsed="false">
      <c r="B38257" s="0" t="s">
        <v>7</v>
      </c>
    </row>
    <row r="38258" customFormat="false" ht="12.8" hidden="false" customHeight="false" outlineLevel="0" collapsed="false">
      <c r="B38258" s="0" t="s">
        <v>124</v>
      </c>
    </row>
    <row r="38260" customFormat="false" ht="12.8" hidden="false" customHeight="false" outlineLevel="0" collapsed="false">
      <c r="A38260" s="0" t="s">
        <v>13837</v>
      </c>
      <c r="B38260" s="0" t="str">
        <f aca="false">HYPERLINK("https://lindat.mff.cuni.cz/services/teitok/pdtc10/index.php?action=vallex&amp;frame=v-w11560_ZUf1_ZU", "přilnout (v-w11560_ZUf1_ZU)")</f>
        <v>přilnout (v-w11560_ZUf1_ZU)</v>
      </c>
    </row>
    <row r="38261" customFormat="false" ht="12.8" hidden="false" customHeight="false" outlineLevel="0" collapsed="false">
      <c r="B38261" s="0" t="s">
        <v>7</v>
      </c>
      <c r="C38261" s="0" t="s">
        <v>184</v>
      </c>
    </row>
    <row r="38262" customFormat="false" ht="12.8" hidden="false" customHeight="false" outlineLevel="0" collapsed="false">
      <c r="B38262" s="0" t="s">
        <v>338</v>
      </c>
    </row>
    <row r="38264" customFormat="false" ht="12.8" hidden="false" customHeight="false" outlineLevel="0" collapsed="false">
      <c r="A38264" s="0" t="s">
        <v>13838</v>
      </c>
      <c r="B38264" s="0" t="str">
        <f aca="false">HYPERLINK("https://lindat.mff.cuni.cz/services/teitok/pdtc10/index.php?action=vallex&amp;frame=v-w11560_ZUf2_ZU", "přilnout (v-w11560_ZUf2_ZU)")</f>
        <v>přilnout (v-w11560_ZUf2_ZU)</v>
      </c>
    </row>
    <row r="38265" customFormat="false" ht="12.8" hidden="false" customHeight="false" outlineLevel="0" collapsed="false">
      <c r="B38265" s="0" t="s">
        <v>7</v>
      </c>
    </row>
    <row r="38266" customFormat="false" ht="12.8" hidden="false" customHeight="false" outlineLevel="0" collapsed="false">
      <c r="B38266" s="0" t="s">
        <v>13839</v>
      </c>
    </row>
    <row r="38267" customFormat="false" ht="12.8" hidden="false" customHeight="false" outlineLevel="0" collapsed="false">
      <c r="B38267" s="0" t="s">
        <v>142</v>
      </c>
    </row>
    <row r="38269" customFormat="false" ht="12.8" hidden="false" customHeight="false" outlineLevel="0" collapsed="false">
      <c r="A38269" s="0" t="s">
        <v>13838</v>
      </c>
      <c r="B38269" s="0" t="str">
        <f aca="false">HYPERLINK("https://lindat.mff.cuni.cz/services/teitok/pdtc10/index.php?action=vallex&amp;frame=v-w11560_ZUhsa_241", "přilnout (v-w11560_ZUhsa_241) - substituted with v-w11560_ZUf2_ZU")</f>
        <v>přilnout (v-w11560_ZUhsa_241) - substituted with v-w11560_ZUf2_ZU</v>
      </c>
    </row>
    <row r="38270" customFormat="false" ht="12.8" hidden="false" customHeight="false" outlineLevel="0" collapsed="false">
      <c r="B38270" s="0" t="s">
        <v>7</v>
      </c>
    </row>
    <row r="38271" customFormat="false" ht="12.8" hidden="false" customHeight="false" outlineLevel="0" collapsed="false">
      <c r="B38271" s="0" t="s">
        <v>13839</v>
      </c>
    </row>
    <row r="38272" customFormat="false" ht="12.8" hidden="false" customHeight="false" outlineLevel="0" collapsed="false">
      <c r="B38272" s="0" t="s">
        <v>142</v>
      </c>
    </row>
    <row r="38274" customFormat="false" ht="12.8" hidden="false" customHeight="false" outlineLevel="0" collapsed="false">
      <c r="A38274" s="0" t="s">
        <v>13840</v>
      </c>
      <c r="B38274" s="0" t="str">
        <f aca="false">HYPERLINK("https://lindat.mff.cuni.cz/services/teitok/pdtc10/index.php?action=vallex&amp;frame=v-w11560_ZUf4_ZU", "přilnout (v-w11560_ZUf4_ZU)")</f>
        <v>přilnout (v-w11560_ZUf4_ZU)</v>
      </c>
    </row>
    <row r="38275" customFormat="false" ht="12.8" hidden="false" customHeight="false" outlineLevel="0" collapsed="false">
      <c r="B38275" s="0" t="s">
        <v>7</v>
      </c>
    </row>
    <row r="38276" customFormat="false" ht="12.8" hidden="false" customHeight="false" outlineLevel="0" collapsed="false">
      <c r="B38276" s="0" t="s">
        <v>237</v>
      </c>
    </row>
    <row r="38278" customFormat="false" ht="12.8" hidden="false" customHeight="false" outlineLevel="0" collapsed="false">
      <c r="A38278" s="0" t="s">
        <v>13840</v>
      </c>
      <c r="B38278" s="0" t="str">
        <f aca="false">HYPERLINK("https://lindat.mff.cuni.cz/services/teitok/pdtc10/index.php?action=vallex&amp;frame=v-w11560_ZUf3_ZU", "přilnout (v-w11560_ZUf3_ZU) - substituted with v-w11560_ZUf4_ZU")</f>
        <v>přilnout (v-w11560_ZUf3_ZU) - substituted with v-w11560_ZUf4_ZU</v>
      </c>
    </row>
    <row r="38279" customFormat="false" ht="12.8" hidden="false" customHeight="false" outlineLevel="0" collapsed="false">
      <c r="B38279" s="0" t="s">
        <v>7</v>
      </c>
    </row>
    <row r="38280" customFormat="false" ht="12.8" hidden="false" customHeight="false" outlineLevel="0" collapsed="false">
      <c r="B38280" s="0" t="s">
        <v>237</v>
      </c>
    </row>
    <row r="38282" customFormat="false" ht="12.8" hidden="false" customHeight="false" outlineLevel="0" collapsed="false">
      <c r="A38282" s="0" t="s">
        <v>13841</v>
      </c>
      <c r="B38282" s="0" t="str">
        <f aca="false">HYPERLINK("https://lindat.mff.cuni.cz/services/teitok/pdtc10/index.php?action=vallex&amp;frame=v-w5184f2", "přiložit (v-w5184f2)")</f>
        <v>přiložit (v-w5184f2)</v>
      </c>
    </row>
    <row r="38283" customFormat="false" ht="12.8" hidden="false" customHeight="false" outlineLevel="0" collapsed="false">
      <c r="B38283" s="0" t="s">
        <v>457</v>
      </c>
    </row>
    <row r="38284" customFormat="false" ht="12.8" hidden="false" customHeight="false" outlineLevel="0" collapsed="false">
      <c r="B38284" s="0" t="s">
        <v>14</v>
      </c>
    </row>
    <row r="38285" customFormat="false" ht="12.8" hidden="false" customHeight="false" outlineLevel="0" collapsed="false">
      <c r="B38285" s="0" t="s">
        <v>11</v>
      </c>
    </row>
    <row r="38287" customFormat="false" ht="12.8" hidden="false" customHeight="false" outlineLevel="0" collapsed="false">
      <c r="A38287" s="0" t="s">
        <v>13842</v>
      </c>
      <c r="B38287" s="0" t="str">
        <f aca="false">HYPERLINK("https://lindat.mff.cuni.cz/services/teitok/pdtc10/index.php?action=vallex&amp;frame=v-w5184f1", "přiložit (v-w5184f1)")</f>
        <v>přiložit (v-w5184f1)</v>
      </c>
    </row>
    <row r="38288" customFormat="false" ht="12.8" hidden="false" customHeight="false" outlineLevel="0" collapsed="false">
      <c r="B38288" s="0" t="s">
        <v>7</v>
      </c>
      <c r="C38288" s="0" t="s">
        <v>6498</v>
      </c>
      <c r="D38288" s="0" t="s">
        <v>13843</v>
      </c>
      <c r="E38288" s="0" t="s">
        <v>13843</v>
      </c>
      <c r="F38288" s="0" t="s">
        <v>13843</v>
      </c>
    </row>
    <row r="38289" customFormat="false" ht="12.8" hidden="false" customHeight="false" outlineLevel="0" collapsed="false">
      <c r="B38289" s="0" t="s">
        <v>14</v>
      </c>
      <c r="C38289" s="0" t="s">
        <v>13844</v>
      </c>
      <c r="D38289" s="0" t="s">
        <v>13845</v>
      </c>
      <c r="E38289" s="0" t="s">
        <v>13845</v>
      </c>
      <c r="F38289" s="0" t="s">
        <v>13845</v>
      </c>
    </row>
    <row r="38290" customFormat="false" ht="12.8" hidden="false" customHeight="false" outlineLevel="0" collapsed="false">
      <c r="B38290" s="0" t="s">
        <v>124</v>
      </c>
      <c r="C38290" s="0" t="s">
        <v>4440</v>
      </c>
      <c r="D38290" s="0" t="s">
        <v>13846</v>
      </c>
      <c r="E38290" s="0" t="s">
        <v>13846</v>
      </c>
      <c r="F38290" s="0" t="s">
        <v>13846</v>
      </c>
    </row>
    <row r="38292" customFormat="false" ht="12.8" hidden="false" customHeight="false" outlineLevel="0" collapsed="false">
      <c r="A38292" s="0" t="s">
        <v>13847</v>
      </c>
      <c r="B38292" s="0" t="str">
        <f aca="false">HYPERLINK("https://lindat.mff.cuni.cz/services/teitok/pdtc10/index.php?action=vallex&amp;frame=v-w5184hsa_1322", "přiložit (v-w5184hsa_1322)")</f>
        <v>přiložit (v-w5184hsa_1322)</v>
      </c>
    </row>
    <row r="38293" customFormat="false" ht="12.8" hidden="false" customHeight="false" outlineLevel="0" collapsed="false">
      <c r="B38293" s="0" t="s">
        <v>7</v>
      </c>
    </row>
    <row r="38294" customFormat="false" ht="12.8" hidden="false" customHeight="false" outlineLevel="0" collapsed="false">
      <c r="B38294" s="0" t="s">
        <v>14</v>
      </c>
    </row>
    <row r="38295" customFormat="false" ht="12.8" hidden="false" customHeight="false" outlineLevel="0" collapsed="false">
      <c r="B38295" s="0" t="s">
        <v>124</v>
      </c>
    </row>
    <row r="38297" customFormat="false" ht="12.8" hidden="false" customHeight="false" outlineLevel="0" collapsed="false">
      <c r="A38297" s="0" t="s">
        <v>13848</v>
      </c>
      <c r="B38297" s="0" t="str">
        <f aca="false">HYPERLINK("https://lindat.mff.cuni.cz/services/teitok/pdtc10/index.php?action=vallex&amp;frame=v-w5177f1", "přilákat (v-w5177f1)")</f>
        <v>přilákat (v-w5177f1)</v>
      </c>
    </row>
    <row r="38298" customFormat="false" ht="12.8" hidden="false" customHeight="false" outlineLevel="0" collapsed="false">
      <c r="B38298" s="0" t="s">
        <v>7</v>
      </c>
      <c r="C38298" s="0" t="s">
        <v>1447</v>
      </c>
      <c r="D38298" s="0" t="s">
        <v>9144</v>
      </c>
      <c r="E38298" s="0" t="s">
        <v>9144</v>
      </c>
      <c r="F38298" s="0" t="s">
        <v>9144</v>
      </c>
    </row>
    <row r="38299" customFormat="false" ht="12.8" hidden="false" customHeight="false" outlineLevel="0" collapsed="false">
      <c r="B38299" s="0" t="s">
        <v>14</v>
      </c>
      <c r="C38299" s="0" t="s">
        <v>6473</v>
      </c>
      <c r="D38299" s="0" t="s">
        <v>78</v>
      </c>
      <c r="E38299" s="0" t="s">
        <v>78</v>
      </c>
      <c r="F38299" s="0" t="s">
        <v>78</v>
      </c>
    </row>
    <row r="38300" customFormat="false" ht="12.8" hidden="false" customHeight="false" outlineLevel="0" collapsed="false">
      <c r="B38300" s="0" t="s">
        <v>124</v>
      </c>
    </row>
    <row r="38302" customFormat="false" ht="12.8" hidden="false" customHeight="false" outlineLevel="0" collapsed="false">
      <c r="A38302" s="0" t="s">
        <v>13849</v>
      </c>
      <c r="B38302" s="0" t="str">
        <f aca="false">HYPERLINK("https://lindat.mff.cuni.cz/services/teitok/pdtc10/index.php?action=vallex&amp;frame=v-w5177f2", "přilákat (v-w5177f2)")</f>
        <v>přilákat (v-w5177f2)</v>
      </c>
    </row>
    <row r="38303" customFormat="false" ht="12.8" hidden="false" customHeight="false" outlineLevel="0" collapsed="false">
      <c r="B38303" s="0" t="s">
        <v>7</v>
      </c>
      <c r="C38303" s="0" t="s">
        <v>13850</v>
      </c>
      <c r="D38303" s="0" t="s">
        <v>5251</v>
      </c>
      <c r="E38303" s="0" t="s">
        <v>5251</v>
      </c>
      <c r="F38303" s="0" t="s">
        <v>5251</v>
      </c>
    </row>
    <row r="38304" customFormat="false" ht="12.8" hidden="false" customHeight="false" outlineLevel="0" collapsed="false">
      <c r="B38304" s="0" t="s">
        <v>81</v>
      </c>
      <c r="C38304" s="0" t="s">
        <v>13851</v>
      </c>
      <c r="D38304" s="0" t="s">
        <v>5253</v>
      </c>
      <c r="E38304" s="0" t="s">
        <v>5253</v>
      </c>
      <c r="F38304" s="0" t="s">
        <v>5253</v>
      </c>
    </row>
    <row r="38305" customFormat="false" ht="12.8" hidden="false" customHeight="false" outlineLevel="0" collapsed="false">
      <c r="B38305" s="0" t="s">
        <v>6336</v>
      </c>
      <c r="C38305" s="0" t="s">
        <v>13852</v>
      </c>
      <c r="D38305" s="0" t="s">
        <v>5254</v>
      </c>
      <c r="E38305" s="0" t="s">
        <v>5254</v>
      </c>
      <c r="F38305" s="0" t="s">
        <v>5254</v>
      </c>
    </row>
    <row r="38307" customFormat="false" ht="12.8" hidden="false" customHeight="false" outlineLevel="0" collapsed="false">
      <c r="A38307" s="0" t="s">
        <v>13853</v>
      </c>
      <c r="B38307" s="0" t="str">
        <f aca="false">HYPERLINK("https://lindat.mff.cuni.cz/services/teitok/pdtc10/index.php?action=vallex&amp;frame=v-w5178f1", "přiléhat (v-w5178f1)")</f>
        <v>přiléhat (v-w5178f1)</v>
      </c>
    </row>
    <row r="38308" customFormat="false" ht="12.8" hidden="false" customHeight="false" outlineLevel="0" collapsed="false">
      <c r="B38308" s="0" t="s">
        <v>7</v>
      </c>
    </row>
    <row r="38309" customFormat="false" ht="12.8" hidden="false" customHeight="false" outlineLevel="0" collapsed="false">
      <c r="B38309" s="0" t="s">
        <v>124</v>
      </c>
    </row>
    <row r="38311" customFormat="false" ht="12.8" hidden="false" customHeight="false" outlineLevel="0" collapsed="false">
      <c r="A38311" s="0" t="s">
        <v>13854</v>
      </c>
      <c r="B38311" s="0" t="str">
        <f aca="false">HYPERLINK("https://lindat.mff.cuni.cz/services/teitok/pdtc10/index.php?action=vallex&amp;frame=v-w5178f3_ZU", "přiléhat (v-w5178f3_ZU)")</f>
        <v>přiléhat (v-w5178f3_ZU)</v>
      </c>
    </row>
    <row r="38312" customFormat="false" ht="12.8" hidden="false" customHeight="false" outlineLevel="0" collapsed="false">
      <c r="B38312" s="0" t="s">
        <v>7</v>
      </c>
    </row>
    <row r="38313" customFormat="false" ht="12.8" hidden="false" customHeight="false" outlineLevel="0" collapsed="false">
      <c r="B38313" s="0" t="s">
        <v>338</v>
      </c>
    </row>
    <row r="38315" customFormat="false" ht="12.8" hidden="false" customHeight="false" outlineLevel="0" collapsed="false">
      <c r="A38315" s="0" t="s">
        <v>13854</v>
      </c>
      <c r="B38315" s="0" t="str">
        <f aca="false">HYPERLINK("https://lindat.mff.cuni.cz/services/teitok/pdtc10/index.php?action=vallex&amp;frame=v-w5178f2_ZU", "přiléhat (v-w5178f2_ZU) - substituted with v-w5178f3_ZU")</f>
        <v>přiléhat (v-w5178f2_ZU) - substituted with v-w5178f3_ZU</v>
      </c>
    </row>
    <row r="38316" customFormat="false" ht="12.8" hidden="false" customHeight="false" outlineLevel="0" collapsed="false">
      <c r="B38316" s="0" t="s">
        <v>7</v>
      </c>
    </row>
    <row r="38317" customFormat="false" ht="12.8" hidden="false" customHeight="false" outlineLevel="0" collapsed="false">
      <c r="B38317" s="0" t="s">
        <v>338</v>
      </c>
    </row>
    <row r="38319" customFormat="false" ht="12.8" hidden="false" customHeight="false" outlineLevel="0" collapsed="false">
      <c r="A38319" s="0" t="s">
        <v>13855</v>
      </c>
      <c r="B38319" s="0" t="str">
        <f aca="false">HYPERLINK("https://lindat.mff.cuni.cz/services/teitok/pdtc10/index.php?action=vallex&amp;frame=v-whsa_1489hsa_1490", "přilétnout (v-whsa_1489hsa_1490)")</f>
        <v>přilétnout (v-whsa_1489hsa_1490)</v>
      </c>
    </row>
    <row r="38320" customFormat="false" ht="12.8" hidden="false" customHeight="false" outlineLevel="0" collapsed="false">
      <c r="B38320" s="0" t="s">
        <v>7</v>
      </c>
    </row>
    <row r="38321" customFormat="false" ht="12.8" hidden="false" customHeight="false" outlineLevel="0" collapsed="false">
      <c r="B38321" s="0" t="s">
        <v>124</v>
      </c>
    </row>
    <row r="38323" customFormat="false" ht="12.8" hidden="false" customHeight="false" outlineLevel="0" collapsed="false">
      <c r="A38323" s="0" t="s">
        <v>13856</v>
      </c>
      <c r="B38323" s="0" t="str">
        <f aca="false">HYPERLINK("https://lindat.mff.cuni.cz/services/teitok/pdtc10/index.php?action=vallex&amp;frame=v-w5181f1", "přilévat (v-w5181f1)")</f>
        <v>přilévat (v-w5181f1)</v>
      </c>
    </row>
    <row r="38324" customFormat="false" ht="12.8" hidden="false" customHeight="false" outlineLevel="0" collapsed="false">
      <c r="B38324" s="0" t="s">
        <v>7</v>
      </c>
    </row>
    <row r="38325" customFormat="false" ht="12.8" hidden="false" customHeight="false" outlineLevel="0" collapsed="false">
      <c r="B38325" s="0" t="s">
        <v>14</v>
      </c>
    </row>
    <row r="38326" customFormat="false" ht="12.8" hidden="false" customHeight="false" outlineLevel="0" collapsed="false">
      <c r="B38326" s="0" t="s">
        <v>124</v>
      </c>
    </row>
    <row r="38328" customFormat="false" ht="12.8" hidden="false" customHeight="false" outlineLevel="0" collapsed="false">
      <c r="A38328" s="0" t="s">
        <v>13857</v>
      </c>
      <c r="B38328" s="0" t="str">
        <f aca="false">HYPERLINK("https://lindat.mff.cuni.cz/services/teitok/pdtc10/index.php?action=vallex&amp;frame=v-w5181f2_ZU", "přilévat (v-w5181f2_ZU)")</f>
        <v>přilévat (v-w5181f2_ZU)</v>
      </c>
    </row>
    <row r="38329" customFormat="false" ht="12.8" hidden="false" customHeight="false" outlineLevel="0" collapsed="false">
      <c r="B38329" s="0" t="s">
        <v>7</v>
      </c>
    </row>
    <row r="38330" customFormat="false" ht="12.8" hidden="false" customHeight="false" outlineLevel="0" collapsed="false">
      <c r="B38330" s="0" t="s">
        <v>13858</v>
      </c>
    </row>
    <row r="38332" customFormat="false" ht="12.8" hidden="false" customHeight="false" outlineLevel="0" collapsed="false">
      <c r="A38332" s="0" t="s">
        <v>13857</v>
      </c>
      <c r="B38332" s="0" t="str">
        <f aca="false">HYPERLINK("https://lindat.mff.cuni.cz/services/teitok/pdtc10/index.php?action=vallex&amp;frame=v-w5181hsa_1064", "přilévat (v-w5181hsa_1064) - substituted with v-w5181f2_ZU")</f>
        <v>přilévat (v-w5181hsa_1064) - substituted with v-w5181f2_ZU</v>
      </c>
    </row>
    <row r="38333" customFormat="false" ht="12.8" hidden="false" customHeight="false" outlineLevel="0" collapsed="false">
      <c r="B38333" s="0" t="s">
        <v>7</v>
      </c>
    </row>
    <row r="38334" customFormat="false" ht="12.8" hidden="false" customHeight="false" outlineLevel="0" collapsed="false">
      <c r="B38334" s="0" t="s">
        <v>13858</v>
      </c>
    </row>
    <row r="38336" customFormat="false" ht="12.8" hidden="false" customHeight="false" outlineLevel="0" collapsed="false">
      <c r="A38336" s="0" t="s">
        <v>13859</v>
      </c>
      <c r="B38336" s="0" t="str">
        <f aca="false">HYPERLINK("https://lindat.mff.cuni.cz/services/teitok/pdtc10/index.php?action=vallex&amp;frame=v-w10243f2", "přilít (v-w10243f2)")</f>
        <v>přilít (v-w10243f2)</v>
      </c>
    </row>
    <row r="38337" customFormat="false" ht="12.8" hidden="false" customHeight="false" outlineLevel="0" collapsed="false">
      <c r="B38337" s="0" t="s">
        <v>7</v>
      </c>
    </row>
    <row r="38338" customFormat="false" ht="12.8" hidden="false" customHeight="false" outlineLevel="0" collapsed="false">
      <c r="B38338" s="0" t="s">
        <v>14</v>
      </c>
    </row>
    <row r="38339" customFormat="false" ht="12.8" hidden="false" customHeight="false" outlineLevel="0" collapsed="false">
      <c r="B38339" s="0" t="s">
        <v>124</v>
      </c>
    </row>
    <row r="38341" customFormat="false" ht="12.8" hidden="false" customHeight="false" outlineLevel="0" collapsed="false">
      <c r="A38341" s="0" t="s">
        <v>13860</v>
      </c>
      <c r="B38341" s="0" t="str">
        <f aca="false">HYPERLINK("https://lindat.mff.cuni.cz/services/teitok/pdtc10/index.php?action=vallex&amp;frame=v-w10243f4_ZU", "přilít (v-w10243f4_ZU)")</f>
        <v>přilít (v-w10243f4_ZU)</v>
      </c>
    </row>
    <row r="38342" customFormat="false" ht="12.8" hidden="false" customHeight="false" outlineLevel="0" collapsed="false">
      <c r="B38342" s="0" t="s">
        <v>7</v>
      </c>
      <c r="C38342" s="0" t="s">
        <v>13861</v>
      </c>
    </row>
    <row r="38343" customFormat="false" ht="12.8" hidden="false" customHeight="false" outlineLevel="0" collapsed="false">
      <c r="B38343" s="0" t="s">
        <v>13862</v>
      </c>
      <c r="C38343" s="0" t="s">
        <v>13863</v>
      </c>
    </row>
    <row r="38345" customFormat="false" ht="12.8" hidden="false" customHeight="false" outlineLevel="0" collapsed="false">
      <c r="A38345" s="0" t="s">
        <v>13860</v>
      </c>
      <c r="B38345" s="0" t="str">
        <f aca="false">HYPERLINK("https://lindat.mff.cuni.cz/services/teitok/pdtc10/index.php?action=vallex&amp;frame=v-w10243f3_ZU", "přilít (v-w10243f3_ZU) - substituted with v-w10243f4_ZU")</f>
        <v>přilít (v-w10243f3_ZU) - substituted with v-w10243f4_ZU</v>
      </c>
    </row>
    <row r="38346" customFormat="false" ht="12.8" hidden="false" customHeight="false" outlineLevel="0" collapsed="false">
      <c r="B38346" s="0" t="s">
        <v>7</v>
      </c>
    </row>
    <row r="38347" customFormat="false" ht="12.8" hidden="false" customHeight="false" outlineLevel="0" collapsed="false">
      <c r="B38347" s="0" t="s">
        <v>13862</v>
      </c>
      <c r="C38347" s="0" t="s">
        <v>378</v>
      </c>
    </row>
    <row r="38349" customFormat="false" ht="12.8" hidden="false" customHeight="false" outlineLevel="0" collapsed="false">
      <c r="A38349" s="0" t="s">
        <v>13864</v>
      </c>
      <c r="B38349" s="0" t="str">
        <f aca="false">HYPERLINK("https://lindat.mff.cuni.cz/services/teitok/pdtc10/index.php?action=vallex&amp;frame=v-whsb_506hsa_507", "přilítnout (v-whsb_506hsa_507)")</f>
        <v>přilítnout (v-whsb_506hsa_507)</v>
      </c>
    </row>
    <row r="38350" customFormat="false" ht="12.8" hidden="false" customHeight="false" outlineLevel="0" collapsed="false">
      <c r="B38350" s="0" t="s">
        <v>7</v>
      </c>
    </row>
    <row r="38351" customFormat="false" ht="12.8" hidden="false" customHeight="false" outlineLevel="0" collapsed="false">
      <c r="B38351" s="0" t="s">
        <v>124</v>
      </c>
    </row>
    <row r="38353" customFormat="false" ht="12.8" hidden="false" customHeight="false" outlineLevel="0" collapsed="false">
      <c r="A38353" s="0" t="s">
        <v>13865</v>
      </c>
      <c r="B38353" s="0" t="str">
        <f aca="false">HYPERLINK("https://lindat.mff.cuni.cz/services/teitok/pdtc10/index.php?action=vallex&amp;frame=v-whsa_506hsa_508", "přilítnout (v-whsa_506hsa_508)")</f>
        <v>přilítnout (v-whsa_506hsa_508)</v>
      </c>
    </row>
    <row r="38354" customFormat="false" ht="12.8" hidden="false" customHeight="false" outlineLevel="0" collapsed="false">
      <c r="B38354" s="0" t="s">
        <v>7</v>
      </c>
    </row>
    <row r="38355" customFormat="false" ht="12.8" hidden="false" customHeight="false" outlineLevel="0" collapsed="false">
      <c r="B38355" s="0" t="s">
        <v>41</v>
      </c>
    </row>
    <row r="38357" customFormat="false" ht="12.8" hidden="false" customHeight="false" outlineLevel="0" collapsed="false">
      <c r="A38357" s="0" t="s">
        <v>13866</v>
      </c>
      <c r="B38357" s="0" t="str">
        <f aca="false">HYPERLINK("https://lindat.mff.cuni.cz/services/teitok/pdtc10/index.php?action=vallex&amp;frame=v-w10488f2", "přilívat (v-w10488f2)")</f>
        <v>přilívat (v-w10488f2)</v>
      </c>
    </row>
    <row r="38358" customFormat="false" ht="12.8" hidden="false" customHeight="false" outlineLevel="0" collapsed="false">
      <c r="B38358" s="0" t="s">
        <v>7</v>
      </c>
    </row>
    <row r="38359" customFormat="false" ht="12.8" hidden="false" customHeight="false" outlineLevel="0" collapsed="false">
      <c r="B38359" s="0" t="s">
        <v>13858</v>
      </c>
    </row>
    <row r="38361" customFormat="false" ht="12.8" hidden="false" customHeight="false" outlineLevel="0" collapsed="false">
      <c r="A38361" s="0" t="s">
        <v>13867</v>
      </c>
      <c r="B38361" s="0" t="str">
        <f aca="false">HYPERLINK("https://lindat.mff.cuni.cz/services/teitok/pdtc10/index.php?action=vallex&amp;frame=v-whsa_769f3_ZU", "přimhouřit (v-whsa_769f3_ZU)")</f>
        <v>přimhouřit (v-whsa_769f3_ZU)</v>
      </c>
    </row>
    <row r="38362" customFormat="false" ht="12.8" hidden="false" customHeight="false" outlineLevel="0" collapsed="false">
      <c r="B38362" s="0" t="s">
        <v>7</v>
      </c>
      <c r="C38362" s="0" t="s">
        <v>46</v>
      </c>
      <c r="E38362" s="0" t="s">
        <v>108</v>
      </c>
      <c r="F38362" s="0" t="s">
        <v>108</v>
      </c>
    </row>
    <row r="38363" customFormat="false" ht="12.8" hidden="false" customHeight="false" outlineLevel="0" collapsed="false">
      <c r="B38363" s="0" t="s">
        <v>13868</v>
      </c>
    </row>
    <row r="38364" customFormat="false" ht="12.8" hidden="false" customHeight="false" outlineLevel="0" collapsed="false">
      <c r="B38364" s="0" t="s">
        <v>3620</v>
      </c>
      <c r="E38364" s="0" t="s">
        <v>1264</v>
      </c>
      <c r="F38364" s="0" t="s">
        <v>1264</v>
      </c>
    </row>
    <row r="38366" customFormat="false" ht="12.8" hidden="false" customHeight="false" outlineLevel="0" collapsed="false">
      <c r="A38366" s="0" t="s">
        <v>13867</v>
      </c>
      <c r="B38366" s="0" t="str">
        <f aca="false">HYPERLINK("https://lindat.mff.cuni.cz/services/teitok/pdtc10/index.php?action=vallex&amp;frame=v-whsa_769f1_ZU", "přimhouřit (v-whsa_769f1_ZU) - substituted with v-whsa_769f3_ZU")</f>
        <v>přimhouřit (v-whsa_769f1_ZU) - substituted with v-whsa_769f3_ZU</v>
      </c>
    </row>
    <row r="38367" customFormat="false" ht="12.8" hidden="false" customHeight="false" outlineLevel="0" collapsed="false">
      <c r="B38367" s="0" t="s">
        <v>7</v>
      </c>
    </row>
    <row r="38368" customFormat="false" ht="12.8" hidden="false" customHeight="false" outlineLevel="0" collapsed="false">
      <c r="B38368" s="0" t="s">
        <v>13868</v>
      </c>
    </row>
    <row r="38369" customFormat="false" ht="12.8" hidden="false" customHeight="false" outlineLevel="0" collapsed="false">
      <c r="B38369" s="0" t="s">
        <v>3620</v>
      </c>
    </row>
    <row r="38371" customFormat="false" ht="12.8" hidden="false" customHeight="false" outlineLevel="0" collapsed="false">
      <c r="A38371" s="0" t="s">
        <v>13867</v>
      </c>
      <c r="B38371" s="0" t="str">
        <f aca="false">HYPERLINK("https://lindat.mff.cuni.cz/services/teitok/pdtc10/index.php?action=vallex&amp;frame=v-whsa_769f2_ZU", "přimhouřit (v-whsa_769f2_ZU) - substituted with v-whsa_769f3_ZU")</f>
        <v>přimhouřit (v-whsa_769f2_ZU) - substituted with v-whsa_769f3_ZU</v>
      </c>
    </row>
    <row r="38372" customFormat="false" ht="12.8" hidden="false" customHeight="false" outlineLevel="0" collapsed="false">
      <c r="B38372" s="0" t="s">
        <v>7</v>
      </c>
    </row>
    <row r="38373" customFormat="false" ht="12.8" hidden="false" customHeight="false" outlineLevel="0" collapsed="false">
      <c r="B38373" s="0" t="s">
        <v>13868</v>
      </c>
    </row>
    <row r="38374" customFormat="false" ht="12.8" hidden="false" customHeight="false" outlineLevel="0" collapsed="false">
      <c r="B38374" s="0" t="s">
        <v>3620</v>
      </c>
    </row>
    <row r="38376" customFormat="false" ht="12.8" hidden="false" customHeight="false" outlineLevel="0" collapsed="false">
      <c r="A38376" s="0" t="s">
        <v>13867</v>
      </c>
      <c r="B38376" s="0" t="str">
        <f aca="false">HYPERLINK("https://lindat.mff.cuni.cz/services/teitok/pdtc10/index.php?action=vallex&amp;frame=v-whsa_769hsa_770", "přimhouřit (v-whsa_769hsa_770) - substituted with v-whsa_769f3_ZU")</f>
        <v>přimhouřit (v-whsa_769hsa_770) - substituted with v-whsa_769f3_ZU</v>
      </c>
    </row>
    <row r="38377" customFormat="false" ht="12.8" hidden="false" customHeight="false" outlineLevel="0" collapsed="false">
      <c r="B38377" s="0" t="s">
        <v>7</v>
      </c>
    </row>
    <row r="38378" customFormat="false" ht="12.8" hidden="false" customHeight="false" outlineLevel="0" collapsed="false">
      <c r="B38378" s="0" t="s">
        <v>13868</v>
      </c>
    </row>
    <row r="38379" customFormat="false" ht="12.8" hidden="false" customHeight="false" outlineLevel="0" collapsed="false">
      <c r="B38379" s="0" t="s">
        <v>3620</v>
      </c>
    </row>
    <row r="38381" customFormat="false" ht="12.8" hidden="false" customHeight="false" outlineLevel="0" collapsed="false">
      <c r="A38381" s="0" t="s">
        <v>13869</v>
      </c>
      <c r="B38381" s="0" t="str">
        <f aca="false">HYPERLINK("https://lindat.mff.cuni.cz/services/teitok/pdtc10/index.php?action=vallex&amp;frame=v-whsa_767hsa_768", "přimhouřit (v-whsa_767hsa_768)")</f>
        <v>přimhouřit (v-whsa_767hsa_768)</v>
      </c>
    </row>
    <row r="38382" customFormat="false" ht="12.8" hidden="false" customHeight="false" outlineLevel="0" collapsed="false">
      <c r="B38382" s="0" t="s">
        <v>7</v>
      </c>
    </row>
    <row r="38383" customFormat="false" ht="12.8" hidden="false" customHeight="false" outlineLevel="0" collapsed="false">
      <c r="B38383" s="0" t="s">
        <v>14</v>
      </c>
    </row>
    <row r="38385" customFormat="false" ht="12.8" hidden="false" customHeight="false" outlineLevel="0" collapsed="false">
      <c r="A38385" s="0" t="s">
        <v>13870</v>
      </c>
      <c r="B38385" s="0" t="str">
        <f aca="false">HYPERLINK("https://lindat.mff.cuni.cz/services/teitok/pdtc10/index.php?action=vallex&amp;frame=v-w5191f1", "přimknout se (v-w5191f1)")</f>
        <v>přimknout se (v-w5191f1)</v>
      </c>
    </row>
    <row r="38386" customFormat="false" ht="12.8" hidden="false" customHeight="false" outlineLevel="0" collapsed="false">
      <c r="B38386" s="0" t="s">
        <v>7</v>
      </c>
    </row>
    <row r="38387" customFormat="false" ht="12.8" hidden="false" customHeight="false" outlineLevel="0" collapsed="false">
      <c r="B38387" s="0" t="s">
        <v>237</v>
      </c>
    </row>
    <row r="38389" customFormat="false" ht="12.8" hidden="false" customHeight="false" outlineLevel="0" collapsed="false">
      <c r="A38389" s="0" t="s">
        <v>13871</v>
      </c>
      <c r="B38389" s="0" t="str">
        <f aca="false">HYPERLINK("https://lindat.mff.cuni.cz/services/teitok/pdtc10/index.php?action=vallex&amp;frame=v-w5191f2", "přimknout se (v-w5191f2)")</f>
        <v>přimknout se (v-w5191f2)</v>
      </c>
    </row>
    <row r="38390" customFormat="false" ht="12.8" hidden="false" customHeight="false" outlineLevel="0" collapsed="false">
      <c r="B38390" s="0" t="s">
        <v>7</v>
      </c>
    </row>
    <row r="38391" customFormat="false" ht="12.8" hidden="false" customHeight="false" outlineLevel="0" collapsed="false">
      <c r="B38391" s="0" t="s">
        <v>124</v>
      </c>
    </row>
    <row r="38393" customFormat="false" ht="12.8" hidden="false" customHeight="false" outlineLevel="0" collapsed="false">
      <c r="A38393" s="0" t="s">
        <v>13872</v>
      </c>
      <c r="B38393" s="0" t="str">
        <f aca="false">HYPERLINK("https://lindat.mff.cuni.cz/services/teitok/pdtc10/index.php?action=vallex&amp;frame=v-w11472f1", "přimlouvat se (v-w11472f1)")</f>
        <v>přimlouvat se (v-w11472f1)</v>
      </c>
    </row>
    <row r="38394" customFormat="false" ht="12.8" hidden="false" customHeight="false" outlineLevel="0" collapsed="false">
      <c r="B38394" s="0" t="s">
        <v>7</v>
      </c>
      <c r="C38394" s="0" t="s">
        <v>88</v>
      </c>
      <c r="D38394" s="0" t="s">
        <v>6781</v>
      </c>
      <c r="E38394" s="0" t="s">
        <v>6781</v>
      </c>
      <c r="F38394" s="0" t="s">
        <v>10032</v>
      </c>
    </row>
    <row r="38395" customFormat="false" ht="12.8" hidden="false" customHeight="false" outlineLevel="0" collapsed="false">
      <c r="B38395" s="0" t="s">
        <v>1654</v>
      </c>
      <c r="C38395" s="0" t="s">
        <v>487</v>
      </c>
      <c r="D38395" s="0" t="s">
        <v>6783</v>
      </c>
      <c r="E38395" s="0" t="s">
        <v>6783</v>
      </c>
      <c r="F38395" s="0" t="s">
        <v>10034</v>
      </c>
    </row>
    <row r="38397" customFormat="false" ht="12.8" hidden="false" customHeight="false" outlineLevel="0" collapsed="false">
      <c r="A38397" s="0" t="s">
        <v>13873</v>
      </c>
      <c r="B38397" s="0" t="str">
        <f aca="false">HYPERLINK("https://lindat.mff.cuni.cz/services/teitok/pdtc10/index.php?action=vallex&amp;frame=v-w11482f1", "přimluvit se (v-w11482f1)")</f>
        <v>přimluvit se (v-w11482f1)</v>
      </c>
    </row>
    <row r="38398" customFormat="false" ht="12.8" hidden="false" customHeight="false" outlineLevel="0" collapsed="false">
      <c r="B38398" s="0" t="s">
        <v>7</v>
      </c>
      <c r="D38398" s="0" t="s">
        <v>6781</v>
      </c>
      <c r="E38398" s="0" t="s">
        <v>6781</v>
      </c>
      <c r="F38398" s="0" t="s">
        <v>6781</v>
      </c>
    </row>
    <row r="38399" customFormat="false" ht="12.8" hidden="false" customHeight="false" outlineLevel="0" collapsed="false">
      <c r="B38399" s="0" t="s">
        <v>1654</v>
      </c>
      <c r="C38399" s="0" t="s">
        <v>1544</v>
      </c>
      <c r="D38399" s="0" t="s">
        <v>6783</v>
      </c>
      <c r="E38399" s="0" t="s">
        <v>6783</v>
      </c>
      <c r="F38399" s="0" t="s">
        <v>6783</v>
      </c>
    </row>
    <row r="38401" customFormat="false" ht="12.8" hidden="false" customHeight="false" outlineLevel="0" collapsed="false">
      <c r="A38401" s="0" t="s">
        <v>13874</v>
      </c>
      <c r="B38401" s="0" t="str">
        <f aca="false">HYPERLINK("https://lindat.mff.cuni.cz/services/teitok/pdtc10/index.php?action=vallex&amp;frame=v-w10132f2", "přimontovat (v-w10132f2)")</f>
        <v>přimontovat (v-w10132f2)</v>
      </c>
    </row>
    <row r="38402" customFormat="false" ht="12.8" hidden="false" customHeight="false" outlineLevel="0" collapsed="false">
      <c r="B38402" s="0" t="s">
        <v>7</v>
      </c>
    </row>
    <row r="38403" customFormat="false" ht="12.8" hidden="false" customHeight="false" outlineLevel="0" collapsed="false">
      <c r="B38403" s="0" t="s">
        <v>14</v>
      </c>
    </row>
    <row r="38404" customFormat="false" ht="12.8" hidden="false" customHeight="false" outlineLevel="0" collapsed="false">
      <c r="B38404" s="0" t="s">
        <v>124</v>
      </c>
    </row>
    <row r="38406" customFormat="false" ht="12.8" hidden="false" customHeight="false" outlineLevel="0" collapsed="false">
      <c r="A38406" s="0" t="s">
        <v>13875</v>
      </c>
      <c r="B38406" s="0" t="str">
        <f aca="false">HYPERLINK("https://lindat.mff.cuni.cz/services/teitok/pdtc10/index.php?action=vallex&amp;frame=v-w5185f1", "přimáčknout (v-w5185f1)")</f>
        <v>přimáčknout (v-w5185f1)</v>
      </c>
    </row>
    <row r="38407" customFormat="false" ht="12.8" hidden="false" customHeight="false" outlineLevel="0" collapsed="false">
      <c r="B38407" s="0" t="s">
        <v>7</v>
      </c>
    </row>
    <row r="38408" customFormat="false" ht="12.8" hidden="false" customHeight="false" outlineLevel="0" collapsed="false">
      <c r="B38408" s="0" t="s">
        <v>14</v>
      </c>
    </row>
    <row r="38409" customFormat="false" ht="12.8" hidden="false" customHeight="false" outlineLevel="0" collapsed="false">
      <c r="B38409" s="0" t="s">
        <v>124</v>
      </c>
    </row>
    <row r="38411" customFormat="false" ht="12.8" hidden="false" customHeight="false" outlineLevel="0" collapsed="false">
      <c r="A38411" s="0" t="s">
        <v>13876</v>
      </c>
      <c r="B38411" s="0" t="str">
        <f aca="false">HYPERLINK("https://lindat.mff.cuni.cz/services/teitok/pdtc10/index.php?action=vallex&amp;frame=v-w5190f1", "přimíchat se (v-w5190f1)")</f>
        <v>přimíchat se (v-w5190f1)</v>
      </c>
    </row>
    <row r="38412" customFormat="false" ht="12.8" hidden="false" customHeight="false" outlineLevel="0" collapsed="false">
      <c r="B38412" s="0" t="s">
        <v>7</v>
      </c>
    </row>
    <row r="38413" customFormat="false" ht="12.8" hidden="false" customHeight="false" outlineLevel="0" collapsed="false">
      <c r="B38413" s="0" t="s">
        <v>124</v>
      </c>
    </row>
    <row r="38415" customFormat="false" ht="12.8" hidden="false" customHeight="false" outlineLevel="0" collapsed="false">
      <c r="A38415" s="0" t="s">
        <v>13877</v>
      </c>
      <c r="B38415" s="0" t="str">
        <f aca="false">HYPERLINK("https://lindat.mff.cuni.cz/services/teitok/pdtc10/index.php?action=vallex&amp;frame=v-w5189f2_ZU", "přimět (v-w5189f2_ZU)")</f>
        <v>přimět (v-w5189f2_ZU)</v>
      </c>
    </row>
    <row r="38416" customFormat="false" ht="12.8" hidden="false" customHeight="false" outlineLevel="0" collapsed="false">
      <c r="B38416" s="0" t="s">
        <v>7</v>
      </c>
      <c r="C38416" s="0" t="s">
        <v>13878</v>
      </c>
      <c r="D38416" s="0" t="s">
        <v>2041</v>
      </c>
      <c r="E38416" s="0" t="s">
        <v>2041</v>
      </c>
      <c r="F38416" s="0" t="s">
        <v>2041</v>
      </c>
    </row>
    <row r="38417" customFormat="false" ht="12.8" hidden="false" customHeight="false" outlineLevel="0" collapsed="false">
      <c r="B38417" s="0" t="s">
        <v>9005</v>
      </c>
      <c r="C38417" s="0" t="s">
        <v>13879</v>
      </c>
      <c r="D38417" s="0" t="s">
        <v>2043</v>
      </c>
      <c r="E38417" s="0" t="s">
        <v>2043</v>
      </c>
      <c r="F38417" s="0" t="s">
        <v>2043</v>
      </c>
    </row>
    <row r="38418" customFormat="false" ht="12.8" hidden="false" customHeight="false" outlineLevel="0" collapsed="false">
      <c r="B38418" s="0" t="s">
        <v>81</v>
      </c>
      <c r="C38418" s="0" t="s">
        <v>13880</v>
      </c>
      <c r="D38418" s="0" t="s">
        <v>2045</v>
      </c>
      <c r="E38418" s="0" t="s">
        <v>2045</v>
      </c>
      <c r="F38418" s="0" t="s">
        <v>2045</v>
      </c>
    </row>
    <row r="38420" customFormat="false" ht="12.8" hidden="false" customHeight="false" outlineLevel="0" collapsed="false">
      <c r="A38420" s="0" t="s">
        <v>13877</v>
      </c>
      <c r="B38420" s="0" t="str">
        <f aca="false">HYPERLINK("https://lindat.mff.cuni.cz/services/teitok/pdtc10/index.php?action=vallex&amp;frame=v-w5189f1", "přimět (v-w5189f1) - substituted with v-w5189f2_ZU")</f>
        <v>přimět (v-w5189f1) - substituted with v-w5189f2_ZU</v>
      </c>
    </row>
    <row r="38421" customFormat="false" ht="12.8" hidden="false" customHeight="false" outlineLevel="0" collapsed="false">
      <c r="B38421" s="0" t="s">
        <v>7</v>
      </c>
      <c r="C38421" s="0" t="s">
        <v>13881</v>
      </c>
    </row>
    <row r="38422" customFormat="false" ht="12.8" hidden="false" customHeight="false" outlineLevel="0" collapsed="false">
      <c r="B38422" s="0" t="s">
        <v>9005</v>
      </c>
      <c r="C38422" s="0" t="s">
        <v>13882</v>
      </c>
    </row>
    <row r="38423" customFormat="false" ht="12.8" hidden="false" customHeight="false" outlineLevel="0" collapsed="false">
      <c r="B38423" s="0" t="s">
        <v>81</v>
      </c>
      <c r="C38423" s="0" t="s">
        <v>13883</v>
      </c>
    </row>
    <row r="38425" customFormat="false" ht="12.8" hidden="false" customHeight="false" outlineLevel="0" collapsed="false">
      <c r="A38425" s="0" t="s">
        <v>13884</v>
      </c>
      <c r="B38425" s="0" t="str">
        <f aca="false">HYPERLINK("https://lindat.mff.cuni.cz/services/teitok/pdtc10/index.php?action=vallex&amp;frame=v-w5200f2_ZU", "přinutit (v-w5200f2_ZU)")</f>
        <v>přinutit (v-w5200f2_ZU)</v>
      </c>
    </row>
    <row r="38426" customFormat="false" ht="12.8" hidden="false" customHeight="false" outlineLevel="0" collapsed="false">
      <c r="B38426" s="0" t="s">
        <v>7</v>
      </c>
      <c r="C38426" s="0" t="s">
        <v>13885</v>
      </c>
      <c r="D38426" s="0" t="s">
        <v>2041</v>
      </c>
      <c r="E38426" s="0" t="s">
        <v>2041</v>
      </c>
      <c r="F38426" s="0" t="s">
        <v>2041</v>
      </c>
    </row>
    <row r="38427" customFormat="false" ht="12.8" hidden="false" customHeight="false" outlineLevel="0" collapsed="false">
      <c r="B38427" s="0" t="s">
        <v>2561</v>
      </c>
      <c r="C38427" s="0" t="s">
        <v>13886</v>
      </c>
      <c r="D38427" s="0" t="s">
        <v>2043</v>
      </c>
      <c r="E38427" s="0" t="s">
        <v>2043</v>
      </c>
      <c r="F38427" s="0" t="s">
        <v>2043</v>
      </c>
    </row>
    <row r="38428" customFormat="false" ht="12.8" hidden="false" customHeight="false" outlineLevel="0" collapsed="false">
      <c r="B38428" s="0" t="s">
        <v>81</v>
      </c>
      <c r="C38428" s="0" t="s">
        <v>13887</v>
      </c>
      <c r="D38428" s="0" t="s">
        <v>2045</v>
      </c>
      <c r="E38428" s="0" t="s">
        <v>2045</v>
      </c>
      <c r="F38428" s="0" t="s">
        <v>2045</v>
      </c>
    </row>
    <row r="38430" customFormat="false" ht="12.8" hidden="false" customHeight="false" outlineLevel="0" collapsed="false">
      <c r="A38430" s="0" t="s">
        <v>13884</v>
      </c>
      <c r="B38430" s="0" t="str">
        <f aca="false">HYPERLINK("https://lindat.mff.cuni.cz/services/teitok/pdtc10/index.php?action=vallex&amp;frame=v-w5200f1", "přinutit (v-w5200f1) - substituted with v-w5200f2_ZU")</f>
        <v>přinutit (v-w5200f1) - substituted with v-w5200f2_ZU</v>
      </c>
    </row>
    <row r="38431" customFormat="false" ht="12.8" hidden="false" customHeight="false" outlineLevel="0" collapsed="false">
      <c r="B38431" s="0" t="s">
        <v>7</v>
      </c>
      <c r="C38431" s="0" t="s">
        <v>13888</v>
      </c>
    </row>
    <row r="38432" customFormat="false" ht="12.8" hidden="false" customHeight="false" outlineLevel="0" collapsed="false">
      <c r="B38432" s="0" t="s">
        <v>2561</v>
      </c>
      <c r="C38432" s="0" t="s">
        <v>13889</v>
      </c>
    </row>
    <row r="38433" customFormat="false" ht="12.8" hidden="false" customHeight="false" outlineLevel="0" collapsed="false">
      <c r="B38433" s="0" t="s">
        <v>81</v>
      </c>
      <c r="C38433" s="0" t="s">
        <v>13890</v>
      </c>
    </row>
    <row r="38435" customFormat="false" ht="12.8" hidden="false" customHeight="false" outlineLevel="0" collapsed="false">
      <c r="A38435" s="0" t="s">
        <v>13891</v>
      </c>
      <c r="B38435" s="0" t="str">
        <f aca="false">HYPERLINK("https://lindat.mff.cuni.cz/services/teitok/pdtc10/index.php?action=vallex&amp;frame=v-w5194f1", "přináležet (v-w5194f1)")</f>
        <v>přináležet (v-w5194f1)</v>
      </c>
    </row>
    <row r="38436" customFormat="false" ht="12.8" hidden="false" customHeight="false" outlineLevel="0" collapsed="false">
      <c r="B38436" s="0" t="s">
        <v>7</v>
      </c>
    </row>
    <row r="38437" customFormat="false" ht="12.8" hidden="false" customHeight="false" outlineLevel="0" collapsed="false">
      <c r="B38437" s="0" t="s">
        <v>142</v>
      </c>
    </row>
    <row r="38439" customFormat="false" ht="12.8" hidden="false" customHeight="false" outlineLevel="0" collapsed="false">
      <c r="A38439" s="0" t="s">
        <v>13892</v>
      </c>
      <c r="B38439" s="0" t="str">
        <f aca="false">HYPERLINK("https://lindat.mff.cuni.cz/services/teitok/pdtc10/index.php?action=vallex&amp;frame=v-w5194f2", "přináležet (v-w5194f2)")</f>
        <v>přináležet (v-w5194f2)</v>
      </c>
    </row>
    <row r="38440" customFormat="false" ht="12.8" hidden="false" customHeight="false" outlineLevel="0" collapsed="false">
      <c r="B38440" s="0" t="s">
        <v>7</v>
      </c>
    </row>
    <row r="38441" customFormat="false" ht="12.8" hidden="false" customHeight="false" outlineLevel="0" collapsed="false">
      <c r="B38441" s="0" t="s">
        <v>124</v>
      </c>
    </row>
    <row r="38443" customFormat="false" ht="12.8" hidden="false" customHeight="false" outlineLevel="0" collapsed="false">
      <c r="A38443" s="0" t="s">
        <v>13893</v>
      </c>
      <c r="B38443" s="0" t="str">
        <f aca="false">HYPERLINK("https://lindat.mff.cuni.cz/services/teitok/pdtc10/index.php?action=vallex&amp;frame=v-w5195f2", "přinášet (v-w5195f2)")</f>
        <v>přinášet (v-w5195f2)</v>
      </c>
    </row>
    <row r="38444" customFormat="false" ht="12.8" hidden="false" customHeight="false" outlineLevel="0" collapsed="false">
      <c r="B38444" s="0" t="s">
        <v>7</v>
      </c>
      <c r="C38444" s="0" t="s">
        <v>13894</v>
      </c>
      <c r="D38444" s="0" t="s">
        <v>1758</v>
      </c>
      <c r="E38444" s="0" t="s">
        <v>1758</v>
      </c>
      <c r="F38444" s="0" t="s">
        <v>1758</v>
      </c>
    </row>
    <row r="38445" customFormat="false" ht="12.8" hidden="false" customHeight="false" outlineLevel="0" collapsed="false">
      <c r="B38445" s="0" t="s">
        <v>14</v>
      </c>
      <c r="C38445" s="0" t="s">
        <v>13895</v>
      </c>
      <c r="D38445" s="0" t="s">
        <v>1760</v>
      </c>
      <c r="E38445" s="0" t="s">
        <v>1760</v>
      </c>
      <c r="F38445" s="0" t="s">
        <v>1760</v>
      </c>
    </row>
    <row r="38446" customFormat="false" ht="12.8" hidden="false" customHeight="false" outlineLevel="0" collapsed="false">
      <c r="B38446" s="0" t="s">
        <v>3012</v>
      </c>
      <c r="C38446" s="0" t="s">
        <v>13896</v>
      </c>
      <c r="D38446" s="0" t="s">
        <v>1851</v>
      </c>
      <c r="E38446" s="0" t="s">
        <v>1851</v>
      </c>
      <c r="F38446" s="0" t="s">
        <v>1851</v>
      </c>
    </row>
    <row r="38448" customFormat="false" ht="12.8" hidden="false" customHeight="false" outlineLevel="0" collapsed="false">
      <c r="A38448" s="0" t="s">
        <v>13897</v>
      </c>
      <c r="B38448" s="0" t="str">
        <f aca="false">HYPERLINK("https://lindat.mff.cuni.cz/services/teitok/pdtc10/index.php?action=vallex&amp;frame=v-w5195f3", "přinášet (v-w5195f3)")</f>
        <v>přinášet (v-w5195f3)</v>
      </c>
    </row>
    <row r="38449" customFormat="false" ht="12.8" hidden="false" customHeight="false" outlineLevel="0" collapsed="false">
      <c r="B38449" s="0" t="s">
        <v>7</v>
      </c>
      <c r="C38449" s="0" t="s">
        <v>126</v>
      </c>
      <c r="D38449" s="0" t="s">
        <v>1758</v>
      </c>
      <c r="E38449" s="0" t="s">
        <v>1758</v>
      </c>
      <c r="F38449" s="0" t="s">
        <v>1758</v>
      </c>
    </row>
    <row r="38450" customFormat="false" ht="12.8" hidden="false" customHeight="false" outlineLevel="0" collapsed="false">
      <c r="B38450" s="0" t="s">
        <v>14</v>
      </c>
      <c r="C38450" s="0" t="s">
        <v>110</v>
      </c>
      <c r="D38450" s="0" t="s">
        <v>1760</v>
      </c>
      <c r="E38450" s="0" t="s">
        <v>1760</v>
      </c>
      <c r="F38450" s="0" t="s">
        <v>1760</v>
      </c>
    </row>
    <row r="38451" customFormat="false" ht="12.8" hidden="false" customHeight="false" outlineLevel="0" collapsed="false">
      <c r="B38451" s="0" t="s">
        <v>124</v>
      </c>
      <c r="C38451" s="0" t="s">
        <v>13898</v>
      </c>
      <c r="D38451" s="0" t="s">
        <v>1761</v>
      </c>
      <c r="E38451" s="0" t="s">
        <v>1761</v>
      </c>
      <c r="F38451" s="0" t="s">
        <v>1761</v>
      </c>
    </row>
    <row r="38453" customFormat="false" ht="12.8" hidden="false" customHeight="false" outlineLevel="0" collapsed="false">
      <c r="A38453" s="0" t="s">
        <v>13899</v>
      </c>
      <c r="B38453" s="0" t="str">
        <f aca="false">HYPERLINK("https://lindat.mff.cuni.cz/services/teitok/pdtc10/index.php?action=vallex&amp;frame=v-w5195f1", "přinášet (v-w5195f1)")</f>
        <v>přinášet (v-w5195f1)</v>
      </c>
    </row>
    <row r="38454" customFormat="false" ht="12.8" hidden="false" customHeight="false" outlineLevel="0" collapsed="false">
      <c r="B38454" s="0" t="s">
        <v>7</v>
      </c>
      <c r="C38454" s="0" t="s">
        <v>13900</v>
      </c>
      <c r="D38454" s="0" t="s">
        <v>3728</v>
      </c>
      <c r="E38454" s="0" t="s">
        <v>3728</v>
      </c>
      <c r="F38454" s="0" t="s">
        <v>3728</v>
      </c>
    </row>
    <row r="38455" customFormat="false" ht="12.8" hidden="false" customHeight="false" outlineLevel="0" collapsed="false">
      <c r="B38455" s="0" t="s">
        <v>14</v>
      </c>
      <c r="C38455" s="0" t="s">
        <v>13901</v>
      </c>
      <c r="D38455" s="0" t="s">
        <v>3729</v>
      </c>
      <c r="E38455" s="0" t="s">
        <v>3729</v>
      </c>
      <c r="F38455" s="0" t="s">
        <v>3729</v>
      </c>
    </row>
    <row r="38457" customFormat="false" ht="12.8" hidden="false" customHeight="false" outlineLevel="0" collapsed="false">
      <c r="A38457" s="0" t="s">
        <v>13902</v>
      </c>
      <c r="B38457" s="0" t="str">
        <f aca="false">HYPERLINK("https://lindat.mff.cuni.cz/services/teitok/pdtc10/index.php?action=vallex&amp;frame=v-w5195f4_ZU", "přinášet (v-w5195f4_ZU)")</f>
        <v>přinášet (v-w5195f4_ZU)</v>
      </c>
    </row>
    <row r="38458" customFormat="false" ht="12.8" hidden="false" customHeight="false" outlineLevel="0" collapsed="false">
      <c r="B38458" s="0" t="s">
        <v>7</v>
      </c>
      <c r="C38458" s="0" t="s">
        <v>3826</v>
      </c>
      <c r="D38458" s="0" t="s">
        <v>164</v>
      </c>
      <c r="E38458" s="0" t="s">
        <v>164</v>
      </c>
      <c r="F38458" s="0" t="s">
        <v>164</v>
      </c>
    </row>
    <row r="38459" customFormat="false" ht="12.8" hidden="false" customHeight="false" outlineLevel="0" collapsed="false">
      <c r="B38459" s="0" t="s">
        <v>14</v>
      </c>
      <c r="C38459" s="0" t="s">
        <v>12688</v>
      </c>
      <c r="D38459" s="0" t="s">
        <v>167</v>
      </c>
      <c r="E38459" s="0" t="s">
        <v>167</v>
      </c>
      <c r="F38459" s="0" t="s">
        <v>167</v>
      </c>
    </row>
    <row r="38460" customFormat="false" ht="12.8" hidden="false" customHeight="false" outlineLevel="0" collapsed="false">
      <c r="B38460" s="0" t="s">
        <v>106</v>
      </c>
      <c r="C38460" s="0" t="s">
        <v>3829</v>
      </c>
      <c r="D38460" s="0" t="s">
        <v>168</v>
      </c>
      <c r="E38460" s="0" t="s">
        <v>168</v>
      </c>
      <c r="F38460" s="0" t="s">
        <v>168</v>
      </c>
    </row>
    <row r="38462" customFormat="false" ht="12.8" hidden="false" customHeight="false" outlineLevel="0" collapsed="false">
      <c r="A38462" s="0" t="s">
        <v>13902</v>
      </c>
      <c r="B38462" s="0" t="str">
        <f aca="false">HYPERLINK("https://lindat.mff.cuni.cz/services/teitok/pdtc10/index.php?action=vallex&amp;frame=v-w5195hsa_34", "přinášet (v-w5195hsa_34) - substituted with v-w5195f4_ZU")</f>
        <v>přinášet (v-w5195hsa_34) - substituted with v-w5195f4_ZU</v>
      </c>
    </row>
    <row r="38463" customFormat="false" ht="12.8" hidden="false" customHeight="false" outlineLevel="0" collapsed="false">
      <c r="B38463" s="0" t="s">
        <v>7</v>
      </c>
    </row>
    <row r="38464" customFormat="false" ht="12.8" hidden="false" customHeight="false" outlineLevel="0" collapsed="false">
      <c r="B38464" s="0" t="s">
        <v>14</v>
      </c>
    </row>
    <row r="38465" customFormat="false" ht="12.8" hidden="false" customHeight="false" outlineLevel="0" collapsed="false">
      <c r="B38465" s="0" t="s">
        <v>106</v>
      </c>
    </row>
    <row r="38467" customFormat="false" ht="12.8" hidden="false" customHeight="false" outlineLevel="0" collapsed="false">
      <c r="A38467" s="0" t="s">
        <v>13903</v>
      </c>
      <c r="B38467" s="0" t="str">
        <f aca="false">HYPERLINK("https://lindat.mff.cuni.cz/services/teitok/pdtc10/index.php?action=vallex&amp;frame=v-w5195f5_MM", "přinášet (v-w5195f5_MM)")</f>
        <v>přinášet (v-w5195f5_MM)</v>
      </c>
    </row>
    <row r="38468" customFormat="false" ht="12.8" hidden="false" customHeight="false" outlineLevel="0" collapsed="false">
      <c r="B38468" s="0" t="s">
        <v>7</v>
      </c>
    </row>
    <row r="38469" customFormat="false" ht="12.8" hidden="false" customHeight="false" outlineLevel="0" collapsed="false">
      <c r="B38469" s="0" t="s">
        <v>7548</v>
      </c>
    </row>
    <row r="38470" customFormat="false" ht="12.8" hidden="false" customHeight="false" outlineLevel="0" collapsed="false">
      <c r="B38470" s="0" t="s">
        <v>54</v>
      </c>
    </row>
    <row r="38472" customFormat="false" ht="12.8" hidden="false" customHeight="false" outlineLevel="0" collapsed="false">
      <c r="A38472" s="0" t="s">
        <v>13904</v>
      </c>
      <c r="B38472" s="0" t="str">
        <f aca="false">HYPERLINK("https://lindat.mff.cuni.cz/services/teitok/pdtc10/index.php?action=vallex&amp;frame=v-w5195hsa_37", "přinášet (v-w5195hsa_37)")</f>
        <v>přinášet (v-w5195hsa_37)</v>
      </c>
    </row>
    <row r="38473" customFormat="false" ht="12.8" hidden="false" customHeight="false" outlineLevel="0" collapsed="false">
      <c r="B38473" s="0" t="s">
        <v>7</v>
      </c>
    </row>
    <row r="38474" customFormat="false" ht="12.8" hidden="false" customHeight="false" outlineLevel="0" collapsed="false">
      <c r="B38474" s="0" t="s">
        <v>13905</v>
      </c>
    </row>
    <row r="38475" customFormat="false" ht="12.8" hidden="false" customHeight="false" outlineLevel="0" collapsed="false">
      <c r="B38475" s="0" t="s">
        <v>48</v>
      </c>
    </row>
    <row r="38477" customFormat="false" ht="12.8" hidden="false" customHeight="false" outlineLevel="0" collapsed="false">
      <c r="A38477" s="0" t="s">
        <v>13906</v>
      </c>
      <c r="B38477" s="0" t="str">
        <f aca="false">HYPERLINK("https://lindat.mff.cuni.cz/services/teitok/pdtc10/index.php?action=vallex&amp;frame=v-w5197f1", "přinést (v-w5197f1)")</f>
        <v>přinést (v-w5197f1)</v>
      </c>
    </row>
    <row r="38478" customFormat="false" ht="12.8" hidden="false" customHeight="false" outlineLevel="0" collapsed="false">
      <c r="B38478" s="0" t="s">
        <v>7</v>
      </c>
      <c r="C38478" s="0" t="s">
        <v>13907</v>
      </c>
      <c r="D38478" s="0" t="s">
        <v>1747</v>
      </c>
      <c r="E38478" s="0" t="s">
        <v>1747</v>
      </c>
      <c r="F38478" s="0" t="s">
        <v>1747</v>
      </c>
    </row>
    <row r="38479" customFormat="false" ht="12.8" hidden="false" customHeight="false" outlineLevel="0" collapsed="false">
      <c r="B38479" s="0" t="s">
        <v>14</v>
      </c>
      <c r="C38479" s="0" t="s">
        <v>13908</v>
      </c>
      <c r="D38479" s="0" t="s">
        <v>1749</v>
      </c>
      <c r="E38479" s="0" t="s">
        <v>1749</v>
      </c>
      <c r="F38479" s="0" t="s">
        <v>1749</v>
      </c>
    </row>
    <row r="38480" customFormat="false" ht="12.8" hidden="false" customHeight="false" outlineLevel="0" collapsed="false">
      <c r="B38480" s="0" t="s">
        <v>3012</v>
      </c>
      <c r="C38480" s="0" t="s">
        <v>13909</v>
      </c>
      <c r="D38480" s="0" t="s">
        <v>1751</v>
      </c>
      <c r="E38480" s="0" t="s">
        <v>1751</v>
      </c>
      <c r="F38480" s="0" t="s">
        <v>1751</v>
      </c>
    </row>
    <row r="38482" customFormat="false" ht="12.8" hidden="false" customHeight="false" outlineLevel="0" collapsed="false">
      <c r="A38482" s="0" t="s">
        <v>13910</v>
      </c>
      <c r="B38482" s="0" t="str">
        <f aca="false">HYPERLINK("https://lindat.mff.cuni.cz/services/teitok/pdtc10/index.php?action=vallex&amp;frame=v-w5197f8_ZU", "přinést (v-w5197f8_ZU)")</f>
        <v>přinést (v-w5197f8_ZU)</v>
      </c>
    </row>
    <row r="38483" customFormat="false" ht="12.8" hidden="false" customHeight="false" outlineLevel="0" collapsed="false">
      <c r="B38483" s="0" t="s">
        <v>7</v>
      </c>
      <c r="C38483" s="0" t="s">
        <v>126</v>
      </c>
      <c r="D38483" s="0" t="s">
        <v>3728</v>
      </c>
      <c r="E38483" s="0" t="s">
        <v>3728</v>
      </c>
      <c r="F38483" s="0" t="s">
        <v>3728</v>
      </c>
    </row>
    <row r="38484" customFormat="false" ht="12.8" hidden="false" customHeight="false" outlineLevel="0" collapsed="false">
      <c r="B38484" s="0" t="s">
        <v>14</v>
      </c>
      <c r="C38484" s="0" t="s">
        <v>110</v>
      </c>
      <c r="D38484" s="0" t="s">
        <v>3729</v>
      </c>
      <c r="E38484" s="0" t="s">
        <v>3729</v>
      </c>
      <c r="F38484" s="0" t="s">
        <v>3729</v>
      </c>
    </row>
    <row r="38485" customFormat="false" ht="12.8" hidden="false" customHeight="false" outlineLevel="0" collapsed="false">
      <c r="B38485" s="0" t="s">
        <v>106</v>
      </c>
      <c r="C38485" s="0" t="s">
        <v>13911</v>
      </c>
      <c r="D38485" s="0" t="s">
        <v>13912</v>
      </c>
      <c r="E38485" s="0" t="s">
        <v>13912</v>
      </c>
      <c r="F38485" s="0" t="s">
        <v>13912</v>
      </c>
    </row>
    <row r="38487" customFormat="false" ht="12.8" hidden="false" customHeight="false" outlineLevel="0" collapsed="false">
      <c r="A38487" s="0" t="s">
        <v>13910</v>
      </c>
      <c r="B38487" s="0" t="str">
        <f aca="false">HYPERLINK("https://lindat.mff.cuni.cz/services/teitok/pdtc10/index.php?action=vallex&amp;frame=v-w5197f2", "přinést (v-w5197f2) - substituted with v-w5197f8_ZU")</f>
        <v>přinést (v-w5197f2) - substituted with v-w5197f8_ZU</v>
      </c>
    </row>
    <row r="38488" customFormat="false" ht="12.8" hidden="false" customHeight="false" outlineLevel="0" collapsed="false">
      <c r="B38488" s="0" t="s">
        <v>7</v>
      </c>
      <c r="C38488" s="0" t="s">
        <v>13913</v>
      </c>
    </row>
    <row r="38489" customFormat="false" ht="12.8" hidden="false" customHeight="false" outlineLevel="0" collapsed="false">
      <c r="B38489" s="0" t="s">
        <v>14</v>
      </c>
      <c r="C38489" s="0" t="s">
        <v>13914</v>
      </c>
    </row>
    <row r="38490" customFormat="false" ht="12.8" hidden="false" customHeight="false" outlineLevel="0" collapsed="false">
      <c r="B38490" s="0" t="s">
        <v>106</v>
      </c>
    </row>
    <row r="38492" customFormat="false" ht="12.8" hidden="false" customHeight="false" outlineLevel="0" collapsed="false">
      <c r="A38492" s="0" t="s">
        <v>13910</v>
      </c>
      <c r="B38492" s="0" t="str">
        <f aca="false">HYPERLINK("https://lindat.mff.cuni.cz/services/teitok/pdtc10/index.php?action=vallex&amp;frame=v-w5197f6_ZU", "přinést (v-w5197f6_ZU) - substituted with v-w5197f8_ZU")</f>
        <v>přinést (v-w5197f6_ZU) - substituted with v-w5197f8_ZU</v>
      </c>
    </row>
    <row r="38493" customFormat="false" ht="12.8" hidden="false" customHeight="false" outlineLevel="0" collapsed="false">
      <c r="B38493" s="0" t="s">
        <v>7</v>
      </c>
      <c r="C38493" s="0" t="s">
        <v>13915</v>
      </c>
    </row>
    <row r="38494" customFormat="false" ht="12.8" hidden="false" customHeight="false" outlineLevel="0" collapsed="false">
      <c r="B38494" s="0" t="s">
        <v>14</v>
      </c>
      <c r="C38494" s="0" t="s">
        <v>13916</v>
      </c>
    </row>
    <row r="38495" customFormat="false" ht="12.8" hidden="false" customHeight="false" outlineLevel="0" collapsed="false">
      <c r="B38495" s="0" t="s">
        <v>106</v>
      </c>
      <c r="C38495" s="0" t="s">
        <v>13917</v>
      </c>
    </row>
    <row r="38497" customFormat="false" ht="12.8" hidden="false" customHeight="false" outlineLevel="0" collapsed="false">
      <c r="A38497" s="0" t="s">
        <v>13910</v>
      </c>
      <c r="B38497" s="0" t="str">
        <f aca="false">HYPERLINK("https://lindat.mff.cuni.cz/services/teitok/pdtc10/index.php?action=vallex&amp;frame=v-w5197f7_ZU", "přinést (v-w5197f7_ZU) - substituted with v-w5197f8_ZU")</f>
        <v>přinést (v-w5197f7_ZU) - substituted with v-w5197f8_ZU</v>
      </c>
    </row>
    <row r="38498" customFormat="false" ht="12.8" hidden="false" customHeight="false" outlineLevel="0" collapsed="false">
      <c r="B38498" s="0" t="s">
        <v>7</v>
      </c>
    </row>
    <row r="38499" customFormat="false" ht="12.8" hidden="false" customHeight="false" outlineLevel="0" collapsed="false">
      <c r="B38499" s="0" t="s">
        <v>14</v>
      </c>
    </row>
    <row r="38500" customFormat="false" ht="12.8" hidden="false" customHeight="false" outlineLevel="0" collapsed="false">
      <c r="B38500" s="0" t="s">
        <v>106</v>
      </c>
    </row>
    <row r="38502" customFormat="false" ht="12.8" hidden="false" customHeight="false" outlineLevel="0" collapsed="false">
      <c r="A38502" s="0" t="s">
        <v>13910</v>
      </c>
      <c r="B38502" s="0" t="str">
        <f aca="false">HYPERLINK("https://lindat.mff.cuni.cz/services/teitok/pdtc10/index.php?action=vallex&amp;frame=v-w5197hsa_434", "přinést (v-w5197hsa_434) - substituted with v-w5197f8_ZU")</f>
        <v>přinést (v-w5197hsa_434) - substituted with v-w5197f8_ZU</v>
      </c>
    </row>
    <row r="38503" customFormat="false" ht="12.8" hidden="false" customHeight="false" outlineLevel="0" collapsed="false">
      <c r="B38503" s="0" t="s">
        <v>7</v>
      </c>
    </row>
    <row r="38504" customFormat="false" ht="12.8" hidden="false" customHeight="false" outlineLevel="0" collapsed="false">
      <c r="B38504" s="0" t="s">
        <v>14</v>
      </c>
    </row>
    <row r="38505" customFormat="false" ht="12.8" hidden="false" customHeight="false" outlineLevel="0" collapsed="false">
      <c r="B38505" s="0" t="s">
        <v>106</v>
      </c>
    </row>
    <row r="38507" customFormat="false" ht="12.8" hidden="false" customHeight="false" outlineLevel="0" collapsed="false">
      <c r="A38507" s="0" t="s">
        <v>13918</v>
      </c>
      <c r="B38507" s="0" t="str">
        <f aca="false">HYPERLINK("https://lindat.mff.cuni.cz/services/teitok/pdtc10/index.php?action=vallex&amp;frame=v-w5197f3", "přinést (v-w5197f3)")</f>
        <v>přinést (v-w5197f3)</v>
      </c>
    </row>
    <row r="38508" customFormat="false" ht="12.8" hidden="false" customHeight="false" outlineLevel="0" collapsed="false">
      <c r="B38508" s="0" t="s">
        <v>7</v>
      </c>
      <c r="C38508" s="0" t="s">
        <v>13919</v>
      </c>
      <c r="D38508" s="0" t="s">
        <v>2220</v>
      </c>
      <c r="E38508" s="0" t="s">
        <v>2220</v>
      </c>
      <c r="F38508" s="0" t="s">
        <v>2220</v>
      </c>
    </row>
    <row r="38509" customFormat="false" ht="12.8" hidden="false" customHeight="false" outlineLevel="0" collapsed="false">
      <c r="B38509" s="0" t="s">
        <v>14</v>
      </c>
      <c r="C38509" s="0" t="s">
        <v>13920</v>
      </c>
      <c r="D38509" s="0" t="s">
        <v>2222</v>
      </c>
      <c r="E38509" s="0" t="s">
        <v>2222</v>
      </c>
      <c r="F38509" s="0" t="s">
        <v>2222</v>
      </c>
    </row>
    <row r="38510" customFormat="false" ht="12.8" hidden="false" customHeight="false" outlineLevel="0" collapsed="false">
      <c r="B38510" s="0" t="s">
        <v>124</v>
      </c>
      <c r="C38510" s="0" t="s">
        <v>13921</v>
      </c>
      <c r="D38510" s="0" t="s">
        <v>2224</v>
      </c>
      <c r="E38510" s="0" t="s">
        <v>2224</v>
      </c>
      <c r="F38510" s="0" t="s">
        <v>2224</v>
      </c>
    </row>
    <row r="38512" customFormat="false" ht="12.8" hidden="false" customHeight="false" outlineLevel="0" collapsed="false">
      <c r="A38512" s="0" t="s">
        <v>13922</v>
      </c>
      <c r="B38512" s="0" t="str">
        <f aca="false">HYPERLINK("https://lindat.mff.cuni.cz/services/teitok/pdtc10/index.php?action=vallex&amp;frame=v-w5197f4", "přinést (v-w5197f4)")</f>
        <v>přinést (v-w5197f4)</v>
      </c>
    </row>
    <row r="38513" customFormat="false" ht="12.8" hidden="false" customHeight="false" outlineLevel="0" collapsed="false">
      <c r="B38513" s="0" t="s">
        <v>7</v>
      </c>
    </row>
    <row r="38514" customFormat="false" ht="12.8" hidden="false" customHeight="false" outlineLevel="0" collapsed="false">
      <c r="B38514" s="0" t="s">
        <v>5956</v>
      </c>
    </row>
    <row r="38516" customFormat="false" ht="12.8" hidden="false" customHeight="false" outlineLevel="0" collapsed="false">
      <c r="A38516" s="0" t="s">
        <v>13923</v>
      </c>
      <c r="B38516" s="0" t="str">
        <f aca="false">HYPERLINK("https://lindat.mff.cuni.cz/services/teitok/pdtc10/index.php?action=vallex&amp;frame=v-w5197f5", "přinést (v-w5197f5)")</f>
        <v>přinést (v-w5197f5)</v>
      </c>
    </row>
    <row r="38517" customFormat="false" ht="12.8" hidden="false" customHeight="false" outlineLevel="0" collapsed="false">
      <c r="B38517" s="0" t="s">
        <v>7</v>
      </c>
    </row>
    <row r="38518" customFormat="false" ht="12.8" hidden="false" customHeight="false" outlineLevel="0" collapsed="false">
      <c r="B38518" s="0" t="s">
        <v>13924</v>
      </c>
    </row>
    <row r="38520" customFormat="false" ht="12.8" hidden="false" customHeight="false" outlineLevel="0" collapsed="false">
      <c r="A38520" s="0" t="s">
        <v>13925</v>
      </c>
      <c r="B38520" s="0" t="str">
        <f aca="false">HYPERLINK("https://lindat.mff.cuni.cz/services/teitok/pdtc10/index.php?action=vallex&amp;frame=v-w5197hsa_328", "přinést (v-w5197hsa_328)")</f>
        <v>přinést (v-w5197hsa_328)</v>
      </c>
    </row>
    <row r="38521" customFormat="false" ht="12.8" hidden="false" customHeight="false" outlineLevel="0" collapsed="false">
      <c r="B38521" s="0" t="s">
        <v>7</v>
      </c>
    </row>
    <row r="38522" customFormat="false" ht="12.8" hidden="false" customHeight="false" outlineLevel="0" collapsed="false">
      <c r="B38522" s="0" t="s">
        <v>14</v>
      </c>
    </row>
    <row r="38523" customFormat="false" ht="12.8" hidden="false" customHeight="false" outlineLevel="0" collapsed="false">
      <c r="B38523" s="0" t="s">
        <v>459</v>
      </c>
    </row>
    <row r="38525" customFormat="false" ht="12.8" hidden="false" customHeight="false" outlineLevel="0" collapsed="false">
      <c r="A38525" s="0" t="s">
        <v>13926</v>
      </c>
      <c r="B38525" s="0" t="str">
        <f aca="false">HYPERLINK("https://lindat.mff.cuni.cz/services/teitok/pdtc10/index.php?action=vallex&amp;frame=v-w5197hsa_432", "přinést (v-w5197hsa_432)")</f>
        <v>přinést (v-w5197hsa_432)</v>
      </c>
    </row>
    <row r="38526" customFormat="false" ht="12.8" hidden="false" customHeight="false" outlineLevel="0" collapsed="false">
      <c r="B38526" s="0" t="s">
        <v>7</v>
      </c>
    </row>
    <row r="38527" customFormat="false" ht="12.8" hidden="false" customHeight="false" outlineLevel="0" collapsed="false">
      <c r="B38527" s="0" t="s">
        <v>13927</v>
      </c>
    </row>
    <row r="38528" customFormat="false" ht="12.8" hidden="false" customHeight="false" outlineLevel="0" collapsed="false">
      <c r="B38528" s="0" t="s">
        <v>48</v>
      </c>
    </row>
    <row r="38530" customFormat="false" ht="12.8" hidden="false" customHeight="false" outlineLevel="0" collapsed="false">
      <c r="A38530" s="0" t="s">
        <v>13928</v>
      </c>
      <c r="B38530" s="0" t="str">
        <f aca="false">HYPERLINK("https://lindat.mff.cuni.cz/services/teitok/pdtc10/index.php?action=vallex&amp;frame=v-w5197hsa_433", "přinést (v-w5197hsa_433)")</f>
        <v>přinést (v-w5197hsa_433)</v>
      </c>
    </row>
    <row r="38531" customFormat="false" ht="12.8" hidden="false" customHeight="false" outlineLevel="0" collapsed="false">
      <c r="B38531" s="0" t="s">
        <v>7</v>
      </c>
    </row>
    <row r="38532" customFormat="false" ht="12.8" hidden="false" customHeight="false" outlineLevel="0" collapsed="false">
      <c r="B38532" s="0" t="s">
        <v>14</v>
      </c>
    </row>
    <row r="38534" customFormat="false" ht="12.8" hidden="false" customHeight="false" outlineLevel="0" collapsed="false">
      <c r="A38534" s="0" t="s">
        <v>13929</v>
      </c>
      <c r="B38534" s="0" t="str">
        <f aca="false">HYPERLINK("https://lindat.mff.cuni.cz/services/teitok/pdtc10/index.php?action=vallex&amp;frame=v-whsa_522hsa_523", "přiobjednat (v-whsa_522hsa_523)")</f>
        <v>přiobjednat (v-whsa_522hsa_523)</v>
      </c>
    </row>
    <row r="38535" customFormat="false" ht="12.8" hidden="false" customHeight="false" outlineLevel="0" collapsed="false">
      <c r="B38535" s="0" t="s">
        <v>7</v>
      </c>
    </row>
    <row r="38536" customFormat="false" ht="12.8" hidden="false" customHeight="false" outlineLevel="0" collapsed="false">
      <c r="B38536" s="0" t="s">
        <v>14</v>
      </c>
    </row>
    <row r="38538" customFormat="false" ht="12.8" hidden="false" customHeight="false" outlineLevel="0" collapsed="false">
      <c r="A38538" s="0" t="s">
        <v>13930</v>
      </c>
      <c r="B38538" s="0" t="str">
        <f aca="false">HYPERLINK("https://lindat.mff.cuni.cz/services/teitok/pdtc10/index.php?action=vallex&amp;frame=v-w12173_ZUf1_ZU", "přiopravit (v-w12173_ZUf1_ZU)")</f>
        <v>přiopravit (v-w12173_ZUf1_ZU)</v>
      </c>
    </row>
    <row r="38539" customFormat="false" ht="12.8" hidden="false" customHeight="false" outlineLevel="0" collapsed="false">
      <c r="B38539" s="0" t="s">
        <v>7</v>
      </c>
    </row>
    <row r="38540" customFormat="false" ht="12.8" hidden="false" customHeight="false" outlineLevel="0" collapsed="false">
      <c r="B38540" s="0" t="s">
        <v>14</v>
      </c>
    </row>
    <row r="38542" customFormat="false" ht="12.8" hidden="false" customHeight="false" outlineLevel="0" collapsed="false">
      <c r="A38542" s="0" t="s">
        <v>13931</v>
      </c>
      <c r="B38542" s="0" t="str">
        <f aca="false">HYPERLINK("https://lindat.mff.cuni.cz/services/teitok/pdtc10/index.php?action=vallex&amp;frame=v-w10138f3", "přiostřit (v-w10138f3)")</f>
        <v>přiostřit (v-w10138f3)</v>
      </c>
    </row>
    <row r="38543" customFormat="false" ht="12.8" hidden="false" customHeight="false" outlineLevel="0" collapsed="false">
      <c r="B38543" s="0" t="s">
        <v>7</v>
      </c>
    </row>
    <row r="38544" customFormat="false" ht="12.8" hidden="false" customHeight="false" outlineLevel="0" collapsed="false">
      <c r="B38544" s="0" t="s">
        <v>14</v>
      </c>
    </row>
    <row r="38546" customFormat="false" ht="12.8" hidden="false" customHeight="false" outlineLevel="0" collapsed="false">
      <c r="A38546" s="0" t="s">
        <v>13932</v>
      </c>
      <c r="B38546" s="0" t="str">
        <f aca="false">HYPERLINK("https://lindat.mff.cuni.cz/services/teitok/pdtc10/index.php?action=vallex&amp;frame=v-w10138f2", "přiostřit (v-w10138f2)")</f>
        <v>přiostřit (v-w10138f2)</v>
      </c>
    </row>
    <row r="38547" customFormat="false" ht="12.8" hidden="false" customHeight="false" outlineLevel="0" collapsed="false">
      <c r="B38547" s="0" t="s">
        <v>7</v>
      </c>
      <c r="C38547" s="0" t="s">
        <v>113</v>
      </c>
      <c r="D38547" s="0" t="s">
        <v>2012</v>
      </c>
      <c r="E38547" s="0" t="s">
        <v>2012</v>
      </c>
      <c r="F38547" s="0" t="s">
        <v>2012</v>
      </c>
    </row>
    <row r="38548" customFormat="false" ht="12.8" hidden="false" customHeight="false" outlineLevel="0" collapsed="false">
      <c r="B38548" s="0" t="s">
        <v>14</v>
      </c>
      <c r="C38548" s="0" t="s">
        <v>1170</v>
      </c>
      <c r="D38548" s="0" t="s">
        <v>11703</v>
      </c>
      <c r="E38548" s="0" t="s">
        <v>11703</v>
      </c>
      <c r="F38548" s="0" t="s">
        <v>11703</v>
      </c>
    </row>
    <row r="38550" customFormat="false" ht="12.8" hidden="false" customHeight="false" outlineLevel="0" collapsed="false">
      <c r="A38550" s="0" t="s">
        <v>13933</v>
      </c>
      <c r="B38550" s="0" t="str">
        <f aca="false">HYPERLINK("https://lindat.mff.cuni.cz/services/teitok/pdtc10/index.php?action=vallex&amp;frame=v-whsa_846f2_ZU", "přiostřit se (v-whsa_846f2_ZU)")</f>
        <v>přiostřit se (v-whsa_846f2_ZU)</v>
      </c>
    </row>
    <row r="38551" customFormat="false" ht="12.8" hidden="false" customHeight="false" outlineLevel="0" collapsed="false">
      <c r="B38551" s="0" t="s">
        <v>7</v>
      </c>
      <c r="C38551" s="0" t="s">
        <v>13404</v>
      </c>
      <c r="D38551" s="0" t="s">
        <v>13934</v>
      </c>
      <c r="E38551" s="0" t="s">
        <v>13935</v>
      </c>
      <c r="F38551" s="0" t="s">
        <v>13935</v>
      </c>
    </row>
    <row r="38553" customFormat="false" ht="12.8" hidden="false" customHeight="false" outlineLevel="0" collapsed="false">
      <c r="A38553" s="0" t="s">
        <v>13933</v>
      </c>
      <c r="B38553" s="0" t="str">
        <f aca="false">HYPERLINK("https://lindat.mff.cuni.cz/services/teitok/pdtc10/index.php?action=vallex&amp;frame=v-whsa_846f1_ZU", "přiostřit se (v-whsa_846f1_ZU) - substituted with v-whsa_846f2_ZU")</f>
        <v>přiostřit se (v-whsa_846f1_ZU) - substituted with v-whsa_846f2_ZU</v>
      </c>
    </row>
    <row r="38554" customFormat="false" ht="12.8" hidden="false" customHeight="false" outlineLevel="0" collapsed="false">
      <c r="B38554" s="0" t="s">
        <v>7</v>
      </c>
    </row>
    <row r="38556" customFormat="false" ht="12.8" hidden="false" customHeight="false" outlineLevel="0" collapsed="false">
      <c r="A38556" s="0" t="s">
        <v>13933</v>
      </c>
      <c r="B38556" s="0" t="str">
        <f aca="false">HYPERLINK("https://lindat.mff.cuni.cz/services/teitok/pdtc10/index.php?action=vallex&amp;frame=v-whsa_846hsa_847", "přiostřit se (v-whsa_846hsa_847) - substituted with v-whsa_846f2_ZU")</f>
        <v>přiostřit se (v-whsa_846hsa_847) - substituted with v-whsa_846f2_ZU</v>
      </c>
    </row>
    <row r="38557" customFormat="false" ht="12.8" hidden="false" customHeight="false" outlineLevel="0" collapsed="false">
      <c r="B38557" s="0" t="s">
        <v>7</v>
      </c>
    </row>
    <row r="38559" customFormat="false" ht="12.8" hidden="false" customHeight="false" outlineLevel="0" collapsed="false">
      <c r="A38559" s="0" t="s">
        <v>13936</v>
      </c>
      <c r="B38559" s="0" t="str">
        <f aca="false">HYPERLINK("https://lindat.mff.cuni.cz/services/teitok/pdtc10/index.php?action=vallex&amp;frame=v-whsa_419hsa_420", "přiostřovat (v-whsa_419hsa_420)")</f>
        <v>přiostřovat (v-whsa_419hsa_420)</v>
      </c>
    </row>
    <row r="38560" customFormat="false" ht="12.8" hidden="false" customHeight="false" outlineLevel="0" collapsed="false">
      <c r="B38560" s="0" t="s">
        <v>7</v>
      </c>
      <c r="C38560" s="0" t="s">
        <v>191</v>
      </c>
      <c r="D38560" s="0" t="s">
        <v>2012</v>
      </c>
      <c r="E38560" s="0" t="s">
        <v>2012</v>
      </c>
      <c r="F38560" s="0" t="s">
        <v>2012</v>
      </c>
    </row>
    <row r="38561" customFormat="false" ht="12.8" hidden="false" customHeight="false" outlineLevel="0" collapsed="false">
      <c r="B38561" s="0" t="s">
        <v>14</v>
      </c>
      <c r="C38561" s="0" t="s">
        <v>47</v>
      </c>
      <c r="D38561" s="0" t="s">
        <v>11703</v>
      </c>
      <c r="E38561" s="0" t="s">
        <v>11703</v>
      </c>
      <c r="F38561" s="0" t="s">
        <v>11703</v>
      </c>
    </row>
    <row r="38563" customFormat="false" ht="12.8" hidden="false" customHeight="false" outlineLevel="0" collapsed="false">
      <c r="A38563" s="0" t="s">
        <v>13937</v>
      </c>
      <c r="B38563" s="0" t="str">
        <f aca="false">HYPERLINK("https://lindat.mff.cuni.cz/services/teitok/pdtc10/index.php?action=vallex&amp;frame=v-whsa_1118f1_ZU", "přiotrávit (v-whsa_1118f1_ZU)")</f>
        <v>přiotrávit (v-whsa_1118f1_ZU)</v>
      </c>
    </row>
    <row r="38564" customFormat="false" ht="12.8" hidden="false" customHeight="false" outlineLevel="0" collapsed="false">
      <c r="B38564" s="0" t="s">
        <v>7</v>
      </c>
    </row>
    <row r="38565" customFormat="false" ht="12.8" hidden="false" customHeight="false" outlineLevel="0" collapsed="false">
      <c r="B38565" s="0" t="s">
        <v>14</v>
      </c>
    </row>
    <row r="38567" customFormat="false" ht="12.8" hidden="false" customHeight="false" outlineLevel="0" collapsed="false">
      <c r="A38567" s="0" t="s">
        <v>13937</v>
      </c>
      <c r="B38567" s="0" t="str">
        <f aca="false">HYPERLINK("https://lindat.mff.cuni.cz/services/teitok/pdtc10/index.php?action=vallex&amp;frame=v-whsa_1118hsa_1119", "přiotrávit (v-whsa_1118hsa_1119) - substituted with v-whsa_1118f1_ZU")</f>
        <v>přiotrávit (v-whsa_1118hsa_1119) - substituted with v-whsa_1118f1_ZU</v>
      </c>
    </row>
    <row r="38568" customFormat="false" ht="12.8" hidden="false" customHeight="false" outlineLevel="0" collapsed="false">
      <c r="B38568" s="0" t="s">
        <v>7</v>
      </c>
    </row>
    <row r="38569" customFormat="false" ht="12.8" hidden="false" customHeight="false" outlineLevel="0" collapsed="false">
      <c r="B38569" s="0" t="s">
        <v>14</v>
      </c>
    </row>
    <row r="38571" customFormat="false" ht="12.8" hidden="false" customHeight="false" outlineLevel="0" collapsed="false">
      <c r="A38571" s="0" t="s">
        <v>13938</v>
      </c>
      <c r="B38571" s="0" t="str">
        <f aca="false">HYPERLINK("https://lindat.mff.cuni.cz/services/teitok/pdtc10/index.php?action=vallex&amp;frame=v-whsa_915hsa_916", "připachtovat si (v-whsa_915hsa_916)")</f>
        <v>připachtovat si (v-whsa_915hsa_916)</v>
      </c>
    </row>
    <row r="38572" customFormat="false" ht="12.8" hidden="false" customHeight="false" outlineLevel="0" collapsed="false">
      <c r="B38572" s="0" t="s">
        <v>7</v>
      </c>
    </row>
    <row r="38573" customFormat="false" ht="12.8" hidden="false" customHeight="false" outlineLevel="0" collapsed="false">
      <c r="B38573" s="0" t="s">
        <v>14</v>
      </c>
    </row>
    <row r="38575" customFormat="false" ht="12.8" hidden="false" customHeight="false" outlineLevel="0" collapsed="false">
      <c r="A38575" s="0" t="s">
        <v>13939</v>
      </c>
      <c r="B38575" s="0" t="str">
        <f aca="false">HYPERLINK("https://lindat.mff.cuni.cz/services/teitok/pdtc10/index.php?action=vallex&amp;frame=v-w5202f9_ZU", "připadat (v-w5202f9_ZU)")</f>
        <v>připadat (v-w5202f9_ZU)</v>
      </c>
    </row>
    <row r="38576" customFormat="false" ht="12.8" hidden="false" customHeight="false" outlineLevel="0" collapsed="false">
      <c r="B38576" s="0" t="s">
        <v>603</v>
      </c>
    </row>
    <row r="38577" customFormat="false" ht="12.8" hidden="false" customHeight="false" outlineLevel="0" collapsed="false">
      <c r="B38577" s="0" t="s">
        <v>13940</v>
      </c>
    </row>
    <row r="38578" customFormat="false" ht="12.8" hidden="false" customHeight="false" outlineLevel="0" collapsed="false">
      <c r="B38578" s="0" t="s">
        <v>13941</v>
      </c>
    </row>
    <row r="38580" customFormat="false" ht="12.8" hidden="false" customHeight="false" outlineLevel="0" collapsed="false">
      <c r="A38580" s="0" t="s">
        <v>13939</v>
      </c>
      <c r="B38580" s="0" t="str">
        <f aca="false">HYPERLINK("https://lindat.mff.cuni.cz/services/teitok/pdtc10/index.php?action=vallex&amp;frame=v-w5202f2", "připadat (v-w5202f2) - substituted with v-w5202f9_ZU")</f>
        <v>připadat (v-w5202f2) - substituted with v-w5202f9_ZU</v>
      </c>
    </row>
    <row r="38581" customFormat="false" ht="12.8" hidden="false" customHeight="false" outlineLevel="0" collapsed="false">
      <c r="B38581" s="0" t="s">
        <v>603</v>
      </c>
      <c r="C38581" s="0" t="s">
        <v>13942</v>
      </c>
      <c r="D38581" s="0" t="s">
        <v>2022</v>
      </c>
      <c r="E38581" s="0" t="s">
        <v>2022</v>
      </c>
      <c r="F38581" s="0" t="s">
        <v>2022</v>
      </c>
    </row>
    <row r="38582" customFormat="false" ht="12.8" hidden="false" customHeight="false" outlineLevel="0" collapsed="false">
      <c r="B38582" s="0" t="s">
        <v>13940</v>
      </c>
      <c r="C38582" s="0" t="s">
        <v>13943</v>
      </c>
      <c r="D38582" s="0" t="s">
        <v>2027</v>
      </c>
      <c r="E38582" s="0" t="s">
        <v>2027</v>
      </c>
      <c r="F38582" s="0" t="s">
        <v>2027</v>
      </c>
    </row>
    <row r="38583" customFormat="false" ht="12.8" hidden="false" customHeight="false" outlineLevel="0" collapsed="false">
      <c r="B38583" s="0" t="s">
        <v>13941</v>
      </c>
      <c r="C38583" s="0" t="s">
        <v>13944</v>
      </c>
      <c r="D38583" s="0" t="s">
        <v>2025</v>
      </c>
      <c r="E38583" s="0" t="s">
        <v>2025</v>
      </c>
      <c r="F38583" s="0" t="s">
        <v>2025</v>
      </c>
    </row>
    <row r="38585" customFormat="false" ht="12.8" hidden="false" customHeight="false" outlineLevel="0" collapsed="false">
      <c r="A38585" s="0" t="s">
        <v>13939</v>
      </c>
      <c r="B38585" s="0" t="str">
        <f aca="false">HYPERLINK("https://lindat.mff.cuni.cz/services/teitok/pdtc10/index.php?action=vallex&amp;frame=v-w5202f8_ZU", "připadat (v-w5202f8_ZU) - substituted with v-w5202f9_ZU")</f>
        <v>připadat (v-w5202f8_ZU) - substituted with v-w5202f9_ZU</v>
      </c>
    </row>
    <row r="38586" customFormat="false" ht="12.8" hidden="false" customHeight="false" outlineLevel="0" collapsed="false">
      <c r="B38586" s="0" t="s">
        <v>603</v>
      </c>
    </row>
    <row r="38587" customFormat="false" ht="12.8" hidden="false" customHeight="false" outlineLevel="0" collapsed="false">
      <c r="B38587" s="0" t="s">
        <v>13940</v>
      </c>
    </row>
    <row r="38588" customFormat="false" ht="12.8" hidden="false" customHeight="false" outlineLevel="0" collapsed="false">
      <c r="B38588" s="0" t="s">
        <v>13941</v>
      </c>
    </row>
    <row r="38590" customFormat="false" ht="12.8" hidden="false" customHeight="false" outlineLevel="0" collapsed="false">
      <c r="A38590" s="0" t="s">
        <v>13939</v>
      </c>
      <c r="B38590" s="0" t="str">
        <f aca="false">HYPERLINK("https://lindat.mff.cuni.cz/services/teitok/pdtc10/index.php?action=vallex&amp;frame=v-w5202hsa_1896", "připadat (v-w5202hsa_1896) - substituted with v-w5202f9_ZU")</f>
        <v>připadat (v-w5202hsa_1896) - substituted with v-w5202f9_ZU</v>
      </c>
    </row>
    <row r="38591" customFormat="false" ht="12.8" hidden="false" customHeight="false" outlineLevel="0" collapsed="false">
      <c r="B38591" s="0" t="s">
        <v>603</v>
      </c>
    </row>
    <row r="38592" customFormat="false" ht="12.8" hidden="false" customHeight="false" outlineLevel="0" collapsed="false">
      <c r="B38592" s="0" t="s">
        <v>13940</v>
      </c>
    </row>
    <row r="38593" customFormat="false" ht="12.8" hidden="false" customHeight="false" outlineLevel="0" collapsed="false">
      <c r="B38593" s="0" t="s">
        <v>13941</v>
      </c>
    </row>
    <row r="38595" customFormat="false" ht="12.8" hidden="false" customHeight="false" outlineLevel="0" collapsed="false">
      <c r="A38595" s="0" t="s">
        <v>13945</v>
      </c>
      <c r="B38595" s="0" t="str">
        <f aca="false">HYPERLINK("https://lindat.mff.cuni.cz/services/teitok/pdtc10/index.php?action=vallex&amp;frame=v-w5202f7", "připadat (v-w5202f7)")</f>
        <v>připadat (v-w5202f7)</v>
      </c>
    </row>
    <row r="38596" customFormat="false" ht="12.8" hidden="false" customHeight="false" outlineLevel="0" collapsed="false">
      <c r="B38596" s="0" t="s">
        <v>7</v>
      </c>
    </row>
    <row r="38597" customFormat="false" ht="12.8" hidden="false" customHeight="false" outlineLevel="0" collapsed="false">
      <c r="B38597" s="0" t="s">
        <v>142</v>
      </c>
    </row>
    <row r="38599" customFormat="false" ht="12.8" hidden="false" customHeight="false" outlineLevel="0" collapsed="false">
      <c r="A38599" s="0" t="s">
        <v>13946</v>
      </c>
      <c r="B38599" s="0" t="str">
        <f aca="false">HYPERLINK("https://lindat.mff.cuni.cz/services/teitok/pdtc10/index.php?action=vallex&amp;frame=v-w5202f1", "připadat (v-w5202f1)")</f>
        <v>připadat (v-w5202f1)</v>
      </c>
    </row>
    <row r="38600" customFormat="false" ht="12.8" hidden="false" customHeight="false" outlineLevel="0" collapsed="false">
      <c r="B38600" s="0" t="s">
        <v>7</v>
      </c>
      <c r="C38600" s="0" t="s">
        <v>13947</v>
      </c>
    </row>
    <row r="38601" customFormat="false" ht="12.8" hidden="false" customHeight="false" outlineLevel="0" collapsed="false">
      <c r="B38601" s="0" t="s">
        <v>41</v>
      </c>
      <c r="C38601" s="0" t="s">
        <v>13948</v>
      </c>
    </row>
    <row r="38603" customFormat="false" ht="12.8" hidden="false" customHeight="false" outlineLevel="0" collapsed="false">
      <c r="A38603" s="0" t="s">
        <v>13949</v>
      </c>
      <c r="B38603" s="0" t="str">
        <f aca="false">HYPERLINK("https://lindat.mff.cuni.cz/services/teitok/pdtc10/index.php?action=vallex&amp;frame=v-w5202f4", "připadat (v-w5202f4)")</f>
        <v>připadat (v-w5202f4)</v>
      </c>
    </row>
    <row r="38604" customFormat="false" ht="12.8" hidden="false" customHeight="false" outlineLevel="0" collapsed="false">
      <c r="B38604" s="0" t="s">
        <v>603</v>
      </c>
      <c r="C38604" s="0" t="s">
        <v>13950</v>
      </c>
      <c r="D38604" s="0" t="s">
        <v>13951</v>
      </c>
      <c r="E38604" s="0" t="s">
        <v>13951</v>
      </c>
      <c r="F38604" s="0" t="s">
        <v>13951</v>
      </c>
    </row>
    <row r="38605" customFormat="false" ht="12.8" hidden="false" customHeight="false" outlineLevel="0" collapsed="false">
      <c r="B38605" s="0" t="s">
        <v>2933</v>
      </c>
      <c r="C38605" s="0" t="s">
        <v>2641</v>
      </c>
      <c r="D38605" s="0" t="s">
        <v>1551</v>
      </c>
      <c r="E38605" s="0" t="s">
        <v>1551</v>
      </c>
      <c r="F38605" s="0" t="s">
        <v>1551</v>
      </c>
    </row>
    <row r="38607" customFormat="false" ht="12.8" hidden="false" customHeight="false" outlineLevel="0" collapsed="false">
      <c r="A38607" s="0" t="s">
        <v>13952</v>
      </c>
      <c r="B38607" s="0" t="str">
        <f aca="false">HYPERLINK("https://lindat.mff.cuni.cz/services/teitok/pdtc10/index.php?action=vallex&amp;frame=v-w5202f5", "připadat (v-w5202f5)")</f>
        <v>připadat (v-w5202f5)</v>
      </c>
    </row>
    <row r="38608" customFormat="false" ht="12.8" hidden="false" customHeight="false" outlineLevel="0" collapsed="false">
      <c r="B38608" s="0" t="s">
        <v>7</v>
      </c>
      <c r="C38608" s="0" t="s">
        <v>247</v>
      </c>
      <c r="D38608" s="0" t="s">
        <v>16</v>
      </c>
      <c r="E38608" s="0" t="s">
        <v>16</v>
      </c>
      <c r="F38608" s="0" t="s">
        <v>16</v>
      </c>
    </row>
    <row r="38609" customFormat="false" ht="12.8" hidden="false" customHeight="false" outlineLevel="0" collapsed="false">
      <c r="B38609" s="0" t="s">
        <v>13953</v>
      </c>
      <c r="C38609" s="0" t="s">
        <v>13954</v>
      </c>
      <c r="D38609" s="0" t="s">
        <v>1493</v>
      </c>
      <c r="E38609" s="0" t="s">
        <v>1493</v>
      </c>
      <c r="F38609" s="0" t="s">
        <v>1493</v>
      </c>
    </row>
    <row r="38611" customFormat="false" ht="12.8" hidden="false" customHeight="false" outlineLevel="0" collapsed="false">
      <c r="A38611" s="0" t="s">
        <v>13955</v>
      </c>
      <c r="B38611" s="0" t="str">
        <f aca="false">HYPERLINK("https://lindat.mff.cuni.cz/services/teitok/pdtc10/index.php?action=vallex&amp;frame=v-w5202f6", "připadat (v-w5202f6)")</f>
        <v>připadat (v-w5202f6)</v>
      </c>
    </row>
    <row r="38612" customFormat="false" ht="12.8" hidden="false" customHeight="false" outlineLevel="0" collapsed="false">
      <c r="B38612" s="0" t="s">
        <v>2401</v>
      </c>
    </row>
    <row r="38614" customFormat="false" ht="12.8" hidden="false" customHeight="false" outlineLevel="0" collapsed="false">
      <c r="A38614" s="0" t="s">
        <v>13956</v>
      </c>
      <c r="B38614" s="0" t="str">
        <f aca="false">HYPERLINK("https://lindat.mff.cuni.cz/services/teitok/pdtc10/index.php?action=vallex&amp;frame=v-w5202f3", "připadat (v-w5202f3)")</f>
        <v>připadat (v-w5202f3)</v>
      </c>
    </row>
    <row r="38615" customFormat="false" ht="12.8" hidden="false" customHeight="false" outlineLevel="0" collapsed="false">
      <c r="B38615" s="0" t="s">
        <v>265</v>
      </c>
    </row>
    <row r="38616" customFormat="false" ht="12.8" hidden="false" customHeight="false" outlineLevel="0" collapsed="false">
      <c r="B38616" s="0" t="s">
        <v>13522</v>
      </c>
    </row>
    <row r="38618" customFormat="false" ht="12.8" hidden="false" customHeight="false" outlineLevel="0" collapsed="false">
      <c r="A38618" s="0" t="s">
        <v>13957</v>
      </c>
      <c r="B38618" s="0" t="str">
        <f aca="false">HYPERLINK("https://lindat.mff.cuni.cz/services/teitok/pdtc10/index.php?action=vallex&amp;frame=v-w5203f2", "připadat si (v-w5203f2)")</f>
        <v>připadat si (v-w5203f2)</v>
      </c>
    </row>
    <row r="38619" customFormat="false" ht="12.8" hidden="false" customHeight="false" outlineLevel="0" collapsed="false">
      <c r="B38619" s="0" t="s">
        <v>7</v>
      </c>
    </row>
    <row r="38620" customFormat="false" ht="12.8" hidden="false" customHeight="false" outlineLevel="0" collapsed="false">
      <c r="B38620" s="0" t="s">
        <v>13958</v>
      </c>
    </row>
    <row r="38622" customFormat="false" ht="12.8" hidden="false" customHeight="false" outlineLevel="0" collapsed="false">
      <c r="A38622" s="0" t="s">
        <v>13959</v>
      </c>
      <c r="B38622" s="0" t="str">
        <f aca="false">HYPERLINK("https://lindat.mff.cuni.cz/services/teitok/pdtc10/index.php?action=vallex&amp;frame=v-w5203f1", "připadat si (v-w5203f1)")</f>
        <v>připadat si (v-w5203f1)</v>
      </c>
    </row>
    <row r="38623" customFormat="false" ht="12.8" hidden="false" customHeight="false" outlineLevel="0" collapsed="false">
      <c r="B38623" s="0" t="s">
        <v>7</v>
      </c>
      <c r="C38623" s="0" t="s">
        <v>4824</v>
      </c>
      <c r="D38623" s="0" t="s">
        <v>1465</v>
      </c>
      <c r="E38623" s="0" t="s">
        <v>1465</v>
      </c>
      <c r="F38623" s="0" t="s">
        <v>1465</v>
      </c>
    </row>
    <row r="38624" customFormat="false" ht="12.8" hidden="false" customHeight="false" outlineLevel="0" collapsed="false">
      <c r="B38624" s="0" t="s">
        <v>474</v>
      </c>
      <c r="C38624" s="0" t="s">
        <v>1478</v>
      </c>
      <c r="D38624" s="0" t="s">
        <v>1479</v>
      </c>
      <c r="E38624" s="0" t="s">
        <v>1479</v>
      </c>
      <c r="F38624" s="0" t="s">
        <v>1479</v>
      </c>
    </row>
    <row r="38625" customFormat="false" ht="12.8" hidden="false" customHeight="false" outlineLevel="0" collapsed="false">
      <c r="B38625" s="0" t="s">
        <v>483</v>
      </c>
      <c r="D38625" s="0" t="s">
        <v>1480</v>
      </c>
      <c r="E38625" s="0" t="s">
        <v>1480</v>
      </c>
      <c r="F38625" s="0" t="s">
        <v>1480</v>
      </c>
    </row>
    <row r="38627" customFormat="false" ht="12.8" hidden="false" customHeight="false" outlineLevel="0" collapsed="false">
      <c r="A38627" s="0" t="s">
        <v>13960</v>
      </c>
      <c r="B38627" s="0" t="str">
        <f aca="false">HYPERLINK("https://lindat.mff.cuni.cz/services/teitok/pdtc10/index.php?action=vallex&amp;frame=v-w5204f5", "připadnout (v-w5204f5)")</f>
        <v>připadnout (v-w5204f5)</v>
      </c>
    </row>
    <row r="38628" customFormat="false" ht="12.8" hidden="false" customHeight="false" outlineLevel="0" collapsed="false">
      <c r="B38628" s="0" t="s">
        <v>603</v>
      </c>
      <c r="D38628" s="0" t="s">
        <v>2022</v>
      </c>
      <c r="E38628" s="0" t="s">
        <v>2022</v>
      </c>
      <c r="F38628" s="0" t="s">
        <v>2022</v>
      </c>
    </row>
    <row r="38629" customFormat="false" ht="12.8" hidden="false" customHeight="false" outlineLevel="0" collapsed="false">
      <c r="B38629" s="0" t="s">
        <v>13961</v>
      </c>
      <c r="D38629" s="0" t="s">
        <v>2027</v>
      </c>
      <c r="E38629" s="0" t="s">
        <v>2027</v>
      </c>
      <c r="F38629" s="0" t="s">
        <v>2027</v>
      </c>
    </row>
    <row r="38630" customFormat="false" ht="12.8" hidden="false" customHeight="false" outlineLevel="0" collapsed="false">
      <c r="B38630" s="0" t="s">
        <v>13962</v>
      </c>
      <c r="D38630" s="0" t="s">
        <v>2025</v>
      </c>
      <c r="E38630" s="0" t="s">
        <v>2025</v>
      </c>
      <c r="F38630" s="0" t="s">
        <v>2025</v>
      </c>
    </row>
    <row r="38632" customFormat="false" ht="12.8" hidden="false" customHeight="false" outlineLevel="0" collapsed="false">
      <c r="A38632" s="0" t="s">
        <v>13963</v>
      </c>
      <c r="B38632" s="0" t="str">
        <f aca="false">HYPERLINK("https://lindat.mff.cuni.cz/services/teitok/pdtc10/index.php?action=vallex&amp;frame=v-w5204f1", "připadnout (v-w5204f1)")</f>
        <v>připadnout (v-w5204f1)</v>
      </c>
    </row>
    <row r="38633" customFormat="false" ht="12.8" hidden="false" customHeight="false" outlineLevel="0" collapsed="false">
      <c r="B38633" s="0" t="s">
        <v>7</v>
      </c>
      <c r="C38633" s="0" t="s">
        <v>13964</v>
      </c>
      <c r="D38633" s="0" t="s">
        <v>4398</v>
      </c>
      <c r="E38633" s="0" t="s">
        <v>4398</v>
      </c>
      <c r="F38633" s="0" t="s">
        <v>4398</v>
      </c>
    </row>
    <row r="38634" customFormat="false" ht="12.8" hidden="false" customHeight="false" outlineLevel="0" collapsed="false">
      <c r="B38634" s="0" t="s">
        <v>142</v>
      </c>
      <c r="C38634" s="0" t="s">
        <v>13965</v>
      </c>
      <c r="D38634" s="0" t="s">
        <v>4400</v>
      </c>
      <c r="E38634" s="0" t="s">
        <v>4400</v>
      </c>
      <c r="F38634" s="0" t="s">
        <v>4400</v>
      </c>
    </row>
    <row r="38636" customFormat="false" ht="12.8" hidden="false" customHeight="false" outlineLevel="0" collapsed="false">
      <c r="A38636" s="0" t="s">
        <v>13966</v>
      </c>
      <c r="B38636" s="0" t="str">
        <f aca="false">HYPERLINK("https://lindat.mff.cuni.cz/services/teitok/pdtc10/index.php?action=vallex&amp;frame=v-w5204f8_ZU", "připadnout (v-w5204f8_ZU)")</f>
        <v>připadnout (v-w5204f8_ZU)</v>
      </c>
    </row>
    <row r="38637" customFormat="false" ht="12.8" hidden="false" customHeight="false" outlineLevel="0" collapsed="false">
      <c r="B38637" s="0" t="s">
        <v>7</v>
      </c>
    </row>
    <row r="38638" customFormat="false" ht="12.8" hidden="false" customHeight="false" outlineLevel="0" collapsed="false">
      <c r="B38638" s="0" t="s">
        <v>41</v>
      </c>
    </row>
    <row r="38640" customFormat="false" ht="12.8" hidden="false" customHeight="false" outlineLevel="0" collapsed="false">
      <c r="A38640" s="0" t="s">
        <v>13966</v>
      </c>
      <c r="B38640" s="0" t="str">
        <f aca="false">HYPERLINK("https://lindat.mff.cuni.cz/services/teitok/pdtc10/index.php?action=vallex&amp;frame=v-w5204f2", "připadnout (v-w5204f2) - substituted with v-w5204f8_ZU")</f>
        <v>připadnout (v-w5204f2) - substituted with v-w5204f8_ZU</v>
      </c>
    </row>
    <row r="38641" customFormat="false" ht="12.8" hidden="false" customHeight="false" outlineLevel="0" collapsed="false">
      <c r="B38641" s="0" t="s">
        <v>7</v>
      </c>
      <c r="C38641" s="0" t="s">
        <v>396</v>
      </c>
    </row>
    <row r="38642" customFormat="false" ht="12.8" hidden="false" customHeight="false" outlineLevel="0" collapsed="false">
      <c r="B38642" s="0" t="s">
        <v>41</v>
      </c>
      <c r="C38642" s="0" t="s">
        <v>13967</v>
      </c>
    </row>
    <row r="38644" customFormat="false" ht="12.8" hidden="false" customHeight="false" outlineLevel="0" collapsed="false">
      <c r="A38644" s="0" t="s">
        <v>13966</v>
      </c>
      <c r="B38644" s="0" t="str">
        <f aca="false">HYPERLINK("https://lindat.mff.cuni.cz/services/teitok/pdtc10/index.php?action=vallex&amp;frame=v-w5204f7_ZU", "připadnout (v-w5204f7_ZU) - substituted with v-w5204f8_ZU")</f>
        <v>připadnout (v-w5204f7_ZU) - substituted with v-w5204f8_ZU</v>
      </c>
    </row>
    <row r="38645" customFormat="false" ht="12.8" hidden="false" customHeight="false" outlineLevel="0" collapsed="false">
      <c r="B38645" s="0" t="s">
        <v>7</v>
      </c>
    </row>
    <row r="38646" customFormat="false" ht="12.8" hidden="false" customHeight="false" outlineLevel="0" collapsed="false">
      <c r="B38646" s="0" t="s">
        <v>41</v>
      </c>
    </row>
    <row r="38648" customFormat="false" ht="12.8" hidden="false" customHeight="false" outlineLevel="0" collapsed="false">
      <c r="A38648" s="0" t="s">
        <v>13968</v>
      </c>
      <c r="B38648" s="0" t="str">
        <f aca="false">HYPERLINK("https://lindat.mff.cuni.cz/services/teitok/pdtc10/index.php?action=vallex&amp;frame=v-w5204f6", "připadnout (v-w5204f6)")</f>
        <v>připadnout (v-w5204f6)</v>
      </c>
    </row>
    <row r="38649" customFormat="false" ht="12.8" hidden="false" customHeight="false" outlineLevel="0" collapsed="false">
      <c r="B38649" s="0" t="s">
        <v>603</v>
      </c>
      <c r="D38649" s="0" t="s">
        <v>13951</v>
      </c>
      <c r="E38649" s="0" t="s">
        <v>13951</v>
      </c>
      <c r="F38649" s="0" t="s">
        <v>13951</v>
      </c>
    </row>
    <row r="38650" customFormat="false" ht="12.8" hidden="false" customHeight="false" outlineLevel="0" collapsed="false">
      <c r="B38650" s="0" t="s">
        <v>2933</v>
      </c>
      <c r="D38650" s="0" t="s">
        <v>1551</v>
      </c>
      <c r="E38650" s="0" t="s">
        <v>1551</v>
      </c>
      <c r="F38650" s="0" t="s">
        <v>1551</v>
      </c>
    </row>
    <row r="38652" customFormat="false" ht="12.8" hidden="false" customHeight="false" outlineLevel="0" collapsed="false">
      <c r="A38652" s="0" t="s">
        <v>13969</v>
      </c>
      <c r="B38652" s="0" t="str">
        <f aca="false">HYPERLINK("https://lindat.mff.cuni.cz/services/teitok/pdtc10/index.php?action=vallex&amp;frame=v-w5204f4", "připadnout (v-w5204f4)")</f>
        <v>připadnout (v-w5204f4)</v>
      </c>
    </row>
    <row r="38653" customFormat="false" ht="12.8" hidden="false" customHeight="false" outlineLevel="0" collapsed="false">
      <c r="B38653" s="0" t="s">
        <v>7</v>
      </c>
    </row>
    <row r="38654" customFormat="false" ht="12.8" hidden="false" customHeight="false" outlineLevel="0" collapsed="false">
      <c r="B38654" s="0" t="s">
        <v>124</v>
      </c>
    </row>
    <row r="38656" customFormat="false" ht="12.8" hidden="false" customHeight="false" outlineLevel="0" collapsed="false">
      <c r="A38656" s="0" t="s">
        <v>13970</v>
      </c>
      <c r="B38656" s="0" t="str">
        <f aca="false">HYPERLINK("https://lindat.mff.cuni.cz/services/teitok/pdtc10/index.php?action=vallex&amp;frame=v-w5204f3", "připadnout (v-w5204f3)")</f>
        <v>připadnout (v-w5204f3)</v>
      </c>
    </row>
    <row r="38657" customFormat="false" ht="12.8" hidden="false" customHeight="false" outlineLevel="0" collapsed="false">
      <c r="B38657" s="0" t="s">
        <v>7</v>
      </c>
      <c r="C38657" s="0" t="s">
        <v>247</v>
      </c>
      <c r="D38657" s="0" t="s">
        <v>16</v>
      </c>
      <c r="E38657" s="0" t="s">
        <v>16</v>
      </c>
      <c r="F38657" s="0" t="s">
        <v>16</v>
      </c>
    </row>
    <row r="38658" customFormat="false" ht="12.8" hidden="false" customHeight="false" outlineLevel="0" collapsed="false">
      <c r="B38658" s="0" t="s">
        <v>13953</v>
      </c>
      <c r="C38658" s="0" t="s">
        <v>13954</v>
      </c>
      <c r="D38658" s="0" t="s">
        <v>1493</v>
      </c>
      <c r="E38658" s="0" t="s">
        <v>1493</v>
      </c>
      <c r="F38658" s="0" t="s">
        <v>1493</v>
      </c>
    </row>
    <row r="38660" customFormat="false" ht="12.8" hidden="false" customHeight="false" outlineLevel="0" collapsed="false">
      <c r="A38660" s="0" t="s">
        <v>13971</v>
      </c>
      <c r="B38660" s="0" t="str">
        <f aca="false">HYPERLINK("https://lindat.mff.cuni.cz/services/teitok/pdtc10/index.php?action=vallex&amp;frame=v-w5204f9_ZU", "připadnout (v-w5204f9_ZU)")</f>
        <v>připadnout (v-w5204f9_ZU)</v>
      </c>
    </row>
    <row r="38661" customFormat="false" ht="12.8" hidden="false" customHeight="false" outlineLevel="0" collapsed="false">
      <c r="B38661" s="0" t="s">
        <v>7</v>
      </c>
    </row>
    <row r="38662" customFormat="false" ht="12.8" hidden="false" customHeight="false" outlineLevel="0" collapsed="false">
      <c r="B38662" s="0" t="s">
        <v>41</v>
      </c>
    </row>
    <row r="38664" customFormat="false" ht="12.8" hidden="false" customHeight="false" outlineLevel="0" collapsed="false">
      <c r="A38664" s="0" t="s">
        <v>13972</v>
      </c>
      <c r="B38664" s="0" t="str">
        <f aca="false">HYPERLINK("https://lindat.mff.cuni.cz/services/teitok/pdtc10/index.php?action=vallex&amp;frame=v-w5205f1", "připevnit (v-w5205f1)")</f>
        <v>připevnit (v-w5205f1)</v>
      </c>
    </row>
    <row r="38665" customFormat="false" ht="12.8" hidden="false" customHeight="false" outlineLevel="0" collapsed="false">
      <c r="B38665" s="0" t="s">
        <v>7</v>
      </c>
      <c r="C38665" s="0" t="s">
        <v>46</v>
      </c>
      <c r="D38665" s="0" t="s">
        <v>113</v>
      </c>
      <c r="E38665" s="0" t="s">
        <v>113</v>
      </c>
      <c r="F38665" s="0" t="s">
        <v>113</v>
      </c>
    </row>
    <row r="38666" customFormat="false" ht="12.8" hidden="false" customHeight="false" outlineLevel="0" collapsed="false">
      <c r="B38666" s="0" t="s">
        <v>14</v>
      </c>
      <c r="C38666" s="0" t="s">
        <v>155</v>
      </c>
      <c r="D38666" s="0" t="s">
        <v>6903</v>
      </c>
      <c r="E38666" s="0" t="s">
        <v>6903</v>
      </c>
      <c r="F38666" s="0" t="s">
        <v>6903</v>
      </c>
    </row>
    <row r="38668" customFormat="false" ht="12.8" hidden="false" customHeight="false" outlineLevel="0" collapsed="false">
      <c r="A38668" s="0" t="s">
        <v>13973</v>
      </c>
      <c r="B38668" s="0" t="str">
        <f aca="false">HYPERLINK("https://lindat.mff.cuni.cz/services/teitok/pdtc10/index.php?action=vallex&amp;frame=v-whsa_724hsa_725", "připevňovat (v-whsa_724hsa_725)")</f>
        <v>připevňovat (v-whsa_724hsa_725)</v>
      </c>
    </row>
    <row r="38669" customFormat="false" ht="12.8" hidden="false" customHeight="false" outlineLevel="0" collapsed="false">
      <c r="B38669" s="0" t="s">
        <v>7</v>
      </c>
      <c r="C38669" s="0" t="s">
        <v>191</v>
      </c>
      <c r="D38669" s="0" t="s">
        <v>113</v>
      </c>
      <c r="E38669" s="0" t="s">
        <v>113</v>
      </c>
      <c r="F38669" s="0" t="s">
        <v>113</v>
      </c>
    </row>
    <row r="38670" customFormat="false" ht="12.8" hidden="false" customHeight="false" outlineLevel="0" collapsed="false">
      <c r="B38670" s="0" t="s">
        <v>14</v>
      </c>
      <c r="C38670" s="0" t="s">
        <v>155</v>
      </c>
      <c r="D38670" s="0" t="s">
        <v>6903</v>
      </c>
      <c r="E38670" s="0" t="s">
        <v>6903</v>
      </c>
      <c r="F38670" s="0" t="s">
        <v>6903</v>
      </c>
    </row>
    <row r="38672" customFormat="false" ht="12.8" hidden="false" customHeight="false" outlineLevel="0" collapsed="false">
      <c r="A38672" s="0" t="s">
        <v>13974</v>
      </c>
      <c r="B38672" s="0" t="str">
        <f aca="false">HYPERLINK("https://lindat.mff.cuni.cz/services/teitok/pdtc10/index.php?action=vallex&amp;frame=v-w5207f1", "připisovat (v-w5207f1)")</f>
        <v>připisovat (v-w5207f1)</v>
      </c>
    </row>
    <row r="38673" customFormat="false" ht="12.8" hidden="false" customHeight="false" outlineLevel="0" collapsed="false">
      <c r="B38673" s="0" t="s">
        <v>7</v>
      </c>
      <c r="C38673" s="0" t="s">
        <v>13975</v>
      </c>
      <c r="D38673" s="0" t="s">
        <v>1801</v>
      </c>
      <c r="E38673" s="0" t="s">
        <v>1801</v>
      </c>
      <c r="F38673" s="0" t="s">
        <v>1801</v>
      </c>
    </row>
    <row r="38674" customFormat="false" ht="12.8" hidden="false" customHeight="false" outlineLevel="0" collapsed="false">
      <c r="B38674" s="0" t="s">
        <v>54</v>
      </c>
      <c r="C38674" s="0" t="s">
        <v>13976</v>
      </c>
      <c r="D38674" s="0" t="s">
        <v>9938</v>
      </c>
      <c r="E38674" s="0" t="s">
        <v>9938</v>
      </c>
      <c r="F38674" s="0" t="s">
        <v>9938</v>
      </c>
    </row>
    <row r="38675" customFormat="false" ht="12.8" hidden="false" customHeight="false" outlineLevel="0" collapsed="false">
      <c r="B38675" s="0" t="s">
        <v>48</v>
      </c>
      <c r="C38675" s="0" t="s">
        <v>13977</v>
      </c>
      <c r="D38675" s="0" t="s">
        <v>9939</v>
      </c>
      <c r="E38675" s="0" t="s">
        <v>9939</v>
      </c>
      <c r="F38675" s="0" t="s">
        <v>9939</v>
      </c>
    </row>
    <row r="38677" customFormat="false" ht="12.8" hidden="false" customHeight="false" outlineLevel="0" collapsed="false">
      <c r="A38677" s="0" t="s">
        <v>13978</v>
      </c>
      <c r="B38677" s="0" t="str">
        <f aca="false">HYPERLINK("https://lindat.mff.cuni.cz/services/teitok/pdtc10/index.php?action=vallex&amp;frame=v-w5207f2", "připisovat (v-w5207f2)")</f>
        <v>připisovat (v-w5207f2)</v>
      </c>
    </row>
    <row r="38678" customFormat="false" ht="12.8" hidden="false" customHeight="false" outlineLevel="0" collapsed="false">
      <c r="B38678" s="0" t="s">
        <v>7</v>
      </c>
      <c r="C38678" s="0" t="s">
        <v>623</v>
      </c>
      <c r="D38678" s="0" t="s">
        <v>13454</v>
      </c>
      <c r="E38678" s="0" t="s">
        <v>13454</v>
      </c>
      <c r="F38678" s="0" t="s">
        <v>13454</v>
      </c>
    </row>
    <row r="38679" customFormat="false" ht="12.8" hidden="false" customHeight="false" outlineLevel="0" collapsed="false">
      <c r="B38679" s="0" t="s">
        <v>14</v>
      </c>
      <c r="C38679" s="0" t="s">
        <v>1170</v>
      </c>
      <c r="D38679" s="0" t="s">
        <v>13455</v>
      </c>
      <c r="E38679" s="0" t="s">
        <v>13455</v>
      </c>
      <c r="F38679" s="0" t="s">
        <v>13455</v>
      </c>
    </row>
    <row r="38680" customFormat="false" ht="12.8" hidden="false" customHeight="false" outlineLevel="0" collapsed="false">
      <c r="B38680" s="0" t="s">
        <v>124</v>
      </c>
      <c r="D38680" s="0" t="s">
        <v>4224</v>
      </c>
      <c r="E38680" s="0" t="s">
        <v>4224</v>
      </c>
      <c r="F38680" s="0" t="s">
        <v>4224</v>
      </c>
    </row>
    <row r="38682" customFormat="false" ht="12.8" hidden="false" customHeight="false" outlineLevel="0" collapsed="false">
      <c r="A38682" s="0" t="s">
        <v>13979</v>
      </c>
      <c r="B38682" s="0" t="str">
        <f aca="false">HYPERLINK("https://lindat.mff.cuni.cz/services/teitok/pdtc10/index.php?action=vallex&amp;frame=v-w5211f1", "připlatit (v-w5211f1)")</f>
        <v>připlatit (v-w5211f1)</v>
      </c>
    </row>
    <row r="38683" customFormat="false" ht="12.8" hidden="false" customHeight="false" outlineLevel="0" collapsed="false">
      <c r="B38683" s="0" t="s">
        <v>7</v>
      </c>
      <c r="C38683" s="0" t="s">
        <v>13980</v>
      </c>
    </row>
    <row r="38684" customFormat="false" ht="12.8" hidden="false" customHeight="false" outlineLevel="0" collapsed="false">
      <c r="B38684" s="0" t="s">
        <v>679</v>
      </c>
    </row>
    <row r="38685" customFormat="false" ht="12.8" hidden="false" customHeight="false" outlineLevel="0" collapsed="false">
      <c r="B38685" s="0" t="s">
        <v>1654</v>
      </c>
      <c r="C38685" s="0" t="s">
        <v>9683</v>
      </c>
    </row>
    <row r="38686" customFormat="false" ht="12.8" hidden="false" customHeight="false" outlineLevel="0" collapsed="false">
      <c r="B38686" s="0" t="s">
        <v>106</v>
      </c>
      <c r="C38686" s="0" t="s">
        <v>9684</v>
      </c>
    </row>
    <row r="38688" customFormat="false" ht="12.8" hidden="false" customHeight="false" outlineLevel="0" collapsed="false">
      <c r="A38688" s="0" t="s">
        <v>13981</v>
      </c>
      <c r="B38688" s="0" t="str">
        <f aca="false">HYPERLINK("https://lindat.mff.cuni.cz/services/teitok/pdtc10/index.php?action=vallex&amp;frame=v-whsa_864hsa_865", "připlavat (v-whsa_864hsa_865)")</f>
        <v>připlavat (v-whsa_864hsa_865)</v>
      </c>
    </row>
    <row r="38689" customFormat="false" ht="12.8" hidden="false" customHeight="false" outlineLevel="0" collapsed="false">
      <c r="B38689" s="0" t="s">
        <v>7</v>
      </c>
    </row>
    <row r="38690" customFormat="false" ht="12.8" hidden="false" customHeight="false" outlineLevel="0" collapsed="false">
      <c r="B38690" s="0" t="s">
        <v>124</v>
      </c>
    </row>
    <row r="38692" customFormat="false" ht="12.8" hidden="false" customHeight="false" outlineLevel="0" collapsed="false">
      <c r="A38692" s="0" t="s">
        <v>13982</v>
      </c>
      <c r="B38692" s="0" t="str">
        <f aca="false">HYPERLINK("https://lindat.mff.cuni.cz/services/teitok/pdtc10/index.php?action=vallex&amp;frame=v-w5212f1", "připlout (v-w5212f1)")</f>
        <v>připlout (v-w5212f1)</v>
      </c>
    </row>
    <row r="38693" customFormat="false" ht="12.8" hidden="false" customHeight="false" outlineLevel="0" collapsed="false">
      <c r="B38693" s="0" t="s">
        <v>7</v>
      </c>
    </row>
    <row r="38694" customFormat="false" ht="12.8" hidden="false" customHeight="false" outlineLevel="0" collapsed="false">
      <c r="B38694" s="0" t="s">
        <v>124</v>
      </c>
    </row>
    <row r="38696" customFormat="false" ht="12.8" hidden="false" customHeight="false" outlineLevel="0" collapsed="false">
      <c r="A38696" s="0" t="s">
        <v>13983</v>
      </c>
      <c r="B38696" s="0" t="str">
        <f aca="false">HYPERLINK("https://lindat.mff.cuni.cz/services/teitok/pdtc10/index.php?action=vallex&amp;frame=v-w11562_ZUf1_ZU", "připlouvat (v-w11562_ZUf1_ZU)")</f>
        <v>připlouvat (v-w11562_ZUf1_ZU)</v>
      </c>
    </row>
    <row r="38697" customFormat="false" ht="12.8" hidden="false" customHeight="false" outlineLevel="0" collapsed="false">
      <c r="B38697" s="0" t="s">
        <v>7</v>
      </c>
      <c r="D38697" s="0" t="s">
        <v>284</v>
      </c>
      <c r="E38697" s="0" t="s">
        <v>284</v>
      </c>
      <c r="F38697" s="0" t="s">
        <v>284</v>
      </c>
    </row>
    <row r="38698" customFormat="false" ht="12.8" hidden="false" customHeight="false" outlineLevel="0" collapsed="false">
      <c r="B38698" s="0" t="s">
        <v>338</v>
      </c>
      <c r="D38698" s="0" t="s">
        <v>285</v>
      </c>
      <c r="E38698" s="0" t="s">
        <v>285</v>
      </c>
      <c r="F38698" s="0" t="s">
        <v>285</v>
      </c>
    </row>
    <row r="38700" customFormat="false" ht="12.8" hidden="false" customHeight="false" outlineLevel="0" collapsed="false">
      <c r="A38700" s="0" t="s">
        <v>13984</v>
      </c>
      <c r="B38700" s="0" t="str">
        <f aca="false">HYPERLINK("https://lindat.mff.cuni.cz/services/teitok/pdtc10/index.php?action=vallex&amp;frame=v-w5213f1", "připlynout (v-w5213f1)")</f>
        <v>připlynout (v-w5213f1)</v>
      </c>
    </row>
    <row r="38701" customFormat="false" ht="12.8" hidden="false" customHeight="false" outlineLevel="0" collapsed="false">
      <c r="B38701" s="0" t="s">
        <v>7</v>
      </c>
    </row>
    <row r="38702" customFormat="false" ht="12.8" hidden="false" customHeight="false" outlineLevel="0" collapsed="false">
      <c r="B38702" s="0" t="s">
        <v>124</v>
      </c>
    </row>
    <row r="38704" customFormat="false" ht="12.8" hidden="false" customHeight="false" outlineLevel="0" collapsed="false">
      <c r="A38704" s="0" t="s">
        <v>13985</v>
      </c>
      <c r="B38704" s="0" t="str">
        <f aca="false">HYPERLINK("https://lindat.mff.cuni.cz/services/teitok/pdtc10/index.php?action=vallex&amp;frame=v-w5209f1", "připlácet (v-w5209f1)")</f>
        <v>připlácet (v-w5209f1)</v>
      </c>
    </row>
    <row r="38705" customFormat="false" ht="12.8" hidden="false" customHeight="false" outlineLevel="0" collapsed="false">
      <c r="B38705" s="0" t="s">
        <v>7</v>
      </c>
      <c r="D38705" s="0" t="s">
        <v>2088</v>
      </c>
      <c r="E38705" s="0" t="s">
        <v>2088</v>
      </c>
      <c r="F38705" s="0" t="s">
        <v>2088</v>
      </c>
    </row>
    <row r="38706" customFormat="false" ht="12.8" hidden="false" customHeight="false" outlineLevel="0" collapsed="false">
      <c r="B38706" s="0" t="s">
        <v>679</v>
      </c>
      <c r="D38706" s="0" t="s">
        <v>2096</v>
      </c>
      <c r="E38706" s="0" t="s">
        <v>2096</v>
      </c>
      <c r="F38706" s="0" t="s">
        <v>2096</v>
      </c>
    </row>
    <row r="38707" customFormat="false" ht="12.8" hidden="false" customHeight="false" outlineLevel="0" collapsed="false">
      <c r="B38707" s="0" t="s">
        <v>1654</v>
      </c>
    </row>
    <row r="38708" customFormat="false" ht="12.8" hidden="false" customHeight="false" outlineLevel="0" collapsed="false">
      <c r="B38708" s="0" t="s">
        <v>106</v>
      </c>
      <c r="D38708" s="0" t="s">
        <v>2090</v>
      </c>
      <c r="E38708" s="0" t="s">
        <v>2090</v>
      </c>
      <c r="F38708" s="0" t="s">
        <v>2090</v>
      </c>
    </row>
    <row r="38710" customFormat="false" ht="12.8" hidden="false" customHeight="false" outlineLevel="0" collapsed="false">
      <c r="A38710" s="0" t="s">
        <v>13986</v>
      </c>
      <c r="B38710" s="0" t="str">
        <f aca="false">HYPERLINK("https://lindat.mff.cuni.cz/services/teitok/pdtc10/index.php?action=vallex&amp;frame=v-w11372f1", "připlést se (v-w11372f1)")</f>
        <v>připlést se (v-w11372f1)</v>
      </c>
    </row>
    <row r="38711" customFormat="false" ht="12.8" hidden="false" customHeight="false" outlineLevel="0" collapsed="false">
      <c r="B38711" s="0" t="s">
        <v>7</v>
      </c>
      <c r="C38711" s="0" t="s">
        <v>247</v>
      </c>
      <c r="D38711" s="0" t="s">
        <v>5834</v>
      </c>
      <c r="E38711" s="0" t="s">
        <v>5834</v>
      </c>
      <c r="F38711" s="0" t="s">
        <v>5834</v>
      </c>
    </row>
    <row r="38712" customFormat="false" ht="12.8" hidden="false" customHeight="false" outlineLevel="0" collapsed="false">
      <c r="B38712" s="0" t="s">
        <v>279</v>
      </c>
      <c r="C38712" s="0" t="s">
        <v>4127</v>
      </c>
      <c r="D38712" s="0" t="s">
        <v>13987</v>
      </c>
      <c r="E38712" s="0" t="s">
        <v>13987</v>
      </c>
      <c r="F38712" s="0" t="s">
        <v>13987</v>
      </c>
    </row>
    <row r="38714" customFormat="false" ht="12.8" hidden="false" customHeight="false" outlineLevel="0" collapsed="false">
      <c r="A38714" s="0" t="s">
        <v>13988</v>
      </c>
      <c r="B38714" s="0" t="str">
        <f aca="false">HYPERLINK("https://lindat.mff.cuni.cz/services/teitok/pdtc10/index.php?action=vallex&amp;frame=v-w11699_ZUf1_ZU", "připlížit se (v-w11699_ZUf1_ZU)")</f>
        <v>připlížit se (v-w11699_ZUf1_ZU)</v>
      </c>
    </row>
    <row r="38715" customFormat="false" ht="12.8" hidden="false" customHeight="false" outlineLevel="0" collapsed="false">
      <c r="B38715" s="0" t="s">
        <v>7</v>
      </c>
    </row>
    <row r="38716" customFormat="false" ht="12.8" hidden="false" customHeight="false" outlineLevel="0" collapsed="false">
      <c r="B38716" s="0" t="s">
        <v>338</v>
      </c>
    </row>
    <row r="38718" customFormat="false" ht="12.8" hidden="false" customHeight="false" outlineLevel="0" collapsed="false">
      <c r="A38718" s="0" t="s">
        <v>13989</v>
      </c>
      <c r="B38718" s="0" t="str">
        <f aca="false">HYPERLINK("https://lindat.mff.cuni.cz/services/teitok/pdtc10/index.php?action=vallex&amp;frame=v-w12305_MMf1_MM", "připnout (v-w12305_MMf1_MM)")</f>
        <v>připnout (v-w12305_MMf1_MM)</v>
      </c>
    </row>
    <row r="38719" customFormat="false" ht="12.8" hidden="false" customHeight="false" outlineLevel="0" collapsed="false">
      <c r="B38719" s="0" t="s">
        <v>7</v>
      </c>
    </row>
    <row r="38720" customFormat="false" ht="12.8" hidden="false" customHeight="false" outlineLevel="0" collapsed="false">
      <c r="B38720" s="0" t="s">
        <v>14</v>
      </c>
    </row>
    <row r="38722" customFormat="false" ht="12.8" hidden="false" customHeight="false" outlineLevel="0" collapsed="false">
      <c r="A38722" s="0" t="s">
        <v>13990</v>
      </c>
      <c r="B38722" s="0" t="str">
        <f aca="false">HYPERLINK("https://lindat.mff.cuni.cz/services/teitok/pdtc10/index.php?action=vallex&amp;frame=v-whsa_348hsa_349", "připodobňovat (v-whsa_348hsa_349)")</f>
        <v>připodobňovat (v-whsa_348hsa_349)</v>
      </c>
    </row>
    <row r="38723" customFormat="false" ht="12.8" hidden="false" customHeight="false" outlineLevel="0" collapsed="false">
      <c r="B38723" s="0" t="s">
        <v>7</v>
      </c>
      <c r="C38723" s="0" t="s">
        <v>191</v>
      </c>
      <c r="D38723" s="0" t="s">
        <v>1826</v>
      </c>
      <c r="E38723" s="0" t="s">
        <v>1826</v>
      </c>
      <c r="F38723" s="0" t="s">
        <v>1826</v>
      </c>
    </row>
    <row r="38724" customFormat="false" ht="12.8" hidden="false" customHeight="false" outlineLevel="0" collapsed="false">
      <c r="B38724" s="0" t="s">
        <v>237</v>
      </c>
      <c r="C38724" s="0" t="s">
        <v>18</v>
      </c>
      <c r="D38724" s="0" t="s">
        <v>13991</v>
      </c>
      <c r="E38724" s="0" t="s">
        <v>13991</v>
      </c>
      <c r="F38724" s="0" t="s">
        <v>13991</v>
      </c>
    </row>
    <row r="38725" customFormat="false" ht="12.8" hidden="false" customHeight="false" outlineLevel="0" collapsed="false">
      <c r="B38725" s="0" t="s">
        <v>81</v>
      </c>
      <c r="C38725" s="0" t="s">
        <v>397</v>
      </c>
      <c r="D38725" s="0" t="s">
        <v>13992</v>
      </c>
      <c r="E38725" s="0" t="s">
        <v>13992</v>
      </c>
      <c r="F38725" s="0" t="s">
        <v>13992</v>
      </c>
    </row>
    <row r="38727" customFormat="false" ht="12.8" hidden="false" customHeight="false" outlineLevel="0" collapsed="false">
      <c r="A38727" s="0" t="s">
        <v>13993</v>
      </c>
      <c r="B38727" s="0" t="str">
        <f aca="false">HYPERLINK("https://lindat.mff.cuni.cz/services/teitok/pdtc10/index.php?action=vallex&amp;frame=v-w5219f1", "připojistit (v-w5219f1)")</f>
        <v>připojistit (v-w5219f1)</v>
      </c>
    </row>
    <row r="38728" customFormat="false" ht="12.8" hidden="false" customHeight="false" outlineLevel="0" collapsed="false">
      <c r="B38728" s="0" t="s">
        <v>7</v>
      </c>
    </row>
    <row r="38729" customFormat="false" ht="12.8" hidden="false" customHeight="false" outlineLevel="0" collapsed="false">
      <c r="B38729" s="0" t="s">
        <v>14</v>
      </c>
    </row>
    <row r="38731" customFormat="false" ht="12.8" hidden="false" customHeight="false" outlineLevel="0" collapsed="false">
      <c r="A38731" s="0" t="s">
        <v>13994</v>
      </c>
      <c r="B38731" s="0" t="str">
        <f aca="false">HYPERLINK("https://lindat.mff.cuni.cz/services/teitok/pdtc10/index.php?action=vallex&amp;frame=v-w5221f3", "připojit (v-w5221f3)")</f>
        <v>připojit (v-w5221f3)</v>
      </c>
    </row>
    <row r="38732" customFormat="false" ht="12.8" hidden="false" customHeight="false" outlineLevel="0" collapsed="false">
      <c r="B38732" s="0" t="s">
        <v>7</v>
      </c>
      <c r="C38732" s="0" t="s">
        <v>13995</v>
      </c>
      <c r="D38732" s="0" t="s">
        <v>13996</v>
      </c>
      <c r="E38732" s="0" t="s">
        <v>13996</v>
      </c>
      <c r="F38732" s="0" t="s">
        <v>13996</v>
      </c>
    </row>
    <row r="38733" customFormat="false" ht="12.8" hidden="false" customHeight="false" outlineLevel="0" collapsed="false">
      <c r="B38733" s="0" t="s">
        <v>14</v>
      </c>
      <c r="C38733" s="0" t="s">
        <v>5458</v>
      </c>
      <c r="D38733" s="0" t="s">
        <v>13997</v>
      </c>
      <c r="E38733" s="0" t="s">
        <v>13997</v>
      </c>
      <c r="F38733" s="0" t="s">
        <v>13997</v>
      </c>
    </row>
    <row r="38734" customFormat="false" ht="12.8" hidden="false" customHeight="false" outlineLevel="0" collapsed="false">
      <c r="B38734" s="0" t="s">
        <v>124</v>
      </c>
      <c r="C38734" s="0" t="s">
        <v>13998</v>
      </c>
      <c r="D38734" s="0" t="s">
        <v>13999</v>
      </c>
      <c r="E38734" s="0" t="s">
        <v>13999</v>
      </c>
      <c r="F38734" s="0" t="s">
        <v>13999</v>
      </c>
    </row>
    <row r="38736" customFormat="false" ht="12.8" hidden="false" customHeight="false" outlineLevel="0" collapsed="false">
      <c r="A38736" s="0" t="s">
        <v>13994</v>
      </c>
      <c r="B38736" s="0" t="str">
        <f aca="false">HYPERLINK("https://lindat.mff.cuni.cz/services/teitok/pdtc10/index.php?action=vallex&amp;frame=v-w5221f1", "připojit (v-w5221f1) - substituted with v-w5221f3")</f>
        <v>připojit (v-w5221f1) - substituted with v-w5221f3</v>
      </c>
    </row>
    <row r="38737" customFormat="false" ht="12.8" hidden="false" customHeight="false" outlineLevel="0" collapsed="false">
      <c r="B38737" s="0" t="s">
        <v>7</v>
      </c>
      <c r="C38737" s="0" t="s">
        <v>184</v>
      </c>
    </row>
    <row r="38738" customFormat="false" ht="12.8" hidden="false" customHeight="false" outlineLevel="0" collapsed="false">
      <c r="B38738" s="0" t="s">
        <v>14</v>
      </c>
      <c r="C38738" s="0" t="s">
        <v>78</v>
      </c>
    </row>
    <row r="38739" customFormat="false" ht="12.8" hidden="false" customHeight="false" outlineLevel="0" collapsed="false">
      <c r="B38739" s="0" t="s">
        <v>124</v>
      </c>
      <c r="C38739" s="0" t="s">
        <v>14000</v>
      </c>
    </row>
    <row r="38741" customFormat="false" ht="12.8" hidden="false" customHeight="false" outlineLevel="0" collapsed="false">
      <c r="A38741" s="0" t="s">
        <v>14001</v>
      </c>
      <c r="B38741" s="0" t="str">
        <f aca="false">HYPERLINK("https://lindat.mff.cuni.cz/services/teitok/pdtc10/index.php?action=vallex&amp;frame=v-w5221f2", "připojit (v-w5221f2)")</f>
        <v>připojit (v-w5221f2)</v>
      </c>
    </row>
    <row r="38742" customFormat="false" ht="12.8" hidden="false" customHeight="false" outlineLevel="0" collapsed="false">
      <c r="B38742" s="0" t="s">
        <v>7</v>
      </c>
      <c r="C38742" s="0" t="s">
        <v>14002</v>
      </c>
    </row>
    <row r="38743" customFormat="false" ht="12.8" hidden="false" customHeight="false" outlineLevel="0" collapsed="false">
      <c r="B38743" s="0" t="s">
        <v>5525</v>
      </c>
      <c r="C38743" s="0" t="s">
        <v>14003</v>
      </c>
    </row>
    <row r="38744" customFormat="false" ht="12.8" hidden="false" customHeight="false" outlineLevel="0" collapsed="false">
      <c r="B38744" s="0" t="s">
        <v>10021</v>
      </c>
    </row>
    <row r="38746" customFormat="false" ht="12.8" hidden="false" customHeight="false" outlineLevel="0" collapsed="false">
      <c r="A38746" s="0" t="s">
        <v>14004</v>
      </c>
      <c r="B38746" s="0" t="str">
        <f aca="false">HYPERLINK("https://lindat.mff.cuni.cz/services/teitok/pdtc10/index.php?action=vallex&amp;frame=v-w5221f4_ZU", "připojit (v-w5221f4_ZU)")</f>
        <v>připojit (v-w5221f4_ZU)</v>
      </c>
    </row>
    <row r="38747" customFormat="false" ht="12.8" hidden="false" customHeight="false" outlineLevel="0" collapsed="false">
      <c r="B38747" s="0" t="s">
        <v>7</v>
      </c>
      <c r="D38747" s="0" t="s">
        <v>14005</v>
      </c>
      <c r="E38747" s="0" t="s">
        <v>14005</v>
      </c>
      <c r="F38747" s="0" t="s">
        <v>14005</v>
      </c>
    </row>
    <row r="38748" customFormat="false" ht="12.8" hidden="false" customHeight="false" outlineLevel="0" collapsed="false">
      <c r="B38748" s="0" t="s">
        <v>14</v>
      </c>
      <c r="C38748" s="0" t="s">
        <v>155</v>
      </c>
      <c r="D38748" s="0" t="s">
        <v>14006</v>
      </c>
      <c r="E38748" s="0" t="s">
        <v>14006</v>
      </c>
      <c r="F38748" s="0" t="s">
        <v>14006</v>
      </c>
    </row>
    <row r="38749" customFormat="false" ht="12.8" hidden="false" customHeight="false" outlineLevel="0" collapsed="false">
      <c r="B38749" s="0" t="s">
        <v>124</v>
      </c>
      <c r="C38749" s="0" t="s">
        <v>2238</v>
      </c>
      <c r="D38749" s="0" t="s">
        <v>14007</v>
      </c>
      <c r="E38749" s="0" t="s">
        <v>14007</v>
      </c>
      <c r="F38749" s="0" t="s">
        <v>14007</v>
      </c>
    </row>
    <row r="38751" customFormat="false" ht="12.8" hidden="false" customHeight="false" outlineLevel="0" collapsed="false">
      <c r="A38751" s="0" t="s">
        <v>14004</v>
      </c>
      <c r="B38751" s="0" t="str">
        <f aca="false">HYPERLINK("https://lindat.mff.cuni.cz/services/teitok/pdtc10/index.php?action=vallex&amp;frame=v-w5221hsa_256", "připojit (v-w5221hsa_256) - substituted with v-w5221f4_ZU")</f>
        <v>připojit (v-w5221hsa_256) - substituted with v-w5221f4_ZU</v>
      </c>
    </row>
    <row r="38752" customFormat="false" ht="12.8" hidden="false" customHeight="false" outlineLevel="0" collapsed="false">
      <c r="B38752" s="0" t="s">
        <v>7</v>
      </c>
      <c r="C38752" s="0" t="s">
        <v>184</v>
      </c>
    </row>
    <row r="38753" customFormat="false" ht="12.8" hidden="false" customHeight="false" outlineLevel="0" collapsed="false">
      <c r="B38753" s="0" t="s">
        <v>14</v>
      </c>
      <c r="C38753" s="0" t="s">
        <v>78</v>
      </c>
    </row>
    <row r="38754" customFormat="false" ht="12.8" hidden="false" customHeight="false" outlineLevel="0" collapsed="false">
      <c r="B38754" s="0" t="s">
        <v>124</v>
      </c>
      <c r="C38754" s="0" t="s">
        <v>14000</v>
      </c>
    </row>
    <row r="38756" customFormat="false" ht="12.8" hidden="false" customHeight="false" outlineLevel="0" collapsed="false">
      <c r="A38756" s="0" t="s">
        <v>14008</v>
      </c>
      <c r="B38756" s="0" t="str">
        <f aca="false">HYPERLINK("https://lindat.mff.cuni.cz/services/teitok/pdtc10/index.php?action=vallex&amp;frame=v-w5222f2", "připojit se (v-w5222f2)")</f>
        <v>připojit se (v-w5222f2)</v>
      </c>
    </row>
    <row r="38757" customFormat="false" ht="12.8" hidden="false" customHeight="false" outlineLevel="0" collapsed="false">
      <c r="B38757" s="0" t="s">
        <v>7</v>
      </c>
      <c r="C38757" s="0" t="s">
        <v>14009</v>
      </c>
      <c r="D38757" s="0" t="s">
        <v>14010</v>
      </c>
      <c r="E38757" s="0" t="s">
        <v>14011</v>
      </c>
      <c r="F38757" s="0" t="s">
        <v>14011</v>
      </c>
    </row>
    <row r="38758" customFormat="false" ht="12.8" hidden="false" customHeight="false" outlineLevel="0" collapsed="false">
      <c r="B38758" s="0" t="s">
        <v>237</v>
      </c>
      <c r="C38758" s="0" t="s">
        <v>14012</v>
      </c>
      <c r="D38758" s="0" t="s">
        <v>14013</v>
      </c>
      <c r="E38758" s="0" t="s">
        <v>14013</v>
      </c>
      <c r="F38758" s="0" t="s">
        <v>14013</v>
      </c>
    </row>
    <row r="38760" customFormat="false" ht="12.8" hidden="false" customHeight="false" outlineLevel="0" collapsed="false">
      <c r="A38760" s="0" t="s">
        <v>14014</v>
      </c>
      <c r="B38760" s="0" t="str">
        <f aca="false">HYPERLINK("https://lindat.mff.cuni.cz/services/teitok/pdtc10/index.php?action=vallex&amp;frame=v-w5222f1", "připojit se (v-w5222f1)")</f>
        <v>připojit se (v-w5222f1)</v>
      </c>
    </row>
    <row r="38761" customFormat="false" ht="12.8" hidden="false" customHeight="false" outlineLevel="0" collapsed="false">
      <c r="B38761" s="0" t="s">
        <v>7</v>
      </c>
      <c r="C38761" s="0" t="s">
        <v>14015</v>
      </c>
      <c r="D38761" s="0" t="s">
        <v>3837</v>
      </c>
      <c r="E38761" s="0" t="s">
        <v>3837</v>
      </c>
      <c r="F38761" s="0" t="s">
        <v>3837</v>
      </c>
    </row>
    <row r="38762" customFormat="false" ht="12.8" hidden="false" customHeight="false" outlineLevel="0" collapsed="false">
      <c r="B38762" s="0" t="s">
        <v>124</v>
      </c>
      <c r="C38762" s="0" t="s">
        <v>14016</v>
      </c>
      <c r="D38762" s="0" t="s">
        <v>7040</v>
      </c>
      <c r="E38762" s="0" t="s">
        <v>7040</v>
      </c>
      <c r="F38762" s="0" t="s">
        <v>7040</v>
      </c>
    </row>
    <row r="38764" customFormat="false" ht="12.8" hidden="false" customHeight="false" outlineLevel="0" collapsed="false">
      <c r="A38764" s="0" t="s">
        <v>14017</v>
      </c>
      <c r="B38764" s="0" t="str">
        <f aca="false">HYPERLINK("https://lindat.mff.cuni.cz/services/teitok/pdtc10/index.php?action=vallex&amp;frame=v-w5222hsa_708", "připojit se (v-w5222hsa_708)")</f>
        <v>připojit se (v-w5222hsa_708)</v>
      </c>
    </row>
    <row r="38765" customFormat="false" ht="12.8" hidden="false" customHeight="false" outlineLevel="0" collapsed="false">
      <c r="B38765" s="0" t="s">
        <v>7</v>
      </c>
    </row>
    <row r="38766" customFormat="false" ht="12.8" hidden="false" customHeight="false" outlineLevel="0" collapsed="false">
      <c r="B38766" s="0" t="s">
        <v>124</v>
      </c>
    </row>
    <row r="38768" customFormat="false" ht="12.8" hidden="false" customHeight="false" outlineLevel="0" collapsed="false">
      <c r="A38768" s="0" t="s">
        <v>14018</v>
      </c>
      <c r="B38768" s="0" t="str">
        <f aca="false">HYPERLINK("https://lindat.mff.cuni.cz/services/teitok/pdtc10/index.php?action=vallex&amp;frame=v-w5223f2", "připojovat (v-w5223f2)")</f>
        <v>připojovat (v-w5223f2)</v>
      </c>
    </row>
    <row r="38769" customFormat="false" ht="12.8" hidden="false" customHeight="false" outlineLevel="0" collapsed="false">
      <c r="B38769" s="0" t="s">
        <v>7</v>
      </c>
      <c r="C38769" s="0" t="s">
        <v>7720</v>
      </c>
      <c r="D38769" s="0" t="s">
        <v>13551</v>
      </c>
      <c r="E38769" s="0" t="s">
        <v>13551</v>
      </c>
      <c r="F38769" s="0" t="s">
        <v>13551</v>
      </c>
    </row>
    <row r="38770" customFormat="false" ht="12.8" hidden="false" customHeight="false" outlineLevel="0" collapsed="false">
      <c r="B38770" s="0" t="s">
        <v>14</v>
      </c>
      <c r="C38770" s="0" t="s">
        <v>1367</v>
      </c>
      <c r="D38770" s="0" t="s">
        <v>13553</v>
      </c>
      <c r="E38770" s="0" t="s">
        <v>13553</v>
      </c>
      <c r="F38770" s="0" t="s">
        <v>13553</v>
      </c>
    </row>
    <row r="38771" customFormat="false" ht="12.8" hidden="false" customHeight="false" outlineLevel="0" collapsed="false">
      <c r="B38771" s="0" t="s">
        <v>124</v>
      </c>
      <c r="D38771" s="0" t="s">
        <v>13555</v>
      </c>
      <c r="E38771" s="0" t="s">
        <v>13555</v>
      </c>
      <c r="F38771" s="0" t="s">
        <v>13555</v>
      </c>
    </row>
    <row r="38773" customFormat="false" ht="12.8" hidden="false" customHeight="false" outlineLevel="0" collapsed="false">
      <c r="A38773" s="0" t="s">
        <v>14019</v>
      </c>
      <c r="B38773" s="0" t="str">
        <f aca="false">HYPERLINK("https://lindat.mff.cuni.cz/services/teitok/pdtc10/index.php?action=vallex&amp;frame=v-w5223f1", "připojovat (v-w5223f1)")</f>
        <v>připojovat (v-w5223f1)</v>
      </c>
    </row>
    <row r="38774" customFormat="false" ht="12.8" hidden="false" customHeight="false" outlineLevel="0" collapsed="false">
      <c r="B38774" s="0" t="s">
        <v>7</v>
      </c>
      <c r="C38774" s="0" t="s">
        <v>4976</v>
      </c>
      <c r="D38774" s="0" t="s">
        <v>14005</v>
      </c>
      <c r="E38774" s="0" t="s">
        <v>14005</v>
      </c>
      <c r="F38774" s="0" t="s">
        <v>14005</v>
      </c>
    </row>
    <row r="38775" customFormat="false" ht="12.8" hidden="false" customHeight="false" outlineLevel="0" collapsed="false">
      <c r="B38775" s="0" t="s">
        <v>14</v>
      </c>
      <c r="C38775" s="0" t="s">
        <v>12620</v>
      </c>
      <c r="D38775" s="0" t="s">
        <v>14006</v>
      </c>
      <c r="E38775" s="0" t="s">
        <v>14006</v>
      </c>
      <c r="F38775" s="0" t="s">
        <v>14006</v>
      </c>
    </row>
    <row r="38776" customFormat="false" ht="12.8" hidden="false" customHeight="false" outlineLevel="0" collapsed="false">
      <c r="B38776" s="0" t="s">
        <v>124</v>
      </c>
      <c r="C38776" s="0" t="s">
        <v>14020</v>
      </c>
      <c r="D38776" s="0" t="s">
        <v>14007</v>
      </c>
      <c r="E38776" s="0" t="s">
        <v>14007</v>
      </c>
      <c r="F38776" s="0" t="s">
        <v>14007</v>
      </c>
    </row>
    <row r="38778" customFormat="false" ht="12.8" hidden="false" customHeight="false" outlineLevel="0" collapsed="false">
      <c r="A38778" s="0" t="s">
        <v>14021</v>
      </c>
      <c r="B38778" s="0" t="str">
        <f aca="false">HYPERLINK("https://lindat.mff.cuni.cz/services/teitok/pdtc10/index.php?action=vallex&amp;frame=v-w5223f3", "připojovat (v-w5223f3)")</f>
        <v>připojovat (v-w5223f3)</v>
      </c>
    </row>
    <row r="38779" customFormat="false" ht="12.8" hidden="false" customHeight="false" outlineLevel="0" collapsed="false">
      <c r="B38779" s="0" t="s">
        <v>7</v>
      </c>
      <c r="C38779" s="0" t="s">
        <v>14002</v>
      </c>
    </row>
    <row r="38780" customFormat="false" ht="12.8" hidden="false" customHeight="false" outlineLevel="0" collapsed="false">
      <c r="B38780" s="0" t="s">
        <v>5525</v>
      </c>
      <c r="C38780" s="0" t="s">
        <v>14003</v>
      </c>
    </row>
    <row r="38781" customFormat="false" ht="12.8" hidden="false" customHeight="false" outlineLevel="0" collapsed="false">
      <c r="B38781" s="0" t="s">
        <v>10021</v>
      </c>
    </row>
    <row r="38783" customFormat="false" ht="12.8" hidden="false" customHeight="false" outlineLevel="0" collapsed="false">
      <c r="A38783" s="0" t="s">
        <v>14022</v>
      </c>
      <c r="B38783" s="0" t="str">
        <f aca="false">HYPERLINK("https://lindat.mff.cuni.cz/services/teitok/pdtc10/index.php?action=vallex&amp;frame=v-w5224f1", "připojovat se (v-w5224f1)")</f>
        <v>připojovat se (v-w5224f1)</v>
      </c>
    </row>
    <row r="38784" customFormat="false" ht="12.8" hidden="false" customHeight="false" outlineLevel="0" collapsed="false">
      <c r="B38784" s="0" t="s">
        <v>7</v>
      </c>
      <c r="C38784" s="0" t="s">
        <v>4349</v>
      </c>
      <c r="D38784" s="0" t="s">
        <v>3837</v>
      </c>
      <c r="E38784" s="0" t="s">
        <v>3837</v>
      </c>
      <c r="F38784" s="0" t="s">
        <v>3837</v>
      </c>
    </row>
    <row r="38785" customFormat="false" ht="12.8" hidden="false" customHeight="false" outlineLevel="0" collapsed="false">
      <c r="B38785" s="0" t="s">
        <v>237</v>
      </c>
      <c r="C38785" s="0" t="s">
        <v>1720</v>
      </c>
      <c r="D38785" s="0" t="s">
        <v>1918</v>
      </c>
      <c r="E38785" s="0" t="s">
        <v>1918</v>
      </c>
      <c r="F38785" s="0" t="s">
        <v>1918</v>
      </c>
    </row>
    <row r="38787" customFormat="false" ht="12.8" hidden="false" customHeight="false" outlineLevel="0" collapsed="false">
      <c r="A38787" s="0" t="s">
        <v>14023</v>
      </c>
      <c r="B38787" s="0" t="str">
        <f aca="false">HYPERLINK("https://lindat.mff.cuni.cz/services/teitok/pdtc10/index.php?action=vallex&amp;frame=v-w5225f2", "připomenout (v-w5225f2)")</f>
        <v>připomenout (v-w5225f2)</v>
      </c>
    </row>
    <row r="38788" customFormat="false" ht="12.8" hidden="false" customHeight="false" outlineLevel="0" collapsed="false">
      <c r="B38788" s="0" t="s">
        <v>7</v>
      </c>
      <c r="C38788" s="0" t="s">
        <v>14024</v>
      </c>
      <c r="D38788" s="0" t="s">
        <v>149</v>
      </c>
      <c r="E38788" s="0" t="s">
        <v>149</v>
      </c>
      <c r="F38788" s="0" t="s">
        <v>149</v>
      </c>
    </row>
    <row r="38789" customFormat="false" ht="12.8" hidden="false" customHeight="false" outlineLevel="0" collapsed="false">
      <c r="B38789" s="0" t="s">
        <v>14025</v>
      </c>
      <c r="C38789" s="0" t="s">
        <v>14026</v>
      </c>
      <c r="D38789" s="0" t="s">
        <v>89</v>
      </c>
      <c r="E38789" s="0" t="s">
        <v>89</v>
      </c>
      <c r="F38789" s="0" t="s">
        <v>89</v>
      </c>
    </row>
    <row r="38790" customFormat="false" ht="12.8" hidden="false" customHeight="false" outlineLevel="0" collapsed="false">
      <c r="B38790" s="0" t="s">
        <v>48</v>
      </c>
      <c r="C38790" s="0" t="s">
        <v>14027</v>
      </c>
      <c r="D38790" s="0" t="s">
        <v>14027</v>
      </c>
      <c r="E38790" s="0" t="s">
        <v>14027</v>
      </c>
      <c r="F38790" s="0" t="s">
        <v>14027</v>
      </c>
    </row>
    <row r="38792" customFormat="false" ht="12.8" hidden="false" customHeight="false" outlineLevel="0" collapsed="false">
      <c r="A38792" s="0" t="s">
        <v>14028</v>
      </c>
      <c r="B38792" s="0" t="str">
        <f aca="false">HYPERLINK("https://lindat.mff.cuni.cz/services/teitok/pdtc10/index.php?action=vallex&amp;frame=v-w5225f1", "připomenout (v-w5225f1)")</f>
        <v>připomenout (v-w5225f1)</v>
      </c>
    </row>
    <row r="38793" customFormat="false" ht="12.8" hidden="false" customHeight="false" outlineLevel="0" collapsed="false">
      <c r="B38793" s="0" t="s">
        <v>7</v>
      </c>
      <c r="C38793" s="0" t="s">
        <v>14029</v>
      </c>
      <c r="D38793" s="0" t="s">
        <v>14030</v>
      </c>
      <c r="E38793" s="0" t="s">
        <v>14030</v>
      </c>
      <c r="F38793" s="0" t="s">
        <v>14030</v>
      </c>
    </row>
    <row r="38794" customFormat="false" ht="12.8" hidden="false" customHeight="false" outlineLevel="0" collapsed="false">
      <c r="B38794" s="0" t="s">
        <v>1520</v>
      </c>
      <c r="C38794" s="0" t="s">
        <v>14031</v>
      </c>
      <c r="D38794" s="0" t="s">
        <v>14032</v>
      </c>
      <c r="E38794" s="0" t="s">
        <v>14032</v>
      </c>
      <c r="F38794" s="0" t="s">
        <v>14032</v>
      </c>
    </row>
    <row r="38795" customFormat="false" ht="12.8" hidden="false" customHeight="false" outlineLevel="0" collapsed="false">
      <c r="B38795" s="0" t="s">
        <v>106</v>
      </c>
      <c r="C38795" s="0" t="s">
        <v>3332</v>
      </c>
      <c r="D38795" s="0" t="s">
        <v>3332</v>
      </c>
      <c r="E38795" s="0" t="s">
        <v>3332</v>
      </c>
      <c r="F38795" s="0" t="s">
        <v>3332</v>
      </c>
    </row>
    <row r="38797" customFormat="false" ht="12.8" hidden="false" customHeight="false" outlineLevel="0" collapsed="false">
      <c r="A38797" s="0" t="s">
        <v>14033</v>
      </c>
      <c r="B38797" s="0" t="str">
        <f aca="false">HYPERLINK("https://lindat.mff.cuni.cz/services/teitok/pdtc10/index.php?action=vallex&amp;frame=v-w5228f2", "připomínat (v-w5228f2)")</f>
        <v>připomínat (v-w5228f2)</v>
      </c>
    </row>
    <row r="38798" customFormat="false" ht="12.8" hidden="false" customHeight="false" outlineLevel="0" collapsed="false">
      <c r="B38798" s="0" t="s">
        <v>7</v>
      </c>
      <c r="C38798" s="0" t="s">
        <v>14034</v>
      </c>
      <c r="D38798" s="0" t="s">
        <v>149</v>
      </c>
      <c r="E38798" s="0" t="s">
        <v>149</v>
      </c>
      <c r="F38798" s="0" t="s">
        <v>149</v>
      </c>
    </row>
    <row r="38799" customFormat="false" ht="12.8" hidden="false" customHeight="false" outlineLevel="0" collapsed="false">
      <c r="B38799" s="0" t="s">
        <v>14025</v>
      </c>
      <c r="C38799" s="0" t="s">
        <v>14035</v>
      </c>
      <c r="D38799" s="0" t="s">
        <v>89</v>
      </c>
      <c r="E38799" s="0" t="s">
        <v>89</v>
      </c>
      <c r="F38799" s="0" t="s">
        <v>89</v>
      </c>
    </row>
    <row r="38800" customFormat="false" ht="12.8" hidden="false" customHeight="false" outlineLevel="0" collapsed="false">
      <c r="B38800" s="0" t="s">
        <v>48</v>
      </c>
      <c r="C38800" s="0" t="s">
        <v>14036</v>
      </c>
      <c r="D38800" s="0" t="s">
        <v>14027</v>
      </c>
      <c r="E38800" s="0" t="s">
        <v>14027</v>
      </c>
      <c r="F38800" s="0" t="s">
        <v>14027</v>
      </c>
    </row>
    <row r="38802" customFormat="false" ht="12.8" hidden="false" customHeight="false" outlineLevel="0" collapsed="false">
      <c r="A38802" s="0" t="s">
        <v>14037</v>
      </c>
      <c r="B38802" s="0" t="str">
        <f aca="false">HYPERLINK("https://lindat.mff.cuni.cz/services/teitok/pdtc10/index.php?action=vallex&amp;frame=v-w5228f1", "připomínat (v-w5228f1)")</f>
        <v>připomínat (v-w5228f1)</v>
      </c>
    </row>
    <row r="38803" customFormat="false" ht="12.8" hidden="false" customHeight="false" outlineLevel="0" collapsed="false">
      <c r="B38803" s="0" t="s">
        <v>7</v>
      </c>
      <c r="C38803" s="0" t="s">
        <v>14038</v>
      </c>
      <c r="D38803" s="0" t="s">
        <v>14030</v>
      </c>
      <c r="E38803" s="0" t="s">
        <v>14030</v>
      </c>
      <c r="F38803" s="0" t="s">
        <v>14030</v>
      </c>
    </row>
    <row r="38804" customFormat="false" ht="12.8" hidden="false" customHeight="false" outlineLevel="0" collapsed="false">
      <c r="B38804" s="0" t="s">
        <v>2573</v>
      </c>
      <c r="C38804" s="0" t="s">
        <v>14039</v>
      </c>
      <c r="D38804" s="0" t="s">
        <v>14032</v>
      </c>
      <c r="E38804" s="0" t="s">
        <v>14032</v>
      </c>
      <c r="F38804" s="0" t="s">
        <v>14032</v>
      </c>
    </row>
    <row r="38805" customFormat="false" ht="12.8" hidden="false" customHeight="false" outlineLevel="0" collapsed="false">
      <c r="B38805" s="0" t="s">
        <v>106</v>
      </c>
      <c r="C38805" s="0" t="s">
        <v>3566</v>
      </c>
      <c r="D38805" s="0" t="s">
        <v>3332</v>
      </c>
      <c r="E38805" s="0" t="s">
        <v>3332</v>
      </c>
      <c r="F38805" s="0" t="s">
        <v>3332</v>
      </c>
    </row>
    <row r="38807" customFormat="false" ht="12.8" hidden="false" customHeight="false" outlineLevel="0" collapsed="false">
      <c r="A38807" s="0" t="s">
        <v>14040</v>
      </c>
      <c r="B38807" s="0" t="str">
        <f aca="false">HYPERLINK("https://lindat.mff.cuni.cz/services/teitok/pdtc10/index.php?action=vallex&amp;frame=v-w5233f1", "připoutat (v-w5233f1)")</f>
        <v>připoutat (v-w5233f1)</v>
      </c>
    </row>
    <row r="38808" customFormat="false" ht="12.8" hidden="false" customHeight="false" outlineLevel="0" collapsed="false">
      <c r="B38808" s="0" t="s">
        <v>7</v>
      </c>
      <c r="D38808" s="0" t="s">
        <v>113</v>
      </c>
      <c r="E38808" s="0" t="s">
        <v>113</v>
      </c>
      <c r="F38808" s="0" t="s">
        <v>113</v>
      </c>
    </row>
    <row r="38809" customFormat="false" ht="12.8" hidden="false" customHeight="false" outlineLevel="0" collapsed="false">
      <c r="B38809" s="0" t="s">
        <v>14</v>
      </c>
      <c r="D38809" s="0" t="s">
        <v>6903</v>
      </c>
      <c r="E38809" s="0" t="s">
        <v>6903</v>
      </c>
      <c r="F38809" s="0" t="s">
        <v>6903</v>
      </c>
    </row>
    <row r="38811" customFormat="false" ht="12.8" hidden="false" customHeight="false" outlineLevel="0" collapsed="false">
      <c r="A38811" s="0" t="s">
        <v>14041</v>
      </c>
      <c r="B38811" s="0" t="str">
        <f aca="false">HYPERLINK("https://lindat.mff.cuni.cz/services/teitok/pdtc10/index.php?action=vallex&amp;frame=v-w5234f1", "připoutávat (v-w5234f1)")</f>
        <v>připoutávat (v-w5234f1)</v>
      </c>
    </row>
    <row r="38812" customFormat="false" ht="12.8" hidden="false" customHeight="false" outlineLevel="0" collapsed="false">
      <c r="B38812" s="0" t="s">
        <v>7</v>
      </c>
    </row>
    <row r="38813" customFormat="false" ht="12.8" hidden="false" customHeight="false" outlineLevel="0" collapsed="false">
      <c r="B38813" s="0" t="s">
        <v>14</v>
      </c>
    </row>
    <row r="38814" customFormat="false" ht="12.8" hidden="false" customHeight="false" outlineLevel="0" collapsed="false">
      <c r="B38814" s="0" t="s">
        <v>124</v>
      </c>
    </row>
    <row r="38816" customFormat="false" ht="12.8" hidden="false" customHeight="false" outlineLevel="0" collapsed="false">
      <c r="A38816" s="0" t="s">
        <v>14042</v>
      </c>
      <c r="B38816" s="0" t="str">
        <f aca="false">HYPERLINK("https://lindat.mff.cuni.cz/services/teitok/pdtc10/index.php?action=vallex&amp;frame=v-w5234f2", "připoutávat (v-w5234f2)")</f>
        <v>připoutávat (v-w5234f2)</v>
      </c>
    </row>
    <row r="38817" customFormat="false" ht="12.8" hidden="false" customHeight="false" outlineLevel="0" collapsed="false">
      <c r="B38817" s="0" t="s">
        <v>7</v>
      </c>
    </row>
    <row r="38818" customFormat="false" ht="12.8" hidden="false" customHeight="false" outlineLevel="0" collapsed="false">
      <c r="B38818" s="0" t="s">
        <v>14</v>
      </c>
    </row>
    <row r="38820" customFormat="false" ht="12.8" hidden="false" customHeight="false" outlineLevel="0" collapsed="false">
      <c r="A38820" s="0" t="s">
        <v>14043</v>
      </c>
      <c r="B38820" s="0" t="str">
        <f aca="false">HYPERLINK("https://lindat.mff.cuni.cz/services/teitok/pdtc10/index.php?action=vallex&amp;frame=v-w5230f3", "připouštět (v-w5230f3)")</f>
        <v>připouštět (v-w5230f3)</v>
      </c>
    </row>
    <row r="38821" customFormat="false" ht="12.8" hidden="false" customHeight="false" outlineLevel="0" collapsed="false">
      <c r="B38821" s="0" t="s">
        <v>7</v>
      </c>
    </row>
    <row r="38822" customFormat="false" ht="12.8" hidden="false" customHeight="false" outlineLevel="0" collapsed="false">
      <c r="B38822" s="0" t="s">
        <v>14</v>
      </c>
    </row>
    <row r="38823" customFormat="false" ht="12.8" hidden="false" customHeight="false" outlineLevel="0" collapsed="false">
      <c r="B38823" s="0" t="s">
        <v>124</v>
      </c>
    </row>
    <row r="38825" customFormat="false" ht="12.8" hidden="false" customHeight="false" outlineLevel="0" collapsed="false">
      <c r="A38825" s="0" t="s">
        <v>14044</v>
      </c>
      <c r="B38825" s="0" t="str">
        <f aca="false">HYPERLINK("https://lindat.mff.cuni.cz/services/teitok/pdtc10/index.php?action=vallex&amp;frame=v-w5230f2", "připouštět (v-w5230f2)")</f>
        <v>připouštět (v-w5230f2)</v>
      </c>
    </row>
    <row r="38826" customFormat="false" ht="12.8" hidden="false" customHeight="false" outlineLevel="0" collapsed="false">
      <c r="B38826" s="0" t="s">
        <v>7</v>
      </c>
    </row>
    <row r="38827" customFormat="false" ht="12.8" hidden="false" customHeight="false" outlineLevel="0" collapsed="false">
      <c r="B38827" s="0" t="s">
        <v>1394</v>
      </c>
    </row>
    <row r="38829" customFormat="false" ht="12.8" hidden="false" customHeight="false" outlineLevel="0" collapsed="false">
      <c r="A38829" s="0" t="s">
        <v>14045</v>
      </c>
      <c r="B38829" s="0" t="str">
        <f aca="false">HYPERLINK("https://lindat.mff.cuni.cz/services/teitok/pdtc10/index.php?action=vallex&amp;frame=v-w5230f1", "připouštět (v-w5230f1)")</f>
        <v>připouštět (v-w5230f1)</v>
      </c>
    </row>
    <row r="38830" customFormat="false" ht="12.8" hidden="false" customHeight="false" outlineLevel="0" collapsed="false">
      <c r="B38830" s="0" t="s">
        <v>7</v>
      </c>
      <c r="C38830" s="0" t="s">
        <v>14046</v>
      </c>
      <c r="D38830" s="0" t="s">
        <v>2534</v>
      </c>
      <c r="E38830" s="0" t="s">
        <v>2696</v>
      </c>
      <c r="F38830" s="0" t="s">
        <v>2696</v>
      </c>
    </row>
    <row r="38831" customFormat="false" ht="12.8" hidden="false" customHeight="false" outlineLevel="0" collapsed="false">
      <c r="B38831" s="0" t="s">
        <v>14047</v>
      </c>
      <c r="C38831" s="0" t="s">
        <v>11004</v>
      </c>
      <c r="D38831" s="0" t="s">
        <v>2699</v>
      </c>
      <c r="E38831" s="0" t="s">
        <v>2700</v>
      </c>
      <c r="F38831" s="0" t="s">
        <v>2700</v>
      </c>
    </row>
    <row r="38833" customFormat="false" ht="12.8" hidden="false" customHeight="false" outlineLevel="0" collapsed="false">
      <c r="A38833" s="0" t="s">
        <v>14048</v>
      </c>
      <c r="B38833" s="0" t="str">
        <f aca="false">HYPERLINK("https://lindat.mff.cuni.cz/services/teitok/pdtc10/index.php?action=vallex&amp;frame=v-w5230f4", "připouštět (v-w5230f4)")</f>
        <v>připouštět (v-w5230f4)</v>
      </c>
    </row>
    <row r="38834" customFormat="false" ht="12.8" hidden="false" customHeight="false" outlineLevel="0" collapsed="false">
      <c r="B38834" s="0" t="s">
        <v>7</v>
      </c>
    </row>
    <row r="38835" customFormat="false" ht="12.8" hidden="false" customHeight="false" outlineLevel="0" collapsed="false">
      <c r="B38835" s="0" t="s">
        <v>14</v>
      </c>
    </row>
    <row r="38837" customFormat="false" ht="12.8" hidden="false" customHeight="false" outlineLevel="0" collapsed="false">
      <c r="A38837" s="0" t="s">
        <v>14049</v>
      </c>
      <c r="B38837" s="0" t="str">
        <f aca="false">HYPERLINK("https://lindat.mff.cuni.cz/services/teitok/pdtc10/index.php?action=vallex&amp;frame=v-w5231f1", "připouštět si (v-w5231f1)")</f>
        <v>připouštět si (v-w5231f1)</v>
      </c>
    </row>
    <row r="38838" customFormat="false" ht="12.8" hidden="false" customHeight="false" outlineLevel="0" collapsed="false">
      <c r="B38838" s="0" t="s">
        <v>7</v>
      </c>
    </row>
    <row r="38839" customFormat="false" ht="12.8" hidden="false" customHeight="false" outlineLevel="0" collapsed="false">
      <c r="B38839" s="0" t="s">
        <v>14</v>
      </c>
    </row>
    <row r="38841" customFormat="false" ht="12.8" hidden="false" customHeight="false" outlineLevel="0" collapsed="false">
      <c r="A38841" s="0" t="s">
        <v>14050</v>
      </c>
      <c r="B38841" s="0" t="str">
        <f aca="false">HYPERLINK("https://lindat.mff.cuni.cz/services/teitok/pdtc10/index.php?action=vallex&amp;frame=v-w11776_ZUf1_ZU", "připozastavit (v-w11776_ZUf1_ZU)")</f>
        <v>připozastavit (v-w11776_ZUf1_ZU)</v>
      </c>
    </row>
    <row r="38842" customFormat="false" ht="12.8" hidden="false" customHeight="false" outlineLevel="0" collapsed="false">
      <c r="B38842" s="0" t="s">
        <v>7</v>
      </c>
    </row>
    <row r="38843" customFormat="false" ht="12.8" hidden="false" customHeight="false" outlineLevel="0" collapsed="false">
      <c r="B38843" s="0" t="s">
        <v>14</v>
      </c>
    </row>
    <row r="38845" customFormat="false" ht="12.8" hidden="false" customHeight="false" outlineLevel="0" collapsed="false">
      <c r="A38845" s="0" t="s">
        <v>14051</v>
      </c>
      <c r="B38845" s="0" t="str">
        <f aca="false">HYPERLINK("https://lindat.mff.cuni.cz/services/teitok/pdtc10/index.php?action=vallex&amp;frame=v-w5214f2", "připočíst (v-w5214f2)")</f>
        <v>připočíst (v-w5214f2)</v>
      </c>
    </row>
    <row r="38846" customFormat="false" ht="12.8" hidden="false" customHeight="false" outlineLevel="0" collapsed="false">
      <c r="B38846" s="0" t="s">
        <v>7</v>
      </c>
    </row>
    <row r="38847" customFormat="false" ht="12.8" hidden="false" customHeight="false" outlineLevel="0" collapsed="false">
      <c r="B38847" s="0" t="s">
        <v>14</v>
      </c>
    </row>
    <row r="38848" customFormat="false" ht="12.8" hidden="false" customHeight="false" outlineLevel="0" collapsed="false">
      <c r="B38848" s="0" t="s">
        <v>48</v>
      </c>
    </row>
    <row r="38850" customFormat="false" ht="12.8" hidden="false" customHeight="false" outlineLevel="0" collapsed="false">
      <c r="A38850" s="0" t="s">
        <v>14052</v>
      </c>
      <c r="B38850" s="0" t="str">
        <f aca="false">HYPERLINK("https://lindat.mff.cuni.cz/services/teitok/pdtc10/index.php?action=vallex&amp;frame=v-w5214f1", "připočíst (v-w5214f1)")</f>
        <v>připočíst (v-w5214f1)</v>
      </c>
    </row>
    <row r="38851" customFormat="false" ht="12.8" hidden="false" customHeight="false" outlineLevel="0" collapsed="false">
      <c r="B38851" s="0" t="s">
        <v>7</v>
      </c>
    </row>
    <row r="38852" customFormat="false" ht="12.8" hidden="false" customHeight="false" outlineLevel="0" collapsed="false">
      <c r="B38852" s="0" t="s">
        <v>14</v>
      </c>
    </row>
    <row r="38853" customFormat="false" ht="12.8" hidden="false" customHeight="false" outlineLevel="0" collapsed="false">
      <c r="B38853" s="0" t="s">
        <v>124</v>
      </c>
    </row>
    <row r="38855" customFormat="false" ht="12.8" hidden="false" customHeight="false" outlineLevel="0" collapsed="false">
      <c r="A38855" s="0" t="s">
        <v>14053</v>
      </c>
      <c r="B38855" s="0" t="str">
        <f aca="false">HYPERLINK("https://lindat.mff.cuni.cz/services/teitok/pdtc10/index.php?action=vallex&amp;frame=v-w5215f1", "připočítávat (v-w5215f1)")</f>
        <v>připočítávat (v-w5215f1)</v>
      </c>
    </row>
    <row r="38856" customFormat="false" ht="12.8" hidden="false" customHeight="false" outlineLevel="0" collapsed="false">
      <c r="B38856" s="0" t="s">
        <v>7</v>
      </c>
    </row>
    <row r="38857" customFormat="false" ht="12.8" hidden="false" customHeight="false" outlineLevel="0" collapsed="false">
      <c r="B38857" s="0" t="s">
        <v>14</v>
      </c>
    </row>
    <row r="38858" customFormat="false" ht="12.8" hidden="false" customHeight="false" outlineLevel="0" collapsed="false">
      <c r="B38858" s="0" t="s">
        <v>124</v>
      </c>
    </row>
    <row r="38860" customFormat="false" ht="12.8" hidden="false" customHeight="false" outlineLevel="0" collapsed="false">
      <c r="A38860" s="0" t="s">
        <v>14054</v>
      </c>
      <c r="B38860" s="0" t="str">
        <f aca="false">HYPERLINK("https://lindat.mff.cuni.cz/services/teitok/pdtc10/index.php?action=vallex&amp;frame=v-w5238f3", "připravit (v-w5238f3)")</f>
        <v>připravit (v-w5238f3)</v>
      </c>
    </row>
    <row r="38861" customFormat="false" ht="12.8" hidden="false" customHeight="false" outlineLevel="0" collapsed="false">
      <c r="B38861" s="0" t="s">
        <v>7</v>
      </c>
      <c r="C38861" s="0" t="s">
        <v>118</v>
      </c>
      <c r="D38861" s="0" t="s">
        <v>46</v>
      </c>
      <c r="E38861" s="0" t="s">
        <v>46</v>
      </c>
      <c r="F38861" s="0" t="s">
        <v>46</v>
      </c>
    </row>
    <row r="38862" customFormat="false" ht="12.8" hidden="false" customHeight="false" outlineLevel="0" collapsed="false">
      <c r="B38862" s="0" t="s">
        <v>615</v>
      </c>
      <c r="C38862" s="0" t="s">
        <v>14055</v>
      </c>
      <c r="D38862" s="0" t="s">
        <v>7946</v>
      </c>
      <c r="E38862" s="0" t="s">
        <v>7946</v>
      </c>
      <c r="F38862" s="0" t="s">
        <v>7946</v>
      </c>
    </row>
    <row r="38863" customFormat="false" ht="12.8" hidden="false" customHeight="false" outlineLevel="0" collapsed="false">
      <c r="B38863" s="0" t="s">
        <v>81</v>
      </c>
      <c r="C38863" s="0" t="s">
        <v>14056</v>
      </c>
      <c r="D38863" s="0" t="s">
        <v>7947</v>
      </c>
      <c r="E38863" s="0" t="s">
        <v>14057</v>
      </c>
      <c r="F38863" s="0" t="s">
        <v>14057</v>
      </c>
    </row>
    <row r="38865" customFormat="false" ht="12.8" hidden="false" customHeight="false" outlineLevel="0" collapsed="false">
      <c r="A38865" s="0" t="s">
        <v>14058</v>
      </c>
      <c r="B38865" s="0" t="str">
        <f aca="false">HYPERLINK("https://lindat.mff.cuni.cz/services/teitok/pdtc10/index.php?action=vallex&amp;frame=v-w5238f1", "připravit (v-w5238f1)")</f>
        <v>připravit (v-w5238f1)</v>
      </c>
    </row>
    <row r="38866" customFormat="false" ht="12.8" hidden="false" customHeight="false" outlineLevel="0" collapsed="false">
      <c r="B38866" s="0" t="s">
        <v>7</v>
      </c>
      <c r="C38866" s="0" t="s">
        <v>14059</v>
      </c>
      <c r="D38866" s="0" t="s">
        <v>14060</v>
      </c>
      <c r="E38866" s="0" t="s">
        <v>14061</v>
      </c>
      <c r="F38866" s="0" t="s">
        <v>14062</v>
      </c>
    </row>
    <row r="38867" customFormat="false" ht="12.8" hidden="false" customHeight="false" outlineLevel="0" collapsed="false">
      <c r="B38867" s="0" t="s">
        <v>14</v>
      </c>
      <c r="C38867" s="0" t="s">
        <v>14063</v>
      </c>
      <c r="D38867" s="0" t="s">
        <v>10365</v>
      </c>
      <c r="E38867" s="0" t="s">
        <v>14064</v>
      </c>
      <c r="F38867" s="0" t="s">
        <v>14065</v>
      </c>
    </row>
    <row r="38868" customFormat="false" ht="12.8" hidden="false" customHeight="false" outlineLevel="0" collapsed="false">
      <c r="B38868" s="0" t="s">
        <v>35</v>
      </c>
      <c r="C38868" s="0" t="s">
        <v>5360</v>
      </c>
      <c r="D38868" s="0" t="s">
        <v>5551</v>
      </c>
      <c r="E38868" s="0" t="s">
        <v>14066</v>
      </c>
      <c r="F38868" s="0" t="s">
        <v>14066</v>
      </c>
    </row>
    <row r="38870" customFormat="false" ht="12.8" hidden="false" customHeight="false" outlineLevel="0" collapsed="false">
      <c r="A38870" s="0" t="s">
        <v>14067</v>
      </c>
      <c r="B38870" s="0" t="str">
        <f aca="false">HYPERLINK("https://lindat.mff.cuni.cz/services/teitok/pdtc10/index.php?action=vallex&amp;frame=v-w5238f2", "připravit (v-w5238f2)")</f>
        <v>připravit (v-w5238f2)</v>
      </c>
    </row>
    <row r="38871" customFormat="false" ht="12.8" hidden="false" customHeight="false" outlineLevel="0" collapsed="false">
      <c r="B38871" s="0" t="s">
        <v>7</v>
      </c>
      <c r="C38871" s="0" t="s">
        <v>14068</v>
      </c>
      <c r="D38871" s="0" t="s">
        <v>1292</v>
      </c>
      <c r="E38871" s="0" t="s">
        <v>1292</v>
      </c>
      <c r="F38871" s="0" t="s">
        <v>1292</v>
      </c>
    </row>
    <row r="38872" customFormat="false" ht="12.8" hidden="false" customHeight="false" outlineLevel="0" collapsed="false">
      <c r="B38872" s="0" t="s">
        <v>14</v>
      </c>
      <c r="C38872" s="0" t="s">
        <v>4218</v>
      </c>
      <c r="D38872" s="0" t="s">
        <v>1294</v>
      </c>
      <c r="E38872" s="0" t="s">
        <v>1294</v>
      </c>
      <c r="F38872" s="0" t="s">
        <v>1294</v>
      </c>
    </row>
    <row r="38874" customFormat="false" ht="12.8" hidden="false" customHeight="false" outlineLevel="0" collapsed="false">
      <c r="A38874" s="0" t="s">
        <v>14069</v>
      </c>
      <c r="B38874" s="0" t="str">
        <f aca="false">HYPERLINK("https://lindat.mff.cuni.cz/services/teitok/pdtc10/index.php?action=vallex&amp;frame=v-w5238f5_ZU", "připravit (v-w5238f5_ZU)")</f>
        <v>připravit (v-w5238f5_ZU)</v>
      </c>
    </row>
    <row r="38875" customFormat="false" ht="12.8" hidden="false" customHeight="false" outlineLevel="0" collapsed="false">
      <c r="B38875" s="0" t="s">
        <v>7</v>
      </c>
      <c r="C38875" s="0" t="s">
        <v>6329</v>
      </c>
      <c r="D38875" s="0" t="s">
        <v>2235</v>
      </c>
      <c r="E38875" s="0" t="s">
        <v>14070</v>
      </c>
      <c r="F38875" s="0" t="s">
        <v>14070</v>
      </c>
    </row>
    <row r="38876" customFormat="false" ht="12.8" hidden="false" customHeight="false" outlineLevel="0" collapsed="false">
      <c r="B38876" s="0" t="s">
        <v>14</v>
      </c>
      <c r="C38876" s="0" t="s">
        <v>14071</v>
      </c>
      <c r="D38876" s="0" t="s">
        <v>2892</v>
      </c>
      <c r="E38876" s="0" t="s">
        <v>14072</v>
      </c>
      <c r="F38876" s="0" t="s">
        <v>14072</v>
      </c>
    </row>
    <row r="38878" customFormat="false" ht="12.8" hidden="false" customHeight="false" outlineLevel="0" collapsed="false">
      <c r="A38878" s="0" t="s">
        <v>14069</v>
      </c>
      <c r="B38878" s="0" t="str">
        <f aca="false">HYPERLINK("https://lindat.mff.cuni.cz/services/teitok/pdtc10/index.php?action=vallex&amp;frame=v-w5238f4", "připravit (v-w5238f4) - substituted with v-w5238f5_ZU")</f>
        <v>připravit (v-w5238f4) - substituted with v-w5238f5_ZU</v>
      </c>
    </row>
    <row r="38879" customFormat="false" ht="12.8" hidden="false" customHeight="false" outlineLevel="0" collapsed="false">
      <c r="B38879" s="0" t="s">
        <v>7</v>
      </c>
      <c r="C38879" s="0" t="s">
        <v>14073</v>
      </c>
    </row>
    <row r="38880" customFormat="false" ht="12.8" hidden="false" customHeight="false" outlineLevel="0" collapsed="false">
      <c r="B38880" s="0" t="s">
        <v>14</v>
      </c>
      <c r="C38880" s="0" t="s">
        <v>14074</v>
      </c>
    </row>
    <row r="38882" customFormat="false" ht="12.8" hidden="false" customHeight="false" outlineLevel="0" collapsed="false">
      <c r="A38882" s="0" t="s">
        <v>14075</v>
      </c>
      <c r="B38882" s="0" t="str">
        <f aca="false">HYPERLINK("https://lindat.mff.cuni.cz/services/teitok/pdtc10/index.php?action=vallex&amp;frame=v-w5239f1", "připravit se (v-w5239f1)")</f>
        <v>připravit se (v-w5239f1)</v>
      </c>
    </row>
    <row r="38883" customFormat="false" ht="12.8" hidden="false" customHeight="false" outlineLevel="0" collapsed="false">
      <c r="B38883" s="0" t="s">
        <v>7</v>
      </c>
      <c r="C38883" s="0" t="s">
        <v>14076</v>
      </c>
      <c r="D38883" s="0" t="s">
        <v>1142</v>
      </c>
      <c r="E38883" s="0" t="s">
        <v>1142</v>
      </c>
      <c r="F38883" s="0" t="s">
        <v>1142</v>
      </c>
    </row>
    <row r="38884" customFormat="false" ht="12.8" hidden="false" customHeight="false" outlineLevel="0" collapsed="false">
      <c r="B38884" s="0" t="s">
        <v>13481</v>
      </c>
      <c r="C38884" s="0" t="s">
        <v>14077</v>
      </c>
      <c r="D38884" s="0" t="s">
        <v>1299</v>
      </c>
      <c r="E38884" s="0" t="s">
        <v>1299</v>
      </c>
      <c r="F38884" s="0" t="s">
        <v>1299</v>
      </c>
    </row>
    <row r="38886" customFormat="false" ht="12.8" hidden="false" customHeight="false" outlineLevel="0" collapsed="false">
      <c r="A38886" s="0" t="s">
        <v>14078</v>
      </c>
      <c r="B38886" s="0" t="str">
        <f aca="false">HYPERLINK("https://lindat.mff.cuni.cz/services/teitok/pdtc10/index.php?action=vallex&amp;frame=v-w5241f4", "připravovat (v-w5241f4)")</f>
        <v>připravovat (v-w5241f4)</v>
      </c>
    </row>
    <row r="38887" customFormat="false" ht="12.8" hidden="false" customHeight="false" outlineLevel="0" collapsed="false">
      <c r="B38887" s="0" t="s">
        <v>7</v>
      </c>
      <c r="C38887" s="0" t="s">
        <v>113</v>
      </c>
    </row>
    <row r="38888" customFormat="false" ht="12.8" hidden="false" customHeight="false" outlineLevel="0" collapsed="false">
      <c r="B38888" s="0" t="s">
        <v>615</v>
      </c>
      <c r="C38888" s="0" t="s">
        <v>1405</v>
      </c>
    </row>
    <row r="38889" customFormat="false" ht="12.8" hidden="false" customHeight="false" outlineLevel="0" collapsed="false">
      <c r="B38889" s="0" t="s">
        <v>81</v>
      </c>
      <c r="C38889" s="0" t="s">
        <v>3288</v>
      </c>
      <c r="E38889" s="0" t="s">
        <v>4656</v>
      </c>
      <c r="F38889" s="0" t="s">
        <v>4656</v>
      </c>
    </row>
    <row r="38891" customFormat="false" ht="12.8" hidden="false" customHeight="false" outlineLevel="0" collapsed="false">
      <c r="A38891" s="0" t="s">
        <v>14079</v>
      </c>
      <c r="B38891" s="0" t="str">
        <f aca="false">HYPERLINK("https://lindat.mff.cuni.cz/services/teitok/pdtc10/index.php?action=vallex&amp;frame=v-w5241f2", "připravovat (v-w5241f2)")</f>
        <v>připravovat (v-w5241f2)</v>
      </c>
    </row>
    <row r="38892" customFormat="false" ht="12.8" hidden="false" customHeight="false" outlineLevel="0" collapsed="false">
      <c r="B38892" s="0" t="s">
        <v>7</v>
      </c>
      <c r="C38892" s="0" t="s">
        <v>3664</v>
      </c>
      <c r="D38892" s="0" t="s">
        <v>14080</v>
      </c>
      <c r="E38892" s="0" t="s">
        <v>14080</v>
      </c>
      <c r="F38892" s="0" t="s">
        <v>14081</v>
      </c>
    </row>
    <row r="38893" customFormat="false" ht="12.8" hidden="false" customHeight="false" outlineLevel="0" collapsed="false">
      <c r="B38893" s="0" t="s">
        <v>14</v>
      </c>
      <c r="C38893" s="0" t="s">
        <v>14082</v>
      </c>
      <c r="D38893" s="0" t="s">
        <v>8221</v>
      </c>
      <c r="E38893" s="0" t="s">
        <v>8221</v>
      </c>
      <c r="F38893" s="0" t="s">
        <v>14083</v>
      </c>
    </row>
    <row r="38894" customFormat="false" ht="12.8" hidden="false" customHeight="false" outlineLevel="0" collapsed="false">
      <c r="B38894" s="0" t="s">
        <v>35</v>
      </c>
      <c r="D38894" s="0" t="s">
        <v>5551</v>
      </c>
      <c r="E38894" s="0" t="s">
        <v>5551</v>
      </c>
      <c r="F38894" s="0" t="s">
        <v>5551</v>
      </c>
    </row>
    <row r="38896" customFormat="false" ht="12.8" hidden="false" customHeight="false" outlineLevel="0" collapsed="false">
      <c r="A38896" s="0" t="s">
        <v>14084</v>
      </c>
      <c r="B38896" s="0" t="str">
        <f aca="false">HYPERLINK("https://lindat.mff.cuni.cz/services/teitok/pdtc10/index.php?action=vallex&amp;frame=v-w5241f6_ZU", "připravovat (v-w5241f6_ZU)")</f>
        <v>připravovat (v-w5241f6_ZU)</v>
      </c>
    </row>
    <row r="38897" customFormat="false" ht="12.8" hidden="false" customHeight="false" outlineLevel="0" collapsed="false">
      <c r="B38897" s="0" t="s">
        <v>7</v>
      </c>
    </row>
    <row r="38898" customFormat="false" ht="12.8" hidden="false" customHeight="false" outlineLevel="0" collapsed="false">
      <c r="B38898" s="0" t="s">
        <v>14</v>
      </c>
    </row>
    <row r="38900" customFormat="false" ht="12.8" hidden="false" customHeight="false" outlineLevel="0" collapsed="false">
      <c r="A38900" s="0" t="s">
        <v>14084</v>
      </c>
      <c r="B38900" s="0" t="str">
        <f aca="false">HYPERLINK("https://lindat.mff.cuni.cz/services/teitok/pdtc10/index.php?action=vallex&amp;frame=v-w5241f1", "připravovat (v-w5241f1) - substituted with v-w5241f6_ZU")</f>
        <v>připravovat (v-w5241f1) - substituted with v-w5241f6_ZU</v>
      </c>
    </row>
    <row r="38901" customFormat="false" ht="12.8" hidden="false" customHeight="false" outlineLevel="0" collapsed="false">
      <c r="B38901" s="0" t="s">
        <v>7</v>
      </c>
      <c r="C38901" s="0" t="s">
        <v>14085</v>
      </c>
      <c r="D38901" s="0" t="s">
        <v>1292</v>
      </c>
      <c r="E38901" s="0" t="s">
        <v>1292</v>
      </c>
      <c r="F38901" s="0" t="s">
        <v>1292</v>
      </c>
    </row>
    <row r="38902" customFormat="false" ht="12.8" hidden="false" customHeight="false" outlineLevel="0" collapsed="false">
      <c r="B38902" s="0" t="s">
        <v>14</v>
      </c>
      <c r="C38902" s="0" t="s">
        <v>14086</v>
      </c>
      <c r="D38902" s="0" t="s">
        <v>1294</v>
      </c>
      <c r="E38902" s="0" t="s">
        <v>1294</v>
      </c>
      <c r="F38902" s="0" t="s">
        <v>1294</v>
      </c>
    </row>
    <row r="38904" customFormat="false" ht="12.8" hidden="false" customHeight="false" outlineLevel="0" collapsed="false">
      <c r="A38904" s="0" t="s">
        <v>14087</v>
      </c>
      <c r="B38904" s="0" t="str">
        <f aca="false">HYPERLINK("https://lindat.mff.cuni.cz/services/teitok/pdtc10/index.php?action=vallex&amp;frame=v-w5241f5_ZU", "připravovat (v-w5241f5_ZU)")</f>
        <v>připravovat (v-w5241f5_ZU)</v>
      </c>
    </row>
    <row r="38905" customFormat="false" ht="12.8" hidden="false" customHeight="false" outlineLevel="0" collapsed="false">
      <c r="B38905" s="0" t="s">
        <v>7</v>
      </c>
    </row>
    <row r="38906" customFormat="false" ht="12.8" hidden="false" customHeight="false" outlineLevel="0" collapsed="false">
      <c r="B38906" s="0" t="s">
        <v>54</v>
      </c>
    </row>
    <row r="38908" customFormat="false" ht="12.8" hidden="false" customHeight="false" outlineLevel="0" collapsed="false">
      <c r="A38908" s="0" t="s">
        <v>14087</v>
      </c>
      <c r="B38908" s="0" t="str">
        <f aca="false">HYPERLINK("https://lindat.mff.cuni.cz/services/teitok/pdtc10/index.php?action=vallex&amp;frame=v-w5241f3", "připravovat (v-w5241f3) - substituted with v-w5241f5_ZU")</f>
        <v>připravovat (v-w5241f3) - substituted with v-w5241f5_ZU</v>
      </c>
    </row>
    <row r="38909" customFormat="false" ht="12.8" hidden="false" customHeight="false" outlineLevel="0" collapsed="false">
      <c r="B38909" s="0" t="s">
        <v>7</v>
      </c>
      <c r="C38909" s="0" t="s">
        <v>14088</v>
      </c>
      <c r="D38909" s="0" t="s">
        <v>1292</v>
      </c>
      <c r="E38909" s="0" t="s">
        <v>14089</v>
      </c>
      <c r="F38909" s="0" t="s">
        <v>14089</v>
      </c>
    </row>
    <row r="38910" customFormat="false" ht="12.8" hidden="false" customHeight="false" outlineLevel="0" collapsed="false">
      <c r="B38910" s="0" t="s">
        <v>54</v>
      </c>
      <c r="C38910" s="0" t="s">
        <v>14090</v>
      </c>
      <c r="D38910" s="0" t="s">
        <v>1294</v>
      </c>
      <c r="E38910" s="0" t="s">
        <v>14091</v>
      </c>
      <c r="F38910" s="0" t="s">
        <v>14091</v>
      </c>
    </row>
    <row r="38912" customFormat="false" ht="12.8" hidden="false" customHeight="false" outlineLevel="0" collapsed="false">
      <c r="A38912" s="0" t="s">
        <v>14092</v>
      </c>
      <c r="B38912" s="0" t="str">
        <f aca="false">HYPERLINK("https://lindat.mff.cuni.cz/services/teitok/pdtc10/index.php?action=vallex&amp;frame=v-w5242f3_ZU", "připravovat se (v-w5242f3_ZU)")</f>
        <v>připravovat se (v-w5242f3_ZU)</v>
      </c>
    </row>
    <row r="38913" customFormat="false" ht="12.8" hidden="false" customHeight="false" outlineLevel="0" collapsed="false">
      <c r="B38913" s="0" t="s">
        <v>7</v>
      </c>
    </row>
    <row r="38914" customFormat="false" ht="12.8" hidden="false" customHeight="false" outlineLevel="0" collapsed="false">
      <c r="B38914" s="0" t="s">
        <v>14093</v>
      </c>
    </row>
    <row r="38916" customFormat="false" ht="12.8" hidden="false" customHeight="false" outlineLevel="0" collapsed="false">
      <c r="A38916" s="0" t="s">
        <v>14092</v>
      </c>
      <c r="B38916" s="0" t="str">
        <f aca="false">HYPERLINK("https://lindat.mff.cuni.cz/services/teitok/pdtc10/index.php?action=vallex&amp;frame=v-w5242f1", "připravovat se (v-w5242f1) - substituted with v-w5242f3_ZU")</f>
        <v>připravovat se (v-w5242f1) - substituted with v-w5242f3_ZU</v>
      </c>
    </row>
    <row r="38917" customFormat="false" ht="12.8" hidden="false" customHeight="false" outlineLevel="0" collapsed="false">
      <c r="B38917" s="0" t="s">
        <v>7</v>
      </c>
      <c r="C38917" s="0" t="s">
        <v>14094</v>
      </c>
      <c r="D38917" s="0" t="s">
        <v>1142</v>
      </c>
      <c r="E38917" s="0" t="s">
        <v>1142</v>
      </c>
      <c r="F38917" s="0" t="s">
        <v>1142</v>
      </c>
    </row>
    <row r="38918" customFormat="false" ht="12.8" hidden="false" customHeight="false" outlineLevel="0" collapsed="false">
      <c r="B38918" s="0" t="s">
        <v>14093</v>
      </c>
      <c r="C38918" s="0" t="s">
        <v>14095</v>
      </c>
      <c r="D38918" s="0" t="s">
        <v>1299</v>
      </c>
      <c r="E38918" s="0" t="s">
        <v>1299</v>
      </c>
      <c r="F38918" s="0" t="s">
        <v>1299</v>
      </c>
    </row>
    <row r="38920" customFormat="false" ht="12.8" hidden="false" customHeight="false" outlineLevel="0" collapsed="false">
      <c r="A38920" s="0" t="s">
        <v>14096</v>
      </c>
      <c r="B38920" s="0" t="str">
        <f aca="false">HYPERLINK("https://lindat.mff.cuni.cz/services/teitok/pdtc10/index.php?action=vallex&amp;frame=v-w5242f2", "připravovat se (v-w5242f2)")</f>
        <v>připravovat se (v-w5242f2)</v>
      </c>
    </row>
    <row r="38921" customFormat="false" ht="12.8" hidden="false" customHeight="false" outlineLevel="0" collapsed="false">
      <c r="B38921" s="0" t="s">
        <v>7</v>
      </c>
    </row>
    <row r="38922" customFormat="false" ht="12.8" hidden="false" customHeight="false" outlineLevel="0" collapsed="false">
      <c r="B38922" s="0" t="s">
        <v>615</v>
      </c>
    </row>
    <row r="38924" customFormat="false" ht="12.8" hidden="false" customHeight="false" outlineLevel="0" collapsed="false">
      <c r="A38924" s="0" t="s">
        <v>14097</v>
      </c>
      <c r="B38924" s="0" t="str">
        <f aca="false">HYPERLINK("https://lindat.mff.cuni.cz/services/teitok/pdtc10/index.php?action=vallex&amp;frame=v-w5245f1", "připsat (v-w5245f1)")</f>
        <v>připsat (v-w5245f1)</v>
      </c>
    </row>
    <row r="38925" customFormat="false" ht="12.8" hidden="false" customHeight="false" outlineLevel="0" collapsed="false">
      <c r="B38925" s="0" t="s">
        <v>7</v>
      </c>
      <c r="C38925" s="0" t="s">
        <v>3042</v>
      </c>
      <c r="D38925" s="0" t="s">
        <v>1801</v>
      </c>
      <c r="E38925" s="0" t="s">
        <v>1801</v>
      </c>
      <c r="F38925" s="0" t="s">
        <v>1801</v>
      </c>
    </row>
    <row r="38926" customFormat="false" ht="12.8" hidden="false" customHeight="false" outlineLevel="0" collapsed="false">
      <c r="B38926" s="0" t="s">
        <v>54</v>
      </c>
      <c r="C38926" s="0" t="s">
        <v>14098</v>
      </c>
      <c r="D38926" s="0" t="s">
        <v>9938</v>
      </c>
      <c r="E38926" s="0" t="s">
        <v>9938</v>
      </c>
      <c r="F38926" s="0" t="s">
        <v>9938</v>
      </c>
    </row>
    <row r="38927" customFormat="false" ht="12.8" hidden="false" customHeight="false" outlineLevel="0" collapsed="false">
      <c r="B38927" s="0" t="s">
        <v>10938</v>
      </c>
      <c r="C38927" s="0" t="s">
        <v>14099</v>
      </c>
      <c r="D38927" s="0" t="s">
        <v>9939</v>
      </c>
      <c r="E38927" s="0" t="s">
        <v>9939</v>
      </c>
      <c r="F38927" s="0" t="s">
        <v>9939</v>
      </c>
    </row>
    <row r="38929" customFormat="false" ht="12.8" hidden="false" customHeight="false" outlineLevel="0" collapsed="false">
      <c r="A38929" s="0" t="s">
        <v>14100</v>
      </c>
      <c r="B38929" s="0" t="str">
        <f aca="false">HYPERLINK("https://lindat.mff.cuni.cz/services/teitok/pdtc10/index.php?action=vallex&amp;frame=v-w5245f2", "připsat (v-w5245f2)")</f>
        <v>připsat (v-w5245f2)</v>
      </c>
    </row>
    <row r="38930" customFormat="false" ht="12.8" hidden="false" customHeight="false" outlineLevel="0" collapsed="false">
      <c r="B38930" s="0" t="s">
        <v>7</v>
      </c>
      <c r="C38930" s="0" t="s">
        <v>191</v>
      </c>
      <c r="D38930" s="0" t="s">
        <v>1740</v>
      </c>
      <c r="E38930" s="0" t="s">
        <v>1740</v>
      </c>
      <c r="F38930" s="0" t="s">
        <v>1740</v>
      </c>
    </row>
    <row r="38931" customFormat="false" ht="12.8" hidden="false" customHeight="false" outlineLevel="0" collapsed="false">
      <c r="B38931" s="0" t="s">
        <v>14</v>
      </c>
      <c r="C38931" s="0" t="s">
        <v>155</v>
      </c>
      <c r="D38931" s="0" t="s">
        <v>1743</v>
      </c>
      <c r="E38931" s="0" t="s">
        <v>1743</v>
      </c>
      <c r="F38931" s="0" t="s">
        <v>1743</v>
      </c>
    </row>
    <row r="38932" customFormat="false" ht="12.8" hidden="false" customHeight="false" outlineLevel="0" collapsed="false">
      <c r="B38932" s="0" t="s">
        <v>48</v>
      </c>
    </row>
    <row r="38934" customFormat="false" ht="12.8" hidden="false" customHeight="false" outlineLevel="0" collapsed="false">
      <c r="A38934" s="0" t="s">
        <v>14101</v>
      </c>
      <c r="B38934" s="0" t="str">
        <f aca="false">HYPERLINK("https://lindat.mff.cuni.cz/services/teitok/pdtc10/index.php?action=vallex&amp;frame=v-w5245f4", "připsat (v-w5245f4)")</f>
        <v>připsat (v-w5245f4)</v>
      </c>
    </row>
    <row r="38935" customFormat="false" ht="12.8" hidden="false" customHeight="false" outlineLevel="0" collapsed="false">
      <c r="B38935" s="0" t="s">
        <v>7</v>
      </c>
      <c r="C38935" s="0" t="s">
        <v>309</v>
      </c>
    </row>
    <row r="38936" customFormat="false" ht="12.8" hidden="false" customHeight="false" outlineLevel="0" collapsed="false">
      <c r="B38936" s="0" t="s">
        <v>14</v>
      </c>
      <c r="C38936" s="0" t="s">
        <v>195</v>
      </c>
    </row>
    <row r="38937" customFormat="false" ht="12.8" hidden="false" customHeight="false" outlineLevel="0" collapsed="false">
      <c r="B38937" s="0" t="s">
        <v>124</v>
      </c>
    </row>
    <row r="38939" customFormat="false" ht="12.8" hidden="false" customHeight="false" outlineLevel="0" collapsed="false">
      <c r="A38939" s="0" t="s">
        <v>14102</v>
      </c>
      <c r="B38939" s="0" t="str">
        <f aca="false">HYPERLINK("https://lindat.mff.cuni.cz/services/teitok/pdtc10/index.php?action=vallex&amp;frame=v-w5245f3", "připsat (v-w5245f3)")</f>
        <v>připsat (v-w5245f3)</v>
      </c>
    </row>
    <row r="38940" customFormat="false" ht="12.8" hidden="false" customHeight="false" outlineLevel="0" collapsed="false">
      <c r="B38940" s="0" t="s">
        <v>7</v>
      </c>
    </row>
    <row r="38941" customFormat="false" ht="12.8" hidden="false" customHeight="false" outlineLevel="0" collapsed="false">
      <c r="B38941" s="0" t="s">
        <v>14103</v>
      </c>
    </row>
    <row r="38942" customFormat="false" ht="12.8" hidden="false" customHeight="false" outlineLevel="0" collapsed="false">
      <c r="B38942" s="0" t="s">
        <v>54</v>
      </c>
    </row>
    <row r="38943" customFormat="false" ht="12.8" hidden="false" customHeight="false" outlineLevel="0" collapsed="false">
      <c r="B38943" s="0" t="s">
        <v>48</v>
      </c>
    </row>
    <row r="38945" customFormat="false" ht="12.8" hidden="false" customHeight="false" outlineLevel="0" collapsed="false">
      <c r="A38945" s="0" t="s">
        <v>14104</v>
      </c>
      <c r="B38945" s="0" t="str">
        <f aca="false">HYPERLINK("https://lindat.mff.cuni.cz/services/teitok/pdtc10/index.php?action=vallex&amp;frame=v-w5246f3", "připustit (v-w5246f3)")</f>
        <v>připustit (v-w5246f3)</v>
      </c>
    </row>
    <row r="38946" customFormat="false" ht="12.8" hidden="false" customHeight="false" outlineLevel="0" collapsed="false">
      <c r="B38946" s="0" t="s">
        <v>7</v>
      </c>
    </row>
    <row r="38947" customFormat="false" ht="12.8" hidden="false" customHeight="false" outlineLevel="0" collapsed="false">
      <c r="B38947" s="0" t="s">
        <v>14</v>
      </c>
    </row>
    <row r="38948" customFormat="false" ht="12.8" hidden="false" customHeight="false" outlineLevel="0" collapsed="false">
      <c r="B38948" s="0" t="s">
        <v>124</v>
      </c>
    </row>
    <row r="38950" customFormat="false" ht="12.8" hidden="false" customHeight="false" outlineLevel="0" collapsed="false">
      <c r="A38950" s="0" t="s">
        <v>14105</v>
      </c>
      <c r="B38950" s="0" t="str">
        <f aca="false">HYPERLINK("https://lindat.mff.cuni.cz/services/teitok/pdtc10/index.php?action=vallex&amp;frame=v-w5246f5", "připustit (v-w5246f5)")</f>
        <v>připustit (v-w5246f5)</v>
      </c>
    </row>
    <row r="38951" customFormat="false" ht="12.8" hidden="false" customHeight="false" outlineLevel="0" collapsed="false">
      <c r="B38951" s="0" t="s">
        <v>7</v>
      </c>
    </row>
    <row r="38952" customFormat="false" ht="12.8" hidden="false" customHeight="false" outlineLevel="0" collapsed="false">
      <c r="B38952" s="0" t="s">
        <v>14</v>
      </c>
    </row>
    <row r="38953" customFormat="false" ht="12.8" hidden="false" customHeight="false" outlineLevel="0" collapsed="false">
      <c r="B38953" s="0" t="s">
        <v>14106</v>
      </c>
    </row>
    <row r="38955" customFormat="false" ht="12.8" hidden="false" customHeight="false" outlineLevel="0" collapsed="false">
      <c r="A38955" s="0" t="s">
        <v>14107</v>
      </c>
      <c r="B38955" s="0" t="str">
        <f aca="false">HYPERLINK("https://lindat.mff.cuni.cz/services/teitok/pdtc10/index.php?action=vallex&amp;frame=v-w5246f2", "připustit (v-w5246f2)")</f>
        <v>připustit (v-w5246f2)</v>
      </c>
    </row>
    <row r="38956" customFormat="false" ht="12.8" hidden="false" customHeight="false" outlineLevel="0" collapsed="false">
      <c r="B38956" s="0" t="s">
        <v>7</v>
      </c>
      <c r="C38956" s="0" t="s">
        <v>14108</v>
      </c>
    </row>
    <row r="38957" customFormat="false" ht="12.8" hidden="false" customHeight="false" outlineLevel="0" collapsed="false">
      <c r="B38957" s="0" t="s">
        <v>1394</v>
      </c>
      <c r="C38957" s="0" t="s">
        <v>14109</v>
      </c>
    </row>
    <row r="38959" customFormat="false" ht="12.8" hidden="false" customHeight="false" outlineLevel="0" collapsed="false">
      <c r="A38959" s="0" t="s">
        <v>14110</v>
      </c>
      <c r="B38959" s="0" t="str">
        <f aca="false">HYPERLINK("https://lindat.mff.cuni.cz/services/teitok/pdtc10/index.php?action=vallex&amp;frame=v-w5246f1", "připustit (v-w5246f1)")</f>
        <v>připustit (v-w5246f1)</v>
      </c>
    </row>
    <row r="38960" customFormat="false" ht="12.8" hidden="false" customHeight="false" outlineLevel="0" collapsed="false">
      <c r="B38960" s="0" t="s">
        <v>7</v>
      </c>
      <c r="C38960" s="0" t="s">
        <v>14111</v>
      </c>
      <c r="D38960" s="0" t="s">
        <v>2534</v>
      </c>
      <c r="E38960" s="0" t="s">
        <v>2696</v>
      </c>
      <c r="F38960" s="0" t="s">
        <v>2696</v>
      </c>
    </row>
    <row r="38961" customFormat="false" ht="12.8" hidden="false" customHeight="false" outlineLevel="0" collapsed="false">
      <c r="B38961" s="0" t="s">
        <v>14047</v>
      </c>
      <c r="C38961" s="0" t="s">
        <v>14112</v>
      </c>
      <c r="D38961" s="0" t="s">
        <v>2699</v>
      </c>
      <c r="E38961" s="0" t="s">
        <v>2700</v>
      </c>
      <c r="F38961" s="0" t="s">
        <v>2700</v>
      </c>
    </row>
    <row r="38963" customFormat="false" ht="12.8" hidden="false" customHeight="false" outlineLevel="0" collapsed="false">
      <c r="A38963" s="0" t="s">
        <v>14113</v>
      </c>
      <c r="B38963" s="0" t="str">
        <f aca="false">HYPERLINK("https://lindat.mff.cuni.cz/services/teitok/pdtc10/index.php?action=vallex&amp;frame=v-w5246f4", "připustit (v-w5246f4)")</f>
        <v>připustit (v-w5246f4)</v>
      </c>
    </row>
    <row r="38964" customFormat="false" ht="12.8" hidden="false" customHeight="false" outlineLevel="0" collapsed="false">
      <c r="B38964" s="0" t="s">
        <v>7</v>
      </c>
    </row>
    <row r="38965" customFormat="false" ht="12.8" hidden="false" customHeight="false" outlineLevel="0" collapsed="false">
      <c r="B38965" s="0" t="s">
        <v>14</v>
      </c>
    </row>
    <row r="38967" customFormat="false" ht="12.8" hidden="false" customHeight="false" outlineLevel="0" collapsed="false">
      <c r="A38967" s="0" t="s">
        <v>14114</v>
      </c>
      <c r="B38967" s="0" t="str">
        <f aca="false">HYPERLINK("https://lindat.mff.cuni.cz/services/teitok/pdtc10/index.php?action=vallex&amp;frame=v-w5247f1", "připustit si (v-w5247f1)")</f>
        <v>připustit si (v-w5247f1)</v>
      </c>
    </row>
    <row r="38968" customFormat="false" ht="12.8" hidden="false" customHeight="false" outlineLevel="0" collapsed="false">
      <c r="B38968" s="0" t="s">
        <v>7</v>
      </c>
    </row>
    <row r="38969" customFormat="false" ht="12.8" hidden="false" customHeight="false" outlineLevel="0" collapsed="false">
      <c r="B38969" s="0" t="s">
        <v>54</v>
      </c>
    </row>
    <row r="38971" customFormat="false" ht="12.8" hidden="false" customHeight="false" outlineLevel="0" collapsed="false">
      <c r="A38971" s="0" t="s">
        <v>14115</v>
      </c>
      <c r="B38971" s="0" t="str">
        <f aca="false">HYPERLINK("https://lindat.mff.cuni.cz/services/teitok/pdtc10/index.php?action=vallex&amp;frame=v-w5247f2", "připustit si (v-w5247f2)")</f>
        <v>připustit si (v-w5247f2)</v>
      </c>
    </row>
    <row r="38972" customFormat="false" ht="12.8" hidden="false" customHeight="false" outlineLevel="0" collapsed="false">
      <c r="B38972" s="0" t="s">
        <v>7</v>
      </c>
    </row>
    <row r="38973" customFormat="false" ht="12.8" hidden="false" customHeight="false" outlineLevel="0" collapsed="false">
      <c r="B38973" s="0" t="s">
        <v>14116</v>
      </c>
    </row>
    <row r="38974" customFormat="false" ht="12.8" hidden="false" customHeight="false" outlineLevel="0" collapsed="false">
      <c r="B38974" s="0" t="s">
        <v>14</v>
      </c>
    </row>
    <row r="38976" customFormat="false" ht="12.8" hidden="false" customHeight="false" outlineLevel="0" collapsed="false">
      <c r="A38976" s="0" t="s">
        <v>14117</v>
      </c>
      <c r="B38976" s="0" t="str">
        <f aca="false">HYPERLINK("https://lindat.mff.cuni.cz/services/teitok/pdtc10/index.php?action=vallex&amp;frame=v-w12343_MMf1_MM", "připálit (v-w12343_MMf1_MM)")</f>
        <v>připálit (v-w12343_MMf1_MM)</v>
      </c>
    </row>
    <row r="38977" customFormat="false" ht="12.8" hidden="false" customHeight="false" outlineLevel="0" collapsed="false">
      <c r="B38977" s="0" t="s">
        <v>7</v>
      </c>
    </row>
    <row r="38978" customFormat="false" ht="12.8" hidden="false" customHeight="false" outlineLevel="0" collapsed="false">
      <c r="B38978" s="0" t="s">
        <v>14</v>
      </c>
    </row>
    <row r="38980" customFormat="false" ht="12.8" hidden="false" customHeight="false" outlineLevel="0" collapsed="false">
      <c r="A38980" s="0" t="s">
        <v>14118</v>
      </c>
      <c r="B38980" s="0" t="str">
        <f aca="false">HYPERLINK("https://lindat.mff.cuni.cz/services/teitok/pdtc10/index.php?action=vallex&amp;frame=v-w5206f1", "připíchnout (v-w5206f1)")</f>
        <v>připíchnout (v-w5206f1)</v>
      </c>
    </row>
    <row r="38981" customFormat="false" ht="12.8" hidden="false" customHeight="false" outlineLevel="0" collapsed="false">
      <c r="B38981" s="0" t="s">
        <v>7</v>
      </c>
    </row>
    <row r="38982" customFormat="false" ht="12.8" hidden="false" customHeight="false" outlineLevel="0" collapsed="false">
      <c r="B38982" s="0" t="s">
        <v>14</v>
      </c>
    </row>
    <row r="38983" customFormat="false" ht="12.8" hidden="false" customHeight="false" outlineLevel="0" collapsed="false">
      <c r="B38983" s="0" t="s">
        <v>124</v>
      </c>
    </row>
    <row r="38985" customFormat="false" ht="12.8" hidden="false" customHeight="false" outlineLevel="0" collapsed="false">
      <c r="A38985" s="0" t="s">
        <v>14119</v>
      </c>
      <c r="B38985" s="0" t="str">
        <f aca="false">HYPERLINK("https://lindat.mff.cuni.cz/services/teitok/pdtc10/index.php?action=vallex&amp;frame=v-w10726f2", "připíchávat (v-w10726f2)")</f>
        <v>připíchávat (v-w10726f2)</v>
      </c>
    </row>
    <row r="38986" customFormat="false" ht="12.8" hidden="false" customHeight="false" outlineLevel="0" collapsed="false">
      <c r="B38986" s="0" t="s">
        <v>7</v>
      </c>
    </row>
    <row r="38987" customFormat="false" ht="12.8" hidden="false" customHeight="false" outlineLevel="0" collapsed="false">
      <c r="B38987" s="0" t="s">
        <v>14</v>
      </c>
    </row>
    <row r="38988" customFormat="false" ht="12.8" hidden="false" customHeight="false" outlineLevel="0" collapsed="false">
      <c r="B38988" s="0" t="s">
        <v>124</v>
      </c>
    </row>
    <row r="38990" customFormat="false" ht="12.8" hidden="false" customHeight="false" outlineLevel="0" collapsed="false">
      <c r="A38990" s="0" t="s">
        <v>14120</v>
      </c>
      <c r="B38990" s="0" t="str">
        <f aca="false">HYPERLINK("https://lindat.mff.cuni.cz/services/teitok/pdtc10/index.php?action=vallex&amp;frame=v-w10478f2", "připíjet (v-w10478f2)")</f>
        <v>připíjet (v-w10478f2)</v>
      </c>
    </row>
    <row r="38991" customFormat="false" ht="12.8" hidden="false" customHeight="false" outlineLevel="0" collapsed="false">
      <c r="B38991" s="0" t="s">
        <v>7</v>
      </c>
      <c r="C38991" s="0" t="s">
        <v>191</v>
      </c>
      <c r="D38991" s="0" t="s">
        <v>46</v>
      </c>
      <c r="E38991" s="0" t="s">
        <v>46</v>
      </c>
      <c r="F38991" s="0" t="s">
        <v>46</v>
      </c>
    </row>
    <row r="38992" customFormat="false" ht="12.8" hidden="false" customHeight="false" outlineLevel="0" collapsed="false">
      <c r="B38992" s="0" t="s">
        <v>48</v>
      </c>
    </row>
    <row r="38993" customFormat="false" ht="12.8" hidden="false" customHeight="false" outlineLevel="0" collapsed="false">
      <c r="B38993" s="0" t="s">
        <v>63</v>
      </c>
      <c r="C38993" s="0" t="s">
        <v>155</v>
      </c>
      <c r="D38993" s="0" t="s">
        <v>47</v>
      </c>
      <c r="E38993" s="0" t="s">
        <v>47</v>
      </c>
      <c r="F38993" s="0" t="s">
        <v>47</v>
      </c>
    </row>
    <row r="38995" customFormat="false" ht="12.8" hidden="false" customHeight="false" outlineLevel="0" collapsed="false">
      <c r="A38995" s="0" t="s">
        <v>14121</v>
      </c>
      <c r="B38995" s="0" t="str">
        <f aca="false">HYPERLINK("https://lindat.mff.cuni.cz/services/teitok/pdtc10/index.php?action=vallex&amp;frame=v-whsb_614hsa_615", "připíjet si (v-whsb_614hsa_615)")</f>
        <v>připíjet si (v-whsb_614hsa_615)</v>
      </c>
    </row>
    <row r="38996" customFormat="false" ht="12.8" hidden="false" customHeight="false" outlineLevel="0" collapsed="false">
      <c r="B38996" s="0" t="s">
        <v>7</v>
      </c>
    </row>
    <row r="38997" customFormat="false" ht="12.8" hidden="false" customHeight="false" outlineLevel="0" collapsed="false">
      <c r="B38997" s="0" t="s">
        <v>207</v>
      </c>
    </row>
    <row r="38998" customFormat="false" ht="12.8" hidden="false" customHeight="false" outlineLevel="0" collapsed="false">
      <c r="B38998" s="0" t="s">
        <v>63</v>
      </c>
    </row>
    <row r="39000" customFormat="false" ht="12.8" hidden="false" customHeight="false" outlineLevel="0" collapsed="false">
      <c r="A39000" s="0" t="s">
        <v>14122</v>
      </c>
      <c r="B39000" s="0" t="str">
        <f aca="false">HYPERLINK("https://lindat.mff.cuni.cz/services/teitok/pdtc10/index.php?action=vallex&amp;frame=v-w12136_ZUf1_ZU", "připínat (v-w12136_ZUf1_ZU)")</f>
        <v>připínat (v-w12136_ZUf1_ZU)</v>
      </c>
    </row>
    <row r="39001" customFormat="false" ht="12.8" hidden="false" customHeight="false" outlineLevel="0" collapsed="false">
      <c r="B39001" s="0" t="s">
        <v>7</v>
      </c>
    </row>
    <row r="39002" customFormat="false" ht="12.8" hidden="false" customHeight="false" outlineLevel="0" collapsed="false">
      <c r="B39002" s="0" t="s">
        <v>14</v>
      </c>
    </row>
    <row r="39003" customFormat="false" ht="12.8" hidden="false" customHeight="false" outlineLevel="0" collapsed="false">
      <c r="B39003" s="0" t="s">
        <v>338</v>
      </c>
    </row>
    <row r="39005" customFormat="false" ht="12.8" hidden="false" customHeight="false" outlineLevel="0" collapsed="false">
      <c r="A39005" s="0" t="s">
        <v>14123</v>
      </c>
      <c r="B39005" s="0" t="str">
        <f aca="false">HYPERLINK("https://lindat.mff.cuni.cz/services/teitok/pdtc10/index.php?action=vallex&amp;frame=v-w12283_ZUf1_ZU", "připít (v-w12283_ZUf1_ZU)")</f>
        <v>připít (v-w12283_ZUf1_ZU)</v>
      </c>
    </row>
    <row r="39006" customFormat="false" ht="12.8" hidden="false" customHeight="false" outlineLevel="0" collapsed="false">
      <c r="B39006" s="0" t="s">
        <v>7</v>
      </c>
    </row>
    <row r="39007" customFormat="false" ht="12.8" hidden="false" customHeight="false" outlineLevel="0" collapsed="false">
      <c r="B39007" s="0" t="s">
        <v>48</v>
      </c>
    </row>
    <row r="39008" customFormat="false" ht="12.8" hidden="false" customHeight="false" outlineLevel="0" collapsed="false">
      <c r="B39008" s="0" t="s">
        <v>63</v>
      </c>
    </row>
    <row r="39010" customFormat="false" ht="12.8" hidden="false" customHeight="false" outlineLevel="0" collapsed="false">
      <c r="A39010" s="0" t="s">
        <v>14124</v>
      </c>
      <c r="B39010" s="0" t="str">
        <f aca="false">HYPERLINK("https://lindat.mff.cuni.cz/services/teitok/pdtc10/index.php?action=vallex&amp;frame=v-whsa_517hsa_518", "připít si (v-whsa_517hsa_518)")</f>
        <v>připít si (v-whsa_517hsa_518)</v>
      </c>
    </row>
    <row r="39011" customFormat="false" ht="12.8" hidden="false" customHeight="false" outlineLevel="0" collapsed="false">
      <c r="B39011" s="0" t="s">
        <v>7</v>
      </c>
    </row>
    <row r="39012" customFormat="false" ht="12.8" hidden="false" customHeight="false" outlineLevel="0" collapsed="false">
      <c r="B39012" s="0" t="s">
        <v>207</v>
      </c>
    </row>
    <row r="39013" customFormat="false" ht="12.8" hidden="false" customHeight="false" outlineLevel="0" collapsed="false">
      <c r="B39013" s="0" t="s">
        <v>63</v>
      </c>
    </row>
    <row r="39015" customFormat="false" ht="12.8" hidden="false" customHeight="false" outlineLevel="0" collapsed="false">
      <c r="A39015" s="0" t="s">
        <v>14125</v>
      </c>
      <c r="B39015" s="0" t="str">
        <f aca="false">HYPERLINK("https://lindat.mff.cuni.cz/services/teitok/pdtc10/index.php?action=vallex&amp;frame=v-w5250f1", "přirovnat (v-w5250f1)")</f>
        <v>přirovnat (v-w5250f1)</v>
      </c>
    </row>
    <row r="39016" customFormat="false" ht="12.8" hidden="false" customHeight="false" outlineLevel="0" collapsed="false">
      <c r="B39016" s="0" t="s">
        <v>7</v>
      </c>
      <c r="C39016" s="0" t="s">
        <v>3664</v>
      </c>
      <c r="D39016" s="0" t="s">
        <v>1826</v>
      </c>
      <c r="E39016" s="0" t="s">
        <v>1826</v>
      </c>
      <c r="F39016" s="0" t="s">
        <v>1826</v>
      </c>
    </row>
    <row r="39017" customFormat="false" ht="12.8" hidden="false" customHeight="false" outlineLevel="0" collapsed="false">
      <c r="B39017" s="0" t="s">
        <v>237</v>
      </c>
      <c r="C39017" s="0" t="s">
        <v>14126</v>
      </c>
      <c r="D39017" s="0" t="s">
        <v>13991</v>
      </c>
      <c r="E39017" s="0" t="s">
        <v>13991</v>
      </c>
      <c r="F39017" s="0" t="s">
        <v>13991</v>
      </c>
    </row>
    <row r="39018" customFormat="false" ht="12.8" hidden="false" customHeight="false" outlineLevel="0" collapsed="false">
      <c r="B39018" s="0" t="s">
        <v>81</v>
      </c>
      <c r="C39018" s="0" t="s">
        <v>14127</v>
      </c>
      <c r="D39018" s="0" t="s">
        <v>13992</v>
      </c>
      <c r="E39018" s="0" t="s">
        <v>13992</v>
      </c>
      <c r="F39018" s="0" t="s">
        <v>13992</v>
      </c>
    </row>
    <row r="39020" customFormat="false" ht="12.8" hidden="false" customHeight="false" outlineLevel="0" collapsed="false">
      <c r="A39020" s="0" t="s">
        <v>14128</v>
      </c>
      <c r="B39020" s="0" t="str">
        <f aca="false">HYPERLINK("https://lindat.mff.cuni.cz/services/teitok/pdtc10/index.php?action=vallex&amp;frame=v-w5251f1", "přirovnávat (v-w5251f1)")</f>
        <v>přirovnávat (v-w5251f1)</v>
      </c>
    </row>
    <row r="39021" customFormat="false" ht="12.8" hidden="false" customHeight="false" outlineLevel="0" collapsed="false">
      <c r="B39021" s="0" t="s">
        <v>7</v>
      </c>
      <c r="C39021" s="0" t="s">
        <v>309</v>
      </c>
      <c r="D39021" s="0" t="s">
        <v>1826</v>
      </c>
      <c r="E39021" s="0" t="s">
        <v>1826</v>
      </c>
      <c r="F39021" s="0" t="s">
        <v>1826</v>
      </c>
    </row>
    <row r="39022" customFormat="false" ht="12.8" hidden="false" customHeight="false" outlineLevel="0" collapsed="false">
      <c r="B39022" s="0" t="s">
        <v>237</v>
      </c>
      <c r="C39022" s="0" t="s">
        <v>14129</v>
      </c>
      <c r="D39022" s="0" t="s">
        <v>13991</v>
      </c>
      <c r="E39022" s="0" t="s">
        <v>13991</v>
      </c>
      <c r="F39022" s="0" t="s">
        <v>13991</v>
      </c>
    </row>
    <row r="39023" customFormat="false" ht="12.8" hidden="false" customHeight="false" outlineLevel="0" collapsed="false">
      <c r="B39023" s="0" t="s">
        <v>81</v>
      </c>
      <c r="C39023" s="0" t="s">
        <v>14127</v>
      </c>
      <c r="D39023" s="0" t="s">
        <v>13992</v>
      </c>
      <c r="E39023" s="0" t="s">
        <v>13992</v>
      </c>
      <c r="F39023" s="0" t="s">
        <v>13992</v>
      </c>
    </row>
    <row r="39025" customFormat="false" ht="12.8" hidden="false" customHeight="false" outlineLevel="0" collapsed="false">
      <c r="A39025" s="0" t="s">
        <v>14130</v>
      </c>
      <c r="B39025" s="0" t="str">
        <f aca="false">HYPERLINK("https://lindat.mff.cuni.cz/services/teitok/pdtc10/index.php?action=vallex&amp;frame=v-whsa_2005hsa_2006", "přirážet (v-whsa_2005hsa_2006)")</f>
        <v>přirážet (v-whsa_2005hsa_2006)</v>
      </c>
    </row>
    <row r="39026" customFormat="false" ht="12.8" hidden="false" customHeight="false" outlineLevel="0" collapsed="false">
      <c r="B39026" s="0" t="s">
        <v>7</v>
      </c>
    </row>
    <row r="39027" customFormat="false" ht="12.8" hidden="false" customHeight="false" outlineLevel="0" collapsed="false">
      <c r="B39027" s="0" t="s">
        <v>14</v>
      </c>
    </row>
    <row r="39028" customFormat="false" ht="12.8" hidden="false" customHeight="false" outlineLevel="0" collapsed="false">
      <c r="B39028" s="0" t="s">
        <v>124</v>
      </c>
    </row>
    <row r="39030" customFormat="false" ht="12.8" hidden="false" customHeight="false" outlineLevel="0" collapsed="false">
      <c r="A39030" s="0" t="s">
        <v>14131</v>
      </c>
      <c r="B39030" s="0" t="str">
        <f aca="false">HYPERLINK("https://lindat.mff.cuni.cz/services/teitok/pdtc10/index.php?action=vallex&amp;frame=v-whsa_587f1_ZU", "přirůst (v-whsa_587f1_ZU)")</f>
        <v>přirůst (v-whsa_587f1_ZU)</v>
      </c>
    </row>
    <row r="39031" customFormat="false" ht="12.8" hidden="false" customHeight="false" outlineLevel="0" collapsed="false">
      <c r="B39031" s="0" t="s">
        <v>7</v>
      </c>
    </row>
    <row r="39032" customFormat="false" ht="12.8" hidden="false" customHeight="false" outlineLevel="0" collapsed="false">
      <c r="B39032" s="0" t="s">
        <v>13839</v>
      </c>
    </row>
    <row r="39033" customFormat="false" ht="12.8" hidden="false" customHeight="false" outlineLevel="0" collapsed="false">
      <c r="B39033" s="0" t="s">
        <v>142</v>
      </c>
    </row>
    <row r="39035" customFormat="false" ht="12.8" hidden="false" customHeight="false" outlineLevel="0" collapsed="false">
      <c r="A39035" s="0" t="s">
        <v>14131</v>
      </c>
      <c r="B39035" s="0" t="str">
        <f aca="false">HYPERLINK("https://lindat.mff.cuni.cz/services/teitok/pdtc10/index.php?action=vallex&amp;frame=v-whsa_587hsa_588", "přirůst (v-whsa_587hsa_588) - substituted with v-whsa_587f1_ZU")</f>
        <v>přirůst (v-whsa_587hsa_588) - substituted with v-whsa_587f1_ZU</v>
      </c>
    </row>
    <row r="39036" customFormat="false" ht="12.8" hidden="false" customHeight="false" outlineLevel="0" collapsed="false">
      <c r="B39036" s="0" t="s">
        <v>7</v>
      </c>
    </row>
    <row r="39037" customFormat="false" ht="12.8" hidden="false" customHeight="false" outlineLevel="0" collapsed="false">
      <c r="B39037" s="0" t="s">
        <v>13839</v>
      </c>
    </row>
    <row r="39038" customFormat="false" ht="12.8" hidden="false" customHeight="false" outlineLevel="0" collapsed="false">
      <c r="B39038" s="0" t="s">
        <v>142</v>
      </c>
    </row>
    <row r="39040" customFormat="false" ht="12.8" hidden="false" customHeight="false" outlineLevel="0" collapsed="false">
      <c r="A39040" s="0" t="s">
        <v>14132</v>
      </c>
      <c r="B39040" s="0" t="str">
        <f aca="false">HYPERLINK("https://lindat.mff.cuni.cz/services/teitok/pdtc10/index.php?action=vallex&amp;frame=v-w5252f1", "přirůstat (v-w5252f1)")</f>
        <v>přirůstat (v-w5252f1)</v>
      </c>
    </row>
    <row r="39041" customFormat="false" ht="12.8" hidden="false" customHeight="false" outlineLevel="0" collapsed="false">
      <c r="B39041" s="0" t="s">
        <v>2401</v>
      </c>
    </row>
    <row r="39043" customFormat="false" ht="12.8" hidden="false" customHeight="false" outlineLevel="0" collapsed="false">
      <c r="A39043" s="0" t="s">
        <v>14133</v>
      </c>
      <c r="B39043" s="0" t="str">
        <f aca="false">HYPERLINK("https://lindat.mff.cuni.cz/services/teitok/pdtc10/index.php?action=vallex&amp;frame=v-w11259f1", "přisadit si (v-w11259f1)")</f>
        <v>přisadit si (v-w11259f1)</v>
      </c>
    </row>
    <row r="39044" customFormat="false" ht="12.8" hidden="false" customHeight="false" outlineLevel="0" collapsed="false">
      <c r="B39044" s="0" t="s">
        <v>7</v>
      </c>
    </row>
    <row r="39045" customFormat="false" ht="12.8" hidden="false" customHeight="false" outlineLevel="0" collapsed="false">
      <c r="B39045" s="0" t="s">
        <v>14</v>
      </c>
    </row>
    <row r="39046" customFormat="false" ht="12.8" hidden="false" customHeight="false" outlineLevel="0" collapsed="false">
      <c r="B39046" s="0" t="s">
        <v>84</v>
      </c>
    </row>
    <row r="39048" customFormat="false" ht="12.8" hidden="false" customHeight="false" outlineLevel="0" collapsed="false">
      <c r="A39048" s="0" t="s">
        <v>14134</v>
      </c>
      <c r="B39048" s="0" t="str">
        <f aca="false">HYPERLINK("https://lindat.mff.cuni.cz/services/teitok/pdtc10/index.php?action=vallex&amp;frame=v-w11994_ZUf1_ZU", "přisedat si (v-w11994_ZUf1_ZU)")</f>
        <v>přisedat si (v-w11994_ZUf1_ZU)</v>
      </c>
    </row>
    <row r="39049" customFormat="false" ht="12.8" hidden="false" customHeight="false" outlineLevel="0" collapsed="false">
      <c r="B39049" s="0" t="s">
        <v>7</v>
      </c>
    </row>
    <row r="39050" customFormat="false" ht="12.8" hidden="false" customHeight="false" outlineLevel="0" collapsed="false">
      <c r="B39050" s="0" t="s">
        <v>338</v>
      </c>
    </row>
    <row r="39052" customFormat="false" ht="12.8" hidden="false" customHeight="false" outlineLevel="0" collapsed="false">
      <c r="A39052" s="0" t="s">
        <v>14135</v>
      </c>
      <c r="B39052" s="0" t="str">
        <f aca="false">HYPERLINK("https://lindat.mff.cuni.cz/services/teitok/pdtc10/index.php?action=vallex&amp;frame=v-whsa_659hsa_660", "přisednout si (v-whsa_659hsa_660)")</f>
        <v>přisednout si (v-whsa_659hsa_660)</v>
      </c>
    </row>
    <row r="39053" customFormat="false" ht="12.8" hidden="false" customHeight="false" outlineLevel="0" collapsed="false">
      <c r="B39053" s="0" t="s">
        <v>7</v>
      </c>
    </row>
    <row r="39054" customFormat="false" ht="12.8" hidden="false" customHeight="false" outlineLevel="0" collapsed="false">
      <c r="B39054" s="0" t="s">
        <v>124</v>
      </c>
    </row>
    <row r="39056" customFormat="false" ht="12.8" hidden="false" customHeight="false" outlineLevel="0" collapsed="false">
      <c r="A39056" s="0" t="s">
        <v>14136</v>
      </c>
      <c r="B39056" s="0" t="str">
        <f aca="false">HYPERLINK("https://lindat.mff.cuni.cz/services/teitok/pdtc10/index.php?action=vallex&amp;frame=v-w10589f2", "přiskakovat (v-w10589f2)")</f>
        <v>přiskakovat (v-w10589f2)</v>
      </c>
    </row>
    <row r="39057" customFormat="false" ht="12.8" hidden="false" customHeight="false" outlineLevel="0" collapsed="false">
      <c r="B39057" s="0" t="s">
        <v>7</v>
      </c>
    </row>
    <row r="39058" customFormat="false" ht="12.8" hidden="false" customHeight="false" outlineLevel="0" collapsed="false">
      <c r="B39058" s="0" t="s">
        <v>124</v>
      </c>
    </row>
    <row r="39060" customFormat="false" ht="12.8" hidden="false" customHeight="false" outlineLevel="0" collapsed="false">
      <c r="A39060" s="0" t="s">
        <v>14137</v>
      </c>
      <c r="B39060" s="0" t="str">
        <f aca="false">HYPERLINK("https://lindat.mff.cuni.cz/services/teitok/pdtc10/index.php?action=vallex&amp;frame=v-whsa_1741hsa_1742", "přiskočit (v-whsa_1741hsa_1742)")</f>
        <v>přiskočit (v-whsa_1741hsa_1742)</v>
      </c>
    </row>
    <row r="39061" customFormat="false" ht="12.8" hidden="false" customHeight="false" outlineLevel="0" collapsed="false">
      <c r="B39061" s="0" t="s">
        <v>7</v>
      </c>
    </row>
    <row r="39062" customFormat="false" ht="12.8" hidden="false" customHeight="false" outlineLevel="0" collapsed="false">
      <c r="B39062" s="0" t="s">
        <v>124</v>
      </c>
    </row>
    <row r="39064" customFormat="false" ht="12.8" hidden="false" customHeight="false" outlineLevel="0" collapsed="false">
      <c r="A39064" s="0" t="s">
        <v>14138</v>
      </c>
      <c r="B39064" s="0" t="str">
        <f aca="false">HYPERLINK("https://lindat.mff.cuni.cz/services/teitok/pdtc10/index.php?action=vallex&amp;frame=v-w11563_ZUf1_ZU", "přiskřípnout (v-w11563_ZUf1_ZU)")</f>
        <v>přiskřípnout (v-w11563_ZUf1_ZU)</v>
      </c>
    </row>
    <row r="39065" customFormat="false" ht="12.8" hidden="false" customHeight="false" outlineLevel="0" collapsed="false">
      <c r="B39065" s="0" t="s">
        <v>7</v>
      </c>
      <c r="C39065" s="0" t="s">
        <v>191</v>
      </c>
    </row>
    <row r="39066" customFormat="false" ht="12.8" hidden="false" customHeight="false" outlineLevel="0" collapsed="false">
      <c r="B39066" s="0" t="s">
        <v>14</v>
      </c>
      <c r="C39066" s="0" t="s">
        <v>155</v>
      </c>
    </row>
    <row r="39068" customFormat="false" ht="12.8" hidden="false" customHeight="false" outlineLevel="0" collapsed="false">
      <c r="A39068" s="0" t="s">
        <v>14139</v>
      </c>
      <c r="B39068" s="0" t="str">
        <f aca="false">HYPERLINK("https://lindat.mff.cuni.cz/services/teitok/pdtc10/index.php?action=vallex&amp;frame=v-w10872f2", "přisladit (v-w10872f2)")</f>
        <v>přisladit (v-w10872f2)</v>
      </c>
    </row>
    <row r="39069" customFormat="false" ht="12.8" hidden="false" customHeight="false" outlineLevel="0" collapsed="false">
      <c r="B39069" s="0" t="s">
        <v>7</v>
      </c>
      <c r="C39069" s="0" t="s">
        <v>460</v>
      </c>
      <c r="E39069" s="0" t="s">
        <v>460</v>
      </c>
      <c r="F39069" s="0" t="s">
        <v>460</v>
      </c>
    </row>
    <row r="39070" customFormat="false" ht="12.8" hidden="false" customHeight="false" outlineLevel="0" collapsed="false">
      <c r="B39070" s="0" t="s">
        <v>14</v>
      </c>
      <c r="C39070" s="0" t="s">
        <v>1209</v>
      </c>
      <c r="E39070" s="0" t="s">
        <v>1209</v>
      </c>
      <c r="F39070" s="0" t="s">
        <v>1209</v>
      </c>
    </row>
    <row r="39072" customFormat="false" ht="12.8" hidden="false" customHeight="false" outlineLevel="0" collapsed="false">
      <c r="A39072" s="0" t="s">
        <v>14140</v>
      </c>
      <c r="B39072" s="0" t="str">
        <f aca="false">HYPERLINK("https://lindat.mff.cuni.cz/services/teitok/pdtc10/index.php?action=vallex&amp;frame=v-w5264f1", "přislíbit (v-w5264f1)")</f>
        <v>přislíbit (v-w5264f1)</v>
      </c>
    </row>
    <row r="39073" customFormat="false" ht="12.8" hidden="false" customHeight="false" outlineLevel="0" collapsed="false">
      <c r="B39073" s="0" t="s">
        <v>7</v>
      </c>
      <c r="C39073" s="0" t="s">
        <v>14141</v>
      </c>
      <c r="D39073" s="0" t="s">
        <v>14142</v>
      </c>
      <c r="E39073" s="0" t="s">
        <v>14142</v>
      </c>
      <c r="F39073" s="0" t="s">
        <v>14142</v>
      </c>
    </row>
    <row r="39074" customFormat="false" ht="12.8" hidden="false" customHeight="false" outlineLevel="0" collapsed="false">
      <c r="B39074" s="0" t="s">
        <v>14143</v>
      </c>
      <c r="C39074" s="0" t="s">
        <v>14144</v>
      </c>
      <c r="D39074" s="0" t="s">
        <v>14145</v>
      </c>
      <c r="E39074" s="0" t="s">
        <v>14145</v>
      </c>
      <c r="F39074" s="0" t="s">
        <v>14145</v>
      </c>
    </row>
    <row r="39075" customFormat="false" ht="12.8" hidden="false" customHeight="false" outlineLevel="0" collapsed="false">
      <c r="B39075" s="0" t="s">
        <v>48</v>
      </c>
      <c r="C39075" s="0" t="s">
        <v>4214</v>
      </c>
      <c r="D39075" s="0" t="s">
        <v>14146</v>
      </c>
      <c r="E39075" s="0" t="s">
        <v>14146</v>
      </c>
      <c r="F39075" s="0" t="s">
        <v>14146</v>
      </c>
    </row>
    <row r="39077" customFormat="false" ht="12.8" hidden="false" customHeight="false" outlineLevel="0" collapsed="false">
      <c r="A39077" s="0" t="s">
        <v>14147</v>
      </c>
      <c r="B39077" s="0" t="str">
        <f aca="false">HYPERLINK("https://lindat.mff.cuni.cz/services/teitok/pdtc10/index.php?action=vallex&amp;frame=v-w5275f1", "přisoudit (v-w5275f1)")</f>
        <v>přisoudit (v-w5275f1)</v>
      </c>
    </row>
    <row r="39078" customFormat="false" ht="12.8" hidden="false" customHeight="false" outlineLevel="0" collapsed="false">
      <c r="B39078" s="0" t="s">
        <v>7</v>
      </c>
      <c r="C39078" s="0" t="s">
        <v>8313</v>
      </c>
      <c r="D39078" s="0" t="s">
        <v>1801</v>
      </c>
      <c r="E39078" s="0" t="s">
        <v>1801</v>
      </c>
      <c r="F39078" s="0" t="s">
        <v>1801</v>
      </c>
    </row>
    <row r="39079" customFormat="false" ht="12.8" hidden="false" customHeight="false" outlineLevel="0" collapsed="false">
      <c r="B39079" s="0" t="s">
        <v>54</v>
      </c>
      <c r="C39079" s="0" t="s">
        <v>210</v>
      </c>
      <c r="D39079" s="0" t="s">
        <v>9938</v>
      </c>
      <c r="E39079" s="0" t="s">
        <v>9938</v>
      </c>
      <c r="F39079" s="0" t="s">
        <v>9938</v>
      </c>
    </row>
    <row r="39080" customFormat="false" ht="12.8" hidden="false" customHeight="false" outlineLevel="0" collapsed="false">
      <c r="B39080" s="0" t="s">
        <v>48</v>
      </c>
      <c r="C39080" s="0" t="s">
        <v>14148</v>
      </c>
      <c r="D39080" s="0" t="s">
        <v>9939</v>
      </c>
      <c r="E39080" s="0" t="s">
        <v>9939</v>
      </c>
      <c r="F39080" s="0" t="s">
        <v>9939</v>
      </c>
    </row>
    <row r="39082" customFormat="false" ht="12.8" hidden="false" customHeight="false" outlineLevel="0" collapsed="false">
      <c r="A39082" s="0" t="s">
        <v>14149</v>
      </c>
      <c r="B39082" s="0" t="str">
        <f aca="false">HYPERLINK("https://lindat.mff.cuni.cz/services/teitok/pdtc10/index.php?action=vallex&amp;frame=v-w5281f2", "přispívat (v-w5281f2)")</f>
        <v>přispívat (v-w5281f2)</v>
      </c>
    </row>
    <row r="39083" customFormat="false" ht="12.8" hidden="false" customHeight="false" outlineLevel="0" collapsed="false">
      <c r="B39083" s="0" t="s">
        <v>7</v>
      </c>
      <c r="C39083" s="0" t="s">
        <v>11928</v>
      </c>
      <c r="D39083" s="0" t="s">
        <v>7578</v>
      </c>
      <c r="E39083" s="0" t="s">
        <v>7578</v>
      </c>
      <c r="F39083" s="0" t="s">
        <v>7578</v>
      </c>
    </row>
    <row r="39084" customFormat="false" ht="12.8" hidden="false" customHeight="false" outlineLevel="0" collapsed="false">
      <c r="B39084" s="0" t="s">
        <v>1836</v>
      </c>
      <c r="C39084" s="0" t="s">
        <v>14150</v>
      </c>
      <c r="D39084" s="0" t="s">
        <v>14151</v>
      </c>
      <c r="E39084" s="0" t="s">
        <v>14151</v>
      </c>
      <c r="F39084" s="0" t="s">
        <v>14151</v>
      </c>
    </row>
    <row r="39085" customFormat="false" ht="12.8" hidden="false" customHeight="false" outlineLevel="0" collapsed="false">
      <c r="B39085" s="0" t="s">
        <v>48</v>
      </c>
      <c r="D39085" s="0" t="s">
        <v>14152</v>
      </c>
      <c r="E39085" s="0" t="s">
        <v>14152</v>
      </c>
      <c r="F39085" s="0" t="s">
        <v>14152</v>
      </c>
    </row>
    <row r="39087" customFormat="false" ht="12.8" hidden="false" customHeight="false" outlineLevel="0" collapsed="false">
      <c r="A39087" s="0" t="s">
        <v>14153</v>
      </c>
      <c r="B39087" s="0" t="str">
        <f aca="false">HYPERLINK("https://lindat.mff.cuni.cz/services/teitok/pdtc10/index.php?action=vallex&amp;frame=v-w5281f4_ZU", "přispívat (v-w5281f4_ZU)")</f>
        <v>přispívat (v-w5281f4_ZU)</v>
      </c>
    </row>
    <row r="39088" customFormat="false" ht="12.8" hidden="false" customHeight="false" outlineLevel="0" collapsed="false">
      <c r="B39088" s="0" t="s">
        <v>265</v>
      </c>
      <c r="C39088" s="0" t="s">
        <v>11928</v>
      </c>
      <c r="D39088" s="0" t="s">
        <v>141</v>
      </c>
      <c r="E39088" s="0" t="s">
        <v>141</v>
      </c>
      <c r="F39088" s="0" t="s">
        <v>141</v>
      </c>
    </row>
    <row r="39089" customFormat="false" ht="12.8" hidden="false" customHeight="false" outlineLevel="0" collapsed="false">
      <c r="B39089" s="0" t="s">
        <v>14154</v>
      </c>
      <c r="C39089" s="0" t="s">
        <v>14150</v>
      </c>
      <c r="D39089" s="0" t="s">
        <v>144</v>
      </c>
      <c r="E39089" s="0" t="s">
        <v>144</v>
      </c>
      <c r="F39089" s="0" t="s">
        <v>144</v>
      </c>
    </row>
    <row r="39091" customFormat="false" ht="12.8" hidden="false" customHeight="false" outlineLevel="0" collapsed="false">
      <c r="A39091" s="0" t="s">
        <v>14153</v>
      </c>
      <c r="B39091" s="0" t="str">
        <f aca="false">HYPERLINK("https://lindat.mff.cuni.cz/services/teitok/pdtc10/index.php?action=vallex&amp;frame=v-w5281f1", "přispívat (v-w5281f1) - substituted with v-w5281f4_ZU")</f>
        <v>přispívat (v-w5281f1) - substituted with v-w5281f4_ZU</v>
      </c>
    </row>
    <row r="39092" customFormat="false" ht="12.8" hidden="false" customHeight="false" outlineLevel="0" collapsed="false">
      <c r="B39092" s="0" t="s">
        <v>265</v>
      </c>
      <c r="C39092" s="0" t="s">
        <v>14155</v>
      </c>
    </row>
    <row r="39093" customFormat="false" ht="12.8" hidden="false" customHeight="false" outlineLevel="0" collapsed="false">
      <c r="B39093" s="0" t="s">
        <v>14154</v>
      </c>
      <c r="C39093" s="0" t="s">
        <v>14156</v>
      </c>
    </row>
    <row r="39095" customFormat="false" ht="12.8" hidden="false" customHeight="false" outlineLevel="0" collapsed="false">
      <c r="A39095" s="0" t="s">
        <v>14157</v>
      </c>
      <c r="B39095" s="0" t="str">
        <f aca="false">HYPERLINK("https://lindat.mff.cuni.cz/services/teitok/pdtc10/index.php?action=vallex&amp;frame=v-w5281f3", "přispívat (v-w5281f3)")</f>
        <v>přispívat (v-w5281f3)</v>
      </c>
    </row>
    <row r="39096" customFormat="false" ht="12.8" hidden="false" customHeight="false" outlineLevel="0" collapsed="false">
      <c r="B39096" s="0" t="s">
        <v>7</v>
      </c>
      <c r="C39096" s="0" t="s">
        <v>7000</v>
      </c>
    </row>
    <row r="39097" customFormat="false" ht="12.8" hidden="false" customHeight="false" outlineLevel="0" collapsed="false">
      <c r="B39097" s="0" t="s">
        <v>124</v>
      </c>
    </row>
    <row r="39099" customFormat="false" ht="12.8" hidden="false" customHeight="false" outlineLevel="0" collapsed="false">
      <c r="A39099" s="0" t="s">
        <v>14158</v>
      </c>
      <c r="B39099" s="0" t="str">
        <f aca="false">HYPERLINK("https://lindat.mff.cuni.cz/services/teitok/pdtc10/index.php?action=vallex&amp;frame=v-w5276f1", "přispěchat (v-w5276f1)")</f>
        <v>přispěchat (v-w5276f1)</v>
      </c>
    </row>
    <row r="39100" customFormat="false" ht="12.8" hidden="false" customHeight="false" outlineLevel="0" collapsed="false">
      <c r="B39100" s="0" t="s">
        <v>7</v>
      </c>
      <c r="C39100" s="0" t="s">
        <v>10862</v>
      </c>
      <c r="D39100" s="0" t="s">
        <v>200</v>
      </c>
      <c r="E39100" s="0" t="s">
        <v>200</v>
      </c>
      <c r="F39100" s="0" t="s">
        <v>200</v>
      </c>
    </row>
    <row r="39101" customFormat="false" ht="12.8" hidden="false" customHeight="false" outlineLevel="0" collapsed="false">
      <c r="B39101" s="0" t="s">
        <v>124</v>
      </c>
    </row>
    <row r="39103" customFormat="false" ht="12.8" hidden="false" customHeight="false" outlineLevel="0" collapsed="false">
      <c r="A39103" s="0" t="s">
        <v>14159</v>
      </c>
      <c r="B39103" s="0" t="str">
        <f aca="false">HYPERLINK("https://lindat.mff.cuni.cz/services/teitok/pdtc10/index.php?action=vallex&amp;frame=v-w5278hsa_592", "přispět (v-w5278hsa_592)")</f>
        <v>přispět (v-w5278hsa_592)</v>
      </c>
    </row>
    <row r="39104" customFormat="false" ht="12.8" hidden="false" customHeight="false" outlineLevel="0" collapsed="false">
      <c r="B39104" s="0" t="s">
        <v>7</v>
      </c>
      <c r="C39104" s="0" t="s">
        <v>14005</v>
      </c>
      <c r="D39104" s="0" t="s">
        <v>7578</v>
      </c>
      <c r="E39104" s="0" t="s">
        <v>7578</v>
      </c>
      <c r="F39104" s="0" t="s">
        <v>7578</v>
      </c>
    </row>
    <row r="39105" customFormat="false" ht="12.8" hidden="false" customHeight="false" outlineLevel="0" collapsed="false">
      <c r="B39105" s="0" t="s">
        <v>1836</v>
      </c>
      <c r="C39105" s="0" t="s">
        <v>14160</v>
      </c>
      <c r="D39105" s="0" t="s">
        <v>14151</v>
      </c>
      <c r="E39105" s="0" t="s">
        <v>14151</v>
      </c>
      <c r="F39105" s="0" t="s">
        <v>14151</v>
      </c>
    </row>
    <row r="39106" customFormat="false" ht="12.8" hidden="false" customHeight="false" outlineLevel="0" collapsed="false">
      <c r="B39106" s="0" t="s">
        <v>48</v>
      </c>
      <c r="C39106" s="0" t="s">
        <v>14161</v>
      </c>
      <c r="D39106" s="0" t="s">
        <v>14152</v>
      </c>
      <c r="E39106" s="0" t="s">
        <v>14152</v>
      </c>
      <c r="F39106" s="0" t="s">
        <v>14152</v>
      </c>
    </row>
    <row r="39108" customFormat="false" ht="12.8" hidden="false" customHeight="false" outlineLevel="0" collapsed="false">
      <c r="A39108" s="0" t="s">
        <v>14159</v>
      </c>
      <c r="B39108" s="0" t="str">
        <f aca="false">HYPERLINK("https://lindat.mff.cuni.cz/services/teitok/pdtc10/index.php?action=vallex&amp;frame=v-w5278f2", "přispět (v-w5278f2) - substituted with v-w5278hsa_592")</f>
        <v>přispět (v-w5278f2) - substituted with v-w5278hsa_592</v>
      </c>
    </row>
    <row r="39109" customFormat="false" ht="12.8" hidden="false" customHeight="false" outlineLevel="0" collapsed="false">
      <c r="B39109" s="0" t="s">
        <v>7</v>
      </c>
      <c r="C39109" s="0" t="s">
        <v>14162</v>
      </c>
    </row>
    <row r="39110" customFormat="false" ht="12.8" hidden="false" customHeight="false" outlineLevel="0" collapsed="false">
      <c r="B39110" s="0" t="s">
        <v>1836</v>
      </c>
      <c r="C39110" s="0" t="s">
        <v>2788</v>
      </c>
    </row>
    <row r="39111" customFormat="false" ht="12.8" hidden="false" customHeight="false" outlineLevel="0" collapsed="false">
      <c r="B39111" s="0" t="s">
        <v>48</v>
      </c>
      <c r="C39111" s="0" t="s">
        <v>3288</v>
      </c>
    </row>
    <row r="39113" customFormat="false" ht="12.8" hidden="false" customHeight="false" outlineLevel="0" collapsed="false">
      <c r="A39113" s="0" t="s">
        <v>14163</v>
      </c>
      <c r="B39113" s="0" t="str">
        <f aca="false">HYPERLINK("https://lindat.mff.cuni.cz/services/teitok/pdtc10/index.php?action=vallex&amp;frame=v-w5278f4_ZU", "přispět (v-w5278f4_ZU)")</f>
        <v>přispět (v-w5278f4_ZU)</v>
      </c>
    </row>
    <row r="39114" customFormat="false" ht="12.8" hidden="false" customHeight="false" outlineLevel="0" collapsed="false">
      <c r="B39114" s="0" t="s">
        <v>7</v>
      </c>
    </row>
    <row r="39115" customFormat="false" ht="12.8" hidden="false" customHeight="false" outlineLevel="0" collapsed="false">
      <c r="B39115" s="0" t="s">
        <v>14154</v>
      </c>
    </row>
    <row r="39117" customFormat="false" ht="12.8" hidden="false" customHeight="false" outlineLevel="0" collapsed="false">
      <c r="A39117" s="0" t="s">
        <v>14163</v>
      </c>
      <c r="B39117" s="0" t="str">
        <f aca="false">HYPERLINK("https://lindat.mff.cuni.cz/services/teitok/pdtc10/index.php?action=vallex&amp;frame=v-w5278f1", "přispět (v-w5278f1) - substituted with v-w5278f4_ZU")</f>
        <v>přispět (v-w5278f1) - substituted with v-w5278f4_ZU</v>
      </c>
    </row>
    <row r="39118" customFormat="false" ht="12.8" hidden="false" customHeight="false" outlineLevel="0" collapsed="false">
      <c r="B39118" s="0" t="s">
        <v>7</v>
      </c>
      <c r="C39118" s="0" t="s">
        <v>14164</v>
      </c>
      <c r="D39118" s="0" t="s">
        <v>141</v>
      </c>
      <c r="E39118" s="0" t="s">
        <v>141</v>
      </c>
      <c r="F39118" s="0" t="s">
        <v>141</v>
      </c>
    </row>
    <row r="39119" customFormat="false" ht="12.8" hidden="false" customHeight="false" outlineLevel="0" collapsed="false">
      <c r="B39119" s="0" t="s">
        <v>14154</v>
      </c>
      <c r="C39119" s="0" t="s">
        <v>14165</v>
      </c>
      <c r="D39119" s="0" t="s">
        <v>144</v>
      </c>
      <c r="E39119" s="0" t="s">
        <v>144</v>
      </c>
      <c r="F39119" s="0" t="s">
        <v>144</v>
      </c>
    </row>
    <row r="39121" customFormat="false" ht="12.8" hidden="false" customHeight="false" outlineLevel="0" collapsed="false">
      <c r="A39121" s="0" t="s">
        <v>14166</v>
      </c>
      <c r="B39121" s="0" t="str">
        <f aca="false">HYPERLINK("https://lindat.mff.cuni.cz/services/teitok/pdtc10/index.php?action=vallex&amp;frame=v-w5278f3", "přispět (v-w5278f3)")</f>
        <v>přispět (v-w5278f3)</v>
      </c>
    </row>
    <row r="39122" customFormat="false" ht="12.8" hidden="false" customHeight="false" outlineLevel="0" collapsed="false">
      <c r="B39122" s="0" t="s">
        <v>7</v>
      </c>
      <c r="C39122" s="0" t="s">
        <v>14167</v>
      </c>
    </row>
    <row r="39123" customFormat="false" ht="12.8" hidden="false" customHeight="false" outlineLevel="0" collapsed="false">
      <c r="B39123" s="0" t="s">
        <v>124</v>
      </c>
      <c r="C39123" s="0" t="s">
        <v>14168</v>
      </c>
    </row>
    <row r="39125" customFormat="false" ht="12.8" hidden="false" customHeight="false" outlineLevel="0" collapsed="false">
      <c r="A39125" s="0" t="s">
        <v>14169</v>
      </c>
      <c r="B39125" s="0" t="str">
        <f aca="false">HYPERLINK("https://lindat.mff.cuni.cz/services/teitok/pdtc10/index.php?action=vallex&amp;frame=v-whsa_1921f1_ZU", "přistavit (v-whsa_1921f1_ZU)")</f>
        <v>přistavit (v-whsa_1921f1_ZU)</v>
      </c>
    </row>
    <row r="39126" customFormat="false" ht="12.8" hidden="false" customHeight="false" outlineLevel="0" collapsed="false">
      <c r="B39126" s="0" t="s">
        <v>7</v>
      </c>
    </row>
    <row r="39127" customFormat="false" ht="12.8" hidden="false" customHeight="false" outlineLevel="0" collapsed="false">
      <c r="B39127" s="0" t="s">
        <v>14</v>
      </c>
    </row>
    <row r="39128" customFormat="false" ht="12.8" hidden="false" customHeight="false" outlineLevel="0" collapsed="false">
      <c r="B39128" s="0" t="s">
        <v>35</v>
      </c>
    </row>
    <row r="39130" customFormat="false" ht="12.8" hidden="false" customHeight="false" outlineLevel="0" collapsed="false">
      <c r="A39130" s="0" t="s">
        <v>14169</v>
      </c>
      <c r="B39130" s="0" t="str">
        <f aca="false">HYPERLINK("https://lindat.mff.cuni.cz/services/teitok/pdtc10/index.php?action=vallex&amp;frame=v-whsa_1921hsa_1922", "přistavit (v-whsa_1921hsa_1922) - substituted with v-whsa_1921f1_ZU")</f>
        <v>přistavit (v-whsa_1921hsa_1922) - substituted with v-whsa_1921f1_ZU</v>
      </c>
    </row>
    <row r="39131" customFormat="false" ht="12.8" hidden="false" customHeight="false" outlineLevel="0" collapsed="false">
      <c r="B39131" s="0" t="s">
        <v>7</v>
      </c>
    </row>
    <row r="39132" customFormat="false" ht="12.8" hidden="false" customHeight="false" outlineLevel="0" collapsed="false">
      <c r="B39132" s="0" t="s">
        <v>14</v>
      </c>
    </row>
    <row r="39133" customFormat="false" ht="12.8" hidden="false" customHeight="false" outlineLevel="0" collapsed="false">
      <c r="B39133" s="0" t="s">
        <v>35</v>
      </c>
    </row>
    <row r="39135" customFormat="false" ht="12.8" hidden="false" customHeight="false" outlineLevel="0" collapsed="false">
      <c r="A39135" s="0" t="s">
        <v>14170</v>
      </c>
      <c r="B39135" s="0" t="str">
        <f aca="false">HYPERLINK("https://lindat.mff.cuni.cz/services/teitok/pdtc10/index.php?action=vallex&amp;frame=v-whsa_1921f2_ZU", "přistavit (v-whsa_1921f2_ZU)")</f>
        <v>přistavit (v-whsa_1921f2_ZU)</v>
      </c>
    </row>
    <row r="39136" customFormat="false" ht="12.8" hidden="false" customHeight="false" outlineLevel="0" collapsed="false">
      <c r="B39136" s="0" t="s">
        <v>7</v>
      </c>
    </row>
    <row r="39137" customFormat="false" ht="12.8" hidden="false" customHeight="false" outlineLevel="0" collapsed="false">
      <c r="B39137" s="0" t="s">
        <v>14</v>
      </c>
    </row>
    <row r="39138" customFormat="false" ht="12.8" hidden="false" customHeight="false" outlineLevel="0" collapsed="false">
      <c r="B39138" s="0" t="s">
        <v>124</v>
      </c>
    </row>
    <row r="39140" customFormat="false" ht="12.8" hidden="false" customHeight="false" outlineLevel="0" collapsed="false">
      <c r="A39140" s="0" t="s">
        <v>14170</v>
      </c>
      <c r="B39140" s="0" t="str">
        <f aca="false">HYPERLINK("https://lindat.mff.cuni.cz/services/teitok/pdtc10/index.php?action=vallex&amp;frame=v-whsa_1921hsa_1923", "přistavit (v-whsa_1921hsa_1923) - substituted with v-whsa_1921f2_ZU")</f>
        <v>přistavit (v-whsa_1921hsa_1923) - substituted with v-whsa_1921f2_ZU</v>
      </c>
    </row>
    <row r="39141" customFormat="false" ht="12.8" hidden="false" customHeight="false" outlineLevel="0" collapsed="false">
      <c r="B39141" s="0" t="s">
        <v>7</v>
      </c>
    </row>
    <row r="39142" customFormat="false" ht="12.8" hidden="false" customHeight="false" outlineLevel="0" collapsed="false">
      <c r="B39142" s="0" t="s">
        <v>14</v>
      </c>
    </row>
    <row r="39143" customFormat="false" ht="12.8" hidden="false" customHeight="false" outlineLevel="0" collapsed="false">
      <c r="B39143" s="0" t="s">
        <v>124</v>
      </c>
    </row>
    <row r="39145" customFormat="false" ht="12.8" hidden="false" customHeight="false" outlineLevel="0" collapsed="false">
      <c r="A39145" s="0" t="s">
        <v>14171</v>
      </c>
      <c r="B39145" s="0" t="str">
        <f aca="false">HYPERLINK("https://lindat.mff.cuni.cz/services/teitok/pdtc10/index.php?action=vallex&amp;frame=v-w5286f1", "přistavovat (v-w5286f1)")</f>
        <v>přistavovat (v-w5286f1)</v>
      </c>
    </row>
    <row r="39146" customFormat="false" ht="12.8" hidden="false" customHeight="false" outlineLevel="0" collapsed="false">
      <c r="B39146" s="0" t="s">
        <v>7</v>
      </c>
    </row>
    <row r="39147" customFormat="false" ht="12.8" hidden="false" customHeight="false" outlineLevel="0" collapsed="false">
      <c r="B39147" s="0" t="s">
        <v>14</v>
      </c>
    </row>
    <row r="39148" customFormat="false" ht="12.8" hidden="false" customHeight="false" outlineLevel="0" collapsed="false">
      <c r="B39148" s="0" t="s">
        <v>35</v>
      </c>
    </row>
    <row r="39150" customFormat="false" ht="12.8" hidden="false" customHeight="false" outlineLevel="0" collapsed="false">
      <c r="A39150" s="0" t="s">
        <v>14172</v>
      </c>
      <c r="B39150" s="0" t="str">
        <f aca="false">HYPERLINK("https://lindat.mff.cuni.cz/services/teitok/pdtc10/index.php?action=vallex&amp;frame=v-w5285f1", "přistavět (v-w5285f1)")</f>
        <v>přistavět (v-w5285f1)</v>
      </c>
    </row>
    <row r="39151" customFormat="false" ht="12.8" hidden="false" customHeight="false" outlineLevel="0" collapsed="false">
      <c r="B39151" s="0" t="s">
        <v>7</v>
      </c>
    </row>
    <row r="39152" customFormat="false" ht="12.8" hidden="false" customHeight="false" outlineLevel="0" collapsed="false">
      <c r="B39152" s="0" t="s">
        <v>14</v>
      </c>
    </row>
    <row r="39153" customFormat="false" ht="12.8" hidden="false" customHeight="false" outlineLevel="0" collapsed="false">
      <c r="B39153" s="0" t="s">
        <v>35</v>
      </c>
    </row>
    <row r="39155" customFormat="false" ht="12.8" hidden="false" customHeight="false" outlineLevel="0" collapsed="false">
      <c r="A39155" s="0" t="s">
        <v>14173</v>
      </c>
      <c r="B39155" s="0" t="str">
        <f aca="false">HYPERLINK("https://lindat.mff.cuni.cz/services/teitok/pdtc10/index.php?action=vallex&amp;frame=v-w5289f1", "přistihnout (v-w5289f1)")</f>
        <v>přistihnout (v-w5289f1)</v>
      </c>
    </row>
    <row r="39156" customFormat="false" ht="12.8" hidden="false" customHeight="false" outlineLevel="0" collapsed="false">
      <c r="B39156" s="0" t="s">
        <v>7</v>
      </c>
      <c r="C39156" s="0" t="s">
        <v>14174</v>
      </c>
    </row>
    <row r="39157" customFormat="false" ht="12.8" hidden="false" customHeight="false" outlineLevel="0" collapsed="false">
      <c r="B39157" s="0" t="s">
        <v>14</v>
      </c>
      <c r="C39157" s="0" t="s">
        <v>14175</v>
      </c>
    </row>
    <row r="39159" customFormat="false" ht="12.8" hidden="false" customHeight="false" outlineLevel="0" collapsed="false">
      <c r="A39159" s="0" t="s">
        <v>14176</v>
      </c>
      <c r="B39159" s="0" t="str">
        <f aca="false">HYPERLINK("https://lindat.mff.cuni.cz/services/teitok/pdtc10/index.php?action=vallex&amp;frame=v-w5291f4", "přistoupit (v-w5291f4)")</f>
        <v>přistoupit (v-w5291f4)</v>
      </c>
    </row>
    <row r="39160" customFormat="false" ht="12.8" hidden="false" customHeight="false" outlineLevel="0" collapsed="false">
      <c r="B39160" s="0" t="s">
        <v>7</v>
      </c>
      <c r="C39160" s="0" t="s">
        <v>14177</v>
      </c>
      <c r="D39160" s="0" t="s">
        <v>69</v>
      </c>
      <c r="E39160" s="0" t="s">
        <v>69</v>
      </c>
      <c r="F39160" s="0" t="s">
        <v>12497</v>
      </c>
    </row>
    <row r="39161" customFormat="false" ht="12.8" hidden="false" customHeight="false" outlineLevel="0" collapsed="false">
      <c r="B39161" s="0" t="s">
        <v>237</v>
      </c>
      <c r="C39161" s="0" t="s">
        <v>173</v>
      </c>
      <c r="D39161" s="0" t="s">
        <v>71</v>
      </c>
      <c r="E39161" s="0" t="s">
        <v>71</v>
      </c>
      <c r="F39161" s="0" t="s">
        <v>14178</v>
      </c>
    </row>
    <row r="39163" customFormat="false" ht="12.8" hidden="false" customHeight="false" outlineLevel="0" collapsed="false">
      <c r="A39163" s="0" t="s">
        <v>14179</v>
      </c>
      <c r="B39163" s="0" t="str">
        <f aca="false">HYPERLINK("https://lindat.mff.cuni.cz/services/teitok/pdtc10/index.php?action=vallex&amp;frame=v-w5291f1", "přistoupit (v-w5291f1)")</f>
        <v>přistoupit (v-w5291f1)</v>
      </c>
    </row>
    <row r="39164" customFormat="false" ht="12.8" hidden="false" customHeight="false" outlineLevel="0" collapsed="false">
      <c r="B39164" s="0" t="s">
        <v>7</v>
      </c>
      <c r="C39164" s="0" t="s">
        <v>14180</v>
      </c>
      <c r="D39164" s="0" t="s">
        <v>57</v>
      </c>
      <c r="E39164" s="0" t="s">
        <v>57</v>
      </c>
      <c r="F39164" s="0" t="s">
        <v>57</v>
      </c>
    </row>
    <row r="39165" customFormat="false" ht="12.8" hidden="false" customHeight="false" outlineLevel="0" collapsed="false">
      <c r="B39165" s="0" t="s">
        <v>41</v>
      </c>
      <c r="C39165" s="0" t="s">
        <v>14181</v>
      </c>
      <c r="D39165" s="0" t="s">
        <v>60</v>
      </c>
      <c r="E39165" s="0" t="s">
        <v>60</v>
      </c>
      <c r="F39165" s="0" t="s">
        <v>60</v>
      </c>
    </row>
    <row r="39167" customFormat="false" ht="12.8" hidden="false" customHeight="false" outlineLevel="0" collapsed="false">
      <c r="A39167" s="0" t="s">
        <v>14182</v>
      </c>
      <c r="B39167" s="0" t="str">
        <f aca="false">HYPERLINK("https://lindat.mff.cuni.cz/services/teitok/pdtc10/index.php?action=vallex&amp;frame=v-w5291f3", "přistoupit (v-w5291f3)")</f>
        <v>přistoupit (v-w5291f3)</v>
      </c>
    </row>
    <row r="39168" customFormat="false" ht="12.8" hidden="false" customHeight="false" outlineLevel="0" collapsed="false">
      <c r="B39168" s="0" t="s">
        <v>7</v>
      </c>
      <c r="D39168" s="0" t="s">
        <v>1705</v>
      </c>
      <c r="E39168" s="0" t="s">
        <v>1706</v>
      </c>
      <c r="F39168" s="0" t="s">
        <v>1706</v>
      </c>
    </row>
    <row r="39169" customFormat="false" ht="12.8" hidden="false" customHeight="false" outlineLevel="0" collapsed="false">
      <c r="B39169" s="0" t="s">
        <v>124</v>
      </c>
      <c r="D39169" s="0" t="s">
        <v>1707</v>
      </c>
      <c r="E39169" s="0" t="s">
        <v>1707</v>
      </c>
      <c r="F39169" s="0" t="s">
        <v>1707</v>
      </c>
    </row>
    <row r="39171" customFormat="false" ht="12.8" hidden="false" customHeight="false" outlineLevel="0" collapsed="false">
      <c r="A39171" s="0" t="s">
        <v>14183</v>
      </c>
      <c r="B39171" s="0" t="str">
        <f aca="false">HYPERLINK("https://lindat.mff.cuni.cz/services/teitok/pdtc10/index.php?action=vallex&amp;frame=v-w5291f5", "přistoupit (v-w5291f5)")</f>
        <v>přistoupit (v-w5291f5)</v>
      </c>
    </row>
    <row r="39172" customFormat="false" ht="12.8" hidden="false" customHeight="false" outlineLevel="0" collapsed="false">
      <c r="B39172" s="0" t="s">
        <v>7</v>
      </c>
      <c r="C39172" s="0" t="s">
        <v>504</v>
      </c>
      <c r="D39172" s="0" t="s">
        <v>1705</v>
      </c>
      <c r="E39172" s="0" t="s">
        <v>1706</v>
      </c>
      <c r="F39172" s="0" t="s">
        <v>1706</v>
      </c>
    </row>
    <row r="39173" customFormat="false" ht="12.8" hidden="false" customHeight="false" outlineLevel="0" collapsed="false">
      <c r="B39173" s="0" t="s">
        <v>124</v>
      </c>
      <c r="D39173" s="0" t="s">
        <v>1707</v>
      </c>
      <c r="E39173" s="0" t="s">
        <v>1707</v>
      </c>
      <c r="F39173" s="0" t="s">
        <v>1707</v>
      </c>
    </row>
    <row r="39175" customFormat="false" ht="12.8" hidden="false" customHeight="false" outlineLevel="0" collapsed="false">
      <c r="A39175" s="0" t="s">
        <v>14184</v>
      </c>
      <c r="B39175" s="0" t="str">
        <f aca="false">HYPERLINK("https://lindat.mff.cuni.cz/services/teitok/pdtc10/index.php?action=vallex&amp;frame=v-w5291f9_ZU", "přistoupit (v-w5291f9_ZU)")</f>
        <v>přistoupit (v-w5291f9_ZU)</v>
      </c>
    </row>
    <row r="39176" customFormat="false" ht="12.8" hidden="false" customHeight="false" outlineLevel="0" collapsed="false">
      <c r="B39176" s="0" t="s">
        <v>7</v>
      </c>
      <c r="D39176" s="0" t="s">
        <v>149</v>
      </c>
      <c r="E39176" s="0" t="s">
        <v>149</v>
      </c>
      <c r="F39176" s="0" t="s">
        <v>149</v>
      </c>
    </row>
    <row r="39177" customFormat="false" ht="12.8" hidden="false" customHeight="false" outlineLevel="0" collapsed="false">
      <c r="B39177" s="0" t="s">
        <v>14185</v>
      </c>
      <c r="D39177" s="0" t="s">
        <v>7238</v>
      </c>
      <c r="E39177" s="0" t="s">
        <v>7238</v>
      </c>
      <c r="F39177" s="0" t="s">
        <v>7238</v>
      </c>
    </row>
    <row r="39179" customFormat="false" ht="12.8" hidden="false" customHeight="false" outlineLevel="0" collapsed="false">
      <c r="A39179" s="0" t="s">
        <v>14184</v>
      </c>
      <c r="B39179" s="0" t="str">
        <f aca="false">HYPERLINK("https://lindat.mff.cuni.cz/services/teitok/pdtc10/index.php?action=vallex&amp;frame=v-w5291f2", "přistoupit (v-w5291f2) - substituted with v-w5291f9_ZU")</f>
        <v>přistoupit (v-w5291f2) - substituted with v-w5291f9_ZU</v>
      </c>
    </row>
    <row r="39180" customFormat="false" ht="12.8" hidden="false" customHeight="false" outlineLevel="0" collapsed="false">
      <c r="B39180" s="0" t="s">
        <v>7</v>
      </c>
      <c r="C39180" s="0" t="s">
        <v>14186</v>
      </c>
    </row>
    <row r="39181" customFormat="false" ht="12.8" hidden="false" customHeight="false" outlineLevel="0" collapsed="false">
      <c r="B39181" s="0" t="s">
        <v>14185</v>
      </c>
      <c r="C39181" s="0" t="s">
        <v>14187</v>
      </c>
    </row>
    <row r="39183" customFormat="false" ht="12.8" hidden="false" customHeight="false" outlineLevel="0" collapsed="false">
      <c r="A39183" s="0" t="s">
        <v>14184</v>
      </c>
      <c r="B39183" s="0" t="str">
        <f aca="false">HYPERLINK("https://lindat.mff.cuni.cz/services/teitok/pdtc10/index.php?action=vallex&amp;frame=v-w5291f6_ZU", "přistoupit (v-w5291f6_ZU) - substituted with v-w5291f9_ZU")</f>
        <v>přistoupit (v-w5291f6_ZU) - substituted with v-w5291f9_ZU</v>
      </c>
    </row>
    <row r="39184" customFormat="false" ht="12.8" hidden="false" customHeight="false" outlineLevel="0" collapsed="false">
      <c r="B39184" s="0" t="s">
        <v>7</v>
      </c>
      <c r="C39184" s="0" t="s">
        <v>3205</v>
      </c>
    </row>
    <row r="39185" customFormat="false" ht="12.8" hidden="false" customHeight="false" outlineLevel="0" collapsed="false">
      <c r="B39185" s="0" t="s">
        <v>14185</v>
      </c>
      <c r="C39185" s="0" t="s">
        <v>14188</v>
      </c>
    </row>
    <row r="39187" customFormat="false" ht="12.8" hidden="false" customHeight="false" outlineLevel="0" collapsed="false">
      <c r="A39187" s="0" t="s">
        <v>14184</v>
      </c>
      <c r="B39187" s="0" t="str">
        <f aca="false">HYPERLINK("https://lindat.mff.cuni.cz/services/teitok/pdtc10/index.php?action=vallex&amp;frame=v-w5291f7_ZU", "přistoupit (v-w5291f7_ZU) - substituted with v-w5291f9_ZU")</f>
        <v>přistoupit (v-w5291f7_ZU) - substituted with v-w5291f9_ZU</v>
      </c>
    </row>
    <row r="39188" customFormat="false" ht="12.8" hidden="false" customHeight="false" outlineLevel="0" collapsed="false">
      <c r="B39188" s="0" t="s">
        <v>7</v>
      </c>
    </row>
    <row r="39189" customFormat="false" ht="12.8" hidden="false" customHeight="false" outlineLevel="0" collapsed="false">
      <c r="B39189" s="0" t="s">
        <v>14185</v>
      </c>
    </row>
    <row r="39191" customFormat="false" ht="12.8" hidden="false" customHeight="false" outlineLevel="0" collapsed="false">
      <c r="A39191" s="0" t="s">
        <v>14184</v>
      </c>
      <c r="B39191" s="0" t="str">
        <f aca="false">HYPERLINK("https://lindat.mff.cuni.cz/services/teitok/pdtc10/index.php?action=vallex&amp;frame=v-w5291hsa_1040", "přistoupit (v-w5291hsa_1040) - substituted with v-w5291f9_ZU")</f>
        <v>přistoupit (v-w5291hsa_1040) - substituted with v-w5291f9_ZU</v>
      </c>
    </row>
    <row r="39192" customFormat="false" ht="12.8" hidden="false" customHeight="false" outlineLevel="0" collapsed="false">
      <c r="B39192" s="0" t="s">
        <v>7</v>
      </c>
      <c r="C39192" s="0" t="s">
        <v>3205</v>
      </c>
    </row>
    <row r="39193" customFormat="false" ht="12.8" hidden="false" customHeight="false" outlineLevel="0" collapsed="false">
      <c r="B39193" s="0" t="s">
        <v>14185</v>
      </c>
      <c r="C39193" s="0" t="s">
        <v>14188</v>
      </c>
    </row>
    <row r="39195" customFormat="false" ht="12.8" hidden="false" customHeight="false" outlineLevel="0" collapsed="false">
      <c r="A39195" s="0" t="s">
        <v>14189</v>
      </c>
      <c r="B39195" s="0" t="str">
        <f aca="false">HYPERLINK("https://lindat.mff.cuni.cz/services/teitok/pdtc10/index.php?action=vallex&amp;frame=v-w5291f8_ZU", "přistoupit (v-w5291f8_ZU)")</f>
        <v>přistoupit (v-w5291f8_ZU)</v>
      </c>
    </row>
    <row r="39196" customFormat="false" ht="12.8" hidden="false" customHeight="false" outlineLevel="0" collapsed="false">
      <c r="B39196" s="0" t="s">
        <v>7</v>
      </c>
      <c r="C39196" s="0" t="s">
        <v>1902</v>
      </c>
      <c r="D39196" s="0" t="s">
        <v>309</v>
      </c>
      <c r="E39196" s="0" t="s">
        <v>309</v>
      </c>
      <c r="F39196" s="0" t="s">
        <v>309</v>
      </c>
    </row>
    <row r="39197" customFormat="false" ht="12.8" hidden="false" customHeight="false" outlineLevel="0" collapsed="false">
      <c r="B39197" s="0" t="s">
        <v>14190</v>
      </c>
      <c r="C39197" s="0" t="s">
        <v>14191</v>
      </c>
      <c r="D39197" s="0" t="s">
        <v>1277</v>
      </c>
      <c r="E39197" s="0" t="s">
        <v>1277</v>
      </c>
      <c r="F39197" s="0" t="s">
        <v>1277</v>
      </c>
    </row>
    <row r="39198" customFormat="false" ht="12.8" hidden="false" customHeight="false" outlineLevel="0" collapsed="false">
      <c r="B39198" s="0" t="s">
        <v>474</v>
      </c>
      <c r="D39198" s="0" t="s">
        <v>1221</v>
      </c>
      <c r="E39198" s="0" t="s">
        <v>1221</v>
      </c>
      <c r="F39198" s="0" t="s">
        <v>1221</v>
      </c>
    </row>
    <row r="39199" customFormat="false" ht="12.8" hidden="false" customHeight="false" outlineLevel="0" collapsed="false">
      <c r="B39199" s="0" t="s">
        <v>479</v>
      </c>
      <c r="D39199" s="0" t="s">
        <v>14192</v>
      </c>
      <c r="E39199" s="0" t="s">
        <v>14192</v>
      </c>
      <c r="F39199" s="0" t="s">
        <v>14192</v>
      </c>
    </row>
    <row r="39200" customFormat="false" ht="12.8" hidden="false" customHeight="false" outlineLevel="0" collapsed="false">
      <c r="B39200" s="0" t="s">
        <v>481</v>
      </c>
      <c r="D39200" s="0" t="s">
        <v>14193</v>
      </c>
      <c r="E39200" s="0" t="s">
        <v>14193</v>
      </c>
      <c r="F39200" s="0" t="s">
        <v>14193</v>
      </c>
    </row>
    <row r="39201" customFormat="false" ht="12.8" hidden="false" customHeight="false" outlineLevel="0" collapsed="false">
      <c r="B39201" s="0" t="s">
        <v>483</v>
      </c>
      <c r="D39201" s="0" t="s">
        <v>14194</v>
      </c>
      <c r="E39201" s="0" t="s">
        <v>14194</v>
      </c>
      <c r="F39201" s="0" t="s">
        <v>14194</v>
      </c>
    </row>
    <row r="39202" customFormat="false" ht="12.8" hidden="false" customHeight="false" outlineLevel="0" collapsed="false">
      <c r="B39202" s="0" t="s">
        <v>2406</v>
      </c>
      <c r="D39202" s="0" t="s">
        <v>14195</v>
      </c>
      <c r="E39202" s="0" t="s">
        <v>14195</v>
      </c>
      <c r="F39202" s="0" t="s">
        <v>14195</v>
      </c>
    </row>
    <row r="39204" customFormat="false" ht="12.8" hidden="false" customHeight="false" outlineLevel="0" collapsed="false">
      <c r="A39204" s="0" t="s">
        <v>14189</v>
      </c>
      <c r="B39204" s="0" t="str">
        <f aca="false">HYPERLINK("https://lindat.mff.cuni.cz/services/teitok/pdtc10/index.php?action=vallex&amp;frame=v-w5291hsa_1039", "přistoupit (v-w5291hsa_1039) - substituted with v-w5291f8_ZU")</f>
        <v>přistoupit (v-w5291hsa_1039) - substituted with v-w5291f8_ZU</v>
      </c>
    </row>
    <row r="39205" customFormat="false" ht="12.8" hidden="false" customHeight="false" outlineLevel="0" collapsed="false">
      <c r="B39205" s="0" t="s">
        <v>7</v>
      </c>
    </row>
    <row r="39206" customFormat="false" ht="12.8" hidden="false" customHeight="false" outlineLevel="0" collapsed="false">
      <c r="B39206" s="0" t="s">
        <v>14190</v>
      </c>
    </row>
    <row r="39207" customFormat="false" ht="12.8" hidden="false" customHeight="false" outlineLevel="0" collapsed="false">
      <c r="B39207" s="0" t="s">
        <v>474</v>
      </c>
    </row>
    <row r="39208" customFormat="false" ht="12.8" hidden="false" customHeight="false" outlineLevel="0" collapsed="false">
      <c r="B39208" s="0" t="s">
        <v>479</v>
      </c>
    </row>
    <row r="39209" customFormat="false" ht="12.8" hidden="false" customHeight="false" outlineLevel="0" collapsed="false">
      <c r="B39209" s="0" t="s">
        <v>481</v>
      </c>
    </row>
    <row r="39210" customFormat="false" ht="12.8" hidden="false" customHeight="false" outlineLevel="0" collapsed="false">
      <c r="B39210" s="0" t="s">
        <v>483</v>
      </c>
    </row>
    <row r="39211" customFormat="false" ht="12.8" hidden="false" customHeight="false" outlineLevel="0" collapsed="false">
      <c r="B39211" s="0" t="s">
        <v>2406</v>
      </c>
    </row>
    <row r="39213" customFormat="false" ht="12.8" hidden="false" customHeight="false" outlineLevel="0" collapsed="false">
      <c r="A39213" s="0" t="s">
        <v>14196</v>
      </c>
      <c r="B39213" s="0" t="str">
        <f aca="false">HYPERLINK("https://lindat.mff.cuni.cz/services/teitok/pdtc10/index.php?action=vallex&amp;frame=v-w11966_ZUf1_ZU", "přistrojit (v-w11966_ZUf1_ZU)")</f>
        <v>přistrojit (v-w11966_ZUf1_ZU)</v>
      </c>
    </row>
    <row r="39214" customFormat="false" ht="12.8" hidden="false" customHeight="false" outlineLevel="0" collapsed="false">
      <c r="B39214" s="0" t="s">
        <v>7</v>
      </c>
    </row>
    <row r="39215" customFormat="false" ht="12.8" hidden="false" customHeight="false" outlineLevel="0" collapsed="false">
      <c r="B39215" s="0" t="s">
        <v>14</v>
      </c>
    </row>
    <row r="39217" customFormat="false" ht="12.8" hidden="false" customHeight="false" outlineLevel="0" collapsed="false">
      <c r="A39217" s="0" t="s">
        <v>14197</v>
      </c>
      <c r="B39217" s="0" t="str">
        <f aca="false">HYPERLINK("https://lindat.mff.cuni.cz/services/teitok/pdtc10/index.php?action=vallex&amp;frame=v-w5296f1", "přistupovat (v-w5296f1)")</f>
        <v>přistupovat (v-w5296f1)</v>
      </c>
    </row>
    <row r="39218" customFormat="false" ht="12.8" hidden="false" customHeight="false" outlineLevel="0" collapsed="false">
      <c r="B39218" s="0" t="s">
        <v>7</v>
      </c>
      <c r="C39218" s="0" t="s">
        <v>14198</v>
      </c>
      <c r="D39218" s="0" t="s">
        <v>309</v>
      </c>
      <c r="E39218" s="0" t="s">
        <v>309</v>
      </c>
      <c r="F39218" s="0" t="s">
        <v>309</v>
      </c>
    </row>
    <row r="39219" customFormat="false" ht="12.8" hidden="false" customHeight="false" outlineLevel="0" collapsed="false">
      <c r="B39219" s="0" t="s">
        <v>14199</v>
      </c>
      <c r="C39219" s="0" t="s">
        <v>14200</v>
      </c>
      <c r="D39219" s="0" t="s">
        <v>1277</v>
      </c>
      <c r="E39219" s="0" t="s">
        <v>1277</v>
      </c>
      <c r="F39219" s="0" t="s">
        <v>1277</v>
      </c>
    </row>
    <row r="39220" customFormat="false" ht="12.8" hidden="false" customHeight="false" outlineLevel="0" collapsed="false">
      <c r="B39220" s="0" t="s">
        <v>474</v>
      </c>
      <c r="C39220" s="0" t="s">
        <v>14201</v>
      </c>
      <c r="D39220" s="0" t="s">
        <v>1221</v>
      </c>
      <c r="E39220" s="0" t="s">
        <v>1221</v>
      </c>
      <c r="F39220" s="0" t="s">
        <v>1221</v>
      </c>
    </row>
    <row r="39221" customFormat="false" ht="12.8" hidden="false" customHeight="false" outlineLevel="0" collapsed="false">
      <c r="B39221" s="0" t="s">
        <v>479</v>
      </c>
      <c r="D39221" s="0" t="s">
        <v>14192</v>
      </c>
      <c r="E39221" s="0" t="s">
        <v>14192</v>
      </c>
      <c r="F39221" s="0" t="s">
        <v>14192</v>
      </c>
    </row>
    <row r="39222" customFormat="false" ht="12.8" hidden="false" customHeight="false" outlineLevel="0" collapsed="false">
      <c r="B39222" s="0" t="s">
        <v>481</v>
      </c>
      <c r="D39222" s="0" t="s">
        <v>14193</v>
      </c>
      <c r="E39222" s="0" t="s">
        <v>14193</v>
      </c>
      <c r="F39222" s="0" t="s">
        <v>14193</v>
      </c>
    </row>
    <row r="39223" customFormat="false" ht="12.8" hidden="false" customHeight="false" outlineLevel="0" collapsed="false">
      <c r="B39223" s="0" t="s">
        <v>483</v>
      </c>
      <c r="D39223" s="0" t="s">
        <v>14194</v>
      </c>
      <c r="E39223" s="0" t="s">
        <v>14194</v>
      </c>
      <c r="F39223" s="0" t="s">
        <v>14194</v>
      </c>
    </row>
    <row r="39224" customFormat="false" ht="12.8" hidden="false" customHeight="false" outlineLevel="0" collapsed="false">
      <c r="B39224" s="0" t="s">
        <v>2406</v>
      </c>
      <c r="D39224" s="0" t="s">
        <v>14195</v>
      </c>
      <c r="E39224" s="0" t="s">
        <v>14195</v>
      </c>
      <c r="F39224" s="0" t="s">
        <v>14195</v>
      </c>
    </row>
    <row r="39226" customFormat="false" ht="12.8" hidden="false" customHeight="false" outlineLevel="0" collapsed="false">
      <c r="A39226" s="0" t="s">
        <v>14202</v>
      </c>
      <c r="B39226" s="0" t="str">
        <f aca="false">HYPERLINK("https://lindat.mff.cuni.cz/services/teitok/pdtc10/index.php?action=vallex&amp;frame=v-w5296f3", "přistupovat (v-w5296f3)")</f>
        <v>přistupovat (v-w5296f3)</v>
      </c>
    </row>
    <row r="39227" customFormat="false" ht="12.8" hidden="false" customHeight="false" outlineLevel="0" collapsed="false">
      <c r="B39227" s="0" t="s">
        <v>7</v>
      </c>
      <c r="D39227" s="0" t="s">
        <v>57</v>
      </c>
      <c r="E39227" s="0" t="s">
        <v>57</v>
      </c>
      <c r="F39227" s="0" t="s">
        <v>57</v>
      </c>
    </row>
    <row r="39228" customFormat="false" ht="12.8" hidden="false" customHeight="false" outlineLevel="0" collapsed="false">
      <c r="B39228" s="0" t="s">
        <v>41</v>
      </c>
      <c r="D39228" s="0" t="s">
        <v>60</v>
      </c>
      <c r="E39228" s="0" t="s">
        <v>60</v>
      </c>
      <c r="F39228" s="0" t="s">
        <v>60</v>
      </c>
    </row>
    <row r="39230" customFormat="false" ht="12.8" hidden="false" customHeight="false" outlineLevel="0" collapsed="false">
      <c r="A39230" s="0" t="s">
        <v>14203</v>
      </c>
      <c r="B39230" s="0" t="str">
        <f aca="false">HYPERLINK("https://lindat.mff.cuni.cz/services/teitok/pdtc10/index.php?action=vallex&amp;frame=v-w5296f2", "přistupovat (v-w5296f2)")</f>
        <v>přistupovat (v-w5296f2)</v>
      </c>
    </row>
    <row r="39231" customFormat="false" ht="12.8" hidden="false" customHeight="false" outlineLevel="0" collapsed="false">
      <c r="B39231" s="0" t="s">
        <v>7</v>
      </c>
    </row>
    <row r="39232" customFormat="false" ht="12.8" hidden="false" customHeight="false" outlineLevel="0" collapsed="false">
      <c r="B39232" s="0" t="s">
        <v>124</v>
      </c>
    </row>
    <row r="39234" customFormat="false" ht="12.8" hidden="false" customHeight="false" outlineLevel="0" collapsed="false">
      <c r="A39234" s="0" t="s">
        <v>14204</v>
      </c>
      <c r="B39234" s="0" t="str">
        <f aca="false">HYPERLINK("https://lindat.mff.cuni.cz/services/teitok/pdtc10/index.php?action=vallex&amp;frame=v-w5296f6", "přistupovat (v-w5296f6)")</f>
        <v>přistupovat (v-w5296f6)</v>
      </c>
    </row>
    <row r="39235" customFormat="false" ht="12.8" hidden="false" customHeight="false" outlineLevel="0" collapsed="false">
      <c r="B39235" s="0" t="s">
        <v>7</v>
      </c>
      <c r="C39235" s="0" t="s">
        <v>7215</v>
      </c>
      <c r="D39235" s="0" t="s">
        <v>1705</v>
      </c>
      <c r="E39235" s="0" t="s">
        <v>1706</v>
      </c>
      <c r="F39235" s="0" t="s">
        <v>1706</v>
      </c>
    </row>
    <row r="39236" customFormat="false" ht="12.8" hidden="false" customHeight="false" outlineLevel="0" collapsed="false">
      <c r="B39236" s="0" t="s">
        <v>124</v>
      </c>
      <c r="C39236" s="0" t="s">
        <v>14205</v>
      </c>
      <c r="D39236" s="0" t="s">
        <v>1707</v>
      </c>
      <c r="E39236" s="0" t="s">
        <v>1707</v>
      </c>
      <c r="F39236" s="0" t="s">
        <v>1707</v>
      </c>
    </row>
    <row r="39238" customFormat="false" ht="12.8" hidden="false" customHeight="false" outlineLevel="0" collapsed="false">
      <c r="A39238" s="0" t="s">
        <v>14206</v>
      </c>
      <c r="B39238" s="0" t="str">
        <f aca="false">HYPERLINK("https://lindat.mff.cuni.cz/services/teitok/pdtc10/index.php?action=vallex&amp;frame=v-w5296f5", "přistupovat (v-w5296f5)")</f>
        <v>přistupovat (v-w5296f5)</v>
      </c>
    </row>
    <row r="39239" customFormat="false" ht="12.8" hidden="false" customHeight="false" outlineLevel="0" collapsed="false">
      <c r="B39239" s="0" t="s">
        <v>7</v>
      </c>
      <c r="D39239" s="0" t="s">
        <v>1705</v>
      </c>
      <c r="E39239" s="0" t="s">
        <v>1706</v>
      </c>
      <c r="F39239" s="0" t="s">
        <v>1706</v>
      </c>
    </row>
    <row r="39240" customFormat="false" ht="12.8" hidden="false" customHeight="false" outlineLevel="0" collapsed="false">
      <c r="B39240" s="0" t="s">
        <v>124</v>
      </c>
      <c r="D39240" s="0" t="s">
        <v>1707</v>
      </c>
      <c r="E39240" s="0" t="s">
        <v>1707</v>
      </c>
      <c r="F39240" s="0" t="s">
        <v>1707</v>
      </c>
    </row>
    <row r="39242" customFormat="false" ht="12.8" hidden="false" customHeight="false" outlineLevel="0" collapsed="false">
      <c r="A39242" s="0" t="s">
        <v>14207</v>
      </c>
      <c r="B39242" s="0" t="str">
        <f aca="false">HYPERLINK("https://lindat.mff.cuni.cz/services/teitok/pdtc10/index.php?action=vallex&amp;frame=v-w5296f4", "přistupovat (v-w5296f4)")</f>
        <v>přistupovat (v-w5296f4)</v>
      </c>
    </row>
    <row r="39243" customFormat="false" ht="12.8" hidden="false" customHeight="false" outlineLevel="0" collapsed="false">
      <c r="B39243" s="0" t="s">
        <v>7</v>
      </c>
      <c r="D39243" s="0" t="s">
        <v>149</v>
      </c>
      <c r="E39243" s="0" t="s">
        <v>149</v>
      </c>
      <c r="F39243" s="0" t="s">
        <v>149</v>
      </c>
    </row>
    <row r="39244" customFormat="false" ht="12.8" hidden="false" customHeight="false" outlineLevel="0" collapsed="false">
      <c r="B39244" s="0" t="s">
        <v>14208</v>
      </c>
      <c r="D39244" s="0" t="s">
        <v>7238</v>
      </c>
      <c r="E39244" s="0" t="s">
        <v>7238</v>
      </c>
      <c r="F39244" s="0" t="s">
        <v>7238</v>
      </c>
    </row>
    <row r="39246" customFormat="false" ht="12.8" hidden="false" customHeight="false" outlineLevel="0" collapsed="false">
      <c r="A39246" s="0" t="s">
        <v>14209</v>
      </c>
      <c r="B39246" s="0" t="str">
        <f aca="false">HYPERLINK("https://lindat.mff.cuni.cz/services/teitok/pdtc10/index.php?action=vallex&amp;frame=v-w5284f1", "přistát (v-w5284f1)")</f>
        <v>přistát (v-w5284f1)</v>
      </c>
    </row>
    <row r="39247" customFormat="false" ht="12.8" hidden="false" customHeight="false" outlineLevel="0" collapsed="false">
      <c r="B39247" s="0" t="s">
        <v>7</v>
      </c>
      <c r="C39247" s="0" t="s">
        <v>14210</v>
      </c>
      <c r="D39247" s="0" t="s">
        <v>13404</v>
      </c>
      <c r="E39247" s="0" t="s">
        <v>13404</v>
      </c>
      <c r="F39247" s="0" t="s">
        <v>13404</v>
      </c>
    </row>
    <row r="39248" customFormat="false" ht="12.8" hidden="false" customHeight="false" outlineLevel="0" collapsed="false">
      <c r="B39248" s="0" t="s">
        <v>11</v>
      </c>
      <c r="C39248" s="0" t="s">
        <v>14211</v>
      </c>
      <c r="D39248" s="0" t="s">
        <v>3996</v>
      </c>
      <c r="E39248" s="0" t="s">
        <v>3996</v>
      </c>
      <c r="F39248" s="0" t="s">
        <v>3996</v>
      </c>
    </row>
    <row r="39250" customFormat="false" ht="12.8" hidden="false" customHeight="false" outlineLevel="0" collapsed="false">
      <c r="A39250" s="0" t="s">
        <v>14212</v>
      </c>
      <c r="B39250" s="0" t="str">
        <f aca="false">HYPERLINK("https://lindat.mff.cuni.cz/services/teitok/pdtc10/index.php?action=vallex&amp;frame=v-w5284f2", "přistát (v-w5284f2)")</f>
        <v>přistát (v-w5284f2)</v>
      </c>
    </row>
    <row r="39251" customFormat="false" ht="12.8" hidden="false" customHeight="false" outlineLevel="0" collapsed="false">
      <c r="B39251" s="0" t="s">
        <v>7</v>
      </c>
    </row>
    <row r="39252" customFormat="false" ht="12.8" hidden="false" customHeight="false" outlineLevel="0" collapsed="false">
      <c r="B39252" s="0" t="s">
        <v>124</v>
      </c>
    </row>
    <row r="39254" customFormat="false" ht="12.8" hidden="false" customHeight="false" outlineLevel="0" collapsed="false">
      <c r="A39254" s="0" t="s">
        <v>14213</v>
      </c>
      <c r="B39254" s="0" t="str">
        <f aca="false">HYPERLINK("https://lindat.mff.cuni.cz/services/teitok/pdtc10/index.php?action=vallex&amp;frame=v-w10235f3", "přistávat (v-w10235f3)")</f>
        <v>přistávat (v-w10235f3)</v>
      </c>
    </row>
    <row r="39255" customFormat="false" ht="12.8" hidden="false" customHeight="false" outlineLevel="0" collapsed="false">
      <c r="B39255" s="0" t="s">
        <v>7</v>
      </c>
      <c r="C39255" s="0" t="s">
        <v>272</v>
      </c>
      <c r="D39255" s="0" t="s">
        <v>13404</v>
      </c>
      <c r="E39255" s="0" t="s">
        <v>13404</v>
      </c>
      <c r="F39255" s="0" t="s">
        <v>13404</v>
      </c>
    </row>
    <row r="39256" customFormat="false" ht="12.8" hidden="false" customHeight="false" outlineLevel="0" collapsed="false">
      <c r="B39256" s="0" t="s">
        <v>11</v>
      </c>
      <c r="D39256" s="0" t="s">
        <v>3996</v>
      </c>
      <c r="E39256" s="0" t="s">
        <v>3996</v>
      </c>
      <c r="F39256" s="0" t="s">
        <v>3996</v>
      </c>
    </row>
    <row r="39258" customFormat="false" ht="12.8" hidden="false" customHeight="false" outlineLevel="0" collapsed="false">
      <c r="A39258" s="0" t="s">
        <v>14214</v>
      </c>
      <c r="B39258" s="0" t="str">
        <f aca="false">HYPERLINK("https://lindat.mff.cuni.cz/services/teitok/pdtc10/index.php?action=vallex&amp;frame=v-w10235f4", "přistávat (v-w10235f4)")</f>
        <v>přistávat (v-w10235f4)</v>
      </c>
    </row>
    <row r="39259" customFormat="false" ht="12.8" hidden="false" customHeight="false" outlineLevel="0" collapsed="false">
      <c r="B39259" s="0" t="s">
        <v>7</v>
      </c>
    </row>
    <row r="39260" customFormat="false" ht="12.8" hidden="false" customHeight="false" outlineLevel="0" collapsed="false">
      <c r="B39260" s="0" t="s">
        <v>124</v>
      </c>
    </row>
    <row r="39262" customFormat="false" ht="12.8" hidden="false" customHeight="false" outlineLevel="0" collapsed="false">
      <c r="A39262" s="0" t="s">
        <v>14215</v>
      </c>
      <c r="B39262" s="0" t="str">
        <f aca="false">HYPERLINK("https://lindat.mff.cuni.cz/services/teitok/pdtc10/index.php?action=vallex&amp;frame=v-w11694_ZUf1_ZU", "přistínit (v-w11694_ZUf1_ZU)")</f>
        <v>přistínit (v-w11694_ZUf1_ZU)</v>
      </c>
    </row>
    <row r="39263" customFormat="false" ht="12.8" hidden="false" customHeight="false" outlineLevel="0" collapsed="false">
      <c r="B39263" s="0" t="s">
        <v>7</v>
      </c>
    </row>
    <row r="39264" customFormat="false" ht="12.8" hidden="false" customHeight="false" outlineLevel="0" collapsed="false">
      <c r="B39264" s="0" t="s">
        <v>14</v>
      </c>
    </row>
    <row r="39266" customFormat="false" ht="12.8" hidden="false" customHeight="false" outlineLevel="0" collapsed="false">
      <c r="A39266" s="0" t="s">
        <v>14216</v>
      </c>
      <c r="B39266" s="0" t="str">
        <f aca="false">HYPERLINK("https://lindat.mff.cuni.cz/services/teitok/pdtc10/index.php?action=vallex&amp;frame=v-w5288f1", "přistěhovat se (v-w5288f1)")</f>
        <v>přistěhovat se (v-w5288f1)</v>
      </c>
    </row>
    <row r="39267" customFormat="false" ht="12.8" hidden="false" customHeight="false" outlineLevel="0" collapsed="false">
      <c r="B39267" s="0" t="s">
        <v>7</v>
      </c>
      <c r="C39267" s="0" t="s">
        <v>46</v>
      </c>
      <c r="D39267" s="0" t="s">
        <v>1705</v>
      </c>
      <c r="E39267" s="0" t="s">
        <v>1706</v>
      </c>
      <c r="F39267" s="0" t="s">
        <v>1706</v>
      </c>
    </row>
    <row r="39268" customFormat="false" ht="12.8" hidden="false" customHeight="false" outlineLevel="0" collapsed="false">
      <c r="B39268" s="0" t="s">
        <v>124</v>
      </c>
      <c r="D39268" s="0" t="s">
        <v>1707</v>
      </c>
      <c r="E39268" s="0" t="s">
        <v>1707</v>
      </c>
      <c r="F39268" s="0" t="s">
        <v>1707</v>
      </c>
    </row>
    <row r="39270" customFormat="false" ht="12.8" hidden="false" customHeight="false" outlineLevel="0" collapsed="false">
      <c r="A39270" s="0" t="s">
        <v>14217</v>
      </c>
      <c r="B39270" s="0" t="str">
        <f aca="false">HYPERLINK("https://lindat.mff.cuni.cz/services/teitok/pdtc10/index.php?action=vallex&amp;frame=v-w5293f1", "přistřihnout (v-w5293f1)")</f>
        <v>přistřihnout (v-w5293f1)</v>
      </c>
    </row>
    <row r="39271" customFormat="false" ht="12.8" hidden="false" customHeight="false" outlineLevel="0" collapsed="false">
      <c r="B39271" s="0" t="s">
        <v>7</v>
      </c>
    </row>
    <row r="39272" customFormat="false" ht="12.8" hidden="false" customHeight="false" outlineLevel="0" collapsed="false">
      <c r="B39272" s="0" t="s">
        <v>14</v>
      </c>
    </row>
    <row r="39273" customFormat="false" ht="12.8" hidden="false" customHeight="false" outlineLevel="0" collapsed="false">
      <c r="B39273" s="0" t="s">
        <v>35</v>
      </c>
    </row>
    <row r="39274" customFormat="false" ht="12.8" hidden="false" customHeight="false" outlineLevel="0" collapsed="false">
      <c r="B39274" s="0" t="s">
        <v>84</v>
      </c>
    </row>
    <row r="39276" customFormat="false" ht="12.8" hidden="false" customHeight="false" outlineLevel="0" collapsed="false">
      <c r="A39276" s="0" t="s">
        <v>14218</v>
      </c>
      <c r="B39276" s="0" t="str">
        <f aca="false">HYPERLINK("https://lindat.mff.cuni.cz/services/teitok/pdtc10/index.php?action=vallex&amp;frame=v-w5298f1", "přisunout (v-w5298f1)")</f>
        <v>přisunout (v-w5298f1)</v>
      </c>
    </row>
    <row r="39277" customFormat="false" ht="12.8" hidden="false" customHeight="false" outlineLevel="0" collapsed="false">
      <c r="B39277" s="0" t="s">
        <v>7</v>
      </c>
    </row>
    <row r="39278" customFormat="false" ht="12.8" hidden="false" customHeight="false" outlineLevel="0" collapsed="false">
      <c r="B39278" s="0" t="s">
        <v>14</v>
      </c>
    </row>
    <row r="39279" customFormat="false" ht="12.8" hidden="false" customHeight="false" outlineLevel="0" collapsed="false">
      <c r="B39279" s="0" t="s">
        <v>124</v>
      </c>
    </row>
    <row r="39281" customFormat="false" ht="12.8" hidden="false" customHeight="false" outlineLevel="0" collapsed="false">
      <c r="A39281" s="0" t="s">
        <v>14219</v>
      </c>
      <c r="B39281" s="0" t="str">
        <f aca="false">HYPERLINK("https://lindat.mff.cuni.cz/services/teitok/pdtc10/index.php?action=vallex&amp;frame=v-w5299f1", "přisuzovat (v-w5299f1)")</f>
        <v>přisuzovat (v-w5299f1)</v>
      </c>
    </row>
    <row r="39282" customFormat="false" ht="12.8" hidden="false" customHeight="false" outlineLevel="0" collapsed="false">
      <c r="B39282" s="0" t="s">
        <v>7</v>
      </c>
      <c r="C39282" s="0" t="s">
        <v>14220</v>
      </c>
      <c r="D39282" s="0" t="s">
        <v>1801</v>
      </c>
      <c r="E39282" s="0" t="s">
        <v>1801</v>
      </c>
      <c r="F39282" s="0" t="s">
        <v>1801</v>
      </c>
    </row>
    <row r="39283" customFormat="false" ht="12.8" hidden="false" customHeight="false" outlineLevel="0" collapsed="false">
      <c r="B39283" s="0" t="s">
        <v>54</v>
      </c>
      <c r="C39283" s="0" t="s">
        <v>14221</v>
      </c>
      <c r="D39283" s="0" t="s">
        <v>9938</v>
      </c>
      <c r="E39283" s="0" t="s">
        <v>9938</v>
      </c>
      <c r="F39283" s="0" t="s">
        <v>9938</v>
      </c>
    </row>
    <row r="39284" customFormat="false" ht="12.8" hidden="false" customHeight="false" outlineLevel="0" collapsed="false">
      <c r="B39284" s="0" t="s">
        <v>48</v>
      </c>
      <c r="C39284" s="0" t="s">
        <v>14222</v>
      </c>
      <c r="D39284" s="0" t="s">
        <v>9939</v>
      </c>
      <c r="E39284" s="0" t="s">
        <v>9939</v>
      </c>
      <c r="F39284" s="0" t="s">
        <v>9939</v>
      </c>
    </row>
    <row r="39286" customFormat="false" ht="12.8" hidden="false" customHeight="false" outlineLevel="0" collapsed="false">
      <c r="A39286" s="0" t="s">
        <v>14223</v>
      </c>
      <c r="B39286" s="0" t="str">
        <f aca="false">HYPERLINK("https://lindat.mff.cuni.cz/services/teitok/pdtc10/index.php?action=vallex&amp;frame=v-w5300f1", "přisvojit si (v-w5300f1)")</f>
        <v>přisvojit si (v-w5300f1)</v>
      </c>
    </row>
    <row r="39287" customFormat="false" ht="12.8" hidden="false" customHeight="false" outlineLevel="0" collapsed="false">
      <c r="B39287" s="0" t="s">
        <v>7</v>
      </c>
    </row>
    <row r="39288" customFormat="false" ht="12.8" hidden="false" customHeight="false" outlineLevel="0" collapsed="false">
      <c r="B39288" s="0" t="s">
        <v>14</v>
      </c>
    </row>
    <row r="39290" customFormat="false" ht="12.8" hidden="false" customHeight="false" outlineLevel="0" collapsed="false">
      <c r="A39290" s="0" t="s">
        <v>14224</v>
      </c>
      <c r="B39290" s="0" t="str">
        <f aca="false">HYPERLINK("https://lindat.mff.cuni.cz/services/teitok/pdtc10/index.php?action=vallex&amp;frame=v-w10492f3", "přisypávat (v-w10492f3)")</f>
        <v>přisypávat (v-w10492f3)</v>
      </c>
    </row>
    <row r="39291" customFormat="false" ht="12.8" hidden="false" customHeight="false" outlineLevel="0" collapsed="false">
      <c r="B39291" s="0" t="s">
        <v>7</v>
      </c>
      <c r="C39291" s="0" t="s">
        <v>46</v>
      </c>
      <c r="D39291" s="0" t="s">
        <v>2101</v>
      </c>
      <c r="E39291" s="0" t="s">
        <v>2101</v>
      </c>
      <c r="F39291" s="0" t="s">
        <v>2101</v>
      </c>
    </row>
    <row r="39292" customFormat="false" ht="12.8" hidden="false" customHeight="false" outlineLevel="0" collapsed="false">
      <c r="B39292" s="0" t="s">
        <v>14</v>
      </c>
      <c r="C39292" s="0" t="s">
        <v>115</v>
      </c>
      <c r="D39292" s="0" t="s">
        <v>14225</v>
      </c>
      <c r="E39292" s="0" t="s">
        <v>14225</v>
      </c>
      <c r="F39292" s="0" t="s">
        <v>14225</v>
      </c>
    </row>
    <row r="39293" customFormat="false" ht="12.8" hidden="false" customHeight="false" outlineLevel="0" collapsed="false">
      <c r="B39293" s="0" t="s">
        <v>124</v>
      </c>
      <c r="D39293" s="0" t="s">
        <v>14226</v>
      </c>
      <c r="E39293" s="0" t="s">
        <v>14226</v>
      </c>
      <c r="F39293" s="0" t="s">
        <v>14226</v>
      </c>
    </row>
    <row r="39295" customFormat="false" ht="12.8" hidden="false" customHeight="false" outlineLevel="0" collapsed="false">
      <c r="A39295" s="0" t="s">
        <v>14227</v>
      </c>
      <c r="B39295" s="0" t="str">
        <f aca="false">HYPERLINK("https://lindat.mff.cuni.cz/services/teitok/pdtc10/index.php?action=vallex&amp;frame=v-w5303f2_MM", "přitahovat (v-w5303f2_MM)")</f>
        <v>přitahovat (v-w5303f2_MM)</v>
      </c>
    </row>
    <row r="39296" customFormat="false" ht="12.8" hidden="false" customHeight="false" outlineLevel="0" collapsed="false">
      <c r="B39296" s="0" t="s">
        <v>641</v>
      </c>
    </row>
    <row r="39297" customFormat="false" ht="12.8" hidden="false" customHeight="false" outlineLevel="0" collapsed="false">
      <c r="B39297" s="0" t="s">
        <v>14</v>
      </c>
    </row>
    <row r="39299" customFormat="false" ht="12.8" hidden="false" customHeight="false" outlineLevel="0" collapsed="false">
      <c r="A39299" s="0" t="s">
        <v>14227</v>
      </c>
      <c r="B39299" s="0" t="str">
        <f aca="false">HYPERLINK("https://lindat.mff.cuni.cz/services/teitok/pdtc10/index.php?action=vallex&amp;frame=v-w5303f1", "přitahovat (v-w5303f1) - substituted with v-w5303f2_MM")</f>
        <v>přitahovat (v-w5303f1) - substituted with v-w5303f2_MM</v>
      </c>
    </row>
    <row r="39300" customFormat="false" ht="12.8" hidden="false" customHeight="false" outlineLevel="0" collapsed="false">
      <c r="B39300" s="0" t="s">
        <v>641</v>
      </c>
      <c r="C39300" s="0" t="s">
        <v>14228</v>
      </c>
      <c r="D39300" s="0" t="s">
        <v>9144</v>
      </c>
      <c r="E39300" s="0" t="s">
        <v>9144</v>
      </c>
      <c r="F39300" s="0" t="s">
        <v>9144</v>
      </c>
    </row>
    <row r="39301" customFormat="false" ht="12.8" hidden="false" customHeight="false" outlineLevel="0" collapsed="false">
      <c r="B39301" s="0" t="s">
        <v>14</v>
      </c>
      <c r="C39301" s="0" t="s">
        <v>14229</v>
      </c>
      <c r="D39301" s="0" t="s">
        <v>78</v>
      </c>
      <c r="E39301" s="0" t="s">
        <v>78</v>
      </c>
      <c r="F39301" s="0" t="s">
        <v>78</v>
      </c>
    </row>
    <row r="39303" customFormat="false" ht="12.8" hidden="false" customHeight="false" outlineLevel="0" collapsed="false">
      <c r="A39303" s="0" t="s">
        <v>14230</v>
      </c>
      <c r="B39303" s="0" t="str">
        <f aca="false">HYPERLINK("https://lindat.mff.cuni.cz/services/teitok/pdtc10/index.php?action=vallex&amp;frame=v-w5314f1", "přitlačit (v-w5314f1)")</f>
        <v>přitlačit (v-w5314f1)</v>
      </c>
    </row>
    <row r="39304" customFormat="false" ht="12.8" hidden="false" customHeight="false" outlineLevel="0" collapsed="false">
      <c r="B39304" s="0" t="s">
        <v>7</v>
      </c>
    </row>
    <row r="39305" customFormat="false" ht="12.8" hidden="false" customHeight="false" outlineLevel="0" collapsed="false">
      <c r="B39305" s="0" t="s">
        <v>14</v>
      </c>
    </row>
    <row r="39306" customFormat="false" ht="12.8" hidden="false" customHeight="false" outlineLevel="0" collapsed="false">
      <c r="B39306" s="0" t="s">
        <v>124</v>
      </c>
    </row>
    <row r="39308" customFormat="false" ht="12.8" hidden="false" customHeight="false" outlineLevel="0" collapsed="false">
      <c r="A39308" s="0" t="s">
        <v>14231</v>
      </c>
      <c r="B39308" s="0" t="str">
        <f aca="false">HYPERLINK("https://lindat.mff.cuni.cz/services/teitok/pdtc10/index.php?action=vallex&amp;frame=v-whsa_1793hsa_1794", "přitlouci (v-whsa_1793hsa_1794)")</f>
        <v>přitlouci (v-whsa_1793hsa_1794)</v>
      </c>
    </row>
    <row r="39309" customFormat="false" ht="12.8" hidden="false" customHeight="false" outlineLevel="0" collapsed="false">
      <c r="B39309" s="0" t="s">
        <v>7</v>
      </c>
    </row>
    <row r="39310" customFormat="false" ht="12.8" hidden="false" customHeight="false" outlineLevel="0" collapsed="false">
      <c r="B39310" s="0" t="s">
        <v>14</v>
      </c>
    </row>
    <row r="39312" customFormat="false" ht="12.8" hidden="false" customHeight="false" outlineLevel="0" collapsed="false">
      <c r="A39312" s="0" t="s">
        <v>14232</v>
      </c>
      <c r="B39312" s="0" t="str">
        <f aca="false">HYPERLINK("https://lindat.mff.cuni.cz/services/teitok/pdtc10/index.php?action=vallex&amp;frame=v-whsa_48f1_ZU", "přitopit (v-whsa_48f1_ZU)")</f>
        <v>přitopit (v-whsa_48f1_ZU)</v>
      </c>
    </row>
    <row r="39313" customFormat="false" ht="12.8" hidden="false" customHeight="false" outlineLevel="0" collapsed="false">
      <c r="B39313" s="0" t="s">
        <v>7</v>
      </c>
    </row>
    <row r="39315" customFormat="false" ht="12.8" hidden="false" customHeight="false" outlineLevel="0" collapsed="false">
      <c r="A39315" s="0" t="s">
        <v>14232</v>
      </c>
      <c r="B39315" s="0" t="str">
        <f aca="false">HYPERLINK("https://lindat.mff.cuni.cz/services/teitok/pdtc10/index.php?action=vallex&amp;frame=v-whsa_48hsa_49", "přitopit (v-whsa_48hsa_49) - substituted with v-whsa_48f1_ZU")</f>
        <v>přitopit (v-whsa_48hsa_49) - substituted with v-whsa_48f1_ZU</v>
      </c>
    </row>
    <row r="39316" customFormat="false" ht="12.8" hidden="false" customHeight="false" outlineLevel="0" collapsed="false">
      <c r="B39316" s="0" t="s">
        <v>7</v>
      </c>
    </row>
    <row r="39318" customFormat="false" ht="12.8" hidden="false" customHeight="false" outlineLevel="0" collapsed="false">
      <c r="A39318" s="0" t="s">
        <v>14233</v>
      </c>
      <c r="B39318" s="0" t="str">
        <f aca="false">HYPERLINK("https://lindat.mff.cuni.cz/services/teitok/pdtc10/index.php?action=vallex&amp;frame=v-whsa_48f2_ZU", "přitopit (v-whsa_48f2_ZU)")</f>
        <v>přitopit (v-whsa_48f2_ZU)</v>
      </c>
    </row>
    <row r="39319" customFormat="false" ht="12.8" hidden="false" customHeight="false" outlineLevel="0" collapsed="false">
      <c r="B39319" s="0" t="s">
        <v>7</v>
      </c>
    </row>
    <row r="39321" customFormat="false" ht="12.8" hidden="false" customHeight="false" outlineLevel="0" collapsed="false">
      <c r="A39321" s="0" t="s">
        <v>14234</v>
      </c>
      <c r="B39321" s="0" t="str">
        <f aca="false">HYPERLINK("https://lindat.mff.cuni.cz/services/teitok/pdtc10/index.php?action=vallex&amp;frame=v-w5319f1", "přituhnout (v-w5319f1)")</f>
        <v>přituhnout (v-w5319f1)</v>
      </c>
    </row>
    <row r="39323" customFormat="false" ht="12.8" hidden="false" customHeight="false" outlineLevel="0" collapsed="false">
      <c r="A39323" s="0" t="s">
        <v>14235</v>
      </c>
      <c r="B39323" s="0" t="str">
        <f aca="false">HYPERLINK("https://lindat.mff.cuni.cz/services/teitok/pdtc10/index.php?action=vallex&amp;frame=v-w10326f2", "přituhovat (v-w10326f2)")</f>
        <v>přituhovat (v-w10326f2)</v>
      </c>
    </row>
    <row r="39325" customFormat="false" ht="12.8" hidden="false" customHeight="false" outlineLevel="0" collapsed="false">
      <c r="A39325" s="0" t="s">
        <v>14236</v>
      </c>
      <c r="B39325" s="0" t="str">
        <f aca="false">HYPERLINK("https://lindat.mff.cuni.cz/services/teitok/pdtc10/index.php?action=vallex&amp;frame=v-w5322f2_ZU", "přitvrdit (v-w5322f2_ZU)")</f>
        <v>přitvrdit (v-w5322f2_ZU)</v>
      </c>
    </row>
    <row r="39326" customFormat="false" ht="12.8" hidden="false" customHeight="false" outlineLevel="0" collapsed="false">
      <c r="B39326" s="0" t="s">
        <v>7</v>
      </c>
      <c r="D39326" s="0" t="s">
        <v>12495</v>
      </c>
      <c r="E39326" s="0" t="s">
        <v>12495</v>
      </c>
      <c r="F39326" s="0" t="s">
        <v>12495</v>
      </c>
    </row>
    <row r="39327" customFormat="false" ht="12.8" hidden="false" customHeight="false" outlineLevel="0" collapsed="false">
      <c r="B39327" s="0" t="s">
        <v>11750</v>
      </c>
      <c r="C39327" s="0" t="s">
        <v>155</v>
      </c>
      <c r="D39327" s="0" t="s">
        <v>453</v>
      </c>
      <c r="E39327" s="0" t="s">
        <v>453</v>
      </c>
      <c r="F39327" s="0" t="s">
        <v>453</v>
      </c>
    </row>
    <row r="39329" customFormat="false" ht="12.8" hidden="false" customHeight="false" outlineLevel="0" collapsed="false">
      <c r="A39329" s="0" t="s">
        <v>14236</v>
      </c>
      <c r="B39329" s="0" t="str">
        <f aca="false">HYPERLINK("https://lindat.mff.cuni.cz/services/teitok/pdtc10/index.php?action=vallex&amp;frame=v-w5322f1", "přitvrdit (v-w5322f1) - substituted with v-w5322f2_ZU")</f>
        <v>přitvrdit (v-w5322f1) - substituted with v-w5322f2_ZU</v>
      </c>
    </row>
    <row r="39330" customFormat="false" ht="12.8" hidden="false" customHeight="false" outlineLevel="0" collapsed="false">
      <c r="B39330" s="0" t="s">
        <v>7</v>
      </c>
    </row>
    <row r="39331" customFormat="false" ht="12.8" hidden="false" customHeight="false" outlineLevel="0" collapsed="false">
      <c r="B39331" s="0" t="s">
        <v>11750</v>
      </c>
    </row>
    <row r="39333" customFormat="false" ht="12.8" hidden="false" customHeight="false" outlineLevel="0" collapsed="false">
      <c r="A39333" s="0" t="s">
        <v>14237</v>
      </c>
      <c r="B39333" s="0" t="str">
        <f aca="false">HYPERLINK("https://lindat.mff.cuni.cz/services/teitok/pdtc10/index.php?action=vallex&amp;frame=v-w5322hsa_6", "přitvrdit (v-w5322hsa_6)")</f>
        <v>přitvrdit (v-w5322hsa_6)</v>
      </c>
    </row>
    <row r="39334" customFormat="false" ht="12.8" hidden="false" customHeight="false" outlineLevel="0" collapsed="false">
      <c r="B39334" s="0" t="s">
        <v>7</v>
      </c>
    </row>
    <row r="39336" customFormat="false" ht="12.8" hidden="false" customHeight="false" outlineLevel="0" collapsed="false">
      <c r="A39336" s="0" t="s">
        <v>14238</v>
      </c>
      <c r="B39336" s="0" t="str">
        <f aca="false">HYPERLINK("https://lindat.mff.cuni.cz/services/teitok/pdtc10/index.php?action=vallex&amp;frame=v-w10480f3_ZU", "přitvrzovat (v-w10480f3_ZU)")</f>
        <v>přitvrzovat (v-w10480f3_ZU)</v>
      </c>
    </row>
    <row r="39337" customFormat="false" ht="12.8" hidden="false" customHeight="false" outlineLevel="0" collapsed="false">
      <c r="B39337" s="0" t="s">
        <v>7</v>
      </c>
      <c r="C39337" s="0" t="s">
        <v>272</v>
      </c>
      <c r="D39337" s="0" t="s">
        <v>12495</v>
      </c>
      <c r="E39337" s="0" t="s">
        <v>12495</v>
      </c>
      <c r="F39337" s="0" t="s">
        <v>12495</v>
      </c>
    </row>
    <row r="39338" customFormat="false" ht="12.8" hidden="false" customHeight="false" outlineLevel="0" collapsed="false">
      <c r="B39338" s="0" t="s">
        <v>11750</v>
      </c>
      <c r="D39338" s="0" t="s">
        <v>453</v>
      </c>
      <c r="E39338" s="0" t="s">
        <v>453</v>
      </c>
      <c r="F39338" s="0" t="s">
        <v>453</v>
      </c>
    </row>
    <row r="39340" customFormat="false" ht="12.8" hidden="false" customHeight="false" outlineLevel="0" collapsed="false">
      <c r="A39340" s="0" t="s">
        <v>14238</v>
      </c>
      <c r="B39340" s="0" t="str">
        <f aca="false">HYPERLINK("https://lindat.mff.cuni.cz/services/teitok/pdtc10/index.php?action=vallex&amp;frame=v-w10480f2", "přitvrzovat (v-w10480f2) - substituted with v-w10480f3_ZU")</f>
        <v>přitvrzovat (v-w10480f2) - substituted with v-w10480f3_ZU</v>
      </c>
    </row>
    <row r="39341" customFormat="false" ht="12.8" hidden="false" customHeight="false" outlineLevel="0" collapsed="false">
      <c r="B39341" s="0" t="s">
        <v>7</v>
      </c>
    </row>
    <row r="39342" customFormat="false" ht="12.8" hidden="false" customHeight="false" outlineLevel="0" collapsed="false">
      <c r="B39342" s="0" t="s">
        <v>11750</v>
      </c>
    </row>
    <row r="39344" customFormat="false" ht="12.8" hidden="false" customHeight="false" outlineLevel="0" collapsed="false">
      <c r="A39344" s="0" t="s">
        <v>14239</v>
      </c>
      <c r="B39344" s="0" t="str">
        <f aca="false">HYPERLINK("https://lindat.mff.cuni.cz/services/teitok/pdtc10/index.php?action=vallex&amp;frame=v-w10480hsa_842", "přitvrzovat (v-w10480hsa_842)")</f>
        <v>přitvrzovat (v-w10480hsa_842)</v>
      </c>
    </row>
    <row r="39345" customFormat="false" ht="12.8" hidden="false" customHeight="false" outlineLevel="0" collapsed="false">
      <c r="B39345" s="0" t="s">
        <v>7</v>
      </c>
    </row>
    <row r="39347" customFormat="false" ht="12.8" hidden="false" customHeight="false" outlineLevel="0" collapsed="false">
      <c r="A39347" s="0" t="s">
        <v>14240</v>
      </c>
      <c r="B39347" s="0" t="str">
        <f aca="false">HYPERLINK("https://lindat.mff.cuni.cz/services/teitok/pdtc10/index.php?action=vallex&amp;frame=v-w5302f3", "přitáhnout (v-w5302f3)")</f>
        <v>přitáhnout (v-w5302f3)</v>
      </c>
    </row>
    <row r="39348" customFormat="false" ht="12.8" hidden="false" customHeight="false" outlineLevel="0" collapsed="false">
      <c r="B39348" s="0" t="s">
        <v>7</v>
      </c>
    </row>
    <row r="39349" customFormat="false" ht="12.8" hidden="false" customHeight="false" outlineLevel="0" collapsed="false">
      <c r="B39349" s="0" t="s">
        <v>14</v>
      </c>
    </row>
    <row r="39350" customFormat="false" ht="12.8" hidden="false" customHeight="false" outlineLevel="0" collapsed="false">
      <c r="B39350" s="0" t="s">
        <v>124</v>
      </c>
    </row>
    <row r="39352" customFormat="false" ht="12.8" hidden="false" customHeight="false" outlineLevel="0" collapsed="false">
      <c r="A39352" s="0" t="s">
        <v>14241</v>
      </c>
      <c r="B39352" s="0" t="str">
        <f aca="false">HYPERLINK("https://lindat.mff.cuni.cz/services/teitok/pdtc10/index.php?action=vallex&amp;frame=v-w5302f1", "přitáhnout (v-w5302f1)")</f>
        <v>přitáhnout (v-w5302f1)</v>
      </c>
    </row>
    <row r="39353" customFormat="false" ht="12.8" hidden="false" customHeight="false" outlineLevel="0" collapsed="false">
      <c r="B39353" s="0" t="s">
        <v>7</v>
      </c>
      <c r="C39353" s="0" t="s">
        <v>14242</v>
      </c>
      <c r="D39353" s="0" t="s">
        <v>9144</v>
      </c>
      <c r="E39353" s="0" t="s">
        <v>9144</v>
      </c>
      <c r="F39353" s="0" t="s">
        <v>9144</v>
      </c>
    </row>
    <row r="39354" customFormat="false" ht="12.8" hidden="false" customHeight="false" outlineLevel="0" collapsed="false">
      <c r="B39354" s="0" t="s">
        <v>14</v>
      </c>
      <c r="C39354" s="0" t="s">
        <v>14243</v>
      </c>
      <c r="D39354" s="0" t="s">
        <v>78</v>
      </c>
      <c r="E39354" s="0" t="s">
        <v>78</v>
      </c>
      <c r="F39354" s="0" t="s">
        <v>78</v>
      </c>
    </row>
    <row r="39356" customFormat="false" ht="12.8" hidden="false" customHeight="false" outlineLevel="0" collapsed="false">
      <c r="A39356" s="0" t="s">
        <v>14244</v>
      </c>
      <c r="B39356" s="0" t="str">
        <f aca="false">HYPERLINK("https://lindat.mff.cuni.cz/services/teitok/pdtc10/index.php?action=vallex&amp;frame=v-w5302f2", "přitáhnout (v-w5302f2)")</f>
        <v>přitáhnout (v-w5302f2)</v>
      </c>
    </row>
    <row r="39357" customFormat="false" ht="12.8" hidden="false" customHeight="false" outlineLevel="0" collapsed="false">
      <c r="B39357" s="0" t="s">
        <v>7</v>
      </c>
    </row>
    <row r="39358" customFormat="false" ht="12.8" hidden="false" customHeight="false" outlineLevel="0" collapsed="false">
      <c r="B39358" s="0" t="s">
        <v>14</v>
      </c>
    </row>
    <row r="39360" customFormat="false" ht="12.8" hidden="false" customHeight="false" outlineLevel="0" collapsed="false">
      <c r="A39360" s="0" t="s">
        <v>14245</v>
      </c>
      <c r="B39360" s="0" t="str">
        <f aca="false">HYPERLINK("https://lindat.mff.cuni.cz/services/teitok/pdtc10/index.php?action=vallex&amp;frame=v-w5302hsa_448", "přitáhnout (v-w5302hsa_448)")</f>
        <v>přitáhnout (v-w5302hsa_448)</v>
      </c>
    </row>
    <row r="39361" customFormat="false" ht="12.8" hidden="false" customHeight="false" outlineLevel="0" collapsed="false">
      <c r="B39361" s="0" t="s">
        <v>7</v>
      </c>
      <c r="C39361" s="0" t="s">
        <v>31</v>
      </c>
      <c r="D39361" s="0" t="s">
        <v>14246</v>
      </c>
      <c r="E39361" s="0" t="s">
        <v>14246</v>
      </c>
      <c r="F39361" s="0" t="s">
        <v>14246</v>
      </c>
    </row>
    <row r="39362" customFormat="false" ht="12.8" hidden="false" customHeight="false" outlineLevel="0" collapsed="false">
      <c r="B39362" s="0" t="s">
        <v>14247</v>
      </c>
      <c r="C39362" s="0" t="s">
        <v>14248</v>
      </c>
      <c r="D39362" s="0" t="s">
        <v>14249</v>
      </c>
      <c r="E39362" s="0" t="s">
        <v>14249</v>
      </c>
      <c r="F39362" s="0" t="s">
        <v>14249</v>
      </c>
    </row>
    <row r="39364" customFormat="false" ht="12.8" hidden="false" customHeight="false" outlineLevel="0" collapsed="false">
      <c r="A39364" s="0" t="s">
        <v>14250</v>
      </c>
      <c r="B39364" s="0" t="str">
        <f aca="false">HYPERLINK("https://lindat.mff.cuni.cz/services/teitok/pdtc10/index.php?action=vallex&amp;frame=v-w5302f4_ZU", "přitáhnout (v-w5302f4_ZU)")</f>
        <v>přitáhnout (v-w5302f4_ZU)</v>
      </c>
    </row>
    <row r="39365" customFormat="false" ht="12.8" hidden="false" customHeight="false" outlineLevel="0" collapsed="false">
      <c r="B39365" s="0" t="s">
        <v>7</v>
      </c>
    </row>
    <row r="39366" customFormat="false" ht="12.8" hidden="false" customHeight="false" outlineLevel="0" collapsed="false">
      <c r="B39366" s="0" t="s">
        <v>14251</v>
      </c>
    </row>
    <row r="39367" customFormat="false" ht="12.8" hidden="false" customHeight="false" outlineLevel="0" collapsed="false">
      <c r="B39367" s="0" t="s">
        <v>142</v>
      </c>
    </row>
    <row r="39369" customFormat="false" ht="12.8" hidden="false" customHeight="false" outlineLevel="0" collapsed="false">
      <c r="A39369" s="0" t="s">
        <v>14250</v>
      </c>
      <c r="B39369" s="0" t="str">
        <f aca="false">HYPERLINK("https://lindat.mff.cuni.cz/services/teitok/pdtc10/index.php?action=vallex&amp;frame=v-w5302hsa_449", "přitáhnout (v-w5302hsa_449) - substituted with v-w5302f4_ZU")</f>
        <v>přitáhnout (v-w5302hsa_449) - substituted with v-w5302f4_ZU</v>
      </c>
    </row>
    <row r="39370" customFormat="false" ht="12.8" hidden="false" customHeight="false" outlineLevel="0" collapsed="false">
      <c r="B39370" s="0" t="s">
        <v>7</v>
      </c>
    </row>
    <row r="39371" customFormat="false" ht="12.8" hidden="false" customHeight="false" outlineLevel="0" collapsed="false">
      <c r="B39371" s="0" t="s">
        <v>14251</v>
      </c>
    </row>
    <row r="39372" customFormat="false" ht="12.8" hidden="false" customHeight="false" outlineLevel="0" collapsed="false">
      <c r="B39372" s="0" t="s">
        <v>142</v>
      </c>
    </row>
    <row r="39374" customFormat="false" ht="12.8" hidden="false" customHeight="false" outlineLevel="0" collapsed="false">
      <c r="A39374" s="0" t="s">
        <v>14252</v>
      </c>
      <c r="B39374" s="0" t="str">
        <f aca="false">HYPERLINK("https://lindat.mff.cuni.cz/services/teitok/pdtc10/index.php?action=vallex&amp;frame=v-w5308f1", "přitéci (v-w5308f1)")</f>
        <v>přitéci (v-w5308f1)</v>
      </c>
    </row>
    <row r="39375" customFormat="false" ht="12.8" hidden="false" customHeight="false" outlineLevel="0" collapsed="false">
      <c r="B39375" s="0" t="s">
        <v>7</v>
      </c>
      <c r="D39375" s="0" t="s">
        <v>2587</v>
      </c>
      <c r="E39375" s="0" t="s">
        <v>2588</v>
      </c>
      <c r="F39375" s="0" t="s">
        <v>2588</v>
      </c>
    </row>
    <row r="39376" customFormat="false" ht="12.8" hidden="false" customHeight="false" outlineLevel="0" collapsed="false">
      <c r="B39376" s="0" t="s">
        <v>124</v>
      </c>
      <c r="D39376" s="0" t="s">
        <v>1707</v>
      </c>
      <c r="E39376" s="0" t="s">
        <v>1707</v>
      </c>
      <c r="F39376" s="0" t="s">
        <v>1707</v>
      </c>
    </row>
    <row r="39378" customFormat="false" ht="12.8" hidden="false" customHeight="false" outlineLevel="0" collapsed="false">
      <c r="A39378" s="0" t="s">
        <v>14253</v>
      </c>
      <c r="B39378" s="0" t="str">
        <f aca="false">HYPERLINK("https://lindat.mff.cuni.cz/services/teitok/pdtc10/index.php?action=vallex&amp;frame=v-w5309f1", "přitékat (v-w5309f1)")</f>
        <v>přitékat (v-w5309f1)</v>
      </c>
    </row>
    <row r="39379" customFormat="false" ht="12.8" hidden="false" customHeight="false" outlineLevel="0" collapsed="false">
      <c r="B39379" s="0" t="s">
        <v>7</v>
      </c>
      <c r="C39379" s="0" t="s">
        <v>272</v>
      </c>
    </row>
    <row r="39380" customFormat="false" ht="12.8" hidden="false" customHeight="false" outlineLevel="0" collapsed="false">
      <c r="B39380" s="0" t="s">
        <v>124</v>
      </c>
    </row>
    <row r="39382" customFormat="false" ht="12.8" hidden="false" customHeight="false" outlineLevel="0" collapsed="false">
      <c r="A39382" s="0" t="s">
        <v>14254</v>
      </c>
      <c r="B39382" s="0" t="str">
        <f aca="false">HYPERLINK("https://lindat.mff.cuni.cz/services/teitok/pdtc10/index.php?action=vallex&amp;frame=v-w5312f1", "přitížit (v-w5312f1)")</f>
        <v>přitížit (v-w5312f1)</v>
      </c>
    </row>
    <row r="39383" customFormat="false" ht="12.8" hidden="false" customHeight="false" outlineLevel="0" collapsed="false">
      <c r="B39383" s="0" t="s">
        <v>7</v>
      </c>
    </row>
    <row r="39384" customFormat="false" ht="12.8" hidden="false" customHeight="false" outlineLevel="0" collapsed="false">
      <c r="B39384" s="0" t="s">
        <v>142</v>
      </c>
    </row>
    <row r="39386" customFormat="false" ht="12.8" hidden="false" customHeight="false" outlineLevel="0" collapsed="false">
      <c r="A39386" s="0" t="s">
        <v>14255</v>
      </c>
      <c r="B39386" s="0" t="str">
        <f aca="false">HYPERLINK("https://lindat.mff.cuni.cz/services/teitok/pdtc10/index.php?action=vallex&amp;frame=v-w5313f1", "přitížit se (v-w5313f1)")</f>
        <v>přitížit se (v-w5313f1)</v>
      </c>
    </row>
    <row r="39387" customFormat="false" ht="12.8" hidden="false" customHeight="false" outlineLevel="0" collapsed="false">
      <c r="B39387" s="0" t="s">
        <v>603</v>
      </c>
    </row>
    <row r="39389" customFormat="false" ht="12.8" hidden="false" customHeight="false" outlineLevel="0" collapsed="false">
      <c r="A39389" s="0" t="s">
        <v>14256</v>
      </c>
      <c r="B39389" s="0" t="str">
        <f aca="false">HYPERLINK("https://lindat.mff.cuni.cz/services/teitok/pdtc10/index.php?action=vallex&amp;frame=v-w5311f1", "přitěžovat (v-w5311f1)")</f>
        <v>přitěžovat (v-w5311f1)</v>
      </c>
    </row>
    <row r="39390" customFormat="false" ht="12.8" hidden="false" customHeight="false" outlineLevel="0" collapsed="false">
      <c r="B39390" s="0" t="s">
        <v>7</v>
      </c>
    </row>
    <row r="39391" customFormat="false" ht="12.8" hidden="false" customHeight="false" outlineLevel="0" collapsed="false">
      <c r="B39391" s="0" t="s">
        <v>142</v>
      </c>
    </row>
    <row r="39393" customFormat="false" ht="12.8" hidden="false" customHeight="false" outlineLevel="0" collapsed="false">
      <c r="A39393" s="0" t="s">
        <v>14257</v>
      </c>
      <c r="B39393" s="0" t="str">
        <f aca="false">HYPERLINK("https://lindat.mff.cuni.cz/services/teitok/pdtc10/index.php?action=vallex&amp;frame=v-w12174_ZUf1_ZU", "přiupravit (v-w12174_ZUf1_ZU)")</f>
        <v>přiupravit (v-w12174_ZUf1_ZU)</v>
      </c>
    </row>
    <row r="39394" customFormat="false" ht="12.8" hidden="false" customHeight="false" outlineLevel="0" collapsed="false">
      <c r="B39394" s="0" t="s">
        <v>7</v>
      </c>
    </row>
    <row r="39395" customFormat="false" ht="12.8" hidden="false" customHeight="false" outlineLevel="0" collapsed="false">
      <c r="B39395" s="0" t="s">
        <v>14</v>
      </c>
    </row>
    <row r="39397" customFormat="false" ht="12.8" hidden="false" customHeight="false" outlineLevel="0" collapsed="false">
      <c r="A39397" s="0" t="s">
        <v>14258</v>
      </c>
      <c r="B39397" s="0" t="str">
        <f aca="false">HYPERLINK("https://lindat.mff.cuni.cz/services/teitok/pdtc10/index.php?action=vallex&amp;frame=v-w5325f1", "přiučit se (v-w5325f1)")</f>
        <v>přiučit se (v-w5325f1)</v>
      </c>
    </row>
    <row r="39398" customFormat="false" ht="12.8" hidden="false" customHeight="false" outlineLevel="0" collapsed="false">
      <c r="B39398" s="0" t="s">
        <v>7</v>
      </c>
      <c r="C39398" s="0" t="s">
        <v>316</v>
      </c>
      <c r="D39398" s="0" t="s">
        <v>2256</v>
      </c>
      <c r="E39398" s="0" t="s">
        <v>2256</v>
      </c>
      <c r="F39398" s="0" t="s">
        <v>2256</v>
      </c>
    </row>
    <row r="39399" customFormat="false" ht="12.8" hidden="false" customHeight="false" outlineLevel="0" collapsed="false">
      <c r="B39399" s="0" t="s">
        <v>2619</v>
      </c>
      <c r="C39399" s="0" t="s">
        <v>2685</v>
      </c>
      <c r="D39399" s="0" t="s">
        <v>2259</v>
      </c>
      <c r="E39399" s="0" t="s">
        <v>2259</v>
      </c>
      <c r="F39399" s="0" t="s">
        <v>2259</v>
      </c>
    </row>
    <row r="39400" customFormat="false" ht="12.8" hidden="false" customHeight="false" outlineLevel="0" collapsed="false">
      <c r="B39400" s="0" t="s">
        <v>441</v>
      </c>
      <c r="C39400" s="0" t="s">
        <v>2480</v>
      </c>
      <c r="D39400" s="0" t="s">
        <v>2260</v>
      </c>
      <c r="E39400" s="0" t="s">
        <v>2260</v>
      </c>
      <c r="F39400" s="0" t="s">
        <v>2260</v>
      </c>
    </row>
    <row r="39402" customFormat="false" ht="12.8" hidden="false" customHeight="false" outlineLevel="0" collapsed="false">
      <c r="A39402" s="0" t="s">
        <v>14259</v>
      </c>
      <c r="B39402" s="0" t="str">
        <f aca="false">HYPERLINK("https://lindat.mff.cuni.cz/services/teitok/pdtc10/index.php?action=vallex&amp;frame=v-whsa_1493hsa_1494", "přivařit (v-whsa_1493hsa_1494)")</f>
        <v>přivařit (v-whsa_1493hsa_1494)</v>
      </c>
    </row>
    <row r="39403" customFormat="false" ht="12.8" hidden="false" customHeight="false" outlineLevel="0" collapsed="false">
      <c r="B39403" s="0" t="s">
        <v>7</v>
      </c>
    </row>
    <row r="39404" customFormat="false" ht="12.8" hidden="false" customHeight="false" outlineLevel="0" collapsed="false">
      <c r="B39404" s="0" t="s">
        <v>14</v>
      </c>
    </row>
    <row r="39405" customFormat="false" ht="12.8" hidden="false" customHeight="false" outlineLevel="0" collapsed="false">
      <c r="B39405" s="0" t="s">
        <v>124</v>
      </c>
    </row>
    <row r="39407" customFormat="false" ht="12.8" hidden="false" customHeight="false" outlineLevel="0" collapsed="false">
      <c r="A39407" s="0" t="s">
        <v>14260</v>
      </c>
      <c r="B39407" s="0" t="str">
        <f aca="false">HYPERLINK("https://lindat.mff.cuni.cz/services/teitok/pdtc10/index.php?action=vallex&amp;frame=v-whsa_1658f1_ZU", "přivdat se (v-whsa_1658f1_ZU)")</f>
        <v>přivdat se (v-whsa_1658f1_ZU)</v>
      </c>
    </row>
    <row r="39408" customFormat="false" ht="12.8" hidden="false" customHeight="false" outlineLevel="0" collapsed="false">
      <c r="B39408" s="0" t="s">
        <v>7</v>
      </c>
    </row>
    <row r="39409" customFormat="false" ht="12.8" hidden="false" customHeight="false" outlineLevel="0" collapsed="false">
      <c r="B39409" s="0" t="s">
        <v>1654</v>
      </c>
    </row>
    <row r="39410" customFormat="false" ht="12.8" hidden="false" customHeight="false" outlineLevel="0" collapsed="false">
      <c r="B39410" s="0" t="s">
        <v>124</v>
      </c>
    </row>
    <row r="39412" customFormat="false" ht="12.8" hidden="false" customHeight="false" outlineLevel="0" collapsed="false">
      <c r="A39412" s="0" t="s">
        <v>14260</v>
      </c>
      <c r="B39412" s="0" t="str">
        <f aca="false">HYPERLINK("https://lindat.mff.cuni.cz/services/teitok/pdtc10/index.php?action=vallex&amp;frame=v-whsa_1658hsa_1659", "přivdat se (v-whsa_1658hsa_1659) - substituted with v-whsa_1658f1_ZU")</f>
        <v>přivdat se (v-whsa_1658hsa_1659) - substituted with v-whsa_1658f1_ZU</v>
      </c>
    </row>
    <row r="39413" customFormat="false" ht="12.8" hidden="false" customHeight="false" outlineLevel="0" collapsed="false">
      <c r="B39413" s="0" t="s">
        <v>7</v>
      </c>
    </row>
    <row r="39414" customFormat="false" ht="12.8" hidden="false" customHeight="false" outlineLevel="0" collapsed="false">
      <c r="B39414" s="0" t="s">
        <v>1654</v>
      </c>
    </row>
    <row r="39415" customFormat="false" ht="12.8" hidden="false" customHeight="false" outlineLevel="0" collapsed="false">
      <c r="B39415" s="0" t="s">
        <v>124</v>
      </c>
    </row>
    <row r="39417" customFormat="false" ht="12.8" hidden="false" customHeight="false" outlineLevel="0" collapsed="false">
      <c r="A39417" s="0" t="s">
        <v>14261</v>
      </c>
      <c r="B39417" s="0" t="str">
        <f aca="false">HYPERLINK("https://lindat.mff.cuni.cz/services/teitok/pdtc10/index.php?action=vallex&amp;frame=v-w5332f1", "přivlastnit si (v-w5332f1)")</f>
        <v>přivlastnit si (v-w5332f1)</v>
      </c>
    </row>
    <row r="39418" customFormat="false" ht="12.8" hidden="false" customHeight="false" outlineLevel="0" collapsed="false">
      <c r="B39418" s="0" t="s">
        <v>7</v>
      </c>
      <c r="C39418" s="0" t="s">
        <v>335</v>
      </c>
      <c r="D39418" s="0" t="s">
        <v>391</v>
      </c>
      <c r="E39418" s="0" t="s">
        <v>391</v>
      </c>
      <c r="F39418" s="0" t="s">
        <v>391</v>
      </c>
    </row>
    <row r="39419" customFormat="false" ht="12.8" hidden="false" customHeight="false" outlineLevel="0" collapsed="false">
      <c r="B39419" s="0" t="s">
        <v>14</v>
      </c>
      <c r="C39419" s="0" t="s">
        <v>115</v>
      </c>
      <c r="D39419" s="0" t="s">
        <v>1205</v>
      </c>
      <c r="E39419" s="0" t="s">
        <v>1205</v>
      </c>
      <c r="F39419" s="0" t="s">
        <v>1205</v>
      </c>
    </row>
    <row r="39421" customFormat="false" ht="12.8" hidden="false" customHeight="false" outlineLevel="0" collapsed="false">
      <c r="A39421" s="0" t="s">
        <v>14262</v>
      </c>
      <c r="B39421" s="0" t="str">
        <f aca="false">HYPERLINK("https://lindat.mff.cuni.cz/services/teitok/pdtc10/index.php?action=vallex&amp;frame=v-w5333f2_ZU", "přivlastňovat si (v-w5333f2_ZU)")</f>
        <v>přivlastňovat si (v-w5333f2_ZU)</v>
      </c>
    </row>
    <row r="39422" customFormat="false" ht="12.8" hidden="false" customHeight="false" outlineLevel="0" collapsed="false">
      <c r="B39422" s="0" t="s">
        <v>7</v>
      </c>
    </row>
    <row r="39423" customFormat="false" ht="12.8" hidden="false" customHeight="false" outlineLevel="0" collapsed="false">
      <c r="B39423" s="0" t="s">
        <v>14</v>
      </c>
    </row>
    <row r="39425" customFormat="false" ht="12.8" hidden="false" customHeight="false" outlineLevel="0" collapsed="false">
      <c r="A39425" s="0" t="s">
        <v>14262</v>
      </c>
      <c r="B39425" s="0" t="str">
        <f aca="false">HYPERLINK("https://lindat.mff.cuni.cz/services/teitok/pdtc10/index.php?action=vallex&amp;frame=v-w5333f1", "přivlastňovat si (v-w5333f1) - substituted with v-w5333f2_ZU")</f>
        <v>přivlastňovat si (v-w5333f1) - substituted with v-w5333f2_ZU</v>
      </c>
    </row>
    <row r="39426" customFormat="false" ht="12.8" hidden="false" customHeight="false" outlineLevel="0" collapsed="false">
      <c r="B39426" s="0" t="s">
        <v>7</v>
      </c>
    </row>
    <row r="39427" customFormat="false" ht="12.8" hidden="false" customHeight="false" outlineLevel="0" collapsed="false">
      <c r="B39427" s="0" t="s">
        <v>14</v>
      </c>
    </row>
    <row r="39429" customFormat="false" ht="12.8" hidden="false" customHeight="false" outlineLevel="0" collapsed="false">
      <c r="A39429" s="0" t="s">
        <v>14263</v>
      </c>
      <c r="B39429" s="0" t="str">
        <f aca="false">HYPERLINK("https://lindat.mff.cuni.cz/services/teitok/pdtc10/index.php?action=vallex&amp;frame=v-w5335f1", "přivodit (v-w5335f1)")</f>
        <v>přivodit (v-w5335f1)</v>
      </c>
    </row>
    <row r="39430" customFormat="false" ht="12.8" hidden="false" customHeight="false" outlineLevel="0" collapsed="false">
      <c r="B39430" s="0" t="s">
        <v>7</v>
      </c>
      <c r="C39430" s="0" t="s">
        <v>1261</v>
      </c>
      <c r="D39430" s="0" t="s">
        <v>570</v>
      </c>
      <c r="E39430" s="0" t="s">
        <v>570</v>
      </c>
      <c r="F39430" s="0" t="s">
        <v>570</v>
      </c>
    </row>
    <row r="39431" customFormat="false" ht="12.8" hidden="false" customHeight="false" outlineLevel="0" collapsed="false">
      <c r="B39431" s="0" t="s">
        <v>14</v>
      </c>
      <c r="C39431" s="0" t="s">
        <v>14264</v>
      </c>
      <c r="D39431" s="0" t="s">
        <v>5917</v>
      </c>
      <c r="E39431" s="0" t="s">
        <v>5917</v>
      </c>
      <c r="F39431" s="0" t="s">
        <v>5917</v>
      </c>
    </row>
    <row r="39432" customFormat="false" ht="12.8" hidden="false" customHeight="false" outlineLevel="0" collapsed="false">
      <c r="B39432" s="0" t="s">
        <v>48</v>
      </c>
      <c r="C39432" s="0" t="s">
        <v>13911</v>
      </c>
      <c r="D39432" s="0" t="s">
        <v>6418</v>
      </c>
      <c r="E39432" s="0" t="s">
        <v>6418</v>
      </c>
      <c r="F39432" s="0" t="s">
        <v>6418</v>
      </c>
    </row>
    <row r="39434" customFormat="false" ht="12.8" hidden="false" customHeight="false" outlineLevel="0" collapsed="false">
      <c r="A39434" s="0" t="s">
        <v>14265</v>
      </c>
      <c r="B39434" s="0" t="str">
        <f aca="false">HYPERLINK("https://lindat.mff.cuni.cz/services/teitok/pdtc10/index.php?action=vallex&amp;frame=v-w5336f1", "přivolat (v-w5336f1)")</f>
        <v>přivolat (v-w5336f1)</v>
      </c>
    </row>
    <row r="39435" customFormat="false" ht="12.8" hidden="false" customHeight="false" outlineLevel="0" collapsed="false">
      <c r="B39435" s="0" t="s">
        <v>7</v>
      </c>
      <c r="E39435" s="0" t="s">
        <v>14266</v>
      </c>
      <c r="F39435" s="0" t="s">
        <v>14266</v>
      </c>
    </row>
    <row r="39436" customFormat="false" ht="12.8" hidden="false" customHeight="false" outlineLevel="0" collapsed="false">
      <c r="B39436" s="0" t="s">
        <v>14</v>
      </c>
      <c r="E39436" s="0" t="s">
        <v>14267</v>
      </c>
      <c r="F39436" s="0" t="s">
        <v>14267</v>
      </c>
    </row>
    <row r="39438" customFormat="false" ht="12.8" hidden="false" customHeight="false" outlineLevel="0" collapsed="false">
      <c r="A39438" s="0" t="s">
        <v>14268</v>
      </c>
      <c r="B39438" s="0" t="str">
        <f aca="false">HYPERLINK("https://lindat.mff.cuni.cz/services/teitok/pdtc10/index.php?action=vallex&amp;frame=v-w5338f1", "přivolit (v-w5338f1)")</f>
        <v>přivolit (v-w5338f1)</v>
      </c>
    </row>
    <row r="39439" customFormat="false" ht="12.8" hidden="false" customHeight="false" outlineLevel="0" collapsed="false">
      <c r="B39439" s="0" t="s">
        <v>7</v>
      </c>
    </row>
    <row r="39440" customFormat="false" ht="12.8" hidden="false" customHeight="false" outlineLevel="0" collapsed="false">
      <c r="B39440" s="0" t="s">
        <v>268</v>
      </c>
    </row>
    <row r="39442" customFormat="false" ht="12.8" hidden="false" customHeight="false" outlineLevel="0" collapsed="false">
      <c r="A39442" s="0" t="s">
        <v>14269</v>
      </c>
      <c r="B39442" s="0" t="str">
        <f aca="false">HYPERLINK("https://lindat.mff.cuni.cz/services/teitok/pdtc10/index.php?action=vallex&amp;frame=v-w11947_ZUf2_ZU", "přivonět (v-w11947_ZUf2_ZU)")</f>
        <v>přivonět (v-w11947_ZUf2_ZU)</v>
      </c>
    </row>
    <row r="39443" customFormat="false" ht="12.8" hidden="false" customHeight="false" outlineLevel="0" collapsed="false">
      <c r="B39443" s="0" t="s">
        <v>7</v>
      </c>
    </row>
    <row r="39444" customFormat="false" ht="12.8" hidden="false" customHeight="false" outlineLevel="0" collapsed="false">
      <c r="B39444" s="0" t="s">
        <v>237</v>
      </c>
    </row>
    <row r="39446" customFormat="false" ht="12.8" hidden="false" customHeight="false" outlineLevel="0" collapsed="false">
      <c r="A39446" s="0" t="s">
        <v>14269</v>
      </c>
      <c r="B39446" s="0" t="str">
        <f aca="false">HYPERLINK("https://lindat.mff.cuni.cz/services/teitok/pdtc10/index.php?action=vallex&amp;frame=v-w11947_ZUf1_ZU", "přivonět (v-w11947_ZUf1_ZU) - substituted with v-w11947_ZUf2_ZU")</f>
        <v>přivonět (v-w11947_ZUf1_ZU) - substituted with v-w11947_ZUf2_ZU</v>
      </c>
    </row>
    <row r="39447" customFormat="false" ht="12.8" hidden="false" customHeight="false" outlineLevel="0" collapsed="false">
      <c r="B39447" s="0" t="s">
        <v>7</v>
      </c>
    </row>
    <row r="39448" customFormat="false" ht="12.8" hidden="false" customHeight="false" outlineLevel="0" collapsed="false">
      <c r="B39448" s="0" t="s">
        <v>237</v>
      </c>
    </row>
    <row r="39450" customFormat="false" ht="12.8" hidden="false" customHeight="false" outlineLevel="0" collapsed="false">
      <c r="A39450" s="0" t="s">
        <v>14270</v>
      </c>
      <c r="B39450" s="0" t="str">
        <f aca="false">HYPERLINK("https://lindat.mff.cuni.cz/services/teitok/pdtc10/index.php?action=vallex&amp;frame=v-w5340f1", "přivrhnout (v-w5340f1)")</f>
        <v>přivrhnout (v-w5340f1)</v>
      </c>
    </row>
    <row r="39451" customFormat="false" ht="12.8" hidden="false" customHeight="false" outlineLevel="0" collapsed="false">
      <c r="B39451" s="0" t="s">
        <v>7</v>
      </c>
    </row>
    <row r="39452" customFormat="false" ht="12.8" hidden="false" customHeight="false" outlineLevel="0" collapsed="false">
      <c r="B39452" s="0" t="s">
        <v>14</v>
      </c>
    </row>
    <row r="39453" customFormat="false" ht="12.8" hidden="false" customHeight="false" outlineLevel="0" collapsed="false">
      <c r="B39453" s="0" t="s">
        <v>48</v>
      </c>
    </row>
    <row r="39455" customFormat="false" ht="12.8" hidden="false" customHeight="false" outlineLevel="0" collapsed="false">
      <c r="A39455" s="0" t="s">
        <v>14271</v>
      </c>
      <c r="B39455" s="0" t="str">
        <f aca="false">HYPERLINK("https://lindat.mff.cuni.cz/services/teitok/pdtc10/index.php?action=vallex&amp;frame=v-w11715_ZUf1_ZU", "přivydělat (v-w11715_ZUf1_ZU)")</f>
        <v>přivydělat (v-w11715_ZUf1_ZU)</v>
      </c>
    </row>
    <row r="39456" customFormat="false" ht="12.8" hidden="false" customHeight="false" outlineLevel="0" collapsed="false">
      <c r="B39456" s="0" t="s">
        <v>7</v>
      </c>
    </row>
    <row r="39457" customFormat="false" ht="12.8" hidden="false" customHeight="false" outlineLevel="0" collapsed="false">
      <c r="B39457" s="0" t="s">
        <v>14</v>
      </c>
    </row>
    <row r="39458" customFormat="false" ht="12.8" hidden="false" customHeight="false" outlineLevel="0" collapsed="false">
      <c r="B39458" s="0" t="s">
        <v>586</v>
      </c>
    </row>
    <row r="39460" customFormat="false" ht="12.8" hidden="false" customHeight="false" outlineLevel="0" collapsed="false">
      <c r="A39460" s="0" t="s">
        <v>14272</v>
      </c>
      <c r="B39460" s="0" t="str">
        <f aca="false">HYPERLINK("https://lindat.mff.cuni.cz/services/teitok/pdtc10/index.php?action=vallex&amp;frame=v-w5343f1", "přivydělat si (v-w5343f1)")</f>
        <v>přivydělat si (v-w5343f1)</v>
      </c>
    </row>
    <row r="39461" customFormat="false" ht="12.8" hidden="false" customHeight="false" outlineLevel="0" collapsed="false">
      <c r="B39461" s="0" t="s">
        <v>7</v>
      </c>
    </row>
    <row r="39462" customFormat="false" ht="12.8" hidden="false" customHeight="false" outlineLevel="0" collapsed="false">
      <c r="B39462" s="0" t="s">
        <v>14</v>
      </c>
    </row>
    <row r="39463" customFormat="false" ht="12.8" hidden="false" customHeight="false" outlineLevel="0" collapsed="false">
      <c r="B39463" s="0" t="s">
        <v>586</v>
      </c>
    </row>
    <row r="39465" customFormat="false" ht="12.8" hidden="false" customHeight="false" outlineLevel="0" collapsed="false">
      <c r="A39465" s="0" t="s">
        <v>14273</v>
      </c>
      <c r="B39465" s="0" t="str">
        <f aca="false">HYPERLINK("https://lindat.mff.cuni.cz/services/teitok/pdtc10/index.php?action=vallex&amp;frame=v-w12255_ZUf1_ZU", "přivydělávat (v-w12255_ZUf1_ZU)")</f>
        <v>přivydělávat (v-w12255_ZUf1_ZU)</v>
      </c>
    </row>
    <row r="39466" customFormat="false" ht="12.8" hidden="false" customHeight="false" outlineLevel="0" collapsed="false">
      <c r="B39466" s="0" t="s">
        <v>7</v>
      </c>
    </row>
    <row r="39467" customFormat="false" ht="12.8" hidden="false" customHeight="false" outlineLevel="0" collapsed="false">
      <c r="B39467" s="0" t="s">
        <v>14</v>
      </c>
    </row>
    <row r="39469" customFormat="false" ht="12.8" hidden="false" customHeight="false" outlineLevel="0" collapsed="false">
      <c r="A39469" s="0" t="s">
        <v>14274</v>
      </c>
      <c r="B39469" s="0" t="str">
        <f aca="false">HYPERLINK("https://lindat.mff.cuni.cz/services/teitok/pdtc10/index.php?action=vallex&amp;frame=v-w5344f1", "přivydělávat si (v-w5344f1)")</f>
        <v>přivydělávat si (v-w5344f1)</v>
      </c>
    </row>
    <row r="39470" customFormat="false" ht="12.8" hidden="false" customHeight="false" outlineLevel="0" collapsed="false">
      <c r="B39470" s="0" t="s">
        <v>7</v>
      </c>
    </row>
    <row r="39471" customFormat="false" ht="12.8" hidden="false" customHeight="false" outlineLevel="0" collapsed="false">
      <c r="B39471" s="0" t="s">
        <v>14</v>
      </c>
    </row>
    <row r="39472" customFormat="false" ht="12.8" hidden="false" customHeight="false" outlineLevel="0" collapsed="false">
      <c r="B39472" s="0" t="s">
        <v>586</v>
      </c>
    </row>
    <row r="39474" customFormat="false" ht="12.8" hidden="false" customHeight="false" outlineLevel="0" collapsed="false">
      <c r="A39474" s="0" t="s">
        <v>14275</v>
      </c>
      <c r="B39474" s="0" t="str">
        <f aca="false">HYPERLINK("https://lindat.mff.cuni.cz/services/teitok/pdtc10/index.php?action=vallex&amp;frame=v-w5345f1", "přivyknout (v-w5345f1)")</f>
        <v>přivyknout (v-w5345f1)</v>
      </c>
    </row>
    <row r="39475" customFormat="false" ht="12.8" hidden="false" customHeight="false" outlineLevel="0" collapsed="false">
      <c r="B39475" s="0" t="s">
        <v>7</v>
      </c>
      <c r="C39475" s="0" t="s">
        <v>335</v>
      </c>
      <c r="D39475" s="0" t="s">
        <v>14276</v>
      </c>
      <c r="E39475" s="0" t="s">
        <v>14277</v>
      </c>
      <c r="F39475" s="0" t="s">
        <v>14277</v>
      </c>
    </row>
    <row r="39476" customFormat="false" ht="12.8" hidden="false" customHeight="false" outlineLevel="0" collapsed="false">
      <c r="B39476" s="0" t="s">
        <v>14278</v>
      </c>
      <c r="C39476" s="0" t="s">
        <v>3427</v>
      </c>
      <c r="D39476" s="0" t="s">
        <v>14279</v>
      </c>
      <c r="E39476" s="0" t="s">
        <v>14280</v>
      </c>
      <c r="F39476" s="0" t="s">
        <v>14280</v>
      </c>
    </row>
    <row r="39478" customFormat="false" ht="12.8" hidden="false" customHeight="false" outlineLevel="0" collapsed="false">
      <c r="A39478" s="0" t="s">
        <v>14281</v>
      </c>
      <c r="B39478" s="0" t="str">
        <f aca="false">HYPERLINK("https://lindat.mff.cuni.cz/services/teitok/pdtc10/index.php?action=vallex&amp;frame=v-w10096f2", "přivábit (v-w10096f2)")</f>
        <v>přivábit (v-w10096f2)</v>
      </c>
    </row>
    <row r="39479" customFormat="false" ht="12.8" hidden="false" customHeight="false" outlineLevel="0" collapsed="false">
      <c r="B39479" s="0" t="s">
        <v>7</v>
      </c>
    </row>
    <row r="39480" customFormat="false" ht="12.8" hidden="false" customHeight="false" outlineLevel="0" collapsed="false">
      <c r="B39480" s="0" t="s">
        <v>14</v>
      </c>
    </row>
    <row r="39481" customFormat="false" ht="12.8" hidden="false" customHeight="false" outlineLevel="0" collapsed="false">
      <c r="B39481" s="0" t="s">
        <v>124</v>
      </c>
    </row>
    <row r="39483" customFormat="false" ht="12.8" hidden="false" customHeight="false" outlineLevel="0" collapsed="false">
      <c r="A39483" s="0" t="s">
        <v>14282</v>
      </c>
      <c r="B39483" s="0" t="str">
        <f aca="false">HYPERLINK("https://lindat.mff.cuni.cz/services/teitok/pdtc10/index.php?action=vallex&amp;frame=v-w5326f4", "přivádět (v-w5326f4)")</f>
        <v>přivádět (v-w5326f4)</v>
      </c>
    </row>
    <row r="39484" customFormat="false" ht="12.8" hidden="false" customHeight="false" outlineLevel="0" collapsed="false">
      <c r="B39484" s="0" t="s">
        <v>7</v>
      </c>
      <c r="C39484" s="0" t="s">
        <v>3293</v>
      </c>
      <c r="D39484" s="0" t="s">
        <v>2041</v>
      </c>
      <c r="E39484" s="0" t="s">
        <v>2041</v>
      </c>
      <c r="F39484" s="0" t="s">
        <v>2041</v>
      </c>
    </row>
    <row r="39485" customFormat="false" ht="12.8" hidden="false" customHeight="false" outlineLevel="0" collapsed="false">
      <c r="B39485" s="0" t="s">
        <v>9005</v>
      </c>
      <c r="C39485" s="0" t="s">
        <v>14283</v>
      </c>
      <c r="D39485" s="0" t="s">
        <v>2043</v>
      </c>
      <c r="E39485" s="0" t="s">
        <v>2043</v>
      </c>
      <c r="F39485" s="0" t="s">
        <v>2043</v>
      </c>
    </row>
    <row r="39486" customFormat="false" ht="12.8" hidden="false" customHeight="false" outlineLevel="0" collapsed="false">
      <c r="B39486" s="0" t="s">
        <v>81</v>
      </c>
      <c r="C39486" s="0" t="s">
        <v>14284</v>
      </c>
      <c r="D39486" s="0" t="s">
        <v>2045</v>
      </c>
      <c r="E39486" s="0" t="s">
        <v>2045</v>
      </c>
      <c r="F39486" s="0" t="s">
        <v>2045</v>
      </c>
    </row>
    <row r="39488" customFormat="false" ht="12.8" hidden="false" customHeight="false" outlineLevel="0" collapsed="false">
      <c r="A39488" s="0" t="s">
        <v>14285</v>
      </c>
      <c r="B39488" s="0" t="str">
        <f aca="false">HYPERLINK("https://lindat.mff.cuni.cz/services/teitok/pdtc10/index.php?action=vallex&amp;frame=v-w5326f2", "přivádět (v-w5326f2)")</f>
        <v>přivádět (v-w5326f2)</v>
      </c>
    </row>
    <row r="39489" customFormat="false" ht="12.8" hidden="false" customHeight="false" outlineLevel="0" collapsed="false">
      <c r="B39489" s="0" t="s">
        <v>7</v>
      </c>
      <c r="C39489" s="0" t="s">
        <v>3664</v>
      </c>
      <c r="D39489" s="0" t="s">
        <v>2323</v>
      </c>
      <c r="E39489" s="0" t="s">
        <v>2323</v>
      </c>
      <c r="F39489" s="0" t="s">
        <v>2323</v>
      </c>
    </row>
    <row r="39490" customFormat="false" ht="12.8" hidden="false" customHeight="false" outlineLevel="0" collapsed="false">
      <c r="B39490" s="0" t="s">
        <v>14</v>
      </c>
      <c r="C39490" s="0" t="s">
        <v>25</v>
      </c>
      <c r="D39490" s="0" t="s">
        <v>1918</v>
      </c>
      <c r="E39490" s="0" t="s">
        <v>1918</v>
      </c>
      <c r="F39490" s="0" t="s">
        <v>1918</v>
      </c>
    </row>
    <row r="39491" customFormat="false" ht="12.8" hidden="false" customHeight="false" outlineLevel="0" collapsed="false">
      <c r="B39491" s="0" t="s">
        <v>279</v>
      </c>
      <c r="C39491" s="0" t="s">
        <v>14286</v>
      </c>
      <c r="D39491" s="0" t="s">
        <v>2325</v>
      </c>
      <c r="E39491" s="0" t="s">
        <v>2325</v>
      </c>
      <c r="F39491" s="0" t="s">
        <v>2325</v>
      </c>
    </row>
    <row r="39493" customFormat="false" ht="12.8" hidden="false" customHeight="false" outlineLevel="0" collapsed="false">
      <c r="A39493" s="0" t="s">
        <v>14287</v>
      </c>
      <c r="B39493" s="0" t="str">
        <f aca="false">HYPERLINK("https://lindat.mff.cuni.cz/services/teitok/pdtc10/index.php?action=vallex&amp;frame=v-w5326f1", "přivádět (v-w5326f1)")</f>
        <v>přivádět (v-w5326f1)</v>
      </c>
    </row>
    <row r="39494" customFormat="false" ht="12.8" hidden="false" customHeight="false" outlineLevel="0" collapsed="false">
      <c r="B39494" s="0" t="s">
        <v>7</v>
      </c>
      <c r="C39494" s="0" t="s">
        <v>14288</v>
      </c>
      <c r="D39494" s="0" t="s">
        <v>8678</v>
      </c>
      <c r="E39494" s="0" t="s">
        <v>8678</v>
      </c>
      <c r="F39494" s="0" t="s">
        <v>8678</v>
      </c>
    </row>
    <row r="39495" customFormat="false" ht="12.8" hidden="false" customHeight="false" outlineLevel="0" collapsed="false">
      <c r="B39495" s="0" t="s">
        <v>14</v>
      </c>
      <c r="C39495" s="0" t="s">
        <v>14289</v>
      </c>
      <c r="D39495" s="0" t="s">
        <v>8679</v>
      </c>
      <c r="E39495" s="0" t="s">
        <v>8679</v>
      </c>
      <c r="F39495" s="0" t="s">
        <v>8679</v>
      </c>
    </row>
    <row r="39496" customFormat="false" ht="12.8" hidden="false" customHeight="false" outlineLevel="0" collapsed="false">
      <c r="B39496" s="0" t="s">
        <v>124</v>
      </c>
      <c r="D39496" s="0" t="s">
        <v>1761</v>
      </c>
      <c r="E39496" s="0" t="s">
        <v>1761</v>
      </c>
      <c r="F39496" s="0" t="s">
        <v>1761</v>
      </c>
    </row>
    <row r="39498" customFormat="false" ht="12.8" hidden="false" customHeight="false" outlineLevel="0" collapsed="false">
      <c r="A39498" s="0" t="s">
        <v>14290</v>
      </c>
      <c r="B39498" s="0" t="str">
        <f aca="false">HYPERLINK("https://lindat.mff.cuni.cz/services/teitok/pdtc10/index.php?action=vallex&amp;frame=v-w5326f3", "přivádět (v-w5326f3)")</f>
        <v>přivádět (v-w5326f3)</v>
      </c>
    </row>
    <row r="39499" customFormat="false" ht="12.8" hidden="false" customHeight="false" outlineLevel="0" collapsed="false">
      <c r="B39499" s="0" t="s">
        <v>7</v>
      </c>
    </row>
    <row r="39500" customFormat="false" ht="12.8" hidden="false" customHeight="false" outlineLevel="0" collapsed="false">
      <c r="B39500" s="0" t="s">
        <v>13535</v>
      </c>
    </row>
    <row r="39501" customFormat="false" ht="12.8" hidden="false" customHeight="false" outlineLevel="0" collapsed="false">
      <c r="B39501" s="0" t="s">
        <v>14</v>
      </c>
    </row>
    <row r="39503" customFormat="false" ht="12.8" hidden="false" customHeight="false" outlineLevel="0" collapsed="false">
      <c r="A39503" s="0" t="s">
        <v>14291</v>
      </c>
      <c r="B39503" s="0" t="str">
        <f aca="false">HYPERLINK("https://lindat.mff.cuni.cz/services/teitok/pdtc10/index.php?action=vallex&amp;frame=v-w10654f2", "přivázat (v-w10654f2)")</f>
        <v>přivázat (v-w10654f2)</v>
      </c>
    </row>
    <row r="39504" customFormat="false" ht="12.8" hidden="false" customHeight="false" outlineLevel="0" collapsed="false">
      <c r="B39504" s="0" t="s">
        <v>7</v>
      </c>
      <c r="D39504" s="0" t="s">
        <v>113</v>
      </c>
      <c r="E39504" s="0" t="s">
        <v>113</v>
      </c>
      <c r="F39504" s="0" t="s">
        <v>113</v>
      </c>
    </row>
    <row r="39505" customFormat="false" ht="12.8" hidden="false" customHeight="false" outlineLevel="0" collapsed="false">
      <c r="B39505" s="0" t="s">
        <v>14</v>
      </c>
      <c r="D39505" s="0" t="s">
        <v>6903</v>
      </c>
      <c r="E39505" s="0" t="s">
        <v>6903</v>
      </c>
      <c r="F39505" s="0" t="s">
        <v>6903</v>
      </c>
    </row>
    <row r="39507" customFormat="false" ht="12.8" hidden="false" customHeight="false" outlineLevel="0" collapsed="false">
      <c r="A39507" s="0" t="s">
        <v>14292</v>
      </c>
      <c r="B39507" s="0" t="str">
        <f aca="false">HYPERLINK("https://lindat.mff.cuni.cz/services/teitok/pdtc10/index.php?action=vallex&amp;frame=v-w5328f1", "přivážet (v-w5328f1)")</f>
        <v>přivážet (v-w5328f1)</v>
      </c>
    </row>
    <row r="39508" customFormat="false" ht="12.8" hidden="false" customHeight="false" outlineLevel="0" collapsed="false">
      <c r="B39508" s="0" t="s">
        <v>7</v>
      </c>
      <c r="C39508" s="0" t="s">
        <v>108</v>
      </c>
      <c r="D39508" s="0" t="s">
        <v>1758</v>
      </c>
      <c r="E39508" s="0" t="s">
        <v>1758</v>
      </c>
      <c r="F39508" s="0" t="s">
        <v>1758</v>
      </c>
    </row>
    <row r="39509" customFormat="false" ht="12.8" hidden="false" customHeight="false" outlineLevel="0" collapsed="false">
      <c r="B39509" s="0" t="s">
        <v>14</v>
      </c>
      <c r="C39509" s="0" t="s">
        <v>152</v>
      </c>
      <c r="D39509" s="0" t="s">
        <v>1760</v>
      </c>
      <c r="E39509" s="0" t="s">
        <v>1760</v>
      </c>
      <c r="F39509" s="0" t="s">
        <v>1760</v>
      </c>
    </row>
    <row r="39510" customFormat="false" ht="12.8" hidden="false" customHeight="false" outlineLevel="0" collapsed="false">
      <c r="B39510" s="0" t="s">
        <v>124</v>
      </c>
      <c r="D39510" s="0" t="s">
        <v>1761</v>
      </c>
      <c r="E39510" s="0" t="s">
        <v>1761</v>
      </c>
      <c r="F39510" s="0" t="s">
        <v>1761</v>
      </c>
    </row>
    <row r="39512" customFormat="false" ht="12.8" hidden="false" customHeight="false" outlineLevel="0" collapsed="false">
      <c r="A39512" s="0" t="s">
        <v>14293</v>
      </c>
      <c r="B39512" s="0" t="str">
        <f aca="false">HYPERLINK("https://lindat.mff.cuni.cz/services/teitok/pdtc10/index.php?action=vallex&amp;frame=v-w5329f3", "přivést (v-w5329f3)")</f>
        <v>přivést (v-w5329f3)</v>
      </c>
    </row>
    <row r="39513" customFormat="false" ht="12.8" hidden="false" customHeight="false" outlineLevel="0" collapsed="false">
      <c r="B39513" s="0" t="s">
        <v>7</v>
      </c>
      <c r="C39513" s="0" t="s">
        <v>2583</v>
      </c>
      <c r="D39513" s="0" t="s">
        <v>2041</v>
      </c>
      <c r="E39513" s="0" t="s">
        <v>2041</v>
      </c>
      <c r="F39513" s="0" t="s">
        <v>2041</v>
      </c>
    </row>
    <row r="39514" customFormat="false" ht="12.8" hidden="false" customHeight="false" outlineLevel="0" collapsed="false">
      <c r="B39514" s="0" t="s">
        <v>9005</v>
      </c>
      <c r="C39514" s="0" t="s">
        <v>14294</v>
      </c>
      <c r="D39514" s="0" t="s">
        <v>2043</v>
      </c>
      <c r="E39514" s="0" t="s">
        <v>2043</v>
      </c>
      <c r="F39514" s="0" t="s">
        <v>2043</v>
      </c>
    </row>
    <row r="39515" customFormat="false" ht="12.8" hidden="false" customHeight="false" outlineLevel="0" collapsed="false">
      <c r="B39515" s="0" t="s">
        <v>81</v>
      </c>
      <c r="C39515" s="0" t="s">
        <v>14295</v>
      </c>
      <c r="D39515" s="0" t="s">
        <v>2045</v>
      </c>
      <c r="E39515" s="0" t="s">
        <v>2045</v>
      </c>
      <c r="F39515" s="0" t="s">
        <v>2045</v>
      </c>
    </row>
    <row r="39517" customFormat="false" ht="12.8" hidden="false" customHeight="false" outlineLevel="0" collapsed="false">
      <c r="A39517" s="0" t="s">
        <v>14296</v>
      </c>
      <c r="B39517" s="0" t="str">
        <f aca="false">HYPERLINK("https://lindat.mff.cuni.cz/services/teitok/pdtc10/index.php?action=vallex&amp;frame=v-w5329f6_ZU", "přivést (v-w5329f6_ZU)")</f>
        <v>přivést (v-w5329f6_ZU)</v>
      </c>
    </row>
    <row r="39518" customFormat="false" ht="12.8" hidden="false" customHeight="false" outlineLevel="0" collapsed="false">
      <c r="B39518" s="0" t="s">
        <v>7</v>
      </c>
      <c r="C39518" s="0" t="s">
        <v>14297</v>
      </c>
      <c r="D39518" s="0" t="s">
        <v>2323</v>
      </c>
      <c r="E39518" s="0" t="s">
        <v>2323</v>
      </c>
      <c r="F39518" s="0" t="s">
        <v>2323</v>
      </c>
    </row>
    <row r="39519" customFormat="false" ht="12.8" hidden="false" customHeight="false" outlineLevel="0" collapsed="false">
      <c r="B39519" s="0" t="s">
        <v>14</v>
      </c>
      <c r="C39519" s="0" t="s">
        <v>14298</v>
      </c>
      <c r="D39519" s="0" t="s">
        <v>1918</v>
      </c>
      <c r="E39519" s="0" t="s">
        <v>1918</v>
      </c>
      <c r="F39519" s="0" t="s">
        <v>1918</v>
      </c>
    </row>
    <row r="39520" customFormat="false" ht="12.8" hidden="false" customHeight="false" outlineLevel="0" collapsed="false">
      <c r="B39520" s="0" t="s">
        <v>279</v>
      </c>
      <c r="C39520" s="0" t="s">
        <v>14299</v>
      </c>
      <c r="D39520" s="0" t="s">
        <v>2325</v>
      </c>
      <c r="E39520" s="0" t="s">
        <v>2325</v>
      </c>
      <c r="F39520" s="0" t="s">
        <v>2325</v>
      </c>
    </row>
    <row r="39522" customFormat="false" ht="12.8" hidden="false" customHeight="false" outlineLevel="0" collapsed="false">
      <c r="A39522" s="0" t="s">
        <v>14296</v>
      </c>
      <c r="B39522" s="0" t="str">
        <f aca="false">HYPERLINK("https://lindat.mff.cuni.cz/services/teitok/pdtc10/index.php?action=vallex&amp;frame=v-w5329f1", "přivést (v-w5329f1) - substituted with v-w5329f6_ZU")</f>
        <v>přivést (v-w5329f1) - substituted with v-w5329f6_ZU</v>
      </c>
    </row>
    <row r="39523" customFormat="false" ht="12.8" hidden="false" customHeight="false" outlineLevel="0" collapsed="false">
      <c r="B39523" s="0" t="s">
        <v>7</v>
      </c>
      <c r="C39523" s="0" t="s">
        <v>14300</v>
      </c>
    </row>
    <row r="39524" customFormat="false" ht="12.8" hidden="false" customHeight="false" outlineLevel="0" collapsed="false">
      <c r="B39524" s="0" t="s">
        <v>14</v>
      </c>
      <c r="C39524" s="0" t="s">
        <v>1388</v>
      </c>
    </row>
    <row r="39525" customFormat="false" ht="12.8" hidden="false" customHeight="false" outlineLevel="0" collapsed="false">
      <c r="B39525" s="0" t="s">
        <v>279</v>
      </c>
      <c r="C39525" s="0" t="s">
        <v>14301</v>
      </c>
    </row>
    <row r="39527" customFormat="false" ht="12.8" hidden="false" customHeight="false" outlineLevel="0" collapsed="false">
      <c r="A39527" s="0" t="s">
        <v>14302</v>
      </c>
      <c r="B39527" s="0" t="str">
        <f aca="false">HYPERLINK("https://lindat.mff.cuni.cz/services/teitok/pdtc10/index.php?action=vallex&amp;frame=v-w5329f2", "přivést (v-w5329f2)")</f>
        <v>přivést (v-w5329f2)</v>
      </c>
    </row>
    <row r="39528" customFormat="false" ht="12.8" hidden="false" customHeight="false" outlineLevel="0" collapsed="false">
      <c r="B39528" s="0" t="s">
        <v>7</v>
      </c>
      <c r="C39528" s="0" t="s">
        <v>10044</v>
      </c>
      <c r="D39528" s="0" t="s">
        <v>2220</v>
      </c>
      <c r="E39528" s="0" t="s">
        <v>2220</v>
      </c>
      <c r="F39528" s="0" t="s">
        <v>2220</v>
      </c>
    </row>
    <row r="39529" customFormat="false" ht="12.8" hidden="false" customHeight="false" outlineLevel="0" collapsed="false">
      <c r="B39529" s="0" t="s">
        <v>14</v>
      </c>
      <c r="C39529" s="0" t="s">
        <v>14303</v>
      </c>
      <c r="D39529" s="0" t="s">
        <v>2222</v>
      </c>
      <c r="E39529" s="0" t="s">
        <v>2222</v>
      </c>
      <c r="F39529" s="0" t="s">
        <v>2222</v>
      </c>
    </row>
    <row r="39530" customFormat="false" ht="12.8" hidden="false" customHeight="false" outlineLevel="0" collapsed="false">
      <c r="B39530" s="0" t="s">
        <v>124</v>
      </c>
      <c r="C39530" s="0" t="s">
        <v>14304</v>
      </c>
      <c r="D39530" s="0" t="s">
        <v>2224</v>
      </c>
      <c r="E39530" s="0" t="s">
        <v>2224</v>
      </c>
      <c r="F39530" s="0" t="s">
        <v>2224</v>
      </c>
    </row>
    <row r="39532" customFormat="false" ht="12.8" hidden="false" customHeight="false" outlineLevel="0" collapsed="false">
      <c r="A39532" s="0" t="s">
        <v>14305</v>
      </c>
      <c r="B39532" s="0" t="str">
        <f aca="false">HYPERLINK("https://lindat.mff.cuni.cz/services/teitok/pdtc10/index.php?action=vallex&amp;frame=v-w5329f4", "přivést (v-w5329f4)")</f>
        <v>přivést (v-w5329f4)</v>
      </c>
    </row>
    <row r="39533" customFormat="false" ht="12.8" hidden="false" customHeight="false" outlineLevel="0" collapsed="false">
      <c r="B39533" s="0" t="s">
        <v>7</v>
      </c>
    </row>
    <row r="39534" customFormat="false" ht="12.8" hidden="false" customHeight="false" outlineLevel="0" collapsed="false">
      <c r="B39534" s="0" t="s">
        <v>13535</v>
      </c>
    </row>
    <row r="39535" customFormat="false" ht="12.8" hidden="false" customHeight="false" outlineLevel="0" collapsed="false">
      <c r="B39535" s="0" t="s">
        <v>14</v>
      </c>
    </row>
    <row r="39537" customFormat="false" ht="12.8" hidden="false" customHeight="false" outlineLevel="0" collapsed="false">
      <c r="A39537" s="0" t="s">
        <v>14306</v>
      </c>
      <c r="B39537" s="0" t="str">
        <f aca="false">HYPERLINK("https://lindat.mff.cuni.cz/services/teitok/pdtc10/index.php?action=vallex&amp;frame=v-w5329f5", "přivést (v-w5329f5)")</f>
        <v>přivést (v-w5329f5)</v>
      </c>
    </row>
    <row r="39538" customFormat="false" ht="12.8" hidden="false" customHeight="false" outlineLevel="0" collapsed="false">
      <c r="B39538" s="0" t="s">
        <v>7</v>
      </c>
    </row>
    <row r="39539" customFormat="false" ht="12.8" hidden="false" customHeight="false" outlineLevel="0" collapsed="false">
      <c r="B39539" s="0" t="s">
        <v>4518</v>
      </c>
    </row>
    <row r="39540" customFormat="false" ht="12.8" hidden="false" customHeight="false" outlineLevel="0" collapsed="false">
      <c r="B39540" s="0" t="s">
        <v>14</v>
      </c>
    </row>
    <row r="39542" customFormat="false" ht="12.8" hidden="false" customHeight="false" outlineLevel="0" collapsed="false">
      <c r="A39542" s="0" t="s">
        <v>14307</v>
      </c>
      <c r="B39542" s="0" t="str">
        <f aca="false">HYPERLINK("https://lindat.mff.cuni.cz/services/teitok/pdtc10/index.php?action=vallex&amp;frame=v-w5329f7_ZU", "přivést (v-w5329f7_ZU)")</f>
        <v>přivést (v-w5329f7_ZU)</v>
      </c>
    </row>
    <row r="39543" customFormat="false" ht="12.8" hidden="false" customHeight="false" outlineLevel="0" collapsed="false">
      <c r="B39543" s="0" t="s">
        <v>7</v>
      </c>
    </row>
    <row r="39544" customFormat="false" ht="12.8" hidden="false" customHeight="false" outlineLevel="0" collapsed="false">
      <c r="B39544" s="0" t="s">
        <v>14</v>
      </c>
    </row>
    <row r="39545" customFormat="false" ht="12.8" hidden="false" customHeight="false" outlineLevel="0" collapsed="false">
      <c r="B39545" s="0" t="s">
        <v>124</v>
      </c>
    </row>
    <row r="39547" customFormat="false" ht="12.8" hidden="false" customHeight="false" outlineLevel="0" collapsed="false">
      <c r="A39547" s="0" t="s">
        <v>14308</v>
      </c>
      <c r="B39547" s="0" t="str">
        <f aca="false">HYPERLINK("https://lindat.mff.cuni.cz/services/teitok/pdtc10/index.php?action=vallex&amp;frame=v-w5329f8_ZU", "přivést (v-w5329f8_ZU)")</f>
        <v>přivést (v-w5329f8_ZU)</v>
      </c>
    </row>
    <row r="39548" customFormat="false" ht="12.8" hidden="false" customHeight="false" outlineLevel="0" collapsed="false">
      <c r="B39548" s="0" t="s">
        <v>7</v>
      </c>
    </row>
    <row r="39549" customFormat="false" ht="12.8" hidden="false" customHeight="false" outlineLevel="0" collapsed="false">
      <c r="B39549" s="0" t="s">
        <v>14</v>
      </c>
    </row>
    <row r="39550" customFormat="false" ht="12.8" hidden="false" customHeight="false" outlineLevel="0" collapsed="false">
      <c r="B39550" s="0" t="s">
        <v>14309</v>
      </c>
    </row>
    <row r="39552" customFormat="false" ht="12.8" hidden="false" customHeight="false" outlineLevel="0" collapsed="false">
      <c r="A39552" s="0" t="s">
        <v>14310</v>
      </c>
      <c r="B39552" s="0" t="str">
        <f aca="false">HYPERLINK("https://lindat.mff.cuni.cz/services/teitok/pdtc10/index.php?action=vallex&amp;frame=v-w5329f10_MM", "přivést (v-w5329f10_MM)")</f>
        <v>přivést (v-w5329f10_MM)</v>
      </c>
    </row>
    <row r="39553" customFormat="false" ht="12.8" hidden="false" customHeight="false" outlineLevel="0" collapsed="false">
      <c r="B39553" s="0" t="s">
        <v>7</v>
      </c>
    </row>
    <row r="39554" customFormat="false" ht="12.8" hidden="false" customHeight="false" outlineLevel="0" collapsed="false">
      <c r="B39554" s="0" t="s">
        <v>14</v>
      </c>
    </row>
    <row r="39555" customFormat="false" ht="12.8" hidden="false" customHeight="false" outlineLevel="0" collapsed="false">
      <c r="B39555" s="0" t="s">
        <v>338</v>
      </c>
    </row>
    <row r="39557" customFormat="false" ht="12.8" hidden="false" customHeight="false" outlineLevel="0" collapsed="false">
      <c r="A39557" s="0" t="s">
        <v>14310</v>
      </c>
      <c r="B39557" s="0" t="str">
        <f aca="false">HYPERLINK("https://lindat.mff.cuni.cz/services/teitok/pdtc10/index.php?action=vallex&amp;frame=v-w5329f9_ZU", "přivést (v-w5329f9_ZU) - substituted with v-w5329f10_MM")</f>
        <v>přivést (v-w5329f9_ZU) - substituted with v-w5329f10_MM</v>
      </c>
    </row>
    <row r="39558" customFormat="false" ht="12.8" hidden="false" customHeight="false" outlineLevel="0" collapsed="false">
      <c r="B39558" s="0" t="s">
        <v>7</v>
      </c>
    </row>
    <row r="39559" customFormat="false" ht="12.8" hidden="false" customHeight="false" outlineLevel="0" collapsed="false">
      <c r="B39559" s="0" t="s">
        <v>14</v>
      </c>
    </row>
    <row r="39560" customFormat="false" ht="12.8" hidden="false" customHeight="false" outlineLevel="0" collapsed="false">
      <c r="B39560" s="0" t="s">
        <v>338</v>
      </c>
    </row>
    <row r="39562" customFormat="false" ht="12.8" hidden="false" customHeight="false" outlineLevel="0" collapsed="false">
      <c r="A39562" s="0" t="s">
        <v>14311</v>
      </c>
      <c r="B39562" s="0" t="str">
        <f aca="false">HYPERLINK("https://lindat.mff.cuni.cz/services/teitok/pdtc10/index.php?action=vallex&amp;frame=v-w5330f2", "přivézt (v-w5330f2)")</f>
        <v>přivézt (v-w5330f2)</v>
      </c>
    </row>
    <row r="39563" customFormat="false" ht="12.8" hidden="false" customHeight="false" outlineLevel="0" collapsed="false">
      <c r="B39563" s="0" t="s">
        <v>7</v>
      </c>
      <c r="C39563" s="0" t="s">
        <v>1509</v>
      </c>
      <c r="D39563" s="0" t="s">
        <v>1758</v>
      </c>
      <c r="E39563" s="0" t="s">
        <v>1758</v>
      </c>
      <c r="F39563" s="0" t="s">
        <v>1758</v>
      </c>
    </row>
    <row r="39564" customFormat="false" ht="12.8" hidden="false" customHeight="false" outlineLevel="0" collapsed="false">
      <c r="B39564" s="0" t="s">
        <v>14</v>
      </c>
      <c r="C39564" s="0" t="s">
        <v>14312</v>
      </c>
      <c r="D39564" s="0" t="s">
        <v>1760</v>
      </c>
      <c r="E39564" s="0" t="s">
        <v>1760</v>
      </c>
      <c r="F39564" s="0" t="s">
        <v>1760</v>
      </c>
    </row>
    <row r="39565" customFormat="false" ht="12.8" hidden="false" customHeight="false" outlineLevel="0" collapsed="false">
      <c r="B39565" s="0" t="s">
        <v>3012</v>
      </c>
      <c r="D39565" s="0" t="s">
        <v>1851</v>
      </c>
      <c r="E39565" s="0" t="s">
        <v>1851</v>
      </c>
      <c r="F39565" s="0" t="s">
        <v>1851</v>
      </c>
    </row>
    <row r="39567" customFormat="false" ht="12.8" hidden="false" customHeight="false" outlineLevel="0" collapsed="false">
      <c r="A39567" s="0" t="s">
        <v>14313</v>
      </c>
      <c r="B39567" s="0" t="str">
        <f aca="false">HYPERLINK("https://lindat.mff.cuni.cz/services/teitok/pdtc10/index.php?action=vallex&amp;frame=v-w5330f1", "přivézt (v-w5330f1)")</f>
        <v>přivézt (v-w5330f1)</v>
      </c>
    </row>
    <row r="39568" customFormat="false" ht="12.8" hidden="false" customHeight="false" outlineLevel="0" collapsed="false">
      <c r="B39568" s="0" t="s">
        <v>7</v>
      </c>
      <c r="C39568" s="0" t="s">
        <v>9491</v>
      </c>
      <c r="D39568" s="0" t="s">
        <v>2220</v>
      </c>
      <c r="E39568" s="0" t="s">
        <v>2220</v>
      </c>
      <c r="F39568" s="0" t="s">
        <v>2220</v>
      </c>
    </row>
    <row r="39569" customFormat="false" ht="12.8" hidden="false" customHeight="false" outlineLevel="0" collapsed="false">
      <c r="B39569" s="0" t="s">
        <v>14</v>
      </c>
      <c r="C39569" s="0" t="s">
        <v>14314</v>
      </c>
      <c r="D39569" s="0" t="s">
        <v>2222</v>
      </c>
      <c r="E39569" s="0" t="s">
        <v>2222</v>
      </c>
      <c r="F39569" s="0" t="s">
        <v>2222</v>
      </c>
    </row>
    <row r="39570" customFormat="false" ht="12.8" hidden="false" customHeight="false" outlineLevel="0" collapsed="false">
      <c r="B39570" s="0" t="s">
        <v>124</v>
      </c>
      <c r="D39570" s="0" t="s">
        <v>2224</v>
      </c>
      <c r="E39570" s="0" t="s">
        <v>2224</v>
      </c>
      <c r="F39570" s="0" t="s">
        <v>2224</v>
      </c>
    </row>
    <row r="39572" customFormat="false" ht="12.8" hidden="false" customHeight="false" outlineLevel="0" collapsed="false">
      <c r="A39572" s="0" t="s">
        <v>14315</v>
      </c>
      <c r="B39572" s="0" t="str">
        <f aca="false">HYPERLINK("https://lindat.mff.cuni.cz/services/teitok/pdtc10/index.php?action=vallex&amp;frame=v-w5331f2", "přivítat (v-w5331f2)")</f>
        <v>přivítat (v-w5331f2)</v>
      </c>
    </row>
    <row r="39573" customFormat="false" ht="12.8" hidden="false" customHeight="false" outlineLevel="0" collapsed="false">
      <c r="B39573" s="0" t="s">
        <v>7</v>
      </c>
      <c r="C39573" s="0" t="s">
        <v>309</v>
      </c>
      <c r="D39573" s="0" t="s">
        <v>118</v>
      </c>
      <c r="E39573" s="0" t="s">
        <v>118</v>
      </c>
      <c r="F39573" s="0" t="s">
        <v>118</v>
      </c>
    </row>
    <row r="39574" customFormat="false" ht="12.8" hidden="false" customHeight="false" outlineLevel="0" collapsed="false">
      <c r="B39574" s="0" t="s">
        <v>14316</v>
      </c>
      <c r="C39574" s="0" t="s">
        <v>393</v>
      </c>
      <c r="D39574" s="0" t="s">
        <v>120</v>
      </c>
      <c r="E39574" s="0" t="s">
        <v>120</v>
      </c>
      <c r="F39574" s="0" t="s">
        <v>120</v>
      </c>
    </row>
    <row r="39576" customFormat="false" ht="12.8" hidden="false" customHeight="false" outlineLevel="0" collapsed="false">
      <c r="A39576" s="0" t="s">
        <v>14317</v>
      </c>
      <c r="B39576" s="0" t="str">
        <f aca="false">HYPERLINK("https://lindat.mff.cuni.cz/services/teitok/pdtc10/index.php?action=vallex&amp;frame=v-w5331f1", "přivítat (v-w5331f1)")</f>
        <v>přivítat (v-w5331f1)</v>
      </c>
    </row>
    <row r="39577" customFormat="false" ht="12.8" hidden="false" customHeight="false" outlineLevel="0" collapsed="false">
      <c r="B39577" s="0" t="s">
        <v>7</v>
      </c>
      <c r="C39577" s="0" t="s">
        <v>1263</v>
      </c>
      <c r="D39577" s="0" t="s">
        <v>1874</v>
      </c>
      <c r="E39577" s="0" t="s">
        <v>1874</v>
      </c>
      <c r="F39577" s="0" t="s">
        <v>1874</v>
      </c>
    </row>
    <row r="39578" customFormat="false" ht="12.8" hidden="false" customHeight="false" outlineLevel="0" collapsed="false">
      <c r="B39578" s="0" t="s">
        <v>14</v>
      </c>
      <c r="C39578" s="0" t="s">
        <v>5444</v>
      </c>
      <c r="D39578" s="0" t="s">
        <v>2641</v>
      </c>
      <c r="E39578" s="0" t="s">
        <v>2641</v>
      </c>
      <c r="F39578" s="0" t="s">
        <v>2641</v>
      </c>
    </row>
    <row r="39580" customFormat="false" ht="12.8" hidden="false" customHeight="false" outlineLevel="0" collapsed="false">
      <c r="A39580" s="0" t="s">
        <v>14318</v>
      </c>
      <c r="B39580" s="0" t="str">
        <f aca="false">HYPERLINK("https://lindat.mff.cuni.cz/services/teitok/pdtc10/index.php?action=vallex&amp;frame=v-w5342f1", "přivřít (v-w5342f1)")</f>
        <v>přivřít (v-w5342f1)</v>
      </c>
    </row>
    <row r="39581" customFormat="false" ht="12.8" hidden="false" customHeight="false" outlineLevel="0" collapsed="false">
      <c r="B39581" s="0" t="s">
        <v>7</v>
      </c>
    </row>
    <row r="39582" customFormat="false" ht="12.8" hidden="false" customHeight="false" outlineLevel="0" collapsed="false">
      <c r="B39582" s="0" t="s">
        <v>14</v>
      </c>
    </row>
    <row r="39584" customFormat="false" ht="12.8" hidden="false" customHeight="false" outlineLevel="0" collapsed="false">
      <c r="A39584" s="0" t="s">
        <v>14319</v>
      </c>
      <c r="B39584" s="0" t="str">
        <f aca="false">HYPERLINK("https://lindat.mff.cuni.cz/services/teitok/pdtc10/index.php?action=vallex&amp;frame=v-w5342f2", "přivřít (v-w5342f2)")</f>
        <v>přivřít (v-w5342f2)</v>
      </c>
    </row>
    <row r="39585" customFormat="false" ht="12.8" hidden="false" customHeight="false" outlineLevel="0" collapsed="false">
      <c r="B39585" s="0" t="s">
        <v>7</v>
      </c>
    </row>
    <row r="39586" customFormat="false" ht="12.8" hidden="false" customHeight="false" outlineLevel="0" collapsed="false">
      <c r="B39586" s="0" t="s">
        <v>14</v>
      </c>
      <c r="C39586" s="0" t="s">
        <v>466</v>
      </c>
    </row>
    <row r="39588" customFormat="false" ht="12.8" hidden="false" customHeight="false" outlineLevel="0" collapsed="false">
      <c r="A39588" s="0" t="s">
        <v>14320</v>
      </c>
      <c r="B39588" s="0" t="str">
        <f aca="false">HYPERLINK("https://lindat.mff.cuni.cz/services/teitok/pdtc10/index.php?action=vallex&amp;frame=v-w5346f1", "přizdobit (v-w5346f1)")</f>
        <v>přizdobit (v-w5346f1)</v>
      </c>
    </row>
    <row r="39589" customFormat="false" ht="12.8" hidden="false" customHeight="false" outlineLevel="0" collapsed="false">
      <c r="B39589" s="0" t="s">
        <v>7</v>
      </c>
      <c r="D39589" s="0" t="s">
        <v>569</v>
      </c>
      <c r="E39589" s="0" t="s">
        <v>569</v>
      </c>
      <c r="F39589" s="0" t="s">
        <v>569</v>
      </c>
    </row>
    <row r="39590" customFormat="false" ht="12.8" hidden="false" customHeight="false" outlineLevel="0" collapsed="false">
      <c r="B39590" s="0" t="s">
        <v>14</v>
      </c>
      <c r="D39590" s="0" t="s">
        <v>461</v>
      </c>
      <c r="E39590" s="0" t="s">
        <v>461</v>
      </c>
      <c r="F39590" s="0" t="s">
        <v>461</v>
      </c>
    </row>
    <row r="39592" customFormat="false" ht="12.8" hidden="false" customHeight="false" outlineLevel="0" collapsed="false">
      <c r="A39592" s="0" t="s">
        <v>14321</v>
      </c>
      <c r="B39592" s="0" t="str">
        <f aca="false">HYPERLINK("https://lindat.mff.cuni.cz/services/teitok/pdtc10/index.php?action=vallex&amp;frame=v-w5352f2", "přiznat (v-w5352f2)")</f>
        <v>přiznat (v-w5352f2)</v>
      </c>
    </row>
    <row r="39593" customFormat="false" ht="12.8" hidden="false" customHeight="false" outlineLevel="0" collapsed="false">
      <c r="B39593" s="0" t="s">
        <v>7</v>
      </c>
      <c r="C39593" s="0" t="s">
        <v>14005</v>
      </c>
      <c r="D39593" s="0" t="s">
        <v>158</v>
      </c>
      <c r="E39593" s="0" t="s">
        <v>158</v>
      </c>
      <c r="F39593" s="0" t="s">
        <v>158</v>
      </c>
    </row>
    <row r="39594" customFormat="false" ht="12.8" hidden="false" customHeight="false" outlineLevel="0" collapsed="false">
      <c r="B39594" s="0" t="s">
        <v>14</v>
      </c>
      <c r="C39594" s="0" t="s">
        <v>14322</v>
      </c>
      <c r="D39594" s="0" t="s">
        <v>160</v>
      </c>
      <c r="E39594" s="0" t="s">
        <v>160</v>
      </c>
      <c r="F39594" s="0" t="s">
        <v>160</v>
      </c>
    </row>
    <row r="39595" customFormat="false" ht="12.8" hidden="false" customHeight="false" outlineLevel="0" collapsed="false">
      <c r="B39595" s="0" t="s">
        <v>48</v>
      </c>
      <c r="C39595" s="0" t="s">
        <v>14323</v>
      </c>
      <c r="D39595" s="0" t="s">
        <v>1843</v>
      </c>
      <c r="E39595" s="0" t="s">
        <v>1843</v>
      </c>
      <c r="F39595" s="0" t="s">
        <v>1843</v>
      </c>
    </row>
    <row r="39597" customFormat="false" ht="12.8" hidden="false" customHeight="false" outlineLevel="0" collapsed="false">
      <c r="A39597" s="0" t="s">
        <v>14324</v>
      </c>
      <c r="B39597" s="0" t="str">
        <f aca="false">HYPERLINK("https://lindat.mff.cuni.cz/services/teitok/pdtc10/index.php?action=vallex&amp;frame=v-w5352f1", "přiznat (v-w5352f1)")</f>
        <v>přiznat (v-w5352f1)</v>
      </c>
    </row>
    <row r="39598" customFormat="false" ht="12.8" hidden="false" customHeight="false" outlineLevel="0" collapsed="false">
      <c r="B39598" s="0" t="s">
        <v>7</v>
      </c>
      <c r="C39598" s="0" t="s">
        <v>14325</v>
      </c>
      <c r="D39598" s="0" t="s">
        <v>2534</v>
      </c>
      <c r="E39598" s="0" t="s">
        <v>2696</v>
      </c>
      <c r="F39598" s="0" t="s">
        <v>2696</v>
      </c>
    </row>
    <row r="39599" customFormat="false" ht="12.8" hidden="false" customHeight="false" outlineLevel="0" collapsed="false">
      <c r="B39599" s="0" t="s">
        <v>14326</v>
      </c>
      <c r="C39599" s="0" t="s">
        <v>14327</v>
      </c>
      <c r="D39599" s="0" t="s">
        <v>2699</v>
      </c>
      <c r="E39599" s="0" t="s">
        <v>2700</v>
      </c>
      <c r="F39599" s="0" t="s">
        <v>2700</v>
      </c>
    </row>
    <row r="39600" customFormat="false" ht="12.8" hidden="false" customHeight="false" outlineLevel="0" collapsed="false">
      <c r="B39600" s="0" t="s">
        <v>106</v>
      </c>
      <c r="C39600" s="0" t="s">
        <v>14328</v>
      </c>
      <c r="D39600" s="0" t="s">
        <v>1843</v>
      </c>
      <c r="E39600" s="0" t="s">
        <v>1843</v>
      </c>
      <c r="F39600" s="0" t="s">
        <v>1843</v>
      </c>
    </row>
    <row r="39602" customFormat="false" ht="12.8" hidden="false" customHeight="false" outlineLevel="0" collapsed="false">
      <c r="A39602" s="0" t="s">
        <v>14329</v>
      </c>
      <c r="B39602" s="0" t="str">
        <f aca="false">HYPERLINK("https://lindat.mff.cuni.cz/services/teitok/pdtc10/index.php?action=vallex&amp;frame=v-w5353f2_ZU", "přiznat se (v-w5353f2_ZU)")</f>
        <v>přiznat se (v-w5353f2_ZU)</v>
      </c>
    </row>
    <row r="39603" customFormat="false" ht="12.8" hidden="false" customHeight="false" outlineLevel="0" collapsed="false">
      <c r="B39603" s="0" t="s">
        <v>7</v>
      </c>
    </row>
    <row r="39604" customFormat="false" ht="12.8" hidden="false" customHeight="false" outlineLevel="0" collapsed="false">
      <c r="B39604" s="0" t="s">
        <v>14330</v>
      </c>
    </row>
    <row r="39605" customFormat="false" ht="12.8" hidden="false" customHeight="false" outlineLevel="0" collapsed="false">
      <c r="B39605" s="0" t="s">
        <v>106</v>
      </c>
    </row>
    <row r="39607" customFormat="false" ht="12.8" hidden="false" customHeight="false" outlineLevel="0" collapsed="false">
      <c r="A39607" s="0" t="s">
        <v>14329</v>
      </c>
      <c r="B39607" s="0" t="str">
        <f aca="false">HYPERLINK("https://lindat.mff.cuni.cz/services/teitok/pdtc10/index.php?action=vallex&amp;frame=v-w5353f1", "přiznat se (v-w5353f1) - substituted with v-w5353f2_ZU")</f>
        <v>přiznat se (v-w5353f1) - substituted with v-w5353f2_ZU</v>
      </c>
    </row>
    <row r="39608" customFormat="false" ht="12.8" hidden="false" customHeight="false" outlineLevel="0" collapsed="false">
      <c r="B39608" s="0" t="s">
        <v>7</v>
      </c>
      <c r="C39608" s="0" t="s">
        <v>1184</v>
      </c>
      <c r="D39608" s="0" t="s">
        <v>2534</v>
      </c>
      <c r="E39608" s="0" t="s">
        <v>2696</v>
      </c>
      <c r="F39608" s="0" t="s">
        <v>2696</v>
      </c>
    </row>
    <row r="39609" customFormat="false" ht="12.8" hidden="false" customHeight="false" outlineLevel="0" collapsed="false">
      <c r="B39609" s="0" t="s">
        <v>14330</v>
      </c>
      <c r="C39609" s="0" t="s">
        <v>14331</v>
      </c>
      <c r="D39609" s="0" t="s">
        <v>2699</v>
      </c>
      <c r="E39609" s="0" t="s">
        <v>2700</v>
      </c>
      <c r="F39609" s="0" t="s">
        <v>2700</v>
      </c>
    </row>
    <row r="39610" customFormat="false" ht="12.8" hidden="false" customHeight="false" outlineLevel="0" collapsed="false">
      <c r="B39610" s="0" t="s">
        <v>106</v>
      </c>
      <c r="D39610" s="0" t="s">
        <v>1843</v>
      </c>
      <c r="E39610" s="0" t="s">
        <v>1843</v>
      </c>
      <c r="F39610" s="0" t="s">
        <v>1843</v>
      </c>
    </row>
    <row r="39612" customFormat="false" ht="12.8" hidden="false" customHeight="false" outlineLevel="0" collapsed="false">
      <c r="A39612" s="0" t="s">
        <v>14332</v>
      </c>
      <c r="B39612" s="0" t="str">
        <f aca="false">HYPERLINK("https://lindat.mff.cuni.cz/services/teitok/pdtc10/index.php?action=vallex&amp;frame=v-w5354f2", "přiznávat (v-w5354f2)")</f>
        <v>přiznávat (v-w5354f2)</v>
      </c>
    </row>
    <row r="39613" customFormat="false" ht="12.8" hidden="false" customHeight="false" outlineLevel="0" collapsed="false">
      <c r="B39613" s="0" t="s">
        <v>7</v>
      </c>
    </row>
    <row r="39614" customFormat="false" ht="12.8" hidden="false" customHeight="false" outlineLevel="0" collapsed="false">
      <c r="B39614" s="0" t="s">
        <v>14</v>
      </c>
    </row>
    <row r="39615" customFormat="false" ht="12.8" hidden="false" customHeight="false" outlineLevel="0" collapsed="false">
      <c r="B39615" s="0" t="s">
        <v>48</v>
      </c>
    </row>
    <row r="39617" customFormat="false" ht="12.8" hidden="false" customHeight="false" outlineLevel="0" collapsed="false">
      <c r="A39617" s="0" t="s">
        <v>14333</v>
      </c>
      <c r="B39617" s="0" t="str">
        <f aca="false">HYPERLINK("https://lindat.mff.cuni.cz/services/teitok/pdtc10/index.php?action=vallex&amp;frame=v-w5354f1", "přiznávat (v-w5354f1)")</f>
        <v>přiznávat (v-w5354f1)</v>
      </c>
    </row>
    <row r="39618" customFormat="false" ht="12.8" hidden="false" customHeight="false" outlineLevel="0" collapsed="false">
      <c r="B39618" s="0" t="s">
        <v>7</v>
      </c>
      <c r="C39618" s="0" t="s">
        <v>14334</v>
      </c>
      <c r="D39618" s="0" t="s">
        <v>2534</v>
      </c>
      <c r="E39618" s="0" t="s">
        <v>2696</v>
      </c>
      <c r="F39618" s="0" t="s">
        <v>2696</v>
      </c>
    </row>
    <row r="39619" customFormat="false" ht="12.8" hidden="false" customHeight="false" outlineLevel="0" collapsed="false">
      <c r="B39619" s="0" t="s">
        <v>14326</v>
      </c>
      <c r="C39619" s="0" t="s">
        <v>14335</v>
      </c>
      <c r="D39619" s="0" t="s">
        <v>2699</v>
      </c>
      <c r="E39619" s="0" t="s">
        <v>2700</v>
      </c>
      <c r="F39619" s="0" t="s">
        <v>2700</v>
      </c>
    </row>
    <row r="39620" customFormat="false" ht="12.8" hidden="false" customHeight="false" outlineLevel="0" collapsed="false">
      <c r="B39620" s="0" t="s">
        <v>106</v>
      </c>
      <c r="C39620" s="0" t="s">
        <v>8104</v>
      </c>
      <c r="D39620" s="0" t="s">
        <v>1843</v>
      </c>
      <c r="E39620" s="0" t="s">
        <v>1843</v>
      </c>
      <c r="F39620" s="0" t="s">
        <v>1843</v>
      </c>
    </row>
    <row r="39622" customFormat="false" ht="12.8" hidden="false" customHeight="false" outlineLevel="0" collapsed="false">
      <c r="A39622" s="0" t="s">
        <v>14336</v>
      </c>
      <c r="B39622" s="0" t="str">
        <f aca="false">HYPERLINK("https://lindat.mff.cuni.cz/services/teitok/pdtc10/index.php?action=vallex&amp;frame=v-w5355f1", "přiznávat se (v-w5355f1)")</f>
        <v>přiznávat se (v-w5355f1)</v>
      </c>
    </row>
    <row r="39623" customFormat="false" ht="12.8" hidden="false" customHeight="false" outlineLevel="0" collapsed="false">
      <c r="B39623" s="0" t="s">
        <v>7</v>
      </c>
      <c r="C39623" s="0" t="s">
        <v>118</v>
      </c>
      <c r="D39623" s="0" t="s">
        <v>2534</v>
      </c>
      <c r="E39623" s="0" t="s">
        <v>2696</v>
      </c>
      <c r="F39623" s="0" t="s">
        <v>2696</v>
      </c>
    </row>
    <row r="39624" customFormat="false" ht="12.8" hidden="false" customHeight="false" outlineLevel="0" collapsed="false">
      <c r="B39624" s="0" t="s">
        <v>2697</v>
      </c>
      <c r="C39624" s="0" t="s">
        <v>1405</v>
      </c>
      <c r="D39624" s="0" t="s">
        <v>2699</v>
      </c>
      <c r="E39624" s="0" t="s">
        <v>2700</v>
      </c>
      <c r="F39624" s="0" t="s">
        <v>2700</v>
      </c>
    </row>
    <row r="39625" customFormat="false" ht="12.8" hidden="false" customHeight="false" outlineLevel="0" collapsed="false">
      <c r="B39625" s="0" t="s">
        <v>106</v>
      </c>
      <c r="D39625" s="0" t="s">
        <v>1843</v>
      </c>
      <c r="E39625" s="0" t="s">
        <v>1843</v>
      </c>
      <c r="F39625" s="0" t="s">
        <v>1843</v>
      </c>
    </row>
    <row r="39627" customFormat="false" ht="12.8" hidden="false" customHeight="false" outlineLevel="0" collapsed="false">
      <c r="A39627" s="0" t="s">
        <v>14337</v>
      </c>
      <c r="B39627" s="0" t="str">
        <f aca="false">HYPERLINK("https://lindat.mff.cuni.cz/services/teitok/pdtc10/index.php?action=vallex&amp;frame=v-w5358f3_MM", "přizpůsobit (v-w5358f3_MM)")</f>
        <v>přizpůsobit (v-w5358f3_MM)</v>
      </c>
    </row>
    <row r="39628" customFormat="false" ht="12.8" hidden="false" customHeight="false" outlineLevel="0" collapsed="false">
      <c r="B39628" s="0" t="s">
        <v>7</v>
      </c>
    </row>
    <row r="39629" customFormat="false" ht="12.8" hidden="false" customHeight="false" outlineLevel="0" collapsed="false">
      <c r="B39629" s="0" t="s">
        <v>14</v>
      </c>
    </row>
    <row r="39630" customFormat="false" ht="12.8" hidden="false" customHeight="false" outlineLevel="0" collapsed="false">
      <c r="B39630" s="0" t="s">
        <v>10938</v>
      </c>
    </row>
    <row r="39632" customFormat="false" ht="12.8" hidden="false" customHeight="false" outlineLevel="0" collapsed="false">
      <c r="A39632" s="0" t="s">
        <v>14337</v>
      </c>
      <c r="B39632" s="0" t="str">
        <f aca="false">HYPERLINK("https://lindat.mff.cuni.cz/services/teitok/pdtc10/index.php?action=vallex&amp;frame=v-w5358f1", "přizpůsobit (v-w5358f1) - substituted with v-w5358f3_MM")</f>
        <v>přizpůsobit (v-w5358f1) - substituted with v-w5358f3_MM</v>
      </c>
    </row>
    <row r="39633" customFormat="false" ht="12.8" hidden="false" customHeight="false" outlineLevel="0" collapsed="false">
      <c r="B39633" s="0" t="s">
        <v>7</v>
      </c>
      <c r="C39633" s="0" t="s">
        <v>14338</v>
      </c>
      <c r="D39633" s="0" t="s">
        <v>9062</v>
      </c>
      <c r="E39633" s="0" t="s">
        <v>9062</v>
      </c>
      <c r="F39633" s="0" t="s">
        <v>9062</v>
      </c>
    </row>
    <row r="39634" customFormat="false" ht="12.8" hidden="false" customHeight="false" outlineLevel="0" collapsed="false">
      <c r="B39634" s="0" t="s">
        <v>14</v>
      </c>
      <c r="C39634" s="0" t="s">
        <v>342</v>
      </c>
      <c r="D39634" s="0" t="s">
        <v>1146</v>
      </c>
      <c r="E39634" s="0" t="s">
        <v>1146</v>
      </c>
      <c r="F39634" s="0" t="s">
        <v>1146</v>
      </c>
    </row>
    <row r="39635" customFormat="false" ht="12.8" hidden="false" customHeight="false" outlineLevel="0" collapsed="false">
      <c r="B39635" s="0" t="s">
        <v>10938</v>
      </c>
      <c r="C39635" s="0" t="s">
        <v>14339</v>
      </c>
      <c r="D39635" s="0" t="s">
        <v>14340</v>
      </c>
      <c r="E39635" s="0" t="s">
        <v>14340</v>
      </c>
      <c r="F39635" s="0" t="s">
        <v>14340</v>
      </c>
    </row>
    <row r="39637" customFormat="false" ht="12.8" hidden="false" customHeight="false" outlineLevel="0" collapsed="false">
      <c r="A39637" s="0" t="s">
        <v>14337</v>
      </c>
      <c r="B39637" s="0" t="str">
        <f aca="false">HYPERLINK("https://lindat.mff.cuni.cz/services/teitok/pdtc10/index.php?action=vallex&amp;frame=v-w5358f2_ZU", "přizpůsobit (v-w5358f2_ZU) - substituted with v-w5358f3_MM")</f>
        <v>přizpůsobit (v-w5358f2_ZU) - substituted with v-w5358f3_MM</v>
      </c>
    </row>
    <row r="39638" customFormat="false" ht="12.8" hidden="false" customHeight="false" outlineLevel="0" collapsed="false">
      <c r="B39638" s="0" t="s">
        <v>7</v>
      </c>
    </row>
    <row r="39639" customFormat="false" ht="12.8" hidden="false" customHeight="false" outlineLevel="0" collapsed="false">
      <c r="B39639" s="0" t="s">
        <v>14</v>
      </c>
    </row>
    <row r="39640" customFormat="false" ht="12.8" hidden="false" customHeight="false" outlineLevel="0" collapsed="false">
      <c r="B39640" s="0" t="s">
        <v>10938</v>
      </c>
    </row>
    <row r="39642" customFormat="false" ht="12.8" hidden="false" customHeight="false" outlineLevel="0" collapsed="false">
      <c r="A39642" s="0" t="s">
        <v>14337</v>
      </c>
      <c r="B39642" s="0" t="str">
        <f aca="false">HYPERLINK("https://lindat.mff.cuni.cz/services/teitok/pdtc10/index.php?action=vallex&amp;frame=v-w5358hsa_209", "přizpůsobit (v-w5358hsa_209) - substituted with v-w5358f3_MM")</f>
        <v>přizpůsobit (v-w5358hsa_209) - substituted with v-w5358f3_MM</v>
      </c>
    </row>
    <row r="39643" customFormat="false" ht="12.8" hidden="false" customHeight="false" outlineLevel="0" collapsed="false">
      <c r="B39643" s="0" t="s">
        <v>7</v>
      </c>
    </row>
    <row r="39644" customFormat="false" ht="12.8" hidden="false" customHeight="false" outlineLevel="0" collapsed="false">
      <c r="B39644" s="0" t="s">
        <v>14</v>
      </c>
    </row>
    <row r="39645" customFormat="false" ht="12.8" hidden="false" customHeight="false" outlineLevel="0" collapsed="false">
      <c r="B39645" s="0" t="s">
        <v>10938</v>
      </c>
    </row>
    <row r="39647" customFormat="false" ht="12.8" hidden="false" customHeight="false" outlineLevel="0" collapsed="false">
      <c r="A39647" s="0" t="s">
        <v>14341</v>
      </c>
      <c r="B39647" s="0" t="str">
        <f aca="false">HYPERLINK("https://lindat.mff.cuni.cz/services/teitok/pdtc10/index.php?action=vallex&amp;frame=v-w5359f1", "přizpůsobit se (v-w5359f1)")</f>
        <v>přizpůsobit se (v-w5359f1)</v>
      </c>
    </row>
    <row r="39648" customFormat="false" ht="12.8" hidden="false" customHeight="false" outlineLevel="0" collapsed="false">
      <c r="B39648" s="0" t="s">
        <v>7</v>
      </c>
      <c r="C39648" s="0" t="s">
        <v>14342</v>
      </c>
      <c r="D39648" s="0" t="s">
        <v>14276</v>
      </c>
      <c r="E39648" s="0" t="s">
        <v>14277</v>
      </c>
      <c r="F39648" s="0" t="s">
        <v>14343</v>
      </c>
    </row>
    <row r="39649" customFormat="false" ht="12.8" hidden="false" customHeight="false" outlineLevel="0" collapsed="false">
      <c r="B39649" s="0" t="s">
        <v>142</v>
      </c>
      <c r="C39649" s="0" t="s">
        <v>14344</v>
      </c>
      <c r="D39649" s="0" t="s">
        <v>14279</v>
      </c>
      <c r="E39649" s="0" t="s">
        <v>14280</v>
      </c>
      <c r="F39649" s="0" t="s">
        <v>14345</v>
      </c>
    </row>
    <row r="39651" customFormat="false" ht="12.8" hidden="false" customHeight="false" outlineLevel="0" collapsed="false">
      <c r="A39651" s="0" t="s">
        <v>14346</v>
      </c>
      <c r="B39651" s="0" t="str">
        <f aca="false">HYPERLINK("https://lindat.mff.cuni.cz/services/teitok/pdtc10/index.php?action=vallex&amp;frame=v-w5361f1", "přizpůsobovat (v-w5361f1)")</f>
        <v>přizpůsobovat (v-w5361f1)</v>
      </c>
    </row>
    <row r="39652" customFormat="false" ht="12.8" hidden="false" customHeight="false" outlineLevel="0" collapsed="false">
      <c r="B39652" s="0" t="s">
        <v>7</v>
      </c>
      <c r="C39652" s="0" t="s">
        <v>14347</v>
      </c>
      <c r="D39652" s="0" t="s">
        <v>9062</v>
      </c>
      <c r="E39652" s="0" t="s">
        <v>9062</v>
      </c>
      <c r="F39652" s="0" t="s">
        <v>9062</v>
      </c>
    </row>
    <row r="39653" customFormat="false" ht="12.8" hidden="false" customHeight="false" outlineLevel="0" collapsed="false">
      <c r="B39653" s="0" t="s">
        <v>14</v>
      </c>
      <c r="C39653" s="0" t="s">
        <v>14348</v>
      </c>
      <c r="D39653" s="0" t="s">
        <v>1146</v>
      </c>
      <c r="E39653" s="0" t="s">
        <v>1146</v>
      </c>
      <c r="F39653" s="0" t="s">
        <v>1146</v>
      </c>
    </row>
    <row r="39654" customFormat="false" ht="12.8" hidden="false" customHeight="false" outlineLevel="0" collapsed="false">
      <c r="B39654" s="0" t="s">
        <v>48</v>
      </c>
      <c r="C39654" s="0" t="s">
        <v>14349</v>
      </c>
      <c r="D39654" s="0" t="s">
        <v>14340</v>
      </c>
      <c r="E39654" s="0" t="s">
        <v>14340</v>
      </c>
      <c r="F39654" s="0" t="s">
        <v>14340</v>
      </c>
    </row>
    <row r="39656" customFormat="false" ht="12.8" hidden="false" customHeight="false" outlineLevel="0" collapsed="false">
      <c r="A39656" s="0" t="s">
        <v>14350</v>
      </c>
      <c r="B39656" s="0" t="str">
        <f aca="false">HYPERLINK("https://lindat.mff.cuni.cz/services/teitok/pdtc10/index.php?action=vallex&amp;frame=v-w5362f1", "přizpůsobovat se (v-w5362f1)")</f>
        <v>přizpůsobovat se (v-w5362f1)</v>
      </c>
    </row>
    <row r="39657" customFormat="false" ht="12.8" hidden="false" customHeight="false" outlineLevel="0" collapsed="false">
      <c r="B39657" s="0" t="s">
        <v>7</v>
      </c>
      <c r="C39657" s="0" t="s">
        <v>14351</v>
      </c>
      <c r="D39657" s="0" t="s">
        <v>14276</v>
      </c>
      <c r="E39657" s="0" t="s">
        <v>14277</v>
      </c>
      <c r="F39657" s="0" t="s">
        <v>14277</v>
      </c>
    </row>
    <row r="39658" customFormat="false" ht="12.8" hidden="false" customHeight="false" outlineLevel="0" collapsed="false">
      <c r="B39658" s="0" t="s">
        <v>142</v>
      </c>
      <c r="C39658" s="0" t="s">
        <v>14352</v>
      </c>
      <c r="D39658" s="0" t="s">
        <v>14279</v>
      </c>
      <c r="E39658" s="0" t="s">
        <v>14280</v>
      </c>
      <c r="F39658" s="0" t="s">
        <v>14280</v>
      </c>
    </row>
    <row r="39660" customFormat="false" ht="12.8" hidden="false" customHeight="false" outlineLevel="0" collapsed="false">
      <c r="A39660" s="0" t="s">
        <v>14353</v>
      </c>
      <c r="B39660" s="0" t="str">
        <f aca="false">HYPERLINK("https://lindat.mff.cuni.cz/services/teitok/pdtc10/index.php?action=vallex&amp;frame=v-w5364f1", "přizvat (v-w5364f1)")</f>
        <v>přizvat (v-w5364f1)</v>
      </c>
    </row>
    <row r="39661" customFormat="false" ht="12.8" hidden="false" customHeight="false" outlineLevel="0" collapsed="false">
      <c r="B39661" s="0" t="s">
        <v>7</v>
      </c>
      <c r="C39661" s="0" t="s">
        <v>3051</v>
      </c>
      <c r="D39661" s="0" t="s">
        <v>118</v>
      </c>
      <c r="E39661" s="0" t="s">
        <v>118</v>
      </c>
      <c r="F39661" s="0" t="s">
        <v>118</v>
      </c>
    </row>
    <row r="39662" customFormat="false" ht="12.8" hidden="false" customHeight="false" outlineLevel="0" collapsed="false">
      <c r="B39662" s="0" t="s">
        <v>14</v>
      </c>
      <c r="C39662" s="0" t="s">
        <v>466</v>
      </c>
      <c r="D39662" s="0" t="s">
        <v>1289</v>
      </c>
      <c r="E39662" s="0" t="s">
        <v>1289</v>
      </c>
      <c r="F39662" s="0" t="s">
        <v>1289</v>
      </c>
    </row>
    <row r="39664" customFormat="false" ht="12.8" hidden="false" customHeight="false" outlineLevel="0" collapsed="false">
      <c r="A39664" s="0" t="s">
        <v>14354</v>
      </c>
      <c r="B39664" s="0" t="str">
        <f aca="false">HYPERLINK("https://lindat.mff.cuni.cz/services/teitok/pdtc10/index.php?action=vallex&amp;frame=v-whsa_222hsa_223", "přičichnout (v-whsa_222hsa_223)")</f>
        <v>přičichnout (v-whsa_222hsa_223)</v>
      </c>
    </row>
    <row r="39665" customFormat="false" ht="12.8" hidden="false" customHeight="false" outlineLevel="0" collapsed="false">
      <c r="B39665" s="0" t="s">
        <v>7</v>
      </c>
    </row>
    <row r="39666" customFormat="false" ht="12.8" hidden="false" customHeight="false" outlineLevel="0" collapsed="false">
      <c r="B39666" s="0" t="s">
        <v>237</v>
      </c>
    </row>
    <row r="39668" customFormat="false" ht="12.8" hidden="false" customHeight="false" outlineLevel="0" collapsed="false">
      <c r="A39668" s="0" t="s">
        <v>14355</v>
      </c>
      <c r="B39668" s="0" t="str">
        <f aca="false">HYPERLINK("https://lindat.mff.cuni.cz/services/teitok/pdtc10/index.php?action=vallex&amp;frame=v-w5098f1", "přičinit se (v-w5098f1)")</f>
        <v>přičinit se (v-w5098f1)</v>
      </c>
    </row>
    <row r="39669" customFormat="false" ht="12.8" hidden="false" customHeight="false" outlineLevel="0" collapsed="false">
      <c r="B39669" s="0" t="s">
        <v>7</v>
      </c>
    </row>
    <row r="39670" customFormat="false" ht="12.8" hidden="false" customHeight="false" outlineLevel="0" collapsed="false">
      <c r="B39670" s="0" t="s">
        <v>14356</v>
      </c>
    </row>
    <row r="39672" customFormat="false" ht="12.8" hidden="false" customHeight="false" outlineLevel="0" collapsed="false">
      <c r="A39672" s="0" t="s">
        <v>14357</v>
      </c>
      <c r="B39672" s="0" t="str">
        <f aca="false">HYPERLINK("https://lindat.mff.cuni.cz/services/teitok/pdtc10/index.php?action=vallex&amp;frame=v-w5102f1", "přičlenit (v-w5102f1)")</f>
        <v>přičlenit (v-w5102f1)</v>
      </c>
    </row>
    <row r="39673" customFormat="false" ht="12.8" hidden="false" customHeight="false" outlineLevel="0" collapsed="false">
      <c r="B39673" s="0" t="s">
        <v>7</v>
      </c>
    </row>
    <row r="39674" customFormat="false" ht="12.8" hidden="false" customHeight="false" outlineLevel="0" collapsed="false">
      <c r="B39674" s="0" t="s">
        <v>14</v>
      </c>
    </row>
    <row r="39675" customFormat="false" ht="12.8" hidden="false" customHeight="false" outlineLevel="0" collapsed="false">
      <c r="B39675" s="0" t="s">
        <v>124</v>
      </c>
    </row>
    <row r="39677" customFormat="false" ht="12.8" hidden="false" customHeight="false" outlineLevel="0" collapsed="false">
      <c r="A39677" s="0" t="s">
        <v>14358</v>
      </c>
      <c r="B39677" s="0" t="str">
        <f aca="false">HYPERLINK("https://lindat.mff.cuni.cz/services/teitok/pdtc10/index.php?action=vallex&amp;frame=v-w5099f2", "přičíst (v-w5099f2)")</f>
        <v>přičíst (v-w5099f2)</v>
      </c>
    </row>
    <row r="39678" customFormat="false" ht="12.8" hidden="false" customHeight="false" outlineLevel="0" collapsed="false">
      <c r="B39678" s="0" t="s">
        <v>641</v>
      </c>
      <c r="C39678" s="0" t="s">
        <v>8313</v>
      </c>
      <c r="D39678" s="0" t="s">
        <v>1801</v>
      </c>
      <c r="E39678" s="0" t="s">
        <v>1801</v>
      </c>
      <c r="F39678" s="0" t="s">
        <v>1801</v>
      </c>
    </row>
    <row r="39679" customFormat="false" ht="12.8" hidden="false" customHeight="false" outlineLevel="0" collapsed="false">
      <c r="B39679" s="0" t="s">
        <v>14</v>
      </c>
      <c r="C39679" s="0" t="s">
        <v>210</v>
      </c>
      <c r="D39679" s="0" t="s">
        <v>9938</v>
      </c>
      <c r="E39679" s="0" t="s">
        <v>9938</v>
      </c>
      <c r="F39679" s="0" t="s">
        <v>9938</v>
      </c>
    </row>
    <row r="39680" customFormat="false" ht="12.8" hidden="false" customHeight="false" outlineLevel="0" collapsed="false">
      <c r="B39680" s="0" t="s">
        <v>14359</v>
      </c>
      <c r="C39680" s="0" t="s">
        <v>14148</v>
      </c>
      <c r="D39680" s="0" t="s">
        <v>9939</v>
      </c>
      <c r="E39680" s="0" t="s">
        <v>9939</v>
      </c>
      <c r="F39680" s="0" t="s">
        <v>9939</v>
      </c>
    </row>
    <row r="39682" customFormat="false" ht="12.8" hidden="false" customHeight="false" outlineLevel="0" collapsed="false">
      <c r="A39682" s="0" t="s">
        <v>14360</v>
      </c>
      <c r="B39682" s="0" t="str">
        <f aca="false">HYPERLINK("https://lindat.mff.cuni.cz/services/teitok/pdtc10/index.php?action=vallex&amp;frame=v-w5099f1", "přičíst (v-w5099f1)")</f>
        <v>přičíst (v-w5099f1)</v>
      </c>
    </row>
    <row r="39683" customFormat="false" ht="12.8" hidden="false" customHeight="false" outlineLevel="0" collapsed="false">
      <c r="B39683" s="0" t="s">
        <v>641</v>
      </c>
      <c r="C39683" s="0" t="s">
        <v>14361</v>
      </c>
      <c r="D39683" s="0" t="s">
        <v>13454</v>
      </c>
      <c r="E39683" s="0" t="s">
        <v>13551</v>
      </c>
      <c r="F39683" s="0" t="s">
        <v>13551</v>
      </c>
    </row>
    <row r="39684" customFormat="false" ht="12.8" hidden="false" customHeight="false" outlineLevel="0" collapsed="false">
      <c r="B39684" s="0" t="s">
        <v>54</v>
      </c>
      <c r="C39684" s="0" t="s">
        <v>13547</v>
      </c>
      <c r="D39684" s="0" t="s">
        <v>13455</v>
      </c>
      <c r="E39684" s="0" t="s">
        <v>13553</v>
      </c>
      <c r="F39684" s="0" t="s">
        <v>13553</v>
      </c>
    </row>
    <row r="39685" customFormat="false" ht="12.8" hidden="false" customHeight="false" outlineLevel="0" collapsed="false">
      <c r="B39685" s="0" t="s">
        <v>124</v>
      </c>
      <c r="C39685" s="0" t="s">
        <v>4440</v>
      </c>
      <c r="D39685" s="0" t="s">
        <v>4224</v>
      </c>
      <c r="E39685" s="0" t="s">
        <v>13555</v>
      </c>
      <c r="F39685" s="0" t="s">
        <v>13555</v>
      </c>
    </row>
    <row r="39687" customFormat="false" ht="12.8" hidden="false" customHeight="false" outlineLevel="0" collapsed="false">
      <c r="A39687" s="0" t="s">
        <v>14362</v>
      </c>
      <c r="B39687" s="0" t="str">
        <f aca="false">HYPERLINK("https://lindat.mff.cuni.cz/services/teitok/pdtc10/index.php?action=vallex&amp;frame=v-w5100f1", "přičítat (v-w5100f1)")</f>
        <v>přičítat (v-w5100f1)</v>
      </c>
    </row>
    <row r="39688" customFormat="false" ht="12.8" hidden="false" customHeight="false" outlineLevel="0" collapsed="false">
      <c r="B39688" s="0" t="s">
        <v>641</v>
      </c>
      <c r="C39688" s="0" t="s">
        <v>14363</v>
      </c>
      <c r="D39688" s="0" t="s">
        <v>1801</v>
      </c>
      <c r="E39688" s="0" t="s">
        <v>1801</v>
      </c>
      <c r="F39688" s="0" t="s">
        <v>1801</v>
      </c>
    </row>
    <row r="39689" customFormat="false" ht="12.8" hidden="false" customHeight="false" outlineLevel="0" collapsed="false">
      <c r="B39689" s="0" t="s">
        <v>14</v>
      </c>
      <c r="C39689" s="0" t="s">
        <v>14364</v>
      </c>
      <c r="D39689" s="0" t="s">
        <v>9938</v>
      </c>
      <c r="E39689" s="0" t="s">
        <v>9938</v>
      </c>
      <c r="F39689" s="0" t="s">
        <v>9938</v>
      </c>
    </row>
    <row r="39690" customFormat="false" ht="12.8" hidden="false" customHeight="false" outlineLevel="0" collapsed="false">
      <c r="B39690" s="0" t="s">
        <v>48</v>
      </c>
      <c r="C39690" s="0" t="s">
        <v>14365</v>
      </c>
      <c r="D39690" s="0" t="s">
        <v>9939</v>
      </c>
      <c r="E39690" s="0" t="s">
        <v>9939</v>
      </c>
      <c r="F39690" s="0" t="s">
        <v>9939</v>
      </c>
    </row>
    <row r="39692" customFormat="false" ht="12.8" hidden="false" customHeight="false" outlineLevel="0" collapsed="false">
      <c r="A39692" s="0" t="s">
        <v>14366</v>
      </c>
      <c r="B39692" s="0" t="str">
        <f aca="false">HYPERLINK("https://lindat.mff.cuni.cz/services/teitok/pdtc10/index.php?action=vallex&amp;frame=v-w5100f2", "přičítat (v-w5100f2)")</f>
        <v>přičítat (v-w5100f2)</v>
      </c>
    </row>
    <row r="39693" customFormat="false" ht="12.8" hidden="false" customHeight="false" outlineLevel="0" collapsed="false">
      <c r="B39693" s="0" t="s">
        <v>7</v>
      </c>
      <c r="C39693" s="0" t="s">
        <v>8313</v>
      </c>
    </row>
    <row r="39694" customFormat="false" ht="12.8" hidden="false" customHeight="false" outlineLevel="0" collapsed="false">
      <c r="B39694" s="0" t="s">
        <v>14</v>
      </c>
      <c r="C39694" s="0" t="s">
        <v>210</v>
      </c>
    </row>
    <row r="39695" customFormat="false" ht="12.8" hidden="false" customHeight="false" outlineLevel="0" collapsed="false">
      <c r="B39695" s="0" t="s">
        <v>124</v>
      </c>
      <c r="C39695" s="0" t="s">
        <v>14367</v>
      </c>
    </row>
    <row r="39697" customFormat="false" ht="12.8" hidden="false" customHeight="false" outlineLevel="0" collapsed="false">
      <c r="A39697" s="0" t="s">
        <v>14368</v>
      </c>
      <c r="B39697" s="0" t="str">
        <f aca="false">HYPERLINK("https://lindat.mff.cuni.cz/services/teitok/pdtc10/index.php?action=vallex&amp;frame=v-w5254f3", "přiřadit (v-w5254f3)")</f>
        <v>přiřadit (v-w5254f3)</v>
      </c>
    </row>
    <row r="39698" customFormat="false" ht="12.8" hidden="false" customHeight="false" outlineLevel="0" collapsed="false">
      <c r="B39698" s="0" t="s">
        <v>7</v>
      </c>
      <c r="C39698" s="0" t="s">
        <v>335</v>
      </c>
      <c r="D39698" s="0" t="s">
        <v>1801</v>
      </c>
      <c r="E39698" s="0" t="s">
        <v>1801</v>
      </c>
      <c r="F39698" s="0" t="s">
        <v>1801</v>
      </c>
    </row>
    <row r="39699" customFormat="false" ht="12.8" hidden="false" customHeight="false" outlineLevel="0" collapsed="false">
      <c r="B39699" s="0" t="s">
        <v>14</v>
      </c>
      <c r="C39699" s="0" t="s">
        <v>10937</v>
      </c>
      <c r="D39699" s="0" t="s">
        <v>9938</v>
      </c>
      <c r="E39699" s="0" t="s">
        <v>9938</v>
      </c>
      <c r="F39699" s="0" t="s">
        <v>9938</v>
      </c>
    </row>
    <row r="39700" customFormat="false" ht="12.8" hidden="false" customHeight="false" outlineLevel="0" collapsed="false">
      <c r="B39700" s="0" t="s">
        <v>48</v>
      </c>
      <c r="C39700" s="0" t="s">
        <v>7373</v>
      </c>
      <c r="D39700" s="0" t="s">
        <v>9939</v>
      </c>
      <c r="E39700" s="0" t="s">
        <v>9939</v>
      </c>
      <c r="F39700" s="0" t="s">
        <v>9939</v>
      </c>
    </row>
    <row r="39702" customFormat="false" ht="12.8" hidden="false" customHeight="false" outlineLevel="0" collapsed="false">
      <c r="A39702" s="0" t="s">
        <v>14369</v>
      </c>
      <c r="B39702" s="0" t="str">
        <f aca="false">HYPERLINK("https://lindat.mff.cuni.cz/services/teitok/pdtc10/index.php?action=vallex&amp;frame=v-w5254f1", "přiřadit (v-w5254f1)")</f>
        <v>přiřadit (v-w5254f1)</v>
      </c>
    </row>
    <row r="39703" customFormat="false" ht="12.8" hidden="false" customHeight="false" outlineLevel="0" collapsed="false">
      <c r="B39703" s="0" t="s">
        <v>7</v>
      </c>
      <c r="C39703" s="0" t="s">
        <v>88</v>
      </c>
    </row>
    <row r="39704" customFormat="false" ht="12.8" hidden="false" customHeight="false" outlineLevel="0" collapsed="false">
      <c r="B39704" s="0" t="s">
        <v>14</v>
      </c>
      <c r="C39704" s="0" t="s">
        <v>173</v>
      </c>
    </row>
    <row r="39705" customFormat="false" ht="12.8" hidden="false" customHeight="false" outlineLevel="0" collapsed="false">
      <c r="B39705" s="0" t="s">
        <v>124</v>
      </c>
    </row>
    <row r="39707" customFormat="false" ht="12.8" hidden="false" customHeight="false" outlineLevel="0" collapsed="false">
      <c r="A39707" s="0" t="s">
        <v>14370</v>
      </c>
      <c r="B39707" s="0" t="str">
        <f aca="false">HYPERLINK("https://lindat.mff.cuni.cz/services/teitok/pdtc10/index.php?action=vallex&amp;frame=v-w5254f2", "přiřadit (v-w5254f2)")</f>
        <v>přiřadit (v-w5254f2)</v>
      </c>
    </row>
    <row r="39708" customFormat="false" ht="12.8" hidden="false" customHeight="false" outlineLevel="0" collapsed="false">
      <c r="B39708" s="0" t="s">
        <v>7</v>
      </c>
    </row>
    <row r="39709" customFormat="false" ht="12.8" hidden="false" customHeight="false" outlineLevel="0" collapsed="false">
      <c r="B39709" s="0" t="s">
        <v>14</v>
      </c>
    </row>
    <row r="39710" customFormat="false" ht="12.8" hidden="false" customHeight="false" outlineLevel="0" collapsed="false">
      <c r="B39710" s="0" t="s">
        <v>124</v>
      </c>
    </row>
    <row r="39712" customFormat="false" ht="12.8" hidden="false" customHeight="false" outlineLevel="0" collapsed="false">
      <c r="A39712" s="0" t="s">
        <v>14371</v>
      </c>
      <c r="B39712" s="0" t="str">
        <f aca="false">HYPERLINK("https://lindat.mff.cuni.cz/services/teitok/pdtc10/index.php?action=vallex&amp;frame=v-w5255f1", "přiřadit se (v-w5255f1)")</f>
        <v>přiřadit se (v-w5255f1)</v>
      </c>
    </row>
    <row r="39713" customFormat="false" ht="12.8" hidden="false" customHeight="false" outlineLevel="0" collapsed="false">
      <c r="B39713" s="0" t="s">
        <v>7</v>
      </c>
    </row>
    <row r="39714" customFormat="false" ht="12.8" hidden="false" customHeight="false" outlineLevel="0" collapsed="false">
      <c r="B39714" s="0" t="s">
        <v>237</v>
      </c>
    </row>
    <row r="39716" customFormat="false" ht="12.8" hidden="false" customHeight="false" outlineLevel="0" collapsed="false">
      <c r="A39716" s="0" t="s">
        <v>14372</v>
      </c>
      <c r="B39716" s="0" t="str">
        <f aca="false">HYPERLINK("https://lindat.mff.cuni.cz/services/teitok/pdtc10/index.php?action=vallex&amp;frame=v-w5255f2", "přiřadit se (v-w5255f2)")</f>
        <v>přiřadit se (v-w5255f2)</v>
      </c>
    </row>
    <row r="39717" customFormat="false" ht="12.8" hidden="false" customHeight="false" outlineLevel="0" collapsed="false">
      <c r="B39717" s="0" t="s">
        <v>7</v>
      </c>
    </row>
    <row r="39718" customFormat="false" ht="12.8" hidden="false" customHeight="false" outlineLevel="0" collapsed="false">
      <c r="B39718" s="0" t="s">
        <v>124</v>
      </c>
    </row>
    <row r="39720" customFormat="false" ht="12.8" hidden="false" customHeight="false" outlineLevel="0" collapsed="false">
      <c r="A39720" s="0" t="s">
        <v>14373</v>
      </c>
      <c r="B39720" s="0" t="str">
        <f aca="false">HYPERLINK("https://lindat.mff.cuni.cz/services/teitok/pdtc10/index.php?action=vallex&amp;frame=v-w5257f2", "přiřazovat (v-w5257f2)")</f>
        <v>přiřazovat (v-w5257f2)</v>
      </c>
    </row>
    <row r="39721" customFormat="false" ht="12.8" hidden="false" customHeight="false" outlineLevel="0" collapsed="false">
      <c r="B39721" s="0" t="s">
        <v>7</v>
      </c>
    </row>
    <row r="39722" customFormat="false" ht="12.8" hidden="false" customHeight="false" outlineLevel="0" collapsed="false">
      <c r="B39722" s="0" t="s">
        <v>14</v>
      </c>
    </row>
    <row r="39723" customFormat="false" ht="12.8" hidden="false" customHeight="false" outlineLevel="0" collapsed="false">
      <c r="B39723" s="0" t="s">
        <v>48</v>
      </c>
    </row>
    <row r="39725" customFormat="false" ht="12.8" hidden="false" customHeight="false" outlineLevel="0" collapsed="false">
      <c r="A39725" s="0" t="s">
        <v>14374</v>
      </c>
      <c r="B39725" s="0" t="str">
        <f aca="false">HYPERLINK("https://lindat.mff.cuni.cz/services/teitok/pdtc10/index.php?action=vallex&amp;frame=v-w5257f1", "přiřazovat (v-w5257f1)")</f>
        <v>přiřazovat (v-w5257f1)</v>
      </c>
    </row>
    <row r="39726" customFormat="false" ht="12.8" hidden="false" customHeight="false" outlineLevel="0" collapsed="false">
      <c r="B39726" s="0" t="s">
        <v>7</v>
      </c>
    </row>
    <row r="39727" customFormat="false" ht="12.8" hidden="false" customHeight="false" outlineLevel="0" collapsed="false">
      <c r="B39727" s="0" t="s">
        <v>14</v>
      </c>
    </row>
    <row r="39728" customFormat="false" ht="12.8" hidden="false" customHeight="false" outlineLevel="0" collapsed="false">
      <c r="B39728" s="0" t="s">
        <v>124</v>
      </c>
    </row>
    <row r="39730" customFormat="false" ht="12.8" hidden="false" customHeight="false" outlineLevel="0" collapsed="false">
      <c r="A39730" s="0" t="s">
        <v>14375</v>
      </c>
      <c r="B39730" s="0" t="str">
        <f aca="false">HYPERLINK("https://lindat.mff.cuni.cz/services/teitok/pdtc10/index.php?action=vallex&amp;frame=v-w5258f2", "přiřazovat se (v-w5258f2)")</f>
        <v>přiřazovat se (v-w5258f2)</v>
      </c>
    </row>
    <row r="39731" customFormat="false" ht="12.8" hidden="false" customHeight="false" outlineLevel="0" collapsed="false">
      <c r="B39731" s="0" t="s">
        <v>7</v>
      </c>
    </row>
    <row r="39732" customFormat="false" ht="12.8" hidden="false" customHeight="false" outlineLevel="0" collapsed="false">
      <c r="B39732" s="0" t="s">
        <v>237</v>
      </c>
    </row>
    <row r="39734" customFormat="false" ht="12.8" hidden="false" customHeight="false" outlineLevel="0" collapsed="false">
      <c r="A39734" s="0" t="s">
        <v>14376</v>
      </c>
      <c r="B39734" s="0" t="str">
        <f aca="false">HYPERLINK("https://lindat.mff.cuni.cz/services/teitok/pdtc10/index.php?action=vallex&amp;frame=v-w5258f1", "přiřazovat se (v-w5258f1)")</f>
        <v>přiřazovat se (v-w5258f1)</v>
      </c>
    </row>
    <row r="39735" customFormat="false" ht="12.8" hidden="false" customHeight="false" outlineLevel="0" collapsed="false">
      <c r="B39735" s="0" t="s">
        <v>7</v>
      </c>
    </row>
    <row r="39736" customFormat="false" ht="12.8" hidden="false" customHeight="false" outlineLevel="0" collapsed="false">
      <c r="B39736" s="0" t="s">
        <v>124</v>
      </c>
    </row>
    <row r="39738" customFormat="false" ht="12.8" hidden="false" customHeight="false" outlineLevel="0" collapsed="false">
      <c r="A39738" s="0" t="s">
        <v>14377</v>
      </c>
      <c r="B39738" s="0" t="str">
        <f aca="false">HYPERLINK("https://lindat.mff.cuni.cz/services/teitok/pdtc10/index.php?action=vallex&amp;frame=v-w5260f1", "přiřknout (v-w5260f1)")</f>
        <v>přiřknout (v-w5260f1)</v>
      </c>
    </row>
    <row r="39739" customFormat="false" ht="12.8" hidden="false" customHeight="false" outlineLevel="0" collapsed="false">
      <c r="B39739" s="0" t="s">
        <v>7</v>
      </c>
    </row>
    <row r="39740" customFormat="false" ht="12.8" hidden="false" customHeight="false" outlineLevel="0" collapsed="false">
      <c r="B39740" s="0" t="s">
        <v>54</v>
      </c>
    </row>
    <row r="39741" customFormat="false" ht="12.8" hidden="false" customHeight="false" outlineLevel="0" collapsed="false">
      <c r="B39741" s="0" t="s">
        <v>48</v>
      </c>
    </row>
    <row r="39743" customFormat="false" ht="12.8" hidden="false" customHeight="false" outlineLevel="0" collapsed="false">
      <c r="A39743" s="0" t="s">
        <v>14378</v>
      </c>
      <c r="B39743" s="0" t="str">
        <f aca="false">HYPERLINK("https://lindat.mff.cuni.cz/services/teitok/pdtc10/index.php?action=vallex&amp;frame=v-w5259f1", "přiřítit se (v-w5259f1)")</f>
        <v>přiřítit se (v-w5259f1)</v>
      </c>
    </row>
    <row r="39744" customFormat="false" ht="12.8" hidden="false" customHeight="false" outlineLevel="0" collapsed="false">
      <c r="B39744" s="0" t="s">
        <v>7</v>
      </c>
    </row>
    <row r="39745" customFormat="false" ht="12.8" hidden="false" customHeight="false" outlineLevel="0" collapsed="false">
      <c r="B39745" s="0" t="s">
        <v>124</v>
      </c>
    </row>
    <row r="39747" customFormat="false" ht="12.8" hidden="false" customHeight="false" outlineLevel="0" collapsed="false">
      <c r="A39747" s="0" t="s">
        <v>14379</v>
      </c>
      <c r="B39747" s="0" t="str">
        <f aca="false">HYPERLINK("https://lindat.mff.cuni.cz/services/teitok/pdtc10/index.php?action=vallex&amp;frame=v-w10835f2", "přišroubovat (v-w10835f2)")</f>
        <v>přišroubovat (v-w10835f2)</v>
      </c>
    </row>
    <row r="39748" customFormat="false" ht="12.8" hidden="false" customHeight="false" outlineLevel="0" collapsed="false">
      <c r="B39748" s="0" t="s">
        <v>7</v>
      </c>
      <c r="D39748" s="0" t="s">
        <v>504</v>
      </c>
      <c r="E39748" s="0" t="s">
        <v>504</v>
      </c>
      <c r="F39748" s="0" t="s">
        <v>504</v>
      </c>
    </row>
    <row r="39749" customFormat="false" ht="12.8" hidden="false" customHeight="false" outlineLevel="0" collapsed="false">
      <c r="B39749" s="0" t="s">
        <v>14</v>
      </c>
      <c r="C39749" s="0" t="s">
        <v>155</v>
      </c>
      <c r="D39749" s="0" t="s">
        <v>7682</v>
      </c>
      <c r="E39749" s="0" t="s">
        <v>7682</v>
      </c>
      <c r="F39749" s="0" t="s">
        <v>7682</v>
      </c>
    </row>
    <row r="39751" customFormat="false" ht="12.8" hidden="false" customHeight="false" outlineLevel="0" collapsed="false">
      <c r="A39751" s="0" t="s">
        <v>14380</v>
      </c>
      <c r="B39751" s="0" t="str">
        <f aca="false">HYPERLINK("https://lindat.mff.cuni.cz/services/teitok/pdtc10/index.php?action=vallex&amp;frame=v-w5301f2", "přišít (v-w5301f2)")</f>
        <v>přišít (v-w5301f2)</v>
      </c>
    </row>
    <row r="39752" customFormat="false" ht="12.8" hidden="false" customHeight="false" outlineLevel="0" collapsed="false">
      <c r="B39752" s="0" t="s">
        <v>7</v>
      </c>
    </row>
    <row r="39753" customFormat="false" ht="12.8" hidden="false" customHeight="false" outlineLevel="0" collapsed="false">
      <c r="B39753" s="0" t="s">
        <v>14</v>
      </c>
    </row>
    <row r="39754" customFormat="false" ht="12.8" hidden="false" customHeight="false" outlineLevel="0" collapsed="false">
      <c r="B39754" s="0" t="s">
        <v>48</v>
      </c>
    </row>
    <row r="39756" customFormat="false" ht="12.8" hidden="false" customHeight="false" outlineLevel="0" collapsed="false">
      <c r="A39756" s="0" t="s">
        <v>14381</v>
      </c>
      <c r="B39756" s="0" t="str">
        <f aca="false">HYPERLINK("https://lindat.mff.cuni.cz/services/teitok/pdtc10/index.php?action=vallex&amp;frame=v-w5301f1", "přišít (v-w5301f1)")</f>
        <v>přišít (v-w5301f1)</v>
      </c>
    </row>
    <row r="39757" customFormat="false" ht="12.8" hidden="false" customHeight="false" outlineLevel="0" collapsed="false">
      <c r="B39757" s="0" t="s">
        <v>7</v>
      </c>
    </row>
    <row r="39758" customFormat="false" ht="12.8" hidden="false" customHeight="false" outlineLevel="0" collapsed="false">
      <c r="B39758" s="0" t="s">
        <v>14</v>
      </c>
    </row>
    <row r="39759" customFormat="false" ht="12.8" hidden="false" customHeight="false" outlineLevel="0" collapsed="false">
      <c r="B39759" s="0" t="s">
        <v>124</v>
      </c>
    </row>
    <row r="39761" customFormat="false" ht="12.8" hidden="false" customHeight="false" outlineLevel="0" collapsed="false">
      <c r="A39761" s="0" t="s">
        <v>14382</v>
      </c>
      <c r="B39761" s="0" t="str">
        <f aca="false">HYPERLINK("https://lindat.mff.cuni.cz/services/teitok/pdtc10/index.php?action=vallex&amp;frame=v-w11940_ZUf1_ZU", "přišívat (v-w11940_ZUf1_ZU)")</f>
        <v>přišívat (v-w11940_ZUf1_ZU)</v>
      </c>
    </row>
    <row r="39762" customFormat="false" ht="12.8" hidden="false" customHeight="false" outlineLevel="0" collapsed="false">
      <c r="B39762" s="0" t="s">
        <v>7</v>
      </c>
    </row>
    <row r="39763" customFormat="false" ht="12.8" hidden="false" customHeight="false" outlineLevel="0" collapsed="false">
      <c r="B39763" s="0" t="s">
        <v>14</v>
      </c>
    </row>
    <row r="39764" customFormat="false" ht="12.8" hidden="false" customHeight="false" outlineLevel="0" collapsed="false">
      <c r="B39764" s="0" t="s">
        <v>338</v>
      </c>
    </row>
    <row r="39766" customFormat="false" ht="12.8" hidden="false" customHeight="false" outlineLevel="0" collapsed="false">
      <c r="A39766" s="0" t="s">
        <v>14383</v>
      </c>
      <c r="B39766" s="0" t="str">
        <f aca="false">HYPERLINK("https://lindat.mff.cuni.cz/services/teitok/pdtc10/index.php?action=vallex&amp;frame=v-w11919_ZUf1_ZU", "přiťukat (v-w11919_ZUf1_ZU)")</f>
        <v>přiťukat (v-w11919_ZUf1_ZU)</v>
      </c>
    </row>
    <row r="39767" customFormat="false" ht="12.8" hidden="false" customHeight="false" outlineLevel="0" collapsed="false">
      <c r="B39767" s="0" t="s">
        <v>7</v>
      </c>
    </row>
    <row r="39768" customFormat="false" ht="12.8" hidden="false" customHeight="false" outlineLevel="0" collapsed="false">
      <c r="B39768" s="0" t="s">
        <v>14</v>
      </c>
    </row>
    <row r="39770" customFormat="false" ht="12.8" hidden="false" customHeight="false" outlineLevel="0" collapsed="false">
      <c r="A39770" s="0" t="s">
        <v>14384</v>
      </c>
      <c r="B39770" s="0" t="str">
        <f aca="false">HYPERLINK("https://lindat.mff.cuni.cz/services/teitok/pdtc10/index.php?action=vallex&amp;frame=v-w5320f1", "přiťuknout (v-w5320f1)")</f>
        <v>přiťuknout (v-w5320f1)</v>
      </c>
    </row>
    <row r="39771" customFormat="false" ht="12.8" hidden="false" customHeight="false" outlineLevel="0" collapsed="false">
      <c r="B39771" s="0" t="s">
        <v>7</v>
      </c>
    </row>
    <row r="39772" customFormat="false" ht="12.8" hidden="false" customHeight="false" outlineLevel="0" collapsed="false">
      <c r="B39772" s="0" t="s">
        <v>14</v>
      </c>
    </row>
    <row r="39773" customFormat="false" ht="12.8" hidden="false" customHeight="false" outlineLevel="0" collapsed="false">
      <c r="B39773" s="0" t="s">
        <v>48</v>
      </c>
    </row>
    <row r="39775" customFormat="false" ht="12.8" hidden="false" customHeight="false" outlineLevel="0" collapsed="false">
      <c r="A39775" s="0" t="s">
        <v>14385</v>
      </c>
      <c r="B39775" s="0" t="str">
        <f aca="false">HYPERLINK("https://lindat.mff.cuni.cz/services/teitok/pdtc10/index.php?action=vallex&amp;frame=v-w5320f2_ZU", "přiťuknout (v-w5320f2_ZU)")</f>
        <v>přiťuknout (v-w5320f2_ZU)</v>
      </c>
    </row>
    <row r="39776" customFormat="false" ht="12.8" hidden="false" customHeight="false" outlineLevel="0" collapsed="false">
      <c r="B39776" s="0" t="s">
        <v>7</v>
      </c>
    </row>
    <row r="39777" customFormat="false" ht="12.8" hidden="false" customHeight="false" outlineLevel="0" collapsed="false">
      <c r="B39777" s="0" t="s">
        <v>48</v>
      </c>
    </row>
    <row r="39778" customFormat="false" ht="12.8" hidden="false" customHeight="false" outlineLevel="0" collapsed="false">
      <c r="B39778" s="0" t="s">
        <v>63</v>
      </c>
    </row>
    <row r="39780" customFormat="false" ht="12.8" hidden="false" customHeight="false" outlineLevel="0" collapsed="false">
      <c r="A39780" s="0" t="s">
        <v>14386</v>
      </c>
      <c r="B39780" s="0" t="str">
        <f aca="false">HYPERLINK("https://lindat.mff.cuni.cz/services/teitok/pdtc10/index.php?action=vallex&amp;frame=v-whsa_1595hsa_1596", "přiťuknout si (v-whsa_1595hsa_1596)")</f>
        <v>přiťuknout si (v-whsa_1595hsa_1596)</v>
      </c>
    </row>
    <row r="39781" customFormat="false" ht="12.8" hidden="false" customHeight="false" outlineLevel="0" collapsed="false">
      <c r="B39781" s="0" t="s">
        <v>7</v>
      </c>
    </row>
    <row r="39782" customFormat="false" ht="12.8" hidden="false" customHeight="false" outlineLevel="0" collapsed="false">
      <c r="B39782" s="0" t="s">
        <v>207</v>
      </c>
    </row>
    <row r="39783" customFormat="false" ht="12.8" hidden="false" customHeight="false" outlineLevel="0" collapsed="false">
      <c r="B39783" s="0" t="s">
        <v>63</v>
      </c>
    </row>
    <row r="39785" customFormat="false" ht="12.8" hidden="false" customHeight="false" outlineLevel="0" collapsed="false">
      <c r="A39785" s="0" t="s">
        <v>14387</v>
      </c>
      <c r="B39785" s="0" t="str">
        <f aca="false">HYPERLINK("https://lindat.mff.cuni.cz/services/teitok/pdtc10/index.php?action=vallex&amp;frame=v-w11476f1", "přiženit se (v-w11476f1)")</f>
        <v>přiženit se (v-w11476f1)</v>
      </c>
    </row>
    <row r="39786" customFormat="false" ht="12.8" hidden="false" customHeight="false" outlineLevel="0" collapsed="false">
      <c r="B39786" s="0" t="s">
        <v>7</v>
      </c>
      <c r="D39786" s="0" t="s">
        <v>1705</v>
      </c>
      <c r="E39786" s="0" t="s">
        <v>1706</v>
      </c>
      <c r="F39786" s="0" t="s">
        <v>1706</v>
      </c>
    </row>
    <row r="39787" customFormat="false" ht="12.8" hidden="false" customHeight="false" outlineLevel="0" collapsed="false">
      <c r="B39787" s="0" t="s">
        <v>124</v>
      </c>
      <c r="D39787" s="0" t="s">
        <v>1707</v>
      </c>
      <c r="E39787" s="0" t="s">
        <v>1707</v>
      </c>
      <c r="F39787" s="0" t="s">
        <v>1707</v>
      </c>
    </row>
    <row r="39789" customFormat="false" ht="12.8" hidden="false" customHeight="false" outlineLevel="0" collapsed="false">
      <c r="A39789" s="0" t="s">
        <v>14388</v>
      </c>
      <c r="B39789" s="0" t="str">
        <f aca="false">HYPERLINK("https://lindat.mff.cuni.cz/services/teitok/pdtc10/index.php?action=vallex&amp;frame=v-w10152f2", "přiživit (v-w10152f2)")</f>
        <v>přiživit (v-w10152f2)</v>
      </c>
    </row>
    <row r="39790" customFormat="false" ht="12.8" hidden="false" customHeight="false" outlineLevel="0" collapsed="false">
      <c r="B39790" s="0" t="s">
        <v>7</v>
      </c>
      <c r="C39790" s="0" t="s">
        <v>12283</v>
      </c>
    </row>
    <row r="39791" customFormat="false" ht="12.8" hidden="false" customHeight="false" outlineLevel="0" collapsed="false">
      <c r="B39791" s="0" t="s">
        <v>14</v>
      </c>
      <c r="C39791" s="0" t="s">
        <v>152</v>
      </c>
    </row>
    <row r="39793" customFormat="false" ht="12.8" hidden="false" customHeight="false" outlineLevel="0" collapsed="false">
      <c r="A39793" s="0" t="s">
        <v>14389</v>
      </c>
      <c r="B39793" s="0" t="str">
        <f aca="false">HYPERLINK("https://lindat.mff.cuni.cz/services/teitok/pdtc10/index.php?action=vallex&amp;frame=v-w11251f1", "přiživit se (v-w11251f1)")</f>
        <v>přiživit se (v-w11251f1)</v>
      </c>
    </row>
    <row r="39794" customFormat="false" ht="12.8" hidden="false" customHeight="false" outlineLevel="0" collapsed="false">
      <c r="B39794" s="0" t="s">
        <v>7</v>
      </c>
      <c r="C39794" s="0" t="s">
        <v>569</v>
      </c>
    </row>
    <row r="39795" customFormat="false" ht="12.8" hidden="false" customHeight="false" outlineLevel="0" collapsed="false">
      <c r="B39795" s="0" t="s">
        <v>14390</v>
      </c>
      <c r="C39795" s="0" t="s">
        <v>78</v>
      </c>
    </row>
    <row r="39797" customFormat="false" ht="12.8" hidden="false" customHeight="false" outlineLevel="0" collapsed="false">
      <c r="A39797" s="0" t="s">
        <v>14391</v>
      </c>
      <c r="B39797" s="0" t="str">
        <f aca="false">HYPERLINK("https://lindat.mff.cuni.cz/services/teitok/pdtc10/index.php?action=vallex&amp;frame=v-w5366f1", "přiživovat se (v-w5366f1)")</f>
        <v>přiživovat se (v-w5366f1)</v>
      </c>
    </row>
    <row r="39798" customFormat="false" ht="12.8" hidden="false" customHeight="false" outlineLevel="0" collapsed="false">
      <c r="B39798" s="0" t="s">
        <v>7</v>
      </c>
    </row>
    <row r="39799" customFormat="false" ht="12.8" hidden="false" customHeight="false" outlineLevel="0" collapsed="false">
      <c r="B39799" s="0" t="s">
        <v>14390</v>
      </c>
    </row>
    <row r="39801" customFormat="false" ht="12.8" hidden="false" customHeight="false" outlineLevel="0" collapsed="false">
      <c r="A39801" s="0" t="s">
        <v>14392</v>
      </c>
      <c r="B39801" s="0" t="str">
        <f aca="false">HYPERLINK("https://lindat.mff.cuni.cz/services/teitok/pdtc10/index.php?action=vallex&amp;frame=v-w4663f3", "přát (v-w4663f3)")</f>
        <v>přát (v-w4663f3)</v>
      </c>
    </row>
    <row r="39802" customFormat="false" ht="12.8" hidden="false" customHeight="false" outlineLevel="0" collapsed="false">
      <c r="B39802" s="0" t="s">
        <v>7</v>
      </c>
      <c r="C39802" s="0" t="s">
        <v>335</v>
      </c>
      <c r="D39802" s="0" t="s">
        <v>335</v>
      </c>
      <c r="E39802" s="0" t="s">
        <v>335</v>
      </c>
      <c r="F39802" s="0" t="s">
        <v>335</v>
      </c>
    </row>
    <row r="39803" customFormat="false" ht="12.8" hidden="false" customHeight="false" outlineLevel="0" collapsed="false">
      <c r="B39803" s="0" t="s">
        <v>14393</v>
      </c>
      <c r="C39803" s="0" t="s">
        <v>115</v>
      </c>
      <c r="D39803" s="0" t="s">
        <v>115</v>
      </c>
      <c r="E39803" s="0" t="s">
        <v>115</v>
      </c>
      <c r="F39803" s="0" t="s">
        <v>115</v>
      </c>
    </row>
    <row r="39804" customFormat="false" ht="12.8" hidden="false" customHeight="false" outlineLevel="0" collapsed="false">
      <c r="B39804" s="0" t="s">
        <v>48</v>
      </c>
      <c r="C39804" s="0" t="s">
        <v>12163</v>
      </c>
      <c r="D39804" s="0" t="s">
        <v>12163</v>
      </c>
      <c r="E39804" s="0" t="s">
        <v>12163</v>
      </c>
      <c r="F39804" s="0" t="s">
        <v>12163</v>
      </c>
    </row>
    <row r="39806" customFormat="false" ht="12.8" hidden="false" customHeight="false" outlineLevel="0" collapsed="false">
      <c r="A39806" s="0" t="s">
        <v>14394</v>
      </c>
      <c r="B39806" s="0" t="str">
        <f aca="false">HYPERLINK("https://lindat.mff.cuni.cz/services/teitok/pdtc10/index.php?action=vallex&amp;frame=v-w4663f1", "přát (v-w4663f1)")</f>
        <v>přát (v-w4663f1)</v>
      </c>
    </row>
    <row r="39807" customFormat="false" ht="12.8" hidden="false" customHeight="false" outlineLevel="0" collapsed="false">
      <c r="B39807" s="0" t="s">
        <v>7</v>
      </c>
      <c r="C39807" s="0" t="s">
        <v>335</v>
      </c>
    </row>
    <row r="39808" customFormat="false" ht="12.8" hidden="false" customHeight="false" outlineLevel="0" collapsed="false">
      <c r="B39808" s="0" t="s">
        <v>14395</v>
      </c>
      <c r="C39808" s="0" t="s">
        <v>115</v>
      </c>
    </row>
    <row r="39809" customFormat="false" ht="12.8" hidden="false" customHeight="false" outlineLevel="0" collapsed="false">
      <c r="B39809" s="0" t="s">
        <v>48</v>
      </c>
      <c r="C39809" s="0" t="s">
        <v>12163</v>
      </c>
    </row>
    <row r="39811" customFormat="false" ht="12.8" hidden="false" customHeight="false" outlineLevel="0" collapsed="false">
      <c r="A39811" s="0" t="s">
        <v>14396</v>
      </c>
      <c r="B39811" s="0" t="str">
        <f aca="false">HYPERLINK("https://lindat.mff.cuni.cz/services/teitok/pdtc10/index.php?action=vallex&amp;frame=v-w4663f2", "přát (v-w4663f2)")</f>
        <v>přát (v-w4663f2)</v>
      </c>
    </row>
    <row r="39812" customFormat="false" ht="12.8" hidden="false" customHeight="false" outlineLevel="0" collapsed="false">
      <c r="B39812" s="0" t="s">
        <v>7</v>
      </c>
    </row>
    <row r="39813" customFormat="false" ht="12.8" hidden="false" customHeight="false" outlineLevel="0" collapsed="false">
      <c r="B39813" s="0" t="s">
        <v>142</v>
      </c>
    </row>
    <row r="39815" customFormat="false" ht="12.8" hidden="false" customHeight="false" outlineLevel="0" collapsed="false">
      <c r="A39815" s="0" t="s">
        <v>14397</v>
      </c>
      <c r="B39815" s="0" t="str">
        <f aca="false">HYPERLINK("https://lindat.mff.cuni.cz/services/teitok/pdtc10/index.php?action=vallex&amp;frame=v-w4666f2", "přát si (v-w4666f2)")</f>
        <v>přát si (v-w4666f2)</v>
      </c>
    </row>
    <row r="39816" customFormat="false" ht="12.8" hidden="false" customHeight="false" outlineLevel="0" collapsed="false">
      <c r="B39816" s="0" t="s">
        <v>7</v>
      </c>
      <c r="C39816" s="0" t="s">
        <v>5428</v>
      </c>
      <c r="D39816" s="0" t="s">
        <v>5448</v>
      </c>
      <c r="E39816" s="0" t="s">
        <v>5448</v>
      </c>
      <c r="F39816" s="0" t="s">
        <v>5448</v>
      </c>
    </row>
    <row r="39817" customFormat="false" ht="12.8" hidden="false" customHeight="false" outlineLevel="0" collapsed="false">
      <c r="B39817" s="0" t="s">
        <v>14398</v>
      </c>
      <c r="C39817" s="0" t="s">
        <v>5429</v>
      </c>
      <c r="D39817" s="0" t="s">
        <v>5449</v>
      </c>
      <c r="E39817" s="0" t="s">
        <v>5449</v>
      </c>
      <c r="F39817" s="0" t="s">
        <v>5449</v>
      </c>
    </row>
    <row r="39818" customFormat="false" ht="12.8" hidden="false" customHeight="false" outlineLevel="0" collapsed="false">
      <c r="B39818" s="0" t="s">
        <v>441</v>
      </c>
      <c r="D39818" s="0" t="s">
        <v>14399</v>
      </c>
      <c r="E39818" s="0" t="s">
        <v>14399</v>
      </c>
      <c r="F39818" s="0" t="s">
        <v>14399</v>
      </c>
    </row>
    <row r="39820" customFormat="false" ht="12.8" hidden="false" customHeight="false" outlineLevel="0" collapsed="false">
      <c r="A39820" s="0" t="s">
        <v>14400</v>
      </c>
      <c r="B39820" s="0" t="str">
        <f aca="false">HYPERLINK("https://lindat.mff.cuni.cz/services/teitok/pdtc10/index.php?action=vallex&amp;frame=v-w4666f1", "přát si (v-w4666f1)")</f>
        <v>přát si (v-w4666f1)</v>
      </c>
    </row>
    <row r="39821" customFormat="false" ht="12.8" hidden="false" customHeight="false" outlineLevel="0" collapsed="false">
      <c r="B39821" s="0" t="s">
        <v>7</v>
      </c>
      <c r="C39821" s="0" t="s">
        <v>14401</v>
      </c>
      <c r="D39821" s="0" t="s">
        <v>14402</v>
      </c>
      <c r="E39821" s="0" t="s">
        <v>14402</v>
      </c>
      <c r="F39821" s="0" t="s">
        <v>14402</v>
      </c>
    </row>
    <row r="39822" customFormat="false" ht="12.8" hidden="false" customHeight="false" outlineLevel="0" collapsed="false">
      <c r="B39822" s="0" t="s">
        <v>14403</v>
      </c>
      <c r="C39822" s="0" t="s">
        <v>14404</v>
      </c>
      <c r="D39822" s="0" t="s">
        <v>14405</v>
      </c>
      <c r="E39822" s="0" t="s">
        <v>14405</v>
      </c>
      <c r="F39822" s="0" t="s">
        <v>14405</v>
      </c>
    </row>
    <row r="39824" customFormat="false" ht="12.8" hidden="false" customHeight="false" outlineLevel="0" collapsed="false">
      <c r="A39824" s="0" t="s">
        <v>14406</v>
      </c>
      <c r="B39824" s="0" t="str">
        <f aca="false">HYPERLINK("https://lindat.mff.cuni.cz/services/teitok/pdtc10/index.php?action=vallex&amp;frame=v-w4664f1", "přátelit se (v-w4664f1)")</f>
        <v>přátelit se (v-w4664f1)</v>
      </c>
    </row>
    <row r="39825" customFormat="false" ht="12.8" hidden="false" customHeight="false" outlineLevel="0" collapsed="false">
      <c r="B39825" s="0" t="s">
        <v>7</v>
      </c>
    </row>
    <row r="39826" customFormat="false" ht="12.8" hidden="false" customHeight="false" outlineLevel="0" collapsed="false">
      <c r="B39826" s="0" t="s">
        <v>548</v>
      </c>
    </row>
    <row r="39828" customFormat="false" ht="12.8" hidden="false" customHeight="false" outlineLevel="0" collapsed="false">
      <c r="A39828" s="0" t="s">
        <v>14407</v>
      </c>
      <c r="B39828" s="0" t="str">
        <f aca="false">HYPERLINK("https://lindat.mff.cuni.cz/services/teitok/pdtc10/index.php?action=vallex&amp;frame=v-w5262f1", "přísahat (v-w5262f1)")</f>
        <v>přísahat (v-w5262f1)</v>
      </c>
    </row>
    <row r="39829" customFormat="false" ht="12.8" hidden="false" customHeight="false" outlineLevel="0" collapsed="false">
      <c r="B39829" s="0" t="s">
        <v>7</v>
      </c>
      <c r="C39829" s="0" t="s">
        <v>1142</v>
      </c>
      <c r="D39829" s="0" t="s">
        <v>14142</v>
      </c>
      <c r="E39829" s="0" t="s">
        <v>14142</v>
      </c>
      <c r="F39829" s="0" t="s">
        <v>14142</v>
      </c>
    </row>
    <row r="39830" customFormat="false" ht="12.8" hidden="false" customHeight="false" outlineLevel="0" collapsed="false">
      <c r="B39830" s="0" t="s">
        <v>1444</v>
      </c>
      <c r="C39830" s="0" t="s">
        <v>5444</v>
      </c>
      <c r="D39830" s="0" t="s">
        <v>14145</v>
      </c>
      <c r="E39830" s="0" t="s">
        <v>14145</v>
      </c>
      <c r="F39830" s="0" t="s">
        <v>14145</v>
      </c>
    </row>
    <row r="39831" customFormat="false" ht="12.8" hidden="false" customHeight="false" outlineLevel="0" collapsed="false">
      <c r="B39831" s="0" t="s">
        <v>48</v>
      </c>
      <c r="D39831" s="0" t="s">
        <v>14146</v>
      </c>
      <c r="E39831" s="0" t="s">
        <v>14146</v>
      </c>
      <c r="F39831" s="0" t="s">
        <v>14146</v>
      </c>
    </row>
    <row r="39833" customFormat="false" ht="12.8" hidden="false" customHeight="false" outlineLevel="0" collapsed="false">
      <c r="A39833" s="0" t="s">
        <v>14408</v>
      </c>
      <c r="B39833" s="0" t="str">
        <f aca="false">HYPERLINK("https://lindat.mff.cuni.cz/services/teitok/pdtc10/index.php?action=vallex&amp;frame=v-w5268f2", "příslušet (v-w5268f2)")</f>
        <v>příslušet (v-w5268f2)</v>
      </c>
    </row>
    <row r="39834" customFormat="false" ht="12.8" hidden="false" customHeight="false" outlineLevel="0" collapsed="false">
      <c r="B39834" s="0" t="s">
        <v>7</v>
      </c>
      <c r="C39834" s="0" t="s">
        <v>200</v>
      </c>
    </row>
    <row r="39835" customFormat="false" ht="12.8" hidden="false" customHeight="false" outlineLevel="0" collapsed="false">
      <c r="B39835" s="0" t="s">
        <v>268</v>
      </c>
      <c r="C39835" s="0" t="s">
        <v>3694</v>
      </c>
    </row>
    <row r="39837" customFormat="false" ht="12.8" hidden="false" customHeight="false" outlineLevel="0" collapsed="false">
      <c r="A39837" s="0" t="s">
        <v>14409</v>
      </c>
      <c r="B39837" s="0" t="str">
        <f aca="false">HYPERLINK("https://lindat.mff.cuni.cz/services/teitok/pdtc10/index.php?action=vallex&amp;frame=v-w5268f4", "příslušet (v-w5268f4)")</f>
        <v>příslušet (v-w5268f4)</v>
      </c>
    </row>
    <row r="39838" customFormat="false" ht="12.8" hidden="false" customHeight="false" outlineLevel="0" collapsed="false">
      <c r="B39838" s="0" t="s">
        <v>603</v>
      </c>
    </row>
    <row r="39839" customFormat="false" ht="12.8" hidden="false" customHeight="false" outlineLevel="0" collapsed="false">
      <c r="B39839" s="0" t="s">
        <v>3108</v>
      </c>
    </row>
    <row r="39841" customFormat="false" ht="12.8" hidden="false" customHeight="false" outlineLevel="0" collapsed="false">
      <c r="A39841" s="0" t="s">
        <v>14410</v>
      </c>
      <c r="B39841" s="0" t="str">
        <f aca="false">HYPERLINK("https://lindat.mff.cuni.cz/services/teitok/pdtc10/index.php?action=vallex&amp;frame=v-w5268f1", "příslušet (v-w5268f1)")</f>
        <v>příslušet (v-w5268f1)</v>
      </c>
    </row>
    <row r="39842" customFormat="false" ht="12.8" hidden="false" customHeight="false" outlineLevel="0" collapsed="false">
      <c r="B39842" s="0" t="s">
        <v>7</v>
      </c>
    </row>
    <row r="39843" customFormat="false" ht="12.8" hidden="false" customHeight="false" outlineLevel="0" collapsed="false">
      <c r="B39843" s="0" t="s">
        <v>124</v>
      </c>
    </row>
    <row r="39845" customFormat="false" ht="12.8" hidden="false" customHeight="false" outlineLevel="0" collapsed="false">
      <c r="A39845" s="0" t="s">
        <v>14411</v>
      </c>
      <c r="B39845" s="0" t="str">
        <f aca="false">HYPERLINK("https://lindat.mff.cuni.cz/services/teitok/pdtc10/index.php?action=vallex&amp;frame=v-w5268f3", "příslušet (v-w5268f3)")</f>
        <v>příslušet (v-w5268f3)</v>
      </c>
    </row>
    <row r="39846" customFormat="false" ht="12.8" hidden="false" customHeight="false" outlineLevel="0" collapsed="false">
      <c r="B39846" s="0" t="s">
        <v>603</v>
      </c>
    </row>
    <row r="39847" customFormat="false" ht="12.8" hidden="false" customHeight="false" outlineLevel="0" collapsed="false">
      <c r="B39847" s="0" t="s">
        <v>7512</v>
      </c>
    </row>
    <row r="39849" customFormat="false" ht="12.8" hidden="false" customHeight="false" outlineLevel="0" collapsed="false">
      <c r="A39849" s="0" t="s">
        <v>14412</v>
      </c>
      <c r="B39849" s="0" t="str">
        <f aca="false">HYPERLINK("https://lindat.mff.cuni.cz/services/teitok/pdtc10/index.php?action=vallex&amp;frame=v-w5269f1", "příslušet se (v-w5269f1)")</f>
        <v>příslušet se (v-w5269f1)</v>
      </c>
    </row>
    <row r="39850" customFormat="false" ht="12.8" hidden="false" customHeight="false" outlineLevel="0" collapsed="false">
      <c r="B39850" s="0" t="s">
        <v>5651</v>
      </c>
    </row>
    <row r="39852" customFormat="false" ht="12.8" hidden="false" customHeight="false" outlineLevel="0" collapsed="false">
      <c r="A39852" s="0" t="s">
        <v>14413</v>
      </c>
      <c r="B39852" s="0" t="str">
        <f aca="false">HYPERLINK("https://lindat.mff.cuni.cz/services/teitok/pdtc10/index.php?action=vallex&amp;frame=v-w5282f2", "příst (v-w5282f2)")</f>
        <v>příst (v-w5282f2)</v>
      </c>
    </row>
    <row r="39853" customFormat="false" ht="12.8" hidden="false" customHeight="false" outlineLevel="0" collapsed="false">
      <c r="B39853" s="0" t="s">
        <v>7</v>
      </c>
    </row>
    <row r="39854" customFormat="false" ht="12.8" hidden="false" customHeight="false" outlineLevel="0" collapsed="false">
      <c r="B39854" s="0" t="s">
        <v>14</v>
      </c>
    </row>
    <row r="39856" customFormat="false" ht="12.8" hidden="false" customHeight="false" outlineLevel="0" collapsed="false">
      <c r="A39856" s="0" t="s">
        <v>14414</v>
      </c>
      <c r="B39856" s="0" t="str">
        <f aca="false">HYPERLINK("https://lindat.mff.cuni.cz/services/teitok/pdtc10/index.php?action=vallex&amp;frame=v-w5282f1", "příst (v-w5282f1)")</f>
        <v>příst (v-w5282f1)</v>
      </c>
    </row>
    <row r="39857" customFormat="false" ht="12.8" hidden="false" customHeight="false" outlineLevel="0" collapsed="false">
      <c r="B39857" s="0" t="s">
        <v>7</v>
      </c>
    </row>
    <row r="39859" customFormat="false" ht="12.8" hidden="false" customHeight="false" outlineLevel="0" collapsed="false">
      <c r="A39859" s="0" t="s">
        <v>14415</v>
      </c>
      <c r="B39859" s="0" t="str">
        <f aca="false">HYPERLINK("https://lindat.mff.cuni.cz/services/teitok/pdtc10/index.php?action=vallex&amp;frame=v-w5318hsa_504", "přít se (v-w5318hsa_504)")</f>
        <v>přít se (v-w5318hsa_504)</v>
      </c>
    </row>
    <row r="39860" customFormat="false" ht="12.8" hidden="false" customHeight="false" outlineLevel="0" collapsed="false">
      <c r="B39860" s="0" t="s">
        <v>7</v>
      </c>
      <c r="C39860" s="0" t="s">
        <v>14009</v>
      </c>
      <c r="D39860" s="0" t="s">
        <v>316</v>
      </c>
      <c r="E39860" s="0" t="s">
        <v>316</v>
      </c>
      <c r="F39860" s="0" t="s">
        <v>316</v>
      </c>
    </row>
    <row r="39861" customFormat="false" ht="12.8" hidden="false" customHeight="false" outlineLevel="0" collapsed="false">
      <c r="B39861" s="0" t="s">
        <v>207</v>
      </c>
      <c r="D39861" s="0" t="s">
        <v>319</v>
      </c>
      <c r="E39861" s="0" t="s">
        <v>319</v>
      </c>
      <c r="F39861" s="0" t="s">
        <v>319</v>
      </c>
    </row>
    <row r="39862" customFormat="false" ht="12.8" hidden="false" customHeight="false" outlineLevel="0" collapsed="false">
      <c r="B39862" s="0" t="s">
        <v>14416</v>
      </c>
      <c r="C39862" s="0" t="s">
        <v>9234</v>
      </c>
      <c r="D39862" s="0" t="s">
        <v>322</v>
      </c>
      <c r="E39862" s="0" t="s">
        <v>322</v>
      </c>
      <c r="F39862" s="0" t="s">
        <v>322</v>
      </c>
    </row>
    <row r="39864" customFormat="false" ht="12.8" hidden="false" customHeight="false" outlineLevel="0" collapsed="false">
      <c r="A39864" s="0" t="s">
        <v>14415</v>
      </c>
      <c r="B39864" s="0" t="str">
        <f aca="false">HYPERLINK("https://lindat.mff.cuni.cz/services/teitok/pdtc10/index.php?action=vallex&amp;frame=v-w5318f1", "přít se (v-w5318f1) - substituted with v-w5318hsa_504")</f>
        <v>přít se (v-w5318f1) - substituted with v-w5318hsa_504</v>
      </c>
    </row>
    <row r="39865" customFormat="false" ht="12.8" hidden="false" customHeight="false" outlineLevel="0" collapsed="false">
      <c r="B39865" s="0" t="s">
        <v>7</v>
      </c>
      <c r="C39865" s="0" t="s">
        <v>1826</v>
      </c>
    </row>
    <row r="39866" customFormat="false" ht="12.8" hidden="false" customHeight="false" outlineLevel="0" collapsed="false">
      <c r="B39866" s="0" t="s">
        <v>207</v>
      </c>
      <c r="C39866" s="0" t="s">
        <v>14417</v>
      </c>
    </row>
    <row r="39867" customFormat="false" ht="12.8" hidden="false" customHeight="false" outlineLevel="0" collapsed="false">
      <c r="B39867" s="0" t="s">
        <v>14416</v>
      </c>
      <c r="C39867" s="0" t="s">
        <v>14418</v>
      </c>
    </row>
    <row r="39869" customFormat="false" ht="12.8" hidden="false" customHeight="false" outlineLevel="0" collapsed="false">
      <c r="A39869" s="0" t="s">
        <v>14419</v>
      </c>
      <c r="B39869" s="0" t="str">
        <f aca="false">HYPERLINK("https://lindat.mff.cuni.cz/services/teitok/pdtc10/index.php?action=vallex&amp;frame=v-w11238f1", "příčit se (v-w11238f1)")</f>
        <v>příčit se (v-w11238f1)</v>
      </c>
    </row>
    <row r="39870" customFormat="false" ht="12.8" hidden="false" customHeight="false" outlineLevel="0" collapsed="false">
      <c r="B39870" s="0" t="s">
        <v>7</v>
      </c>
    </row>
    <row r="39871" customFormat="false" ht="12.8" hidden="false" customHeight="false" outlineLevel="0" collapsed="false">
      <c r="B39871" s="0" t="s">
        <v>142</v>
      </c>
    </row>
    <row r="39873" customFormat="false" ht="12.8" hidden="false" customHeight="false" outlineLevel="0" collapsed="false">
      <c r="A39873" s="0" t="s">
        <v>14420</v>
      </c>
      <c r="B39873" s="0" t="str">
        <f aca="false">HYPERLINK("https://lindat.mff.cuni.cz/services/teitok/pdtc10/index.php?action=vallex&amp;frame=v-w5376f1", "půjčit (v-w5376f1)")</f>
        <v>půjčit (v-w5376f1)</v>
      </c>
    </row>
    <row r="39874" customFormat="false" ht="12.8" hidden="false" customHeight="false" outlineLevel="0" collapsed="false">
      <c r="B39874" s="0" t="s">
        <v>7</v>
      </c>
      <c r="C39874" s="0" t="s">
        <v>1531</v>
      </c>
      <c r="D39874" s="0" t="s">
        <v>12109</v>
      </c>
      <c r="E39874" s="0" t="s">
        <v>12109</v>
      </c>
      <c r="F39874" s="0" t="s">
        <v>12109</v>
      </c>
    </row>
    <row r="39875" customFormat="false" ht="12.8" hidden="false" customHeight="false" outlineLevel="0" collapsed="false">
      <c r="B39875" s="0" t="s">
        <v>14</v>
      </c>
      <c r="C39875" s="0" t="s">
        <v>14421</v>
      </c>
      <c r="D39875" s="0" t="s">
        <v>12110</v>
      </c>
      <c r="E39875" s="0" t="s">
        <v>12110</v>
      </c>
      <c r="F39875" s="0" t="s">
        <v>12110</v>
      </c>
    </row>
    <row r="39876" customFormat="false" ht="12.8" hidden="false" customHeight="false" outlineLevel="0" collapsed="false">
      <c r="B39876" s="0" t="s">
        <v>48</v>
      </c>
      <c r="C39876" s="0" t="s">
        <v>14422</v>
      </c>
      <c r="D39876" s="0" t="s">
        <v>12112</v>
      </c>
      <c r="E39876" s="0" t="s">
        <v>12112</v>
      </c>
      <c r="F39876" s="0" t="s">
        <v>12112</v>
      </c>
    </row>
    <row r="39878" customFormat="false" ht="12.8" hidden="false" customHeight="false" outlineLevel="0" collapsed="false">
      <c r="A39878" s="0" t="s">
        <v>14423</v>
      </c>
      <c r="B39878" s="0" t="str">
        <f aca="false">HYPERLINK("https://lindat.mff.cuni.cz/services/teitok/pdtc10/index.php?action=vallex&amp;frame=v-w5377f1", "půjčit si (v-w5377f1)")</f>
        <v>půjčit si (v-w5377f1)</v>
      </c>
    </row>
    <row r="39879" customFormat="false" ht="12.8" hidden="false" customHeight="false" outlineLevel="0" collapsed="false">
      <c r="B39879" s="0" t="s">
        <v>7</v>
      </c>
      <c r="C39879" s="0" t="s">
        <v>309</v>
      </c>
      <c r="D39879" s="0" t="s">
        <v>3664</v>
      </c>
      <c r="E39879" s="0" t="s">
        <v>3664</v>
      </c>
      <c r="F39879" s="0" t="s">
        <v>3664</v>
      </c>
    </row>
    <row r="39880" customFormat="false" ht="12.8" hidden="false" customHeight="false" outlineLevel="0" collapsed="false">
      <c r="B39880" s="0" t="s">
        <v>14</v>
      </c>
      <c r="C39880" s="0" t="s">
        <v>151</v>
      </c>
      <c r="D39880" s="0" t="s">
        <v>173</v>
      </c>
      <c r="E39880" s="0" t="s">
        <v>173</v>
      </c>
      <c r="F39880" s="0" t="s">
        <v>173</v>
      </c>
    </row>
    <row r="39881" customFormat="false" ht="12.8" hidden="false" customHeight="false" outlineLevel="0" collapsed="false">
      <c r="B39881" s="0" t="s">
        <v>1349</v>
      </c>
      <c r="C39881" s="0" t="s">
        <v>14424</v>
      </c>
      <c r="D39881" s="0" t="s">
        <v>14424</v>
      </c>
      <c r="E39881" s="0" t="s">
        <v>14424</v>
      </c>
      <c r="F39881" s="0" t="s">
        <v>14424</v>
      </c>
    </row>
    <row r="39883" customFormat="false" ht="12.8" hidden="false" customHeight="false" outlineLevel="0" collapsed="false">
      <c r="A39883" s="0" t="s">
        <v>14425</v>
      </c>
      <c r="B39883" s="0" t="str">
        <f aca="false">HYPERLINK("https://lindat.mff.cuni.cz/services/teitok/pdtc10/index.php?action=vallex&amp;frame=v-w5380f1", "půjčovat (v-w5380f1)")</f>
        <v>půjčovat (v-w5380f1)</v>
      </c>
    </row>
    <row r="39884" customFormat="false" ht="12.8" hidden="false" customHeight="false" outlineLevel="0" collapsed="false">
      <c r="B39884" s="0" t="s">
        <v>7</v>
      </c>
      <c r="C39884" s="0" t="s">
        <v>1458</v>
      </c>
      <c r="D39884" s="0" t="s">
        <v>12109</v>
      </c>
      <c r="E39884" s="0" t="s">
        <v>12109</v>
      </c>
      <c r="F39884" s="0" t="s">
        <v>12109</v>
      </c>
    </row>
    <row r="39885" customFormat="false" ht="12.8" hidden="false" customHeight="false" outlineLevel="0" collapsed="false">
      <c r="B39885" s="0" t="s">
        <v>14</v>
      </c>
      <c r="C39885" s="0" t="s">
        <v>14426</v>
      </c>
      <c r="D39885" s="0" t="s">
        <v>12110</v>
      </c>
      <c r="E39885" s="0" t="s">
        <v>12110</v>
      </c>
      <c r="F39885" s="0" t="s">
        <v>12110</v>
      </c>
    </row>
    <row r="39886" customFormat="false" ht="12.8" hidden="false" customHeight="false" outlineLevel="0" collapsed="false">
      <c r="B39886" s="0" t="s">
        <v>48</v>
      </c>
      <c r="C39886" s="0" t="s">
        <v>14427</v>
      </c>
      <c r="D39886" s="0" t="s">
        <v>12112</v>
      </c>
      <c r="E39886" s="0" t="s">
        <v>12112</v>
      </c>
      <c r="F39886" s="0" t="s">
        <v>12112</v>
      </c>
    </row>
    <row r="39888" customFormat="false" ht="12.8" hidden="false" customHeight="false" outlineLevel="0" collapsed="false">
      <c r="A39888" s="0" t="s">
        <v>14428</v>
      </c>
      <c r="B39888" s="0" t="str">
        <f aca="false">HYPERLINK("https://lindat.mff.cuni.cz/services/teitok/pdtc10/index.php?action=vallex&amp;frame=v-w5381f1", "půjčovat si (v-w5381f1)")</f>
        <v>půjčovat si (v-w5381f1)</v>
      </c>
    </row>
    <row r="39889" customFormat="false" ht="12.8" hidden="false" customHeight="false" outlineLevel="0" collapsed="false">
      <c r="B39889" s="0" t="s">
        <v>7</v>
      </c>
      <c r="C39889" s="0" t="s">
        <v>8626</v>
      </c>
      <c r="D39889" s="0" t="s">
        <v>3664</v>
      </c>
      <c r="E39889" s="0" t="s">
        <v>3664</v>
      </c>
      <c r="F39889" s="0" t="s">
        <v>3664</v>
      </c>
    </row>
    <row r="39890" customFormat="false" ht="12.8" hidden="false" customHeight="false" outlineLevel="0" collapsed="false">
      <c r="B39890" s="0" t="s">
        <v>14</v>
      </c>
      <c r="C39890" s="0" t="s">
        <v>14429</v>
      </c>
      <c r="D39890" s="0" t="s">
        <v>173</v>
      </c>
      <c r="E39890" s="0" t="s">
        <v>173</v>
      </c>
      <c r="F39890" s="0" t="s">
        <v>173</v>
      </c>
    </row>
    <row r="39891" customFormat="false" ht="12.8" hidden="false" customHeight="false" outlineLevel="0" collapsed="false">
      <c r="B39891" s="0" t="s">
        <v>1349</v>
      </c>
      <c r="C39891" s="0" t="s">
        <v>14424</v>
      </c>
      <c r="D39891" s="0" t="s">
        <v>14424</v>
      </c>
      <c r="E39891" s="0" t="s">
        <v>14424</v>
      </c>
      <c r="F39891" s="0" t="s">
        <v>14424</v>
      </c>
    </row>
    <row r="39893" customFormat="false" ht="12.8" hidden="false" customHeight="false" outlineLevel="0" collapsed="false">
      <c r="A39893" s="0" t="s">
        <v>14430</v>
      </c>
      <c r="B39893" s="0" t="str">
        <f aca="false">HYPERLINK("https://lindat.mff.cuni.cz/services/teitok/pdtc10/index.php?action=vallex&amp;frame=v-w5388f14_ZU", "působit (v-w5388f14_ZU)")</f>
        <v>působit (v-w5388f14_ZU)</v>
      </c>
    </row>
    <row r="39894" customFormat="false" ht="12.8" hidden="false" customHeight="false" outlineLevel="0" collapsed="false">
      <c r="B39894" s="0" t="s">
        <v>265</v>
      </c>
    </row>
    <row r="39895" customFormat="false" ht="12.8" hidden="false" customHeight="false" outlineLevel="0" collapsed="false">
      <c r="B39895" s="0" t="s">
        <v>14</v>
      </c>
    </row>
    <row r="39896" customFormat="false" ht="12.8" hidden="false" customHeight="false" outlineLevel="0" collapsed="false">
      <c r="B39896" s="0" t="s">
        <v>48</v>
      </c>
    </row>
    <row r="39898" customFormat="false" ht="12.8" hidden="false" customHeight="false" outlineLevel="0" collapsed="false">
      <c r="A39898" s="0" t="s">
        <v>14430</v>
      </c>
      <c r="B39898" s="0" t="str">
        <f aca="false">HYPERLINK("https://lindat.mff.cuni.cz/services/teitok/pdtc10/index.php?action=vallex&amp;frame=v-w5388f4", "působit (v-w5388f4) - substituted with v-w5388f14_ZU")</f>
        <v>působit (v-w5388f4) - substituted with v-w5388f14_ZU</v>
      </c>
    </row>
    <row r="39899" customFormat="false" ht="12.8" hidden="false" customHeight="false" outlineLevel="0" collapsed="false">
      <c r="B39899" s="0" t="s">
        <v>265</v>
      </c>
      <c r="C39899" s="0" t="s">
        <v>14431</v>
      </c>
      <c r="D39899" s="0" t="s">
        <v>570</v>
      </c>
      <c r="E39899" s="0" t="s">
        <v>570</v>
      </c>
      <c r="F39899" s="0" t="s">
        <v>570</v>
      </c>
    </row>
    <row r="39900" customFormat="false" ht="12.8" hidden="false" customHeight="false" outlineLevel="0" collapsed="false">
      <c r="B39900" s="0" t="s">
        <v>14</v>
      </c>
      <c r="C39900" s="0" t="s">
        <v>14432</v>
      </c>
      <c r="D39900" s="0" t="s">
        <v>5917</v>
      </c>
      <c r="E39900" s="0" t="s">
        <v>5917</v>
      </c>
      <c r="F39900" s="0" t="s">
        <v>5917</v>
      </c>
    </row>
    <row r="39901" customFormat="false" ht="12.8" hidden="false" customHeight="false" outlineLevel="0" collapsed="false">
      <c r="B39901" s="0" t="s">
        <v>48</v>
      </c>
      <c r="D39901" s="0" t="s">
        <v>6418</v>
      </c>
      <c r="E39901" s="0" t="s">
        <v>6418</v>
      </c>
      <c r="F39901" s="0" t="s">
        <v>6418</v>
      </c>
    </row>
    <row r="39903" customFormat="false" ht="12.8" hidden="false" customHeight="false" outlineLevel="0" collapsed="false">
      <c r="A39903" s="0" t="s">
        <v>14433</v>
      </c>
      <c r="B39903" s="0" t="str">
        <f aca="false">HYPERLINK("https://lindat.mff.cuni.cz/services/teitok/pdtc10/index.php?action=vallex&amp;frame=v-w5388f5", "působit (v-w5388f5)")</f>
        <v>působit (v-w5388f5)</v>
      </c>
    </row>
    <row r="39904" customFormat="false" ht="12.8" hidden="false" customHeight="false" outlineLevel="0" collapsed="false">
      <c r="B39904" s="0" t="s">
        <v>7</v>
      </c>
      <c r="C39904" s="0" t="s">
        <v>191</v>
      </c>
      <c r="D39904" s="0" t="s">
        <v>252</v>
      </c>
      <c r="E39904" s="0" t="s">
        <v>253</v>
      </c>
      <c r="F39904" s="0" t="s">
        <v>253</v>
      </c>
    </row>
    <row r="39905" customFormat="false" ht="12.8" hidden="false" customHeight="false" outlineLevel="0" collapsed="false">
      <c r="B39905" s="0" t="s">
        <v>14434</v>
      </c>
      <c r="C39905" s="0" t="s">
        <v>47</v>
      </c>
      <c r="D39905" s="0" t="s">
        <v>255</v>
      </c>
      <c r="E39905" s="0" t="s">
        <v>256</v>
      </c>
      <c r="F39905" s="0" t="s">
        <v>256</v>
      </c>
    </row>
    <row r="39907" customFormat="false" ht="12.8" hidden="false" customHeight="false" outlineLevel="0" collapsed="false">
      <c r="A39907" s="0" t="s">
        <v>14435</v>
      </c>
      <c r="B39907" s="0" t="str">
        <f aca="false">HYPERLINK("https://lindat.mff.cuni.cz/services/teitok/pdtc10/index.php?action=vallex&amp;frame=v-w5388f11_ZU", "působit (v-w5388f11_ZU)")</f>
        <v>působit (v-w5388f11_ZU)</v>
      </c>
    </row>
    <row r="39908" customFormat="false" ht="12.8" hidden="false" customHeight="false" outlineLevel="0" collapsed="false">
      <c r="B39908" s="0" t="s">
        <v>979</v>
      </c>
      <c r="C39908" s="0" t="s">
        <v>14436</v>
      </c>
    </row>
    <row r="39909" customFormat="false" ht="12.8" hidden="false" customHeight="false" outlineLevel="0" collapsed="false">
      <c r="B39909" s="0" t="s">
        <v>41</v>
      </c>
      <c r="C39909" s="0" t="s">
        <v>14437</v>
      </c>
    </row>
    <row r="39911" customFormat="false" ht="12.8" hidden="false" customHeight="false" outlineLevel="0" collapsed="false">
      <c r="A39911" s="0" t="s">
        <v>14435</v>
      </c>
      <c r="B39911" s="0" t="str">
        <f aca="false">HYPERLINK("https://lindat.mff.cuni.cz/services/teitok/pdtc10/index.php?action=vallex&amp;frame=v-w5388f3", "působit (v-w5388f3) - substituted with v-w5388f11_ZU")</f>
        <v>působit (v-w5388f3) - substituted with v-w5388f11_ZU</v>
      </c>
    </row>
    <row r="39912" customFormat="false" ht="12.8" hidden="false" customHeight="false" outlineLevel="0" collapsed="false">
      <c r="B39912" s="0" t="s">
        <v>979</v>
      </c>
      <c r="C39912" s="0" t="s">
        <v>14438</v>
      </c>
    </row>
    <row r="39913" customFormat="false" ht="12.8" hidden="false" customHeight="false" outlineLevel="0" collapsed="false">
      <c r="B39913" s="0" t="s">
        <v>41</v>
      </c>
      <c r="C39913" s="0" t="s">
        <v>14439</v>
      </c>
    </row>
    <row r="39915" customFormat="false" ht="12.8" hidden="false" customHeight="false" outlineLevel="0" collapsed="false">
      <c r="A39915" s="0" t="s">
        <v>14435</v>
      </c>
      <c r="B39915" s="0" t="str">
        <f aca="false">HYPERLINK("https://lindat.mff.cuni.cz/services/teitok/pdtc10/index.php?action=vallex&amp;frame=v-w5388f6_ZU", "působit (v-w5388f6_ZU) - substituted with v-w5388f11_ZU")</f>
        <v>působit (v-w5388f6_ZU) - substituted with v-w5388f11_ZU</v>
      </c>
    </row>
    <row r="39916" customFormat="false" ht="12.8" hidden="false" customHeight="false" outlineLevel="0" collapsed="false">
      <c r="B39916" s="0" t="s">
        <v>979</v>
      </c>
    </row>
    <row r="39917" customFormat="false" ht="12.8" hidden="false" customHeight="false" outlineLevel="0" collapsed="false">
      <c r="B39917" s="0" t="s">
        <v>41</v>
      </c>
    </row>
    <row r="39919" customFormat="false" ht="12.8" hidden="false" customHeight="false" outlineLevel="0" collapsed="false">
      <c r="A39919" s="0" t="s">
        <v>14435</v>
      </c>
      <c r="B39919" s="0" t="str">
        <f aca="false">HYPERLINK("https://lindat.mff.cuni.cz/services/teitok/pdtc10/index.php?action=vallex&amp;frame=v-w5388f7_ZU", "působit (v-w5388f7_ZU) - substituted with v-w5388f11_ZU")</f>
        <v>působit (v-w5388f7_ZU) - substituted with v-w5388f11_ZU</v>
      </c>
    </row>
    <row r="39920" customFormat="false" ht="12.8" hidden="false" customHeight="false" outlineLevel="0" collapsed="false">
      <c r="B39920" s="0" t="s">
        <v>979</v>
      </c>
    </row>
    <row r="39921" customFormat="false" ht="12.8" hidden="false" customHeight="false" outlineLevel="0" collapsed="false">
      <c r="B39921" s="0" t="s">
        <v>41</v>
      </c>
    </row>
    <row r="39923" customFormat="false" ht="12.8" hidden="false" customHeight="false" outlineLevel="0" collapsed="false">
      <c r="A39923" s="0" t="s">
        <v>14440</v>
      </c>
      <c r="B39923" s="0" t="str">
        <f aca="false">HYPERLINK("https://lindat.mff.cuni.cz/services/teitok/pdtc10/index.php?action=vallex&amp;frame=v-w5388f1", "působit (v-w5388f1)")</f>
        <v>působit (v-w5388f1)</v>
      </c>
    </row>
    <row r="39924" customFormat="false" ht="12.8" hidden="false" customHeight="false" outlineLevel="0" collapsed="false">
      <c r="B39924" s="0" t="s">
        <v>7</v>
      </c>
      <c r="C39924" s="0" t="s">
        <v>14441</v>
      </c>
      <c r="D39924" s="0" t="s">
        <v>14442</v>
      </c>
      <c r="E39924" s="0" t="s">
        <v>14442</v>
      </c>
      <c r="F39924" s="0" t="s">
        <v>14442</v>
      </c>
    </row>
    <row r="39925" customFormat="false" ht="12.8" hidden="false" customHeight="false" outlineLevel="0" collapsed="false">
      <c r="B39925" s="0" t="s">
        <v>11</v>
      </c>
      <c r="C39925" s="0" t="s">
        <v>14443</v>
      </c>
      <c r="D39925" s="0" t="s">
        <v>5337</v>
      </c>
      <c r="E39925" s="0" t="s">
        <v>5337</v>
      </c>
      <c r="F39925" s="0" t="s">
        <v>5337</v>
      </c>
    </row>
    <row r="39926" customFormat="false" ht="12.8" hidden="false" customHeight="false" outlineLevel="0" collapsed="false">
      <c r="B39926" s="0" t="s">
        <v>3200</v>
      </c>
    </row>
    <row r="39928" customFormat="false" ht="12.8" hidden="false" customHeight="false" outlineLevel="0" collapsed="false">
      <c r="A39928" s="0" t="s">
        <v>14444</v>
      </c>
      <c r="B39928" s="0" t="str">
        <f aca="false">HYPERLINK("https://lindat.mff.cuni.cz/services/teitok/pdtc10/index.php?action=vallex&amp;frame=v-w5388f17_ZU", "působit (v-w5388f17_ZU)")</f>
        <v>působit (v-w5388f17_ZU)</v>
      </c>
    </row>
    <row r="39929" customFormat="false" ht="12.8" hidden="false" customHeight="false" outlineLevel="0" collapsed="false">
      <c r="B39929" s="0" t="s">
        <v>14445</v>
      </c>
    </row>
    <row r="39930" customFormat="false" ht="12.8" hidden="false" customHeight="false" outlineLevel="0" collapsed="false">
      <c r="B39930" s="0" t="s">
        <v>63</v>
      </c>
    </row>
    <row r="39931" customFormat="false" ht="12.8" hidden="false" customHeight="false" outlineLevel="0" collapsed="false">
      <c r="B39931" s="0" t="s">
        <v>4069</v>
      </c>
    </row>
    <row r="39932" customFormat="false" ht="12.8" hidden="false" customHeight="false" outlineLevel="0" collapsed="false">
      <c r="B39932" s="0" t="s">
        <v>14446</v>
      </c>
    </row>
    <row r="39934" customFormat="false" ht="12.8" hidden="false" customHeight="false" outlineLevel="0" collapsed="false">
      <c r="A39934" s="0" t="s">
        <v>14444</v>
      </c>
      <c r="B39934" s="0" t="str">
        <f aca="false">HYPERLINK("https://lindat.mff.cuni.cz/services/teitok/pdtc10/index.php?action=vallex&amp;frame=v-w5388f10_ZU", "působit (v-w5388f10_ZU) - substituted with v-w5388f17_ZU")</f>
        <v>působit (v-w5388f10_ZU) - substituted with v-w5388f17_ZU</v>
      </c>
    </row>
    <row r="39935" customFormat="false" ht="12.8" hidden="false" customHeight="false" outlineLevel="0" collapsed="false">
      <c r="B39935" s="0" t="s">
        <v>14445</v>
      </c>
    </row>
    <row r="39936" customFormat="false" ht="12.8" hidden="false" customHeight="false" outlineLevel="0" collapsed="false">
      <c r="B39936" s="0" t="s">
        <v>63</v>
      </c>
    </row>
    <row r="39937" customFormat="false" ht="12.8" hidden="false" customHeight="false" outlineLevel="0" collapsed="false">
      <c r="B39937" s="0" t="s">
        <v>4069</v>
      </c>
    </row>
    <row r="39938" customFormat="false" ht="12.8" hidden="false" customHeight="false" outlineLevel="0" collapsed="false">
      <c r="B39938" s="0" t="s">
        <v>14446</v>
      </c>
    </row>
    <row r="39940" customFormat="false" ht="12.8" hidden="false" customHeight="false" outlineLevel="0" collapsed="false">
      <c r="A39940" s="0" t="s">
        <v>14444</v>
      </c>
      <c r="B39940" s="0" t="str">
        <f aca="false">HYPERLINK("https://lindat.mff.cuni.cz/services/teitok/pdtc10/index.php?action=vallex&amp;frame=v-w5388f12_ZU", "působit (v-w5388f12_ZU) - substituted with v-w5388f17_ZU")</f>
        <v>působit (v-w5388f12_ZU) - substituted with v-w5388f17_ZU</v>
      </c>
    </row>
    <row r="39941" customFormat="false" ht="12.8" hidden="false" customHeight="false" outlineLevel="0" collapsed="false">
      <c r="B39941" s="0" t="s">
        <v>14445</v>
      </c>
      <c r="C39941" s="0" t="s">
        <v>14447</v>
      </c>
      <c r="D39941" s="0" t="s">
        <v>4304</v>
      </c>
      <c r="E39941" s="0" t="s">
        <v>4304</v>
      </c>
      <c r="F39941" s="0" t="s">
        <v>4304</v>
      </c>
    </row>
    <row r="39942" customFormat="false" ht="12.8" hidden="false" customHeight="false" outlineLevel="0" collapsed="false">
      <c r="B39942" s="0" t="s">
        <v>63</v>
      </c>
    </row>
    <row r="39943" customFormat="false" ht="12.8" hidden="false" customHeight="false" outlineLevel="0" collapsed="false">
      <c r="B39943" s="0" t="s">
        <v>4069</v>
      </c>
      <c r="C39943" s="0" t="s">
        <v>14448</v>
      </c>
      <c r="D39943" s="0" t="s">
        <v>4314</v>
      </c>
      <c r="E39943" s="0" t="s">
        <v>4314</v>
      </c>
      <c r="F39943" s="0" t="s">
        <v>4314</v>
      </c>
    </row>
    <row r="39944" customFormat="false" ht="12.8" hidden="false" customHeight="false" outlineLevel="0" collapsed="false">
      <c r="B39944" s="0" t="s">
        <v>14446</v>
      </c>
    </row>
    <row r="39946" customFormat="false" ht="12.8" hidden="false" customHeight="false" outlineLevel="0" collapsed="false">
      <c r="A39946" s="0" t="s">
        <v>14444</v>
      </c>
      <c r="B39946" s="0" t="str">
        <f aca="false">HYPERLINK("https://lindat.mff.cuni.cz/services/teitok/pdtc10/index.php?action=vallex&amp;frame=v-w5388f13_ZU", "působit (v-w5388f13_ZU) - substituted with v-w5388f17_ZU")</f>
        <v>působit (v-w5388f13_ZU) - substituted with v-w5388f17_ZU</v>
      </c>
    </row>
    <row r="39947" customFormat="false" ht="12.8" hidden="false" customHeight="false" outlineLevel="0" collapsed="false">
      <c r="B39947" s="0" t="s">
        <v>14445</v>
      </c>
    </row>
    <row r="39948" customFormat="false" ht="12.8" hidden="false" customHeight="false" outlineLevel="0" collapsed="false">
      <c r="B39948" s="0" t="s">
        <v>63</v>
      </c>
    </row>
    <row r="39949" customFormat="false" ht="12.8" hidden="false" customHeight="false" outlineLevel="0" collapsed="false">
      <c r="B39949" s="0" t="s">
        <v>4069</v>
      </c>
    </row>
    <row r="39950" customFormat="false" ht="12.8" hidden="false" customHeight="false" outlineLevel="0" collapsed="false">
      <c r="B39950" s="0" t="s">
        <v>14446</v>
      </c>
    </row>
    <row r="39952" customFormat="false" ht="12.8" hidden="false" customHeight="false" outlineLevel="0" collapsed="false">
      <c r="A39952" s="0" t="s">
        <v>14444</v>
      </c>
      <c r="B39952" s="0" t="str">
        <f aca="false">HYPERLINK("https://lindat.mff.cuni.cz/services/teitok/pdtc10/index.php?action=vallex&amp;frame=v-w5388f15_ZU", "působit (v-w5388f15_ZU) - substituted with v-w5388f17_ZU")</f>
        <v>působit (v-w5388f15_ZU) - substituted with v-w5388f17_ZU</v>
      </c>
    </row>
    <row r="39953" customFormat="false" ht="12.8" hidden="false" customHeight="false" outlineLevel="0" collapsed="false">
      <c r="B39953" s="0" t="s">
        <v>14445</v>
      </c>
    </row>
    <row r="39954" customFormat="false" ht="12.8" hidden="false" customHeight="false" outlineLevel="0" collapsed="false">
      <c r="B39954" s="0" t="s">
        <v>63</v>
      </c>
    </row>
    <row r="39955" customFormat="false" ht="12.8" hidden="false" customHeight="false" outlineLevel="0" collapsed="false">
      <c r="B39955" s="0" t="s">
        <v>4069</v>
      </c>
    </row>
    <row r="39956" customFormat="false" ht="12.8" hidden="false" customHeight="false" outlineLevel="0" collapsed="false">
      <c r="B39956" s="0" t="s">
        <v>14446</v>
      </c>
    </row>
    <row r="39958" customFormat="false" ht="12.8" hidden="false" customHeight="false" outlineLevel="0" collapsed="false">
      <c r="A39958" s="0" t="s">
        <v>14444</v>
      </c>
      <c r="B39958" s="0" t="str">
        <f aca="false">HYPERLINK("https://lindat.mff.cuni.cz/services/teitok/pdtc10/index.php?action=vallex&amp;frame=v-w5388f8_ZU", "působit (v-w5388f8_ZU) - substituted with v-w5388f17_ZU")</f>
        <v>působit (v-w5388f8_ZU) - substituted with v-w5388f17_ZU</v>
      </c>
    </row>
    <row r="39959" customFormat="false" ht="12.8" hidden="false" customHeight="false" outlineLevel="0" collapsed="false">
      <c r="B39959" s="0" t="s">
        <v>14445</v>
      </c>
    </row>
    <row r="39960" customFormat="false" ht="12.8" hidden="false" customHeight="false" outlineLevel="0" collapsed="false">
      <c r="B39960" s="0" t="s">
        <v>63</v>
      </c>
    </row>
    <row r="39961" customFormat="false" ht="12.8" hidden="false" customHeight="false" outlineLevel="0" collapsed="false">
      <c r="B39961" s="0" t="s">
        <v>4069</v>
      </c>
    </row>
    <row r="39962" customFormat="false" ht="12.8" hidden="false" customHeight="false" outlineLevel="0" collapsed="false">
      <c r="B39962" s="0" t="s">
        <v>14446</v>
      </c>
    </row>
    <row r="39964" customFormat="false" ht="12.8" hidden="false" customHeight="false" outlineLevel="0" collapsed="false">
      <c r="A39964" s="0" t="s">
        <v>14444</v>
      </c>
      <c r="B39964" s="0" t="str">
        <f aca="false">HYPERLINK("https://lindat.mff.cuni.cz/services/teitok/pdtc10/index.php?action=vallex&amp;frame=v-w5388f9_ZU", "působit (v-w5388f9_ZU) - substituted with v-w5388f17_ZU")</f>
        <v>působit (v-w5388f9_ZU) - substituted with v-w5388f17_ZU</v>
      </c>
    </row>
    <row r="39965" customFormat="false" ht="12.8" hidden="false" customHeight="false" outlineLevel="0" collapsed="false">
      <c r="B39965" s="0" t="s">
        <v>14445</v>
      </c>
    </row>
    <row r="39966" customFormat="false" ht="12.8" hidden="false" customHeight="false" outlineLevel="0" collapsed="false">
      <c r="B39966" s="0" t="s">
        <v>63</v>
      </c>
    </row>
    <row r="39967" customFormat="false" ht="12.8" hidden="false" customHeight="false" outlineLevel="0" collapsed="false">
      <c r="B39967" s="0" t="s">
        <v>4069</v>
      </c>
    </row>
    <row r="39968" customFormat="false" ht="12.8" hidden="false" customHeight="false" outlineLevel="0" collapsed="false">
      <c r="B39968" s="0" t="s">
        <v>14446</v>
      </c>
    </row>
    <row r="39970" customFormat="false" ht="12.8" hidden="false" customHeight="false" outlineLevel="0" collapsed="false">
      <c r="A39970" s="0" t="s">
        <v>14449</v>
      </c>
      <c r="B39970" s="0" t="str">
        <f aca="false">HYPERLINK("https://lindat.mff.cuni.cz/services/teitok/pdtc10/index.php?action=vallex&amp;frame=v-w5388f2", "působit (v-w5388f2)")</f>
        <v>působit (v-w5388f2)</v>
      </c>
    </row>
    <row r="39971" customFormat="false" ht="12.8" hidden="false" customHeight="false" outlineLevel="0" collapsed="false">
      <c r="B39971" s="0" t="s">
        <v>7</v>
      </c>
      <c r="C39971" s="0" t="s">
        <v>14450</v>
      </c>
      <c r="D39971" s="0" t="s">
        <v>868</v>
      </c>
      <c r="E39971" s="0" t="s">
        <v>868</v>
      </c>
      <c r="F39971" s="0" t="s">
        <v>868</v>
      </c>
    </row>
    <row r="39973" customFormat="false" ht="12.8" hidden="false" customHeight="false" outlineLevel="0" collapsed="false">
      <c r="A39973" s="0" t="s">
        <v>14451</v>
      </c>
      <c r="B39973" s="0" t="str">
        <f aca="false">HYPERLINK("https://lindat.mff.cuni.cz/services/teitok/pdtc10/index.php?action=vallex&amp;frame=v-w5388f16_ZU", "působit (v-w5388f16_ZU)")</f>
        <v>působit (v-w5388f16_ZU)</v>
      </c>
    </row>
    <row r="39974" customFormat="false" ht="12.8" hidden="false" customHeight="false" outlineLevel="0" collapsed="false">
      <c r="B39974" s="0" t="s">
        <v>7</v>
      </c>
    </row>
    <row r="39976" customFormat="false" ht="12.8" hidden="false" customHeight="false" outlineLevel="0" collapsed="false">
      <c r="A39976" s="0" t="s">
        <v>14452</v>
      </c>
      <c r="B39976" s="0" t="str">
        <f aca="false">HYPERLINK("https://lindat.mff.cuni.cz/services/teitok/pdtc10/index.php?action=vallex&amp;frame=v-w5388hsa_50", "působit (v-w5388hsa_50)")</f>
        <v>působit (v-w5388hsa_50)</v>
      </c>
    </row>
    <row r="39977" customFormat="false" ht="12.8" hidden="false" customHeight="false" outlineLevel="0" collapsed="false">
      <c r="B39977" s="0" t="s">
        <v>7</v>
      </c>
    </row>
    <row r="39978" customFormat="false" ht="12.8" hidden="false" customHeight="false" outlineLevel="0" collapsed="false">
      <c r="B39978" s="0" t="s">
        <v>54</v>
      </c>
    </row>
    <row r="39980" customFormat="false" ht="12.8" hidden="false" customHeight="false" outlineLevel="0" collapsed="false">
      <c r="A39980" s="0" t="s">
        <v>14453</v>
      </c>
      <c r="B39980" s="0" t="str">
        <f aca="false">HYPERLINK("https://lindat.mff.cuni.cz/services/teitok/pdtc10/index.php?action=vallex&amp;frame=v-whsa_1070hsa_1071", "rabovat (v-whsa_1070hsa_1071)")</f>
        <v>rabovat (v-whsa_1070hsa_1071)</v>
      </c>
    </row>
    <row r="39981" customFormat="false" ht="12.8" hidden="false" customHeight="false" outlineLevel="0" collapsed="false">
      <c r="B39981" s="0" t="s">
        <v>7</v>
      </c>
    </row>
    <row r="39982" customFormat="false" ht="12.8" hidden="false" customHeight="false" outlineLevel="0" collapsed="false">
      <c r="B39982" s="0" t="s">
        <v>14</v>
      </c>
      <c r="D39982" s="0" t="s">
        <v>155</v>
      </c>
      <c r="E39982" s="0" t="s">
        <v>155</v>
      </c>
      <c r="F39982" s="0" t="s">
        <v>155</v>
      </c>
    </row>
    <row r="39984" customFormat="false" ht="12.8" hidden="false" customHeight="false" outlineLevel="0" collapsed="false">
      <c r="A39984" s="0" t="s">
        <v>14454</v>
      </c>
      <c r="B39984" s="0" t="str">
        <f aca="false">HYPERLINK("https://lindat.mff.cuni.cz/services/teitok/pdtc10/index.php?action=vallex&amp;frame=v-whsa_1068hsa_1069", "rabovat (v-whsa_1068hsa_1069)")</f>
        <v>rabovat (v-whsa_1068hsa_1069)</v>
      </c>
    </row>
    <row r="39985" customFormat="false" ht="12.8" hidden="false" customHeight="false" outlineLevel="0" collapsed="false">
      <c r="B39985" s="0" t="s">
        <v>7</v>
      </c>
    </row>
    <row r="39987" customFormat="false" ht="12.8" hidden="false" customHeight="false" outlineLevel="0" collapsed="false">
      <c r="A39987" s="0" t="s">
        <v>14455</v>
      </c>
      <c r="B39987" s="0" t="str">
        <f aca="false">HYPERLINK("https://lindat.mff.cuni.cz/services/teitok/pdtc10/index.php?action=vallex&amp;frame=v-whsb_1068hsa_1069", "rabovat (v-whsb_1068hsa_1069)")</f>
        <v>rabovat (v-whsb_1068hsa_1069)</v>
      </c>
    </row>
    <row r="39988" customFormat="false" ht="12.8" hidden="false" customHeight="false" outlineLevel="0" collapsed="false">
      <c r="B39988" s="0" t="s">
        <v>7</v>
      </c>
    </row>
    <row r="39989" customFormat="false" ht="12.8" hidden="false" customHeight="false" outlineLevel="0" collapsed="false">
      <c r="B39989" s="0" t="s">
        <v>14</v>
      </c>
    </row>
    <row r="39991" customFormat="false" ht="12.8" hidden="false" customHeight="false" outlineLevel="0" collapsed="false">
      <c r="A39991" s="0" t="s">
        <v>14456</v>
      </c>
      <c r="B39991" s="0" t="str">
        <f aca="false">HYPERLINK("https://lindat.mff.cuni.cz/services/teitok/pdtc10/index.php?action=vallex&amp;frame=v-whsa_1068hsa_1070", "rabovat (v-whsa_1068hsa_1070)")</f>
        <v>rabovat (v-whsa_1068hsa_1070)</v>
      </c>
    </row>
    <row r="39992" customFormat="false" ht="12.8" hidden="false" customHeight="false" outlineLevel="0" collapsed="false">
      <c r="B39992" s="0" t="s">
        <v>7</v>
      </c>
    </row>
    <row r="39993" customFormat="false" ht="12.8" hidden="false" customHeight="false" outlineLevel="0" collapsed="false">
      <c r="B39993" s="0" t="s">
        <v>14</v>
      </c>
    </row>
    <row r="39995" customFormat="false" ht="12.8" hidden="false" customHeight="false" outlineLevel="0" collapsed="false">
      <c r="A39995" s="0" t="s">
        <v>14457</v>
      </c>
      <c r="B39995" s="0" t="str">
        <f aca="false">HYPERLINK("https://lindat.mff.cuni.cz/services/teitok/pdtc10/index.php?action=vallex&amp;frame=v-whsa_1070f1_ZU", "rabovat (v-whsa_1070f1_ZU)")</f>
        <v>rabovat (v-whsa_1070f1_ZU)</v>
      </c>
    </row>
    <row r="39996" customFormat="false" ht="12.8" hidden="false" customHeight="false" outlineLevel="0" collapsed="false">
      <c r="B39996" s="0" t="s">
        <v>7</v>
      </c>
    </row>
    <row r="39997" customFormat="false" ht="12.8" hidden="false" customHeight="false" outlineLevel="0" collapsed="false">
      <c r="B39997" s="0" t="s">
        <v>14</v>
      </c>
    </row>
    <row r="39999" customFormat="false" ht="12.8" hidden="false" customHeight="false" outlineLevel="0" collapsed="false">
      <c r="A39999" s="0" t="s">
        <v>14458</v>
      </c>
      <c r="B39999" s="0" t="str">
        <f aca="false">HYPERLINK("https://lindat.mff.cuni.cz/services/teitok/pdtc10/index.php?action=vallex&amp;frame=v-w10989f2", "rachotit (v-w10989f2)")</f>
        <v>rachotit (v-w10989f2)</v>
      </c>
    </row>
    <row r="40000" customFormat="false" ht="12.8" hidden="false" customHeight="false" outlineLevel="0" collapsed="false">
      <c r="B40000" s="0" t="s">
        <v>7</v>
      </c>
      <c r="D40000" s="0" t="s">
        <v>348</v>
      </c>
      <c r="E40000" s="0" t="s">
        <v>348</v>
      </c>
      <c r="F40000" s="0" t="s">
        <v>348</v>
      </c>
    </row>
    <row r="40002" customFormat="false" ht="12.8" hidden="false" customHeight="false" outlineLevel="0" collapsed="false">
      <c r="A40002" s="0" t="s">
        <v>14459</v>
      </c>
      <c r="B40002" s="0" t="str">
        <f aca="false">HYPERLINK("https://lindat.mff.cuni.cz/services/teitok/pdtc10/index.php?action=vallex&amp;frame=v-whsa_1239hsa_1240", "rachtat (v-whsa_1239hsa_1240)")</f>
        <v>rachtat (v-whsa_1239hsa_1240)</v>
      </c>
    </row>
    <row r="40003" customFormat="false" ht="12.8" hidden="false" customHeight="false" outlineLevel="0" collapsed="false">
      <c r="B40003" s="0" t="s">
        <v>7</v>
      </c>
    </row>
    <row r="40005" customFormat="false" ht="12.8" hidden="false" customHeight="false" outlineLevel="0" collapsed="false">
      <c r="A40005" s="0" t="s">
        <v>14460</v>
      </c>
      <c r="B40005" s="0" t="str">
        <f aca="false">HYPERLINK("https://lindat.mff.cuni.cz/services/teitok/pdtc10/index.php?action=vallex&amp;frame=v-w5400f1", "racionalizovat (v-w5400f1)")</f>
        <v>racionalizovat (v-w5400f1)</v>
      </c>
    </row>
    <row r="40006" customFormat="false" ht="12.8" hidden="false" customHeight="false" outlineLevel="0" collapsed="false">
      <c r="B40006" s="0" t="s">
        <v>7</v>
      </c>
    </row>
    <row r="40007" customFormat="false" ht="12.8" hidden="false" customHeight="false" outlineLevel="0" collapsed="false">
      <c r="B40007" s="0" t="s">
        <v>14</v>
      </c>
    </row>
    <row r="40009" customFormat="false" ht="12.8" hidden="false" customHeight="false" outlineLevel="0" collapsed="false">
      <c r="A40009" s="0" t="s">
        <v>14461</v>
      </c>
      <c r="B40009" s="0" t="str">
        <f aca="false">HYPERLINK("https://lindat.mff.cuni.cz/services/teitok/pdtc10/index.php?action=vallex&amp;frame=v-w5405f1", "radikalizovat (v-w5405f1)")</f>
        <v>radikalizovat (v-w5405f1)</v>
      </c>
    </row>
    <row r="40010" customFormat="false" ht="12.8" hidden="false" customHeight="false" outlineLevel="0" collapsed="false">
      <c r="B40010" s="0" t="s">
        <v>7</v>
      </c>
    </row>
    <row r="40011" customFormat="false" ht="12.8" hidden="false" customHeight="false" outlineLevel="0" collapsed="false">
      <c r="B40011" s="0" t="s">
        <v>14</v>
      </c>
    </row>
    <row r="40013" customFormat="false" ht="12.8" hidden="false" customHeight="false" outlineLevel="0" collapsed="false">
      <c r="A40013" s="0" t="s">
        <v>14462</v>
      </c>
      <c r="B40013" s="0" t="str">
        <f aca="false">HYPERLINK("https://lindat.mff.cuni.cz/services/teitok/pdtc10/index.php?action=vallex&amp;frame=v-w5406f3_ZU", "radit (v-w5406f3_ZU)")</f>
        <v>radit (v-w5406f3_ZU)</v>
      </c>
    </row>
    <row r="40014" customFormat="false" ht="12.8" hidden="false" customHeight="false" outlineLevel="0" collapsed="false">
      <c r="B40014" s="0" t="s">
        <v>7</v>
      </c>
      <c r="C40014" s="0" t="s">
        <v>411</v>
      </c>
      <c r="D40014" s="0" t="s">
        <v>2131</v>
      </c>
      <c r="E40014" s="0" t="s">
        <v>2131</v>
      </c>
      <c r="F40014" s="0" t="s">
        <v>2131</v>
      </c>
    </row>
    <row r="40015" customFormat="false" ht="12.8" hidden="false" customHeight="false" outlineLevel="0" collapsed="false">
      <c r="B40015" s="0" t="s">
        <v>14463</v>
      </c>
      <c r="C40015" s="0" t="s">
        <v>14464</v>
      </c>
      <c r="D40015" s="0" t="s">
        <v>2134</v>
      </c>
      <c r="E40015" s="0" t="s">
        <v>2134</v>
      </c>
      <c r="F40015" s="0" t="s">
        <v>2134</v>
      </c>
    </row>
    <row r="40016" customFormat="false" ht="12.8" hidden="false" customHeight="false" outlineLevel="0" collapsed="false">
      <c r="B40016" s="0" t="s">
        <v>48</v>
      </c>
      <c r="C40016" s="0" t="s">
        <v>14465</v>
      </c>
      <c r="D40016" s="0" t="s">
        <v>2136</v>
      </c>
      <c r="E40016" s="0" t="s">
        <v>2136</v>
      </c>
      <c r="F40016" s="0" t="s">
        <v>2136</v>
      </c>
    </row>
    <row r="40018" customFormat="false" ht="12.8" hidden="false" customHeight="false" outlineLevel="0" collapsed="false">
      <c r="A40018" s="0" t="s">
        <v>14462</v>
      </c>
      <c r="B40018" s="0" t="str">
        <f aca="false">HYPERLINK("https://lindat.mff.cuni.cz/services/teitok/pdtc10/index.php?action=vallex&amp;frame=v-w5406f1", "radit (v-w5406f1) - substituted with v-w5406f3_ZU")</f>
        <v>radit (v-w5406f1) - substituted with v-w5406f3_ZU</v>
      </c>
    </row>
    <row r="40019" customFormat="false" ht="12.8" hidden="false" customHeight="false" outlineLevel="0" collapsed="false">
      <c r="B40019" s="0" t="s">
        <v>7</v>
      </c>
      <c r="C40019" s="0" t="s">
        <v>14466</v>
      </c>
    </row>
    <row r="40020" customFormat="false" ht="12.8" hidden="false" customHeight="false" outlineLevel="0" collapsed="false">
      <c r="B40020" s="0" t="s">
        <v>14463</v>
      </c>
      <c r="C40020" s="0" t="s">
        <v>14467</v>
      </c>
    </row>
    <row r="40021" customFormat="false" ht="12.8" hidden="false" customHeight="false" outlineLevel="0" collapsed="false">
      <c r="B40021" s="0" t="s">
        <v>48</v>
      </c>
      <c r="C40021" s="0" t="s">
        <v>14468</v>
      </c>
    </row>
    <row r="40023" customFormat="false" ht="12.8" hidden="false" customHeight="false" outlineLevel="0" collapsed="false">
      <c r="A40023" s="0" t="s">
        <v>14469</v>
      </c>
      <c r="B40023" s="0" t="str">
        <f aca="false">HYPERLINK("https://lindat.mff.cuni.cz/services/teitok/pdtc10/index.php?action=vallex&amp;frame=v-w5406f2", "radit (v-w5406f2)")</f>
        <v>radit (v-w5406f2)</v>
      </c>
    </row>
    <row r="40024" customFormat="false" ht="12.8" hidden="false" customHeight="false" outlineLevel="0" collapsed="false">
      <c r="B40024" s="0" t="s">
        <v>7</v>
      </c>
      <c r="C40024" s="0" t="s">
        <v>335</v>
      </c>
    </row>
    <row r="40025" customFormat="false" ht="12.8" hidden="false" customHeight="false" outlineLevel="0" collapsed="false">
      <c r="B40025" s="0" t="s">
        <v>142</v>
      </c>
      <c r="C40025" s="0" t="s">
        <v>8646</v>
      </c>
    </row>
    <row r="40026" customFormat="false" ht="12.8" hidden="false" customHeight="false" outlineLevel="0" collapsed="false">
      <c r="B40026" s="0" t="s">
        <v>552</v>
      </c>
    </row>
    <row r="40027" customFormat="false" ht="12.8" hidden="false" customHeight="false" outlineLevel="0" collapsed="false">
      <c r="B40027" s="0" t="s">
        <v>474</v>
      </c>
    </row>
    <row r="40028" customFormat="false" ht="12.8" hidden="false" customHeight="false" outlineLevel="0" collapsed="false">
      <c r="B40028" s="0" t="s">
        <v>479</v>
      </c>
    </row>
    <row r="40029" customFormat="false" ht="12.8" hidden="false" customHeight="false" outlineLevel="0" collapsed="false">
      <c r="B40029" s="0" t="s">
        <v>481</v>
      </c>
    </row>
    <row r="40030" customFormat="false" ht="12.8" hidden="false" customHeight="false" outlineLevel="0" collapsed="false">
      <c r="B40030" s="0" t="s">
        <v>483</v>
      </c>
    </row>
    <row r="40032" customFormat="false" ht="12.8" hidden="false" customHeight="false" outlineLevel="0" collapsed="false">
      <c r="A40032" s="0" t="s">
        <v>14470</v>
      </c>
      <c r="B40032" s="0" t="str">
        <f aca="false">HYPERLINK("https://lindat.mff.cuni.cz/services/teitok/pdtc10/index.php?action=vallex&amp;frame=v-w5407hsa_875", "radit se (v-w5407hsa_875)")</f>
        <v>radit se (v-w5407hsa_875)</v>
      </c>
    </row>
    <row r="40033" customFormat="false" ht="12.8" hidden="false" customHeight="false" outlineLevel="0" collapsed="false">
      <c r="B40033" s="0" t="s">
        <v>7</v>
      </c>
      <c r="C40033" s="0" t="s">
        <v>335</v>
      </c>
      <c r="D40033" s="0" t="s">
        <v>209</v>
      </c>
      <c r="E40033" s="0" t="s">
        <v>209</v>
      </c>
      <c r="F40033" s="0" t="s">
        <v>209</v>
      </c>
    </row>
    <row r="40034" customFormat="false" ht="12.8" hidden="false" customHeight="false" outlineLevel="0" collapsed="false">
      <c r="B40034" s="0" t="s">
        <v>207</v>
      </c>
      <c r="C40034" s="0" t="s">
        <v>14471</v>
      </c>
      <c r="D40034" s="0" t="s">
        <v>213</v>
      </c>
      <c r="E40034" s="0" t="s">
        <v>213</v>
      </c>
      <c r="F40034" s="0" t="s">
        <v>213</v>
      </c>
    </row>
    <row r="40035" customFormat="false" ht="12.8" hidden="false" customHeight="false" outlineLevel="0" collapsed="false">
      <c r="B40035" s="0" t="s">
        <v>14472</v>
      </c>
      <c r="C40035" s="0" t="s">
        <v>3427</v>
      </c>
      <c r="D40035" s="0" t="s">
        <v>211</v>
      </c>
      <c r="E40035" s="0" t="s">
        <v>211</v>
      </c>
      <c r="F40035" s="0" t="s">
        <v>211</v>
      </c>
    </row>
    <row r="40037" customFormat="false" ht="12.8" hidden="false" customHeight="false" outlineLevel="0" collapsed="false">
      <c r="A40037" s="0" t="s">
        <v>14470</v>
      </c>
      <c r="B40037" s="0" t="str">
        <f aca="false">HYPERLINK("https://lindat.mff.cuni.cz/services/teitok/pdtc10/index.php?action=vallex&amp;frame=v-w5407f1", "radit se (v-w5407f1) - substituted with v-w5407hsa_875")</f>
        <v>radit se (v-w5407f1) - substituted with v-w5407hsa_875</v>
      </c>
    </row>
    <row r="40038" customFormat="false" ht="12.8" hidden="false" customHeight="false" outlineLevel="0" collapsed="false">
      <c r="B40038" s="0" t="s">
        <v>7</v>
      </c>
      <c r="C40038" s="0" t="s">
        <v>14473</v>
      </c>
    </row>
    <row r="40039" customFormat="false" ht="12.8" hidden="false" customHeight="false" outlineLevel="0" collapsed="false">
      <c r="B40039" s="0" t="s">
        <v>207</v>
      </c>
      <c r="C40039" s="0" t="s">
        <v>14474</v>
      </c>
    </row>
    <row r="40040" customFormat="false" ht="12.8" hidden="false" customHeight="false" outlineLevel="0" collapsed="false">
      <c r="B40040" s="0" t="s">
        <v>14472</v>
      </c>
      <c r="C40040" s="0" t="s">
        <v>14475</v>
      </c>
    </row>
    <row r="40042" customFormat="false" ht="12.8" hidden="false" customHeight="false" outlineLevel="0" collapsed="false">
      <c r="A40042" s="0" t="s">
        <v>14476</v>
      </c>
      <c r="B40042" s="0" t="str">
        <f aca="false">HYPERLINK("https://lindat.mff.cuni.cz/services/teitok/pdtc10/index.php?action=vallex&amp;frame=v-w5409f1", "radovat se (v-w5409f1)")</f>
        <v>radovat se (v-w5409f1)</v>
      </c>
    </row>
    <row r="40043" customFormat="false" ht="12.8" hidden="false" customHeight="false" outlineLevel="0" collapsed="false">
      <c r="B40043" s="0" t="s">
        <v>7</v>
      </c>
      <c r="C40043" s="0" t="s">
        <v>14477</v>
      </c>
      <c r="D40043" s="0" t="s">
        <v>2199</v>
      </c>
      <c r="E40043" s="0" t="s">
        <v>2199</v>
      </c>
      <c r="F40043" s="0" t="s">
        <v>2199</v>
      </c>
    </row>
    <row r="40044" customFormat="false" ht="12.8" hidden="false" customHeight="false" outlineLevel="0" collapsed="false">
      <c r="B40044" s="0" t="s">
        <v>7340</v>
      </c>
      <c r="C40044" s="0" t="s">
        <v>7475</v>
      </c>
      <c r="D40044" s="0" t="s">
        <v>2201</v>
      </c>
      <c r="E40044" s="0" t="s">
        <v>2201</v>
      </c>
      <c r="F40044" s="0" t="s">
        <v>2201</v>
      </c>
    </row>
    <row r="40046" customFormat="false" ht="12.8" hidden="false" customHeight="false" outlineLevel="0" collapsed="false">
      <c r="A40046" s="0" t="s">
        <v>14478</v>
      </c>
      <c r="B40046" s="0" t="str">
        <f aca="false">HYPERLINK("https://lindat.mff.cuni.cz/services/teitok/pdtc10/index.php?action=vallex&amp;frame=v-w5414f1", "ranit (v-w5414f1)")</f>
        <v>ranit (v-w5414f1)</v>
      </c>
    </row>
    <row r="40047" customFormat="false" ht="12.8" hidden="false" customHeight="false" outlineLevel="0" collapsed="false">
      <c r="B40047" s="0" t="s">
        <v>7</v>
      </c>
      <c r="C40047" s="0" t="s">
        <v>14479</v>
      </c>
    </row>
    <row r="40048" customFormat="false" ht="12.8" hidden="false" customHeight="false" outlineLevel="0" collapsed="false">
      <c r="B40048" s="0" t="s">
        <v>14</v>
      </c>
      <c r="C40048" s="0" t="s">
        <v>6840</v>
      </c>
    </row>
    <row r="40050" customFormat="false" ht="12.8" hidden="false" customHeight="false" outlineLevel="0" collapsed="false">
      <c r="A40050" s="0" t="s">
        <v>14480</v>
      </c>
      <c r="B40050" s="0" t="str">
        <f aca="false">HYPERLINK("https://lindat.mff.cuni.cz/services/teitok/pdtc10/index.php?action=vallex&amp;frame=v-w5414f2", "ranit (v-w5414f2)")</f>
        <v>ranit (v-w5414f2)</v>
      </c>
    </row>
    <row r="40051" customFormat="false" ht="12.8" hidden="false" customHeight="false" outlineLevel="0" collapsed="false">
      <c r="B40051" s="0" t="s">
        <v>7</v>
      </c>
    </row>
    <row r="40052" customFormat="false" ht="12.8" hidden="false" customHeight="false" outlineLevel="0" collapsed="false">
      <c r="B40052" s="0" t="s">
        <v>14</v>
      </c>
    </row>
    <row r="40054" customFormat="false" ht="12.8" hidden="false" customHeight="false" outlineLevel="0" collapsed="false">
      <c r="A40054" s="0" t="s">
        <v>14481</v>
      </c>
      <c r="B40054" s="0" t="str">
        <f aca="false">HYPERLINK("https://lindat.mff.cuni.cz/services/teitok/pdtc10/index.php?action=vallex&amp;frame=v-w5416f1", "ratifikovat (v-w5416f1)")</f>
        <v>ratifikovat (v-w5416f1)</v>
      </c>
    </row>
    <row r="40055" customFormat="false" ht="12.8" hidden="false" customHeight="false" outlineLevel="0" collapsed="false">
      <c r="B40055" s="0" t="s">
        <v>7</v>
      </c>
      <c r="C40055" s="0" t="s">
        <v>623</v>
      </c>
      <c r="D40055" s="0" t="s">
        <v>158</v>
      </c>
      <c r="E40055" s="0" t="s">
        <v>158</v>
      </c>
      <c r="F40055" s="0" t="s">
        <v>158</v>
      </c>
    </row>
    <row r="40056" customFormat="false" ht="12.8" hidden="false" customHeight="false" outlineLevel="0" collapsed="false">
      <c r="B40056" s="0" t="s">
        <v>14</v>
      </c>
      <c r="C40056" s="0" t="s">
        <v>78</v>
      </c>
      <c r="D40056" s="0" t="s">
        <v>160</v>
      </c>
      <c r="E40056" s="0" t="s">
        <v>160</v>
      </c>
      <c r="F40056" s="0" t="s">
        <v>160</v>
      </c>
    </row>
    <row r="40058" customFormat="false" ht="12.8" hidden="false" customHeight="false" outlineLevel="0" collapsed="false">
      <c r="A40058" s="0" t="s">
        <v>14482</v>
      </c>
      <c r="B40058" s="0" t="str">
        <f aca="false">HYPERLINK("https://lindat.mff.cuni.cz/services/teitok/pdtc10/index.php?action=vallex&amp;frame=v-w5417f1", "razit (v-w5417f1)")</f>
        <v>razit (v-w5417f1)</v>
      </c>
    </row>
    <row r="40059" customFormat="false" ht="12.8" hidden="false" customHeight="false" outlineLevel="0" collapsed="false">
      <c r="B40059" s="0" t="s">
        <v>7</v>
      </c>
    </row>
    <row r="40060" customFormat="false" ht="12.8" hidden="false" customHeight="false" outlineLevel="0" collapsed="false">
      <c r="B40060" s="0" t="s">
        <v>8273</v>
      </c>
    </row>
    <row r="40062" customFormat="false" ht="12.8" hidden="false" customHeight="false" outlineLevel="0" collapsed="false">
      <c r="A40062" s="0" t="s">
        <v>14483</v>
      </c>
      <c r="B40062" s="0" t="str">
        <f aca="false">HYPERLINK("https://lindat.mff.cuni.cz/services/teitok/pdtc10/index.php?action=vallex&amp;frame=v-w5417hsa_923", "razit (v-w5417hsa_923)")</f>
        <v>razit (v-w5417hsa_923)</v>
      </c>
    </row>
    <row r="40063" customFormat="false" ht="12.8" hidden="false" customHeight="false" outlineLevel="0" collapsed="false">
      <c r="B40063" s="0" t="s">
        <v>7</v>
      </c>
    </row>
    <row r="40064" customFormat="false" ht="12.8" hidden="false" customHeight="false" outlineLevel="0" collapsed="false">
      <c r="B40064" s="0" t="s">
        <v>14</v>
      </c>
    </row>
    <row r="40066" customFormat="false" ht="12.8" hidden="false" customHeight="false" outlineLevel="0" collapsed="false">
      <c r="A40066" s="0" t="s">
        <v>14484</v>
      </c>
      <c r="B40066" s="0" t="str">
        <f aca="false">HYPERLINK("https://lindat.mff.cuni.cz/services/teitok/pdtc10/index.php?action=vallex&amp;frame=v-w10827f2", "razítkovat (v-w10827f2)")</f>
        <v>razítkovat (v-w10827f2)</v>
      </c>
    </row>
    <row r="40067" customFormat="false" ht="12.8" hidden="false" customHeight="false" outlineLevel="0" collapsed="false">
      <c r="B40067" s="0" t="s">
        <v>7</v>
      </c>
    </row>
    <row r="40068" customFormat="false" ht="12.8" hidden="false" customHeight="false" outlineLevel="0" collapsed="false">
      <c r="B40068" s="0" t="s">
        <v>14</v>
      </c>
    </row>
    <row r="40070" customFormat="false" ht="12.8" hidden="false" customHeight="false" outlineLevel="0" collapsed="false">
      <c r="A40070" s="0" t="s">
        <v>14485</v>
      </c>
      <c r="B40070" s="0" t="str">
        <f aca="false">HYPERLINK("https://lindat.mff.cuni.cz/services/teitok/pdtc10/index.php?action=vallex&amp;frame=v-w5422f1", "reagovat (v-w5422f1)")</f>
        <v>reagovat (v-w5422f1)</v>
      </c>
    </row>
    <row r="40071" customFormat="false" ht="12.8" hidden="false" customHeight="false" outlineLevel="0" collapsed="false">
      <c r="B40071" s="0" t="s">
        <v>7</v>
      </c>
      <c r="C40071" s="0" t="s">
        <v>14486</v>
      </c>
      <c r="D40071" s="0" t="s">
        <v>4178</v>
      </c>
      <c r="E40071" s="0" t="s">
        <v>4178</v>
      </c>
      <c r="F40071" s="0" t="s">
        <v>4178</v>
      </c>
    </row>
    <row r="40072" customFormat="false" ht="12.8" hidden="false" customHeight="false" outlineLevel="0" collapsed="false">
      <c r="B40072" s="0" t="s">
        <v>41</v>
      </c>
      <c r="C40072" s="0" t="s">
        <v>14487</v>
      </c>
      <c r="D40072" s="0" t="s">
        <v>8363</v>
      </c>
      <c r="E40072" s="0" t="s">
        <v>8363</v>
      </c>
      <c r="F40072" s="0" t="s">
        <v>8363</v>
      </c>
    </row>
    <row r="40074" customFormat="false" ht="12.8" hidden="false" customHeight="false" outlineLevel="0" collapsed="false">
      <c r="A40074" s="0" t="s">
        <v>14488</v>
      </c>
      <c r="B40074" s="0" t="str">
        <f aca="false">HYPERLINK("https://lindat.mff.cuni.cz/services/teitok/pdtc10/index.php?action=vallex&amp;frame=v-w5422hsa_652", "reagovat (v-w5422hsa_652)")</f>
        <v>reagovat (v-w5422hsa_652)</v>
      </c>
    </row>
    <row r="40075" customFormat="false" ht="12.8" hidden="false" customHeight="false" outlineLevel="0" collapsed="false">
      <c r="B40075" s="0" t="s">
        <v>7</v>
      </c>
    </row>
    <row r="40076" customFormat="false" ht="12.8" hidden="false" customHeight="false" outlineLevel="0" collapsed="false">
      <c r="B40076" s="0" t="s">
        <v>14489</v>
      </c>
    </row>
    <row r="40077" customFormat="false" ht="12.8" hidden="false" customHeight="false" outlineLevel="0" collapsed="false">
      <c r="B40077" s="0" t="s">
        <v>63</v>
      </c>
    </row>
    <row r="40079" customFormat="false" ht="12.8" hidden="false" customHeight="false" outlineLevel="0" collapsed="false">
      <c r="A40079" s="0" t="s">
        <v>14488</v>
      </c>
      <c r="B40079" s="0" t="str">
        <f aca="false">HYPERLINK("https://lindat.mff.cuni.cz/services/teitok/pdtc10/index.php?action=vallex&amp;frame=v-w5422f2", "reagovat (v-w5422f2) - substituted with v-w5422hsa_652")</f>
        <v>reagovat (v-w5422f2) - substituted with v-w5422hsa_652</v>
      </c>
    </row>
    <row r="40080" customFormat="false" ht="12.8" hidden="false" customHeight="false" outlineLevel="0" collapsed="false">
      <c r="B40080" s="0" t="s">
        <v>7</v>
      </c>
    </row>
    <row r="40081" customFormat="false" ht="12.8" hidden="false" customHeight="false" outlineLevel="0" collapsed="false">
      <c r="B40081" s="0" t="s">
        <v>14489</v>
      </c>
    </row>
    <row r="40082" customFormat="false" ht="12.8" hidden="false" customHeight="false" outlineLevel="0" collapsed="false">
      <c r="B40082" s="0" t="s">
        <v>63</v>
      </c>
    </row>
    <row r="40084" customFormat="false" ht="12.8" hidden="false" customHeight="false" outlineLevel="0" collapsed="false">
      <c r="A40084" s="0" t="s">
        <v>14490</v>
      </c>
      <c r="B40084" s="0" t="str">
        <f aca="false">HYPERLINK("https://lindat.mff.cuni.cz/services/teitok/pdtc10/index.php?action=vallex&amp;frame=v-w5428f1", "realizovat (v-w5428f1)")</f>
        <v>realizovat (v-w5428f1)</v>
      </c>
    </row>
    <row r="40085" customFormat="false" ht="12.8" hidden="false" customHeight="false" outlineLevel="0" collapsed="false">
      <c r="B40085" s="0" t="s">
        <v>7</v>
      </c>
      <c r="C40085" s="0" t="s">
        <v>13021</v>
      </c>
      <c r="D40085" s="0" t="s">
        <v>14491</v>
      </c>
      <c r="E40085" s="0" t="s">
        <v>14491</v>
      </c>
      <c r="F40085" s="0" t="s">
        <v>14491</v>
      </c>
    </row>
    <row r="40086" customFormat="false" ht="12.8" hidden="false" customHeight="false" outlineLevel="0" collapsed="false">
      <c r="B40086" s="0" t="s">
        <v>14</v>
      </c>
      <c r="C40086" s="0" t="s">
        <v>14492</v>
      </c>
      <c r="D40086" s="0" t="s">
        <v>14493</v>
      </c>
      <c r="E40086" s="0" t="s">
        <v>14493</v>
      </c>
      <c r="F40086" s="0" t="s">
        <v>14493</v>
      </c>
    </row>
    <row r="40087" customFormat="false" ht="12.8" hidden="false" customHeight="false" outlineLevel="0" collapsed="false">
      <c r="B40087" s="0" t="s">
        <v>35</v>
      </c>
      <c r="D40087" s="0" t="s">
        <v>8048</v>
      </c>
      <c r="E40087" s="0" t="s">
        <v>8048</v>
      </c>
      <c r="F40087" s="0" t="s">
        <v>8048</v>
      </c>
    </row>
    <row r="40089" customFormat="false" ht="12.8" hidden="false" customHeight="false" outlineLevel="0" collapsed="false">
      <c r="A40089" s="0" t="s">
        <v>14494</v>
      </c>
      <c r="B40089" s="0" t="str">
        <f aca="false">HYPERLINK("https://lindat.mff.cuni.cz/services/teitok/pdtc10/index.php?action=vallex&amp;frame=v-w5428f2", "realizovat (v-w5428f2)")</f>
        <v>realizovat (v-w5428f2)</v>
      </c>
    </row>
    <row r="40090" customFormat="false" ht="12.8" hidden="false" customHeight="false" outlineLevel="0" collapsed="false">
      <c r="B40090" s="0" t="s">
        <v>7</v>
      </c>
      <c r="C40090" s="0" t="s">
        <v>14495</v>
      </c>
      <c r="D40090" s="0" t="s">
        <v>2156</v>
      </c>
      <c r="E40090" s="0" t="s">
        <v>14496</v>
      </c>
      <c r="F40090" s="0" t="s">
        <v>14497</v>
      </c>
    </row>
    <row r="40091" customFormat="false" ht="12.8" hidden="false" customHeight="false" outlineLevel="0" collapsed="false">
      <c r="B40091" s="0" t="s">
        <v>232</v>
      </c>
      <c r="C40091" s="0" t="s">
        <v>14498</v>
      </c>
      <c r="D40091" s="0" t="s">
        <v>14499</v>
      </c>
      <c r="E40091" s="0" t="s">
        <v>14500</v>
      </c>
      <c r="F40091" s="0" t="s">
        <v>14501</v>
      </c>
    </row>
    <row r="40093" customFormat="false" ht="12.8" hidden="false" customHeight="false" outlineLevel="0" collapsed="false">
      <c r="A40093" s="0" t="s">
        <v>14502</v>
      </c>
      <c r="B40093" s="0" t="str">
        <f aca="false">HYPERLINK("https://lindat.mff.cuni.cz/services/teitok/pdtc10/index.php?action=vallex&amp;frame=v-w5429f1", "realizovat se (v-w5429f1)")</f>
        <v>realizovat se (v-w5429f1)</v>
      </c>
    </row>
    <row r="40094" customFormat="false" ht="12.8" hidden="false" customHeight="false" outlineLevel="0" collapsed="false">
      <c r="B40094" s="0" t="s">
        <v>7</v>
      </c>
    </row>
    <row r="40096" customFormat="false" ht="12.8" hidden="false" customHeight="false" outlineLevel="0" collapsed="false">
      <c r="A40096" s="0" t="s">
        <v>14503</v>
      </c>
      <c r="B40096" s="0" t="str">
        <f aca="false">HYPERLINK("https://lindat.mff.cuni.cz/services/teitok/pdtc10/index.php?action=vallex&amp;frame=v-w5432f1", "recenzovat (v-w5432f1)")</f>
        <v>recenzovat (v-w5432f1)</v>
      </c>
    </row>
    <row r="40097" customFormat="false" ht="12.8" hidden="false" customHeight="false" outlineLevel="0" collapsed="false">
      <c r="B40097" s="0" t="s">
        <v>7</v>
      </c>
      <c r="C40097" s="0" t="s">
        <v>23</v>
      </c>
    </row>
    <row r="40098" customFormat="false" ht="12.8" hidden="false" customHeight="false" outlineLevel="0" collapsed="false">
      <c r="B40098" s="0" t="s">
        <v>14</v>
      </c>
      <c r="C40098" s="0" t="s">
        <v>2694</v>
      </c>
    </row>
    <row r="40100" customFormat="false" ht="12.8" hidden="false" customHeight="false" outlineLevel="0" collapsed="false">
      <c r="A40100" s="0" t="s">
        <v>14504</v>
      </c>
      <c r="B40100" s="0" t="str">
        <f aca="false">HYPERLINK("https://lindat.mff.cuni.cz/services/teitok/pdtc10/index.php?action=vallex&amp;frame=v-w5437f1", "recitovat (v-w5437f1)")</f>
        <v>recitovat (v-w5437f1)</v>
      </c>
    </row>
    <row r="40101" customFormat="false" ht="12.8" hidden="false" customHeight="false" outlineLevel="0" collapsed="false">
      <c r="B40101" s="0" t="s">
        <v>7</v>
      </c>
    </row>
    <row r="40102" customFormat="false" ht="12.8" hidden="false" customHeight="false" outlineLevel="0" collapsed="false">
      <c r="B40102" s="0" t="s">
        <v>14</v>
      </c>
    </row>
    <row r="40103" customFormat="false" ht="12.8" hidden="false" customHeight="false" outlineLevel="0" collapsed="false">
      <c r="B40103" s="0" t="s">
        <v>106</v>
      </c>
    </row>
    <row r="40105" customFormat="false" ht="12.8" hidden="false" customHeight="false" outlineLevel="0" collapsed="false">
      <c r="A40105" s="0" t="s">
        <v>14505</v>
      </c>
      <c r="B40105" s="0" t="str">
        <f aca="false">HYPERLINK("https://lindat.mff.cuni.cz/services/teitok/pdtc10/index.php?action=vallex&amp;frame=v-w5439f2_ZU", "recyklovat (v-w5439f2_ZU)")</f>
        <v>recyklovat (v-w5439f2_ZU)</v>
      </c>
    </row>
    <row r="40106" customFormat="false" ht="12.8" hidden="false" customHeight="false" outlineLevel="0" collapsed="false">
      <c r="B40106" s="0" t="s">
        <v>7</v>
      </c>
      <c r="C40106" s="0" t="s">
        <v>191</v>
      </c>
      <c r="D40106" s="0" t="s">
        <v>191</v>
      </c>
      <c r="E40106" s="0" t="s">
        <v>191</v>
      </c>
      <c r="F40106" s="0" t="s">
        <v>191</v>
      </c>
    </row>
    <row r="40107" customFormat="false" ht="12.8" hidden="false" customHeight="false" outlineLevel="0" collapsed="false">
      <c r="B40107" s="0" t="s">
        <v>14</v>
      </c>
      <c r="C40107" s="0" t="s">
        <v>120</v>
      </c>
      <c r="D40107" s="0" t="s">
        <v>120</v>
      </c>
      <c r="E40107" s="0" t="s">
        <v>120</v>
      </c>
      <c r="F40107" s="0" t="s">
        <v>120</v>
      </c>
    </row>
    <row r="40108" customFormat="false" ht="12.8" hidden="false" customHeight="false" outlineLevel="0" collapsed="false">
      <c r="B40108" s="0" t="s">
        <v>84</v>
      </c>
    </row>
    <row r="40110" customFormat="false" ht="12.8" hidden="false" customHeight="false" outlineLevel="0" collapsed="false">
      <c r="A40110" s="0" t="s">
        <v>14505</v>
      </c>
      <c r="B40110" s="0" t="str">
        <f aca="false">HYPERLINK("https://lindat.mff.cuni.cz/services/teitok/pdtc10/index.php?action=vallex&amp;frame=v-w5439f1", "recyklovat (v-w5439f1) - substituted with v-w5439f2_ZU")</f>
        <v>recyklovat (v-w5439f1) - substituted with v-w5439f2_ZU</v>
      </c>
    </row>
    <row r="40111" customFormat="false" ht="12.8" hidden="false" customHeight="false" outlineLevel="0" collapsed="false">
      <c r="B40111" s="0" t="s">
        <v>7</v>
      </c>
      <c r="C40111" s="0" t="s">
        <v>21</v>
      </c>
    </row>
    <row r="40112" customFormat="false" ht="12.8" hidden="false" customHeight="false" outlineLevel="0" collapsed="false">
      <c r="B40112" s="0" t="s">
        <v>14</v>
      </c>
      <c r="C40112" s="0" t="s">
        <v>2517</v>
      </c>
    </row>
    <row r="40113" customFormat="false" ht="12.8" hidden="false" customHeight="false" outlineLevel="0" collapsed="false">
      <c r="B40113" s="0" t="s">
        <v>84</v>
      </c>
    </row>
    <row r="40115" customFormat="false" ht="12.8" hidden="false" customHeight="false" outlineLevel="0" collapsed="false">
      <c r="A40115" s="0" t="s">
        <v>14506</v>
      </c>
      <c r="B40115" s="0" t="str">
        <f aca="false">HYPERLINK("https://lindat.mff.cuni.cz/services/teitok/pdtc10/index.php?action=vallex&amp;frame=v-w10244f2", "redefinovat (v-w10244f2)")</f>
        <v>redefinovat (v-w10244f2)</v>
      </c>
    </row>
    <row r="40116" customFormat="false" ht="12.8" hidden="false" customHeight="false" outlineLevel="0" collapsed="false">
      <c r="B40116" s="0" t="s">
        <v>7</v>
      </c>
      <c r="C40116" s="0" t="s">
        <v>46</v>
      </c>
      <c r="D40116" s="0" t="s">
        <v>335</v>
      </c>
      <c r="E40116" s="0" t="s">
        <v>335</v>
      </c>
      <c r="F40116" s="0" t="s">
        <v>335</v>
      </c>
    </row>
    <row r="40117" customFormat="false" ht="12.8" hidden="false" customHeight="false" outlineLevel="0" collapsed="false">
      <c r="B40117" s="0" t="s">
        <v>1520</v>
      </c>
      <c r="C40117" s="0" t="s">
        <v>567</v>
      </c>
      <c r="D40117" s="0" t="s">
        <v>384</v>
      </c>
      <c r="E40117" s="0" t="s">
        <v>384</v>
      </c>
      <c r="F40117" s="0" t="s">
        <v>384</v>
      </c>
    </row>
    <row r="40119" customFormat="false" ht="12.8" hidden="false" customHeight="false" outlineLevel="0" collapsed="false">
      <c r="A40119" s="0" t="s">
        <v>14507</v>
      </c>
      <c r="B40119" s="0" t="str">
        <f aca="false">HYPERLINK("https://lindat.mff.cuni.cz/services/teitok/pdtc10/index.php?action=vallex&amp;frame=v-w12234_ZUf1_ZU", "redigovat (v-w12234_ZUf1_ZU)")</f>
        <v>redigovat (v-w12234_ZUf1_ZU)</v>
      </c>
    </row>
    <row r="40120" customFormat="false" ht="12.8" hidden="false" customHeight="false" outlineLevel="0" collapsed="false">
      <c r="B40120" s="0" t="s">
        <v>7</v>
      </c>
    </row>
    <row r="40121" customFormat="false" ht="12.8" hidden="false" customHeight="false" outlineLevel="0" collapsed="false">
      <c r="B40121" s="0" t="s">
        <v>14</v>
      </c>
    </row>
    <row r="40123" customFormat="false" ht="12.8" hidden="false" customHeight="false" outlineLevel="0" collapsed="false">
      <c r="A40123" s="0" t="s">
        <v>14508</v>
      </c>
      <c r="B40123" s="0" t="str">
        <f aca="false">HYPERLINK("https://lindat.mff.cuni.cz/services/teitok/pdtc10/index.php?action=vallex&amp;frame=v-w5445f1", "redukovat (v-w5445f1)")</f>
        <v>redukovat (v-w5445f1)</v>
      </c>
    </row>
    <row r="40124" customFormat="false" ht="12.8" hidden="false" customHeight="false" outlineLevel="0" collapsed="false">
      <c r="B40124" s="0" t="s">
        <v>7</v>
      </c>
      <c r="C40124" s="0" t="s">
        <v>14509</v>
      </c>
      <c r="D40124" s="0" t="s">
        <v>9101</v>
      </c>
      <c r="E40124" s="0" t="s">
        <v>8863</v>
      </c>
      <c r="F40124" s="0" t="s">
        <v>8863</v>
      </c>
    </row>
    <row r="40125" customFormat="false" ht="12.8" hidden="false" customHeight="false" outlineLevel="0" collapsed="false">
      <c r="B40125" s="0" t="s">
        <v>14</v>
      </c>
      <c r="C40125" s="0" t="s">
        <v>6811</v>
      </c>
      <c r="D40125" s="0" t="s">
        <v>9102</v>
      </c>
      <c r="E40125" s="0" t="s">
        <v>8865</v>
      </c>
      <c r="F40125" s="0" t="s">
        <v>8865</v>
      </c>
    </row>
    <row r="40126" customFormat="false" ht="12.8" hidden="false" customHeight="false" outlineLevel="0" collapsed="false">
      <c r="B40126" s="0" t="s">
        <v>35</v>
      </c>
      <c r="C40126" s="0" t="s">
        <v>14510</v>
      </c>
      <c r="D40126" s="0" t="s">
        <v>9103</v>
      </c>
      <c r="E40126" s="0" t="s">
        <v>8867</v>
      </c>
      <c r="F40126" s="0" t="s">
        <v>8867</v>
      </c>
    </row>
    <row r="40127" customFormat="false" ht="12.8" hidden="false" customHeight="false" outlineLevel="0" collapsed="false">
      <c r="B40127" s="0" t="s">
        <v>84</v>
      </c>
      <c r="C40127" s="0" t="s">
        <v>14511</v>
      </c>
      <c r="D40127" s="0" t="s">
        <v>9104</v>
      </c>
      <c r="E40127" s="0" t="s">
        <v>8869</v>
      </c>
      <c r="F40127" s="0" t="s">
        <v>8869</v>
      </c>
    </row>
    <row r="40129" customFormat="false" ht="12.8" hidden="false" customHeight="false" outlineLevel="0" collapsed="false">
      <c r="A40129" s="0" t="s">
        <v>14512</v>
      </c>
      <c r="B40129" s="0" t="str">
        <f aca="false">HYPERLINK("https://lindat.mff.cuni.cz/services/teitok/pdtc10/index.php?action=vallex&amp;frame=v-w5451f1", "referovat (v-w5451f1)")</f>
        <v>referovat (v-w5451f1)</v>
      </c>
    </row>
    <row r="40130" customFormat="false" ht="12.8" hidden="false" customHeight="false" outlineLevel="0" collapsed="false">
      <c r="B40130" s="0" t="s">
        <v>7</v>
      </c>
      <c r="C40130" s="0" t="s">
        <v>14513</v>
      </c>
      <c r="D40130" s="0" t="s">
        <v>164</v>
      </c>
      <c r="E40130" s="0" t="s">
        <v>164</v>
      </c>
      <c r="F40130" s="0" t="s">
        <v>164</v>
      </c>
    </row>
    <row r="40131" customFormat="false" ht="12.8" hidden="false" customHeight="false" outlineLevel="0" collapsed="false">
      <c r="B40131" s="0" t="s">
        <v>244</v>
      </c>
      <c r="C40131" s="0" t="s">
        <v>14514</v>
      </c>
      <c r="D40131" s="0" t="s">
        <v>167</v>
      </c>
      <c r="E40131" s="0" t="s">
        <v>167</v>
      </c>
      <c r="F40131" s="0" t="s">
        <v>167</v>
      </c>
    </row>
    <row r="40132" customFormat="false" ht="12.8" hidden="false" customHeight="false" outlineLevel="0" collapsed="false">
      <c r="B40132" s="0" t="s">
        <v>48</v>
      </c>
      <c r="C40132" s="0" t="s">
        <v>3829</v>
      </c>
      <c r="D40132" s="0" t="s">
        <v>168</v>
      </c>
      <c r="E40132" s="0" t="s">
        <v>168</v>
      </c>
      <c r="F40132" s="0" t="s">
        <v>168</v>
      </c>
    </row>
    <row r="40134" customFormat="false" ht="12.8" hidden="false" customHeight="false" outlineLevel="0" collapsed="false">
      <c r="A40134" s="0" t="s">
        <v>14515</v>
      </c>
      <c r="B40134" s="0" t="str">
        <f aca="false">HYPERLINK("https://lindat.mff.cuni.cz/services/teitok/pdtc10/index.php?action=vallex&amp;frame=v-w5451f2", "referovat (v-w5451f2)")</f>
        <v>referovat (v-w5451f2)</v>
      </c>
    </row>
    <row r="40135" customFormat="false" ht="12.8" hidden="false" customHeight="false" outlineLevel="0" collapsed="false">
      <c r="B40135" s="0" t="s">
        <v>7</v>
      </c>
    </row>
    <row r="40136" customFormat="false" ht="12.8" hidden="false" customHeight="false" outlineLevel="0" collapsed="false">
      <c r="B40136" s="0" t="s">
        <v>48</v>
      </c>
    </row>
    <row r="40137" customFormat="false" ht="12.8" hidden="false" customHeight="false" outlineLevel="0" collapsed="false">
      <c r="B40137" s="0" t="s">
        <v>5525</v>
      </c>
    </row>
    <row r="40138" customFormat="false" ht="12.8" hidden="false" customHeight="false" outlineLevel="0" collapsed="false">
      <c r="B40138" s="0" t="s">
        <v>363</v>
      </c>
    </row>
    <row r="40140" customFormat="false" ht="12.8" hidden="false" customHeight="false" outlineLevel="0" collapsed="false">
      <c r="A40140" s="0" t="s">
        <v>14516</v>
      </c>
      <c r="B40140" s="0" t="str">
        <f aca="false">HYPERLINK("https://lindat.mff.cuni.cz/services/teitok/pdtc10/index.php?action=vallex&amp;frame=v-w10773f2", "refinancovat (v-w10773f2)")</f>
        <v>refinancovat (v-w10773f2)</v>
      </c>
    </row>
    <row r="40141" customFormat="false" ht="12.8" hidden="false" customHeight="false" outlineLevel="0" collapsed="false">
      <c r="B40141" s="0" t="s">
        <v>7</v>
      </c>
      <c r="C40141" s="0" t="s">
        <v>191</v>
      </c>
      <c r="D40141" s="0" t="s">
        <v>2088</v>
      </c>
      <c r="E40141" s="0" t="s">
        <v>2088</v>
      </c>
      <c r="F40141" s="0" t="s">
        <v>2088</v>
      </c>
    </row>
    <row r="40142" customFormat="false" ht="12.8" hidden="false" customHeight="false" outlineLevel="0" collapsed="false">
      <c r="B40142" s="0" t="s">
        <v>14</v>
      </c>
      <c r="C40142" s="0" t="s">
        <v>74</v>
      </c>
      <c r="D40142" s="0" t="s">
        <v>2089</v>
      </c>
      <c r="E40142" s="0" t="s">
        <v>2089</v>
      </c>
      <c r="F40142" s="0" t="s">
        <v>2089</v>
      </c>
    </row>
    <row r="40144" customFormat="false" ht="12.8" hidden="false" customHeight="false" outlineLevel="0" collapsed="false">
      <c r="A40144" s="0" t="s">
        <v>14517</v>
      </c>
      <c r="B40144" s="0" t="str">
        <f aca="false">HYPERLINK("https://lindat.mff.cuni.cz/services/teitok/pdtc10/index.php?action=vallex&amp;frame=v-w5452f1", "reflektovat (v-w5452f1)")</f>
        <v>reflektovat (v-w5452f1)</v>
      </c>
    </row>
    <row r="40145" customFormat="false" ht="12.8" hidden="false" customHeight="false" outlineLevel="0" collapsed="false">
      <c r="B40145" s="0" t="s">
        <v>7</v>
      </c>
      <c r="C40145" s="0" t="s">
        <v>8436</v>
      </c>
      <c r="D40145" s="0" t="s">
        <v>4179</v>
      </c>
      <c r="E40145" s="0" t="s">
        <v>4179</v>
      </c>
      <c r="F40145" s="0" t="s">
        <v>4179</v>
      </c>
    </row>
    <row r="40146" customFormat="false" ht="12.8" hidden="false" customHeight="false" outlineLevel="0" collapsed="false">
      <c r="B40146" s="0" t="s">
        <v>172</v>
      </c>
      <c r="C40146" s="0" t="s">
        <v>8437</v>
      </c>
      <c r="D40146" s="0" t="s">
        <v>4181</v>
      </c>
      <c r="E40146" s="0" t="s">
        <v>4181</v>
      </c>
      <c r="F40146" s="0" t="s">
        <v>4181</v>
      </c>
    </row>
    <row r="40148" customFormat="false" ht="12.8" hidden="false" customHeight="false" outlineLevel="0" collapsed="false">
      <c r="A40148" s="0" t="s">
        <v>14518</v>
      </c>
      <c r="B40148" s="0" t="str">
        <f aca="false">HYPERLINK("https://lindat.mff.cuni.cz/services/teitok/pdtc10/index.php?action=vallex&amp;frame=v-w5457f1", "reformovat (v-w5457f1)")</f>
        <v>reformovat (v-w5457f1)</v>
      </c>
    </row>
    <row r="40149" customFormat="false" ht="12.8" hidden="false" customHeight="false" outlineLevel="0" collapsed="false">
      <c r="B40149" s="0" t="s">
        <v>7</v>
      </c>
    </row>
    <row r="40150" customFormat="false" ht="12.8" hidden="false" customHeight="false" outlineLevel="0" collapsed="false">
      <c r="B40150" s="0" t="s">
        <v>14</v>
      </c>
      <c r="C40150" s="0" t="s">
        <v>78</v>
      </c>
    </row>
    <row r="40152" customFormat="false" ht="12.8" hidden="false" customHeight="false" outlineLevel="0" collapsed="false">
      <c r="A40152" s="0" t="s">
        <v>14519</v>
      </c>
      <c r="B40152" s="0" t="str">
        <f aca="false">HYPERLINK("https://lindat.mff.cuni.cz/services/teitok/pdtc10/index.php?action=vallex&amp;frame=v-w5459f1", "regenerovat (v-w5459f1)")</f>
        <v>regenerovat (v-w5459f1)</v>
      </c>
    </row>
    <row r="40153" customFormat="false" ht="12.8" hidden="false" customHeight="false" outlineLevel="0" collapsed="false">
      <c r="B40153" s="0" t="s">
        <v>7</v>
      </c>
      <c r="D40153" s="0" t="s">
        <v>7701</v>
      </c>
      <c r="E40153" s="0" t="s">
        <v>7701</v>
      </c>
      <c r="F40153" s="0" t="s">
        <v>7701</v>
      </c>
    </row>
    <row r="40154" customFormat="false" ht="12.8" hidden="false" customHeight="false" outlineLevel="0" collapsed="false">
      <c r="B40154" s="0" t="s">
        <v>14</v>
      </c>
      <c r="C40154" s="0" t="s">
        <v>47</v>
      </c>
      <c r="D40154" s="0" t="s">
        <v>7703</v>
      </c>
      <c r="E40154" s="0" t="s">
        <v>7703</v>
      </c>
      <c r="F40154" s="0" t="s">
        <v>7703</v>
      </c>
    </row>
    <row r="40156" customFormat="false" ht="12.8" hidden="false" customHeight="false" outlineLevel="0" collapsed="false">
      <c r="A40156" s="0" t="s">
        <v>14520</v>
      </c>
      <c r="B40156" s="0" t="str">
        <f aca="false">HYPERLINK("https://lindat.mff.cuni.cz/services/teitok/pdtc10/index.php?action=vallex&amp;frame=v-w5461f2", "registrovat (v-w5461f2)")</f>
        <v>registrovat (v-w5461f2)</v>
      </c>
    </row>
    <row r="40157" customFormat="false" ht="12.8" hidden="false" customHeight="false" outlineLevel="0" collapsed="false">
      <c r="B40157" s="0" t="s">
        <v>7</v>
      </c>
      <c r="D40157" s="0" t="s">
        <v>4116</v>
      </c>
      <c r="E40157" s="0" t="s">
        <v>4116</v>
      </c>
      <c r="F40157" s="0" t="s">
        <v>4116</v>
      </c>
    </row>
    <row r="40158" customFormat="false" ht="12.8" hidden="false" customHeight="false" outlineLevel="0" collapsed="false">
      <c r="B40158" s="0" t="s">
        <v>14521</v>
      </c>
      <c r="D40158" s="0" t="s">
        <v>1277</v>
      </c>
      <c r="E40158" s="0" t="s">
        <v>1277</v>
      </c>
      <c r="F40158" s="0" t="s">
        <v>1277</v>
      </c>
    </row>
    <row r="40160" customFormat="false" ht="12.8" hidden="false" customHeight="false" outlineLevel="0" collapsed="false">
      <c r="A40160" s="0" t="s">
        <v>14522</v>
      </c>
      <c r="B40160" s="0" t="str">
        <f aca="false">HYPERLINK("https://lindat.mff.cuni.cz/services/teitok/pdtc10/index.php?action=vallex&amp;frame=v-w5461f1", "registrovat (v-w5461f1)")</f>
        <v>registrovat (v-w5461f1)</v>
      </c>
    </row>
    <row r="40161" customFormat="false" ht="12.8" hidden="false" customHeight="false" outlineLevel="0" collapsed="false">
      <c r="B40161" s="0" t="s">
        <v>7</v>
      </c>
      <c r="C40161" s="0" t="s">
        <v>1613</v>
      </c>
      <c r="D40161" s="0" t="s">
        <v>1505</v>
      </c>
      <c r="E40161" s="0" t="s">
        <v>1505</v>
      </c>
      <c r="F40161" s="0" t="s">
        <v>1505</v>
      </c>
    </row>
    <row r="40162" customFormat="false" ht="12.8" hidden="false" customHeight="false" outlineLevel="0" collapsed="false">
      <c r="B40162" s="0" t="s">
        <v>172</v>
      </c>
      <c r="C40162" s="0" t="s">
        <v>14523</v>
      </c>
      <c r="D40162" s="0" t="s">
        <v>14524</v>
      </c>
      <c r="E40162" s="0" t="s">
        <v>14524</v>
      </c>
      <c r="F40162" s="0" t="s">
        <v>14524</v>
      </c>
    </row>
    <row r="40164" customFormat="false" ht="12.8" hidden="false" customHeight="false" outlineLevel="0" collapsed="false">
      <c r="A40164" s="0" t="s">
        <v>14525</v>
      </c>
      <c r="B40164" s="0" t="str">
        <f aca="false">HYPERLINK("https://lindat.mff.cuni.cz/services/teitok/pdtc10/index.php?action=vallex&amp;frame=v-w5465f1", "regulovat (v-w5465f1)")</f>
        <v>regulovat (v-w5465f1)</v>
      </c>
    </row>
    <row r="40165" customFormat="false" ht="12.8" hidden="false" customHeight="false" outlineLevel="0" collapsed="false">
      <c r="B40165" s="0" t="s">
        <v>7</v>
      </c>
      <c r="C40165" s="0" t="s">
        <v>14526</v>
      </c>
      <c r="D40165" s="0" t="s">
        <v>1604</v>
      </c>
      <c r="E40165" s="0" t="s">
        <v>1604</v>
      </c>
      <c r="F40165" s="0" t="s">
        <v>1604</v>
      </c>
    </row>
    <row r="40166" customFormat="false" ht="12.8" hidden="false" customHeight="false" outlineLevel="0" collapsed="false">
      <c r="B40166" s="0" t="s">
        <v>14</v>
      </c>
      <c r="C40166" s="0" t="s">
        <v>3883</v>
      </c>
      <c r="D40166" s="0" t="s">
        <v>1606</v>
      </c>
      <c r="E40166" s="0" t="s">
        <v>1606</v>
      </c>
      <c r="F40166" s="0" t="s">
        <v>1606</v>
      </c>
    </row>
    <row r="40168" customFormat="false" ht="12.8" hidden="false" customHeight="false" outlineLevel="0" collapsed="false">
      <c r="A40168" s="0" t="s">
        <v>14527</v>
      </c>
      <c r="B40168" s="0" t="str">
        <f aca="false">HYPERLINK("https://lindat.mff.cuni.cz/services/teitok/pdtc10/index.php?action=vallex&amp;frame=v-w5467f1", "rehabilitovat (v-w5467f1)")</f>
        <v>rehabilitovat (v-w5467f1)</v>
      </c>
    </row>
    <row r="40169" customFormat="false" ht="12.8" hidden="false" customHeight="false" outlineLevel="0" collapsed="false">
      <c r="B40169" s="0" t="s">
        <v>7</v>
      </c>
    </row>
    <row r="40170" customFormat="false" ht="12.8" hidden="false" customHeight="false" outlineLevel="0" collapsed="false">
      <c r="B40170" s="0" t="s">
        <v>14</v>
      </c>
    </row>
    <row r="40172" customFormat="false" ht="12.8" hidden="false" customHeight="false" outlineLevel="0" collapsed="false">
      <c r="A40172" s="0" t="s">
        <v>14528</v>
      </c>
      <c r="B40172" s="0" t="str">
        <f aca="false">HYPERLINK("https://lindat.mff.cuni.cz/services/teitok/pdtc10/index.php?action=vallex&amp;frame=v-w5468f1", "reinvestovat (v-w5468f1)")</f>
        <v>reinvestovat (v-w5468f1)</v>
      </c>
    </row>
    <row r="40173" customFormat="false" ht="12.8" hidden="false" customHeight="false" outlineLevel="0" collapsed="false">
      <c r="B40173" s="0" t="s">
        <v>7</v>
      </c>
      <c r="C40173" s="0" t="s">
        <v>191</v>
      </c>
      <c r="D40173" s="0" t="s">
        <v>1410</v>
      </c>
      <c r="E40173" s="0" t="s">
        <v>1410</v>
      </c>
      <c r="F40173" s="0" t="s">
        <v>1410</v>
      </c>
    </row>
    <row r="40174" customFormat="false" ht="12.8" hidden="false" customHeight="false" outlineLevel="0" collapsed="false">
      <c r="B40174" s="0" t="s">
        <v>14</v>
      </c>
      <c r="C40174" s="0" t="s">
        <v>567</v>
      </c>
      <c r="D40174" s="0" t="s">
        <v>1411</v>
      </c>
      <c r="E40174" s="0" t="s">
        <v>1411</v>
      </c>
      <c r="F40174" s="0" t="s">
        <v>1411</v>
      </c>
    </row>
    <row r="40175" customFormat="false" ht="12.8" hidden="false" customHeight="false" outlineLevel="0" collapsed="false">
      <c r="B40175" s="0" t="s">
        <v>550</v>
      </c>
      <c r="D40175" s="0" t="s">
        <v>2954</v>
      </c>
      <c r="E40175" s="0" t="s">
        <v>2954</v>
      </c>
      <c r="F40175" s="0" t="s">
        <v>2954</v>
      </c>
    </row>
    <row r="40177" customFormat="false" ht="12.8" hidden="false" customHeight="false" outlineLevel="0" collapsed="false">
      <c r="A40177" s="0" t="s">
        <v>14529</v>
      </c>
      <c r="B40177" s="0" t="str">
        <f aca="false">HYPERLINK("https://lindat.mff.cuni.cz/services/teitok/pdtc10/index.php?action=vallex&amp;frame=v-whsa_896hsa_897", "rekapitalizovat (v-whsa_896hsa_897)")</f>
        <v>rekapitalizovat (v-whsa_896hsa_897)</v>
      </c>
    </row>
    <row r="40178" customFormat="false" ht="12.8" hidden="false" customHeight="false" outlineLevel="0" collapsed="false">
      <c r="B40178" s="0" t="s">
        <v>7</v>
      </c>
    </row>
    <row r="40179" customFormat="false" ht="12.8" hidden="false" customHeight="false" outlineLevel="0" collapsed="false">
      <c r="B40179" s="0" t="s">
        <v>14</v>
      </c>
    </row>
    <row r="40180" customFormat="false" ht="12.8" hidden="false" customHeight="false" outlineLevel="0" collapsed="false">
      <c r="B40180" s="0" t="s">
        <v>84</v>
      </c>
    </row>
    <row r="40182" customFormat="false" ht="12.8" hidden="false" customHeight="false" outlineLevel="0" collapsed="false">
      <c r="A40182" s="0" t="s">
        <v>14530</v>
      </c>
      <c r="B40182" s="0" t="str">
        <f aca="false">HYPERLINK("https://lindat.mff.cuni.cz/services/teitok/pdtc10/index.php?action=vallex&amp;frame=v-w5472f1", "reklamovat (v-w5472f1)")</f>
        <v>reklamovat (v-w5472f1)</v>
      </c>
    </row>
    <row r="40183" customFormat="false" ht="12.8" hidden="false" customHeight="false" outlineLevel="0" collapsed="false">
      <c r="B40183" s="0" t="s">
        <v>7</v>
      </c>
    </row>
    <row r="40184" customFormat="false" ht="12.8" hidden="false" customHeight="false" outlineLevel="0" collapsed="false">
      <c r="B40184" s="0" t="s">
        <v>14</v>
      </c>
    </row>
    <row r="40186" customFormat="false" ht="12.8" hidden="false" customHeight="false" outlineLevel="0" collapsed="false">
      <c r="A40186" s="0" t="s">
        <v>14531</v>
      </c>
      <c r="B40186" s="0" t="str">
        <f aca="false">HYPERLINK("https://lindat.mff.cuni.cz/services/teitok/pdtc10/index.php?action=vallex&amp;frame=v-w5474f1", "rekonstruovat (v-w5474f1)")</f>
        <v>rekonstruovat (v-w5474f1)</v>
      </c>
    </row>
    <row r="40187" customFormat="false" ht="12.8" hidden="false" customHeight="false" outlineLevel="0" collapsed="false">
      <c r="B40187" s="0" t="s">
        <v>7</v>
      </c>
      <c r="C40187" s="0" t="s">
        <v>46</v>
      </c>
      <c r="D40187" s="0" t="s">
        <v>14532</v>
      </c>
      <c r="E40187" s="0" t="s">
        <v>14532</v>
      </c>
      <c r="F40187" s="0" t="s">
        <v>14532</v>
      </c>
    </row>
    <row r="40188" customFormat="false" ht="12.8" hidden="false" customHeight="false" outlineLevel="0" collapsed="false">
      <c r="B40188" s="0" t="s">
        <v>14</v>
      </c>
      <c r="C40188" s="0" t="s">
        <v>47</v>
      </c>
      <c r="D40188" s="0" t="s">
        <v>14533</v>
      </c>
      <c r="E40188" s="0" t="s">
        <v>14533</v>
      </c>
      <c r="F40188" s="0" t="s">
        <v>14533</v>
      </c>
    </row>
    <row r="40189" customFormat="false" ht="12.8" hidden="false" customHeight="false" outlineLevel="0" collapsed="false">
      <c r="B40189" s="0" t="s">
        <v>35</v>
      </c>
      <c r="D40189" s="0" t="s">
        <v>36</v>
      </c>
      <c r="E40189" s="0" t="s">
        <v>36</v>
      </c>
      <c r="F40189" s="0" t="s">
        <v>36</v>
      </c>
    </row>
    <row r="40190" customFormat="false" ht="12.8" hidden="false" customHeight="false" outlineLevel="0" collapsed="false">
      <c r="B40190" s="0" t="s">
        <v>84</v>
      </c>
      <c r="D40190" s="0" t="s">
        <v>39</v>
      </c>
      <c r="E40190" s="0" t="s">
        <v>39</v>
      </c>
      <c r="F40190" s="0" t="s">
        <v>39</v>
      </c>
    </row>
    <row r="40192" customFormat="false" ht="12.8" hidden="false" customHeight="false" outlineLevel="0" collapsed="false">
      <c r="A40192" s="0" t="s">
        <v>14534</v>
      </c>
      <c r="B40192" s="0" t="str">
        <f aca="false">HYPERLINK("https://lindat.mff.cuni.cz/services/teitok/pdtc10/index.php?action=vallex&amp;frame=v-w5474f2", "rekonstruovat (v-w5474f2)")</f>
        <v>rekonstruovat (v-w5474f2)</v>
      </c>
    </row>
    <row r="40193" customFormat="false" ht="12.8" hidden="false" customHeight="false" outlineLevel="0" collapsed="false">
      <c r="B40193" s="0" t="s">
        <v>7</v>
      </c>
      <c r="D40193" s="0" t="s">
        <v>569</v>
      </c>
      <c r="E40193" s="0" t="s">
        <v>569</v>
      </c>
      <c r="F40193" s="0" t="s">
        <v>569</v>
      </c>
    </row>
    <row r="40194" customFormat="false" ht="12.8" hidden="false" customHeight="false" outlineLevel="0" collapsed="false">
      <c r="B40194" s="0" t="s">
        <v>14</v>
      </c>
      <c r="D40194" s="0" t="s">
        <v>159</v>
      </c>
      <c r="E40194" s="0" t="s">
        <v>159</v>
      </c>
      <c r="F40194" s="0" t="s">
        <v>159</v>
      </c>
    </row>
    <row r="40195" customFormat="false" ht="12.8" hidden="false" customHeight="false" outlineLevel="0" collapsed="false">
      <c r="B40195" s="0" t="s">
        <v>35</v>
      </c>
      <c r="D40195" s="0" t="s">
        <v>5360</v>
      </c>
      <c r="E40195" s="0" t="s">
        <v>5360</v>
      </c>
      <c r="F40195" s="0" t="s">
        <v>5360</v>
      </c>
    </row>
    <row r="40197" customFormat="false" ht="12.8" hidden="false" customHeight="false" outlineLevel="0" collapsed="false">
      <c r="A40197" s="0" t="s">
        <v>14535</v>
      </c>
      <c r="B40197" s="0" t="str">
        <f aca="false">HYPERLINK("https://lindat.mff.cuni.cz/services/teitok/pdtc10/index.php?action=vallex&amp;frame=v-w11684_ZUf2_ZU", "rekreovat se (v-w11684_ZUf2_ZU)")</f>
        <v>rekreovat se (v-w11684_ZUf2_ZU)</v>
      </c>
    </row>
    <row r="40198" customFormat="false" ht="12.8" hidden="false" customHeight="false" outlineLevel="0" collapsed="false">
      <c r="B40198" s="0" t="s">
        <v>7</v>
      </c>
    </row>
    <row r="40200" customFormat="false" ht="12.8" hidden="false" customHeight="false" outlineLevel="0" collapsed="false">
      <c r="A40200" s="0" t="s">
        <v>14535</v>
      </c>
      <c r="B40200" s="0" t="str">
        <f aca="false">HYPERLINK("https://lindat.mff.cuni.cz/services/teitok/pdtc10/index.php?action=vallex&amp;frame=v-w11684_ZUf1_ZU", "rekreovat se (v-w11684_ZUf1_ZU) - substituted with v-w11684_ZUf2_ZU")</f>
        <v>rekreovat se (v-w11684_ZUf1_ZU) - substituted with v-w11684_ZUf2_ZU</v>
      </c>
    </row>
    <row r="40201" customFormat="false" ht="12.8" hidden="false" customHeight="false" outlineLevel="0" collapsed="false">
      <c r="B40201" s="0" t="s">
        <v>7</v>
      </c>
    </row>
    <row r="40203" customFormat="false" ht="12.8" hidden="false" customHeight="false" outlineLevel="0" collapsed="false">
      <c r="A40203" s="0" t="s">
        <v>14536</v>
      </c>
      <c r="B40203" s="0" t="str">
        <f aca="false">HYPERLINK("https://lindat.mff.cuni.cz/services/teitok/pdtc10/index.php?action=vallex&amp;frame=v-w11571_ZUf1_ZU", "rekrutovat (v-w11571_ZUf1_ZU)")</f>
        <v>rekrutovat (v-w11571_ZUf1_ZU)</v>
      </c>
    </row>
    <row r="40204" customFormat="false" ht="12.8" hidden="false" customHeight="false" outlineLevel="0" collapsed="false">
      <c r="B40204" s="0" t="s">
        <v>7</v>
      </c>
      <c r="C40204" s="0" t="s">
        <v>460</v>
      </c>
    </row>
    <row r="40205" customFormat="false" ht="12.8" hidden="false" customHeight="false" outlineLevel="0" collapsed="false">
      <c r="B40205" s="0" t="s">
        <v>14</v>
      </c>
      <c r="C40205" s="0" t="s">
        <v>461</v>
      </c>
    </row>
    <row r="40207" customFormat="false" ht="12.8" hidden="false" customHeight="false" outlineLevel="0" collapsed="false">
      <c r="A40207" s="0" t="s">
        <v>14537</v>
      </c>
      <c r="B40207" s="0" t="str">
        <f aca="false">HYPERLINK("https://lindat.mff.cuni.cz/services/teitok/pdtc10/index.php?action=vallex&amp;frame=v-w5476f1", "rekrutovat se (v-w5476f1)")</f>
        <v>rekrutovat se (v-w5476f1)</v>
      </c>
    </row>
    <row r="40208" customFormat="false" ht="12.8" hidden="false" customHeight="false" outlineLevel="0" collapsed="false">
      <c r="B40208" s="0" t="s">
        <v>7</v>
      </c>
    </row>
    <row r="40209" customFormat="false" ht="12.8" hidden="false" customHeight="false" outlineLevel="0" collapsed="false">
      <c r="B40209" s="0" t="s">
        <v>227</v>
      </c>
    </row>
    <row r="40211" customFormat="false" ht="12.8" hidden="false" customHeight="false" outlineLevel="0" collapsed="false">
      <c r="A40211" s="0" t="s">
        <v>14538</v>
      </c>
      <c r="B40211" s="0" t="str">
        <f aca="false">HYPERLINK("https://lindat.mff.cuni.cz/services/teitok/pdtc10/index.php?action=vallex&amp;frame=v-w5480f1", "rekvalifikovat se (v-w5480f1)")</f>
        <v>rekvalifikovat se (v-w5480f1)</v>
      </c>
    </row>
    <row r="40212" customFormat="false" ht="12.8" hidden="false" customHeight="false" outlineLevel="0" collapsed="false">
      <c r="B40212" s="0" t="s">
        <v>7</v>
      </c>
    </row>
    <row r="40214" customFormat="false" ht="12.8" hidden="false" customHeight="false" outlineLevel="0" collapsed="false">
      <c r="A40214" s="0" t="s">
        <v>14539</v>
      </c>
      <c r="B40214" s="0" t="str">
        <f aca="false">HYPERLINK("https://lindat.mff.cuni.cz/services/teitok/pdtc10/index.php?action=vallex&amp;frame=v-w5482f1", "relativizovat (v-w5482f1)")</f>
        <v>relativizovat (v-w5482f1)</v>
      </c>
    </row>
    <row r="40215" customFormat="false" ht="12.8" hidden="false" customHeight="false" outlineLevel="0" collapsed="false">
      <c r="B40215" s="0" t="s">
        <v>7</v>
      </c>
    </row>
    <row r="40216" customFormat="false" ht="12.8" hidden="false" customHeight="false" outlineLevel="0" collapsed="false">
      <c r="B40216" s="0" t="s">
        <v>14</v>
      </c>
    </row>
    <row r="40218" customFormat="false" ht="12.8" hidden="false" customHeight="false" outlineLevel="0" collapsed="false">
      <c r="A40218" s="0" t="s">
        <v>14540</v>
      </c>
      <c r="B40218" s="0" t="str">
        <f aca="false">HYPERLINK("https://lindat.mff.cuni.cz/services/teitok/pdtc10/index.php?action=vallex&amp;frame=v-w5483f1", "relaxovat (v-w5483f1)")</f>
        <v>relaxovat (v-w5483f1)</v>
      </c>
    </row>
    <row r="40219" customFormat="false" ht="12.8" hidden="false" customHeight="false" outlineLevel="0" collapsed="false">
      <c r="B40219" s="0" t="s">
        <v>7</v>
      </c>
      <c r="C40219" s="0" t="s">
        <v>396</v>
      </c>
    </row>
    <row r="40221" customFormat="false" ht="12.8" hidden="false" customHeight="false" outlineLevel="0" collapsed="false">
      <c r="A40221" s="0" t="s">
        <v>14541</v>
      </c>
      <c r="B40221" s="0" t="str">
        <f aca="false">HYPERLINK("https://lindat.mff.cuni.cz/services/teitok/pdtc10/index.php?action=vallex&amp;frame=v-whsb_726hsa_727", "relaxovat se (v-whsb_726hsa_727)")</f>
        <v>relaxovat se (v-whsb_726hsa_727)</v>
      </c>
    </row>
    <row r="40222" customFormat="false" ht="12.8" hidden="false" customHeight="false" outlineLevel="0" collapsed="false">
      <c r="B40222" s="0" t="s">
        <v>7</v>
      </c>
    </row>
    <row r="40224" customFormat="false" ht="12.8" hidden="false" customHeight="false" outlineLevel="0" collapsed="false">
      <c r="A40224" s="0" t="s">
        <v>14542</v>
      </c>
      <c r="B40224" s="0" t="str">
        <f aca="false">HYPERLINK("https://lindat.mff.cuni.cz/services/teitok/pdtc10/index.php?action=vallex&amp;frame=v-w5486f1", "remizovat (v-w5486f1)")</f>
        <v>remizovat (v-w5486f1)</v>
      </c>
    </row>
    <row r="40225" customFormat="false" ht="12.8" hidden="false" customHeight="false" outlineLevel="0" collapsed="false">
      <c r="B40225" s="0" t="s">
        <v>7</v>
      </c>
    </row>
    <row r="40226" customFormat="false" ht="12.8" hidden="false" customHeight="false" outlineLevel="0" collapsed="false">
      <c r="B40226" s="0" t="s">
        <v>311</v>
      </c>
    </row>
    <row r="40228" customFormat="false" ht="12.8" hidden="false" customHeight="false" outlineLevel="0" collapsed="false">
      <c r="A40228" s="0" t="s">
        <v>14543</v>
      </c>
      <c r="B40228" s="0" t="str">
        <f aca="false">HYPERLINK("https://lindat.mff.cuni.cz/services/teitok/pdtc10/index.php?action=vallex&amp;frame=v-w5487f1", "remízovat (v-w5487f1)")</f>
        <v>remízovat (v-w5487f1)</v>
      </c>
    </row>
    <row r="40229" customFormat="false" ht="12.8" hidden="false" customHeight="false" outlineLevel="0" collapsed="false">
      <c r="B40229" s="0" t="s">
        <v>7</v>
      </c>
    </row>
    <row r="40230" customFormat="false" ht="12.8" hidden="false" customHeight="false" outlineLevel="0" collapsed="false">
      <c r="B40230" s="0" t="s">
        <v>548</v>
      </c>
    </row>
    <row r="40232" customFormat="false" ht="12.8" hidden="false" customHeight="false" outlineLevel="0" collapsed="false">
      <c r="A40232" s="0" t="s">
        <v>14544</v>
      </c>
      <c r="B40232" s="0" t="str">
        <f aca="false">HYPERLINK("https://lindat.mff.cuni.cz/services/teitok/pdtc10/index.php?action=vallex&amp;frame=v-w10284f2", "renovovat (v-w10284f2)")</f>
        <v>renovovat (v-w10284f2)</v>
      </c>
    </row>
    <row r="40233" customFormat="false" ht="12.8" hidden="false" customHeight="false" outlineLevel="0" collapsed="false">
      <c r="B40233" s="0" t="s">
        <v>7</v>
      </c>
      <c r="C40233" s="0" t="s">
        <v>335</v>
      </c>
    </row>
    <row r="40234" customFormat="false" ht="12.8" hidden="false" customHeight="false" outlineLevel="0" collapsed="false">
      <c r="B40234" s="0" t="s">
        <v>14</v>
      </c>
      <c r="C40234" s="0" t="s">
        <v>1405</v>
      </c>
    </row>
    <row r="40236" customFormat="false" ht="12.8" hidden="false" customHeight="false" outlineLevel="0" collapsed="false">
      <c r="A40236" s="0" t="s">
        <v>14545</v>
      </c>
      <c r="B40236" s="0" t="str">
        <f aca="false">HYPERLINK("https://lindat.mff.cuni.cz/services/teitok/pdtc10/index.php?action=vallex&amp;frame=v-w11091hsa_1229", "reorganizovat (v-w11091hsa_1229)")</f>
        <v>reorganizovat (v-w11091hsa_1229)</v>
      </c>
    </row>
    <row r="40237" customFormat="false" ht="12.8" hidden="false" customHeight="false" outlineLevel="0" collapsed="false">
      <c r="B40237" s="0" t="s">
        <v>7</v>
      </c>
      <c r="C40237" s="0" t="s">
        <v>184</v>
      </c>
    </row>
    <row r="40238" customFormat="false" ht="12.8" hidden="false" customHeight="false" outlineLevel="0" collapsed="false">
      <c r="B40238" s="0" t="s">
        <v>14</v>
      </c>
      <c r="C40238" s="0" t="s">
        <v>384</v>
      </c>
    </row>
    <row r="40239" customFormat="false" ht="12.8" hidden="false" customHeight="false" outlineLevel="0" collapsed="false">
      <c r="B40239" s="0" t="s">
        <v>84</v>
      </c>
      <c r="C40239" s="0" t="s">
        <v>6439</v>
      </c>
    </row>
    <row r="40241" customFormat="false" ht="12.8" hidden="false" customHeight="false" outlineLevel="0" collapsed="false">
      <c r="A40241" s="0" t="s">
        <v>14545</v>
      </c>
      <c r="B40241" s="0" t="str">
        <f aca="false">HYPERLINK("https://lindat.mff.cuni.cz/services/teitok/pdtc10/index.php?action=vallex&amp;frame=v-w11091f2", "reorganizovat (v-w11091f2) - substituted with v-w11091hsa_1229")</f>
        <v>reorganizovat (v-w11091f2) - substituted with v-w11091hsa_1229</v>
      </c>
    </row>
    <row r="40242" customFormat="false" ht="12.8" hidden="false" customHeight="false" outlineLevel="0" collapsed="false">
      <c r="B40242" s="0" t="s">
        <v>7</v>
      </c>
      <c r="C40242" s="0" t="s">
        <v>460</v>
      </c>
    </row>
    <row r="40243" customFormat="false" ht="12.8" hidden="false" customHeight="false" outlineLevel="0" collapsed="false">
      <c r="B40243" s="0" t="s">
        <v>14</v>
      </c>
      <c r="C40243" s="0" t="s">
        <v>625</v>
      </c>
    </row>
    <row r="40244" customFormat="false" ht="12.8" hidden="false" customHeight="false" outlineLevel="0" collapsed="false">
      <c r="B40244" s="0" t="s">
        <v>84</v>
      </c>
    </row>
    <row r="40246" customFormat="false" ht="12.8" hidden="false" customHeight="false" outlineLevel="0" collapsed="false">
      <c r="A40246" s="0" t="s">
        <v>14546</v>
      </c>
      <c r="B40246" s="0" t="str">
        <f aca="false">HYPERLINK("https://lindat.mff.cuni.cz/services/teitok/pdtc10/index.php?action=vallex&amp;frame=v-w10440f2", "repatriovat (v-w10440f2)")</f>
        <v>repatriovat (v-w10440f2)</v>
      </c>
    </row>
    <row r="40247" customFormat="false" ht="12.8" hidden="false" customHeight="false" outlineLevel="0" collapsed="false">
      <c r="B40247" s="0" t="s">
        <v>7</v>
      </c>
      <c r="C40247" s="0" t="s">
        <v>191</v>
      </c>
      <c r="D40247" s="0" t="s">
        <v>191</v>
      </c>
      <c r="E40247" s="0" t="s">
        <v>191</v>
      </c>
      <c r="F40247" s="0" t="s">
        <v>191</v>
      </c>
    </row>
    <row r="40248" customFormat="false" ht="12.8" hidden="false" customHeight="false" outlineLevel="0" collapsed="false">
      <c r="B40248" s="0" t="s">
        <v>14</v>
      </c>
      <c r="C40248" s="0" t="s">
        <v>155</v>
      </c>
      <c r="D40248" s="0" t="s">
        <v>384</v>
      </c>
      <c r="E40248" s="0" t="s">
        <v>384</v>
      </c>
      <c r="F40248" s="0" t="s">
        <v>384</v>
      </c>
    </row>
    <row r="40249" customFormat="false" ht="12.8" hidden="false" customHeight="false" outlineLevel="0" collapsed="false">
      <c r="B40249" s="0" t="s">
        <v>124</v>
      </c>
    </row>
    <row r="40251" customFormat="false" ht="12.8" hidden="false" customHeight="false" outlineLevel="0" collapsed="false">
      <c r="A40251" s="0" t="s">
        <v>14547</v>
      </c>
      <c r="B40251" s="0" t="str">
        <f aca="false">HYPERLINK("https://lindat.mff.cuni.cz/services/teitok/pdtc10/index.php?action=vallex&amp;frame=v-w5500f1", "reprezentovat (v-w5500f1)")</f>
        <v>reprezentovat (v-w5500f1)</v>
      </c>
    </row>
    <row r="40252" customFormat="false" ht="12.8" hidden="false" customHeight="false" outlineLevel="0" collapsed="false">
      <c r="B40252" s="0" t="s">
        <v>7</v>
      </c>
      <c r="C40252" s="0" t="s">
        <v>9918</v>
      </c>
      <c r="D40252" s="0" t="s">
        <v>9918</v>
      </c>
      <c r="E40252" s="0" t="s">
        <v>9918</v>
      </c>
      <c r="F40252" s="0" t="s">
        <v>9918</v>
      </c>
    </row>
    <row r="40253" customFormat="false" ht="12.8" hidden="false" customHeight="false" outlineLevel="0" collapsed="false">
      <c r="B40253" s="0" t="s">
        <v>14</v>
      </c>
      <c r="C40253" s="0" t="s">
        <v>4118</v>
      </c>
      <c r="D40253" s="0" t="s">
        <v>9919</v>
      </c>
      <c r="E40253" s="0" t="s">
        <v>9919</v>
      </c>
      <c r="F40253" s="0" t="s">
        <v>9919</v>
      </c>
    </row>
    <row r="40255" customFormat="false" ht="12.8" hidden="false" customHeight="false" outlineLevel="0" collapsed="false">
      <c r="A40255" s="0" t="s">
        <v>14548</v>
      </c>
      <c r="B40255" s="0" t="str">
        <f aca="false">HYPERLINK("https://lindat.mff.cuni.cz/services/teitok/pdtc10/index.php?action=vallex&amp;frame=v-w5504f1", "reprodukovat (v-w5504f1)")</f>
        <v>reprodukovat (v-w5504f1)</v>
      </c>
    </row>
    <row r="40256" customFormat="false" ht="12.8" hidden="false" customHeight="false" outlineLevel="0" collapsed="false">
      <c r="B40256" s="0" t="s">
        <v>7</v>
      </c>
    </row>
    <row r="40257" customFormat="false" ht="12.8" hidden="false" customHeight="false" outlineLevel="0" collapsed="false">
      <c r="B40257" s="0" t="s">
        <v>14</v>
      </c>
    </row>
    <row r="40259" customFormat="false" ht="12.8" hidden="false" customHeight="false" outlineLevel="0" collapsed="false">
      <c r="A40259" s="0" t="s">
        <v>14549</v>
      </c>
      <c r="B40259" s="0" t="str">
        <f aca="false">HYPERLINK("https://lindat.mff.cuni.cz/services/teitok/pdtc10/index.php?action=vallex&amp;frame=v-w5504f3", "reprodukovat (v-w5504f3)")</f>
        <v>reprodukovat (v-w5504f3)</v>
      </c>
    </row>
    <row r="40260" customFormat="false" ht="12.8" hidden="false" customHeight="false" outlineLevel="0" collapsed="false">
      <c r="B40260" s="0" t="s">
        <v>7</v>
      </c>
      <c r="C40260" s="0" t="s">
        <v>191</v>
      </c>
    </row>
    <row r="40261" customFormat="false" ht="12.8" hidden="false" customHeight="false" outlineLevel="0" collapsed="false">
      <c r="B40261" s="0" t="s">
        <v>14</v>
      </c>
      <c r="C40261" s="0" t="s">
        <v>567</v>
      </c>
    </row>
    <row r="40263" customFormat="false" ht="12.8" hidden="false" customHeight="false" outlineLevel="0" collapsed="false">
      <c r="A40263" s="0" t="s">
        <v>14550</v>
      </c>
      <c r="B40263" s="0" t="str">
        <f aca="false">HYPERLINK("https://lindat.mff.cuni.cz/services/teitok/pdtc10/index.php?action=vallex&amp;frame=v-w5504f2", "reprodukovat (v-w5504f2)")</f>
        <v>reprodukovat (v-w5504f2)</v>
      </c>
    </row>
    <row r="40264" customFormat="false" ht="12.8" hidden="false" customHeight="false" outlineLevel="0" collapsed="false">
      <c r="B40264" s="0" t="s">
        <v>7</v>
      </c>
    </row>
    <row r="40265" customFormat="false" ht="12.8" hidden="false" customHeight="false" outlineLevel="0" collapsed="false">
      <c r="B40265" s="0" t="s">
        <v>14</v>
      </c>
    </row>
    <row r="40267" customFormat="false" ht="12.8" hidden="false" customHeight="false" outlineLevel="0" collapsed="false">
      <c r="A40267" s="0" t="s">
        <v>14551</v>
      </c>
      <c r="B40267" s="0" t="str">
        <f aca="false">HYPERLINK("https://lindat.mff.cuni.cz/services/teitok/pdtc10/index.php?action=vallex&amp;frame=v-w5505f1", "reprodukovat se (v-w5505f1)")</f>
        <v>reprodukovat se (v-w5505f1)</v>
      </c>
    </row>
    <row r="40268" customFormat="false" ht="12.8" hidden="false" customHeight="false" outlineLevel="0" collapsed="false">
      <c r="B40268" s="0" t="s">
        <v>7</v>
      </c>
    </row>
    <row r="40270" customFormat="false" ht="12.8" hidden="false" customHeight="false" outlineLevel="0" collapsed="false">
      <c r="A40270" s="0" t="s">
        <v>14552</v>
      </c>
      <c r="B40270" s="0" t="str">
        <f aca="false">HYPERLINK("https://lindat.mff.cuni.cz/services/teitok/pdtc10/index.php?action=vallex&amp;frame=v-w10975f2", "reptat (v-w10975f2)")</f>
        <v>reptat (v-w10975f2)</v>
      </c>
    </row>
    <row r="40271" customFormat="false" ht="12.8" hidden="false" customHeight="false" outlineLevel="0" collapsed="false">
      <c r="B40271" s="0" t="s">
        <v>7</v>
      </c>
      <c r="C40271" s="0" t="s">
        <v>184</v>
      </c>
      <c r="D40271" s="0" t="s">
        <v>354</v>
      </c>
      <c r="E40271" s="0" t="s">
        <v>354</v>
      </c>
      <c r="F40271" s="0" t="s">
        <v>354</v>
      </c>
    </row>
    <row r="40272" customFormat="false" ht="12.8" hidden="false" customHeight="false" outlineLevel="0" collapsed="false">
      <c r="B40272" s="0" t="s">
        <v>600</v>
      </c>
      <c r="C40272" s="0" t="s">
        <v>47</v>
      </c>
      <c r="D40272" s="0" t="s">
        <v>356</v>
      </c>
      <c r="E40272" s="0" t="s">
        <v>356</v>
      </c>
      <c r="F40272" s="0" t="s">
        <v>356</v>
      </c>
    </row>
    <row r="40274" customFormat="false" ht="12.8" hidden="false" customHeight="false" outlineLevel="0" collapsed="false">
      <c r="A40274" s="0" t="s">
        <v>14553</v>
      </c>
      <c r="B40274" s="0" t="str">
        <f aca="false">HYPERLINK("https://lindat.mff.cuni.cz/services/teitok/pdtc10/index.php?action=vallex&amp;frame=v-w5508f1", "respektovat (v-w5508f1)")</f>
        <v>respektovat (v-w5508f1)</v>
      </c>
    </row>
    <row r="40275" customFormat="false" ht="12.8" hidden="false" customHeight="false" outlineLevel="0" collapsed="false">
      <c r="B40275" s="0" t="s">
        <v>7</v>
      </c>
      <c r="C40275" s="0" t="s">
        <v>14554</v>
      </c>
      <c r="D40275" s="0" t="s">
        <v>1419</v>
      </c>
      <c r="E40275" s="0" t="s">
        <v>1419</v>
      </c>
      <c r="F40275" s="0" t="s">
        <v>1419</v>
      </c>
    </row>
    <row r="40276" customFormat="false" ht="12.8" hidden="false" customHeight="false" outlineLevel="0" collapsed="false">
      <c r="B40276" s="0" t="s">
        <v>1693</v>
      </c>
      <c r="C40276" s="0" t="s">
        <v>3804</v>
      </c>
      <c r="D40276" s="0" t="s">
        <v>1420</v>
      </c>
      <c r="E40276" s="0" t="s">
        <v>1420</v>
      </c>
      <c r="F40276" s="0" t="s">
        <v>1420</v>
      </c>
    </row>
    <row r="40278" customFormat="false" ht="12.8" hidden="false" customHeight="false" outlineLevel="0" collapsed="false">
      <c r="A40278" s="0" t="s">
        <v>14555</v>
      </c>
      <c r="B40278" s="0" t="str">
        <f aca="false">HYPERLINK("https://lindat.mff.cuni.cz/services/teitok/pdtc10/index.php?action=vallex&amp;frame=v-w12306_MMf1_MM", "restaurovat (v-w12306_MMf1_MM)")</f>
        <v>restaurovat (v-w12306_MMf1_MM)</v>
      </c>
    </row>
    <row r="40279" customFormat="false" ht="12.8" hidden="false" customHeight="false" outlineLevel="0" collapsed="false">
      <c r="B40279" s="0" t="s">
        <v>7</v>
      </c>
    </row>
    <row r="40280" customFormat="false" ht="12.8" hidden="false" customHeight="false" outlineLevel="0" collapsed="false">
      <c r="B40280" s="0" t="s">
        <v>14</v>
      </c>
    </row>
    <row r="40282" customFormat="false" ht="12.8" hidden="false" customHeight="false" outlineLevel="0" collapsed="false">
      <c r="A40282" s="0" t="s">
        <v>14556</v>
      </c>
      <c r="B40282" s="0" t="str">
        <f aca="false">HYPERLINK("https://lindat.mff.cuni.cz/services/teitok/pdtc10/index.php?action=vallex&amp;frame=v-w12360_MMf1_MM", "restituovat (v-w12360_MMf1_MM)")</f>
        <v>restituovat (v-w12360_MMf1_MM)</v>
      </c>
    </row>
    <row r="40283" customFormat="false" ht="12.8" hidden="false" customHeight="false" outlineLevel="0" collapsed="false">
      <c r="B40283" s="0" t="s">
        <v>7</v>
      </c>
    </row>
    <row r="40284" customFormat="false" ht="12.8" hidden="false" customHeight="false" outlineLevel="0" collapsed="false">
      <c r="B40284" s="0" t="s">
        <v>14</v>
      </c>
    </row>
    <row r="40285" customFormat="false" ht="12.8" hidden="false" customHeight="false" outlineLevel="0" collapsed="false">
      <c r="B40285" s="0" t="s">
        <v>441</v>
      </c>
    </row>
    <row r="40287" customFormat="false" ht="12.8" hidden="false" customHeight="false" outlineLevel="0" collapsed="false">
      <c r="A40287" s="0" t="s">
        <v>14557</v>
      </c>
      <c r="B40287" s="0" t="str">
        <f aca="false">HYPERLINK("https://lindat.mff.cuni.cz/services/teitok/pdtc10/index.php?action=vallex&amp;frame=v-w5514hsa_440", "restrukturalizovat (v-w5514hsa_440)")</f>
        <v>restrukturalizovat (v-w5514hsa_440)</v>
      </c>
    </row>
    <row r="40288" customFormat="false" ht="12.8" hidden="false" customHeight="false" outlineLevel="0" collapsed="false">
      <c r="B40288" s="0" t="s">
        <v>7</v>
      </c>
      <c r="C40288" s="0" t="s">
        <v>157</v>
      </c>
      <c r="D40288" s="0" t="s">
        <v>32</v>
      </c>
      <c r="E40288" s="0" t="s">
        <v>32</v>
      </c>
      <c r="F40288" s="0" t="s">
        <v>32</v>
      </c>
    </row>
    <row r="40289" customFormat="false" ht="12.8" hidden="false" customHeight="false" outlineLevel="0" collapsed="false">
      <c r="B40289" s="0" t="s">
        <v>14</v>
      </c>
      <c r="C40289" s="0" t="s">
        <v>4830</v>
      </c>
      <c r="D40289" s="0" t="s">
        <v>34</v>
      </c>
      <c r="E40289" s="0" t="s">
        <v>34</v>
      </c>
      <c r="F40289" s="0" t="s">
        <v>34</v>
      </c>
    </row>
    <row r="40290" customFormat="false" ht="12.8" hidden="false" customHeight="false" outlineLevel="0" collapsed="false">
      <c r="B40290" s="0" t="s">
        <v>84</v>
      </c>
      <c r="C40290" s="0" t="s">
        <v>4832</v>
      </c>
      <c r="D40290" s="0" t="s">
        <v>39</v>
      </c>
      <c r="E40290" s="0" t="s">
        <v>39</v>
      </c>
      <c r="F40290" s="0" t="s">
        <v>39</v>
      </c>
    </row>
    <row r="40292" customFormat="false" ht="12.8" hidden="false" customHeight="false" outlineLevel="0" collapsed="false">
      <c r="A40292" s="0" t="s">
        <v>14557</v>
      </c>
      <c r="B40292" s="0" t="str">
        <f aca="false">HYPERLINK("https://lindat.mff.cuni.cz/services/teitok/pdtc10/index.php?action=vallex&amp;frame=v-w5514f1", "restrukturalizovat (v-w5514f1) - substituted with v-w5514hsa_440")</f>
        <v>restrukturalizovat (v-w5514f1) - substituted with v-w5514hsa_440</v>
      </c>
    </row>
    <row r="40293" customFormat="false" ht="12.8" hidden="false" customHeight="false" outlineLevel="0" collapsed="false">
      <c r="B40293" s="0" t="s">
        <v>7</v>
      </c>
      <c r="C40293" s="0" t="s">
        <v>2857</v>
      </c>
    </row>
    <row r="40294" customFormat="false" ht="12.8" hidden="false" customHeight="false" outlineLevel="0" collapsed="false">
      <c r="B40294" s="0" t="s">
        <v>14</v>
      </c>
      <c r="C40294" s="0" t="s">
        <v>14558</v>
      </c>
    </row>
    <row r="40295" customFormat="false" ht="12.8" hidden="false" customHeight="false" outlineLevel="0" collapsed="false">
      <c r="B40295" s="0" t="s">
        <v>84</v>
      </c>
    </row>
    <row r="40297" customFormat="false" ht="12.8" hidden="false" customHeight="false" outlineLevel="0" collapsed="false">
      <c r="A40297" s="0" t="s">
        <v>14559</v>
      </c>
      <c r="B40297" s="0" t="str">
        <f aca="false">HYPERLINK("https://lindat.mff.cuni.cz/services/teitok/pdtc10/index.php?action=vallex&amp;frame=v-w11481f1", "restrukturalizovat se (v-w11481f1)")</f>
        <v>restrukturalizovat se (v-w11481f1)</v>
      </c>
    </row>
    <row r="40298" customFormat="false" ht="12.8" hidden="false" customHeight="false" outlineLevel="0" collapsed="false">
      <c r="B40298" s="0" t="s">
        <v>7</v>
      </c>
      <c r="C40298" s="0" t="s">
        <v>14560</v>
      </c>
      <c r="D40298" s="0" t="s">
        <v>6207</v>
      </c>
      <c r="E40298" s="0" t="s">
        <v>6207</v>
      </c>
      <c r="F40298" s="0" t="s">
        <v>6207</v>
      </c>
    </row>
    <row r="40299" customFormat="false" ht="12.8" hidden="false" customHeight="false" outlineLevel="0" collapsed="false">
      <c r="B40299" s="0" t="s">
        <v>6209</v>
      </c>
      <c r="C40299" s="0" t="s">
        <v>14558</v>
      </c>
      <c r="D40299" s="0" t="s">
        <v>6211</v>
      </c>
      <c r="E40299" s="0" t="s">
        <v>6211</v>
      </c>
      <c r="F40299" s="0" t="s">
        <v>6211</v>
      </c>
    </row>
    <row r="40300" customFormat="false" ht="12.8" hidden="false" customHeight="false" outlineLevel="0" collapsed="false">
      <c r="B40300" s="0" t="s">
        <v>35</v>
      </c>
      <c r="C40300" s="0" t="s">
        <v>5360</v>
      </c>
      <c r="D40300" s="0" t="s">
        <v>6214</v>
      </c>
      <c r="E40300" s="0" t="s">
        <v>6214</v>
      </c>
      <c r="F40300" s="0" t="s">
        <v>6214</v>
      </c>
    </row>
    <row r="40302" customFormat="false" ht="12.8" hidden="false" customHeight="false" outlineLevel="0" collapsed="false">
      <c r="A40302" s="0" t="s">
        <v>14561</v>
      </c>
      <c r="B40302" s="0" t="str">
        <f aca="false">HYPERLINK("https://lindat.mff.cuni.cz/services/teitok/pdtc10/index.php?action=vallex&amp;frame=v-w10198f2", "restrukturovat (v-w10198f2)")</f>
        <v>restrukturovat (v-w10198f2)</v>
      </c>
    </row>
    <row r="40303" customFormat="false" ht="12.8" hidden="false" customHeight="false" outlineLevel="0" collapsed="false">
      <c r="B40303" s="0" t="s">
        <v>7</v>
      </c>
    </row>
    <row r="40304" customFormat="false" ht="12.8" hidden="false" customHeight="false" outlineLevel="0" collapsed="false">
      <c r="B40304" s="0" t="s">
        <v>14</v>
      </c>
      <c r="C40304" s="0" t="s">
        <v>14562</v>
      </c>
    </row>
    <row r="40306" customFormat="false" ht="12.8" hidden="false" customHeight="false" outlineLevel="0" collapsed="false">
      <c r="A40306" s="0" t="s">
        <v>14563</v>
      </c>
      <c r="B40306" s="0" t="str">
        <f aca="false">HYPERLINK("https://lindat.mff.cuni.cz/services/teitok/pdtc10/index.php?action=vallex&amp;frame=v-w5515f1", "retardovat (v-w5515f1)")</f>
        <v>retardovat (v-w5515f1)</v>
      </c>
    </row>
    <row r="40307" customFormat="false" ht="12.8" hidden="false" customHeight="false" outlineLevel="0" collapsed="false">
      <c r="B40307" s="0" t="s">
        <v>7</v>
      </c>
    </row>
    <row r="40308" customFormat="false" ht="12.8" hidden="false" customHeight="false" outlineLevel="0" collapsed="false">
      <c r="B40308" s="0" t="s">
        <v>14</v>
      </c>
    </row>
    <row r="40310" customFormat="false" ht="12.8" hidden="false" customHeight="false" outlineLevel="0" collapsed="false">
      <c r="A40310" s="0" t="s">
        <v>14564</v>
      </c>
      <c r="B40310" s="0" t="str">
        <f aca="false">HYPERLINK("https://lindat.mff.cuni.cz/services/teitok/pdtc10/index.php?action=vallex&amp;frame=v-w5519f2", "revalvovat (v-w5519f2)")</f>
        <v>revalvovat (v-w5519f2)</v>
      </c>
    </row>
    <row r="40311" customFormat="false" ht="12.8" hidden="false" customHeight="false" outlineLevel="0" collapsed="false">
      <c r="B40311" s="0" t="s">
        <v>7</v>
      </c>
    </row>
    <row r="40312" customFormat="false" ht="12.8" hidden="false" customHeight="false" outlineLevel="0" collapsed="false">
      <c r="B40312" s="0" t="s">
        <v>14</v>
      </c>
    </row>
    <row r="40314" customFormat="false" ht="12.8" hidden="false" customHeight="false" outlineLevel="0" collapsed="false">
      <c r="A40314" s="0" t="s">
        <v>14565</v>
      </c>
      <c r="B40314" s="0" t="str">
        <f aca="false">HYPERLINK("https://lindat.mff.cuni.cz/services/teitok/pdtc10/index.php?action=vallex&amp;frame=v-w5519f1", "revalvovat (v-w5519f1)")</f>
        <v>revalvovat (v-w5519f1)</v>
      </c>
    </row>
    <row r="40315" customFormat="false" ht="12.8" hidden="false" customHeight="false" outlineLevel="0" collapsed="false">
      <c r="B40315" s="0" t="s">
        <v>7</v>
      </c>
    </row>
    <row r="40317" customFormat="false" ht="12.8" hidden="false" customHeight="false" outlineLevel="0" collapsed="false">
      <c r="A40317" s="0" t="s">
        <v>14566</v>
      </c>
      <c r="B40317" s="0" t="str">
        <f aca="false">HYPERLINK("https://lindat.mff.cuni.cz/services/teitok/pdtc10/index.php?action=vallex&amp;frame=v-w5520f1", "revidovat (v-w5520f1)")</f>
        <v>revidovat (v-w5520f1)</v>
      </c>
    </row>
    <row r="40318" customFormat="false" ht="12.8" hidden="false" customHeight="false" outlineLevel="0" collapsed="false">
      <c r="B40318" s="0" t="s">
        <v>7</v>
      </c>
      <c r="C40318" s="0" t="s">
        <v>8626</v>
      </c>
      <c r="D40318" s="0" t="s">
        <v>14567</v>
      </c>
      <c r="E40318" s="0" t="s">
        <v>14567</v>
      </c>
      <c r="F40318" s="0" t="s">
        <v>14567</v>
      </c>
    </row>
    <row r="40319" customFormat="false" ht="12.8" hidden="false" customHeight="false" outlineLevel="0" collapsed="false">
      <c r="B40319" s="0" t="s">
        <v>2030</v>
      </c>
      <c r="C40319" s="0" t="s">
        <v>2182</v>
      </c>
      <c r="D40319" s="0" t="s">
        <v>14568</v>
      </c>
      <c r="E40319" s="0" t="s">
        <v>14568</v>
      </c>
      <c r="F40319" s="0" t="s">
        <v>14568</v>
      </c>
    </row>
    <row r="40321" customFormat="false" ht="12.8" hidden="false" customHeight="false" outlineLevel="0" collapsed="false">
      <c r="A40321" s="0" t="s">
        <v>14569</v>
      </c>
      <c r="B40321" s="0" t="str">
        <f aca="false">HYPERLINK("https://lindat.mff.cuni.cz/services/teitok/pdtc10/index.php?action=vallex&amp;frame=v-w5525f1", "revokovat (v-w5525f1)")</f>
        <v>revokovat (v-w5525f1)</v>
      </c>
    </row>
    <row r="40322" customFormat="false" ht="12.8" hidden="false" customHeight="false" outlineLevel="0" collapsed="false">
      <c r="B40322" s="0" t="s">
        <v>7</v>
      </c>
    </row>
    <row r="40323" customFormat="false" ht="12.8" hidden="false" customHeight="false" outlineLevel="0" collapsed="false">
      <c r="B40323" s="0" t="s">
        <v>14</v>
      </c>
    </row>
    <row r="40325" customFormat="false" ht="12.8" hidden="false" customHeight="false" outlineLevel="0" collapsed="false">
      <c r="A40325" s="0" t="s">
        <v>14570</v>
      </c>
      <c r="B40325" s="0" t="str">
        <f aca="false">HYPERLINK("https://lindat.mff.cuni.cz/services/teitok/pdtc10/index.php?action=vallex&amp;frame=v-w5526f1", "rezavět (v-w5526f1)")</f>
        <v>rezavět (v-w5526f1)</v>
      </c>
    </row>
    <row r="40326" customFormat="false" ht="12.8" hidden="false" customHeight="false" outlineLevel="0" collapsed="false">
      <c r="B40326" s="0" t="s">
        <v>7</v>
      </c>
    </row>
    <row r="40328" customFormat="false" ht="12.8" hidden="false" customHeight="false" outlineLevel="0" collapsed="false">
      <c r="A40328" s="0" t="s">
        <v>14571</v>
      </c>
      <c r="B40328" s="0" t="str">
        <f aca="false">HYPERLINK("https://lindat.mff.cuni.cz/services/teitok/pdtc10/index.php?action=vallex&amp;frame=v-w5528f1", "rezervovat (v-w5528f1)")</f>
        <v>rezervovat (v-w5528f1)</v>
      </c>
    </row>
    <row r="40329" customFormat="false" ht="12.8" hidden="false" customHeight="false" outlineLevel="0" collapsed="false">
      <c r="B40329" s="0" t="s">
        <v>7</v>
      </c>
      <c r="C40329" s="0" t="s">
        <v>14572</v>
      </c>
      <c r="D40329" s="0" t="s">
        <v>3610</v>
      </c>
      <c r="E40329" s="0" t="s">
        <v>3610</v>
      </c>
      <c r="F40329" s="0" t="s">
        <v>3610</v>
      </c>
    </row>
    <row r="40330" customFormat="false" ht="12.8" hidden="false" customHeight="false" outlineLevel="0" collapsed="false">
      <c r="B40330" s="0" t="s">
        <v>14</v>
      </c>
      <c r="C40330" s="0" t="s">
        <v>400</v>
      </c>
      <c r="D40330" s="0" t="s">
        <v>7844</v>
      </c>
      <c r="E40330" s="0" t="s">
        <v>7844</v>
      </c>
      <c r="F40330" s="0" t="s">
        <v>7844</v>
      </c>
    </row>
    <row r="40331" customFormat="false" ht="12.8" hidden="false" customHeight="false" outlineLevel="0" collapsed="false">
      <c r="B40331" s="0" t="s">
        <v>3012</v>
      </c>
      <c r="D40331" s="0" t="s">
        <v>12725</v>
      </c>
      <c r="E40331" s="0" t="s">
        <v>12725</v>
      </c>
      <c r="F40331" s="0" t="s">
        <v>12725</v>
      </c>
    </row>
    <row r="40333" customFormat="false" ht="12.8" hidden="false" customHeight="false" outlineLevel="0" collapsed="false">
      <c r="A40333" s="0" t="s">
        <v>14573</v>
      </c>
      <c r="B40333" s="0" t="str">
        <f aca="false">HYPERLINK("https://lindat.mff.cuni.cz/services/teitok/pdtc10/index.php?action=vallex&amp;frame=v-w5530f1", "rezignovat (v-w5530f1)")</f>
        <v>rezignovat (v-w5530f1)</v>
      </c>
    </row>
    <row r="40334" customFormat="false" ht="12.8" hidden="false" customHeight="false" outlineLevel="0" collapsed="false">
      <c r="B40334" s="0" t="s">
        <v>7</v>
      </c>
      <c r="C40334" s="0" t="s">
        <v>5236</v>
      </c>
      <c r="D40334" s="0" t="s">
        <v>1399</v>
      </c>
      <c r="E40334" s="0" t="s">
        <v>1399</v>
      </c>
      <c r="F40334" s="0" t="s">
        <v>1399</v>
      </c>
    </row>
    <row r="40335" customFormat="false" ht="12.8" hidden="false" customHeight="false" outlineLevel="0" collapsed="false">
      <c r="B40335" s="0" t="s">
        <v>14574</v>
      </c>
      <c r="C40335" s="0" t="s">
        <v>33</v>
      </c>
      <c r="D40335" s="0" t="s">
        <v>1401</v>
      </c>
      <c r="E40335" s="0" t="s">
        <v>1401</v>
      </c>
      <c r="F40335" s="0" t="s">
        <v>1401</v>
      </c>
    </row>
    <row r="40337" customFormat="false" ht="12.8" hidden="false" customHeight="false" outlineLevel="0" collapsed="false">
      <c r="A40337" s="0" t="s">
        <v>14575</v>
      </c>
      <c r="B40337" s="0" t="str">
        <f aca="false">HYPERLINK("https://lindat.mff.cuni.cz/services/teitok/pdtc10/index.php?action=vallex&amp;frame=v-whsa_269hsa_270", "rezivět (v-whsa_269hsa_270)")</f>
        <v>rezivět (v-whsa_269hsa_270)</v>
      </c>
    </row>
    <row r="40338" customFormat="false" ht="12.8" hidden="false" customHeight="false" outlineLevel="0" collapsed="false">
      <c r="B40338" s="0" t="s">
        <v>7</v>
      </c>
    </row>
    <row r="40340" customFormat="false" ht="12.8" hidden="false" customHeight="false" outlineLevel="0" collapsed="false">
      <c r="A40340" s="0" t="s">
        <v>14576</v>
      </c>
      <c r="B40340" s="0" t="str">
        <f aca="false">HYPERLINK("https://lindat.mff.cuni.cz/services/teitok/pdtc10/index.php?action=vallex&amp;frame=v-w11161f2", "rezonovat (v-w11161f2)")</f>
        <v>rezonovat (v-w11161f2)</v>
      </c>
    </row>
    <row r="40341" customFormat="false" ht="12.8" hidden="false" customHeight="false" outlineLevel="0" collapsed="false">
      <c r="B40341" s="0" t="s">
        <v>7</v>
      </c>
      <c r="C40341" s="0" t="s">
        <v>396</v>
      </c>
      <c r="D40341" s="0" t="s">
        <v>16</v>
      </c>
      <c r="E40341" s="0" t="s">
        <v>16</v>
      </c>
      <c r="F40341" s="0" t="s">
        <v>16</v>
      </c>
    </row>
    <row r="40342" customFormat="false" ht="12.8" hidden="false" customHeight="false" outlineLevel="0" collapsed="false">
      <c r="B40342" s="0" t="s">
        <v>548</v>
      </c>
      <c r="D40342" s="0" t="s">
        <v>400</v>
      </c>
      <c r="E40342" s="0" t="s">
        <v>400</v>
      </c>
      <c r="F40342" s="0" t="s">
        <v>400</v>
      </c>
    </row>
    <row r="40344" customFormat="false" ht="12.8" hidden="false" customHeight="false" outlineLevel="0" collapsed="false">
      <c r="A40344" s="0" t="s">
        <v>14577</v>
      </c>
      <c r="B40344" s="0" t="str">
        <f aca="false">HYPERLINK("https://lindat.mff.cuni.cz/services/teitok/pdtc10/index.php?action=vallex&amp;frame=v-w11161hsa_136", "rezonovat (v-w11161hsa_136)")</f>
        <v>rezonovat (v-w11161hsa_136)</v>
      </c>
    </row>
    <row r="40345" customFormat="false" ht="12.8" hidden="false" customHeight="false" outlineLevel="0" collapsed="false">
      <c r="B40345" s="0" t="s">
        <v>7</v>
      </c>
      <c r="C40345" s="0" t="s">
        <v>396</v>
      </c>
    </row>
    <row r="40347" customFormat="false" ht="12.8" hidden="false" customHeight="false" outlineLevel="0" collapsed="false">
      <c r="A40347" s="0" t="s">
        <v>14578</v>
      </c>
      <c r="B40347" s="0" t="str">
        <f aca="false">HYPERLINK("https://lindat.mff.cuni.cz/services/teitok/pdtc10/index.php?action=vallex&amp;frame=v-w5534f1", "rezultovat (v-w5534f1)")</f>
        <v>rezultovat (v-w5534f1)</v>
      </c>
    </row>
    <row r="40348" customFormat="false" ht="12.8" hidden="false" customHeight="false" outlineLevel="0" collapsed="false">
      <c r="B40348" s="0" t="s">
        <v>7</v>
      </c>
    </row>
    <row r="40349" customFormat="false" ht="12.8" hidden="false" customHeight="false" outlineLevel="0" collapsed="false">
      <c r="B40349" s="0" t="s">
        <v>581</v>
      </c>
    </row>
    <row r="40351" customFormat="false" ht="12.8" hidden="false" customHeight="false" outlineLevel="0" collapsed="false">
      <c r="A40351" s="0" t="s">
        <v>14579</v>
      </c>
      <c r="B40351" s="0" t="str">
        <f aca="false">HYPERLINK("https://lindat.mff.cuni.cz/services/teitok/pdtc10/index.php?action=vallex&amp;frame=v-w5536f1", "režírovat (v-w5536f1)")</f>
        <v>režírovat (v-w5536f1)</v>
      </c>
    </row>
    <row r="40352" customFormat="false" ht="12.8" hidden="false" customHeight="false" outlineLevel="0" collapsed="false">
      <c r="B40352" s="0" t="s">
        <v>7</v>
      </c>
      <c r="C40352" s="0" t="s">
        <v>149</v>
      </c>
      <c r="D40352" s="0" t="s">
        <v>1604</v>
      </c>
      <c r="E40352" s="0" t="s">
        <v>1604</v>
      </c>
      <c r="F40352" s="0" t="s">
        <v>1604</v>
      </c>
    </row>
    <row r="40353" customFormat="false" ht="12.8" hidden="false" customHeight="false" outlineLevel="0" collapsed="false">
      <c r="B40353" s="0" t="s">
        <v>14</v>
      </c>
      <c r="C40353" s="0" t="s">
        <v>89</v>
      </c>
      <c r="D40353" s="0" t="s">
        <v>1606</v>
      </c>
      <c r="E40353" s="0" t="s">
        <v>1606</v>
      </c>
      <c r="F40353" s="0" t="s">
        <v>1606</v>
      </c>
    </row>
    <row r="40355" customFormat="false" ht="12.8" hidden="false" customHeight="false" outlineLevel="0" collapsed="false">
      <c r="A40355" s="0" t="s">
        <v>14580</v>
      </c>
      <c r="B40355" s="0" t="str">
        <f aca="false">HYPERLINK("https://lindat.mff.cuni.cz/services/teitok/pdtc10/index.php?action=vallex&amp;frame=v-w11572_ZUf1_ZU", "riffovat (v-w11572_ZUf1_ZU)")</f>
        <v>riffovat (v-w11572_ZUf1_ZU)</v>
      </c>
    </row>
    <row r="40356" customFormat="false" ht="12.8" hidden="false" customHeight="false" outlineLevel="0" collapsed="false">
      <c r="B40356" s="0" t="s">
        <v>7</v>
      </c>
      <c r="C40356" s="0" t="s">
        <v>191</v>
      </c>
    </row>
    <row r="40357" customFormat="false" ht="12.8" hidden="false" customHeight="false" outlineLevel="0" collapsed="false">
      <c r="B40357" s="0" t="s">
        <v>363</v>
      </c>
      <c r="C40357" s="0" t="s">
        <v>47</v>
      </c>
    </row>
    <row r="40358" customFormat="false" ht="12.8" hidden="false" customHeight="false" outlineLevel="0" collapsed="false">
      <c r="B40358" s="0" t="s">
        <v>11392</v>
      </c>
    </row>
    <row r="40360" customFormat="false" ht="12.8" hidden="false" customHeight="false" outlineLevel="0" collapsed="false">
      <c r="A40360" s="0" t="s">
        <v>14581</v>
      </c>
      <c r="B40360" s="0" t="str">
        <f aca="false">HYPERLINK("https://lindat.mff.cuni.cz/services/teitok/pdtc10/index.php?action=vallex&amp;frame=v-whsa_1359hsa_1360", "risknout (v-whsa_1359hsa_1360)")</f>
        <v>risknout (v-whsa_1359hsa_1360)</v>
      </c>
    </row>
    <row r="40361" customFormat="false" ht="12.8" hidden="false" customHeight="false" outlineLevel="0" collapsed="false">
      <c r="B40361" s="0" t="s">
        <v>7</v>
      </c>
    </row>
    <row r="40362" customFormat="false" ht="12.8" hidden="false" customHeight="false" outlineLevel="0" collapsed="false">
      <c r="B40362" s="0" t="s">
        <v>54</v>
      </c>
    </row>
    <row r="40364" customFormat="false" ht="12.8" hidden="false" customHeight="false" outlineLevel="0" collapsed="false">
      <c r="A40364" s="0" t="s">
        <v>14582</v>
      </c>
      <c r="B40364" s="0" t="str">
        <f aca="false">HYPERLINK("https://lindat.mff.cuni.cz/services/teitok/pdtc10/index.php?action=vallex&amp;frame=v-w5540f1", "riskovat (v-w5540f1)")</f>
        <v>riskovat (v-w5540f1)</v>
      </c>
    </row>
    <row r="40365" customFormat="false" ht="12.8" hidden="false" customHeight="false" outlineLevel="0" collapsed="false">
      <c r="B40365" s="0" t="s">
        <v>7</v>
      </c>
      <c r="C40365" s="0" t="s">
        <v>465</v>
      </c>
      <c r="D40365" s="0" t="s">
        <v>504</v>
      </c>
      <c r="E40365" s="0" t="s">
        <v>504</v>
      </c>
      <c r="F40365" s="0" t="s">
        <v>504</v>
      </c>
    </row>
    <row r="40366" customFormat="false" ht="12.8" hidden="false" customHeight="false" outlineLevel="0" collapsed="false">
      <c r="B40366" s="0" t="s">
        <v>14583</v>
      </c>
      <c r="C40366" s="0" t="s">
        <v>1571</v>
      </c>
      <c r="D40366" s="0" t="s">
        <v>5444</v>
      </c>
      <c r="E40366" s="0" t="s">
        <v>5444</v>
      </c>
      <c r="F40366" s="0" t="s">
        <v>5444</v>
      </c>
    </row>
    <row r="40368" customFormat="false" ht="12.8" hidden="false" customHeight="false" outlineLevel="0" collapsed="false">
      <c r="A40368" s="0" t="s">
        <v>14584</v>
      </c>
      <c r="B40368" s="0" t="str">
        <f aca="false">HYPERLINK("https://lindat.mff.cuni.cz/services/teitok/pdtc10/index.php?action=vallex&amp;frame=v-w5543f1", "rmoutit (v-w5543f1)")</f>
        <v>rmoutit (v-w5543f1)</v>
      </c>
    </row>
    <row r="40369" customFormat="false" ht="12.8" hidden="false" customHeight="false" outlineLevel="0" collapsed="false">
      <c r="B40369" s="0" t="s">
        <v>641</v>
      </c>
    </row>
    <row r="40370" customFormat="false" ht="12.8" hidden="false" customHeight="false" outlineLevel="0" collapsed="false">
      <c r="B40370" s="0" t="s">
        <v>14</v>
      </c>
    </row>
    <row r="40372" customFormat="false" ht="12.8" hidden="false" customHeight="false" outlineLevel="0" collapsed="false">
      <c r="A40372" s="0" t="s">
        <v>14585</v>
      </c>
      <c r="B40372" s="0" t="str">
        <f aca="false">HYPERLINK("https://lindat.mff.cuni.cz/services/teitok/pdtc10/index.php?action=vallex&amp;frame=v-whsa_1826f1_ZU", "rodit (v-whsa_1826f1_ZU)")</f>
        <v>rodit (v-whsa_1826f1_ZU)</v>
      </c>
    </row>
    <row r="40373" customFormat="false" ht="12.8" hidden="false" customHeight="false" outlineLevel="0" collapsed="false">
      <c r="B40373" s="0" t="s">
        <v>7</v>
      </c>
    </row>
    <row r="40374" customFormat="false" ht="12.8" hidden="false" customHeight="false" outlineLevel="0" collapsed="false">
      <c r="B40374" s="0" t="s">
        <v>14</v>
      </c>
    </row>
    <row r="40376" customFormat="false" ht="12.8" hidden="false" customHeight="false" outlineLevel="0" collapsed="false">
      <c r="A40376" s="0" t="s">
        <v>14585</v>
      </c>
      <c r="B40376" s="0" t="str">
        <f aca="false">HYPERLINK("https://lindat.mff.cuni.cz/services/teitok/pdtc10/index.php?action=vallex&amp;frame=v-whsa_1826hsa_1827", "rodit (v-whsa_1826hsa_1827) - substituted with v-whsa_1826f1_ZU")</f>
        <v>rodit (v-whsa_1826hsa_1827) - substituted with v-whsa_1826f1_ZU</v>
      </c>
    </row>
    <row r="40377" customFormat="false" ht="12.8" hidden="false" customHeight="false" outlineLevel="0" collapsed="false">
      <c r="B40377" s="0" t="s">
        <v>7</v>
      </c>
    </row>
    <row r="40378" customFormat="false" ht="12.8" hidden="false" customHeight="false" outlineLevel="0" collapsed="false">
      <c r="B40378" s="0" t="s">
        <v>14</v>
      </c>
    </row>
    <row r="40380" customFormat="false" ht="12.8" hidden="false" customHeight="false" outlineLevel="0" collapsed="false">
      <c r="A40380" s="0" t="s">
        <v>14586</v>
      </c>
      <c r="B40380" s="0" t="str">
        <f aca="false">HYPERLINK("https://lindat.mff.cuni.cz/services/teitok/pdtc10/index.php?action=vallex&amp;frame=v-whsa_1826f2_ZU", "rodit (v-whsa_1826f2_ZU)")</f>
        <v>rodit (v-whsa_1826f2_ZU)</v>
      </c>
    </row>
    <row r="40381" customFormat="false" ht="12.8" hidden="false" customHeight="false" outlineLevel="0" collapsed="false">
      <c r="B40381" s="0" t="s">
        <v>7</v>
      </c>
    </row>
    <row r="40382" customFormat="false" ht="12.8" hidden="false" customHeight="false" outlineLevel="0" collapsed="false">
      <c r="B40382" s="0" t="s">
        <v>14</v>
      </c>
    </row>
    <row r="40384" customFormat="false" ht="12.8" hidden="false" customHeight="false" outlineLevel="0" collapsed="false">
      <c r="A40384" s="0" t="s">
        <v>14587</v>
      </c>
      <c r="B40384" s="0" t="str">
        <f aca="false">HYPERLINK("https://lindat.mff.cuni.cz/services/teitok/pdtc10/index.php?action=vallex&amp;frame=v-w5544f1", "rodit se (v-w5544f1)")</f>
        <v>rodit se (v-w5544f1)</v>
      </c>
    </row>
    <row r="40385" customFormat="false" ht="12.8" hidden="false" customHeight="false" outlineLevel="0" collapsed="false">
      <c r="B40385" s="0" t="s">
        <v>7</v>
      </c>
      <c r="C40385" s="0" t="s">
        <v>14588</v>
      </c>
      <c r="D40385" s="0" t="s">
        <v>200</v>
      </c>
      <c r="E40385" s="0" t="s">
        <v>200</v>
      </c>
      <c r="F40385" s="0" t="s">
        <v>200</v>
      </c>
    </row>
    <row r="40386" customFormat="false" ht="12.8" hidden="false" customHeight="false" outlineLevel="0" collapsed="false">
      <c r="B40386" s="0" t="s">
        <v>581</v>
      </c>
      <c r="C40386" s="0" t="s">
        <v>6901</v>
      </c>
      <c r="D40386" s="0" t="s">
        <v>8017</v>
      </c>
      <c r="E40386" s="0" t="s">
        <v>8017</v>
      </c>
      <c r="F40386" s="0" t="s">
        <v>8017</v>
      </c>
    </row>
    <row r="40388" customFormat="false" ht="12.8" hidden="false" customHeight="false" outlineLevel="0" collapsed="false">
      <c r="A40388" s="0" t="s">
        <v>14589</v>
      </c>
      <c r="B40388" s="0" t="str">
        <f aca="false">HYPERLINK("https://lindat.mff.cuni.cz/services/teitok/pdtc10/index.php?action=vallex&amp;frame=v-w5544f2_ZU", "rodit se (v-w5544f2_ZU)")</f>
        <v>rodit se (v-w5544f2_ZU)</v>
      </c>
    </row>
    <row r="40389" customFormat="false" ht="12.8" hidden="false" customHeight="false" outlineLevel="0" collapsed="false">
      <c r="B40389" s="0" t="s">
        <v>7</v>
      </c>
    </row>
    <row r="40391" customFormat="false" ht="12.8" hidden="false" customHeight="false" outlineLevel="0" collapsed="false">
      <c r="A40391" s="0" t="s">
        <v>14589</v>
      </c>
      <c r="B40391" s="0" t="str">
        <f aca="false">HYPERLINK("https://lindat.mff.cuni.cz/services/teitok/pdtc10/index.php?action=vallex&amp;frame=v-w5544hsa_1674", "rodit se (v-w5544hsa_1674) - substituted with v-w5544f2_ZU")</f>
        <v>rodit se (v-w5544hsa_1674) - substituted with v-w5544f2_ZU</v>
      </c>
    </row>
    <row r="40392" customFormat="false" ht="12.8" hidden="false" customHeight="false" outlineLevel="0" collapsed="false">
      <c r="B40392" s="0" t="s">
        <v>7</v>
      </c>
    </row>
    <row r="40394" customFormat="false" ht="12.8" hidden="false" customHeight="false" outlineLevel="0" collapsed="false">
      <c r="A40394" s="0" t="s">
        <v>14590</v>
      </c>
      <c r="B40394" s="0" t="str">
        <f aca="false">HYPERLINK("https://lindat.mff.cuni.cz/services/teitok/pdtc10/index.php?action=vallex&amp;frame=v-w5544f3_ZU", "rodit se (v-w5544f3_ZU)")</f>
        <v>rodit se (v-w5544f3_ZU)</v>
      </c>
    </row>
    <row r="40395" customFormat="false" ht="12.8" hidden="false" customHeight="false" outlineLevel="0" collapsed="false">
      <c r="B40395" s="0" t="s">
        <v>7</v>
      </c>
    </row>
    <row r="40396" customFormat="false" ht="12.8" hidden="false" customHeight="false" outlineLevel="0" collapsed="false">
      <c r="B40396" s="0" t="s">
        <v>581</v>
      </c>
    </row>
    <row r="40398" customFormat="false" ht="12.8" hidden="false" customHeight="false" outlineLevel="0" collapsed="false">
      <c r="A40398" s="0" t="s">
        <v>14591</v>
      </c>
      <c r="B40398" s="0" t="str">
        <f aca="false">HYPERLINK("https://lindat.mff.cuni.cz/services/teitok/pdtc10/index.php?action=vallex&amp;frame=v-w5545f1", "rojit se (v-w5545f1)")</f>
        <v>rojit se (v-w5545f1)</v>
      </c>
    </row>
    <row r="40399" customFormat="false" ht="12.8" hidden="false" customHeight="false" outlineLevel="0" collapsed="false">
      <c r="B40399" s="0" t="s">
        <v>7</v>
      </c>
    </row>
    <row r="40400" customFormat="false" ht="12.8" hidden="false" customHeight="false" outlineLevel="0" collapsed="false">
      <c r="B40400" s="0" t="s">
        <v>11</v>
      </c>
    </row>
    <row r="40402" customFormat="false" ht="12.8" hidden="false" customHeight="false" outlineLevel="0" collapsed="false">
      <c r="A40402" s="0" t="s">
        <v>14592</v>
      </c>
      <c r="B40402" s="0" t="str">
        <f aca="false">HYPERLINK("https://lindat.mff.cuni.cz/services/teitok/pdtc10/index.php?action=vallex&amp;frame=v-w5545f2", "rojit se (v-w5545f2)")</f>
        <v>rojit se (v-w5545f2)</v>
      </c>
    </row>
    <row r="40403" customFormat="false" ht="12.8" hidden="false" customHeight="false" outlineLevel="0" collapsed="false">
      <c r="B40403" s="0" t="s">
        <v>7</v>
      </c>
    </row>
    <row r="40404" customFormat="false" ht="12.8" hidden="false" customHeight="false" outlineLevel="0" collapsed="false">
      <c r="B40404" s="0" t="s">
        <v>14593</v>
      </c>
    </row>
    <row r="40406" customFormat="false" ht="12.8" hidden="false" customHeight="false" outlineLevel="0" collapsed="false">
      <c r="A40406" s="0" t="s">
        <v>14594</v>
      </c>
      <c r="B40406" s="0" t="str">
        <f aca="false">HYPERLINK("https://lindat.mff.cuni.cz/services/teitok/pdtc10/index.php?action=vallex&amp;frame=v-w5548f1", "rokovat (v-w5548f1)")</f>
        <v>rokovat (v-w5548f1)</v>
      </c>
    </row>
    <row r="40407" customFormat="false" ht="12.8" hidden="false" customHeight="false" outlineLevel="0" collapsed="false">
      <c r="B40407" s="0" t="s">
        <v>7</v>
      </c>
      <c r="D40407" s="0" t="s">
        <v>11767</v>
      </c>
      <c r="E40407" s="0" t="s">
        <v>11767</v>
      </c>
      <c r="F40407" s="0" t="s">
        <v>11767</v>
      </c>
    </row>
    <row r="40408" customFormat="false" ht="12.8" hidden="false" customHeight="false" outlineLevel="0" collapsed="false">
      <c r="B40408" s="0" t="s">
        <v>244</v>
      </c>
      <c r="D40408" s="0" t="s">
        <v>11769</v>
      </c>
      <c r="E40408" s="0" t="s">
        <v>11769</v>
      </c>
      <c r="F40408" s="0" t="s">
        <v>11769</v>
      </c>
    </row>
    <row r="40409" customFormat="false" ht="12.8" hidden="false" customHeight="false" outlineLevel="0" collapsed="false">
      <c r="B40409" s="0" t="s">
        <v>207</v>
      </c>
      <c r="D40409" s="0" t="s">
        <v>11770</v>
      </c>
      <c r="E40409" s="0" t="s">
        <v>11770</v>
      </c>
      <c r="F40409" s="0" t="s">
        <v>11770</v>
      </c>
    </row>
    <row r="40411" customFormat="false" ht="12.8" hidden="false" customHeight="false" outlineLevel="0" collapsed="false">
      <c r="A40411" s="0" t="s">
        <v>14595</v>
      </c>
      <c r="B40411" s="0" t="str">
        <f aca="false">HYPERLINK("https://lindat.mff.cuni.cz/services/teitok/pdtc10/index.php?action=vallex&amp;frame=v-w10083f2", "rotovat (v-w10083f2)")</f>
        <v>rotovat (v-w10083f2)</v>
      </c>
    </row>
    <row r="40412" customFormat="false" ht="12.8" hidden="false" customHeight="false" outlineLevel="0" collapsed="false">
      <c r="B40412" s="0" t="s">
        <v>7</v>
      </c>
    </row>
    <row r="40414" customFormat="false" ht="12.8" hidden="false" customHeight="false" outlineLevel="0" collapsed="false">
      <c r="A40414" s="0" t="s">
        <v>14596</v>
      </c>
      <c r="B40414" s="0" t="str">
        <f aca="false">HYPERLINK("https://lindat.mff.cuni.cz/services/teitok/pdtc10/index.php?action=vallex&amp;frame=v-w12370_MMf1_MM", "rovnat (v-w12370_MMf1_MM)")</f>
        <v>rovnat (v-w12370_MMf1_MM)</v>
      </c>
    </row>
    <row r="40415" customFormat="false" ht="12.8" hidden="false" customHeight="false" outlineLevel="0" collapsed="false">
      <c r="B40415" s="0" t="s">
        <v>7</v>
      </c>
    </row>
    <row r="40416" customFormat="false" ht="12.8" hidden="false" customHeight="false" outlineLevel="0" collapsed="false">
      <c r="B40416" s="0" t="s">
        <v>14</v>
      </c>
    </row>
    <row r="40418" customFormat="false" ht="12.8" hidden="false" customHeight="false" outlineLevel="0" collapsed="false">
      <c r="A40418" s="0" t="s">
        <v>14597</v>
      </c>
      <c r="B40418" s="0" t="str">
        <f aca="false">HYPERLINK("https://lindat.mff.cuni.cz/services/teitok/pdtc10/index.php?action=vallex&amp;frame=v-w5554f2", "rovnat se (v-w5554f2)")</f>
        <v>rovnat se (v-w5554f2)</v>
      </c>
    </row>
    <row r="40419" customFormat="false" ht="12.8" hidden="false" customHeight="false" outlineLevel="0" collapsed="false">
      <c r="B40419" s="0" t="s">
        <v>632</v>
      </c>
      <c r="C40419" s="0" t="s">
        <v>2911</v>
      </c>
    </row>
    <row r="40420" customFormat="false" ht="12.8" hidden="false" customHeight="false" outlineLevel="0" collapsed="false">
      <c r="B40420" s="0" t="s">
        <v>1496</v>
      </c>
      <c r="C40420" s="0" t="s">
        <v>14598</v>
      </c>
    </row>
    <row r="40422" customFormat="false" ht="12.8" hidden="false" customHeight="false" outlineLevel="0" collapsed="false">
      <c r="A40422" s="0" t="s">
        <v>14599</v>
      </c>
      <c r="B40422" s="0" t="str">
        <f aca="false">HYPERLINK("https://lindat.mff.cuni.cz/services/teitok/pdtc10/index.php?action=vallex&amp;frame=v-w5554f1", "rovnat se (v-w5554f1)")</f>
        <v>rovnat se (v-w5554f1)</v>
      </c>
    </row>
    <row r="40423" customFormat="false" ht="12.8" hidden="false" customHeight="false" outlineLevel="0" collapsed="false">
      <c r="B40423" s="0" t="s">
        <v>7</v>
      </c>
      <c r="C40423" s="0" t="s">
        <v>14600</v>
      </c>
      <c r="D40423" s="0" t="s">
        <v>4476</v>
      </c>
      <c r="E40423" s="0" t="s">
        <v>4476</v>
      </c>
      <c r="F40423" s="0" t="s">
        <v>4476</v>
      </c>
    </row>
    <row r="40424" customFormat="false" ht="12.8" hidden="false" customHeight="false" outlineLevel="0" collapsed="false">
      <c r="B40424" s="0" t="s">
        <v>142</v>
      </c>
      <c r="C40424" s="0" t="s">
        <v>14601</v>
      </c>
      <c r="D40424" s="0" t="s">
        <v>8360</v>
      </c>
      <c r="E40424" s="0" t="s">
        <v>8360</v>
      </c>
      <c r="F40424" s="0" t="s">
        <v>8360</v>
      </c>
    </row>
    <row r="40426" customFormat="false" ht="12.8" hidden="false" customHeight="false" outlineLevel="0" collapsed="false">
      <c r="A40426" s="0" t="s">
        <v>14602</v>
      </c>
      <c r="B40426" s="0" t="str">
        <f aca="false">HYPERLINK("https://lindat.mff.cuni.cz/services/teitok/pdtc10/index.php?action=vallex&amp;frame=v-w5554f4_ZU", "rovnat se (v-w5554f4_ZU)")</f>
        <v>rovnat se (v-w5554f4_ZU)</v>
      </c>
    </row>
    <row r="40427" customFormat="false" ht="12.8" hidden="false" customHeight="false" outlineLevel="0" collapsed="false">
      <c r="B40427" s="0" t="s">
        <v>7</v>
      </c>
      <c r="C40427" s="0" t="s">
        <v>7921</v>
      </c>
      <c r="D40427" s="0" t="s">
        <v>2245</v>
      </c>
      <c r="E40427" s="0" t="s">
        <v>2245</v>
      </c>
      <c r="F40427" s="0" t="s">
        <v>2245</v>
      </c>
    </row>
    <row r="40428" customFormat="false" ht="12.8" hidden="false" customHeight="false" outlineLevel="0" collapsed="false">
      <c r="B40428" s="0" t="s">
        <v>142</v>
      </c>
      <c r="C40428" s="0" t="s">
        <v>5123</v>
      </c>
      <c r="D40428" s="0" t="s">
        <v>2247</v>
      </c>
      <c r="E40428" s="0" t="s">
        <v>2247</v>
      </c>
      <c r="F40428" s="0" t="s">
        <v>2247</v>
      </c>
    </row>
    <row r="40430" customFormat="false" ht="12.8" hidden="false" customHeight="false" outlineLevel="0" collapsed="false">
      <c r="A40430" s="0" t="s">
        <v>14602</v>
      </c>
      <c r="B40430" s="0" t="str">
        <f aca="false">HYPERLINK("https://lindat.mff.cuni.cz/services/teitok/pdtc10/index.php?action=vallex&amp;frame=v-w5554f3_ZU", "rovnat se (v-w5554f3_ZU) - substituted with v-w5554f4_ZU")</f>
        <v>rovnat se (v-w5554f3_ZU) - substituted with v-w5554f4_ZU</v>
      </c>
    </row>
    <row r="40431" customFormat="false" ht="12.8" hidden="false" customHeight="false" outlineLevel="0" collapsed="false">
      <c r="B40431" s="0" t="s">
        <v>7</v>
      </c>
    </row>
    <row r="40432" customFormat="false" ht="12.8" hidden="false" customHeight="false" outlineLevel="0" collapsed="false">
      <c r="B40432" s="0" t="s">
        <v>142</v>
      </c>
    </row>
    <row r="40434" customFormat="false" ht="12.8" hidden="false" customHeight="false" outlineLevel="0" collapsed="false">
      <c r="A40434" s="0" t="s">
        <v>14603</v>
      </c>
      <c r="B40434" s="0" t="str">
        <f aca="false">HYPERLINK("https://lindat.mff.cuni.cz/services/teitok/pdtc10/index.php?action=vallex&amp;frame=v-whsa_1644hsa_1645", "rozbalit (v-whsa_1644hsa_1645)")</f>
        <v>rozbalit (v-whsa_1644hsa_1645)</v>
      </c>
    </row>
    <row r="40435" customFormat="false" ht="12.8" hidden="false" customHeight="false" outlineLevel="0" collapsed="false">
      <c r="B40435" s="0" t="s">
        <v>7</v>
      </c>
    </row>
    <row r="40436" customFormat="false" ht="12.8" hidden="false" customHeight="false" outlineLevel="0" collapsed="false">
      <c r="B40436" s="0" t="s">
        <v>14</v>
      </c>
    </row>
    <row r="40438" customFormat="false" ht="12.8" hidden="false" customHeight="false" outlineLevel="0" collapsed="false">
      <c r="A40438" s="0" t="s">
        <v>14604</v>
      </c>
      <c r="B40438" s="0" t="str">
        <f aca="false">HYPERLINK("https://lindat.mff.cuni.cz/services/teitok/pdtc10/index.php?action=vallex&amp;frame=v-whsa_647hsa_648", "rozbalovat (v-whsa_647hsa_648)")</f>
        <v>rozbalovat (v-whsa_647hsa_648)</v>
      </c>
    </row>
    <row r="40439" customFormat="false" ht="12.8" hidden="false" customHeight="false" outlineLevel="0" collapsed="false">
      <c r="B40439" s="0" t="s">
        <v>7</v>
      </c>
    </row>
    <row r="40440" customFormat="false" ht="12.8" hidden="false" customHeight="false" outlineLevel="0" collapsed="false">
      <c r="B40440" s="0" t="s">
        <v>14</v>
      </c>
    </row>
    <row r="40442" customFormat="false" ht="12.8" hidden="false" customHeight="false" outlineLevel="0" collapsed="false">
      <c r="A40442" s="0" t="s">
        <v>14605</v>
      </c>
      <c r="B40442" s="0" t="str">
        <f aca="false">HYPERLINK("https://lindat.mff.cuni.cz/services/teitok/pdtc10/index.php?action=vallex&amp;frame=v-w11374f1", "rozbalovat se (v-w11374f1)")</f>
        <v>rozbalovat se (v-w11374f1)</v>
      </c>
    </row>
    <row r="40443" customFormat="false" ht="12.8" hidden="false" customHeight="false" outlineLevel="0" collapsed="false">
      <c r="B40443" s="0" t="s">
        <v>7</v>
      </c>
    </row>
    <row r="40445" customFormat="false" ht="12.8" hidden="false" customHeight="false" outlineLevel="0" collapsed="false">
      <c r="A40445" s="0" t="s">
        <v>14606</v>
      </c>
      <c r="B40445" s="0" t="str">
        <f aca="false">HYPERLINK("https://lindat.mff.cuni.cz/services/teitok/pdtc10/index.php?action=vallex&amp;frame=v-whsa_591hsa_592", "rozbourat (v-whsa_591hsa_592)")</f>
        <v>rozbourat (v-whsa_591hsa_592)</v>
      </c>
    </row>
    <row r="40446" customFormat="false" ht="12.8" hidden="false" customHeight="false" outlineLevel="0" collapsed="false">
      <c r="B40446" s="0" t="s">
        <v>7</v>
      </c>
    </row>
    <row r="40447" customFormat="false" ht="12.8" hidden="false" customHeight="false" outlineLevel="0" collapsed="false">
      <c r="B40447" s="0" t="s">
        <v>14</v>
      </c>
    </row>
    <row r="40449" customFormat="false" ht="12.8" hidden="false" customHeight="false" outlineLevel="0" collapsed="false">
      <c r="A40449" s="0" t="s">
        <v>14607</v>
      </c>
      <c r="B40449" s="0" t="str">
        <f aca="false">HYPERLINK("https://lindat.mff.cuni.cz/services/teitok/pdtc10/index.php?action=vallex&amp;frame=v-w11573_ZUf1_ZU", "rozbouřit (v-w11573_ZUf1_ZU)")</f>
        <v>rozbouřit (v-w11573_ZUf1_ZU)</v>
      </c>
    </row>
    <row r="40450" customFormat="false" ht="12.8" hidden="false" customHeight="false" outlineLevel="0" collapsed="false">
      <c r="B40450" s="0" t="s">
        <v>7</v>
      </c>
      <c r="C40450" s="0" t="s">
        <v>184</v>
      </c>
      <c r="D40450" s="0" t="s">
        <v>335</v>
      </c>
      <c r="E40450" s="0" t="s">
        <v>335</v>
      </c>
      <c r="F40450" s="0" t="s">
        <v>335</v>
      </c>
    </row>
    <row r="40451" customFormat="false" ht="12.8" hidden="false" customHeight="false" outlineLevel="0" collapsed="false">
      <c r="B40451" s="0" t="s">
        <v>14</v>
      </c>
      <c r="C40451" s="0" t="s">
        <v>384</v>
      </c>
      <c r="D40451" s="0" t="s">
        <v>78</v>
      </c>
      <c r="E40451" s="0" t="s">
        <v>78</v>
      </c>
      <c r="F40451" s="0" t="s">
        <v>78</v>
      </c>
    </row>
    <row r="40453" customFormat="false" ht="12.8" hidden="false" customHeight="false" outlineLevel="0" collapsed="false">
      <c r="A40453" s="0" t="s">
        <v>14608</v>
      </c>
      <c r="B40453" s="0" t="str">
        <f aca="false">HYPERLINK("https://lindat.mff.cuni.cz/services/teitok/pdtc10/index.php?action=vallex&amp;frame=v-w11961_ZUf1_ZU", "rozbouřit se (v-w11961_ZUf1_ZU)")</f>
        <v>rozbouřit se (v-w11961_ZUf1_ZU)</v>
      </c>
    </row>
    <row r="40454" customFormat="false" ht="12.8" hidden="false" customHeight="false" outlineLevel="0" collapsed="false">
      <c r="B40454" s="0" t="s">
        <v>7</v>
      </c>
    </row>
    <row r="40456" customFormat="false" ht="12.8" hidden="false" customHeight="false" outlineLevel="0" collapsed="false">
      <c r="A40456" s="0" t="s">
        <v>14609</v>
      </c>
      <c r="B40456" s="0" t="str">
        <f aca="false">HYPERLINK("https://lindat.mff.cuni.cz/services/teitok/pdtc10/index.php?action=vallex&amp;frame=v-whsa_341hsa_342", "rozbořit (v-whsa_341hsa_342)")</f>
        <v>rozbořit (v-whsa_341hsa_342)</v>
      </c>
    </row>
    <row r="40457" customFormat="false" ht="12.8" hidden="false" customHeight="false" outlineLevel="0" collapsed="false">
      <c r="B40457" s="0" t="s">
        <v>7</v>
      </c>
    </row>
    <row r="40458" customFormat="false" ht="12.8" hidden="false" customHeight="false" outlineLevel="0" collapsed="false">
      <c r="B40458" s="0" t="s">
        <v>14</v>
      </c>
    </row>
    <row r="40460" customFormat="false" ht="12.8" hidden="false" customHeight="false" outlineLevel="0" collapsed="false">
      <c r="A40460" s="0" t="s">
        <v>14610</v>
      </c>
      <c r="B40460" s="0" t="str">
        <f aca="false">HYPERLINK("https://lindat.mff.cuni.cz/services/teitok/pdtc10/index.php?action=vallex&amp;frame=v-w11970_ZUf1_ZU", "rozbrečet se (v-w11970_ZUf1_ZU)")</f>
        <v>rozbrečet se (v-w11970_ZUf1_ZU)</v>
      </c>
    </row>
    <row r="40461" customFormat="false" ht="12.8" hidden="false" customHeight="false" outlineLevel="0" collapsed="false">
      <c r="B40461" s="0" t="s">
        <v>7</v>
      </c>
    </row>
    <row r="40463" customFormat="false" ht="12.8" hidden="false" customHeight="false" outlineLevel="0" collapsed="false">
      <c r="A40463" s="0" t="s">
        <v>14611</v>
      </c>
      <c r="B40463" s="0" t="str">
        <f aca="false">HYPERLINK("https://lindat.mff.cuni.cz/services/teitok/pdtc10/index.php?action=vallex&amp;frame=v-whsa_633hsa_634", "rozbušit se (v-whsa_633hsa_634)")</f>
        <v>rozbušit se (v-whsa_633hsa_634)</v>
      </c>
    </row>
    <row r="40464" customFormat="false" ht="12.8" hidden="false" customHeight="false" outlineLevel="0" collapsed="false">
      <c r="B40464" s="0" t="s">
        <v>7</v>
      </c>
    </row>
    <row r="40466" customFormat="false" ht="12.8" hidden="false" customHeight="false" outlineLevel="0" collapsed="false">
      <c r="A40466" s="0" t="s">
        <v>14612</v>
      </c>
      <c r="B40466" s="0" t="str">
        <f aca="false">HYPERLINK("https://lindat.mff.cuni.cz/services/teitok/pdtc10/index.php?action=vallex&amp;frame=v-w12332_MMf1_MM", "rozbíhat (v-w12332_MMf1_MM)")</f>
        <v>rozbíhat (v-w12332_MMf1_MM)</v>
      </c>
    </row>
    <row r="40467" customFormat="false" ht="12.8" hidden="false" customHeight="false" outlineLevel="0" collapsed="false">
      <c r="B40467" s="0" t="s">
        <v>7</v>
      </c>
    </row>
    <row r="40468" customFormat="false" ht="12.8" hidden="false" customHeight="false" outlineLevel="0" collapsed="false">
      <c r="B40468" s="0" t="s">
        <v>14</v>
      </c>
    </row>
    <row r="40470" customFormat="false" ht="12.8" hidden="false" customHeight="false" outlineLevel="0" collapsed="false">
      <c r="A40470" s="0" t="s">
        <v>14613</v>
      </c>
      <c r="B40470" s="0" t="str">
        <f aca="false">HYPERLINK("https://lindat.mff.cuni.cz/services/teitok/pdtc10/index.php?action=vallex&amp;frame=v-w5561f1", "rozbíhat se (v-w5561f1)")</f>
        <v>rozbíhat se (v-w5561f1)</v>
      </c>
    </row>
    <row r="40471" customFormat="false" ht="12.8" hidden="false" customHeight="false" outlineLevel="0" collapsed="false">
      <c r="B40471" s="0" t="s">
        <v>7</v>
      </c>
      <c r="D40471" s="0" t="s">
        <v>288</v>
      </c>
      <c r="E40471" s="0" t="s">
        <v>288</v>
      </c>
      <c r="F40471" s="0" t="s">
        <v>288</v>
      </c>
    </row>
    <row r="40473" customFormat="false" ht="12.8" hidden="false" customHeight="false" outlineLevel="0" collapsed="false">
      <c r="A40473" s="0" t="s">
        <v>14614</v>
      </c>
      <c r="B40473" s="0" t="str">
        <f aca="false">HYPERLINK("https://lindat.mff.cuni.cz/services/teitok/pdtc10/index.php?action=vallex&amp;frame=v-w5563f1", "rozbíjet (v-w5563f1)")</f>
        <v>rozbíjet (v-w5563f1)</v>
      </c>
    </row>
    <row r="40474" customFormat="false" ht="12.8" hidden="false" customHeight="false" outlineLevel="0" collapsed="false">
      <c r="B40474" s="0" t="s">
        <v>7</v>
      </c>
      <c r="C40474" s="0" t="s">
        <v>3664</v>
      </c>
      <c r="D40474" s="0" t="s">
        <v>14615</v>
      </c>
      <c r="E40474" s="0" t="s">
        <v>14616</v>
      </c>
      <c r="F40474" s="0" t="s">
        <v>14616</v>
      </c>
    </row>
    <row r="40475" customFormat="false" ht="12.8" hidden="false" customHeight="false" outlineLevel="0" collapsed="false">
      <c r="B40475" s="0" t="s">
        <v>232</v>
      </c>
      <c r="C40475" s="0" t="s">
        <v>3725</v>
      </c>
      <c r="D40475" s="0" t="s">
        <v>14617</v>
      </c>
      <c r="E40475" s="0" t="s">
        <v>4577</v>
      </c>
      <c r="F40475" s="0" t="s">
        <v>4577</v>
      </c>
    </row>
    <row r="40476" customFormat="false" ht="12.8" hidden="false" customHeight="false" outlineLevel="0" collapsed="false">
      <c r="B40476" s="0" t="s">
        <v>84</v>
      </c>
      <c r="C40476" s="0" t="s">
        <v>13112</v>
      </c>
      <c r="D40476" s="0" t="s">
        <v>14618</v>
      </c>
      <c r="E40476" s="0" t="s">
        <v>14619</v>
      </c>
      <c r="F40476" s="0" t="s">
        <v>14619</v>
      </c>
    </row>
    <row r="40478" customFormat="false" ht="12.8" hidden="false" customHeight="false" outlineLevel="0" collapsed="false">
      <c r="A40478" s="0" t="s">
        <v>14620</v>
      </c>
      <c r="B40478" s="0" t="str">
        <f aca="false">HYPERLINK("https://lindat.mff.cuni.cz/services/teitok/pdtc10/index.php?action=vallex&amp;frame=v-w5564f1", "rozbít (v-w5564f1)")</f>
        <v>rozbít (v-w5564f1)</v>
      </c>
    </row>
    <row r="40479" customFormat="false" ht="12.8" hidden="false" customHeight="false" outlineLevel="0" collapsed="false">
      <c r="B40479" s="0" t="s">
        <v>7</v>
      </c>
      <c r="C40479" s="0" t="s">
        <v>1637</v>
      </c>
      <c r="D40479" s="0" t="s">
        <v>14615</v>
      </c>
      <c r="E40479" s="0" t="s">
        <v>14616</v>
      </c>
      <c r="F40479" s="0" t="s">
        <v>14616</v>
      </c>
    </row>
    <row r="40480" customFormat="false" ht="12.8" hidden="false" customHeight="false" outlineLevel="0" collapsed="false">
      <c r="B40480" s="0" t="s">
        <v>14</v>
      </c>
      <c r="C40480" s="0" t="s">
        <v>2887</v>
      </c>
      <c r="D40480" s="0" t="s">
        <v>14617</v>
      </c>
      <c r="E40480" s="0" t="s">
        <v>4577</v>
      </c>
      <c r="F40480" s="0" t="s">
        <v>4577</v>
      </c>
    </row>
    <row r="40481" customFormat="false" ht="12.8" hidden="false" customHeight="false" outlineLevel="0" collapsed="false">
      <c r="B40481" s="0" t="s">
        <v>84</v>
      </c>
      <c r="C40481" s="0" t="s">
        <v>13112</v>
      </c>
      <c r="D40481" s="0" t="s">
        <v>14618</v>
      </c>
      <c r="E40481" s="0" t="s">
        <v>14619</v>
      </c>
      <c r="F40481" s="0" t="s">
        <v>14619</v>
      </c>
    </row>
    <row r="40483" customFormat="false" ht="12.8" hidden="false" customHeight="false" outlineLevel="0" collapsed="false">
      <c r="A40483" s="0" t="s">
        <v>14621</v>
      </c>
      <c r="B40483" s="0" t="str">
        <f aca="false">HYPERLINK("https://lindat.mff.cuni.cz/services/teitok/pdtc10/index.php?action=vallex&amp;frame=v-w5564f2_ZU", "rozbít (v-w5564f2_ZU)")</f>
        <v>rozbít (v-w5564f2_ZU)</v>
      </c>
    </row>
    <row r="40484" customFormat="false" ht="12.8" hidden="false" customHeight="false" outlineLevel="0" collapsed="false">
      <c r="B40484" s="0" t="s">
        <v>7</v>
      </c>
    </row>
    <row r="40485" customFormat="false" ht="12.8" hidden="false" customHeight="false" outlineLevel="0" collapsed="false">
      <c r="B40485" s="0" t="s">
        <v>14</v>
      </c>
    </row>
    <row r="40487" customFormat="false" ht="12.8" hidden="false" customHeight="false" outlineLevel="0" collapsed="false">
      <c r="A40487" s="0" t="s">
        <v>14622</v>
      </c>
      <c r="B40487" s="0" t="str">
        <f aca="false">HYPERLINK("https://lindat.mff.cuni.cz/services/teitok/pdtc10/index.php?action=vallex&amp;frame=v-whsa_231hsa_232", "rozbít se (v-whsa_231hsa_232)")</f>
        <v>rozbít se (v-whsa_231hsa_232)</v>
      </c>
    </row>
    <row r="40488" customFormat="false" ht="12.8" hidden="false" customHeight="false" outlineLevel="0" collapsed="false">
      <c r="B40488" s="0" t="s">
        <v>7</v>
      </c>
      <c r="C40488" s="0" t="s">
        <v>14623</v>
      </c>
      <c r="D40488" s="0" t="s">
        <v>10626</v>
      </c>
      <c r="E40488" s="0" t="s">
        <v>10626</v>
      </c>
      <c r="F40488" s="0" t="s">
        <v>10626</v>
      </c>
    </row>
    <row r="40490" customFormat="false" ht="12.8" hidden="false" customHeight="false" outlineLevel="0" collapsed="false">
      <c r="A40490" s="0" t="s">
        <v>14624</v>
      </c>
      <c r="B40490" s="0" t="str">
        <f aca="false">HYPERLINK("https://lindat.mff.cuni.cz/services/teitok/pdtc10/index.php?action=vallex&amp;frame=v-whsa_476hsa_477", "rozběhnout (v-whsa_476hsa_477)")</f>
        <v>rozběhnout (v-whsa_476hsa_477)</v>
      </c>
    </row>
    <row r="40491" customFormat="false" ht="12.8" hidden="false" customHeight="false" outlineLevel="0" collapsed="false">
      <c r="B40491" s="0" t="s">
        <v>7</v>
      </c>
      <c r="C40491" s="0" t="s">
        <v>12495</v>
      </c>
      <c r="D40491" s="0" t="s">
        <v>69</v>
      </c>
      <c r="E40491" s="0" t="s">
        <v>69</v>
      </c>
      <c r="F40491" s="0" t="s">
        <v>69</v>
      </c>
    </row>
    <row r="40492" customFormat="false" ht="12.8" hidden="false" customHeight="false" outlineLevel="0" collapsed="false">
      <c r="B40492" s="0" t="s">
        <v>14</v>
      </c>
      <c r="C40492" s="0" t="s">
        <v>10088</v>
      </c>
      <c r="D40492" s="0" t="s">
        <v>71</v>
      </c>
      <c r="E40492" s="0" t="s">
        <v>71</v>
      </c>
      <c r="F40492" s="0" t="s">
        <v>71</v>
      </c>
    </row>
    <row r="40494" customFormat="false" ht="12.8" hidden="false" customHeight="false" outlineLevel="0" collapsed="false">
      <c r="A40494" s="0" t="s">
        <v>14625</v>
      </c>
      <c r="B40494" s="0" t="str">
        <f aca="false">HYPERLINK("https://lindat.mff.cuni.cz/services/teitok/pdtc10/index.php?action=vallex&amp;frame=v-w5560f1", "rozběhnout se (v-w5560f1)")</f>
        <v>rozběhnout se (v-w5560f1)</v>
      </c>
    </row>
    <row r="40495" customFormat="false" ht="12.8" hidden="false" customHeight="false" outlineLevel="0" collapsed="false">
      <c r="B40495" s="0" t="s">
        <v>7</v>
      </c>
      <c r="C40495" s="0" t="s">
        <v>8512</v>
      </c>
      <c r="D40495" s="0" t="s">
        <v>14626</v>
      </c>
      <c r="E40495" s="0" t="s">
        <v>14626</v>
      </c>
      <c r="F40495" s="0" t="s">
        <v>14626</v>
      </c>
    </row>
    <row r="40497" customFormat="false" ht="12.8" hidden="false" customHeight="false" outlineLevel="0" collapsed="false">
      <c r="A40497" s="0" t="s">
        <v>14627</v>
      </c>
      <c r="B40497" s="0" t="str">
        <f aca="false">HYPERLINK("https://lindat.mff.cuni.cz/services/teitok/pdtc10/index.php?action=vallex&amp;frame=v-w5560f2_ZU", "rozběhnout se (v-w5560f2_ZU)")</f>
        <v>rozběhnout se (v-w5560f2_ZU)</v>
      </c>
    </row>
    <row r="40498" customFormat="false" ht="12.8" hidden="false" customHeight="false" outlineLevel="0" collapsed="false">
      <c r="B40498" s="0" t="s">
        <v>7</v>
      </c>
    </row>
    <row r="40500" customFormat="false" ht="12.8" hidden="false" customHeight="false" outlineLevel="0" collapsed="false">
      <c r="A40500" s="0" t="s">
        <v>14628</v>
      </c>
      <c r="B40500" s="0" t="str">
        <f aca="false">HYPERLINK("https://lindat.mff.cuni.cz/services/teitok/pdtc10/index.php?action=vallex&amp;frame=v-whsa_252hsa_253", "rozchodit (v-whsa_252hsa_253)")</f>
        <v>rozchodit (v-whsa_252hsa_253)</v>
      </c>
    </row>
    <row r="40501" customFormat="false" ht="12.8" hidden="false" customHeight="false" outlineLevel="0" collapsed="false">
      <c r="B40501" s="0" t="s">
        <v>7</v>
      </c>
      <c r="C40501" s="0" t="s">
        <v>191</v>
      </c>
      <c r="D40501" s="0" t="s">
        <v>191</v>
      </c>
      <c r="E40501" s="0" t="s">
        <v>191</v>
      </c>
      <c r="F40501" s="0" t="s">
        <v>191</v>
      </c>
    </row>
    <row r="40502" customFormat="false" ht="12.8" hidden="false" customHeight="false" outlineLevel="0" collapsed="false">
      <c r="B40502" s="0" t="s">
        <v>14</v>
      </c>
      <c r="C40502" s="0" t="s">
        <v>155</v>
      </c>
      <c r="D40502" s="0" t="s">
        <v>155</v>
      </c>
      <c r="E40502" s="0" t="s">
        <v>155</v>
      </c>
      <c r="F40502" s="0" t="s">
        <v>155</v>
      </c>
    </row>
    <row r="40504" customFormat="false" ht="12.8" hidden="false" customHeight="false" outlineLevel="0" collapsed="false">
      <c r="A40504" s="0" t="s">
        <v>14629</v>
      </c>
      <c r="B40504" s="0" t="str">
        <f aca="false">HYPERLINK("https://lindat.mff.cuni.cz/services/teitok/pdtc10/index.php?action=vallex&amp;frame=v-w10274f2", "rozchvátit (v-w10274f2)")</f>
        <v>rozchvátit (v-w10274f2)</v>
      </c>
    </row>
    <row r="40505" customFormat="false" ht="12.8" hidden="false" customHeight="false" outlineLevel="0" collapsed="false">
      <c r="B40505" s="0" t="s">
        <v>7</v>
      </c>
    </row>
    <row r="40506" customFormat="false" ht="12.8" hidden="false" customHeight="false" outlineLevel="0" collapsed="false">
      <c r="B40506" s="0" t="s">
        <v>14</v>
      </c>
    </row>
    <row r="40508" customFormat="false" ht="12.8" hidden="false" customHeight="false" outlineLevel="0" collapsed="false">
      <c r="A40508" s="0" t="s">
        <v>14630</v>
      </c>
      <c r="B40508" s="0" t="str">
        <f aca="false">HYPERLINK("https://lindat.mff.cuni.cz/services/teitok/pdtc10/index.php?action=vallex&amp;frame=v-w5655f3", "rozcházet se (v-w5655f3)")</f>
        <v>rozcházet se (v-w5655f3)</v>
      </c>
    </row>
    <row r="40509" customFormat="false" ht="12.8" hidden="false" customHeight="false" outlineLevel="0" collapsed="false">
      <c r="B40509" s="0" t="s">
        <v>7</v>
      </c>
      <c r="C40509" s="0" t="s">
        <v>14631</v>
      </c>
      <c r="D40509" s="0" t="s">
        <v>14632</v>
      </c>
      <c r="E40509" s="0" t="s">
        <v>14632</v>
      </c>
      <c r="F40509" s="0" t="s">
        <v>14632</v>
      </c>
    </row>
    <row r="40510" customFormat="false" ht="12.8" hidden="false" customHeight="false" outlineLevel="0" collapsed="false">
      <c r="B40510" s="0" t="s">
        <v>387</v>
      </c>
      <c r="C40510" s="0" t="s">
        <v>14633</v>
      </c>
      <c r="D40510" s="0" t="s">
        <v>14634</v>
      </c>
      <c r="E40510" s="0" t="s">
        <v>14634</v>
      </c>
      <c r="F40510" s="0" t="s">
        <v>14634</v>
      </c>
    </row>
    <row r="40511" customFormat="false" ht="12.8" hidden="false" customHeight="false" outlineLevel="0" collapsed="false">
      <c r="B40511" s="0" t="s">
        <v>207</v>
      </c>
      <c r="C40511" s="0" t="s">
        <v>14635</v>
      </c>
      <c r="D40511" s="0" t="s">
        <v>14636</v>
      </c>
      <c r="E40511" s="0" t="s">
        <v>14636</v>
      </c>
      <c r="F40511" s="0" t="s">
        <v>14636</v>
      </c>
    </row>
    <row r="40513" customFormat="false" ht="12.8" hidden="false" customHeight="false" outlineLevel="0" collapsed="false">
      <c r="A40513" s="0" t="s">
        <v>14637</v>
      </c>
      <c r="B40513" s="0" t="str">
        <f aca="false">HYPERLINK("https://lindat.mff.cuni.cz/services/teitok/pdtc10/index.php?action=vallex&amp;frame=v-w5655f1", "rozcházet se (v-w5655f1)")</f>
        <v>rozcházet se (v-w5655f1)</v>
      </c>
    </row>
    <row r="40514" customFormat="false" ht="12.8" hidden="false" customHeight="false" outlineLevel="0" collapsed="false">
      <c r="B40514" s="0" t="s">
        <v>7</v>
      </c>
      <c r="C40514" s="0" t="s">
        <v>3768</v>
      </c>
      <c r="D40514" s="0" t="s">
        <v>14638</v>
      </c>
      <c r="E40514" s="0" t="s">
        <v>14638</v>
      </c>
      <c r="F40514" s="0" t="s">
        <v>14638</v>
      </c>
    </row>
    <row r="40515" customFormat="false" ht="12.8" hidden="false" customHeight="false" outlineLevel="0" collapsed="false">
      <c r="B40515" s="0" t="s">
        <v>548</v>
      </c>
      <c r="C40515" s="0" t="s">
        <v>6901</v>
      </c>
      <c r="D40515" s="0" t="s">
        <v>14639</v>
      </c>
      <c r="E40515" s="0" t="s">
        <v>14639</v>
      </c>
      <c r="F40515" s="0" t="s">
        <v>14639</v>
      </c>
    </row>
    <row r="40517" customFormat="false" ht="12.8" hidden="false" customHeight="false" outlineLevel="0" collapsed="false">
      <c r="A40517" s="0" t="s">
        <v>14640</v>
      </c>
      <c r="B40517" s="0" t="str">
        <f aca="false">HYPERLINK("https://lindat.mff.cuni.cz/services/teitok/pdtc10/index.php?action=vallex&amp;frame=v-w5655f2", "rozcházet se (v-w5655f2)")</f>
        <v>rozcházet se (v-w5655f2)</v>
      </c>
    </row>
    <row r="40518" customFormat="false" ht="12.8" hidden="false" customHeight="false" outlineLevel="0" collapsed="false">
      <c r="B40518" s="0" t="s">
        <v>7</v>
      </c>
      <c r="D40518" s="0" t="s">
        <v>247</v>
      </c>
      <c r="E40518" s="0" t="s">
        <v>247</v>
      </c>
      <c r="F40518" s="0" t="s">
        <v>247</v>
      </c>
    </row>
    <row r="40519" customFormat="false" ht="12.8" hidden="false" customHeight="false" outlineLevel="0" collapsed="false">
      <c r="B40519" s="0" t="s">
        <v>548</v>
      </c>
    </row>
    <row r="40521" customFormat="false" ht="12.8" hidden="false" customHeight="false" outlineLevel="0" collapsed="false">
      <c r="A40521" s="0" t="s">
        <v>14641</v>
      </c>
      <c r="B40521" s="0" t="str">
        <f aca="false">HYPERLINK("https://lindat.mff.cuni.cz/services/teitok/pdtc10/index.php?action=vallex&amp;frame=v-w5655hsa_1173", "rozcházet se (v-w5655hsa_1173)")</f>
        <v>rozcházet se (v-w5655hsa_1173)</v>
      </c>
    </row>
    <row r="40522" customFormat="false" ht="12.8" hidden="false" customHeight="false" outlineLevel="0" collapsed="false">
      <c r="B40522" s="0" t="s">
        <v>7</v>
      </c>
    </row>
    <row r="40524" customFormat="false" ht="12.8" hidden="false" customHeight="false" outlineLevel="0" collapsed="false">
      <c r="A40524" s="0" t="s">
        <v>14642</v>
      </c>
      <c r="B40524" s="0" t="str">
        <f aca="false">HYPERLINK("https://lindat.mff.cuni.cz/services/teitok/pdtc10/index.php?action=vallex&amp;frame=v-w5568f1", "rozcupovat (v-w5568f1)")</f>
        <v>rozcupovat (v-w5568f1)</v>
      </c>
    </row>
    <row r="40525" customFormat="false" ht="12.8" hidden="false" customHeight="false" outlineLevel="0" collapsed="false">
      <c r="B40525" s="0" t="s">
        <v>7</v>
      </c>
      <c r="C40525" s="0" t="s">
        <v>46</v>
      </c>
      <c r="D40525" s="0" t="s">
        <v>2797</v>
      </c>
      <c r="E40525" s="0" t="s">
        <v>2797</v>
      </c>
      <c r="F40525" s="0" t="s">
        <v>2797</v>
      </c>
    </row>
    <row r="40526" customFormat="false" ht="12.8" hidden="false" customHeight="false" outlineLevel="0" collapsed="false">
      <c r="B40526" s="0" t="s">
        <v>14</v>
      </c>
      <c r="C40526" s="0" t="s">
        <v>115</v>
      </c>
      <c r="D40526" s="0" t="s">
        <v>4163</v>
      </c>
      <c r="E40526" s="0" t="s">
        <v>4163</v>
      </c>
      <c r="F40526" s="0" t="s">
        <v>4163</v>
      </c>
    </row>
    <row r="40527" customFormat="false" ht="12.8" hidden="false" customHeight="false" outlineLevel="0" collapsed="false">
      <c r="B40527" s="0" t="s">
        <v>84</v>
      </c>
      <c r="D40527" s="0" t="s">
        <v>13112</v>
      </c>
      <c r="E40527" s="0" t="s">
        <v>13112</v>
      </c>
      <c r="F40527" s="0" t="s">
        <v>13112</v>
      </c>
    </row>
    <row r="40529" customFormat="false" ht="12.8" hidden="false" customHeight="false" outlineLevel="0" collapsed="false">
      <c r="A40529" s="0" t="s">
        <v>14643</v>
      </c>
      <c r="B40529" s="0" t="str">
        <f aca="false">HYPERLINK("https://lindat.mff.cuni.cz/services/teitok/pdtc10/index.php?action=vallex&amp;frame=v-whsb_364hsa_365", "rozcvičovat (v-whsb_364hsa_365)")</f>
        <v>rozcvičovat (v-whsb_364hsa_365)</v>
      </c>
    </row>
    <row r="40530" customFormat="false" ht="12.8" hidden="false" customHeight="false" outlineLevel="0" collapsed="false">
      <c r="B40530" s="0" t="s">
        <v>7</v>
      </c>
    </row>
    <row r="40531" customFormat="false" ht="12.8" hidden="false" customHeight="false" outlineLevel="0" collapsed="false">
      <c r="B40531" s="0" t="s">
        <v>14</v>
      </c>
    </row>
    <row r="40533" customFormat="false" ht="12.8" hidden="false" customHeight="false" outlineLevel="0" collapsed="false">
      <c r="A40533" s="0" t="s">
        <v>14644</v>
      </c>
      <c r="B40533" s="0" t="str">
        <f aca="false">HYPERLINK("https://lindat.mff.cuni.cz/services/teitok/pdtc10/index.php?action=vallex&amp;frame=v-w5571f1", "rozcvičovat se (v-w5571f1)")</f>
        <v>rozcvičovat se (v-w5571f1)</v>
      </c>
    </row>
    <row r="40534" customFormat="false" ht="12.8" hidden="false" customHeight="false" outlineLevel="0" collapsed="false">
      <c r="B40534" s="0" t="s">
        <v>7</v>
      </c>
    </row>
    <row r="40536" customFormat="false" ht="12.8" hidden="false" customHeight="false" outlineLevel="0" collapsed="false">
      <c r="A40536" s="0" t="s">
        <v>14645</v>
      </c>
      <c r="B40536" s="0" t="str">
        <f aca="false">HYPERLINK("https://lindat.mff.cuni.cz/services/teitok/pdtc10/index.php?action=vallex&amp;frame=v-w5579f2_ZU", "rozdat (v-w5579f2_ZU)")</f>
        <v>rozdat (v-w5579f2_ZU)</v>
      </c>
    </row>
    <row r="40537" customFormat="false" ht="12.8" hidden="false" customHeight="false" outlineLevel="0" collapsed="false">
      <c r="B40537" s="0" t="s">
        <v>7</v>
      </c>
    </row>
    <row r="40538" customFormat="false" ht="12.8" hidden="false" customHeight="false" outlineLevel="0" collapsed="false">
      <c r="B40538" s="0" t="s">
        <v>14</v>
      </c>
    </row>
    <row r="40539" customFormat="false" ht="12.8" hidden="false" customHeight="false" outlineLevel="0" collapsed="false">
      <c r="B40539" s="0" t="s">
        <v>14646</v>
      </c>
    </row>
    <row r="40541" customFormat="false" ht="12.8" hidden="false" customHeight="false" outlineLevel="0" collapsed="false">
      <c r="A40541" s="0" t="s">
        <v>14645</v>
      </c>
      <c r="B40541" s="0" t="str">
        <f aca="false">HYPERLINK("https://lindat.mff.cuni.cz/services/teitok/pdtc10/index.php?action=vallex&amp;frame=v-w5579f1", "rozdat (v-w5579f1) - substituted with v-w5579f2_ZU")</f>
        <v>rozdat (v-w5579f1) - substituted with v-w5579f2_ZU</v>
      </c>
    </row>
    <row r="40542" customFormat="false" ht="12.8" hidden="false" customHeight="false" outlineLevel="0" collapsed="false">
      <c r="B40542" s="0" t="s">
        <v>7</v>
      </c>
      <c r="C40542" s="0" t="s">
        <v>569</v>
      </c>
      <c r="D40542" s="0" t="s">
        <v>1630</v>
      </c>
      <c r="E40542" s="0" t="s">
        <v>1630</v>
      </c>
      <c r="F40542" s="0" t="s">
        <v>1630</v>
      </c>
    </row>
    <row r="40543" customFormat="false" ht="12.8" hidden="false" customHeight="false" outlineLevel="0" collapsed="false">
      <c r="B40543" s="0" t="s">
        <v>14</v>
      </c>
      <c r="C40543" s="0" t="s">
        <v>461</v>
      </c>
      <c r="D40543" s="0" t="s">
        <v>1632</v>
      </c>
      <c r="E40543" s="0" t="s">
        <v>1632</v>
      </c>
      <c r="F40543" s="0" t="s">
        <v>1632</v>
      </c>
    </row>
    <row r="40544" customFormat="false" ht="12.8" hidden="false" customHeight="false" outlineLevel="0" collapsed="false">
      <c r="B40544" s="0" t="s">
        <v>14646</v>
      </c>
      <c r="D40544" s="0" t="s">
        <v>1635</v>
      </c>
      <c r="E40544" s="0" t="s">
        <v>1635</v>
      </c>
      <c r="F40544" s="0" t="s">
        <v>1635</v>
      </c>
    </row>
    <row r="40546" customFormat="false" ht="12.8" hidden="false" customHeight="false" outlineLevel="0" collapsed="false">
      <c r="A40546" s="0" t="s">
        <v>14647</v>
      </c>
      <c r="B40546" s="0" t="str">
        <f aca="false">HYPERLINK("https://lindat.mff.cuni.cz/services/teitok/pdtc10/index.php?action=vallex&amp;frame=v-w5579hsa_639", "rozdat (v-w5579hsa_639)")</f>
        <v>rozdat (v-w5579hsa_639)</v>
      </c>
    </row>
    <row r="40547" customFormat="false" ht="12.8" hidden="false" customHeight="false" outlineLevel="0" collapsed="false">
      <c r="B40547" s="0" t="s">
        <v>7</v>
      </c>
      <c r="C40547" s="0" t="s">
        <v>2940</v>
      </c>
      <c r="D40547" s="0" t="s">
        <v>14648</v>
      </c>
      <c r="E40547" s="0" t="s">
        <v>14648</v>
      </c>
      <c r="F40547" s="0" t="s">
        <v>14648</v>
      </c>
    </row>
    <row r="40548" customFormat="false" ht="12.8" hidden="false" customHeight="false" outlineLevel="0" collapsed="false">
      <c r="B40548" s="0" t="s">
        <v>14</v>
      </c>
      <c r="C40548" s="0" t="s">
        <v>2941</v>
      </c>
      <c r="D40548" s="0" t="s">
        <v>14649</v>
      </c>
      <c r="E40548" s="0" t="s">
        <v>14649</v>
      </c>
      <c r="F40548" s="0" t="s">
        <v>14649</v>
      </c>
    </row>
    <row r="40549" customFormat="false" ht="12.8" hidden="false" customHeight="false" outlineLevel="0" collapsed="false">
      <c r="B40549" s="0" t="s">
        <v>48</v>
      </c>
      <c r="C40549" s="0" t="s">
        <v>2942</v>
      </c>
      <c r="D40549" s="0" t="s">
        <v>14650</v>
      </c>
      <c r="E40549" s="0" t="s">
        <v>14650</v>
      </c>
      <c r="F40549" s="0" t="s">
        <v>14650</v>
      </c>
    </row>
    <row r="40551" customFormat="false" ht="12.8" hidden="false" customHeight="false" outlineLevel="0" collapsed="false">
      <c r="A40551" s="0" t="s">
        <v>14651</v>
      </c>
      <c r="B40551" s="0" t="str">
        <f aca="false">HYPERLINK("https://lindat.mff.cuni.cz/services/teitok/pdtc10/index.php?action=vallex&amp;frame=v-w5580f1", "rozdat si (v-w5580f1)")</f>
        <v>rozdat si (v-w5580f1)</v>
      </c>
    </row>
    <row r="40552" customFormat="false" ht="12.8" hidden="false" customHeight="false" outlineLevel="0" collapsed="false">
      <c r="B40552" s="0" t="s">
        <v>7</v>
      </c>
    </row>
    <row r="40553" customFormat="false" ht="12.8" hidden="false" customHeight="false" outlineLevel="0" collapsed="false">
      <c r="B40553" s="0" t="s">
        <v>525</v>
      </c>
    </row>
    <row r="40554" customFormat="false" ht="12.8" hidden="false" customHeight="false" outlineLevel="0" collapsed="false">
      <c r="B40554" s="0" t="s">
        <v>548</v>
      </c>
    </row>
    <row r="40556" customFormat="false" ht="12.8" hidden="false" customHeight="false" outlineLevel="0" collapsed="false">
      <c r="A40556" s="0" t="s">
        <v>14652</v>
      </c>
      <c r="B40556" s="0" t="str">
        <f aca="false">HYPERLINK("https://lindat.mff.cuni.cz/services/teitok/pdtc10/index.php?action=vallex&amp;frame=v-w10433f2", "rozdmýchat (v-w10433f2)")</f>
        <v>rozdmýchat (v-w10433f2)</v>
      </c>
    </row>
    <row r="40557" customFormat="false" ht="12.8" hidden="false" customHeight="false" outlineLevel="0" collapsed="false">
      <c r="B40557" s="0" t="s">
        <v>7</v>
      </c>
      <c r="C40557" s="0" t="s">
        <v>14653</v>
      </c>
      <c r="D40557" s="0" t="s">
        <v>69</v>
      </c>
      <c r="E40557" s="0" t="s">
        <v>69</v>
      </c>
      <c r="F40557" s="0" t="s">
        <v>69</v>
      </c>
    </row>
    <row r="40558" customFormat="false" ht="12.8" hidden="false" customHeight="false" outlineLevel="0" collapsed="false">
      <c r="B40558" s="0" t="s">
        <v>14</v>
      </c>
      <c r="C40558" s="0" t="s">
        <v>3565</v>
      </c>
      <c r="D40558" s="0" t="s">
        <v>71</v>
      </c>
      <c r="E40558" s="0" t="s">
        <v>71</v>
      </c>
      <c r="F40558" s="0" t="s">
        <v>71</v>
      </c>
    </row>
    <row r="40560" customFormat="false" ht="12.8" hidden="false" customHeight="false" outlineLevel="0" collapsed="false">
      <c r="A40560" s="0" t="s">
        <v>14654</v>
      </c>
      <c r="B40560" s="0" t="str">
        <f aca="false">HYPERLINK("https://lindat.mff.cuni.cz/services/teitok/pdtc10/index.php?action=vallex&amp;frame=v-w5594f3", "rozdrobit (v-w5594f3)")</f>
        <v>rozdrobit (v-w5594f3)</v>
      </c>
    </row>
    <row r="40561" customFormat="false" ht="12.8" hidden="false" customHeight="false" outlineLevel="0" collapsed="false">
      <c r="B40561" s="0" t="s">
        <v>7</v>
      </c>
    </row>
    <row r="40562" customFormat="false" ht="12.8" hidden="false" customHeight="false" outlineLevel="0" collapsed="false">
      <c r="B40562" s="0" t="s">
        <v>14</v>
      </c>
    </row>
    <row r="40563" customFormat="false" ht="12.8" hidden="false" customHeight="false" outlineLevel="0" collapsed="false">
      <c r="B40563" s="0" t="s">
        <v>37</v>
      </c>
    </row>
    <row r="40565" customFormat="false" ht="12.8" hidden="false" customHeight="false" outlineLevel="0" collapsed="false">
      <c r="A40565" s="0" t="s">
        <v>14654</v>
      </c>
      <c r="B40565" s="0" t="str">
        <f aca="false">HYPERLINK("https://lindat.mff.cuni.cz/services/teitok/pdtc10/index.php?action=vallex&amp;frame=v-w5594f1", "rozdrobit (v-w5594f1) - substituted with v-w5594f3")</f>
        <v>rozdrobit (v-w5594f1) - substituted with v-w5594f3</v>
      </c>
    </row>
    <row r="40566" customFormat="false" ht="12.8" hidden="false" customHeight="false" outlineLevel="0" collapsed="false">
      <c r="B40566" s="0" t="s">
        <v>7</v>
      </c>
    </row>
    <row r="40567" customFormat="false" ht="12.8" hidden="false" customHeight="false" outlineLevel="0" collapsed="false">
      <c r="B40567" s="0" t="s">
        <v>14</v>
      </c>
    </row>
    <row r="40568" customFormat="false" ht="12.8" hidden="false" customHeight="false" outlineLevel="0" collapsed="false">
      <c r="B40568" s="0" t="s">
        <v>37</v>
      </c>
    </row>
    <row r="40570" customFormat="false" ht="12.8" hidden="false" customHeight="false" outlineLevel="0" collapsed="false">
      <c r="A40570" s="0" t="s">
        <v>14655</v>
      </c>
      <c r="B40570" s="0" t="str">
        <f aca="false">HYPERLINK("https://lindat.mff.cuni.cz/services/teitok/pdtc10/index.php?action=vallex&amp;frame=v-w5594f2", "rozdrobit (v-w5594f2)")</f>
        <v>rozdrobit (v-w5594f2)</v>
      </c>
    </row>
    <row r="40571" customFormat="false" ht="12.8" hidden="false" customHeight="false" outlineLevel="0" collapsed="false">
      <c r="B40571" s="0" t="s">
        <v>7</v>
      </c>
    </row>
    <row r="40572" customFormat="false" ht="12.8" hidden="false" customHeight="false" outlineLevel="0" collapsed="false">
      <c r="B40572" s="0" t="s">
        <v>14</v>
      </c>
    </row>
    <row r="40573" customFormat="false" ht="12.8" hidden="false" customHeight="false" outlineLevel="0" collapsed="false">
      <c r="B40573" s="0" t="s">
        <v>84</v>
      </c>
    </row>
    <row r="40575" customFormat="false" ht="12.8" hidden="false" customHeight="false" outlineLevel="0" collapsed="false">
      <c r="A40575" s="0" t="s">
        <v>14656</v>
      </c>
      <c r="B40575" s="0" t="str">
        <f aca="false">HYPERLINK("https://lindat.mff.cuni.cz/services/teitok/pdtc10/index.php?action=vallex&amp;frame=v-w11413f1", "rozdrolit se (v-w11413f1)")</f>
        <v>rozdrolit se (v-w11413f1)</v>
      </c>
    </row>
    <row r="40576" customFormat="false" ht="12.8" hidden="false" customHeight="false" outlineLevel="0" collapsed="false">
      <c r="B40576" s="0" t="s">
        <v>7</v>
      </c>
      <c r="C40576" s="0" t="s">
        <v>272</v>
      </c>
      <c r="D40576" s="0" t="s">
        <v>1619</v>
      </c>
      <c r="E40576" s="0" t="s">
        <v>1619</v>
      </c>
      <c r="F40576" s="0" t="s">
        <v>1619</v>
      </c>
    </row>
    <row r="40577" customFormat="false" ht="12.8" hidden="false" customHeight="false" outlineLevel="0" collapsed="false">
      <c r="B40577" s="0" t="s">
        <v>2775</v>
      </c>
      <c r="D40577" s="0" t="s">
        <v>1620</v>
      </c>
      <c r="E40577" s="0" t="s">
        <v>1620</v>
      </c>
      <c r="F40577" s="0" t="s">
        <v>1620</v>
      </c>
    </row>
    <row r="40579" customFormat="false" ht="12.8" hidden="false" customHeight="false" outlineLevel="0" collapsed="false">
      <c r="A40579" s="0" t="s">
        <v>14657</v>
      </c>
      <c r="B40579" s="0" t="str">
        <f aca="false">HYPERLINK("https://lindat.mff.cuni.cz/services/teitok/pdtc10/index.php?action=vallex&amp;frame=v-w5595f1", "rozdrtit (v-w5595f1)")</f>
        <v>rozdrtit (v-w5595f1)</v>
      </c>
    </row>
    <row r="40580" customFormat="false" ht="12.8" hidden="false" customHeight="false" outlineLevel="0" collapsed="false">
      <c r="B40580" s="0" t="s">
        <v>7</v>
      </c>
      <c r="C40580" s="0" t="s">
        <v>46</v>
      </c>
      <c r="D40580" s="0" t="s">
        <v>2797</v>
      </c>
      <c r="E40580" s="0" t="s">
        <v>2797</v>
      </c>
      <c r="F40580" s="0" t="s">
        <v>3844</v>
      </c>
    </row>
    <row r="40581" customFormat="false" ht="12.8" hidden="false" customHeight="false" outlineLevel="0" collapsed="false">
      <c r="B40581" s="0" t="s">
        <v>14</v>
      </c>
      <c r="C40581" s="0" t="s">
        <v>1209</v>
      </c>
      <c r="D40581" s="0" t="s">
        <v>4163</v>
      </c>
      <c r="E40581" s="0" t="s">
        <v>4163</v>
      </c>
      <c r="F40581" s="0" t="s">
        <v>11308</v>
      </c>
    </row>
    <row r="40582" customFormat="false" ht="12.8" hidden="false" customHeight="false" outlineLevel="0" collapsed="false">
      <c r="B40582" s="0" t="s">
        <v>84</v>
      </c>
      <c r="D40582" s="0" t="s">
        <v>13112</v>
      </c>
      <c r="E40582" s="0" t="s">
        <v>13112</v>
      </c>
      <c r="F40582" s="0" t="s">
        <v>13112</v>
      </c>
    </row>
    <row r="40584" customFormat="false" ht="12.8" hidden="false" customHeight="false" outlineLevel="0" collapsed="false">
      <c r="A40584" s="0" t="s">
        <v>14658</v>
      </c>
      <c r="B40584" s="0" t="str">
        <f aca="false">HYPERLINK("https://lindat.mff.cuni.cz/services/teitok/pdtc10/index.php?action=vallex&amp;frame=v-w5595f2", "rozdrtit (v-w5595f2)")</f>
        <v>rozdrtit (v-w5595f2)</v>
      </c>
    </row>
    <row r="40585" customFormat="false" ht="12.8" hidden="false" customHeight="false" outlineLevel="0" collapsed="false">
      <c r="B40585" s="0" t="s">
        <v>7</v>
      </c>
      <c r="C40585" s="0" t="s">
        <v>569</v>
      </c>
      <c r="D40585" s="0" t="s">
        <v>1549</v>
      </c>
      <c r="E40585" s="0" t="s">
        <v>1550</v>
      </c>
      <c r="F40585" s="0" t="s">
        <v>1550</v>
      </c>
    </row>
    <row r="40586" customFormat="false" ht="12.8" hidden="false" customHeight="false" outlineLevel="0" collapsed="false">
      <c r="B40586" s="0" t="s">
        <v>14</v>
      </c>
      <c r="C40586" s="0" t="s">
        <v>1264</v>
      </c>
      <c r="D40586" s="0" t="s">
        <v>1164</v>
      </c>
      <c r="E40586" s="0" t="s">
        <v>1551</v>
      </c>
      <c r="F40586" s="0" t="s">
        <v>1551</v>
      </c>
    </row>
    <row r="40588" customFormat="false" ht="12.8" hidden="false" customHeight="false" outlineLevel="0" collapsed="false">
      <c r="A40588" s="0" t="s">
        <v>14659</v>
      </c>
      <c r="B40588" s="0" t="str">
        <f aca="false">HYPERLINK("https://lindat.mff.cuni.cz/services/teitok/pdtc10/index.php?action=vallex&amp;frame=v-w10067f2", "rozdvojit (v-w10067f2)")</f>
        <v>rozdvojit (v-w10067f2)</v>
      </c>
    </row>
    <row r="40589" customFormat="false" ht="12.8" hidden="false" customHeight="false" outlineLevel="0" collapsed="false">
      <c r="B40589" s="0" t="s">
        <v>7</v>
      </c>
      <c r="C40589" s="0" t="s">
        <v>191</v>
      </c>
      <c r="D40589" s="0" t="s">
        <v>1287</v>
      </c>
      <c r="E40589" s="0" t="s">
        <v>1287</v>
      </c>
      <c r="F40589" s="0" t="s">
        <v>1287</v>
      </c>
    </row>
    <row r="40590" customFormat="false" ht="12.8" hidden="false" customHeight="false" outlineLevel="0" collapsed="false">
      <c r="B40590" s="0" t="s">
        <v>14</v>
      </c>
      <c r="C40590" s="0" t="s">
        <v>155</v>
      </c>
      <c r="D40590" s="0" t="s">
        <v>2517</v>
      </c>
      <c r="E40590" s="0" t="s">
        <v>2517</v>
      </c>
      <c r="F40590" s="0" t="s">
        <v>2517</v>
      </c>
    </row>
    <row r="40591" customFormat="false" ht="12.8" hidden="false" customHeight="false" outlineLevel="0" collapsed="false">
      <c r="B40591" s="0" t="s">
        <v>4978</v>
      </c>
      <c r="D40591" s="0" t="s">
        <v>4598</v>
      </c>
      <c r="E40591" s="0" t="s">
        <v>4598</v>
      </c>
      <c r="F40591" s="0" t="s">
        <v>4598</v>
      </c>
    </row>
    <row r="40593" customFormat="false" ht="12.8" hidden="false" customHeight="false" outlineLevel="0" collapsed="false">
      <c r="A40593" s="0" t="s">
        <v>14660</v>
      </c>
      <c r="B40593" s="0" t="str">
        <f aca="false">HYPERLINK("https://lindat.mff.cuni.cz/services/teitok/pdtc10/index.php?action=vallex&amp;frame=v-w5581f1", "rozdávat (v-w5581f1)")</f>
        <v>rozdávat (v-w5581f1)</v>
      </c>
    </row>
    <row r="40594" customFormat="false" ht="12.8" hidden="false" customHeight="false" outlineLevel="0" collapsed="false">
      <c r="B40594" s="0" t="s">
        <v>7</v>
      </c>
      <c r="C40594" s="0" t="s">
        <v>14661</v>
      </c>
      <c r="D40594" s="0" t="s">
        <v>14648</v>
      </c>
      <c r="E40594" s="0" t="s">
        <v>14648</v>
      </c>
      <c r="F40594" s="0" t="s">
        <v>14648</v>
      </c>
    </row>
    <row r="40595" customFormat="false" ht="12.8" hidden="false" customHeight="false" outlineLevel="0" collapsed="false">
      <c r="B40595" s="0" t="s">
        <v>14</v>
      </c>
      <c r="C40595" s="0" t="s">
        <v>14662</v>
      </c>
      <c r="D40595" s="0" t="s">
        <v>14649</v>
      </c>
      <c r="E40595" s="0" t="s">
        <v>14649</v>
      </c>
      <c r="F40595" s="0" t="s">
        <v>14649</v>
      </c>
    </row>
    <row r="40596" customFormat="false" ht="12.8" hidden="false" customHeight="false" outlineLevel="0" collapsed="false">
      <c r="B40596" s="0" t="s">
        <v>48</v>
      </c>
      <c r="C40596" s="0" t="s">
        <v>14663</v>
      </c>
      <c r="D40596" s="0" t="s">
        <v>14650</v>
      </c>
      <c r="E40596" s="0" t="s">
        <v>14650</v>
      </c>
      <c r="F40596" s="0" t="s">
        <v>14650</v>
      </c>
    </row>
    <row r="40598" customFormat="false" ht="12.8" hidden="false" customHeight="false" outlineLevel="0" collapsed="false">
      <c r="A40598" s="0" t="s">
        <v>14664</v>
      </c>
      <c r="B40598" s="0" t="str">
        <f aca="false">HYPERLINK("https://lindat.mff.cuni.cz/services/teitok/pdtc10/index.php?action=vallex&amp;frame=v-whsb_538f1_ZU", "rozdýchat (v-whsb_538f1_ZU)")</f>
        <v>rozdýchat (v-whsb_538f1_ZU)</v>
      </c>
    </row>
    <row r="40599" customFormat="false" ht="12.8" hidden="false" customHeight="false" outlineLevel="0" collapsed="false">
      <c r="B40599" s="0" t="s">
        <v>7</v>
      </c>
    </row>
    <row r="40600" customFormat="false" ht="12.8" hidden="false" customHeight="false" outlineLevel="0" collapsed="false">
      <c r="B40600" s="0" t="s">
        <v>14</v>
      </c>
    </row>
    <row r="40602" customFormat="false" ht="12.8" hidden="false" customHeight="false" outlineLevel="0" collapsed="false">
      <c r="A40602" s="0" t="s">
        <v>14665</v>
      </c>
      <c r="B40602" s="0" t="str">
        <f aca="false">HYPERLINK("https://lindat.mff.cuni.cz/services/teitok/pdtc10/index.php?action=vallex&amp;frame=v-whsb_538hsa_539", "rozdýchat (v-whsb_538hsa_539)")</f>
        <v>rozdýchat (v-whsb_538hsa_539)</v>
      </c>
    </row>
    <row r="40603" customFormat="false" ht="12.8" hidden="false" customHeight="false" outlineLevel="0" collapsed="false">
      <c r="B40603" s="0" t="s">
        <v>7</v>
      </c>
    </row>
    <row r="40604" customFormat="false" ht="12.8" hidden="false" customHeight="false" outlineLevel="0" collapsed="false">
      <c r="B40604" s="0" t="s">
        <v>14</v>
      </c>
    </row>
    <row r="40606" customFormat="false" ht="12.8" hidden="false" customHeight="false" outlineLevel="0" collapsed="false">
      <c r="A40606" s="0" t="s">
        <v>14666</v>
      </c>
      <c r="B40606" s="0" t="str">
        <f aca="false">HYPERLINK("https://lindat.mff.cuni.cz/services/teitok/pdtc10/index.php?action=vallex&amp;frame=v-w11956_ZUf1_ZU", "rozdýchávat (v-w11956_ZUf1_ZU)")</f>
        <v>rozdýchávat (v-w11956_ZUf1_ZU)</v>
      </c>
    </row>
    <row r="40607" customFormat="false" ht="12.8" hidden="false" customHeight="false" outlineLevel="0" collapsed="false">
      <c r="B40607" s="0" t="s">
        <v>7</v>
      </c>
    </row>
    <row r="40608" customFormat="false" ht="12.8" hidden="false" customHeight="false" outlineLevel="0" collapsed="false">
      <c r="B40608" s="0" t="s">
        <v>14</v>
      </c>
    </row>
    <row r="40610" customFormat="false" ht="12.8" hidden="false" customHeight="false" outlineLevel="0" collapsed="false">
      <c r="A40610" s="0" t="s">
        <v>14667</v>
      </c>
      <c r="B40610" s="0" t="str">
        <f aca="false">HYPERLINK("https://lindat.mff.cuni.cz/services/teitok/pdtc10/index.php?action=vallex&amp;frame=v-w11958_ZUf1_ZU", "rozdělat (v-w11958_ZUf1_ZU)")</f>
        <v>rozdělat (v-w11958_ZUf1_ZU)</v>
      </c>
    </row>
    <row r="40611" customFormat="false" ht="12.8" hidden="false" customHeight="false" outlineLevel="0" collapsed="false">
      <c r="B40611" s="0" t="s">
        <v>7</v>
      </c>
    </row>
    <row r="40612" customFormat="false" ht="12.8" hidden="false" customHeight="false" outlineLevel="0" collapsed="false">
      <c r="B40612" s="0" t="s">
        <v>14</v>
      </c>
    </row>
    <row r="40614" customFormat="false" ht="12.8" hidden="false" customHeight="false" outlineLevel="0" collapsed="false">
      <c r="A40614" s="0" t="s">
        <v>14668</v>
      </c>
      <c r="B40614" s="0" t="str">
        <f aca="false">HYPERLINK("https://lindat.mff.cuni.cz/services/teitok/pdtc10/index.php?action=vallex&amp;frame=v-w5584f3", "rozdělit (v-w5584f3)")</f>
        <v>rozdělit (v-w5584f3)</v>
      </c>
    </row>
    <row r="40615" customFormat="false" ht="12.8" hidden="false" customHeight="false" outlineLevel="0" collapsed="false">
      <c r="B40615" s="0" t="s">
        <v>7</v>
      </c>
      <c r="C40615" s="0" t="s">
        <v>113</v>
      </c>
    </row>
    <row r="40616" customFormat="false" ht="12.8" hidden="false" customHeight="false" outlineLevel="0" collapsed="false">
      <c r="B40616" s="0" t="s">
        <v>14</v>
      </c>
      <c r="C40616" s="0" t="s">
        <v>1315</v>
      </c>
    </row>
    <row r="40617" customFormat="false" ht="12.8" hidden="false" customHeight="false" outlineLevel="0" collapsed="false">
      <c r="B40617" s="0" t="s">
        <v>14669</v>
      </c>
      <c r="C40617" s="0" t="s">
        <v>397</v>
      </c>
    </row>
    <row r="40618" customFormat="false" ht="12.8" hidden="false" customHeight="false" outlineLevel="0" collapsed="false">
      <c r="B40618" s="0" t="s">
        <v>84</v>
      </c>
    </row>
    <row r="40620" customFormat="false" ht="12.8" hidden="false" customHeight="false" outlineLevel="0" collapsed="false">
      <c r="A40620" s="0" t="s">
        <v>14670</v>
      </c>
      <c r="B40620" s="0" t="str">
        <f aca="false">HYPERLINK("https://lindat.mff.cuni.cz/services/teitok/pdtc10/index.php?action=vallex&amp;frame=v-w5584f2", "rozdělit (v-w5584f2)")</f>
        <v>rozdělit (v-w5584f2)</v>
      </c>
    </row>
    <row r="40621" customFormat="false" ht="12.8" hidden="false" customHeight="false" outlineLevel="0" collapsed="false">
      <c r="B40621" s="0" t="s">
        <v>7</v>
      </c>
      <c r="C40621" s="0" t="s">
        <v>14671</v>
      </c>
      <c r="D40621" s="0" t="s">
        <v>1630</v>
      </c>
      <c r="E40621" s="0" t="s">
        <v>1630</v>
      </c>
      <c r="F40621" s="0" t="s">
        <v>1630</v>
      </c>
    </row>
    <row r="40622" customFormat="false" ht="12.8" hidden="false" customHeight="false" outlineLevel="0" collapsed="false">
      <c r="B40622" s="0" t="s">
        <v>14</v>
      </c>
      <c r="C40622" s="0" t="s">
        <v>2685</v>
      </c>
      <c r="D40622" s="0" t="s">
        <v>1632</v>
      </c>
      <c r="E40622" s="0" t="s">
        <v>1632</v>
      </c>
      <c r="F40622" s="0" t="s">
        <v>1632</v>
      </c>
    </row>
    <row r="40623" customFormat="false" ht="12.8" hidden="false" customHeight="false" outlineLevel="0" collapsed="false">
      <c r="B40623" s="0" t="s">
        <v>14672</v>
      </c>
      <c r="C40623" s="0" t="s">
        <v>14673</v>
      </c>
      <c r="D40623" s="0" t="s">
        <v>1635</v>
      </c>
      <c r="E40623" s="0" t="s">
        <v>1635</v>
      </c>
      <c r="F40623" s="0" t="s">
        <v>1635</v>
      </c>
    </row>
    <row r="40625" customFormat="false" ht="12.8" hidden="false" customHeight="false" outlineLevel="0" collapsed="false">
      <c r="A40625" s="0" t="s">
        <v>14674</v>
      </c>
      <c r="B40625" s="0" t="str">
        <f aca="false">HYPERLINK("https://lindat.mff.cuni.cz/services/teitok/pdtc10/index.php?action=vallex&amp;frame=v-w5584f1", "rozdělit (v-w5584f1)")</f>
        <v>rozdělit (v-w5584f1)</v>
      </c>
    </row>
    <row r="40626" customFormat="false" ht="12.8" hidden="false" customHeight="false" outlineLevel="0" collapsed="false">
      <c r="B40626" s="0" t="s">
        <v>7</v>
      </c>
      <c r="C40626" s="0" t="s">
        <v>14675</v>
      </c>
      <c r="D40626" s="0" t="s">
        <v>14676</v>
      </c>
      <c r="E40626" s="0" t="s">
        <v>14676</v>
      </c>
      <c r="F40626" s="0" t="s">
        <v>14676</v>
      </c>
    </row>
    <row r="40627" customFormat="false" ht="12.8" hidden="false" customHeight="false" outlineLevel="0" collapsed="false">
      <c r="B40627" s="0" t="s">
        <v>14</v>
      </c>
      <c r="C40627" s="0" t="s">
        <v>2584</v>
      </c>
      <c r="D40627" s="0" t="s">
        <v>14677</v>
      </c>
      <c r="E40627" s="0" t="s">
        <v>14677</v>
      </c>
      <c r="F40627" s="0" t="s">
        <v>14677</v>
      </c>
    </row>
    <row r="40628" customFormat="false" ht="12.8" hidden="false" customHeight="false" outlineLevel="0" collapsed="false">
      <c r="B40628" s="0" t="s">
        <v>4978</v>
      </c>
      <c r="C40628" s="0" t="s">
        <v>14678</v>
      </c>
      <c r="D40628" s="0" t="s">
        <v>14679</v>
      </c>
      <c r="E40628" s="0" t="s">
        <v>14679</v>
      </c>
      <c r="F40628" s="0" t="s">
        <v>14679</v>
      </c>
    </row>
    <row r="40630" customFormat="false" ht="12.8" hidden="false" customHeight="false" outlineLevel="0" collapsed="false">
      <c r="A40630" s="0" t="s">
        <v>14680</v>
      </c>
      <c r="B40630" s="0" t="str">
        <f aca="false">HYPERLINK("https://lindat.mff.cuni.cz/services/teitok/pdtc10/index.php?action=vallex&amp;frame=v-w5585f2", "rozdělit se (v-w5585f2)")</f>
        <v>rozdělit se (v-w5585f2)</v>
      </c>
    </row>
    <row r="40631" customFormat="false" ht="12.8" hidden="false" customHeight="false" outlineLevel="0" collapsed="false">
      <c r="B40631" s="0" t="s">
        <v>7</v>
      </c>
    </row>
    <row r="40632" customFormat="false" ht="12.8" hidden="false" customHeight="false" outlineLevel="0" collapsed="false">
      <c r="B40632" s="0" t="s">
        <v>615</v>
      </c>
    </row>
    <row r="40633" customFormat="false" ht="12.8" hidden="false" customHeight="false" outlineLevel="0" collapsed="false">
      <c r="B40633" s="0" t="s">
        <v>207</v>
      </c>
    </row>
    <row r="40635" customFormat="false" ht="12.8" hidden="false" customHeight="false" outlineLevel="0" collapsed="false">
      <c r="A40635" s="0" t="s">
        <v>14681</v>
      </c>
      <c r="B40635" s="0" t="str">
        <f aca="false">HYPERLINK("https://lindat.mff.cuni.cz/services/teitok/pdtc10/index.php?action=vallex&amp;frame=v-w5585f1", "rozdělit se (v-w5585f1)")</f>
        <v>rozdělit se (v-w5585f1)</v>
      </c>
    </row>
    <row r="40636" customFormat="false" ht="12.8" hidden="false" customHeight="false" outlineLevel="0" collapsed="false">
      <c r="B40636" s="0" t="s">
        <v>7</v>
      </c>
      <c r="C40636" s="0" t="s">
        <v>14682</v>
      </c>
      <c r="D40636" s="0" t="s">
        <v>1619</v>
      </c>
      <c r="E40636" s="0" t="s">
        <v>1619</v>
      </c>
      <c r="F40636" s="0" t="s">
        <v>1619</v>
      </c>
    </row>
    <row r="40637" customFormat="false" ht="12.8" hidden="false" customHeight="false" outlineLevel="0" collapsed="false">
      <c r="B40637" s="0" t="s">
        <v>14683</v>
      </c>
      <c r="C40637" s="0" t="s">
        <v>4827</v>
      </c>
      <c r="D40637" s="0" t="s">
        <v>1620</v>
      </c>
      <c r="E40637" s="0" t="s">
        <v>1620</v>
      </c>
      <c r="F40637" s="0" t="s">
        <v>1620</v>
      </c>
    </row>
    <row r="40639" customFormat="false" ht="12.8" hidden="false" customHeight="false" outlineLevel="0" collapsed="false">
      <c r="A40639" s="0" t="s">
        <v>14684</v>
      </c>
      <c r="B40639" s="0" t="str">
        <f aca="false">HYPERLINK("https://lindat.mff.cuni.cz/services/teitok/pdtc10/index.php?action=vallex&amp;frame=v-w5585f3", "rozdělit se (v-w5585f3)")</f>
        <v>rozdělit se (v-w5585f3)</v>
      </c>
    </row>
    <row r="40640" customFormat="false" ht="12.8" hidden="false" customHeight="false" outlineLevel="0" collapsed="false">
      <c r="B40640" s="0" t="s">
        <v>7</v>
      </c>
    </row>
    <row r="40641" customFormat="false" ht="12.8" hidden="false" customHeight="false" outlineLevel="0" collapsed="false">
      <c r="B40641" s="0" t="s">
        <v>333</v>
      </c>
    </row>
    <row r="40643" customFormat="false" ht="12.8" hidden="false" customHeight="false" outlineLevel="0" collapsed="false">
      <c r="A40643" s="0" t="s">
        <v>14685</v>
      </c>
      <c r="B40643" s="0" t="str">
        <f aca="false">HYPERLINK("https://lindat.mff.cuni.cz/services/teitok/pdtc10/index.php?action=vallex&amp;frame=v-w5587f3_ZU", "rozdělovat (v-w5587f3_ZU)")</f>
        <v>rozdělovat (v-w5587f3_ZU)</v>
      </c>
    </row>
    <row r="40644" customFormat="false" ht="12.8" hidden="false" customHeight="false" outlineLevel="0" collapsed="false">
      <c r="B40644" s="0" t="s">
        <v>7</v>
      </c>
    </row>
    <row r="40645" customFormat="false" ht="12.8" hidden="false" customHeight="false" outlineLevel="0" collapsed="false">
      <c r="B40645" s="0" t="s">
        <v>232</v>
      </c>
    </row>
    <row r="40646" customFormat="false" ht="12.8" hidden="false" customHeight="false" outlineLevel="0" collapsed="false">
      <c r="B40646" s="0" t="s">
        <v>3560</v>
      </c>
    </row>
    <row r="40648" customFormat="false" ht="12.8" hidden="false" customHeight="false" outlineLevel="0" collapsed="false">
      <c r="A40648" s="0" t="s">
        <v>14685</v>
      </c>
      <c r="B40648" s="0" t="str">
        <f aca="false">HYPERLINK("https://lindat.mff.cuni.cz/services/teitok/pdtc10/index.php?action=vallex&amp;frame=v-w5587f1", "rozdělovat (v-w5587f1) - substituted with v-w5587f3_ZU")</f>
        <v>rozdělovat (v-w5587f1) - substituted with v-w5587f3_ZU</v>
      </c>
    </row>
    <row r="40649" customFormat="false" ht="12.8" hidden="false" customHeight="false" outlineLevel="0" collapsed="false">
      <c r="B40649" s="0" t="s">
        <v>7</v>
      </c>
      <c r="C40649" s="0" t="s">
        <v>23</v>
      </c>
      <c r="D40649" s="0" t="s">
        <v>1630</v>
      </c>
      <c r="E40649" s="0" t="s">
        <v>1630</v>
      </c>
      <c r="F40649" s="0" t="s">
        <v>1630</v>
      </c>
    </row>
    <row r="40650" customFormat="false" ht="12.8" hidden="false" customHeight="false" outlineLevel="0" collapsed="false">
      <c r="B40650" s="0" t="s">
        <v>232</v>
      </c>
      <c r="C40650" s="0" t="s">
        <v>11308</v>
      </c>
      <c r="D40650" s="0" t="s">
        <v>1632</v>
      </c>
      <c r="E40650" s="0" t="s">
        <v>1632</v>
      </c>
      <c r="F40650" s="0" t="s">
        <v>1632</v>
      </c>
    </row>
    <row r="40651" customFormat="false" ht="12.8" hidden="false" customHeight="false" outlineLevel="0" collapsed="false">
      <c r="B40651" s="0" t="s">
        <v>3560</v>
      </c>
      <c r="C40651" s="0" t="s">
        <v>14686</v>
      </c>
      <c r="D40651" s="0" t="s">
        <v>1635</v>
      </c>
      <c r="E40651" s="0" t="s">
        <v>1635</v>
      </c>
      <c r="F40651" s="0" t="s">
        <v>1635</v>
      </c>
    </row>
    <row r="40653" customFormat="false" ht="12.8" hidden="false" customHeight="false" outlineLevel="0" collapsed="false">
      <c r="A40653" s="0" t="s">
        <v>14687</v>
      </c>
      <c r="B40653" s="0" t="str">
        <f aca="false">HYPERLINK("https://lindat.mff.cuni.cz/services/teitok/pdtc10/index.php?action=vallex&amp;frame=v-w5587f2", "rozdělovat (v-w5587f2)")</f>
        <v>rozdělovat (v-w5587f2)</v>
      </c>
    </row>
    <row r="40654" customFormat="false" ht="12.8" hidden="false" customHeight="false" outlineLevel="0" collapsed="false">
      <c r="B40654" s="0" t="s">
        <v>7</v>
      </c>
      <c r="C40654" s="0" t="s">
        <v>14688</v>
      </c>
      <c r="D40654" s="0" t="s">
        <v>1287</v>
      </c>
      <c r="E40654" s="0" t="s">
        <v>1287</v>
      </c>
      <c r="F40654" s="0" t="s">
        <v>1287</v>
      </c>
    </row>
    <row r="40655" customFormat="false" ht="12.8" hidden="false" customHeight="false" outlineLevel="0" collapsed="false">
      <c r="B40655" s="0" t="s">
        <v>14</v>
      </c>
      <c r="C40655" s="0" t="s">
        <v>3249</v>
      </c>
      <c r="D40655" s="0" t="s">
        <v>2517</v>
      </c>
      <c r="E40655" s="0" t="s">
        <v>2517</v>
      </c>
      <c r="F40655" s="0" t="s">
        <v>2517</v>
      </c>
    </row>
    <row r="40656" customFormat="false" ht="12.8" hidden="false" customHeight="false" outlineLevel="0" collapsed="false">
      <c r="B40656" s="0" t="s">
        <v>4978</v>
      </c>
      <c r="C40656" s="0" t="s">
        <v>9761</v>
      </c>
      <c r="D40656" s="0" t="s">
        <v>4598</v>
      </c>
      <c r="E40656" s="0" t="s">
        <v>4598</v>
      </c>
      <c r="F40656" s="0" t="s">
        <v>4598</v>
      </c>
    </row>
    <row r="40658" customFormat="false" ht="12.8" hidden="false" customHeight="false" outlineLevel="0" collapsed="false">
      <c r="A40658" s="0" t="s">
        <v>14689</v>
      </c>
      <c r="B40658" s="0" t="str">
        <f aca="false">HYPERLINK("https://lindat.mff.cuni.cz/services/teitok/pdtc10/index.php?action=vallex&amp;frame=v-whsa_663hsa_664", "rozdělovat se (v-whsa_663hsa_664)")</f>
        <v>rozdělovat se (v-whsa_663hsa_664)</v>
      </c>
    </row>
    <row r="40659" customFormat="false" ht="12.8" hidden="false" customHeight="false" outlineLevel="0" collapsed="false">
      <c r="B40659" s="0" t="s">
        <v>7</v>
      </c>
    </row>
    <row r="40660" customFormat="false" ht="12.8" hidden="false" customHeight="false" outlineLevel="0" collapsed="false">
      <c r="B40660" s="0" t="s">
        <v>2775</v>
      </c>
    </row>
    <row r="40662" customFormat="false" ht="12.8" hidden="false" customHeight="false" outlineLevel="0" collapsed="false">
      <c r="A40662" s="0" t="s">
        <v>14690</v>
      </c>
      <c r="B40662" s="0" t="str">
        <f aca="false">HYPERLINK("https://lindat.mff.cuni.cz/services/teitok/pdtc10/index.php?action=vallex&amp;frame=v-whsa_2018f2_ZU", "rozdělávat (v-whsa_2018f2_ZU)")</f>
        <v>rozdělávat (v-whsa_2018f2_ZU)</v>
      </c>
    </row>
    <row r="40663" customFormat="false" ht="12.8" hidden="false" customHeight="false" outlineLevel="0" collapsed="false">
      <c r="B40663" s="0" t="s">
        <v>7</v>
      </c>
    </row>
    <row r="40664" customFormat="false" ht="12.8" hidden="false" customHeight="false" outlineLevel="0" collapsed="false">
      <c r="B40664" s="0" t="s">
        <v>14</v>
      </c>
    </row>
    <row r="40666" customFormat="false" ht="12.8" hidden="false" customHeight="false" outlineLevel="0" collapsed="false">
      <c r="A40666" s="0" t="s">
        <v>14690</v>
      </c>
      <c r="B40666" s="0" t="str">
        <f aca="false">HYPERLINK("https://lindat.mff.cuni.cz/services/teitok/pdtc10/index.php?action=vallex&amp;frame=v-whsa_2018hsa_2020", "rozdělávat (v-whsa_2018hsa_2020) - substituted with v-whsa_2018f2_ZU")</f>
        <v>rozdělávat (v-whsa_2018hsa_2020) - substituted with v-whsa_2018f2_ZU</v>
      </c>
    </row>
    <row r="40667" customFormat="false" ht="12.8" hidden="false" customHeight="false" outlineLevel="0" collapsed="false">
      <c r="B40667" s="0" t="s">
        <v>7</v>
      </c>
    </row>
    <row r="40668" customFormat="false" ht="12.8" hidden="false" customHeight="false" outlineLevel="0" collapsed="false">
      <c r="B40668" s="0" t="s">
        <v>14</v>
      </c>
    </row>
    <row r="40670" customFormat="false" ht="12.8" hidden="false" customHeight="false" outlineLevel="0" collapsed="false">
      <c r="A40670" s="0" t="s">
        <v>14691</v>
      </c>
      <c r="B40670" s="0" t="str">
        <f aca="false">HYPERLINK("https://lindat.mff.cuni.cz/services/teitok/pdtc10/index.php?action=vallex&amp;frame=v-whsa_2018f3_ZU", "rozdělávat (v-whsa_2018f3_ZU)")</f>
        <v>rozdělávat (v-whsa_2018f3_ZU)</v>
      </c>
    </row>
    <row r="40671" customFormat="false" ht="12.8" hidden="false" customHeight="false" outlineLevel="0" collapsed="false">
      <c r="B40671" s="0" t="s">
        <v>7</v>
      </c>
    </row>
    <row r="40672" customFormat="false" ht="12.8" hidden="false" customHeight="false" outlineLevel="0" collapsed="false">
      <c r="B40672" s="0" t="s">
        <v>14</v>
      </c>
    </row>
    <row r="40674" customFormat="false" ht="12.8" hidden="false" customHeight="false" outlineLevel="0" collapsed="false">
      <c r="A40674" s="0" t="s">
        <v>14691</v>
      </c>
      <c r="B40674" s="0" t="str">
        <f aca="false">HYPERLINK("https://lindat.mff.cuni.cz/services/teitok/pdtc10/index.php?action=vallex&amp;frame=v-whsa_2018f1_ZU", "rozdělávat (v-whsa_2018f1_ZU) - substituted with v-whsa_2018f3_ZU")</f>
        <v>rozdělávat (v-whsa_2018f1_ZU) - substituted with v-whsa_2018f3_ZU</v>
      </c>
    </row>
    <row r="40675" customFormat="false" ht="12.8" hidden="false" customHeight="false" outlineLevel="0" collapsed="false">
      <c r="B40675" s="0" t="s">
        <v>7</v>
      </c>
    </row>
    <row r="40676" customFormat="false" ht="12.8" hidden="false" customHeight="false" outlineLevel="0" collapsed="false">
      <c r="B40676" s="0" t="s">
        <v>14</v>
      </c>
    </row>
    <row r="40678" customFormat="false" ht="12.8" hidden="false" customHeight="false" outlineLevel="0" collapsed="false">
      <c r="A40678" s="0" t="s">
        <v>14691</v>
      </c>
      <c r="B40678" s="0" t="str">
        <f aca="false">HYPERLINK("https://lindat.mff.cuni.cz/services/teitok/pdtc10/index.php?action=vallex&amp;frame=v-whsa_2018hsa_2019", "rozdělávat (v-whsa_2018hsa_2019) - substituted with v-whsa_2018f3_ZU")</f>
        <v>rozdělávat (v-whsa_2018hsa_2019) - substituted with v-whsa_2018f3_ZU</v>
      </c>
    </row>
    <row r="40679" customFormat="false" ht="12.8" hidden="false" customHeight="false" outlineLevel="0" collapsed="false">
      <c r="B40679" s="0" t="s">
        <v>7</v>
      </c>
    </row>
    <row r="40680" customFormat="false" ht="12.8" hidden="false" customHeight="false" outlineLevel="0" collapsed="false">
      <c r="B40680" s="0" t="s">
        <v>14</v>
      </c>
    </row>
    <row r="40682" customFormat="false" ht="12.8" hidden="false" customHeight="false" outlineLevel="0" collapsed="false">
      <c r="A40682" s="0" t="s">
        <v>14692</v>
      </c>
      <c r="B40682" s="0" t="str">
        <f aca="false">HYPERLINK("https://lindat.mff.cuni.cz/services/teitok/pdtc10/index.php?action=vallex&amp;frame=v-w5598f3", "rozebrat (v-w5598f3)")</f>
        <v>rozebrat (v-w5598f3)</v>
      </c>
    </row>
    <row r="40683" customFormat="false" ht="12.8" hidden="false" customHeight="false" outlineLevel="0" collapsed="false">
      <c r="B40683" s="0" t="s">
        <v>7</v>
      </c>
    </row>
    <row r="40684" customFormat="false" ht="12.8" hidden="false" customHeight="false" outlineLevel="0" collapsed="false">
      <c r="B40684" s="0" t="s">
        <v>14</v>
      </c>
    </row>
    <row r="40685" customFormat="false" ht="12.8" hidden="false" customHeight="false" outlineLevel="0" collapsed="false">
      <c r="B40685" s="0" t="s">
        <v>207</v>
      </c>
    </row>
    <row r="40687" customFormat="false" ht="12.8" hidden="false" customHeight="false" outlineLevel="0" collapsed="false">
      <c r="A40687" s="0" t="s">
        <v>14693</v>
      </c>
      <c r="B40687" s="0" t="str">
        <f aca="false">HYPERLINK("https://lindat.mff.cuni.cz/services/teitok/pdtc10/index.php?action=vallex&amp;frame=v-w5598f1", "rozebrat (v-w5598f1)")</f>
        <v>rozebrat (v-w5598f1)</v>
      </c>
    </row>
    <row r="40688" customFormat="false" ht="12.8" hidden="false" customHeight="false" outlineLevel="0" collapsed="false">
      <c r="B40688" s="0" t="s">
        <v>7</v>
      </c>
    </row>
    <row r="40689" customFormat="false" ht="12.8" hidden="false" customHeight="false" outlineLevel="0" collapsed="false">
      <c r="B40689" s="0" t="s">
        <v>14</v>
      </c>
    </row>
    <row r="40690" customFormat="false" ht="12.8" hidden="false" customHeight="false" outlineLevel="0" collapsed="false">
      <c r="B40690" s="0" t="s">
        <v>84</v>
      </c>
    </row>
    <row r="40692" customFormat="false" ht="12.8" hidden="false" customHeight="false" outlineLevel="0" collapsed="false">
      <c r="A40692" s="0" t="s">
        <v>14694</v>
      </c>
      <c r="B40692" s="0" t="str">
        <f aca="false">HYPERLINK("https://lindat.mff.cuni.cz/services/teitok/pdtc10/index.php?action=vallex&amp;frame=v-w5598f2", "rozebrat (v-w5598f2)")</f>
        <v>rozebrat (v-w5598f2)</v>
      </c>
    </row>
    <row r="40693" customFormat="false" ht="12.8" hidden="false" customHeight="false" outlineLevel="0" collapsed="false">
      <c r="B40693" s="0" t="s">
        <v>7</v>
      </c>
      <c r="C40693" s="0" t="s">
        <v>623</v>
      </c>
    </row>
    <row r="40694" customFormat="false" ht="12.8" hidden="false" customHeight="false" outlineLevel="0" collapsed="false">
      <c r="B40694" s="0" t="s">
        <v>14</v>
      </c>
      <c r="C40694" s="0" t="s">
        <v>74</v>
      </c>
    </row>
    <row r="40696" customFormat="false" ht="12.8" hidden="false" customHeight="false" outlineLevel="0" collapsed="false">
      <c r="A40696" s="0" t="s">
        <v>14695</v>
      </c>
      <c r="B40696" s="0" t="str">
        <f aca="false">HYPERLINK("https://lindat.mff.cuni.cz/services/teitok/pdtc10/index.php?action=vallex&amp;frame=v-w5597f1", "rozebírat (v-w5597f1)")</f>
        <v>rozebírat (v-w5597f1)</v>
      </c>
    </row>
    <row r="40697" customFormat="false" ht="12.8" hidden="false" customHeight="false" outlineLevel="0" collapsed="false">
      <c r="B40697" s="0" t="s">
        <v>7</v>
      </c>
      <c r="C40697" s="0" t="s">
        <v>3042</v>
      </c>
      <c r="D40697" s="0" t="s">
        <v>209</v>
      </c>
      <c r="E40697" s="0" t="s">
        <v>209</v>
      </c>
      <c r="F40697" s="0" t="s">
        <v>209</v>
      </c>
    </row>
    <row r="40698" customFormat="false" ht="12.8" hidden="false" customHeight="false" outlineLevel="0" collapsed="false">
      <c r="B40698" s="0" t="s">
        <v>14</v>
      </c>
      <c r="C40698" s="0" t="s">
        <v>2064</v>
      </c>
      <c r="D40698" s="0" t="s">
        <v>211</v>
      </c>
      <c r="E40698" s="0" t="s">
        <v>211</v>
      </c>
      <c r="F40698" s="0" t="s">
        <v>211</v>
      </c>
    </row>
    <row r="40699" customFormat="false" ht="12.8" hidden="false" customHeight="false" outlineLevel="0" collapsed="false">
      <c r="B40699" s="0" t="s">
        <v>2767</v>
      </c>
      <c r="C40699" s="0" t="s">
        <v>1512</v>
      </c>
      <c r="D40699" s="0" t="s">
        <v>213</v>
      </c>
      <c r="E40699" s="0" t="s">
        <v>213</v>
      </c>
      <c r="F40699" s="0" t="s">
        <v>213</v>
      </c>
    </row>
    <row r="40701" customFormat="false" ht="12.8" hidden="false" customHeight="false" outlineLevel="0" collapsed="false">
      <c r="A40701" s="0" t="s">
        <v>14696</v>
      </c>
      <c r="B40701" s="0" t="str">
        <f aca="false">HYPERLINK("https://lindat.mff.cuni.cz/services/teitok/pdtc10/index.php?action=vallex&amp;frame=v-w5597f2", "rozebírat (v-w5597f2)")</f>
        <v>rozebírat (v-w5597f2)</v>
      </c>
    </row>
    <row r="40702" customFormat="false" ht="12.8" hidden="false" customHeight="false" outlineLevel="0" collapsed="false">
      <c r="B40702" s="0" t="s">
        <v>7</v>
      </c>
      <c r="C40702" s="0" t="s">
        <v>191</v>
      </c>
      <c r="D40702" s="0" t="s">
        <v>1509</v>
      </c>
      <c r="E40702" s="0" t="s">
        <v>1509</v>
      </c>
      <c r="F40702" s="0" t="s">
        <v>1509</v>
      </c>
    </row>
    <row r="40703" customFormat="false" ht="12.8" hidden="false" customHeight="false" outlineLevel="0" collapsed="false">
      <c r="B40703" s="0" t="s">
        <v>14</v>
      </c>
      <c r="C40703" s="0" t="s">
        <v>155</v>
      </c>
      <c r="D40703" s="0" t="s">
        <v>14697</v>
      </c>
      <c r="E40703" s="0" t="s">
        <v>14697</v>
      </c>
      <c r="F40703" s="0" t="s">
        <v>14697</v>
      </c>
    </row>
    <row r="40704" customFormat="false" ht="12.8" hidden="false" customHeight="false" outlineLevel="0" collapsed="false">
      <c r="B40704" s="0" t="s">
        <v>84</v>
      </c>
      <c r="D40704" s="0" t="s">
        <v>14698</v>
      </c>
      <c r="E40704" s="0" t="s">
        <v>14698</v>
      </c>
      <c r="F40704" s="0" t="s">
        <v>14698</v>
      </c>
    </row>
    <row r="40706" customFormat="false" ht="12.8" hidden="false" customHeight="false" outlineLevel="0" collapsed="false">
      <c r="A40706" s="0" t="s">
        <v>14699</v>
      </c>
      <c r="B40706" s="0" t="str">
        <f aca="false">HYPERLINK("https://lindat.mff.cuni.cz/services/teitok/pdtc10/index.php?action=vallex&amp;frame=v-whsa_1977f1_ZU", "rozeběhnout se (v-whsa_1977f1_ZU)")</f>
        <v>rozeběhnout se (v-whsa_1977f1_ZU)</v>
      </c>
    </row>
    <row r="40707" customFormat="false" ht="12.8" hidden="false" customHeight="false" outlineLevel="0" collapsed="false">
      <c r="B40707" s="0" t="s">
        <v>7</v>
      </c>
    </row>
    <row r="40709" customFormat="false" ht="12.8" hidden="false" customHeight="false" outlineLevel="0" collapsed="false">
      <c r="A40709" s="0" t="s">
        <v>14699</v>
      </c>
      <c r="B40709" s="0" t="str">
        <f aca="false">HYPERLINK("https://lindat.mff.cuni.cz/services/teitok/pdtc10/index.php?action=vallex&amp;frame=v-whsa_1977hsa_1978", "rozeběhnout se (v-whsa_1977hsa_1978) - substituted with v-whsa_1977f1_ZU")</f>
        <v>rozeběhnout se (v-whsa_1977hsa_1978) - substituted with v-whsa_1977f1_ZU</v>
      </c>
    </row>
    <row r="40710" customFormat="false" ht="12.8" hidden="false" customHeight="false" outlineLevel="0" collapsed="false">
      <c r="B40710" s="0" t="s">
        <v>7</v>
      </c>
    </row>
    <row r="40712" customFormat="false" ht="12.8" hidden="false" customHeight="false" outlineLevel="0" collapsed="false">
      <c r="A40712" s="0" t="s">
        <v>14700</v>
      </c>
      <c r="B40712" s="0" t="str">
        <f aca="false">HYPERLINK("https://lindat.mff.cuni.cz/services/teitok/pdtc10/index.php?action=vallex&amp;frame=v-w5610f1", "rozechvívat (v-w5610f1)")</f>
        <v>rozechvívat (v-w5610f1)</v>
      </c>
    </row>
    <row r="40713" customFormat="false" ht="12.8" hidden="false" customHeight="false" outlineLevel="0" collapsed="false">
      <c r="B40713" s="0" t="s">
        <v>641</v>
      </c>
    </row>
    <row r="40714" customFormat="false" ht="12.8" hidden="false" customHeight="false" outlineLevel="0" collapsed="false">
      <c r="B40714" s="0" t="s">
        <v>14</v>
      </c>
    </row>
    <row r="40716" customFormat="false" ht="12.8" hidden="false" customHeight="false" outlineLevel="0" collapsed="false">
      <c r="A40716" s="0" t="s">
        <v>14701</v>
      </c>
      <c r="B40716" s="0" t="str">
        <f aca="false">HYPERLINK("https://lindat.mff.cuni.cz/services/teitok/pdtc10/index.php?action=vallex&amp;frame=v-w5609f1", "rozechvět (v-w5609f1)")</f>
        <v>rozechvět (v-w5609f1)</v>
      </c>
    </row>
    <row r="40717" customFormat="false" ht="12.8" hidden="false" customHeight="false" outlineLevel="0" collapsed="false">
      <c r="B40717" s="0" t="s">
        <v>641</v>
      </c>
    </row>
    <row r="40718" customFormat="false" ht="12.8" hidden="false" customHeight="false" outlineLevel="0" collapsed="false">
      <c r="B40718" s="0" t="s">
        <v>14</v>
      </c>
    </row>
    <row r="40720" customFormat="false" ht="12.8" hidden="false" customHeight="false" outlineLevel="0" collapsed="false">
      <c r="A40720" s="0" t="s">
        <v>14702</v>
      </c>
      <c r="B40720" s="0" t="str">
        <f aca="false">HYPERLINK("https://lindat.mff.cuni.cz/services/teitok/pdtc10/index.php?action=vallex&amp;frame=v-w5609f2", "rozechvět (v-w5609f2)")</f>
        <v>rozechvět (v-w5609f2)</v>
      </c>
    </row>
    <row r="40721" customFormat="false" ht="12.8" hidden="false" customHeight="false" outlineLevel="0" collapsed="false">
      <c r="B40721" s="0" t="s">
        <v>7</v>
      </c>
    </row>
    <row r="40722" customFormat="false" ht="12.8" hidden="false" customHeight="false" outlineLevel="0" collapsed="false">
      <c r="B40722" s="0" t="s">
        <v>14</v>
      </c>
    </row>
    <row r="40724" customFormat="false" ht="12.8" hidden="false" customHeight="false" outlineLevel="0" collapsed="false">
      <c r="A40724" s="0" t="s">
        <v>14703</v>
      </c>
      <c r="B40724" s="0" t="str">
        <f aca="false">HYPERLINK("https://lindat.mff.cuni.cz/services/teitok/pdtc10/index.php?action=vallex&amp;frame=v-whsa_56hsa_57", "rozednít se (v-whsa_56hsa_57)")</f>
        <v>rozednít se (v-whsa_56hsa_57)</v>
      </c>
    </row>
    <row r="40726" customFormat="false" ht="12.8" hidden="false" customHeight="false" outlineLevel="0" collapsed="false">
      <c r="A40726" s="0" t="s">
        <v>14704</v>
      </c>
      <c r="B40726" s="0" t="str">
        <f aca="false">HYPERLINK("https://lindat.mff.cuni.cz/services/teitok/pdtc10/index.php?action=vallex&amp;frame=v-w5599f2", "rozednívat se (v-w5599f2)")</f>
        <v>rozednívat se (v-w5599f2)</v>
      </c>
    </row>
    <row r="40727" customFormat="false" ht="12.8" hidden="false" customHeight="false" outlineLevel="0" collapsed="false">
      <c r="B40727" s="0" t="s">
        <v>7</v>
      </c>
    </row>
    <row r="40729" customFormat="false" ht="12.8" hidden="false" customHeight="false" outlineLevel="0" collapsed="false">
      <c r="A40729" s="0" t="s">
        <v>14705</v>
      </c>
      <c r="B40729" s="0" t="str">
        <f aca="false">HYPERLINK("https://lindat.mff.cuni.cz/services/teitok/pdtc10/index.php?action=vallex&amp;frame=v-w5599f1", "rozednívat se (v-w5599f1)")</f>
        <v>rozednívat se (v-w5599f1)</v>
      </c>
    </row>
    <row r="40731" customFormat="false" ht="12.8" hidden="false" customHeight="false" outlineLevel="0" collapsed="false">
      <c r="A40731" s="0" t="s">
        <v>14706</v>
      </c>
      <c r="B40731" s="0" t="str">
        <f aca="false">HYPERLINK("https://lindat.mff.cuni.cz/services/teitok/pdtc10/index.php?action=vallex&amp;frame=v-w5600f1", "rozehnat (v-w5600f1)")</f>
        <v>rozehnat (v-w5600f1)</v>
      </c>
    </row>
    <row r="40732" customFormat="false" ht="12.8" hidden="false" customHeight="false" outlineLevel="0" collapsed="false">
      <c r="B40732" s="0" t="s">
        <v>7</v>
      </c>
      <c r="C40732" s="0" t="s">
        <v>191</v>
      </c>
      <c r="D40732" s="0" t="s">
        <v>184</v>
      </c>
      <c r="E40732" s="0" t="s">
        <v>184</v>
      </c>
      <c r="F40732" s="0" t="s">
        <v>184</v>
      </c>
    </row>
    <row r="40733" customFormat="false" ht="12.8" hidden="false" customHeight="false" outlineLevel="0" collapsed="false">
      <c r="B40733" s="0" t="s">
        <v>14</v>
      </c>
      <c r="C40733" s="0" t="s">
        <v>47</v>
      </c>
      <c r="D40733" s="0" t="s">
        <v>461</v>
      </c>
      <c r="E40733" s="0" t="s">
        <v>461</v>
      </c>
      <c r="F40733" s="0" t="s">
        <v>461</v>
      </c>
    </row>
    <row r="40735" customFormat="false" ht="12.8" hidden="false" customHeight="false" outlineLevel="0" collapsed="false">
      <c r="A40735" s="0" t="s">
        <v>14707</v>
      </c>
      <c r="B40735" s="0" t="str">
        <f aca="false">HYPERLINK("https://lindat.mff.cuni.cz/services/teitok/pdtc10/index.php?action=vallex&amp;frame=v-w5602f2", "rozehrát (v-w5602f2)")</f>
        <v>rozehrát (v-w5602f2)</v>
      </c>
    </row>
    <row r="40736" customFormat="false" ht="12.8" hidden="false" customHeight="false" outlineLevel="0" collapsed="false">
      <c r="B40736" s="0" t="s">
        <v>7</v>
      </c>
    </row>
    <row r="40737" customFormat="false" ht="12.8" hidden="false" customHeight="false" outlineLevel="0" collapsed="false">
      <c r="B40737" s="0" t="s">
        <v>14</v>
      </c>
    </row>
    <row r="40738" customFormat="false" ht="12.8" hidden="false" customHeight="false" outlineLevel="0" collapsed="false">
      <c r="B40738" s="0" t="s">
        <v>181</v>
      </c>
    </row>
    <row r="40740" customFormat="false" ht="12.8" hidden="false" customHeight="false" outlineLevel="0" collapsed="false">
      <c r="A40740" s="0" t="s">
        <v>14708</v>
      </c>
      <c r="B40740" s="0" t="str">
        <f aca="false">HYPERLINK("https://lindat.mff.cuni.cz/services/teitok/pdtc10/index.php?action=vallex&amp;frame=v-w5602f1", "rozehrát (v-w5602f1)")</f>
        <v>rozehrát (v-w5602f1)</v>
      </c>
    </row>
    <row r="40741" customFormat="false" ht="12.8" hidden="false" customHeight="false" outlineLevel="0" collapsed="false">
      <c r="B40741" s="0" t="s">
        <v>7</v>
      </c>
    </row>
    <row r="40742" customFormat="false" ht="12.8" hidden="false" customHeight="false" outlineLevel="0" collapsed="false">
      <c r="B40742" s="0" t="s">
        <v>14</v>
      </c>
    </row>
    <row r="40744" customFormat="false" ht="12.8" hidden="false" customHeight="false" outlineLevel="0" collapsed="false">
      <c r="A40744" s="0" t="s">
        <v>14709</v>
      </c>
      <c r="B40744" s="0" t="str">
        <f aca="false">HYPERLINK("https://lindat.mff.cuni.cz/services/teitok/pdtc10/index.php?action=vallex&amp;frame=v-w5603f1", "rozehrát se (v-w5603f1)")</f>
        <v>rozehrát se (v-w5603f1)</v>
      </c>
    </row>
    <row r="40745" customFormat="false" ht="12.8" hidden="false" customHeight="false" outlineLevel="0" collapsed="false">
      <c r="B40745" s="0" t="s">
        <v>7</v>
      </c>
    </row>
    <row r="40747" customFormat="false" ht="12.8" hidden="false" customHeight="false" outlineLevel="0" collapsed="false">
      <c r="A40747" s="0" t="s">
        <v>14710</v>
      </c>
      <c r="B40747" s="0" t="str">
        <f aca="false">HYPERLINK("https://lindat.mff.cuni.cz/services/teitok/pdtc10/index.php?action=vallex&amp;frame=v-w5605f1", "rozehrávat (v-w5605f1)")</f>
        <v>rozehrávat (v-w5605f1)</v>
      </c>
    </row>
    <row r="40748" customFormat="false" ht="12.8" hidden="false" customHeight="false" outlineLevel="0" collapsed="false">
      <c r="B40748" s="0" t="s">
        <v>7</v>
      </c>
    </row>
    <row r="40749" customFormat="false" ht="12.8" hidden="false" customHeight="false" outlineLevel="0" collapsed="false">
      <c r="B40749" s="0" t="s">
        <v>14</v>
      </c>
    </row>
    <row r="40751" customFormat="false" ht="12.8" hidden="false" customHeight="false" outlineLevel="0" collapsed="false">
      <c r="A40751" s="0" t="s">
        <v>14711</v>
      </c>
      <c r="B40751" s="0" t="str">
        <f aca="false">HYPERLINK("https://lindat.mff.cuni.cz/services/teitok/pdtc10/index.php?action=vallex&amp;frame=v-w5607f1", "rozehřát (v-w5607f1)")</f>
        <v>rozehřát (v-w5607f1)</v>
      </c>
    </row>
    <row r="40752" customFormat="false" ht="12.8" hidden="false" customHeight="false" outlineLevel="0" collapsed="false">
      <c r="B40752" s="0" t="s">
        <v>7</v>
      </c>
    </row>
    <row r="40753" customFormat="false" ht="12.8" hidden="false" customHeight="false" outlineLevel="0" collapsed="false">
      <c r="B40753" s="0" t="s">
        <v>14</v>
      </c>
    </row>
    <row r="40755" customFormat="false" ht="12.8" hidden="false" customHeight="false" outlineLevel="0" collapsed="false">
      <c r="A40755" s="0" t="s">
        <v>14712</v>
      </c>
      <c r="B40755" s="0" t="str">
        <f aca="false">HYPERLINK("https://lindat.mff.cuni.cz/services/teitok/pdtc10/index.php?action=vallex&amp;frame=v-w5607f2", "rozehřát (v-w5607f2)")</f>
        <v>rozehřát (v-w5607f2)</v>
      </c>
    </row>
    <row r="40756" customFormat="false" ht="12.8" hidden="false" customHeight="false" outlineLevel="0" collapsed="false">
      <c r="B40756" s="0" t="s">
        <v>7</v>
      </c>
    </row>
    <row r="40757" customFormat="false" ht="12.8" hidden="false" customHeight="false" outlineLevel="0" collapsed="false">
      <c r="B40757" s="0" t="s">
        <v>14</v>
      </c>
    </row>
    <row r="40759" customFormat="false" ht="12.8" hidden="false" customHeight="false" outlineLevel="0" collapsed="false">
      <c r="A40759" s="0" t="s">
        <v>14713</v>
      </c>
      <c r="B40759" s="0" t="str">
        <f aca="false">HYPERLINK("https://lindat.mff.cuni.cz/services/teitok/pdtc10/index.php?action=vallex&amp;frame=v-w5611f1", "rozejít se (v-w5611f1)")</f>
        <v>rozejít se (v-w5611f1)</v>
      </c>
    </row>
    <row r="40760" customFormat="false" ht="12.8" hidden="false" customHeight="false" outlineLevel="0" collapsed="false">
      <c r="B40760" s="0" t="s">
        <v>7</v>
      </c>
      <c r="C40760" s="0" t="s">
        <v>1380</v>
      </c>
      <c r="D40760" s="0" t="s">
        <v>247</v>
      </c>
      <c r="E40760" s="0" t="s">
        <v>247</v>
      </c>
      <c r="F40760" s="0" t="s">
        <v>247</v>
      </c>
    </row>
    <row r="40761" customFormat="false" ht="12.8" hidden="false" customHeight="false" outlineLevel="0" collapsed="false">
      <c r="B40761" s="0" t="s">
        <v>548</v>
      </c>
      <c r="C40761" s="0" t="s">
        <v>155</v>
      </c>
    </row>
    <row r="40763" customFormat="false" ht="12.8" hidden="false" customHeight="false" outlineLevel="0" collapsed="false">
      <c r="A40763" s="0" t="s">
        <v>14714</v>
      </c>
      <c r="B40763" s="0" t="str">
        <f aca="false">HYPERLINK("https://lindat.mff.cuni.cz/services/teitok/pdtc10/index.php?action=vallex&amp;frame=v-w5611hsa_779", "rozejít se (v-w5611hsa_779)")</f>
        <v>rozejít se (v-w5611hsa_779)</v>
      </c>
    </row>
    <row r="40764" customFormat="false" ht="12.8" hidden="false" customHeight="false" outlineLevel="0" collapsed="false">
      <c r="B40764" s="0" t="s">
        <v>7</v>
      </c>
    </row>
    <row r="40766" customFormat="false" ht="12.8" hidden="false" customHeight="false" outlineLevel="0" collapsed="false">
      <c r="A40766" s="0" t="s">
        <v>14715</v>
      </c>
      <c r="B40766" s="0" t="str">
        <f aca="false">HYPERLINK("https://lindat.mff.cuni.cz/services/teitok/pdtc10/index.php?action=vallex&amp;frame=v-whsb_1271f1_ZU", "rozemlít (v-whsb_1271f1_ZU)")</f>
        <v>rozemlít (v-whsb_1271f1_ZU)</v>
      </c>
    </row>
    <row r="40767" customFormat="false" ht="12.8" hidden="false" customHeight="false" outlineLevel="0" collapsed="false">
      <c r="B40767" s="0" t="s">
        <v>7</v>
      </c>
    </row>
    <row r="40768" customFormat="false" ht="12.8" hidden="false" customHeight="false" outlineLevel="0" collapsed="false">
      <c r="B40768" s="0" t="s">
        <v>14</v>
      </c>
    </row>
    <row r="40769" customFormat="false" ht="12.8" hidden="false" customHeight="false" outlineLevel="0" collapsed="false">
      <c r="B40769" s="0" t="s">
        <v>84</v>
      </c>
    </row>
    <row r="40771" customFormat="false" ht="12.8" hidden="false" customHeight="false" outlineLevel="0" collapsed="false">
      <c r="A40771" s="0" t="s">
        <v>14715</v>
      </c>
      <c r="B40771" s="0" t="str">
        <f aca="false">HYPERLINK("https://lindat.mff.cuni.cz/services/teitok/pdtc10/index.php?action=vallex&amp;frame=v-whsb_1271hsa_1272", "rozemlít (v-whsb_1271hsa_1272) - substituted with v-whsb_1271f1_ZU")</f>
        <v>rozemlít (v-whsb_1271hsa_1272) - substituted with v-whsb_1271f1_ZU</v>
      </c>
    </row>
    <row r="40772" customFormat="false" ht="12.8" hidden="false" customHeight="false" outlineLevel="0" collapsed="false">
      <c r="B40772" s="0" t="s">
        <v>7</v>
      </c>
    </row>
    <row r="40773" customFormat="false" ht="12.8" hidden="false" customHeight="false" outlineLevel="0" collapsed="false">
      <c r="B40773" s="0" t="s">
        <v>14</v>
      </c>
    </row>
    <row r="40774" customFormat="false" ht="12.8" hidden="false" customHeight="false" outlineLevel="0" collapsed="false">
      <c r="B40774" s="0" t="s">
        <v>84</v>
      </c>
    </row>
    <row r="40776" customFormat="false" ht="12.8" hidden="false" customHeight="false" outlineLevel="0" collapsed="false">
      <c r="A40776" s="0" t="s">
        <v>14716</v>
      </c>
      <c r="B40776" s="0" t="str">
        <f aca="false">HYPERLINK("https://lindat.mff.cuni.cz/services/teitok/pdtc10/index.php?action=vallex&amp;frame=v-w11041f2", "rozepisovat (v-w11041f2)")</f>
        <v>rozepisovat (v-w11041f2)</v>
      </c>
    </row>
    <row r="40777" customFormat="false" ht="12.8" hidden="false" customHeight="false" outlineLevel="0" collapsed="false">
      <c r="B40777" s="0" t="s">
        <v>7</v>
      </c>
      <c r="C40777" s="0" t="s">
        <v>191</v>
      </c>
      <c r="D40777" s="0" t="s">
        <v>1287</v>
      </c>
      <c r="E40777" s="0" t="s">
        <v>1287</v>
      </c>
      <c r="F40777" s="0" t="s">
        <v>1287</v>
      </c>
    </row>
    <row r="40778" customFormat="false" ht="12.8" hidden="false" customHeight="false" outlineLevel="0" collapsed="false">
      <c r="B40778" s="0" t="s">
        <v>14</v>
      </c>
      <c r="C40778" s="0" t="s">
        <v>155</v>
      </c>
      <c r="D40778" s="0" t="s">
        <v>2517</v>
      </c>
      <c r="E40778" s="0" t="s">
        <v>2517</v>
      </c>
      <c r="F40778" s="0" t="s">
        <v>2517</v>
      </c>
    </row>
    <row r="40779" customFormat="false" ht="12.8" hidden="false" customHeight="false" outlineLevel="0" collapsed="false">
      <c r="B40779" s="0" t="s">
        <v>4978</v>
      </c>
      <c r="D40779" s="0" t="s">
        <v>4598</v>
      </c>
      <c r="E40779" s="0" t="s">
        <v>4598</v>
      </c>
      <c r="F40779" s="0" t="s">
        <v>4598</v>
      </c>
    </row>
    <row r="40781" customFormat="false" ht="12.8" hidden="false" customHeight="false" outlineLevel="0" collapsed="false">
      <c r="A40781" s="0" t="s">
        <v>14717</v>
      </c>
      <c r="B40781" s="0" t="str">
        <f aca="false">HYPERLINK("https://lindat.mff.cuni.cz/services/teitok/pdtc10/index.php?action=vallex&amp;frame=v-w12030_ZUf1_ZU", "rozervat (v-w12030_ZUf1_ZU)")</f>
        <v>rozervat (v-w12030_ZUf1_ZU)</v>
      </c>
    </row>
    <row r="40782" customFormat="false" ht="12.8" hidden="false" customHeight="false" outlineLevel="0" collapsed="false">
      <c r="B40782" s="0" t="s">
        <v>7</v>
      </c>
    </row>
    <row r="40783" customFormat="false" ht="12.8" hidden="false" customHeight="false" outlineLevel="0" collapsed="false">
      <c r="B40783" s="0" t="s">
        <v>14</v>
      </c>
    </row>
    <row r="40784" customFormat="false" ht="12.8" hidden="false" customHeight="false" outlineLevel="0" collapsed="false">
      <c r="B40784" s="0" t="s">
        <v>84</v>
      </c>
    </row>
    <row r="40786" customFormat="false" ht="12.8" hidden="false" customHeight="false" outlineLevel="0" collapsed="false">
      <c r="A40786" s="0" t="s">
        <v>14718</v>
      </c>
      <c r="B40786" s="0" t="str">
        <f aca="false">HYPERLINK("https://lindat.mff.cuni.cz/services/teitok/pdtc10/index.php?action=vallex&amp;frame=v-w10820f2", "rozesadit (v-w10820f2)")</f>
        <v>rozesadit (v-w10820f2)</v>
      </c>
    </row>
    <row r="40787" customFormat="false" ht="12.8" hidden="false" customHeight="false" outlineLevel="0" collapsed="false">
      <c r="B40787" s="0" t="s">
        <v>7</v>
      </c>
    </row>
    <row r="40788" customFormat="false" ht="12.8" hidden="false" customHeight="false" outlineLevel="0" collapsed="false">
      <c r="B40788" s="0" t="s">
        <v>14</v>
      </c>
    </row>
    <row r="40789" customFormat="false" ht="12.8" hidden="false" customHeight="false" outlineLevel="0" collapsed="false">
      <c r="B40789" s="0" t="s">
        <v>1592</v>
      </c>
    </row>
    <row r="40791" customFormat="false" ht="12.8" hidden="false" customHeight="false" outlineLevel="0" collapsed="false">
      <c r="A40791" s="0" t="s">
        <v>14719</v>
      </c>
      <c r="B40791" s="0" t="str">
        <f aca="false">HYPERLINK("https://lindat.mff.cuni.cz/services/teitok/pdtc10/index.php?action=vallex&amp;frame=v-w10820f3_ZU", "rozesadit (v-w10820f3_ZU)")</f>
        <v>rozesadit (v-w10820f3_ZU)</v>
      </c>
    </row>
    <row r="40792" customFormat="false" ht="12.8" hidden="false" customHeight="false" outlineLevel="0" collapsed="false">
      <c r="B40792" s="0" t="s">
        <v>7</v>
      </c>
    </row>
    <row r="40793" customFormat="false" ht="12.8" hidden="false" customHeight="false" outlineLevel="0" collapsed="false">
      <c r="B40793" s="0" t="s">
        <v>14</v>
      </c>
    </row>
    <row r="40795" customFormat="false" ht="12.8" hidden="false" customHeight="false" outlineLevel="0" collapsed="false">
      <c r="A40795" s="0" t="s">
        <v>14720</v>
      </c>
      <c r="B40795" s="0" t="str">
        <f aca="false">HYPERLINK("https://lindat.mff.cuni.cz/services/teitok/pdtc10/index.php?action=vallex&amp;frame=v-w5616f1", "rozeslat (v-w5616f1)")</f>
        <v>rozeslat (v-w5616f1)</v>
      </c>
    </row>
    <row r="40796" customFormat="false" ht="12.8" hidden="false" customHeight="false" outlineLevel="0" collapsed="false">
      <c r="B40796" s="0" t="s">
        <v>7</v>
      </c>
      <c r="C40796" s="0" t="s">
        <v>14721</v>
      </c>
      <c r="D40796" s="0" t="s">
        <v>1630</v>
      </c>
      <c r="E40796" s="0" t="s">
        <v>1630</v>
      </c>
      <c r="F40796" s="0" t="s">
        <v>1630</v>
      </c>
    </row>
    <row r="40797" customFormat="false" ht="12.8" hidden="false" customHeight="false" outlineLevel="0" collapsed="false">
      <c r="B40797" s="0" t="s">
        <v>14</v>
      </c>
      <c r="C40797" s="0" t="s">
        <v>14722</v>
      </c>
      <c r="D40797" s="0" t="s">
        <v>1632</v>
      </c>
      <c r="E40797" s="0" t="s">
        <v>1632</v>
      </c>
      <c r="F40797" s="0" t="s">
        <v>1632</v>
      </c>
    </row>
    <row r="40798" customFormat="false" ht="12.8" hidden="false" customHeight="false" outlineLevel="0" collapsed="false">
      <c r="B40798" s="0" t="s">
        <v>48</v>
      </c>
      <c r="C40798" s="0" t="s">
        <v>14723</v>
      </c>
      <c r="D40798" s="0" t="s">
        <v>1635</v>
      </c>
      <c r="E40798" s="0" t="s">
        <v>1635</v>
      </c>
      <c r="F40798" s="0" t="s">
        <v>1635</v>
      </c>
    </row>
    <row r="40800" customFormat="false" ht="12.8" hidden="false" customHeight="false" outlineLevel="0" collapsed="false">
      <c r="A40800" s="0" t="s">
        <v>14724</v>
      </c>
      <c r="B40800" s="0" t="str">
        <f aca="false">HYPERLINK("https://lindat.mff.cuni.cz/services/teitok/pdtc10/index.php?action=vallex&amp;frame=v-w5616f2", "rozeslat (v-w5616f2)")</f>
        <v>rozeslat (v-w5616f2)</v>
      </c>
    </row>
    <row r="40801" customFormat="false" ht="12.8" hidden="false" customHeight="false" outlineLevel="0" collapsed="false">
      <c r="B40801" s="0" t="s">
        <v>7</v>
      </c>
    </row>
    <row r="40802" customFormat="false" ht="12.8" hidden="false" customHeight="false" outlineLevel="0" collapsed="false">
      <c r="B40802" s="0" t="s">
        <v>14</v>
      </c>
    </row>
    <row r="40803" customFormat="false" ht="12.8" hidden="false" customHeight="false" outlineLevel="0" collapsed="false">
      <c r="B40803" s="0" t="s">
        <v>124</v>
      </c>
    </row>
    <row r="40805" customFormat="false" ht="12.8" hidden="false" customHeight="false" outlineLevel="0" collapsed="false">
      <c r="A40805" s="0" t="s">
        <v>14725</v>
      </c>
      <c r="B40805" s="0" t="str">
        <f aca="false">HYPERLINK("https://lindat.mff.cuni.cz/services/teitok/pdtc10/index.php?action=vallex&amp;frame=v-whsb_317hsa_318", "rozesmutnit (v-whsb_317hsa_318)")</f>
        <v>rozesmutnit (v-whsb_317hsa_318)</v>
      </c>
    </row>
    <row r="40806" customFormat="false" ht="12.8" hidden="false" customHeight="false" outlineLevel="0" collapsed="false">
      <c r="B40806" s="0" t="s">
        <v>7</v>
      </c>
    </row>
    <row r="40807" customFormat="false" ht="12.8" hidden="false" customHeight="false" outlineLevel="0" collapsed="false">
      <c r="B40807" s="0" t="s">
        <v>14</v>
      </c>
    </row>
    <row r="40809" customFormat="false" ht="12.8" hidden="false" customHeight="false" outlineLevel="0" collapsed="false">
      <c r="A40809" s="0" t="s">
        <v>14726</v>
      </c>
      <c r="B40809" s="0" t="str">
        <f aca="false">HYPERLINK("https://lindat.mff.cuni.cz/services/teitok/pdtc10/index.php?action=vallex&amp;frame=v-w5617f1", "rozesmát (v-w5617f1)")</f>
        <v>rozesmát (v-w5617f1)</v>
      </c>
    </row>
    <row r="40810" customFormat="false" ht="12.8" hidden="false" customHeight="false" outlineLevel="0" collapsed="false">
      <c r="B40810" s="0" t="s">
        <v>7</v>
      </c>
      <c r="C40810" s="0" t="s">
        <v>1287</v>
      </c>
    </row>
    <row r="40811" customFormat="false" ht="12.8" hidden="false" customHeight="false" outlineLevel="0" collapsed="false">
      <c r="B40811" s="0" t="s">
        <v>14</v>
      </c>
      <c r="C40811" s="0" t="s">
        <v>14727</v>
      </c>
    </row>
    <row r="40813" customFormat="false" ht="12.8" hidden="false" customHeight="false" outlineLevel="0" collapsed="false">
      <c r="A40813" s="0" t="s">
        <v>14728</v>
      </c>
      <c r="B40813" s="0" t="str">
        <f aca="false">HYPERLINK("https://lindat.mff.cuni.cz/services/teitok/pdtc10/index.php?action=vallex&amp;frame=v-whsa_892hsa_893", "rozesmávat (v-whsa_892hsa_893)")</f>
        <v>rozesmávat (v-whsa_892hsa_893)</v>
      </c>
    </row>
    <row r="40814" customFormat="false" ht="12.8" hidden="false" customHeight="false" outlineLevel="0" collapsed="false">
      <c r="B40814" s="0" t="s">
        <v>7</v>
      </c>
    </row>
    <row r="40815" customFormat="false" ht="12.8" hidden="false" customHeight="false" outlineLevel="0" collapsed="false">
      <c r="B40815" s="0" t="s">
        <v>14</v>
      </c>
      <c r="C40815" s="0" t="s">
        <v>2052</v>
      </c>
    </row>
    <row r="40817" customFormat="false" ht="12.8" hidden="false" customHeight="false" outlineLevel="0" collapsed="false">
      <c r="A40817" s="0" t="s">
        <v>14729</v>
      </c>
      <c r="B40817" s="0" t="str">
        <f aca="false">HYPERLINK("https://lindat.mff.cuni.cz/services/teitok/pdtc10/index.php?action=vallex&amp;frame=v-whsa_1342hsa_1343", "rozesmívat (v-whsa_1342hsa_1343)")</f>
        <v>rozesmívat (v-whsa_1342hsa_1343)</v>
      </c>
    </row>
    <row r="40818" customFormat="false" ht="12.8" hidden="false" customHeight="false" outlineLevel="0" collapsed="false">
      <c r="B40818" s="0" t="s">
        <v>7</v>
      </c>
    </row>
    <row r="40819" customFormat="false" ht="12.8" hidden="false" customHeight="false" outlineLevel="0" collapsed="false">
      <c r="B40819" s="0" t="s">
        <v>14</v>
      </c>
    </row>
    <row r="40821" customFormat="false" ht="12.8" hidden="false" customHeight="false" outlineLevel="0" collapsed="false">
      <c r="A40821" s="0" t="s">
        <v>14730</v>
      </c>
      <c r="B40821" s="0" t="str">
        <f aca="false">HYPERLINK("https://lindat.mff.cuni.cz/services/teitok/pdtc10/index.php?action=vallex&amp;frame=v-w5619f1", "rozestavit (v-w5619f1)")</f>
        <v>rozestavit (v-w5619f1)</v>
      </c>
    </row>
    <row r="40822" customFormat="false" ht="12.8" hidden="false" customHeight="false" outlineLevel="0" collapsed="false">
      <c r="B40822" s="0" t="s">
        <v>7</v>
      </c>
    </row>
    <row r="40823" customFormat="false" ht="12.8" hidden="false" customHeight="false" outlineLevel="0" collapsed="false">
      <c r="B40823" s="0" t="s">
        <v>14</v>
      </c>
    </row>
    <row r="40824" customFormat="false" ht="12.8" hidden="false" customHeight="false" outlineLevel="0" collapsed="false">
      <c r="B40824" s="0" t="s">
        <v>11</v>
      </c>
    </row>
    <row r="40826" customFormat="false" ht="12.8" hidden="false" customHeight="false" outlineLevel="0" collapsed="false">
      <c r="A40826" s="0" t="s">
        <v>14731</v>
      </c>
      <c r="B40826" s="0" t="str">
        <f aca="false">HYPERLINK("https://lindat.mff.cuni.cz/services/teitok/pdtc10/index.php?action=vallex&amp;frame=v-w5619f2", "rozestavit (v-w5619f2)")</f>
        <v>rozestavit (v-w5619f2)</v>
      </c>
    </row>
    <row r="40827" customFormat="false" ht="12.8" hidden="false" customHeight="false" outlineLevel="0" collapsed="false">
      <c r="B40827" s="0" t="s">
        <v>7</v>
      </c>
    </row>
    <row r="40828" customFormat="false" ht="12.8" hidden="false" customHeight="false" outlineLevel="0" collapsed="false">
      <c r="B40828" s="0" t="s">
        <v>14</v>
      </c>
    </row>
    <row r="40829" customFormat="false" ht="12.8" hidden="false" customHeight="false" outlineLevel="0" collapsed="false">
      <c r="B40829" s="0" t="s">
        <v>124</v>
      </c>
    </row>
    <row r="40831" customFormat="false" ht="12.8" hidden="false" customHeight="false" outlineLevel="0" collapsed="false">
      <c r="A40831" s="0" t="s">
        <v>14732</v>
      </c>
      <c r="B40831" s="0" t="str">
        <f aca="false">HYPERLINK("https://lindat.mff.cuni.cz/services/teitok/pdtc10/index.php?action=vallex&amp;frame=v-w5618f2", "rozestavět (v-w5618f2)")</f>
        <v>rozestavět (v-w5618f2)</v>
      </c>
    </row>
    <row r="40832" customFormat="false" ht="12.8" hidden="false" customHeight="false" outlineLevel="0" collapsed="false">
      <c r="B40832" s="0" t="s">
        <v>7</v>
      </c>
    </row>
    <row r="40833" customFormat="false" ht="12.8" hidden="false" customHeight="false" outlineLevel="0" collapsed="false">
      <c r="B40833" s="0" t="s">
        <v>14</v>
      </c>
    </row>
    <row r="40834" customFormat="false" ht="12.8" hidden="false" customHeight="false" outlineLevel="0" collapsed="false">
      <c r="B40834" s="0" t="s">
        <v>11</v>
      </c>
    </row>
    <row r="40836" customFormat="false" ht="12.8" hidden="false" customHeight="false" outlineLevel="0" collapsed="false">
      <c r="A40836" s="0" t="s">
        <v>14733</v>
      </c>
      <c r="B40836" s="0" t="str">
        <f aca="false">HYPERLINK("https://lindat.mff.cuni.cz/services/teitok/pdtc10/index.php?action=vallex&amp;frame=v-w5618f3", "rozestavět (v-w5618f3)")</f>
        <v>rozestavět (v-w5618f3)</v>
      </c>
    </row>
    <row r="40837" customFormat="false" ht="12.8" hidden="false" customHeight="false" outlineLevel="0" collapsed="false">
      <c r="B40837" s="0" t="s">
        <v>7</v>
      </c>
    </row>
    <row r="40838" customFormat="false" ht="12.8" hidden="false" customHeight="false" outlineLevel="0" collapsed="false">
      <c r="B40838" s="0" t="s">
        <v>14</v>
      </c>
    </row>
    <row r="40839" customFormat="false" ht="12.8" hidden="false" customHeight="false" outlineLevel="0" collapsed="false">
      <c r="B40839" s="0" t="s">
        <v>124</v>
      </c>
    </row>
    <row r="40841" customFormat="false" ht="12.8" hidden="false" customHeight="false" outlineLevel="0" collapsed="false">
      <c r="A40841" s="0" t="s">
        <v>14734</v>
      </c>
      <c r="B40841" s="0" t="str">
        <f aca="false">HYPERLINK("https://lindat.mff.cuni.cz/services/teitok/pdtc10/index.php?action=vallex&amp;frame=v-w5618f1", "rozestavět (v-w5618f1)")</f>
        <v>rozestavět (v-w5618f1)</v>
      </c>
    </row>
    <row r="40842" customFormat="false" ht="12.8" hidden="false" customHeight="false" outlineLevel="0" collapsed="false">
      <c r="B40842" s="0" t="s">
        <v>7</v>
      </c>
    </row>
    <row r="40843" customFormat="false" ht="12.8" hidden="false" customHeight="false" outlineLevel="0" collapsed="false">
      <c r="B40843" s="0" t="s">
        <v>14</v>
      </c>
    </row>
    <row r="40845" customFormat="false" ht="12.8" hidden="false" customHeight="false" outlineLevel="0" collapsed="false">
      <c r="A40845" s="0" t="s">
        <v>14735</v>
      </c>
      <c r="B40845" s="0" t="str">
        <f aca="false">HYPERLINK("https://lindat.mff.cuni.cz/services/teitok/pdtc10/index.php?action=vallex&amp;frame=v-w11245f1", "rozestoupit se (v-w11245f1)")</f>
        <v>rozestoupit se (v-w11245f1)</v>
      </c>
    </row>
    <row r="40846" customFormat="false" ht="12.8" hidden="false" customHeight="false" outlineLevel="0" collapsed="false">
      <c r="B40846" s="0" t="s">
        <v>7</v>
      </c>
    </row>
    <row r="40848" customFormat="false" ht="12.8" hidden="false" customHeight="false" outlineLevel="0" collapsed="false">
      <c r="A40848" s="0" t="s">
        <v>14736</v>
      </c>
      <c r="B40848" s="0" t="str">
        <f aca="false">HYPERLINK("https://lindat.mff.cuni.cz/services/teitok/pdtc10/index.php?action=vallex&amp;frame=v-w5615f1", "rozesílat (v-w5615f1)")</f>
        <v>rozesílat (v-w5615f1)</v>
      </c>
    </row>
    <row r="40849" customFormat="false" ht="12.8" hidden="false" customHeight="false" outlineLevel="0" collapsed="false">
      <c r="B40849" s="0" t="s">
        <v>7</v>
      </c>
      <c r="C40849" s="0" t="s">
        <v>1458</v>
      </c>
      <c r="D40849" s="0" t="s">
        <v>1630</v>
      </c>
      <c r="E40849" s="0" t="s">
        <v>1630</v>
      </c>
      <c r="F40849" s="0" t="s">
        <v>1630</v>
      </c>
    </row>
    <row r="40850" customFormat="false" ht="12.8" hidden="false" customHeight="false" outlineLevel="0" collapsed="false">
      <c r="B40850" s="0" t="s">
        <v>14</v>
      </c>
      <c r="C40850" s="0" t="s">
        <v>5185</v>
      </c>
      <c r="D40850" s="0" t="s">
        <v>1632</v>
      </c>
      <c r="E40850" s="0" t="s">
        <v>1632</v>
      </c>
      <c r="F40850" s="0" t="s">
        <v>1632</v>
      </c>
    </row>
    <row r="40851" customFormat="false" ht="12.8" hidden="false" customHeight="false" outlineLevel="0" collapsed="false">
      <c r="B40851" s="0" t="s">
        <v>48</v>
      </c>
      <c r="C40851" s="0" t="s">
        <v>14737</v>
      </c>
      <c r="D40851" s="0" t="s">
        <v>1635</v>
      </c>
      <c r="E40851" s="0" t="s">
        <v>1635</v>
      </c>
      <c r="F40851" s="0" t="s">
        <v>1635</v>
      </c>
    </row>
    <row r="40853" customFormat="false" ht="12.8" hidden="false" customHeight="false" outlineLevel="0" collapsed="false">
      <c r="A40853" s="0" t="s">
        <v>14738</v>
      </c>
      <c r="B40853" s="0" t="str">
        <f aca="false">HYPERLINK("https://lindat.mff.cuni.cz/services/teitok/pdtc10/index.php?action=vallex&amp;frame=v-w5615f2", "rozesílat (v-w5615f2)")</f>
        <v>rozesílat (v-w5615f2)</v>
      </c>
    </row>
    <row r="40854" customFormat="false" ht="12.8" hidden="false" customHeight="false" outlineLevel="0" collapsed="false">
      <c r="B40854" s="0" t="s">
        <v>7</v>
      </c>
    </row>
    <row r="40855" customFormat="false" ht="12.8" hidden="false" customHeight="false" outlineLevel="0" collapsed="false">
      <c r="B40855" s="0" t="s">
        <v>14</v>
      </c>
    </row>
    <row r="40856" customFormat="false" ht="12.8" hidden="false" customHeight="false" outlineLevel="0" collapsed="false">
      <c r="B40856" s="0" t="s">
        <v>124</v>
      </c>
    </row>
    <row r="40858" customFormat="false" ht="12.8" hidden="false" customHeight="false" outlineLevel="0" collapsed="false">
      <c r="A40858" s="0" t="s">
        <v>14739</v>
      </c>
      <c r="B40858" s="0" t="str">
        <f aca="false">HYPERLINK("https://lindat.mff.cuni.cz/services/teitok/pdtc10/index.php?action=vallex&amp;frame=v-w5620f2", "rozetnout (v-w5620f2)")</f>
        <v>rozetnout (v-w5620f2)</v>
      </c>
    </row>
    <row r="40859" customFormat="false" ht="12.8" hidden="false" customHeight="false" outlineLevel="0" collapsed="false">
      <c r="B40859" s="0" t="s">
        <v>7</v>
      </c>
    </row>
    <row r="40860" customFormat="false" ht="12.8" hidden="false" customHeight="false" outlineLevel="0" collapsed="false">
      <c r="B40860" s="0" t="s">
        <v>14</v>
      </c>
    </row>
    <row r="40861" customFormat="false" ht="12.8" hidden="false" customHeight="false" outlineLevel="0" collapsed="false">
      <c r="B40861" s="0" t="s">
        <v>2773</v>
      </c>
    </row>
    <row r="40863" customFormat="false" ht="12.8" hidden="false" customHeight="false" outlineLevel="0" collapsed="false">
      <c r="A40863" s="0" t="s">
        <v>14740</v>
      </c>
      <c r="B40863" s="0" t="str">
        <f aca="false">HYPERLINK("https://lindat.mff.cuni.cz/services/teitok/pdtc10/index.php?action=vallex&amp;frame=v-w5620f1", "rozetnout (v-w5620f1)")</f>
        <v>rozetnout (v-w5620f1)</v>
      </c>
    </row>
    <row r="40864" customFormat="false" ht="12.8" hidden="false" customHeight="false" outlineLevel="0" collapsed="false">
      <c r="B40864" s="0" t="s">
        <v>7</v>
      </c>
    </row>
    <row r="40865" customFormat="false" ht="12.8" hidden="false" customHeight="false" outlineLevel="0" collapsed="false">
      <c r="B40865" s="0" t="s">
        <v>14</v>
      </c>
    </row>
    <row r="40867" customFormat="false" ht="12.8" hidden="false" customHeight="false" outlineLevel="0" collapsed="false">
      <c r="A40867" s="0" t="s">
        <v>14741</v>
      </c>
      <c r="B40867" s="0" t="str">
        <f aca="false">HYPERLINK("https://lindat.mff.cuni.cz/services/teitok/pdtc10/index.php?action=vallex&amp;frame=v-w11574_ZUf1_ZU", "rozevírat (v-w11574_ZUf1_ZU)")</f>
        <v>rozevírat (v-w11574_ZUf1_ZU)</v>
      </c>
    </row>
    <row r="40868" customFormat="false" ht="12.8" hidden="false" customHeight="false" outlineLevel="0" collapsed="false">
      <c r="B40868" s="0" t="s">
        <v>7</v>
      </c>
    </row>
    <row r="40869" customFormat="false" ht="12.8" hidden="false" customHeight="false" outlineLevel="0" collapsed="false">
      <c r="B40869" s="0" t="s">
        <v>14</v>
      </c>
    </row>
    <row r="40871" customFormat="false" ht="12.8" hidden="false" customHeight="false" outlineLevel="0" collapsed="false">
      <c r="A40871" s="0" t="s">
        <v>14742</v>
      </c>
      <c r="B40871" s="0" t="str">
        <f aca="false">HYPERLINK("https://lindat.mff.cuni.cz/services/teitok/pdtc10/index.php?action=vallex&amp;frame=v-w11834_ZUf1_ZU", "rozevřít (v-w11834_ZUf1_ZU)")</f>
        <v>rozevřít (v-w11834_ZUf1_ZU)</v>
      </c>
    </row>
    <row r="40872" customFormat="false" ht="12.8" hidden="false" customHeight="false" outlineLevel="0" collapsed="false">
      <c r="B40872" s="0" t="s">
        <v>7</v>
      </c>
    </row>
    <row r="40873" customFormat="false" ht="12.8" hidden="false" customHeight="false" outlineLevel="0" collapsed="false">
      <c r="B40873" s="0" t="s">
        <v>14</v>
      </c>
    </row>
    <row r="40875" customFormat="false" ht="12.8" hidden="false" customHeight="false" outlineLevel="0" collapsed="false">
      <c r="A40875" s="0" t="s">
        <v>14743</v>
      </c>
      <c r="B40875" s="0" t="str">
        <f aca="false">HYPERLINK("https://lindat.mff.cuni.cz/services/teitok/pdtc10/index.php?action=vallex&amp;frame=v-w5621f1", "rozevřít se (v-w5621f1)")</f>
        <v>rozevřít se (v-w5621f1)</v>
      </c>
    </row>
    <row r="40876" customFormat="false" ht="12.8" hidden="false" customHeight="false" outlineLevel="0" collapsed="false">
      <c r="B40876" s="0" t="s">
        <v>7</v>
      </c>
    </row>
    <row r="40877" customFormat="false" ht="12.8" hidden="false" customHeight="false" outlineLevel="0" collapsed="false">
      <c r="B40877" s="0" t="s">
        <v>581</v>
      </c>
    </row>
    <row r="40878" customFormat="false" ht="12.8" hidden="false" customHeight="false" outlineLevel="0" collapsed="false">
      <c r="B40878" s="0" t="s">
        <v>9483</v>
      </c>
    </row>
    <row r="40880" customFormat="false" ht="12.8" hidden="false" customHeight="false" outlineLevel="0" collapsed="false">
      <c r="A40880" s="0" t="s">
        <v>14744</v>
      </c>
      <c r="B40880" s="0" t="str">
        <f aca="false">HYPERLINK("https://lindat.mff.cuni.cz/services/teitok/pdtc10/index.php?action=vallex&amp;frame=v-w5622f2", "rozeznat (v-w5622f2)")</f>
        <v>rozeznat (v-w5622f2)</v>
      </c>
    </row>
    <row r="40881" customFormat="false" ht="12.8" hidden="false" customHeight="false" outlineLevel="0" collapsed="false">
      <c r="B40881" s="0" t="s">
        <v>7</v>
      </c>
      <c r="C40881" s="0" t="s">
        <v>46</v>
      </c>
      <c r="D40881" s="0" t="s">
        <v>46</v>
      </c>
      <c r="E40881" s="0" t="s">
        <v>46</v>
      </c>
      <c r="F40881" s="0" t="s">
        <v>46</v>
      </c>
    </row>
    <row r="40882" customFormat="false" ht="12.8" hidden="false" customHeight="false" outlineLevel="0" collapsed="false">
      <c r="B40882" s="0" t="s">
        <v>14</v>
      </c>
      <c r="C40882" s="0" t="s">
        <v>47</v>
      </c>
      <c r="D40882" s="0" t="s">
        <v>1315</v>
      </c>
      <c r="E40882" s="0" t="s">
        <v>1315</v>
      </c>
      <c r="F40882" s="0" t="s">
        <v>1315</v>
      </c>
    </row>
    <row r="40883" customFormat="false" ht="12.8" hidden="false" customHeight="false" outlineLevel="0" collapsed="false">
      <c r="B40883" s="0" t="s">
        <v>1592</v>
      </c>
      <c r="C40883" s="0" t="s">
        <v>5360</v>
      </c>
      <c r="D40883" s="0" t="s">
        <v>8242</v>
      </c>
      <c r="E40883" s="0" t="s">
        <v>8242</v>
      </c>
      <c r="F40883" s="0" t="s">
        <v>8242</v>
      </c>
    </row>
    <row r="40885" customFormat="false" ht="12.8" hidden="false" customHeight="false" outlineLevel="0" collapsed="false">
      <c r="A40885" s="0" t="s">
        <v>14745</v>
      </c>
      <c r="B40885" s="0" t="str">
        <f aca="false">HYPERLINK("https://lindat.mff.cuni.cz/services/teitok/pdtc10/index.php?action=vallex&amp;frame=v-w5622f1", "rozeznat (v-w5622f1)")</f>
        <v>rozeznat (v-w5622f1)</v>
      </c>
    </row>
    <row r="40886" customFormat="false" ht="12.8" hidden="false" customHeight="false" outlineLevel="0" collapsed="false">
      <c r="B40886" s="0" t="s">
        <v>7</v>
      </c>
      <c r="D40886" s="0" t="s">
        <v>3243</v>
      </c>
      <c r="E40886" s="0" t="s">
        <v>3243</v>
      </c>
      <c r="F40886" s="0" t="s">
        <v>3243</v>
      </c>
    </row>
    <row r="40887" customFormat="false" ht="12.8" hidden="false" customHeight="false" outlineLevel="0" collapsed="false">
      <c r="B40887" s="0" t="s">
        <v>1520</v>
      </c>
      <c r="D40887" s="0" t="s">
        <v>4158</v>
      </c>
      <c r="E40887" s="0" t="s">
        <v>4158</v>
      </c>
      <c r="F40887" s="0" t="s">
        <v>4158</v>
      </c>
    </row>
    <row r="40889" customFormat="false" ht="12.8" hidden="false" customHeight="false" outlineLevel="0" collapsed="false">
      <c r="A40889" s="0" t="s">
        <v>14746</v>
      </c>
      <c r="B40889" s="0" t="str">
        <f aca="false">HYPERLINK("https://lindat.mff.cuni.cz/services/teitok/pdtc10/index.php?action=vallex&amp;frame=v-w5624f1", "rozeznávat (v-w5624f1)")</f>
        <v>rozeznávat (v-w5624f1)</v>
      </c>
    </row>
    <row r="40890" customFormat="false" ht="12.8" hidden="false" customHeight="false" outlineLevel="0" collapsed="false">
      <c r="B40890" s="0" t="s">
        <v>7</v>
      </c>
    </row>
    <row r="40891" customFormat="false" ht="12.8" hidden="false" customHeight="false" outlineLevel="0" collapsed="false">
      <c r="B40891" s="0" t="s">
        <v>14</v>
      </c>
    </row>
    <row r="40892" customFormat="false" ht="12.8" hidden="false" customHeight="false" outlineLevel="0" collapsed="false">
      <c r="B40892" s="0" t="s">
        <v>441</v>
      </c>
    </row>
    <row r="40894" customFormat="false" ht="12.8" hidden="false" customHeight="false" outlineLevel="0" collapsed="false">
      <c r="A40894" s="0" t="s">
        <v>14747</v>
      </c>
      <c r="B40894" s="0" t="str">
        <f aca="false">HYPERLINK("https://lindat.mff.cuni.cz/services/teitok/pdtc10/index.php?action=vallex&amp;frame=v-w5624f2", "rozeznávat (v-w5624f2)")</f>
        <v>rozeznávat (v-w5624f2)</v>
      </c>
    </row>
    <row r="40895" customFormat="false" ht="12.8" hidden="false" customHeight="false" outlineLevel="0" collapsed="false">
      <c r="B40895" s="0" t="s">
        <v>7</v>
      </c>
      <c r="C40895" s="0" t="s">
        <v>118</v>
      </c>
      <c r="D40895" s="0" t="s">
        <v>3243</v>
      </c>
      <c r="E40895" s="0" t="s">
        <v>3243</v>
      </c>
      <c r="F40895" s="0" t="s">
        <v>3243</v>
      </c>
    </row>
    <row r="40896" customFormat="false" ht="12.8" hidden="false" customHeight="false" outlineLevel="0" collapsed="false">
      <c r="B40896" s="0" t="s">
        <v>1520</v>
      </c>
      <c r="C40896" s="0" t="s">
        <v>1264</v>
      </c>
      <c r="D40896" s="0" t="s">
        <v>4158</v>
      </c>
      <c r="E40896" s="0" t="s">
        <v>4158</v>
      </c>
      <c r="F40896" s="0" t="s">
        <v>4158</v>
      </c>
    </row>
    <row r="40898" customFormat="false" ht="12.8" hidden="false" customHeight="false" outlineLevel="0" collapsed="false">
      <c r="A40898" s="0" t="s">
        <v>14748</v>
      </c>
      <c r="B40898" s="0" t="str">
        <f aca="false">HYPERLINK("https://lindat.mff.cuni.cz/services/teitok/pdtc10/index.php?action=vallex&amp;frame=v-w11047f2", "rozeznít (v-w11047f2)")</f>
        <v>rozeznít (v-w11047f2)</v>
      </c>
    </row>
    <row r="40899" customFormat="false" ht="12.8" hidden="false" customHeight="false" outlineLevel="0" collapsed="false">
      <c r="B40899" s="0" t="s">
        <v>7</v>
      </c>
      <c r="C40899" s="0" t="s">
        <v>113</v>
      </c>
      <c r="D40899" s="0" t="s">
        <v>69</v>
      </c>
      <c r="E40899" s="0" t="s">
        <v>69</v>
      </c>
      <c r="F40899" s="0" t="s">
        <v>69</v>
      </c>
    </row>
    <row r="40900" customFormat="false" ht="12.8" hidden="false" customHeight="false" outlineLevel="0" collapsed="false">
      <c r="B40900" s="0" t="s">
        <v>14</v>
      </c>
      <c r="C40900" s="0" t="s">
        <v>1170</v>
      </c>
      <c r="D40900" s="0" t="s">
        <v>71</v>
      </c>
      <c r="E40900" s="0" t="s">
        <v>71</v>
      </c>
      <c r="F40900" s="0" t="s">
        <v>71</v>
      </c>
    </row>
    <row r="40902" customFormat="false" ht="12.8" hidden="false" customHeight="false" outlineLevel="0" collapsed="false">
      <c r="A40902" s="0" t="s">
        <v>14749</v>
      </c>
      <c r="B40902" s="0" t="str">
        <f aca="false">HYPERLINK("https://lindat.mff.cuni.cz/services/teitok/pdtc10/index.php?action=vallex&amp;frame=v-w11450f1", "rozeznít se (v-w11450f1)")</f>
        <v>rozeznít se (v-w11450f1)</v>
      </c>
    </row>
    <row r="40903" customFormat="false" ht="12.8" hidden="false" customHeight="false" outlineLevel="0" collapsed="false">
      <c r="B40903" s="0" t="s">
        <v>7</v>
      </c>
      <c r="C40903" s="0" t="s">
        <v>200</v>
      </c>
      <c r="D40903" s="0" t="s">
        <v>200</v>
      </c>
      <c r="E40903" s="0" t="s">
        <v>200</v>
      </c>
      <c r="F40903" s="0" t="s">
        <v>200</v>
      </c>
    </row>
    <row r="40905" customFormat="false" ht="12.8" hidden="false" customHeight="false" outlineLevel="0" collapsed="false">
      <c r="A40905" s="0" t="s">
        <v>14750</v>
      </c>
      <c r="B40905" s="0" t="str">
        <f aca="false">HYPERLINK("https://lindat.mff.cuni.cz/services/teitok/pdtc10/index.php?action=vallex&amp;frame=v-w5625f1", "rozeznívat (v-w5625f1)")</f>
        <v>rozeznívat (v-w5625f1)</v>
      </c>
    </row>
    <row r="40906" customFormat="false" ht="12.8" hidden="false" customHeight="false" outlineLevel="0" collapsed="false">
      <c r="B40906" s="0" t="s">
        <v>7</v>
      </c>
    </row>
    <row r="40907" customFormat="false" ht="12.8" hidden="false" customHeight="false" outlineLevel="0" collapsed="false">
      <c r="B40907" s="0" t="s">
        <v>14</v>
      </c>
    </row>
    <row r="40909" customFormat="false" ht="12.8" hidden="false" customHeight="false" outlineLevel="0" collapsed="false">
      <c r="A40909" s="0" t="s">
        <v>14751</v>
      </c>
      <c r="B40909" s="0" t="str">
        <f aca="false">HYPERLINK("https://lindat.mff.cuni.cz/services/teitok/pdtc10/index.php?action=vallex&amp;frame=v-whsa_1158hsa_1159", "rozeznívat se (v-whsa_1158hsa_1159)")</f>
        <v>rozeznívat se (v-whsa_1158hsa_1159)</v>
      </c>
    </row>
    <row r="40910" customFormat="false" ht="12.8" hidden="false" customHeight="false" outlineLevel="0" collapsed="false">
      <c r="B40910" s="0" t="s">
        <v>7</v>
      </c>
    </row>
    <row r="40912" customFormat="false" ht="12.8" hidden="false" customHeight="false" outlineLevel="0" collapsed="false">
      <c r="A40912" s="0" t="s">
        <v>14752</v>
      </c>
      <c r="B40912" s="0" t="str">
        <f aca="false">HYPERLINK("https://lindat.mff.cuni.cz/services/teitok/pdtc10/index.php?action=vallex&amp;frame=v-w5626f1", "rozezvučet (v-w5626f1)")</f>
        <v>rozezvučet (v-w5626f1)</v>
      </c>
    </row>
    <row r="40913" customFormat="false" ht="12.8" hidden="false" customHeight="false" outlineLevel="0" collapsed="false">
      <c r="B40913" s="0" t="s">
        <v>7</v>
      </c>
    </row>
    <row r="40914" customFormat="false" ht="12.8" hidden="false" customHeight="false" outlineLevel="0" collapsed="false">
      <c r="B40914" s="0" t="s">
        <v>14</v>
      </c>
    </row>
    <row r="40916" customFormat="false" ht="12.8" hidden="false" customHeight="false" outlineLevel="0" collapsed="false">
      <c r="A40916" s="0" t="s">
        <v>14753</v>
      </c>
      <c r="B40916" s="0" t="str">
        <f aca="false">HYPERLINK("https://lindat.mff.cuni.cz/services/teitok/pdtc10/index.php?action=vallex&amp;frame=v-w11165f2", "rozežrat (v-w11165f2)")</f>
        <v>rozežrat (v-w11165f2)</v>
      </c>
    </row>
    <row r="40917" customFormat="false" ht="12.8" hidden="false" customHeight="false" outlineLevel="0" collapsed="false">
      <c r="B40917" s="0" t="s">
        <v>7</v>
      </c>
    </row>
    <row r="40918" customFormat="false" ht="12.8" hidden="false" customHeight="false" outlineLevel="0" collapsed="false">
      <c r="B40918" s="0" t="s">
        <v>14</v>
      </c>
    </row>
    <row r="40920" customFormat="false" ht="12.8" hidden="false" customHeight="false" outlineLevel="0" collapsed="false">
      <c r="A40920" s="0" t="s">
        <v>14754</v>
      </c>
      <c r="B40920" s="0" t="str">
        <f aca="false">HYPERLINK("https://lindat.mff.cuni.cz/services/teitok/pdtc10/index.php?action=vallex&amp;frame=v-w10479f2", "rozfázovat (v-w10479f2)")</f>
        <v>rozfázovat (v-w10479f2)</v>
      </c>
    </row>
    <row r="40921" customFormat="false" ht="12.8" hidden="false" customHeight="false" outlineLevel="0" collapsed="false">
      <c r="B40921" s="0" t="s">
        <v>7</v>
      </c>
    </row>
    <row r="40922" customFormat="false" ht="12.8" hidden="false" customHeight="false" outlineLevel="0" collapsed="false">
      <c r="B40922" s="0" t="s">
        <v>14</v>
      </c>
    </row>
    <row r="40923" customFormat="false" ht="12.8" hidden="false" customHeight="false" outlineLevel="0" collapsed="false">
      <c r="B40923" s="0" t="s">
        <v>14755</v>
      </c>
    </row>
    <row r="40925" customFormat="false" ht="12.8" hidden="false" customHeight="false" outlineLevel="0" collapsed="false">
      <c r="A40925" s="0" t="s">
        <v>14756</v>
      </c>
      <c r="B40925" s="0" t="str">
        <f aca="false">HYPERLINK("https://lindat.mff.cuni.cz/services/teitok/pdtc10/index.php?action=vallex&amp;frame=v-w10252f3", "rozhazovat (v-w10252f3)")</f>
        <v>rozhazovat (v-w10252f3)</v>
      </c>
    </row>
    <row r="40926" customFormat="false" ht="12.8" hidden="false" customHeight="false" outlineLevel="0" collapsed="false">
      <c r="B40926" s="0" t="s">
        <v>7</v>
      </c>
      <c r="C40926" s="0" t="s">
        <v>2736</v>
      </c>
    </row>
    <row r="40927" customFormat="false" ht="12.8" hidden="false" customHeight="false" outlineLevel="0" collapsed="false">
      <c r="B40927" s="0" t="s">
        <v>14</v>
      </c>
      <c r="C40927" s="0" t="s">
        <v>1315</v>
      </c>
    </row>
    <row r="40929" customFormat="false" ht="12.8" hidden="false" customHeight="false" outlineLevel="0" collapsed="false">
      <c r="A40929" s="0" t="s">
        <v>14757</v>
      </c>
      <c r="B40929" s="0" t="str">
        <f aca="false">HYPERLINK("https://lindat.mff.cuni.cz/services/teitok/pdtc10/index.php?action=vallex&amp;frame=v-w10252f2", "rozhazovat (v-w10252f2)")</f>
        <v>rozhazovat (v-w10252f2)</v>
      </c>
    </row>
    <row r="40930" customFormat="false" ht="12.8" hidden="false" customHeight="false" outlineLevel="0" collapsed="false">
      <c r="B40930" s="0" t="s">
        <v>7</v>
      </c>
    </row>
    <row r="40931" customFormat="false" ht="12.8" hidden="false" customHeight="false" outlineLevel="0" collapsed="false">
      <c r="B40931" s="0" t="s">
        <v>14</v>
      </c>
    </row>
    <row r="40933" customFormat="false" ht="12.8" hidden="false" customHeight="false" outlineLevel="0" collapsed="false">
      <c r="A40933" s="0" t="s">
        <v>14758</v>
      </c>
      <c r="B40933" s="0" t="str">
        <f aca="false">HYPERLINK("https://lindat.mff.cuni.cz/services/teitok/pdtc10/index.php?action=vallex&amp;frame=v-w10252hsa_849", "rozhazovat (v-w10252hsa_849)")</f>
        <v>rozhazovat (v-w10252hsa_849)</v>
      </c>
    </row>
    <row r="40934" customFormat="false" ht="12.8" hidden="false" customHeight="false" outlineLevel="0" collapsed="false">
      <c r="B40934" s="0" t="s">
        <v>7</v>
      </c>
    </row>
    <row r="40935" customFormat="false" ht="12.8" hidden="false" customHeight="false" outlineLevel="0" collapsed="false">
      <c r="B40935" s="0" t="s">
        <v>216</v>
      </c>
    </row>
    <row r="40937" customFormat="false" ht="12.8" hidden="false" customHeight="false" outlineLevel="0" collapsed="false">
      <c r="A40937" s="0" t="s">
        <v>14759</v>
      </c>
      <c r="B40937" s="0" t="str">
        <f aca="false">HYPERLINK("https://lindat.mff.cuni.cz/services/teitok/pdtc10/index.php?action=vallex&amp;frame=v-w11575_ZUf1_ZU", "rozhlašovat (v-w11575_ZUf1_ZU)")</f>
        <v>rozhlašovat (v-w11575_ZUf1_ZU)</v>
      </c>
    </row>
    <row r="40938" customFormat="false" ht="12.8" hidden="false" customHeight="false" outlineLevel="0" collapsed="false">
      <c r="B40938" s="0" t="s">
        <v>7</v>
      </c>
      <c r="C40938" s="0" t="s">
        <v>191</v>
      </c>
      <c r="D40938" s="0" t="s">
        <v>164</v>
      </c>
      <c r="E40938" s="0" t="s">
        <v>164</v>
      </c>
      <c r="F40938" s="0" t="s">
        <v>164</v>
      </c>
    </row>
    <row r="40939" customFormat="false" ht="12.8" hidden="false" customHeight="false" outlineLevel="0" collapsed="false">
      <c r="B40939" s="0" t="s">
        <v>244</v>
      </c>
      <c r="C40939" s="0" t="s">
        <v>155</v>
      </c>
      <c r="D40939" s="0" t="s">
        <v>167</v>
      </c>
      <c r="E40939" s="0" t="s">
        <v>167</v>
      </c>
      <c r="F40939" s="0" t="s">
        <v>167</v>
      </c>
    </row>
    <row r="40940" customFormat="false" ht="12.8" hidden="false" customHeight="false" outlineLevel="0" collapsed="false">
      <c r="B40940" s="0" t="s">
        <v>1925</v>
      </c>
      <c r="D40940" s="0" t="s">
        <v>1766</v>
      </c>
      <c r="E40940" s="0" t="s">
        <v>1766</v>
      </c>
      <c r="F40940" s="0" t="s">
        <v>1766</v>
      </c>
    </row>
    <row r="40941" customFormat="false" ht="12.8" hidden="false" customHeight="false" outlineLevel="0" collapsed="false">
      <c r="B40941" s="0" t="s">
        <v>106</v>
      </c>
      <c r="D40941" s="0" t="s">
        <v>168</v>
      </c>
      <c r="E40941" s="0" t="s">
        <v>168</v>
      </c>
      <c r="F40941" s="0" t="s">
        <v>168</v>
      </c>
    </row>
    <row r="40943" customFormat="false" ht="12.8" hidden="false" customHeight="false" outlineLevel="0" collapsed="false">
      <c r="A40943" s="0" t="s">
        <v>14760</v>
      </c>
      <c r="B40943" s="0" t="str">
        <f aca="false">HYPERLINK("https://lindat.mff.cuni.cz/services/teitok/pdtc10/index.php?action=vallex&amp;frame=v-w5629f2", "rozhlédnout se (v-w5629f2)")</f>
        <v>rozhlédnout se (v-w5629f2)</v>
      </c>
    </row>
    <row r="40944" customFormat="false" ht="12.8" hidden="false" customHeight="false" outlineLevel="0" collapsed="false">
      <c r="B40944" s="0" t="s">
        <v>7</v>
      </c>
    </row>
    <row r="40945" customFormat="false" ht="12.8" hidden="false" customHeight="false" outlineLevel="0" collapsed="false">
      <c r="B40945" s="0" t="s">
        <v>1375</v>
      </c>
    </row>
    <row r="40947" customFormat="false" ht="12.8" hidden="false" customHeight="false" outlineLevel="0" collapsed="false">
      <c r="A40947" s="0" t="s">
        <v>14761</v>
      </c>
      <c r="B40947" s="0" t="str">
        <f aca="false">HYPERLINK("https://lindat.mff.cuni.cz/services/teitok/pdtc10/index.php?action=vallex&amp;frame=v-w5629f1", "rozhlédnout se (v-w5629f1)")</f>
        <v>rozhlédnout se (v-w5629f1)</v>
      </c>
    </row>
    <row r="40948" customFormat="false" ht="12.8" hidden="false" customHeight="false" outlineLevel="0" collapsed="false">
      <c r="B40948" s="0" t="s">
        <v>7</v>
      </c>
      <c r="D40948" s="0" t="s">
        <v>191</v>
      </c>
      <c r="E40948" s="0" t="s">
        <v>191</v>
      </c>
      <c r="F40948" s="0" t="s">
        <v>191</v>
      </c>
    </row>
    <row r="40950" customFormat="false" ht="12.8" hidden="false" customHeight="false" outlineLevel="0" collapsed="false">
      <c r="A40950" s="0" t="s">
        <v>14762</v>
      </c>
      <c r="B40950" s="0" t="str">
        <f aca="false">HYPERLINK("https://lindat.mff.cuni.cz/services/teitok/pdtc10/index.php?action=vallex&amp;frame=v-w5630f1", "rozhlížet se (v-w5630f1)")</f>
        <v>rozhlížet se (v-w5630f1)</v>
      </c>
    </row>
    <row r="40951" customFormat="false" ht="12.8" hidden="false" customHeight="false" outlineLevel="0" collapsed="false">
      <c r="B40951" s="0" t="s">
        <v>7</v>
      </c>
    </row>
    <row r="40952" customFormat="false" ht="12.8" hidden="false" customHeight="false" outlineLevel="0" collapsed="false">
      <c r="B40952" s="0" t="s">
        <v>1375</v>
      </c>
    </row>
    <row r="40954" customFormat="false" ht="12.8" hidden="false" customHeight="false" outlineLevel="0" collapsed="false">
      <c r="A40954" s="0" t="s">
        <v>14763</v>
      </c>
      <c r="B40954" s="0" t="str">
        <f aca="false">HYPERLINK("https://lindat.mff.cuni.cz/services/teitok/pdtc10/index.php?action=vallex&amp;frame=v-w5630f2", "rozhlížet se (v-w5630f2)")</f>
        <v>rozhlížet se (v-w5630f2)</v>
      </c>
    </row>
    <row r="40955" customFormat="false" ht="12.8" hidden="false" customHeight="false" outlineLevel="0" collapsed="false">
      <c r="B40955" s="0" t="s">
        <v>7</v>
      </c>
      <c r="D40955" s="0" t="s">
        <v>191</v>
      </c>
      <c r="E40955" s="0" t="s">
        <v>191</v>
      </c>
      <c r="F40955" s="0" t="s">
        <v>191</v>
      </c>
    </row>
    <row r="40957" customFormat="false" ht="12.8" hidden="false" customHeight="false" outlineLevel="0" collapsed="false">
      <c r="A40957" s="0" t="s">
        <v>14764</v>
      </c>
      <c r="B40957" s="0" t="str">
        <f aca="false">HYPERLINK("https://lindat.mff.cuni.cz/services/teitok/pdtc10/index.php?action=vallex&amp;frame=v-w11367f1", "rozhněvat (v-w11367f1)")</f>
        <v>rozhněvat (v-w11367f1)</v>
      </c>
    </row>
    <row r="40958" customFormat="false" ht="12.8" hidden="false" customHeight="false" outlineLevel="0" collapsed="false">
      <c r="B40958" s="0" t="s">
        <v>7</v>
      </c>
    </row>
    <row r="40959" customFormat="false" ht="12.8" hidden="false" customHeight="false" outlineLevel="0" collapsed="false">
      <c r="B40959" s="0" t="s">
        <v>14</v>
      </c>
    </row>
    <row r="40961" customFormat="false" ht="12.8" hidden="false" customHeight="false" outlineLevel="0" collapsed="false">
      <c r="A40961" s="0" t="s">
        <v>14765</v>
      </c>
      <c r="B40961" s="0" t="str">
        <f aca="false">HYPERLINK("https://lindat.mff.cuni.cz/services/teitok/pdtc10/index.php?action=vallex&amp;frame=v-w5631f1", "rozhněvat se (v-w5631f1)")</f>
        <v>rozhněvat se (v-w5631f1)</v>
      </c>
    </row>
    <row r="40962" customFormat="false" ht="12.8" hidden="false" customHeight="false" outlineLevel="0" collapsed="false">
      <c r="B40962" s="0" t="s">
        <v>7</v>
      </c>
    </row>
    <row r="40963" customFormat="false" ht="12.8" hidden="false" customHeight="false" outlineLevel="0" collapsed="false">
      <c r="B40963" s="0" t="s">
        <v>41</v>
      </c>
    </row>
    <row r="40965" customFormat="false" ht="12.8" hidden="false" customHeight="false" outlineLevel="0" collapsed="false">
      <c r="A40965" s="0" t="s">
        <v>14766</v>
      </c>
      <c r="B40965" s="0" t="str">
        <f aca="false">HYPERLINK("https://lindat.mff.cuni.cz/services/teitok/pdtc10/index.php?action=vallex&amp;frame=v-w5632f1", "rozhodit (v-w5632f1)")</f>
        <v>rozhodit (v-w5632f1)</v>
      </c>
    </row>
    <row r="40966" customFormat="false" ht="12.8" hidden="false" customHeight="false" outlineLevel="0" collapsed="false">
      <c r="B40966" s="0" t="s">
        <v>7</v>
      </c>
      <c r="D40966" s="0" t="s">
        <v>10458</v>
      </c>
      <c r="E40966" s="0" t="s">
        <v>10458</v>
      </c>
      <c r="F40966" s="0" t="s">
        <v>10458</v>
      </c>
    </row>
    <row r="40967" customFormat="false" ht="12.8" hidden="false" customHeight="false" outlineLevel="0" collapsed="false">
      <c r="B40967" s="0" t="s">
        <v>14</v>
      </c>
      <c r="D40967" s="0" t="s">
        <v>14767</v>
      </c>
      <c r="E40967" s="0" t="s">
        <v>14767</v>
      </c>
      <c r="F40967" s="0" t="s">
        <v>14767</v>
      </c>
    </row>
    <row r="40969" customFormat="false" ht="12.8" hidden="false" customHeight="false" outlineLevel="0" collapsed="false">
      <c r="A40969" s="0" t="s">
        <v>14768</v>
      </c>
      <c r="B40969" s="0" t="str">
        <f aca="false">HYPERLINK("https://lindat.mff.cuni.cz/services/teitok/pdtc10/index.php?action=vallex&amp;frame=v-w5632f3", "rozhodit (v-w5632f3)")</f>
        <v>rozhodit (v-w5632f3)</v>
      </c>
    </row>
    <row r="40970" customFormat="false" ht="12.8" hidden="false" customHeight="false" outlineLevel="0" collapsed="false">
      <c r="B40970" s="0" t="s">
        <v>7</v>
      </c>
    </row>
    <row r="40971" customFormat="false" ht="12.8" hidden="false" customHeight="false" outlineLevel="0" collapsed="false">
      <c r="B40971" s="0" t="s">
        <v>14</v>
      </c>
    </row>
    <row r="40973" customFormat="false" ht="12.8" hidden="false" customHeight="false" outlineLevel="0" collapsed="false">
      <c r="A40973" s="0" t="s">
        <v>14769</v>
      </c>
      <c r="B40973" s="0" t="str">
        <f aca="false">HYPERLINK("https://lindat.mff.cuni.cz/services/teitok/pdtc10/index.php?action=vallex&amp;frame=v-w5632f2", "rozhodit (v-w5632f2)")</f>
        <v>rozhodit (v-w5632f2)</v>
      </c>
    </row>
    <row r="40974" customFormat="false" ht="12.8" hidden="false" customHeight="false" outlineLevel="0" collapsed="false">
      <c r="B40974" s="0" t="s">
        <v>7</v>
      </c>
    </row>
    <row r="40975" customFormat="false" ht="12.8" hidden="false" customHeight="false" outlineLevel="0" collapsed="false">
      <c r="B40975" s="0" t="s">
        <v>14</v>
      </c>
    </row>
    <row r="40977" customFormat="false" ht="12.8" hidden="false" customHeight="false" outlineLevel="0" collapsed="false">
      <c r="A40977" s="0" t="s">
        <v>14770</v>
      </c>
      <c r="B40977" s="0" t="str">
        <f aca="false">HYPERLINK("https://lindat.mff.cuni.cz/services/teitok/pdtc10/index.php?action=vallex&amp;frame=v-w5634f3", "rozhodnout (v-w5634f3)")</f>
        <v>rozhodnout (v-w5634f3)</v>
      </c>
    </row>
    <row r="40978" customFormat="false" ht="12.8" hidden="false" customHeight="false" outlineLevel="0" collapsed="false">
      <c r="B40978" s="0" t="s">
        <v>7</v>
      </c>
      <c r="C40978" s="0" t="s">
        <v>623</v>
      </c>
    </row>
    <row r="40979" customFormat="false" ht="12.8" hidden="false" customHeight="false" outlineLevel="0" collapsed="false">
      <c r="B40979" s="0" t="s">
        <v>14472</v>
      </c>
      <c r="C40979" s="0" t="s">
        <v>155</v>
      </c>
    </row>
    <row r="40980" customFormat="false" ht="12.8" hidden="false" customHeight="false" outlineLevel="0" collapsed="false">
      <c r="B40980" s="0" t="s">
        <v>14771</v>
      </c>
    </row>
    <row r="40982" customFormat="false" ht="12.8" hidden="false" customHeight="false" outlineLevel="0" collapsed="false">
      <c r="A40982" s="0" t="s">
        <v>14772</v>
      </c>
      <c r="B40982" s="0" t="str">
        <f aca="false">HYPERLINK("https://lindat.mff.cuni.cz/services/teitok/pdtc10/index.php?action=vallex&amp;frame=v-w5634f5_MM", "rozhodnout (v-w5634f5_MM)")</f>
        <v>rozhodnout (v-w5634f5_MM)</v>
      </c>
    </row>
    <row r="40983" customFormat="false" ht="12.8" hidden="false" customHeight="false" outlineLevel="0" collapsed="false">
      <c r="B40983" s="0" t="s">
        <v>14773</v>
      </c>
    </row>
    <row r="40984" customFormat="false" ht="12.8" hidden="false" customHeight="false" outlineLevel="0" collapsed="false">
      <c r="B40984" s="0" t="s">
        <v>14774</v>
      </c>
    </row>
    <row r="40986" customFormat="false" ht="12.8" hidden="false" customHeight="false" outlineLevel="0" collapsed="false">
      <c r="A40986" s="0" t="s">
        <v>14772</v>
      </c>
      <c r="B40986" s="0" t="str">
        <f aca="false">HYPERLINK("https://lindat.mff.cuni.cz/services/teitok/pdtc10/index.php?action=vallex&amp;frame=v-w5634f1", "rozhodnout (v-w5634f1) - substituted with v-w5634f5_MM")</f>
        <v>rozhodnout (v-w5634f1) - substituted with v-w5634f5_MM</v>
      </c>
    </row>
    <row r="40987" customFormat="false" ht="12.8" hidden="false" customHeight="false" outlineLevel="0" collapsed="false">
      <c r="B40987" s="0" t="s">
        <v>14773</v>
      </c>
      <c r="C40987" s="0" t="s">
        <v>14775</v>
      </c>
      <c r="D40987" s="0" t="s">
        <v>2998</v>
      </c>
      <c r="E40987" s="0" t="s">
        <v>2998</v>
      </c>
      <c r="F40987" s="0" t="s">
        <v>2998</v>
      </c>
    </row>
    <row r="40988" customFormat="false" ht="12.8" hidden="false" customHeight="false" outlineLevel="0" collapsed="false">
      <c r="B40988" s="0" t="s">
        <v>14774</v>
      </c>
      <c r="C40988" s="0" t="s">
        <v>14776</v>
      </c>
      <c r="D40988" s="0" t="s">
        <v>3001</v>
      </c>
      <c r="E40988" s="0" t="s">
        <v>3001</v>
      </c>
      <c r="F40988" s="0" t="s">
        <v>3001</v>
      </c>
    </row>
    <row r="40990" customFormat="false" ht="12.8" hidden="false" customHeight="false" outlineLevel="0" collapsed="false">
      <c r="A40990" s="0" t="s">
        <v>14777</v>
      </c>
      <c r="B40990" s="0" t="str">
        <f aca="false">HYPERLINK("https://lindat.mff.cuni.cz/services/teitok/pdtc10/index.php?action=vallex&amp;frame=v-w5634f2", "rozhodnout (v-w5634f2)")</f>
        <v>rozhodnout (v-w5634f2)</v>
      </c>
    </row>
    <row r="40991" customFormat="false" ht="12.8" hidden="false" customHeight="false" outlineLevel="0" collapsed="false">
      <c r="B40991" s="0" t="s">
        <v>7</v>
      </c>
      <c r="C40991" s="0" t="s">
        <v>8313</v>
      </c>
      <c r="D40991" s="0" t="s">
        <v>14778</v>
      </c>
      <c r="E40991" s="0" t="s">
        <v>14778</v>
      </c>
      <c r="F40991" s="0" t="s">
        <v>14778</v>
      </c>
    </row>
    <row r="40992" customFormat="false" ht="12.8" hidden="false" customHeight="false" outlineLevel="0" collapsed="false">
      <c r="B40992" s="0" t="s">
        <v>14</v>
      </c>
      <c r="C40992" s="0" t="s">
        <v>585</v>
      </c>
      <c r="D40992" s="0" t="s">
        <v>4118</v>
      </c>
      <c r="E40992" s="0" t="s">
        <v>4118</v>
      </c>
      <c r="F40992" s="0" t="s">
        <v>4118</v>
      </c>
    </row>
    <row r="40994" customFormat="false" ht="12.8" hidden="false" customHeight="false" outlineLevel="0" collapsed="false">
      <c r="A40994" s="0" t="s">
        <v>14779</v>
      </c>
      <c r="B40994" s="0" t="str">
        <f aca="false">HYPERLINK("https://lindat.mff.cuni.cz/services/teitok/pdtc10/index.php?action=vallex&amp;frame=v-w5634f4", "rozhodnout (v-w5634f4)")</f>
        <v>rozhodnout (v-w5634f4)</v>
      </c>
    </row>
    <row r="40995" customFormat="false" ht="12.8" hidden="false" customHeight="false" outlineLevel="0" collapsed="false">
      <c r="B40995" s="0" t="s">
        <v>7</v>
      </c>
      <c r="C40995" s="0" t="s">
        <v>14300</v>
      </c>
      <c r="D40995" s="0" t="s">
        <v>14778</v>
      </c>
      <c r="E40995" s="0" t="s">
        <v>14778</v>
      </c>
      <c r="F40995" s="0" t="s">
        <v>14778</v>
      </c>
    </row>
    <row r="40996" customFormat="false" ht="12.8" hidden="false" customHeight="false" outlineLevel="0" collapsed="false">
      <c r="B40996" s="0" t="s">
        <v>2607</v>
      </c>
      <c r="C40996" s="0" t="s">
        <v>14780</v>
      </c>
      <c r="D40996" s="0" t="s">
        <v>14781</v>
      </c>
      <c r="E40996" s="0" t="s">
        <v>14781</v>
      </c>
      <c r="F40996" s="0" t="s">
        <v>14781</v>
      </c>
    </row>
    <row r="40997" customFormat="false" ht="12.8" hidden="false" customHeight="false" outlineLevel="0" collapsed="false">
      <c r="B40997" s="0" t="s">
        <v>363</v>
      </c>
      <c r="D40997" s="0" t="s">
        <v>4118</v>
      </c>
      <c r="E40997" s="0" t="s">
        <v>4118</v>
      </c>
      <c r="F40997" s="0" t="s">
        <v>4118</v>
      </c>
    </row>
    <row r="40999" customFormat="false" ht="12.8" hidden="false" customHeight="false" outlineLevel="0" collapsed="false">
      <c r="A40999" s="0" t="s">
        <v>14782</v>
      </c>
      <c r="B40999" s="0" t="str">
        <f aca="false">HYPERLINK("https://lindat.mff.cuni.cz/services/teitok/pdtc10/index.php?action=vallex&amp;frame=v-w5635f2", "rozhodnout se (v-w5635f2)")</f>
        <v>rozhodnout se (v-w5635f2)</v>
      </c>
    </row>
    <row r="41000" customFormat="false" ht="12.8" hidden="false" customHeight="false" outlineLevel="0" collapsed="false">
      <c r="B41000" s="0" t="s">
        <v>7</v>
      </c>
      <c r="C41000" s="0" t="s">
        <v>14783</v>
      </c>
      <c r="D41000" s="0" t="s">
        <v>14784</v>
      </c>
      <c r="E41000" s="0" t="s">
        <v>14784</v>
      </c>
      <c r="F41000" s="0" t="s">
        <v>14784</v>
      </c>
    </row>
    <row r="41001" customFormat="false" ht="12.8" hidden="false" customHeight="false" outlineLevel="0" collapsed="false">
      <c r="B41001" s="0" t="s">
        <v>1685</v>
      </c>
      <c r="C41001" s="0" t="s">
        <v>14785</v>
      </c>
      <c r="D41001" s="0" t="s">
        <v>14786</v>
      </c>
      <c r="E41001" s="0" t="s">
        <v>14786</v>
      </c>
      <c r="F41001" s="0" t="s">
        <v>14786</v>
      </c>
    </row>
    <row r="41002" customFormat="false" ht="12.8" hidden="false" customHeight="false" outlineLevel="0" collapsed="false">
      <c r="B41002" s="0" t="s">
        <v>14787</v>
      </c>
      <c r="C41002" s="0" t="s">
        <v>14788</v>
      </c>
      <c r="D41002" s="0" t="s">
        <v>14789</v>
      </c>
      <c r="E41002" s="0" t="s">
        <v>14789</v>
      </c>
      <c r="F41002" s="0" t="s">
        <v>14789</v>
      </c>
    </row>
    <row r="41004" customFormat="false" ht="12.8" hidden="false" customHeight="false" outlineLevel="0" collapsed="false">
      <c r="A41004" s="0" t="s">
        <v>14790</v>
      </c>
      <c r="B41004" s="0" t="str">
        <f aca="false">HYPERLINK("https://lindat.mff.cuni.cz/services/teitok/pdtc10/index.php?action=vallex&amp;frame=v-w5635f1", "rozhodnout se (v-w5635f1)")</f>
        <v>rozhodnout se (v-w5635f1)</v>
      </c>
    </row>
    <row r="41005" customFormat="false" ht="12.8" hidden="false" customHeight="false" outlineLevel="0" collapsed="false">
      <c r="B41005" s="0" t="s">
        <v>12781</v>
      </c>
      <c r="C41005" s="0" t="s">
        <v>14791</v>
      </c>
      <c r="D41005" s="0" t="s">
        <v>14792</v>
      </c>
      <c r="E41005" s="0" t="s">
        <v>14792</v>
      </c>
      <c r="F41005" s="0" t="s">
        <v>14792</v>
      </c>
    </row>
    <row r="41006" customFormat="false" ht="12.8" hidden="false" customHeight="false" outlineLevel="0" collapsed="false">
      <c r="B41006" s="0" t="s">
        <v>14793</v>
      </c>
      <c r="C41006" s="0" t="s">
        <v>14794</v>
      </c>
      <c r="D41006" s="0" t="s">
        <v>14795</v>
      </c>
      <c r="E41006" s="0" t="s">
        <v>14795</v>
      </c>
      <c r="F41006" s="0" t="s">
        <v>14795</v>
      </c>
    </row>
    <row r="41008" customFormat="false" ht="12.8" hidden="false" customHeight="false" outlineLevel="0" collapsed="false">
      <c r="A41008" s="0" t="s">
        <v>14796</v>
      </c>
      <c r="B41008" s="0" t="str">
        <f aca="false">HYPERLINK("https://lindat.mff.cuni.cz/services/teitok/pdtc10/index.php?action=vallex&amp;frame=v-w5635f3", "rozhodnout se (v-w5635f3)")</f>
        <v>rozhodnout se (v-w5635f3)</v>
      </c>
    </row>
    <row r="41009" customFormat="false" ht="12.8" hidden="false" customHeight="false" outlineLevel="0" collapsed="false">
      <c r="B41009" s="0" t="s">
        <v>7</v>
      </c>
      <c r="C41009" s="0" t="s">
        <v>12096</v>
      </c>
      <c r="D41009" s="0" t="s">
        <v>14792</v>
      </c>
      <c r="E41009" s="0" t="s">
        <v>14792</v>
      </c>
      <c r="F41009" s="0" t="s">
        <v>14792</v>
      </c>
    </row>
    <row r="41010" customFormat="false" ht="12.8" hidden="false" customHeight="false" outlineLevel="0" collapsed="false">
      <c r="B41010" s="0" t="s">
        <v>552</v>
      </c>
      <c r="C41010" s="0" t="s">
        <v>14797</v>
      </c>
    </row>
    <row r="41011" customFormat="false" ht="12.8" hidden="false" customHeight="false" outlineLevel="0" collapsed="false">
      <c r="B41011" s="0" t="s">
        <v>474</v>
      </c>
      <c r="C41011" s="0" t="s">
        <v>14798</v>
      </c>
    </row>
    <row r="41012" customFormat="false" ht="12.8" hidden="false" customHeight="false" outlineLevel="0" collapsed="false">
      <c r="B41012" s="0" t="s">
        <v>479</v>
      </c>
    </row>
    <row r="41013" customFormat="false" ht="12.8" hidden="false" customHeight="false" outlineLevel="0" collapsed="false">
      <c r="B41013" s="0" t="s">
        <v>481</v>
      </c>
    </row>
    <row r="41014" customFormat="false" ht="12.8" hidden="false" customHeight="false" outlineLevel="0" collapsed="false">
      <c r="B41014" s="0" t="s">
        <v>483</v>
      </c>
    </row>
    <row r="41016" customFormat="false" ht="12.8" hidden="false" customHeight="false" outlineLevel="0" collapsed="false">
      <c r="A41016" s="0" t="s">
        <v>14799</v>
      </c>
      <c r="B41016" s="0" t="str">
        <f aca="false">HYPERLINK("https://lindat.mff.cuni.cz/services/teitok/pdtc10/index.php?action=vallex&amp;frame=v-w5638f4", "rozhodovat (v-w5638f4)")</f>
        <v>rozhodovat (v-w5638f4)</v>
      </c>
    </row>
    <row r="41017" customFormat="false" ht="12.8" hidden="false" customHeight="false" outlineLevel="0" collapsed="false">
      <c r="B41017" s="0" t="s">
        <v>7</v>
      </c>
    </row>
    <row r="41018" customFormat="false" ht="12.8" hidden="false" customHeight="false" outlineLevel="0" collapsed="false">
      <c r="B41018" s="0" t="s">
        <v>14472</v>
      </c>
    </row>
    <row r="41019" customFormat="false" ht="12.8" hidden="false" customHeight="false" outlineLevel="0" collapsed="false">
      <c r="B41019" s="0" t="s">
        <v>14771</v>
      </c>
    </row>
    <row r="41021" customFormat="false" ht="12.8" hidden="false" customHeight="false" outlineLevel="0" collapsed="false">
      <c r="A41021" s="0" t="s">
        <v>14800</v>
      </c>
      <c r="B41021" s="0" t="str">
        <f aca="false">HYPERLINK("https://lindat.mff.cuni.cz/services/teitok/pdtc10/index.php?action=vallex&amp;frame=v-w5638hsa_1472", "rozhodovat (v-w5638hsa_1472)")</f>
        <v>rozhodovat (v-w5638hsa_1472)</v>
      </c>
    </row>
    <row r="41022" customFormat="false" ht="12.8" hidden="false" customHeight="false" outlineLevel="0" collapsed="false">
      <c r="B41022" s="0" t="s">
        <v>14801</v>
      </c>
    </row>
    <row r="41023" customFormat="false" ht="12.8" hidden="false" customHeight="false" outlineLevel="0" collapsed="false">
      <c r="B41023" s="0" t="s">
        <v>14802</v>
      </c>
    </row>
    <row r="41025" customFormat="false" ht="12.8" hidden="false" customHeight="false" outlineLevel="0" collapsed="false">
      <c r="A41025" s="0" t="s">
        <v>14800</v>
      </c>
      <c r="B41025" s="0" t="str">
        <f aca="false">HYPERLINK("https://lindat.mff.cuni.cz/services/teitok/pdtc10/index.php?action=vallex&amp;frame=v-w5638f1", "rozhodovat (v-w5638f1) - substituted with v-w5638hsa_1472")</f>
        <v>rozhodovat (v-w5638f1) - substituted with v-w5638hsa_1472</v>
      </c>
    </row>
    <row r="41026" customFormat="false" ht="12.8" hidden="false" customHeight="false" outlineLevel="0" collapsed="false">
      <c r="B41026" s="0" t="s">
        <v>14801</v>
      </c>
      <c r="C41026" s="0" t="s">
        <v>14803</v>
      </c>
      <c r="D41026" s="0" t="s">
        <v>2998</v>
      </c>
      <c r="E41026" s="0" t="s">
        <v>2998</v>
      </c>
      <c r="F41026" s="0" t="s">
        <v>2998</v>
      </c>
    </row>
    <row r="41027" customFormat="false" ht="12.8" hidden="false" customHeight="false" outlineLevel="0" collapsed="false">
      <c r="B41027" s="0" t="s">
        <v>14802</v>
      </c>
      <c r="C41027" s="0" t="s">
        <v>14804</v>
      </c>
      <c r="D41027" s="0" t="s">
        <v>3001</v>
      </c>
      <c r="E41027" s="0" t="s">
        <v>3001</v>
      </c>
      <c r="F41027" s="0" t="s">
        <v>3001</v>
      </c>
    </row>
    <row r="41029" customFormat="false" ht="12.8" hidden="false" customHeight="false" outlineLevel="0" collapsed="false">
      <c r="A41029" s="0" t="s">
        <v>14805</v>
      </c>
      <c r="B41029" s="0" t="str">
        <f aca="false">HYPERLINK("https://lindat.mff.cuni.cz/services/teitok/pdtc10/index.php?action=vallex&amp;frame=v-w5638f2", "rozhodovat (v-w5638f2)")</f>
        <v>rozhodovat (v-w5638f2)</v>
      </c>
    </row>
    <row r="41030" customFormat="false" ht="12.8" hidden="false" customHeight="false" outlineLevel="0" collapsed="false">
      <c r="B41030" s="0" t="s">
        <v>7</v>
      </c>
      <c r="D41030" s="0" t="s">
        <v>14778</v>
      </c>
      <c r="E41030" s="0" t="s">
        <v>14778</v>
      </c>
      <c r="F41030" s="0" t="s">
        <v>14778</v>
      </c>
    </row>
    <row r="41031" customFormat="false" ht="12.8" hidden="false" customHeight="false" outlineLevel="0" collapsed="false">
      <c r="B41031" s="0" t="s">
        <v>14</v>
      </c>
      <c r="D41031" s="0" t="s">
        <v>4118</v>
      </c>
      <c r="E41031" s="0" t="s">
        <v>4118</v>
      </c>
      <c r="F41031" s="0" t="s">
        <v>4118</v>
      </c>
    </row>
    <row r="41033" customFormat="false" ht="12.8" hidden="false" customHeight="false" outlineLevel="0" collapsed="false">
      <c r="A41033" s="0" t="s">
        <v>14806</v>
      </c>
      <c r="B41033" s="0" t="str">
        <f aca="false">HYPERLINK("https://lindat.mff.cuni.cz/services/teitok/pdtc10/index.php?action=vallex&amp;frame=v-w5638f3", "rozhodovat (v-w5638f3)")</f>
        <v>rozhodovat (v-w5638f3)</v>
      </c>
    </row>
    <row r="41034" customFormat="false" ht="12.8" hidden="false" customHeight="false" outlineLevel="0" collapsed="false">
      <c r="B41034" s="0" t="s">
        <v>7</v>
      </c>
      <c r="D41034" s="0" t="s">
        <v>14778</v>
      </c>
      <c r="E41034" s="0" t="s">
        <v>14778</v>
      </c>
      <c r="F41034" s="0" t="s">
        <v>14778</v>
      </c>
    </row>
    <row r="41035" customFormat="false" ht="12.8" hidden="false" customHeight="false" outlineLevel="0" collapsed="false">
      <c r="B41035" s="0" t="s">
        <v>2607</v>
      </c>
      <c r="D41035" s="0" t="s">
        <v>14781</v>
      </c>
      <c r="E41035" s="0" t="s">
        <v>14781</v>
      </c>
      <c r="F41035" s="0" t="s">
        <v>14781</v>
      </c>
    </row>
    <row r="41036" customFormat="false" ht="12.8" hidden="false" customHeight="false" outlineLevel="0" collapsed="false">
      <c r="B41036" s="0" t="s">
        <v>363</v>
      </c>
      <c r="D41036" s="0" t="s">
        <v>4118</v>
      </c>
      <c r="E41036" s="0" t="s">
        <v>4118</v>
      </c>
      <c r="F41036" s="0" t="s">
        <v>4118</v>
      </c>
    </row>
    <row r="41038" customFormat="false" ht="12.8" hidden="false" customHeight="false" outlineLevel="0" collapsed="false">
      <c r="A41038" s="0" t="s">
        <v>14807</v>
      </c>
      <c r="B41038" s="0" t="str">
        <f aca="false">HYPERLINK("https://lindat.mff.cuni.cz/services/teitok/pdtc10/index.php?action=vallex&amp;frame=v-w5639f1", "rozhodovat se (v-w5639f1)")</f>
        <v>rozhodovat se (v-w5639f1)</v>
      </c>
    </row>
    <row r="41039" customFormat="false" ht="12.8" hidden="false" customHeight="false" outlineLevel="0" collapsed="false">
      <c r="B41039" s="0" t="s">
        <v>7</v>
      </c>
      <c r="C41039" s="0" t="s">
        <v>113</v>
      </c>
      <c r="D41039" s="0" t="s">
        <v>14784</v>
      </c>
      <c r="E41039" s="0" t="s">
        <v>14784</v>
      </c>
      <c r="F41039" s="0" t="s">
        <v>14784</v>
      </c>
    </row>
    <row r="41040" customFormat="false" ht="12.8" hidden="false" customHeight="false" outlineLevel="0" collapsed="false">
      <c r="B41040" s="0" t="s">
        <v>1685</v>
      </c>
      <c r="D41040" s="0" t="s">
        <v>14786</v>
      </c>
      <c r="E41040" s="0" t="s">
        <v>14786</v>
      </c>
      <c r="F41040" s="0" t="s">
        <v>14786</v>
      </c>
    </row>
    <row r="41041" customFormat="false" ht="12.8" hidden="false" customHeight="false" outlineLevel="0" collapsed="false">
      <c r="B41041" s="0" t="s">
        <v>14787</v>
      </c>
      <c r="D41041" s="0" t="s">
        <v>14789</v>
      </c>
      <c r="E41041" s="0" t="s">
        <v>14789</v>
      </c>
      <c r="F41041" s="0" t="s">
        <v>14789</v>
      </c>
    </row>
    <row r="41043" customFormat="false" ht="12.8" hidden="false" customHeight="false" outlineLevel="0" collapsed="false">
      <c r="A41043" s="0" t="s">
        <v>14808</v>
      </c>
      <c r="B41043" s="0" t="str">
        <f aca="false">HYPERLINK("https://lindat.mff.cuni.cz/services/teitok/pdtc10/index.php?action=vallex&amp;frame=v-w5639f2", "rozhodovat se (v-w5639f2)")</f>
        <v>rozhodovat se (v-w5639f2)</v>
      </c>
    </row>
    <row r="41044" customFormat="false" ht="12.8" hidden="false" customHeight="false" outlineLevel="0" collapsed="false">
      <c r="B41044" s="0" t="s">
        <v>7</v>
      </c>
      <c r="C41044" s="0" t="s">
        <v>4179</v>
      </c>
    </row>
    <row r="41045" customFormat="false" ht="12.8" hidden="false" customHeight="false" outlineLevel="0" collapsed="false">
      <c r="B41045" s="0" t="s">
        <v>14793</v>
      </c>
      <c r="C41045" s="0" t="s">
        <v>9367</v>
      </c>
    </row>
    <row r="41047" customFormat="false" ht="12.8" hidden="false" customHeight="false" outlineLevel="0" collapsed="false">
      <c r="A41047" s="0" t="s">
        <v>14809</v>
      </c>
      <c r="B41047" s="0" t="str">
        <f aca="false">HYPERLINK("https://lindat.mff.cuni.cz/services/teitok/pdtc10/index.php?action=vallex&amp;frame=v-w5642f1", "rozhorlit se (v-w5642f1)")</f>
        <v>rozhorlit se (v-w5642f1)</v>
      </c>
    </row>
    <row r="41048" customFormat="false" ht="12.8" hidden="false" customHeight="false" outlineLevel="0" collapsed="false">
      <c r="B41048" s="0" t="s">
        <v>7</v>
      </c>
    </row>
    <row r="41050" customFormat="false" ht="12.8" hidden="false" customHeight="false" outlineLevel="0" collapsed="false">
      <c r="A41050" s="0" t="s">
        <v>14810</v>
      </c>
      <c r="B41050" s="0" t="str">
        <f aca="false">HYPERLINK("https://lindat.mff.cuni.cz/services/teitok/pdtc10/index.php?action=vallex&amp;frame=v-w5648f1", "rozhostit se (v-w5648f1)")</f>
        <v>rozhostit se (v-w5648f1)</v>
      </c>
    </row>
    <row r="41051" customFormat="false" ht="12.8" hidden="false" customHeight="false" outlineLevel="0" collapsed="false">
      <c r="B41051" s="0" t="s">
        <v>7</v>
      </c>
      <c r="D41051" s="0" t="s">
        <v>14811</v>
      </c>
      <c r="E41051" s="0" t="s">
        <v>14811</v>
      </c>
      <c r="F41051" s="0" t="s">
        <v>14811</v>
      </c>
    </row>
    <row r="41053" customFormat="false" ht="12.8" hidden="false" customHeight="false" outlineLevel="0" collapsed="false">
      <c r="A41053" s="0" t="s">
        <v>14812</v>
      </c>
      <c r="B41053" s="0" t="str">
        <f aca="false">HYPERLINK("https://lindat.mff.cuni.cz/services/teitok/pdtc10/index.php?action=vallex&amp;frame=v-whsa_497hsa_498", "rozhoupat (v-whsa_497hsa_498)")</f>
        <v>rozhoupat (v-whsa_497hsa_498)</v>
      </c>
    </row>
    <row r="41054" customFormat="false" ht="12.8" hidden="false" customHeight="false" outlineLevel="0" collapsed="false">
      <c r="B41054" s="0" t="s">
        <v>7</v>
      </c>
    </row>
    <row r="41055" customFormat="false" ht="12.8" hidden="false" customHeight="false" outlineLevel="0" collapsed="false">
      <c r="B41055" s="0" t="s">
        <v>14</v>
      </c>
    </row>
    <row r="41057" customFormat="false" ht="12.8" hidden="false" customHeight="false" outlineLevel="0" collapsed="false">
      <c r="A41057" s="0" t="s">
        <v>14813</v>
      </c>
      <c r="B41057" s="0" t="str">
        <f aca="false">HYPERLINK("https://lindat.mff.cuni.cz/services/teitok/pdtc10/index.php?action=vallex&amp;frame=v-w5649f1", "rozhoupat se (v-w5649f1)")</f>
        <v>rozhoupat se (v-w5649f1)</v>
      </c>
    </row>
    <row r="41058" customFormat="false" ht="12.8" hidden="false" customHeight="false" outlineLevel="0" collapsed="false">
      <c r="B41058" s="0" t="s">
        <v>7</v>
      </c>
    </row>
    <row r="41059" customFormat="false" ht="12.8" hidden="false" customHeight="false" outlineLevel="0" collapsed="false">
      <c r="B41059" s="0" t="s">
        <v>237</v>
      </c>
    </row>
    <row r="41061" customFormat="false" ht="12.8" hidden="false" customHeight="false" outlineLevel="0" collapsed="false">
      <c r="A41061" s="0" t="s">
        <v>14814</v>
      </c>
      <c r="B41061" s="0" t="str">
        <f aca="false">HYPERLINK("https://lindat.mff.cuni.cz/services/teitok/pdtc10/index.php?action=vallex&amp;frame=v-w5649f2", "rozhoupat se (v-w5649f2)")</f>
        <v>rozhoupat se (v-w5649f2)</v>
      </c>
    </row>
    <row r="41062" customFormat="false" ht="12.8" hidden="false" customHeight="false" outlineLevel="0" collapsed="false">
      <c r="B41062" s="0" t="s">
        <v>7</v>
      </c>
    </row>
    <row r="41063" customFormat="false" ht="12.8" hidden="false" customHeight="false" outlineLevel="0" collapsed="false">
      <c r="B41063" s="0" t="s">
        <v>1685</v>
      </c>
    </row>
    <row r="41065" customFormat="false" ht="12.8" hidden="false" customHeight="false" outlineLevel="0" collapsed="false">
      <c r="A41065" s="0" t="s">
        <v>14815</v>
      </c>
      <c r="B41065" s="0" t="str">
        <f aca="false">HYPERLINK("https://lindat.mff.cuni.cz/services/teitok/pdtc10/index.php?action=vallex&amp;frame=v-w5649hsa_1182", "rozhoupat se (v-w5649hsa_1182)")</f>
        <v>rozhoupat se (v-w5649hsa_1182)</v>
      </c>
    </row>
    <row r="41066" customFormat="false" ht="12.8" hidden="false" customHeight="false" outlineLevel="0" collapsed="false">
      <c r="B41066" s="0" t="s">
        <v>7</v>
      </c>
    </row>
    <row r="41068" customFormat="false" ht="12.8" hidden="false" customHeight="false" outlineLevel="0" collapsed="false">
      <c r="A41068" s="0" t="s">
        <v>14816</v>
      </c>
      <c r="B41068" s="0" t="str">
        <f aca="false">HYPERLINK("https://lindat.mff.cuni.cz/services/teitok/pdtc10/index.php?action=vallex&amp;frame=v-w5649f3_ZU", "rozhoupat se (v-w5649f3_ZU)")</f>
        <v>rozhoupat se (v-w5649f3_ZU)</v>
      </c>
    </row>
    <row r="41069" customFormat="false" ht="12.8" hidden="false" customHeight="false" outlineLevel="0" collapsed="false">
      <c r="B41069" s="0" t="s">
        <v>7</v>
      </c>
      <c r="C41069" s="0" t="s">
        <v>272</v>
      </c>
    </row>
    <row r="41071" customFormat="false" ht="12.8" hidden="false" customHeight="false" outlineLevel="0" collapsed="false">
      <c r="A41071" s="0" t="s">
        <v>14816</v>
      </c>
      <c r="B41071" s="0" t="str">
        <f aca="false">HYPERLINK("https://lindat.mff.cuni.cz/services/teitok/pdtc10/index.php?action=vallex&amp;frame=v-w5649hsa_1183", "rozhoupat se (v-w5649hsa_1183) - substituted with v-w5649f3_ZU")</f>
        <v>rozhoupat se (v-w5649hsa_1183) - substituted with v-w5649f3_ZU</v>
      </c>
    </row>
    <row r="41072" customFormat="false" ht="12.8" hidden="false" customHeight="false" outlineLevel="0" collapsed="false">
      <c r="B41072" s="0" t="s">
        <v>7</v>
      </c>
    </row>
    <row r="41074" customFormat="false" ht="12.8" hidden="false" customHeight="false" outlineLevel="0" collapsed="false">
      <c r="A41074" s="0" t="s">
        <v>14817</v>
      </c>
      <c r="B41074" s="0" t="str">
        <f aca="false">HYPERLINK("https://lindat.mff.cuni.cz/services/teitok/pdtc10/index.php?action=vallex&amp;frame=v-w5651f1", "rozhovořit se (v-w5651f1)")</f>
        <v>rozhovořit se (v-w5651f1)</v>
      </c>
    </row>
    <row r="41075" customFormat="false" ht="12.8" hidden="false" customHeight="false" outlineLevel="0" collapsed="false">
      <c r="B41075" s="0" t="s">
        <v>7</v>
      </c>
      <c r="C41075" s="0" t="s">
        <v>1263</v>
      </c>
    </row>
    <row r="41076" customFormat="false" ht="12.8" hidden="false" customHeight="false" outlineLevel="0" collapsed="false">
      <c r="B41076" s="0" t="s">
        <v>363</v>
      </c>
      <c r="C41076" s="0" t="s">
        <v>120</v>
      </c>
    </row>
    <row r="41078" customFormat="false" ht="12.8" hidden="false" customHeight="false" outlineLevel="0" collapsed="false">
      <c r="A41078" s="0" t="s">
        <v>14818</v>
      </c>
      <c r="B41078" s="0" t="str">
        <f aca="false">HYPERLINK("https://lindat.mff.cuni.cz/services/teitok/pdtc10/index.php?action=vallex&amp;frame=v-w5647f1", "rozhořet se (v-w5647f1)")</f>
        <v>rozhořet se (v-w5647f1)</v>
      </c>
    </row>
    <row r="41079" customFormat="false" ht="12.8" hidden="false" customHeight="false" outlineLevel="0" collapsed="false">
      <c r="B41079" s="0" t="s">
        <v>7</v>
      </c>
    </row>
    <row r="41080" customFormat="false" ht="12.8" hidden="false" customHeight="false" outlineLevel="0" collapsed="false">
      <c r="B41080" s="0" t="s">
        <v>3950</v>
      </c>
    </row>
    <row r="41081" customFormat="false" ht="12.8" hidden="false" customHeight="false" outlineLevel="0" collapsed="false">
      <c r="B41081" s="0" t="s">
        <v>35</v>
      </c>
    </row>
    <row r="41083" customFormat="false" ht="12.8" hidden="false" customHeight="false" outlineLevel="0" collapsed="false">
      <c r="A41083" s="0" t="s">
        <v>14819</v>
      </c>
      <c r="B41083" s="0" t="str">
        <f aca="false">HYPERLINK("https://lindat.mff.cuni.cz/services/teitok/pdtc10/index.php?action=vallex&amp;frame=v-w5644f1", "rozhořčit (v-w5644f1)")</f>
        <v>rozhořčit (v-w5644f1)</v>
      </c>
    </row>
    <row r="41084" customFormat="false" ht="12.8" hidden="false" customHeight="false" outlineLevel="0" collapsed="false">
      <c r="B41084" s="0" t="s">
        <v>641</v>
      </c>
      <c r="C41084" s="0" t="s">
        <v>623</v>
      </c>
      <c r="D41084" s="0" t="s">
        <v>46</v>
      </c>
      <c r="E41084" s="0" t="s">
        <v>46</v>
      </c>
      <c r="F41084" s="0" t="s">
        <v>46</v>
      </c>
    </row>
    <row r="41085" customFormat="false" ht="12.8" hidden="false" customHeight="false" outlineLevel="0" collapsed="false">
      <c r="B41085" s="0" t="s">
        <v>14</v>
      </c>
      <c r="C41085" s="0" t="s">
        <v>74</v>
      </c>
      <c r="D41085" s="0" t="s">
        <v>567</v>
      </c>
      <c r="E41085" s="0" t="s">
        <v>567</v>
      </c>
      <c r="F41085" s="0" t="s">
        <v>567</v>
      </c>
    </row>
    <row r="41087" customFormat="false" ht="12.8" hidden="false" customHeight="false" outlineLevel="0" collapsed="false">
      <c r="A41087" s="0" t="s">
        <v>14820</v>
      </c>
      <c r="B41087" s="0" t="str">
        <f aca="false">HYPERLINK("https://lindat.mff.cuni.cz/services/teitok/pdtc10/index.php?action=vallex&amp;frame=v-w5645f1", "rozhořčovat se (v-w5645f1)")</f>
        <v>rozhořčovat se (v-w5645f1)</v>
      </c>
    </row>
    <row r="41088" customFormat="false" ht="12.8" hidden="false" customHeight="false" outlineLevel="0" collapsed="false">
      <c r="B41088" s="0" t="s">
        <v>7</v>
      </c>
    </row>
    <row r="41090" customFormat="false" ht="12.8" hidden="false" customHeight="false" outlineLevel="0" collapsed="false">
      <c r="A41090" s="0" t="s">
        <v>14821</v>
      </c>
      <c r="B41090" s="0" t="str">
        <f aca="false">HYPERLINK("https://lindat.mff.cuni.cz/services/teitok/pdtc10/index.php?action=vallex&amp;frame=v-w11390f1", "rozhádat se (v-w11390f1)")</f>
        <v>rozhádat se (v-w11390f1)</v>
      </c>
    </row>
    <row r="41091" customFormat="false" ht="12.8" hidden="false" customHeight="false" outlineLevel="0" collapsed="false">
      <c r="B41091" s="0" t="s">
        <v>7</v>
      </c>
      <c r="C41091" s="0" t="s">
        <v>335</v>
      </c>
      <c r="D41091" s="0" t="s">
        <v>108</v>
      </c>
      <c r="E41091" s="0" t="s">
        <v>108</v>
      </c>
      <c r="F41091" s="0" t="s">
        <v>108</v>
      </c>
    </row>
    <row r="41092" customFormat="false" ht="12.8" hidden="false" customHeight="false" outlineLevel="0" collapsed="false">
      <c r="B41092" s="0" t="s">
        <v>207</v>
      </c>
    </row>
    <row r="41093" customFormat="false" ht="12.8" hidden="false" customHeight="false" outlineLevel="0" collapsed="false">
      <c r="B41093" s="0" t="s">
        <v>363</v>
      </c>
      <c r="D41093" s="0" t="s">
        <v>1809</v>
      </c>
      <c r="E41093" s="0" t="s">
        <v>1809</v>
      </c>
      <c r="F41093" s="0" t="s">
        <v>1809</v>
      </c>
    </row>
    <row r="41095" customFormat="false" ht="12.8" hidden="false" customHeight="false" outlineLevel="0" collapsed="false">
      <c r="A41095" s="0" t="s">
        <v>14822</v>
      </c>
      <c r="B41095" s="0" t="str">
        <f aca="false">HYPERLINK("https://lindat.mff.cuni.cz/services/teitok/pdtc10/index.php?action=vallex&amp;frame=v-w11243f1", "rozházet (v-w11243f1)")</f>
        <v>rozházet (v-w11243f1)</v>
      </c>
    </row>
    <row r="41096" customFormat="false" ht="12.8" hidden="false" customHeight="false" outlineLevel="0" collapsed="false">
      <c r="B41096" s="0" t="s">
        <v>7</v>
      </c>
      <c r="D41096" s="0" t="s">
        <v>10458</v>
      </c>
      <c r="E41096" s="0" t="s">
        <v>10458</v>
      </c>
      <c r="F41096" s="0" t="s">
        <v>10458</v>
      </c>
    </row>
    <row r="41097" customFormat="false" ht="12.8" hidden="false" customHeight="false" outlineLevel="0" collapsed="false">
      <c r="B41097" s="0" t="s">
        <v>14</v>
      </c>
      <c r="D41097" s="0" t="s">
        <v>14767</v>
      </c>
      <c r="E41097" s="0" t="s">
        <v>14767</v>
      </c>
      <c r="F41097" s="0" t="s">
        <v>14767</v>
      </c>
    </row>
    <row r="41099" customFormat="false" ht="12.8" hidden="false" customHeight="false" outlineLevel="0" collapsed="false">
      <c r="A41099" s="0" t="s">
        <v>14823</v>
      </c>
      <c r="B41099" s="0" t="str">
        <f aca="false">HYPERLINK("https://lindat.mff.cuni.cz/services/teitok/pdtc10/index.php?action=vallex&amp;frame=v-w11243f2_ZU", "rozházet (v-w11243f2_ZU)")</f>
        <v>rozházet (v-w11243f2_ZU)</v>
      </c>
    </row>
    <row r="41100" customFormat="false" ht="12.8" hidden="false" customHeight="false" outlineLevel="0" collapsed="false">
      <c r="B41100" s="0" t="s">
        <v>7</v>
      </c>
      <c r="C41100" s="0" t="s">
        <v>46</v>
      </c>
      <c r="D41100" s="0" t="s">
        <v>184</v>
      </c>
      <c r="E41100" s="0" t="s">
        <v>184</v>
      </c>
      <c r="F41100" s="0" t="s">
        <v>184</v>
      </c>
    </row>
    <row r="41101" customFormat="false" ht="12.8" hidden="false" customHeight="false" outlineLevel="0" collapsed="false">
      <c r="B41101" s="0" t="s">
        <v>14</v>
      </c>
      <c r="C41101" s="0" t="s">
        <v>115</v>
      </c>
      <c r="D41101" s="0" t="s">
        <v>384</v>
      </c>
      <c r="E41101" s="0" t="s">
        <v>384</v>
      </c>
      <c r="F41101" s="0" t="s">
        <v>384</v>
      </c>
    </row>
    <row r="41103" customFormat="false" ht="12.8" hidden="false" customHeight="false" outlineLevel="0" collapsed="false">
      <c r="A41103" s="0" t="s">
        <v>14824</v>
      </c>
      <c r="B41103" s="0" t="str">
        <f aca="false">HYPERLINK("https://lindat.mff.cuni.cz/services/teitok/pdtc10/index.php?action=vallex&amp;frame=v-w11243hsa_476", "rozházet (v-w11243hsa_476)")</f>
        <v>rozházet (v-w11243hsa_476)</v>
      </c>
    </row>
    <row r="41104" customFormat="false" ht="12.8" hidden="false" customHeight="false" outlineLevel="0" collapsed="false">
      <c r="B41104" s="0" t="s">
        <v>7</v>
      </c>
    </row>
    <row r="41105" customFormat="false" ht="12.8" hidden="false" customHeight="false" outlineLevel="0" collapsed="false">
      <c r="B41105" s="0" t="s">
        <v>14</v>
      </c>
    </row>
    <row r="41107" customFormat="false" ht="12.8" hidden="false" customHeight="false" outlineLevel="0" collapsed="false">
      <c r="A41107" s="0" t="s">
        <v>14825</v>
      </c>
      <c r="B41107" s="0" t="str">
        <f aca="false">HYPERLINK("https://lindat.mff.cuni.cz/services/teitok/pdtc10/index.php?action=vallex&amp;frame=v-w5627f1", "rozházet si (v-w5627f1)")</f>
        <v>rozházet si (v-w5627f1)</v>
      </c>
    </row>
    <row r="41108" customFormat="false" ht="12.8" hidden="false" customHeight="false" outlineLevel="0" collapsed="false">
      <c r="B41108" s="0" t="s">
        <v>7</v>
      </c>
    </row>
    <row r="41109" customFormat="false" ht="12.8" hidden="false" customHeight="false" outlineLevel="0" collapsed="false">
      <c r="B41109" s="0" t="s">
        <v>525</v>
      </c>
    </row>
    <row r="41110" customFormat="false" ht="12.8" hidden="false" customHeight="false" outlineLevel="0" collapsed="false">
      <c r="B41110" s="0" t="s">
        <v>548</v>
      </c>
    </row>
    <row r="41112" customFormat="false" ht="12.8" hidden="false" customHeight="false" outlineLevel="0" collapsed="false">
      <c r="A41112" s="0" t="s">
        <v>14826</v>
      </c>
      <c r="B41112" s="0" t="str">
        <f aca="false">HYPERLINK("https://lindat.mff.cuni.cz/services/teitok/pdtc10/index.php?action=vallex&amp;frame=v-w5654f1", "rozhýbat (v-w5654f1)")</f>
        <v>rozhýbat (v-w5654f1)</v>
      </c>
    </row>
    <row r="41113" customFormat="false" ht="12.8" hidden="false" customHeight="false" outlineLevel="0" collapsed="false">
      <c r="B41113" s="0" t="s">
        <v>7</v>
      </c>
    </row>
    <row r="41114" customFormat="false" ht="12.8" hidden="false" customHeight="false" outlineLevel="0" collapsed="false">
      <c r="B41114" s="0" t="s">
        <v>14</v>
      </c>
    </row>
    <row r="41116" customFormat="false" ht="12.8" hidden="false" customHeight="false" outlineLevel="0" collapsed="false">
      <c r="A41116" s="0" t="s">
        <v>14827</v>
      </c>
      <c r="B41116" s="0" t="str">
        <f aca="false">HYPERLINK("https://lindat.mff.cuni.cz/services/teitok/pdtc10/index.php?action=vallex&amp;frame=v-whsa_244hsa_245", "rozhýbat se (v-whsa_244hsa_245)")</f>
        <v>rozhýbat se (v-whsa_244hsa_245)</v>
      </c>
    </row>
    <row r="41117" customFormat="false" ht="12.8" hidden="false" customHeight="false" outlineLevel="0" collapsed="false">
      <c r="B41117" s="0" t="s">
        <v>7</v>
      </c>
      <c r="C41117" s="0" t="s">
        <v>200</v>
      </c>
      <c r="D41117" s="0" t="s">
        <v>200</v>
      </c>
      <c r="E41117" s="0" t="s">
        <v>200</v>
      </c>
      <c r="F41117" s="0" t="s">
        <v>200</v>
      </c>
    </row>
    <row r="41119" customFormat="false" ht="12.8" hidden="false" customHeight="false" outlineLevel="0" collapsed="false">
      <c r="A41119" s="0" t="s">
        <v>14828</v>
      </c>
      <c r="B41119" s="0" t="str">
        <f aca="false">HYPERLINK("https://lindat.mff.cuni.cz/services/teitok/pdtc10/index.php?action=vallex&amp;frame=v-w5658f1", "rozjet (v-w5658f1)")</f>
        <v>rozjet (v-w5658f1)</v>
      </c>
    </row>
    <row r="41120" customFormat="false" ht="12.8" hidden="false" customHeight="false" outlineLevel="0" collapsed="false">
      <c r="B41120" s="0" t="s">
        <v>7</v>
      </c>
      <c r="C41120" s="0" t="s">
        <v>14829</v>
      </c>
      <c r="D41120" s="0" t="s">
        <v>69</v>
      </c>
      <c r="E41120" s="0" t="s">
        <v>69</v>
      </c>
      <c r="F41120" s="0" t="s">
        <v>69</v>
      </c>
    </row>
    <row r="41121" customFormat="false" ht="12.8" hidden="false" customHeight="false" outlineLevel="0" collapsed="false">
      <c r="B41121" s="0" t="s">
        <v>14</v>
      </c>
      <c r="C41121" s="0" t="s">
        <v>14830</v>
      </c>
      <c r="D41121" s="0" t="s">
        <v>71</v>
      </c>
      <c r="E41121" s="0" t="s">
        <v>71</v>
      </c>
      <c r="F41121" s="0" t="s">
        <v>71</v>
      </c>
    </row>
    <row r="41123" customFormat="false" ht="12.8" hidden="false" customHeight="false" outlineLevel="0" collapsed="false">
      <c r="A41123" s="0" t="s">
        <v>14831</v>
      </c>
      <c r="B41123" s="0" t="str">
        <f aca="false">HYPERLINK("https://lindat.mff.cuni.cz/services/teitok/pdtc10/index.php?action=vallex&amp;frame=v-w5658f2", "rozjet (v-w5658f2)")</f>
        <v>rozjet (v-w5658f2)</v>
      </c>
    </row>
    <row r="41124" customFormat="false" ht="12.8" hidden="false" customHeight="false" outlineLevel="0" collapsed="false">
      <c r="B41124" s="0" t="s">
        <v>7</v>
      </c>
    </row>
    <row r="41125" customFormat="false" ht="12.8" hidden="false" customHeight="false" outlineLevel="0" collapsed="false">
      <c r="B41125" s="0" t="s">
        <v>14</v>
      </c>
    </row>
    <row r="41127" customFormat="false" ht="12.8" hidden="false" customHeight="false" outlineLevel="0" collapsed="false">
      <c r="A41127" s="0" t="s">
        <v>14832</v>
      </c>
      <c r="B41127" s="0" t="str">
        <f aca="false">HYPERLINK("https://lindat.mff.cuni.cz/services/teitok/pdtc10/index.php?action=vallex&amp;frame=v-w5659f3", "rozjet se (v-w5659f3)")</f>
        <v>rozjet se (v-w5659f3)</v>
      </c>
    </row>
    <row r="41128" customFormat="false" ht="12.8" hidden="false" customHeight="false" outlineLevel="0" collapsed="false">
      <c r="B41128" s="0" t="s">
        <v>7</v>
      </c>
    </row>
    <row r="41129" customFormat="false" ht="12.8" hidden="false" customHeight="false" outlineLevel="0" collapsed="false">
      <c r="B41129" s="0" t="s">
        <v>124</v>
      </c>
    </row>
    <row r="41131" customFormat="false" ht="12.8" hidden="false" customHeight="false" outlineLevel="0" collapsed="false">
      <c r="A41131" s="0" t="s">
        <v>14833</v>
      </c>
      <c r="B41131" s="0" t="str">
        <f aca="false">HYPERLINK("https://lindat.mff.cuni.cz/services/teitok/pdtc10/index.php?action=vallex&amp;frame=v-w5659f1", "rozjet se (v-w5659f1)")</f>
        <v>rozjet se (v-w5659f1)</v>
      </c>
    </row>
    <row r="41132" customFormat="false" ht="12.8" hidden="false" customHeight="false" outlineLevel="0" collapsed="false">
      <c r="B41132" s="0" t="s">
        <v>7</v>
      </c>
      <c r="C41132" s="0" t="s">
        <v>11388</v>
      </c>
      <c r="D41132" s="0" t="s">
        <v>288</v>
      </c>
      <c r="E41132" s="0" t="s">
        <v>288</v>
      </c>
      <c r="F41132" s="0" t="s">
        <v>288</v>
      </c>
    </row>
    <row r="41134" customFormat="false" ht="12.8" hidden="false" customHeight="false" outlineLevel="0" collapsed="false">
      <c r="A41134" s="0" t="s">
        <v>14834</v>
      </c>
      <c r="B41134" s="0" t="str">
        <f aca="false">HYPERLINK("https://lindat.mff.cuni.cz/services/teitok/pdtc10/index.php?action=vallex&amp;frame=v-w5659f2", "rozjet se (v-w5659f2)")</f>
        <v>rozjet se (v-w5659f2)</v>
      </c>
    </row>
    <row r="41135" customFormat="false" ht="12.8" hidden="false" customHeight="false" outlineLevel="0" collapsed="false">
      <c r="B41135" s="0" t="s">
        <v>7</v>
      </c>
    </row>
    <row r="41137" customFormat="false" ht="12.8" hidden="false" customHeight="false" outlineLevel="0" collapsed="false">
      <c r="A41137" s="0" t="s">
        <v>14835</v>
      </c>
      <c r="B41137" s="0" t="str">
        <f aca="false">HYPERLINK("https://lindat.mff.cuni.cz/services/teitok/pdtc10/index.php?action=vallex&amp;frame=v-w5657f1", "rozjásat (v-w5657f1)")</f>
        <v>rozjásat (v-w5657f1)</v>
      </c>
    </row>
    <row r="41138" customFormat="false" ht="12.8" hidden="false" customHeight="false" outlineLevel="0" collapsed="false">
      <c r="B41138" s="0" t="s">
        <v>7</v>
      </c>
    </row>
    <row r="41139" customFormat="false" ht="12.8" hidden="false" customHeight="false" outlineLevel="0" collapsed="false">
      <c r="B41139" s="0" t="s">
        <v>14</v>
      </c>
    </row>
    <row r="41141" customFormat="false" ht="12.8" hidden="false" customHeight="false" outlineLevel="0" collapsed="false">
      <c r="A41141" s="0" t="s">
        <v>14836</v>
      </c>
      <c r="B41141" s="0" t="str">
        <f aca="false">HYPERLINK("https://lindat.mff.cuni.cz/services/teitok/pdtc10/index.php?action=vallex&amp;frame=v-w10088f2", "rozjásávat (v-w10088f2)")</f>
        <v>rozjásávat (v-w10088f2)</v>
      </c>
    </row>
    <row r="41142" customFormat="false" ht="12.8" hidden="false" customHeight="false" outlineLevel="0" collapsed="false">
      <c r="B41142" s="0" t="s">
        <v>7</v>
      </c>
    </row>
    <row r="41143" customFormat="false" ht="12.8" hidden="false" customHeight="false" outlineLevel="0" collapsed="false">
      <c r="B41143" s="0" t="s">
        <v>14</v>
      </c>
    </row>
    <row r="41145" customFormat="false" ht="12.8" hidden="false" customHeight="false" outlineLevel="0" collapsed="false">
      <c r="A41145" s="0" t="s">
        <v>14837</v>
      </c>
      <c r="B41145" s="0" t="str">
        <f aca="false">HYPERLINK("https://lindat.mff.cuni.cz/services/teitok/pdtc10/index.php?action=vallex&amp;frame=v-w5661f1", "rozjíždět (v-w5661f1)")</f>
        <v>rozjíždět (v-w5661f1)</v>
      </c>
    </row>
    <row r="41146" customFormat="false" ht="12.8" hidden="false" customHeight="false" outlineLevel="0" collapsed="false">
      <c r="B41146" s="0" t="s">
        <v>7</v>
      </c>
      <c r="D41146" s="0" t="s">
        <v>69</v>
      </c>
      <c r="E41146" s="0" t="s">
        <v>69</v>
      </c>
      <c r="F41146" s="0" t="s">
        <v>69</v>
      </c>
    </row>
    <row r="41147" customFormat="false" ht="12.8" hidden="false" customHeight="false" outlineLevel="0" collapsed="false">
      <c r="B41147" s="0" t="s">
        <v>14</v>
      </c>
      <c r="D41147" s="0" t="s">
        <v>71</v>
      </c>
      <c r="E41147" s="0" t="s">
        <v>71</v>
      </c>
      <c r="F41147" s="0" t="s">
        <v>71</v>
      </c>
    </row>
    <row r="41149" customFormat="false" ht="12.8" hidden="false" customHeight="false" outlineLevel="0" collapsed="false">
      <c r="A41149" s="0" t="s">
        <v>14838</v>
      </c>
      <c r="B41149" s="0" t="str">
        <f aca="false">HYPERLINK("https://lindat.mff.cuni.cz/services/teitok/pdtc10/index.php?action=vallex&amp;frame=v-w5662f1", "rozjíždět se (v-w5662f1)")</f>
        <v>rozjíždět se (v-w5662f1)</v>
      </c>
    </row>
    <row r="41150" customFormat="false" ht="12.8" hidden="false" customHeight="false" outlineLevel="0" collapsed="false">
      <c r="B41150" s="0" t="s">
        <v>7</v>
      </c>
      <c r="D41150" s="0" t="s">
        <v>288</v>
      </c>
      <c r="E41150" s="0" t="s">
        <v>288</v>
      </c>
      <c r="F41150" s="0" t="s">
        <v>288</v>
      </c>
    </row>
    <row r="41152" customFormat="false" ht="12.8" hidden="false" customHeight="false" outlineLevel="0" collapsed="false">
      <c r="A41152" s="0" t="s">
        <v>14839</v>
      </c>
      <c r="B41152" s="0" t="str">
        <f aca="false">HYPERLINK("https://lindat.mff.cuni.cz/services/teitok/pdtc10/index.php?action=vallex&amp;frame=v-w5662f2_ZU", "rozjíždět se (v-w5662f2_ZU)")</f>
        <v>rozjíždět se (v-w5662f2_ZU)</v>
      </c>
    </row>
    <row r="41153" customFormat="false" ht="12.8" hidden="false" customHeight="false" outlineLevel="0" collapsed="false">
      <c r="B41153" s="0" t="s">
        <v>7</v>
      </c>
      <c r="C41153" s="0" t="s">
        <v>7921</v>
      </c>
    </row>
    <row r="41155" customFormat="false" ht="12.8" hidden="false" customHeight="false" outlineLevel="0" collapsed="false">
      <c r="A41155" s="0" t="s">
        <v>14840</v>
      </c>
      <c r="B41155" s="0" t="str">
        <f aca="false">HYPERLINK("https://lindat.mff.cuni.cz/services/teitok/pdtc10/index.php?action=vallex&amp;frame=v-w11858_ZUf1_ZU", "rozkazovat (v-w11858_ZUf1_ZU)")</f>
        <v>rozkazovat (v-w11858_ZUf1_ZU)</v>
      </c>
    </row>
    <row r="41156" customFormat="false" ht="12.8" hidden="false" customHeight="false" outlineLevel="0" collapsed="false">
      <c r="B41156" s="0" t="s">
        <v>7</v>
      </c>
    </row>
    <row r="41157" customFormat="false" ht="12.8" hidden="false" customHeight="false" outlineLevel="0" collapsed="false">
      <c r="B41157" s="0" t="s">
        <v>48</v>
      </c>
    </row>
    <row r="41158" customFormat="false" ht="12.8" hidden="false" customHeight="false" outlineLevel="0" collapsed="false">
      <c r="B41158" s="0" t="s">
        <v>14841</v>
      </c>
    </row>
    <row r="41160" customFormat="false" ht="12.8" hidden="false" customHeight="false" outlineLevel="0" collapsed="false">
      <c r="A41160" s="0" t="s">
        <v>14842</v>
      </c>
      <c r="B41160" s="0" t="str">
        <f aca="false">HYPERLINK("https://lindat.mff.cuni.cz/services/teitok/pdtc10/index.php?action=vallex&amp;frame=v-w5668f1", "rozklepat se (v-w5668f1)")</f>
        <v>rozklepat se (v-w5668f1)</v>
      </c>
    </row>
    <row r="41161" customFormat="false" ht="12.8" hidden="false" customHeight="false" outlineLevel="0" collapsed="false">
      <c r="B41161" s="0" t="s">
        <v>7</v>
      </c>
    </row>
    <row r="41163" customFormat="false" ht="12.8" hidden="false" customHeight="false" outlineLevel="0" collapsed="false">
      <c r="A41163" s="0" t="s">
        <v>14843</v>
      </c>
      <c r="B41163" s="0" t="str">
        <f aca="false">HYPERLINK("https://lindat.mff.cuni.cz/services/teitok/pdtc10/index.php?action=vallex&amp;frame=v-w5666f1", "rozkládat (v-w5666f1)")</f>
        <v>rozkládat (v-w5666f1)</v>
      </c>
    </row>
    <row r="41164" customFormat="false" ht="12.8" hidden="false" customHeight="false" outlineLevel="0" collapsed="false">
      <c r="B41164" s="0" t="s">
        <v>7</v>
      </c>
    </row>
    <row r="41165" customFormat="false" ht="12.8" hidden="false" customHeight="false" outlineLevel="0" collapsed="false">
      <c r="B41165" s="0" t="s">
        <v>14844</v>
      </c>
    </row>
    <row r="41166" customFormat="false" ht="12.8" hidden="false" customHeight="false" outlineLevel="0" collapsed="false">
      <c r="B41166" s="0" t="s">
        <v>2767</v>
      </c>
    </row>
    <row r="41168" customFormat="false" ht="12.8" hidden="false" customHeight="false" outlineLevel="0" collapsed="false">
      <c r="A41168" s="0" t="s">
        <v>14845</v>
      </c>
      <c r="B41168" s="0" t="str">
        <f aca="false">HYPERLINK("https://lindat.mff.cuni.cz/services/teitok/pdtc10/index.php?action=vallex&amp;frame=v-w5666hsa_248", "rozkládat (v-w5666hsa_248)")</f>
        <v>rozkládat (v-w5666hsa_248)</v>
      </c>
    </row>
    <row r="41169" customFormat="false" ht="12.8" hidden="false" customHeight="false" outlineLevel="0" collapsed="false">
      <c r="B41169" s="0" t="s">
        <v>7</v>
      </c>
      <c r="D41169" s="0" t="s">
        <v>1287</v>
      </c>
      <c r="E41169" s="0" t="s">
        <v>1287</v>
      </c>
      <c r="F41169" s="0" t="s">
        <v>1287</v>
      </c>
    </row>
    <row r="41170" customFormat="false" ht="12.8" hidden="false" customHeight="false" outlineLevel="0" collapsed="false">
      <c r="B41170" s="0" t="s">
        <v>14</v>
      </c>
      <c r="D41170" s="0" t="s">
        <v>2517</v>
      </c>
      <c r="E41170" s="0" t="s">
        <v>2517</v>
      </c>
      <c r="F41170" s="0" t="s">
        <v>2517</v>
      </c>
    </row>
    <row r="41171" customFormat="false" ht="12.8" hidden="false" customHeight="false" outlineLevel="0" collapsed="false">
      <c r="B41171" s="0" t="s">
        <v>37</v>
      </c>
      <c r="D41171" s="0" t="s">
        <v>4598</v>
      </c>
      <c r="E41171" s="0" t="s">
        <v>4598</v>
      </c>
      <c r="F41171" s="0" t="s">
        <v>4598</v>
      </c>
    </row>
    <row r="41173" customFormat="false" ht="12.8" hidden="false" customHeight="false" outlineLevel="0" collapsed="false">
      <c r="A41173" s="0" t="s">
        <v>14845</v>
      </c>
      <c r="B41173" s="0" t="str">
        <f aca="false">HYPERLINK("https://lindat.mff.cuni.cz/services/teitok/pdtc10/index.php?action=vallex&amp;frame=v-w5666f2", "rozkládat (v-w5666f2) - substituted with v-w5666hsa_248")</f>
        <v>rozkládat (v-w5666f2) - substituted with v-w5666hsa_248</v>
      </c>
    </row>
    <row r="41174" customFormat="false" ht="12.8" hidden="false" customHeight="false" outlineLevel="0" collapsed="false">
      <c r="B41174" s="0" t="s">
        <v>7</v>
      </c>
      <c r="C41174" s="0" t="s">
        <v>1287</v>
      </c>
    </row>
    <row r="41175" customFormat="false" ht="12.8" hidden="false" customHeight="false" outlineLevel="0" collapsed="false">
      <c r="B41175" s="0" t="s">
        <v>14</v>
      </c>
      <c r="C41175" s="0" t="s">
        <v>3860</v>
      </c>
    </row>
    <row r="41176" customFormat="false" ht="12.8" hidden="false" customHeight="false" outlineLevel="0" collapsed="false">
      <c r="B41176" s="0" t="s">
        <v>37</v>
      </c>
      <c r="C41176" s="0" t="s">
        <v>4724</v>
      </c>
    </row>
    <row r="41178" customFormat="false" ht="12.8" hidden="false" customHeight="false" outlineLevel="0" collapsed="false">
      <c r="A41178" s="0" t="s">
        <v>14846</v>
      </c>
      <c r="B41178" s="0" t="str">
        <f aca="false">HYPERLINK("https://lindat.mff.cuni.cz/services/teitok/pdtc10/index.php?action=vallex&amp;frame=v-w5667f3", "rozkládat se (v-w5667f3)")</f>
        <v>rozkládat se (v-w5667f3)</v>
      </c>
    </row>
    <row r="41179" customFormat="false" ht="12.8" hidden="false" customHeight="false" outlineLevel="0" collapsed="false">
      <c r="B41179" s="0" t="s">
        <v>7</v>
      </c>
    </row>
    <row r="41180" customFormat="false" ht="12.8" hidden="false" customHeight="false" outlineLevel="0" collapsed="false">
      <c r="B41180" s="0" t="s">
        <v>2775</v>
      </c>
    </row>
    <row r="41182" customFormat="false" ht="12.8" hidden="false" customHeight="false" outlineLevel="0" collapsed="false">
      <c r="A41182" s="0" t="s">
        <v>14847</v>
      </c>
      <c r="B41182" s="0" t="str">
        <f aca="false">HYPERLINK("https://lindat.mff.cuni.cz/services/teitok/pdtc10/index.php?action=vallex&amp;frame=v-w5667f1", "rozkládat se (v-w5667f1)")</f>
        <v>rozkládat se (v-w5667f1)</v>
      </c>
    </row>
    <row r="41183" customFormat="false" ht="12.8" hidden="false" customHeight="false" outlineLevel="0" collapsed="false">
      <c r="B41183" s="0" t="s">
        <v>7</v>
      </c>
      <c r="C41183" s="0" t="s">
        <v>247</v>
      </c>
      <c r="D41183" s="0" t="s">
        <v>5154</v>
      </c>
      <c r="E41183" s="0" t="s">
        <v>5155</v>
      </c>
      <c r="F41183" s="0" t="s">
        <v>5155</v>
      </c>
    </row>
    <row r="41184" customFormat="false" ht="12.8" hidden="false" customHeight="false" outlineLevel="0" collapsed="false">
      <c r="B41184" s="0" t="s">
        <v>11</v>
      </c>
      <c r="D41184" s="0" t="s">
        <v>5157</v>
      </c>
      <c r="E41184" s="0" t="s">
        <v>5158</v>
      </c>
      <c r="F41184" s="0" t="s">
        <v>5158</v>
      </c>
    </row>
    <row r="41186" customFormat="false" ht="12.8" hidden="false" customHeight="false" outlineLevel="0" collapsed="false">
      <c r="A41186" s="0" t="s">
        <v>14848</v>
      </c>
      <c r="B41186" s="0" t="str">
        <f aca="false">HYPERLINK("https://lindat.mff.cuni.cz/services/teitok/pdtc10/index.php?action=vallex&amp;frame=v-w5667f2", "rozkládat se (v-w5667f2)")</f>
        <v>rozkládat se (v-w5667f2)</v>
      </c>
    </row>
    <row r="41187" customFormat="false" ht="12.8" hidden="false" customHeight="false" outlineLevel="0" collapsed="false">
      <c r="B41187" s="0" t="s">
        <v>7</v>
      </c>
      <c r="C41187" s="0" t="s">
        <v>200</v>
      </c>
      <c r="D41187" s="0" t="s">
        <v>396</v>
      </c>
      <c r="E41187" s="0" t="s">
        <v>396</v>
      </c>
      <c r="F41187" s="0" t="s">
        <v>396</v>
      </c>
    </row>
    <row r="41189" customFormat="false" ht="12.8" hidden="false" customHeight="false" outlineLevel="0" collapsed="false">
      <c r="A41189" s="0" t="s">
        <v>14849</v>
      </c>
      <c r="B41189" s="0" t="str">
        <f aca="false">HYPERLINK("https://lindat.mff.cuni.cz/services/teitok/pdtc10/index.php?action=vallex&amp;frame=v-w5667f4_ZU", "rozkládat se (v-w5667f4_ZU)")</f>
        <v>rozkládat se (v-w5667f4_ZU)</v>
      </c>
    </row>
    <row r="41190" customFormat="false" ht="12.8" hidden="false" customHeight="false" outlineLevel="0" collapsed="false">
      <c r="B41190" s="0" t="s">
        <v>7</v>
      </c>
    </row>
    <row r="41192" customFormat="false" ht="12.8" hidden="false" customHeight="false" outlineLevel="0" collapsed="false">
      <c r="A41192" s="0" t="s">
        <v>14850</v>
      </c>
      <c r="B41192" s="0" t="str">
        <f aca="false">HYPERLINK("https://lindat.mff.cuni.cz/services/teitok/pdtc10/index.php?action=vallex&amp;frame=v-w5669f1", "rozkmitat (v-w5669f1)")</f>
        <v>rozkmitat (v-w5669f1)</v>
      </c>
    </row>
    <row r="41193" customFormat="false" ht="12.8" hidden="false" customHeight="false" outlineLevel="0" collapsed="false">
      <c r="B41193" s="0" t="s">
        <v>7</v>
      </c>
    </row>
    <row r="41194" customFormat="false" ht="12.8" hidden="false" customHeight="false" outlineLevel="0" collapsed="false">
      <c r="B41194" s="0" t="s">
        <v>14</v>
      </c>
    </row>
    <row r="41196" customFormat="false" ht="12.8" hidden="false" customHeight="false" outlineLevel="0" collapsed="false">
      <c r="A41196" s="0" t="s">
        <v>14851</v>
      </c>
      <c r="B41196" s="0" t="str">
        <f aca="false">HYPERLINK("https://lindat.mff.cuni.cz/services/teitok/pdtc10/index.php?action=vallex&amp;frame=v-w11277f1", "rozkmotřit se (v-w11277f1)")</f>
        <v>rozkmotřit se (v-w11277f1)</v>
      </c>
    </row>
    <row r="41197" customFormat="false" ht="12.8" hidden="false" customHeight="false" outlineLevel="0" collapsed="false">
      <c r="B41197" s="0" t="s">
        <v>7</v>
      </c>
    </row>
    <row r="41198" customFormat="false" ht="12.8" hidden="false" customHeight="false" outlineLevel="0" collapsed="false">
      <c r="B41198" s="0" t="s">
        <v>548</v>
      </c>
    </row>
    <row r="41200" customFormat="false" ht="12.8" hidden="false" customHeight="false" outlineLevel="0" collapsed="false">
      <c r="A41200" s="0" t="s">
        <v>14852</v>
      </c>
      <c r="B41200" s="0" t="str">
        <f aca="false">HYPERLINK("https://lindat.mff.cuni.cz/services/teitok/pdtc10/index.php?action=vallex&amp;frame=v-w12083_ZUf1_ZU", "rozkrajovat (v-w12083_ZUf1_ZU)")</f>
        <v>rozkrajovat (v-w12083_ZUf1_ZU)</v>
      </c>
    </row>
    <row r="41201" customFormat="false" ht="12.8" hidden="false" customHeight="false" outlineLevel="0" collapsed="false">
      <c r="B41201" s="0" t="s">
        <v>7</v>
      </c>
    </row>
    <row r="41202" customFormat="false" ht="12.8" hidden="false" customHeight="false" outlineLevel="0" collapsed="false">
      <c r="B41202" s="0" t="s">
        <v>14</v>
      </c>
    </row>
    <row r="41203" customFormat="false" ht="12.8" hidden="false" customHeight="false" outlineLevel="0" collapsed="false">
      <c r="B41203" s="0" t="s">
        <v>84</v>
      </c>
    </row>
    <row r="41205" customFormat="false" ht="12.8" hidden="false" customHeight="false" outlineLevel="0" collapsed="false">
      <c r="A41205" s="0" t="s">
        <v>14853</v>
      </c>
      <c r="B41205" s="0" t="str">
        <f aca="false">HYPERLINK("https://lindat.mff.cuni.cz/services/teitok/pdtc10/index.php?action=vallex&amp;frame=v-w5670f1", "rozkramařit (v-w5670f1)")</f>
        <v>rozkramařit (v-w5670f1)</v>
      </c>
    </row>
    <row r="41206" customFormat="false" ht="12.8" hidden="false" customHeight="false" outlineLevel="0" collapsed="false">
      <c r="B41206" s="0" t="s">
        <v>7</v>
      </c>
    </row>
    <row r="41207" customFormat="false" ht="12.8" hidden="false" customHeight="false" outlineLevel="0" collapsed="false">
      <c r="B41207" s="0" t="s">
        <v>14</v>
      </c>
    </row>
    <row r="41209" customFormat="false" ht="12.8" hidden="false" customHeight="false" outlineLevel="0" collapsed="false">
      <c r="A41209" s="0" t="s">
        <v>14854</v>
      </c>
      <c r="B41209" s="0" t="str">
        <f aca="false">HYPERLINK("https://lindat.mff.cuni.cz/services/teitok/pdtc10/index.php?action=vallex&amp;frame=v-w12061_ZUf1_ZU", "rozkrojovat (v-w12061_ZUf1_ZU)")</f>
        <v>rozkrojovat (v-w12061_ZUf1_ZU)</v>
      </c>
    </row>
    <row r="41210" customFormat="false" ht="12.8" hidden="false" customHeight="false" outlineLevel="0" collapsed="false">
      <c r="B41210" s="0" t="s">
        <v>7</v>
      </c>
    </row>
    <row r="41211" customFormat="false" ht="12.8" hidden="false" customHeight="false" outlineLevel="0" collapsed="false">
      <c r="B41211" s="0" t="s">
        <v>14</v>
      </c>
    </row>
    <row r="41212" customFormat="false" ht="12.8" hidden="false" customHeight="false" outlineLevel="0" collapsed="false">
      <c r="B41212" s="0" t="s">
        <v>84</v>
      </c>
    </row>
    <row r="41214" customFormat="false" ht="12.8" hidden="false" customHeight="false" outlineLevel="0" collapsed="false">
      <c r="A41214" s="0" t="s">
        <v>14855</v>
      </c>
      <c r="B41214" s="0" t="str">
        <f aca="false">HYPERLINK("https://lindat.mff.cuni.cz/services/teitok/pdtc10/index.php?action=vallex&amp;frame=v-w12017_ZUf1_ZU", "rozkročit se (v-w12017_ZUf1_ZU)")</f>
        <v>rozkročit se (v-w12017_ZUf1_ZU)</v>
      </c>
    </row>
    <row r="41215" customFormat="false" ht="12.8" hidden="false" customHeight="false" outlineLevel="0" collapsed="false">
      <c r="B41215" s="0" t="s">
        <v>7</v>
      </c>
    </row>
    <row r="41217" customFormat="false" ht="12.8" hidden="false" customHeight="false" outlineLevel="0" collapsed="false">
      <c r="A41217" s="0" t="s">
        <v>14856</v>
      </c>
      <c r="B41217" s="0" t="str">
        <f aca="false">HYPERLINK("https://lindat.mff.cuni.cz/services/teitok/pdtc10/index.php?action=vallex&amp;frame=v-whsa_1743hsa_1744", "rozkrájet (v-whsa_1743hsa_1744)")</f>
        <v>rozkrájet (v-whsa_1743hsa_1744)</v>
      </c>
    </row>
    <row r="41218" customFormat="false" ht="12.8" hidden="false" customHeight="false" outlineLevel="0" collapsed="false">
      <c r="B41218" s="0" t="s">
        <v>7</v>
      </c>
    </row>
    <row r="41219" customFormat="false" ht="12.8" hidden="false" customHeight="false" outlineLevel="0" collapsed="false">
      <c r="B41219" s="0" t="s">
        <v>14</v>
      </c>
    </row>
    <row r="41220" customFormat="false" ht="12.8" hidden="false" customHeight="false" outlineLevel="0" collapsed="false">
      <c r="B41220" s="0" t="s">
        <v>84</v>
      </c>
    </row>
    <row r="41222" customFormat="false" ht="12.8" hidden="false" customHeight="false" outlineLevel="0" collapsed="false">
      <c r="A41222" s="0" t="s">
        <v>14857</v>
      </c>
      <c r="B41222" s="0" t="str">
        <f aca="false">HYPERLINK("https://lindat.mff.cuni.cz/services/teitok/pdtc10/index.php?action=vallex&amp;frame=v-w5671f1", "rozkrást (v-w5671f1)")</f>
        <v>rozkrást (v-w5671f1)</v>
      </c>
    </row>
    <row r="41223" customFormat="false" ht="12.8" hidden="false" customHeight="false" outlineLevel="0" collapsed="false">
      <c r="B41223" s="0" t="s">
        <v>7</v>
      </c>
    </row>
    <row r="41224" customFormat="false" ht="12.8" hidden="false" customHeight="false" outlineLevel="0" collapsed="false">
      <c r="B41224" s="0" t="s">
        <v>14</v>
      </c>
    </row>
    <row r="41226" customFormat="false" ht="12.8" hidden="false" customHeight="false" outlineLevel="0" collapsed="false">
      <c r="A41226" s="0" t="s">
        <v>14858</v>
      </c>
      <c r="B41226" s="0" t="str">
        <f aca="false">HYPERLINK("https://lindat.mff.cuni.cz/services/teitok/pdtc10/index.php?action=vallex&amp;frame=v-w5673f1", "rozkvést (v-w5673f1)")</f>
        <v>rozkvést (v-w5673f1)</v>
      </c>
    </row>
    <row r="41227" customFormat="false" ht="12.8" hidden="false" customHeight="false" outlineLevel="0" collapsed="false">
      <c r="B41227" s="0" t="s">
        <v>7</v>
      </c>
      <c r="C41227" s="0" t="s">
        <v>569</v>
      </c>
    </row>
    <row r="41229" customFormat="false" ht="12.8" hidden="false" customHeight="false" outlineLevel="0" collapsed="false">
      <c r="A41229" s="0" t="s">
        <v>14859</v>
      </c>
      <c r="B41229" s="0" t="str">
        <f aca="false">HYPERLINK("https://lindat.mff.cuni.cz/services/teitok/pdtc10/index.php?action=vallex&amp;frame=v-w5673f2", "rozkvést (v-w5673f2)")</f>
        <v>rozkvést (v-w5673f2)</v>
      </c>
    </row>
    <row r="41230" customFormat="false" ht="12.8" hidden="false" customHeight="false" outlineLevel="0" collapsed="false">
      <c r="B41230" s="0" t="s">
        <v>7</v>
      </c>
      <c r="D41230" s="0" t="s">
        <v>5047</v>
      </c>
      <c r="E41230" s="0" t="s">
        <v>5047</v>
      </c>
      <c r="F41230" s="0" t="s">
        <v>5047</v>
      </c>
    </row>
    <row r="41232" customFormat="false" ht="12.8" hidden="false" customHeight="false" outlineLevel="0" collapsed="false">
      <c r="A41232" s="0" t="s">
        <v>14860</v>
      </c>
      <c r="B41232" s="0" t="str">
        <f aca="false">HYPERLINK("https://lindat.mff.cuni.cz/services/teitok/pdtc10/index.php?action=vallex&amp;frame=v-w10740f2", "rozkvétat (v-w10740f2)")</f>
        <v>rozkvétat (v-w10740f2)</v>
      </c>
    </row>
    <row r="41233" customFormat="false" ht="12.8" hidden="false" customHeight="false" outlineLevel="0" collapsed="false">
      <c r="B41233" s="0" t="s">
        <v>7</v>
      </c>
    </row>
    <row r="41235" customFormat="false" ht="12.8" hidden="false" customHeight="false" outlineLevel="0" collapsed="false">
      <c r="A41235" s="0" t="s">
        <v>14861</v>
      </c>
      <c r="B41235" s="0" t="str">
        <f aca="false">HYPERLINK("https://lindat.mff.cuni.cz/services/teitok/pdtc10/index.php?action=vallex&amp;frame=v-w10562f2", "rozkázat (v-w10562f2)")</f>
        <v>rozkázat (v-w10562f2)</v>
      </c>
    </row>
    <row r="41236" customFormat="false" ht="12.8" hidden="false" customHeight="false" outlineLevel="0" collapsed="false">
      <c r="B41236" s="0" t="s">
        <v>7</v>
      </c>
    </row>
    <row r="41237" customFormat="false" ht="12.8" hidden="false" customHeight="false" outlineLevel="0" collapsed="false">
      <c r="B41237" s="0" t="s">
        <v>1599</v>
      </c>
    </row>
    <row r="41238" customFormat="false" ht="12.8" hidden="false" customHeight="false" outlineLevel="0" collapsed="false">
      <c r="B41238" s="0" t="s">
        <v>48</v>
      </c>
    </row>
    <row r="41240" customFormat="false" ht="12.8" hidden="false" customHeight="false" outlineLevel="0" collapsed="false">
      <c r="A41240" s="0" t="s">
        <v>14862</v>
      </c>
      <c r="B41240" s="0" t="str">
        <f aca="false">HYPERLINK("https://lindat.mff.cuni.cz/services/teitok/pdtc10/index.php?action=vallex&amp;frame=v-w12182_ZUf1_ZU", "rozkřiknout (v-w12182_ZUf1_ZU)")</f>
        <v>rozkřiknout (v-w12182_ZUf1_ZU)</v>
      </c>
    </row>
    <row r="41241" customFormat="false" ht="12.8" hidden="false" customHeight="false" outlineLevel="0" collapsed="false">
      <c r="B41241" s="0" t="s">
        <v>7</v>
      </c>
    </row>
    <row r="41242" customFormat="false" ht="12.8" hidden="false" customHeight="false" outlineLevel="0" collapsed="false">
      <c r="B41242" s="0" t="s">
        <v>363</v>
      </c>
    </row>
    <row r="41243" customFormat="false" ht="12.8" hidden="false" customHeight="false" outlineLevel="0" collapsed="false">
      <c r="B41243" s="0" t="s">
        <v>1925</v>
      </c>
    </row>
    <row r="41245" customFormat="false" ht="12.8" hidden="false" customHeight="false" outlineLevel="0" collapsed="false">
      <c r="A41245" s="0" t="s">
        <v>14863</v>
      </c>
      <c r="B41245" s="0" t="str">
        <f aca="false">HYPERLINK("https://lindat.mff.cuni.cz/services/teitok/pdtc10/index.php?action=vallex&amp;frame=v-w11703_ZUf1_ZU", "rozkřiknout se (v-w11703_ZUf1_ZU)")</f>
        <v>rozkřiknout se (v-w11703_ZUf1_ZU)</v>
      </c>
    </row>
    <row r="41246" customFormat="false" ht="12.8" hidden="false" customHeight="false" outlineLevel="0" collapsed="false">
      <c r="B41246" s="0" t="s">
        <v>7</v>
      </c>
    </row>
    <row r="41247" customFormat="false" ht="12.8" hidden="false" customHeight="false" outlineLevel="0" collapsed="false">
      <c r="B41247" s="0" t="s">
        <v>1123</v>
      </c>
    </row>
    <row r="41248" customFormat="false" ht="12.8" hidden="false" customHeight="false" outlineLevel="0" collapsed="false">
      <c r="B41248" s="0" t="s">
        <v>4101</v>
      </c>
    </row>
    <row r="41250" customFormat="false" ht="12.8" hidden="false" customHeight="false" outlineLevel="0" collapsed="false">
      <c r="A41250" s="0" t="s">
        <v>14864</v>
      </c>
      <c r="B41250" s="0" t="str">
        <f aca="false">HYPERLINK("https://lindat.mff.cuni.cz/services/teitok/pdtc10/index.php?action=vallex&amp;frame=v-w5672f1", "rozkřičet (v-w5672f1)")</f>
        <v>rozkřičet (v-w5672f1)</v>
      </c>
    </row>
    <row r="41251" customFormat="false" ht="12.8" hidden="false" customHeight="false" outlineLevel="0" collapsed="false">
      <c r="B41251" s="0" t="s">
        <v>7</v>
      </c>
    </row>
    <row r="41252" customFormat="false" ht="12.8" hidden="false" customHeight="false" outlineLevel="0" collapsed="false">
      <c r="B41252" s="0" t="s">
        <v>14</v>
      </c>
    </row>
    <row r="41254" customFormat="false" ht="12.8" hidden="false" customHeight="false" outlineLevel="0" collapsed="false">
      <c r="A41254" s="0" t="s">
        <v>14865</v>
      </c>
      <c r="B41254" s="0" t="str">
        <f aca="false">HYPERLINK("https://lindat.mff.cuni.cz/services/teitok/pdtc10/index.php?action=vallex&amp;frame=v-w5675f1", "rozladit (v-w5675f1)")</f>
        <v>rozladit (v-w5675f1)</v>
      </c>
    </row>
    <row r="41255" customFormat="false" ht="12.8" hidden="false" customHeight="false" outlineLevel="0" collapsed="false">
      <c r="B41255" s="0" t="s">
        <v>7</v>
      </c>
      <c r="C41255" s="0" t="s">
        <v>113</v>
      </c>
      <c r="D41255" s="0" t="s">
        <v>465</v>
      </c>
      <c r="E41255" s="0" t="s">
        <v>465</v>
      </c>
      <c r="F41255" s="0" t="s">
        <v>465</v>
      </c>
    </row>
    <row r="41256" customFormat="false" ht="12.8" hidden="false" customHeight="false" outlineLevel="0" collapsed="false">
      <c r="B41256" s="0" t="s">
        <v>14</v>
      </c>
      <c r="C41256" s="0" t="s">
        <v>384</v>
      </c>
      <c r="D41256" s="0" t="s">
        <v>1571</v>
      </c>
      <c r="E41256" s="0" t="s">
        <v>1571</v>
      </c>
      <c r="F41256" s="0" t="s">
        <v>1571</v>
      </c>
    </row>
    <row r="41258" customFormat="false" ht="12.8" hidden="false" customHeight="false" outlineLevel="0" collapsed="false">
      <c r="A41258" s="0" t="s">
        <v>14866</v>
      </c>
      <c r="B41258" s="0" t="str">
        <f aca="false">HYPERLINK("https://lindat.mff.cuni.cz/services/teitok/pdtc10/index.php?action=vallex&amp;frame=v-w5677f1", "rozlehnout se (v-w5677f1)")</f>
        <v>rozlehnout se (v-w5677f1)</v>
      </c>
    </row>
    <row r="41259" customFormat="false" ht="12.8" hidden="false" customHeight="false" outlineLevel="0" collapsed="false">
      <c r="B41259" s="0" t="s">
        <v>7</v>
      </c>
    </row>
    <row r="41261" customFormat="false" ht="12.8" hidden="false" customHeight="false" outlineLevel="0" collapsed="false">
      <c r="A41261" s="0" t="s">
        <v>14867</v>
      </c>
      <c r="B41261" s="0" t="str">
        <f aca="false">HYPERLINK("https://lindat.mff.cuni.cz/services/teitok/pdtc10/index.php?action=vallex&amp;frame=v-w5678f1", "rozlepit (v-w5678f1)")</f>
        <v>rozlepit (v-w5678f1)</v>
      </c>
    </row>
    <row r="41262" customFormat="false" ht="12.8" hidden="false" customHeight="false" outlineLevel="0" collapsed="false">
      <c r="B41262" s="0" t="s">
        <v>7</v>
      </c>
      <c r="D41262" s="0" t="s">
        <v>191</v>
      </c>
      <c r="E41262" s="0" t="s">
        <v>191</v>
      </c>
      <c r="F41262" s="0" t="s">
        <v>191</v>
      </c>
    </row>
    <row r="41263" customFormat="false" ht="12.8" hidden="false" customHeight="false" outlineLevel="0" collapsed="false">
      <c r="B41263" s="0" t="s">
        <v>14</v>
      </c>
      <c r="D41263" s="0" t="s">
        <v>115</v>
      </c>
      <c r="E41263" s="0" t="s">
        <v>115</v>
      </c>
      <c r="F41263" s="0" t="s">
        <v>115</v>
      </c>
    </row>
    <row r="41265" customFormat="false" ht="12.8" hidden="false" customHeight="false" outlineLevel="0" collapsed="false">
      <c r="A41265" s="0" t="s">
        <v>14868</v>
      </c>
      <c r="B41265" s="0" t="str">
        <f aca="false">HYPERLINK("https://lindat.mff.cuni.cz/services/teitok/pdtc10/index.php?action=vallex&amp;frame=v-whsa_789hsa_790", "rozležet se (v-whsa_789hsa_790)")</f>
        <v>rozležet se (v-whsa_789hsa_790)</v>
      </c>
    </row>
    <row r="41266" customFormat="false" ht="12.8" hidden="false" customHeight="false" outlineLevel="0" collapsed="false">
      <c r="B41266" s="0" t="s">
        <v>7</v>
      </c>
    </row>
    <row r="41268" customFormat="false" ht="12.8" hidden="false" customHeight="false" outlineLevel="0" collapsed="false">
      <c r="A41268" s="0" t="s">
        <v>14869</v>
      </c>
      <c r="B41268" s="0" t="str">
        <f aca="false">HYPERLINK("https://lindat.mff.cuni.cz/services/teitok/pdtc10/index.php?action=vallex&amp;frame=v-w5680f2", "rozlišit (v-w5680f2)")</f>
        <v>rozlišit (v-w5680f2)</v>
      </c>
    </row>
    <row r="41269" customFormat="false" ht="12.8" hidden="false" customHeight="false" outlineLevel="0" collapsed="false">
      <c r="B41269" s="0" t="s">
        <v>7</v>
      </c>
      <c r="D41269" s="0" t="s">
        <v>46</v>
      </c>
      <c r="E41269" s="0" t="s">
        <v>46</v>
      </c>
      <c r="F41269" s="0" t="s">
        <v>46</v>
      </c>
    </row>
    <row r="41270" customFormat="false" ht="12.8" hidden="false" customHeight="false" outlineLevel="0" collapsed="false">
      <c r="B41270" s="0" t="s">
        <v>14</v>
      </c>
      <c r="C41270" s="0" t="s">
        <v>33</v>
      </c>
      <c r="D41270" s="0" t="s">
        <v>1315</v>
      </c>
      <c r="E41270" s="0" t="s">
        <v>1315</v>
      </c>
      <c r="F41270" s="0" t="s">
        <v>1315</v>
      </c>
    </row>
    <row r="41271" customFormat="false" ht="12.8" hidden="false" customHeight="false" outlineLevel="0" collapsed="false">
      <c r="B41271" s="0" t="s">
        <v>1592</v>
      </c>
      <c r="D41271" s="0" t="s">
        <v>8242</v>
      </c>
      <c r="E41271" s="0" t="s">
        <v>8242</v>
      </c>
      <c r="F41271" s="0" t="s">
        <v>8242</v>
      </c>
    </row>
    <row r="41273" customFormat="false" ht="12.8" hidden="false" customHeight="false" outlineLevel="0" collapsed="false">
      <c r="A41273" s="0" t="s">
        <v>14870</v>
      </c>
      <c r="B41273" s="0" t="str">
        <f aca="false">HYPERLINK("https://lindat.mff.cuni.cz/services/teitok/pdtc10/index.php?action=vallex&amp;frame=v-w5680f1", "rozlišit (v-w5680f1)")</f>
        <v>rozlišit (v-w5680f1)</v>
      </c>
    </row>
    <row r="41274" customFormat="false" ht="12.8" hidden="false" customHeight="false" outlineLevel="0" collapsed="false">
      <c r="B41274" s="0" t="s">
        <v>7</v>
      </c>
    </row>
    <row r="41275" customFormat="false" ht="12.8" hidden="false" customHeight="false" outlineLevel="0" collapsed="false">
      <c r="B41275" s="0" t="s">
        <v>12788</v>
      </c>
    </row>
    <row r="41277" customFormat="false" ht="12.8" hidden="false" customHeight="false" outlineLevel="0" collapsed="false">
      <c r="A41277" s="0" t="s">
        <v>14871</v>
      </c>
      <c r="B41277" s="0" t="str">
        <f aca="false">HYPERLINK("https://lindat.mff.cuni.cz/services/teitok/pdtc10/index.php?action=vallex&amp;frame=v-w5681f1", "rozlišovat (v-w5681f1)")</f>
        <v>rozlišovat (v-w5681f1)</v>
      </c>
    </row>
    <row r="41278" customFormat="false" ht="12.8" hidden="false" customHeight="false" outlineLevel="0" collapsed="false">
      <c r="B41278" s="0" t="s">
        <v>7</v>
      </c>
      <c r="C41278" s="0" t="s">
        <v>309</v>
      </c>
      <c r="D41278" s="0" t="s">
        <v>46</v>
      </c>
      <c r="E41278" s="0" t="s">
        <v>46</v>
      </c>
      <c r="F41278" s="0" t="s">
        <v>46</v>
      </c>
    </row>
    <row r="41279" customFormat="false" ht="12.8" hidden="false" customHeight="false" outlineLevel="0" collapsed="false">
      <c r="B41279" s="0" t="s">
        <v>1591</v>
      </c>
      <c r="C41279" s="0" t="s">
        <v>5595</v>
      </c>
      <c r="D41279" s="0" t="s">
        <v>1315</v>
      </c>
      <c r="E41279" s="0" t="s">
        <v>1315</v>
      </c>
      <c r="F41279" s="0" t="s">
        <v>1315</v>
      </c>
    </row>
    <row r="41280" customFormat="false" ht="12.8" hidden="false" customHeight="false" outlineLevel="0" collapsed="false">
      <c r="B41280" s="0" t="s">
        <v>1592</v>
      </c>
      <c r="C41280" s="0" t="s">
        <v>2480</v>
      </c>
      <c r="D41280" s="0" t="s">
        <v>8242</v>
      </c>
      <c r="E41280" s="0" t="s">
        <v>8242</v>
      </c>
      <c r="F41280" s="0" t="s">
        <v>8242</v>
      </c>
    </row>
    <row r="41282" customFormat="false" ht="12.8" hidden="false" customHeight="false" outlineLevel="0" collapsed="false">
      <c r="A41282" s="0" t="s">
        <v>14872</v>
      </c>
      <c r="B41282" s="0" t="str">
        <f aca="false">HYPERLINK("https://lindat.mff.cuni.cz/services/teitok/pdtc10/index.php?action=vallex&amp;frame=v-w5681f2", "rozlišovat (v-w5681f2)")</f>
        <v>rozlišovat (v-w5681f2)</v>
      </c>
    </row>
    <row r="41283" customFormat="false" ht="12.8" hidden="false" customHeight="false" outlineLevel="0" collapsed="false">
      <c r="B41283" s="0" t="s">
        <v>7</v>
      </c>
    </row>
    <row r="41284" customFormat="false" ht="12.8" hidden="false" customHeight="false" outlineLevel="0" collapsed="false">
      <c r="B41284" s="0" t="s">
        <v>14</v>
      </c>
    </row>
    <row r="41285" customFormat="false" ht="12.8" hidden="false" customHeight="false" outlineLevel="0" collapsed="false">
      <c r="B41285" s="0" t="s">
        <v>4978</v>
      </c>
    </row>
    <row r="41287" customFormat="false" ht="12.8" hidden="false" customHeight="false" outlineLevel="0" collapsed="false">
      <c r="A41287" s="0" t="s">
        <v>14873</v>
      </c>
      <c r="B41287" s="0" t="str">
        <f aca="false">HYPERLINK("https://lindat.mff.cuni.cz/services/teitok/pdtc10/index.php?action=vallex&amp;frame=v-w12366_MMf1_MM", "rozloučit (v-w12366_MMf1_MM)")</f>
        <v>rozloučit (v-w12366_MMf1_MM)</v>
      </c>
    </row>
    <row r="41288" customFormat="false" ht="12.8" hidden="false" customHeight="false" outlineLevel="0" collapsed="false">
      <c r="B41288" s="0" t="s">
        <v>7</v>
      </c>
    </row>
    <row r="41289" customFormat="false" ht="12.8" hidden="false" customHeight="false" outlineLevel="0" collapsed="false">
      <c r="B41289" s="0" t="s">
        <v>14</v>
      </c>
    </row>
    <row r="41291" customFormat="false" ht="12.8" hidden="false" customHeight="false" outlineLevel="0" collapsed="false">
      <c r="A41291" s="0" t="s">
        <v>14874</v>
      </c>
      <c r="B41291" s="0" t="str">
        <f aca="false">HYPERLINK("https://lindat.mff.cuni.cz/services/teitok/pdtc10/index.php?action=vallex&amp;frame=v-w5684f1", "rozloučit se (v-w5684f1)")</f>
        <v>rozloučit se (v-w5684f1)</v>
      </c>
    </row>
    <row r="41292" customFormat="false" ht="12.8" hidden="false" customHeight="false" outlineLevel="0" collapsed="false">
      <c r="B41292" s="0" t="s">
        <v>7</v>
      </c>
      <c r="E41292" s="0" t="s">
        <v>247</v>
      </c>
      <c r="F41292" s="0" t="s">
        <v>247</v>
      </c>
    </row>
    <row r="41293" customFormat="false" ht="12.8" hidden="false" customHeight="false" outlineLevel="0" collapsed="false">
      <c r="B41293" s="0" t="s">
        <v>548</v>
      </c>
    </row>
    <row r="41295" customFormat="false" ht="12.8" hidden="false" customHeight="false" outlineLevel="0" collapsed="false">
      <c r="A41295" s="0" t="s">
        <v>14875</v>
      </c>
      <c r="B41295" s="0" t="str">
        <f aca="false">HYPERLINK("https://lindat.mff.cuni.cz/services/teitok/pdtc10/index.php?action=vallex&amp;frame=v-w5686f3", "rozložit (v-w5686f3)")</f>
        <v>rozložit (v-w5686f3)</v>
      </c>
    </row>
    <row r="41296" customFormat="false" ht="12.8" hidden="false" customHeight="false" outlineLevel="0" collapsed="false">
      <c r="B41296" s="0" t="s">
        <v>7</v>
      </c>
      <c r="C41296" s="0" t="s">
        <v>14876</v>
      </c>
      <c r="D41296" s="0" t="s">
        <v>2507</v>
      </c>
      <c r="E41296" s="0" t="s">
        <v>2507</v>
      </c>
      <c r="F41296" s="0" t="s">
        <v>2507</v>
      </c>
    </row>
    <row r="41297" customFormat="false" ht="12.8" hidden="false" customHeight="false" outlineLevel="0" collapsed="false">
      <c r="B41297" s="0" t="s">
        <v>14</v>
      </c>
      <c r="D41297" s="0" t="s">
        <v>25</v>
      </c>
      <c r="E41297" s="0" t="s">
        <v>25</v>
      </c>
      <c r="F41297" s="0" t="s">
        <v>25</v>
      </c>
    </row>
    <row r="41298" customFormat="false" ht="12.8" hidden="false" customHeight="false" outlineLevel="0" collapsed="false">
      <c r="B41298" s="0" t="s">
        <v>3560</v>
      </c>
      <c r="C41298" s="0" t="s">
        <v>14471</v>
      </c>
      <c r="D41298" s="0" t="s">
        <v>1556</v>
      </c>
      <c r="E41298" s="0" t="s">
        <v>1556</v>
      </c>
      <c r="F41298" s="0" t="s">
        <v>1556</v>
      </c>
    </row>
    <row r="41300" customFormat="false" ht="12.8" hidden="false" customHeight="false" outlineLevel="0" collapsed="false">
      <c r="A41300" s="0" t="s">
        <v>14877</v>
      </c>
      <c r="B41300" s="0" t="str">
        <f aca="false">HYPERLINK("https://lindat.mff.cuni.cz/services/teitok/pdtc10/index.php?action=vallex&amp;frame=v-w5686f2", "rozložit (v-w5686f2)")</f>
        <v>rozložit (v-w5686f2)</v>
      </c>
    </row>
    <row r="41301" customFormat="false" ht="12.8" hidden="false" customHeight="false" outlineLevel="0" collapsed="false">
      <c r="B41301" s="0" t="s">
        <v>7</v>
      </c>
    </row>
    <row r="41302" customFormat="false" ht="12.8" hidden="false" customHeight="false" outlineLevel="0" collapsed="false">
      <c r="B41302" s="0" t="s">
        <v>14</v>
      </c>
    </row>
    <row r="41303" customFormat="false" ht="12.8" hidden="false" customHeight="false" outlineLevel="0" collapsed="false">
      <c r="B41303" s="0" t="s">
        <v>84</v>
      </c>
    </row>
    <row r="41305" customFormat="false" ht="12.8" hidden="false" customHeight="false" outlineLevel="0" collapsed="false">
      <c r="A41305" s="0" t="s">
        <v>14878</v>
      </c>
      <c r="B41305" s="0" t="str">
        <f aca="false">HYPERLINK("https://lindat.mff.cuni.cz/services/teitok/pdtc10/index.php?action=vallex&amp;frame=v-w5686f4", "rozložit (v-w5686f4)")</f>
        <v>rozložit (v-w5686f4)</v>
      </c>
    </row>
    <row r="41306" customFormat="false" ht="12.8" hidden="false" customHeight="false" outlineLevel="0" collapsed="false">
      <c r="B41306" s="0" t="s">
        <v>7</v>
      </c>
      <c r="C41306" s="0" t="s">
        <v>22</v>
      </c>
      <c r="D41306" s="0" t="s">
        <v>1287</v>
      </c>
      <c r="E41306" s="0" t="s">
        <v>1287</v>
      </c>
      <c r="F41306" s="0" t="s">
        <v>1287</v>
      </c>
    </row>
    <row r="41307" customFormat="false" ht="12.8" hidden="false" customHeight="false" outlineLevel="0" collapsed="false">
      <c r="B41307" s="0" t="s">
        <v>14</v>
      </c>
      <c r="C41307" s="0" t="s">
        <v>14879</v>
      </c>
      <c r="D41307" s="0" t="s">
        <v>2517</v>
      </c>
      <c r="E41307" s="0" t="s">
        <v>2517</v>
      </c>
      <c r="F41307" s="0" t="s">
        <v>2517</v>
      </c>
    </row>
    <row r="41308" customFormat="false" ht="12.8" hidden="false" customHeight="false" outlineLevel="0" collapsed="false">
      <c r="B41308" s="0" t="s">
        <v>84</v>
      </c>
      <c r="D41308" s="0" t="s">
        <v>4598</v>
      </c>
      <c r="E41308" s="0" t="s">
        <v>4598</v>
      </c>
      <c r="F41308" s="0" t="s">
        <v>4598</v>
      </c>
    </row>
    <row r="41310" customFormat="false" ht="12.8" hidden="false" customHeight="false" outlineLevel="0" collapsed="false">
      <c r="A41310" s="0" t="s">
        <v>14880</v>
      </c>
      <c r="B41310" s="0" t="str">
        <f aca="false">HYPERLINK("https://lindat.mff.cuni.cz/services/teitok/pdtc10/index.php?action=vallex&amp;frame=v-w5686f6", "rozložit (v-w5686f6)")</f>
        <v>rozložit (v-w5686f6)</v>
      </c>
    </row>
    <row r="41311" customFormat="false" ht="12.8" hidden="false" customHeight="false" outlineLevel="0" collapsed="false">
      <c r="B41311" s="0" t="s">
        <v>7</v>
      </c>
    </row>
    <row r="41312" customFormat="false" ht="12.8" hidden="false" customHeight="false" outlineLevel="0" collapsed="false">
      <c r="B41312" s="0" t="s">
        <v>14</v>
      </c>
    </row>
    <row r="41313" customFormat="false" ht="12.8" hidden="false" customHeight="false" outlineLevel="0" collapsed="false">
      <c r="B41313" s="0" t="s">
        <v>14755</v>
      </c>
    </row>
    <row r="41315" customFormat="false" ht="12.8" hidden="false" customHeight="false" outlineLevel="0" collapsed="false">
      <c r="A41315" s="0" t="s">
        <v>14880</v>
      </c>
      <c r="B41315" s="0" t="str">
        <f aca="false">HYPERLINK("https://lindat.mff.cuni.cz/services/teitok/pdtc10/index.php?action=vallex&amp;frame=v-w5686f1", "rozložit (v-w5686f1) - substituted with v-w5686f6")</f>
        <v>rozložit (v-w5686f1) - substituted with v-w5686f6</v>
      </c>
    </row>
    <row r="41316" customFormat="false" ht="12.8" hidden="false" customHeight="false" outlineLevel="0" collapsed="false">
      <c r="B41316" s="0" t="s">
        <v>7</v>
      </c>
    </row>
    <row r="41317" customFormat="false" ht="12.8" hidden="false" customHeight="false" outlineLevel="0" collapsed="false">
      <c r="B41317" s="0" t="s">
        <v>14</v>
      </c>
    </row>
    <row r="41318" customFormat="false" ht="12.8" hidden="false" customHeight="false" outlineLevel="0" collapsed="false">
      <c r="B41318" s="0" t="s">
        <v>14755</v>
      </c>
    </row>
    <row r="41320" customFormat="false" ht="12.8" hidden="false" customHeight="false" outlineLevel="0" collapsed="false">
      <c r="A41320" s="0" t="s">
        <v>14881</v>
      </c>
      <c r="B41320" s="0" t="str">
        <f aca="false">HYPERLINK("https://lindat.mff.cuni.cz/services/teitok/pdtc10/index.php?action=vallex&amp;frame=v-w5686f5", "rozložit (v-w5686f5)")</f>
        <v>rozložit (v-w5686f5)</v>
      </c>
    </row>
    <row r="41321" customFormat="false" ht="12.8" hidden="false" customHeight="false" outlineLevel="0" collapsed="false">
      <c r="B41321" s="0" t="s">
        <v>7</v>
      </c>
    </row>
    <row r="41322" customFormat="false" ht="12.8" hidden="false" customHeight="false" outlineLevel="0" collapsed="false">
      <c r="B41322" s="0" t="s">
        <v>14</v>
      </c>
    </row>
    <row r="41324" customFormat="false" ht="12.8" hidden="false" customHeight="false" outlineLevel="0" collapsed="false">
      <c r="A41324" s="0" t="s">
        <v>14882</v>
      </c>
      <c r="B41324" s="0" t="str">
        <f aca="false">HYPERLINK("https://lindat.mff.cuni.cz/services/teitok/pdtc10/index.php?action=vallex&amp;frame=v-w5687f1", "rozložit se (v-w5687f1)")</f>
        <v>rozložit se (v-w5687f1)</v>
      </c>
    </row>
    <row r="41325" customFormat="false" ht="12.8" hidden="false" customHeight="false" outlineLevel="0" collapsed="false">
      <c r="B41325" s="0" t="s">
        <v>7</v>
      </c>
    </row>
    <row r="41326" customFormat="false" ht="12.8" hidden="false" customHeight="false" outlineLevel="0" collapsed="false">
      <c r="B41326" s="0" t="s">
        <v>11</v>
      </c>
    </row>
    <row r="41328" customFormat="false" ht="12.8" hidden="false" customHeight="false" outlineLevel="0" collapsed="false">
      <c r="A41328" s="0" t="s">
        <v>14883</v>
      </c>
      <c r="B41328" s="0" t="str">
        <f aca="false">HYPERLINK("https://lindat.mff.cuni.cz/services/teitok/pdtc10/index.php?action=vallex&amp;frame=v-w5687f2_ZU", "rozložit se (v-w5687f2_ZU)")</f>
        <v>rozložit se (v-w5687f2_ZU)</v>
      </c>
    </row>
    <row r="41329" customFormat="false" ht="12.8" hidden="false" customHeight="false" outlineLevel="0" collapsed="false">
      <c r="B41329" s="0" t="s">
        <v>7</v>
      </c>
      <c r="C41329" s="0" t="s">
        <v>247</v>
      </c>
      <c r="D41329" s="0" t="s">
        <v>247</v>
      </c>
      <c r="E41329" s="0" t="s">
        <v>247</v>
      </c>
      <c r="F41329" s="0" t="s">
        <v>247</v>
      </c>
    </row>
    <row r="41331" customFormat="false" ht="12.8" hidden="false" customHeight="false" outlineLevel="0" collapsed="false">
      <c r="A41331" s="0" t="s">
        <v>14884</v>
      </c>
      <c r="B41331" s="0" t="str">
        <f aca="false">HYPERLINK("https://lindat.mff.cuni.cz/services/teitok/pdtc10/index.php?action=vallex&amp;frame=v-w11814_ZUf1_ZU", "rozlučovat (v-w11814_ZUf1_ZU)")</f>
        <v>rozlučovat (v-w11814_ZUf1_ZU)</v>
      </c>
    </row>
    <row r="41332" customFormat="false" ht="12.8" hidden="false" customHeight="false" outlineLevel="0" collapsed="false">
      <c r="B41332" s="0" t="s">
        <v>7</v>
      </c>
    </row>
    <row r="41333" customFormat="false" ht="12.8" hidden="false" customHeight="false" outlineLevel="0" collapsed="false">
      <c r="B41333" s="0" t="s">
        <v>14</v>
      </c>
    </row>
    <row r="41334" customFormat="false" ht="12.8" hidden="false" customHeight="false" outlineLevel="0" collapsed="false">
      <c r="B41334" s="0" t="s">
        <v>441</v>
      </c>
    </row>
    <row r="41336" customFormat="false" ht="12.8" hidden="false" customHeight="false" outlineLevel="0" collapsed="false">
      <c r="A41336" s="0" t="s">
        <v>14885</v>
      </c>
      <c r="B41336" s="0" t="str">
        <f aca="false">HYPERLINK("https://lindat.mff.cuni.cz/services/teitok/pdtc10/index.php?action=vallex&amp;frame=v-w5688f1", "rozluštit (v-w5688f1)")</f>
        <v>rozluštit (v-w5688f1)</v>
      </c>
    </row>
    <row r="41337" customFormat="false" ht="12.8" hidden="false" customHeight="false" outlineLevel="0" collapsed="false">
      <c r="B41337" s="0" t="s">
        <v>7</v>
      </c>
      <c r="E41337" s="0" t="s">
        <v>2643</v>
      </c>
      <c r="F41337" s="0" t="s">
        <v>2643</v>
      </c>
    </row>
    <row r="41338" customFormat="false" ht="12.8" hidden="false" customHeight="false" outlineLevel="0" collapsed="false">
      <c r="B41338" s="0" t="s">
        <v>2030</v>
      </c>
      <c r="E41338" s="0" t="s">
        <v>14886</v>
      </c>
      <c r="F41338" s="0" t="s">
        <v>14886</v>
      </c>
    </row>
    <row r="41340" customFormat="false" ht="12.8" hidden="false" customHeight="false" outlineLevel="0" collapsed="false">
      <c r="A41340" s="0" t="s">
        <v>14887</v>
      </c>
      <c r="B41340" s="0" t="str">
        <f aca="false">HYPERLINK("https://lindat.mff.cuni.cz/services/teitok/pdtc10/index.php?action=vallex&amp;frame=v-w10626f2", "rozlámat (v-w10626f2)")</f>
        <v>rozlámat (v-w10626f2)</v>
      </c>
    </row>
    <row r="41341" customFormat="false" ht="12.8" hidden="false" customHeight="false" outlineLevel="0" collapsed="false">
      <c r="B41341" s="0" t="s">
        <v>7</v>
      </c>
      <c r="C41341" s="0" t="s">
        <v>113</v>
      </c>
      <c r="D41341" s="0" t="s">
        <v>14615</v>
      </c>
      <c r="E41341" s="0" t="s">
        <v>14616</v>
      </c>
      <c r="F41341" s="0" t="s">
        <v>14616</v>
      </c>
    </row>
    <row r="41342" customFormat="false" ht="12.8" hidden="false" customHeight="false" outlineLevel="0" collapsed="false">
      <c r="B41342" s="0" t="s">
        <v>14</v>
      </c>
      <c r="C41342" s="0" t="s">
        <v>1209</v>
      </c>
      <c r="D41342" s="0" t="s">
        <v>14617</v>
      </c>
      <c r="E41342" s="0" t="s">
        <v>4577</v>
      </c>
      <c r="F41342" s="0" t="s">
        <v>4577</v>
      </c>
    </row>
    <row r="41343" customFormat="false" ht="12.8" hidden="false" customHeight="false" outlineLevel="0" collapsed="false">
      <c r="B41343" s="0" t="s">
        <v>3993</v>
      </c>
      <c r="D41343" s="0" t="s">
        <v>14618</v>
      </c>
      <c r="E41343" s="0" t="s">
        <v>14619</v>
      </c>
      <c r="F41343" s="0" t="s">
        <v>14619</v>
      </c>
    </row>
    <row r="41345" customFormat="false" ht="12.8" hidden="false" customHeight="false" outlineLevel="0" collapsed="false">
      <c r="A41345" s="0" t="s">
        <v>14888</v>
      </c>
      <c r="B41345" s="0" t="str">
        <f aca="false">HYPERLINK("https://lindat.mff.cuni.cz/services/teitok/pdtc10/index.php?action=vallex&amp;frame=v-w5676f1", "rozléhat se (v-w5676f1)")</f>
        <v>rozléhat se (v-w5676f1)</v>
      </c>
    </row>
    <row r="41346" customFormat="false" ht="12.8" hidden="false" customHeight="false" outlineLevel="0" collapsed="false">
      <c r="B41346" s="0" t="s">
        <v>7</v>
      </c>
      <c r="C41346" s="0" t="s">
        <v>247</v>
      </c>
    </row>
    <row r="41348" customFormat="false" ht="12.8" hidden="false" customHeight="false" outlineLevel="0" collapsed="false">
      <c r="A41348" s="0" t="s">
        <v>14889</v>
      </c>
      <c r="B41348" s="0" t="str">
        <f aca="false">HYPERLINK("https://lindat.mff.cuni.cz/services/teitok/pdtc10/index.php?action=vallex&amp;frame=v-w11909_ZUf1_ZU", "rozlít si (v-w11909_ZUf1_ZU)")</f>
        <v>rozlít si (v-w11909_ZUf1_ZU)</v>
      </c>
    </row>
    <row r="41349" customFormat="false" ht="12.8" hidden="false" customHeight="false" outlineLevel="0" collapsed="false">
      <c r="B41349" s="0" t="s">
        <v>7</v>
      </c>
    </row>
    <row r="41350" customFormat="false" ht="12.8" hidden="false" customHeight="false" outlineLevel="0" collapsed="false">
      <c r="B41350" s="0" t="s">
        <v>525</v>
      </c>
    </row>
    <row r="41351" customFormat="false" ht="12.8" hidden="false" customHeight="false" outlineLevel="0" collapsed="false">
      <c r="B41351" s="0" t="s">
        <v>14890</v>
      </c>
    </row>
    <row r="41353" customFormat="false" ht="12.8" hidden="false" customHeight="false" outlineLevel="0" collapsed="false">
      <c r="A41353" s="0" t="s">
        <v>14891</v>
      </c>
      <c r="B41353" s="0" t="str">
        <f aca="false">HYPERLINK("https://lindat.mff.cuni.cz/services/teitok/pdtc10/index.php?action=vallex&amp;frame=v-w5682f1", "rozlítit (v-w5682f1)")</f>
        <v>rozlítit (v-w5682f1)</v>
      </c>
    </row>
    <row r="41354" customFormat="false" ht="12.8" hidden="false" customHeight="false" outlineLevel="0" collapsed="false">
      <c r="B41354" s="0" t="s">
        <v>7</v>
      </c>
    </row>
    <row r="41355" customFormat="false" ht="12.8" hidden="false" customHeight="false" outlineLevel="0" collapsed="false">
      <c r="B41355" s="0" t="s">
        <v>14</v>
      </c>
    </row>
    <row r="41357" customFormat="false" ht="12.8" hidden="false" customHeight="false" outlineLevel="0" collapsed="false">
      <c r="A41357" s="0" t="s">
        <v>14892</v>
      </c>
      <c r="B41357" s="0" t="str">
        <f aca="false">HYPERLINK("https://lindat.mff.cuni.cz/services/teitok/pdtc10/index.php?action=vallex&amp;frame=v-w11687_ZUf1_ZU", "rozmachovat se (v-w11687_ZUf1_ZU)")</f>
        <v>rozmachovat se (v-w11687_ZUf1_ZU)</v>
      </c>
    </row>
    <row r="41358" customFormat="false" ht="12.8" hidden="false" customHeight="false" outlineLevel="0" collapsed="false">
      <c r="B41358" s="0" t="s">
        <v>7</v>
      </c>
    </row>
    <row r="41360" customFormat="false" ht="12.8" hidden="false" customHeight="false" outlineLevel="0" collapsed="false">
      <c r="A41360" s="0" t="s">
        <v>14893</v>
      </c>
      <c r="B41360" s="0" t="str">
        <f aca="false">HYPERLINK("https://lindat.mff.cuni.cz/services/teitok/pdtc10/index.php?action=vallex&amp;frame=v-whsa_1244f1_ZU", "rozmazlovat (v-whsa_1244f1_ZU)")</f>
        <v>rozmazlovat (v-whsa_1244f1_ZU)</v>
      </c>
    </row>
    <row r="41361" customFormat="false" ht="12.8" hidden="false" customHeight="false" outlineLevel="0" collapsed="false">
      <c r="B41361" s="0" t="s">
        <v>7</v>
      </c>
      <c r="C41361" s="0" t="s">
        <v>191</v>
      </c>
    </row>
    <row r="41362" customFormat="false" ht="12.8" hidden="false" customHeight="false" outlineLevel="0" collapsed="false">
      <c r="B41362" s="0" t="s">
        <v>14</v>
      </c>
      <c r="C41362" s="0" t="s">
        <v>155</v>
      </c>
    </row>
    <row r="41364" customFormat="false" ht="12.8" hidden="false" customHeight="false" outlineLevel="0" collapsed="false">
      <c r="A41364" s="0" t="s">
        <v>14893</v>
      </c>
      <c r="B41364" s="0" t="str">
        <f aca="false">HYPERLINK("https://lindat.mff.cuni.cz/services/teitok/pdtc10/index.php?action=vallex&amp;frame=v-whsa_1244hsa_1245", "rozmazlovat (v-whsa_1244hsa_1245) - substituted with v-whsa_1244f1_ZU")</f>
        <v>rozmazlovat (v-whsa_1244hsa_1245) - substituted with v-whsa_1244f1_ZU</v>
      </c>
    </row>
    <row r="41365" customFormat="false" ht="12.8" hidden="false" customHeight="false" outlineLevel="0" collapsed="false">
      <c r="B41365" s="0" t="s">
        <v>7</v>
      </c>
    </row>
    <row r="41366" customFormat="false" ht="12.8" hidden="false" customHeight="false" outlineLevel="0" collapsed="false">
      <c r="B41366" s="0" t="s">
        <v>14</v>
      </c>
    </row>
    <row r="41368" customFormat="false" ht="12.8" hidden="false" customHeight="false" outlineLevel="0" collapsed="false">
      <c r="A41368" s="0" t="s">
        <v>14894</v>
      </c>
      <c r="B41368" s="0" t="str">
        <f aca="false">HYPERLINK("https://lindat.mff.cuni.cz/services/teitok/pdtc10/index.php?action=vallex&amp;frame=v-w10385f2", "rozmazávat (v-w10385f2)")</f>
        <v>rozmazávat (v-w10385f2)</v>
      </c>
    </row>
    <row r="41369" customFormat="false" ht="12.8" hidden="false" customHeight="false" outlineLevel="0" collapsed="false">
      <c r="B41369" s="0" t="s">
        <v>7</v>
      </c>
    </row>
    <row r="41370" customFormat="false" ht="12.8" hidden="false" customHeight="false" outlineLevel="0" collapsed="false">
      <c r="B41370" s="0" t="s">
        <v>14</v>
      </c>
    </row>
    <row r="41372" customFormat="false" ht="12.8" hidden="false" customHeight="false" outlineLevel="0" collapsed="false">
      <c r="A41372" s="0" t="s">
        <v>14895</v>
      </c>
      <c r="B41372" s="0" t="str">
        <f aca="false">HYPERLINK("https://lindat.mff.cuni.cz/services/teitok/pdtc10/index.php?action=vallex&amp;frame=v-w10057f2", "rozmačkat (v-w10057f2)")</f>
        <v>rozmačkat (v-w10057f2)</v>
      </c>
    </row>
    <row r="41373" customFormat="false" ht="12.8" hidden="false" customHeight="false" outlineLevel="0" collapsed="false">
      <c r="B41373" s="0" t="s">
        <v>7</v>
      </c>
    </row>
    <row r="41374" customFormat="false" ht="12.8" hidden="false" customHeight="false" outlineLevel="0" collapsed="false">
      <c r="B41374" s="0" t="s">
        <v>14</v>
      </c>
    </row>
    <row r="41375" customFormat="false" ht="12.8" hidden="false" customHeight="false" outlineLevel="0" collapsed="false">
      <c r="B41375" s="0" t="s">
        <v>84</v>
      </c>
    </row>
    <row r="41377" customFormat="false" ht="12.8" hidden="false" customHeight="false" outlineLevel="0" collapsed="false">
      <c r="A41377" s="0" t="s">
        <v>14896</v>
      </c>
      <c r="B41377" s="0" t="str">
        <f aca="false">HYPERLINK("https://lindat.mff.cuni.cz/services/teitok/pdtc10/index.php?action=vallex&amp;frame=v-w5695f1", "rozmetat (v-w5695f1)")</f>
        <v>rozmetat (v-w5695f1)</v>
      </c>
    </row>
    <row r="41378" customFormat="false" ht="12.8" hidden="false" customHeight="false" outlineLevel="0" collapsed="false">
      <c r="B41378" s="0" t="s">
        <v>7</v>
      </c>
    </row>
    <row r="41379" customFormat="false" ht="12.8" hidden="false" customHeight="false" outlineLevel="0" collapsed="false">
      <c r="B41379" s="0" t="s">
        <v>14</v>
      </c>
      <c r="C41379" s="0" t="s">
        <v>384</v>
      </c>
    </row>
    <row r="41381" customFormat="false" ht="12.8" hidden="false" customHeight="false" outlineLevel="0" collapsed="false">
      <c r="A41381" s="0" t="s">
        <v>14897</v>
      </c>
      <c r="B41381" s="0" t="str">
        <f aca="false">HYPERLINK("https://lindat.mff.cuni.cz/services/teitok/pdtc10/index.php?action=vallex&amp;frame=v-w5700f1", "rozmlouvat (v-w5700f1)")</f>
        <v>rozmlouvat (v-w5700f1)</v>
      </c>
    </row>
    <row r="41382" customFormat="false" ht="12.8" hidden="false" customHeight="false" outlineLevel="0" collapsed="false">
      <c r="B41382" s="0" t="s">
        <v>7</v>
      </c>
      <c r="E41382" s="0" t="s">
        <v>11767</v>
      </c>
      <c r="F41382" s="0" t="s">
        <v>11767</v>
      </c>
    </row>
    <row r="41383" customFormat="false" ht="12.8" hidden="false" customHeight="false" outlineLevel="0" collapsed="false">
      <c r="B41383" s="0" t="s">
        <v>244</v>
      </c>
      <c r="E41383" s="0" t="s">
        <v>11769</v>
      </c>
      <c r="F41383" s="0" t="s">
        <v>11769</v>
      </c>
    </row>
    <row r="41384" customFormat="false" ht="12.8" hidden="false" customHeight="false" outlineLevel="0" collapsed="false">
      <c r="B41384" s="0" t="s">
        <v>207</v>
      </c>
      <c r="E41384" s="0" t="s">
        <v>11770</v>
      </c>
      <c r="F41384" s="0" t="s">
        <v>11770</v>
      </c>
    </row>
    <row r="41386" customFormat="false" ht="12.8" hidden="false" customHeight="false" outlineLevel="0" collapsed="false">
      <c r="A41386" s="0" t="s">
        <v>14898</v>
      </c>
      <c r="B41386" s="0" t="str">
        <f aca="false">HYPERLINK("https://lindat.mff.cuni.cz/services/teitok/pdtc10/index.php?action=vallex&amp;frame=v-w5700hsa_1903", "rozmlouvat (v-w5700hsa_1903)")</f>
        <v>rozmlouvat (v-w5700hsa_1903)</v>
      </c>
    </row>
    <row r="41387" customFormat="false" ht="12.8" hidden="false" customHeight="false" outlineLevel="0" collapsed="false">
      <c r="B41387" s="0" t="s">
        <v>7</v>
      </c>
    </row>
    <row r="41388" customFormat="false" ht="12.8" hidden="false" customHeight="false" outlineLevel="0" collapsed="false">
      <c r="B41388" s="0" t="s">
        <v>14</v>
      </c>
    </row>
    <row r="41389" customFormat="false" ht="12.8" hidden="false" customHeight="false" outlineLevel="0" collapsed="false">
      <c r="B41389" s="0" t="s">
        <v>48</v>
      </c>
    </row>
    <row r="41391" customFormat="false" ht="12.8" hidden="false" customHeight="false" outlineLevel="0" collapsed="false">
      <c r="A41391" s="0" t="s">
        <v>14899</v>
      </c>
      <c r="B41391" s="0" t="str">
        <f aca="false">HYPERLINK("https://lindat.mff.cuni.cz/services/teitok/pdtc10/index.php?action=vallex&amp;frame=v-w11032f2", "rozmluvit (v-w11032f2)")</f>
        <v>rozmluvit (v-w11032f2)</v>
      </c>
    </row>
    <row r="41392" customFormat="false" ht="12.8" hidden="false" customHeight="false" outlineLevel="0" collapsed="false">
      <c r="B41392" s="0" t="s">
        <v>7</v>
      </c>
      <c r="C41392" s="0" t="s">
        <v>191</v>
      </c>
      <c r="D41392" s="0" t="s">
        <v>191</v>
      </c>
      <c r="E41392" s="0" t="s">
        <v>191</v>
      </c>
      <c r="F41392" s="0" t="s">
        <v>191</v>
      </c>
    </row>
    <row r="41393" customFormat="false" ht="12.8" hidden="false" customHeight="false" outlineLevel="0" collapsed="false">
      <c r="B41393" s="0" t="s">
        <v>14</v>
      </c>
      <c r="C41393" s="0" t="s">
        <v>8609</v>
      </c>
      <c r="D41393" s="0" t="s">
        <v>8609</v>
      </c>
      <c r="E41393" s="0" t="s">
        <v>8609</v>
      </c>
      <c r="F41393" s="0" t="s">
        <v>8609</v>
      </c>
    </row>
    <row r="41394" customFormat="false" ht="12.8" hidden="false" customHeight="false" outlineLevel="0" collapsed="false">
      <c r="B41394" s="0" t="s">
        <v>48</v>
      </c>
      <c r="C41394" s="0" t="s">
        <v>4656</v>
      </c>
      <c r="D41394" s="0" t="s">
        <v>4656</v>
      </c>
      <c r="E41394" s="0" t="s">
        <v>4656</v>
      </c>
      <c r="F41394" s="0" t="s">
        <v>4656</v>
      </c>
    </row>
    <row r="41396" customFormat="false" ht="12.8" hidden="false" customHeight="false" outlineLevel="0" collapsed="false">
      <c r="A41396" s="0" t="s">
        <v>14900</v>
      </c>
      <c r="B41396" s="0" t="str">
        <f aca="false">HYPERLINK("https://lindat.mff.cuni.cz/services/teitok/pdtc10/index.php?action=vallex&amp;frame=v-w12094_ZUf1_ZU", "rozmluvit se (v-w12094_ZUf1_ZU)")</f>
        <v>rozmluvit se (v-w12094_ZUf1_ZU)</v>
      </c>
    </row>
    <row r="41397" customFormat="false" ht="12.8" hidden="false" customHeight="false" outlineLevel="0" collapsed="false">
      <c r="B41397" s="0" t="s">
        <v>7</v>
      </c>
    </row>
    <row r="41399" customFormat="false" ht="12.8" hidden="false" customHeight="false" outlineLevel="0" collapsed="false">
      <c r="A41399" s="0" t="s">
        <v>14901</v>
      </c>
      <c r="B41399" s="0" t="str">
        <f aca="false">HYPERLINK("https://lindat.mff.cuni.cz/services/teitok/pdtc10/index.php?action=vallex&amp;frame=v-whsa_1316hsa_1317", "rozmlátit (v-whsa_1316hsa_1317)")</f>
        <v>rozmlátit (v-whsa_1316hsa_1317)</v>
      </c>
    </row>
    <row r="41400" customFormat="false" ht="12.8" hidden="false" customHeight="false" outlineLevel="0" collapsed="false">
      <c r="B41400" s="0" t="s">
        <v>7</v>
      </c>
    </row>
    <row r="41401" customFormat="false" ht="12.8" hidden="false" customHeight="false" outlineLevel="0" collapsed="false">
      <c r="B41401" s="0" t="s">
        <v>14</v>
      </c>
    </row>
    <row r="41402" customFormat="false" ht="12.8" hidden="false" customHeight="false" outlineLevel="0" collapsed="false">
      <c r="B41402" s="0" t="s">
        <v>84</v>
      </c>
    </row>
    <row r="41404" customFormat="false" ht="12.8" hidden="false" customHeight="false" outlineLevel="0" collapsed="false">
      <c r="A41404" s="0" t="s">
        <v>14902</v>
      </c>
      <c r="B41404" s="0" t="str">
        <f aca="false">HYPERLINK("https://lindat.mff.cuni.cz/services/teitok/pdtc10/index.php?action=vallex&amp;frame=v-w5702f1", "rozmnožit (v-w5702f1)")</f>
        <v>rozmnožit (v-w5702f1)</v>
      </c>
    </row>
    <row r="41405" customFormat="false" ht="12.8" hidden="false" customHeight="false" outlineLevel="0" collapsed="false">
      <c r="B41405" s="0" t="s">
        <v>7</v>
      </c>
    </row>
    <row r="41406" customFormat="false" ht="12.8" hidden="false" customHeight="false" outlineLevel="0" collapsed="false">
      <c r="B41406" s="0" t="s">
        <v>14</v>
      </c>
    </row>
    <row r="41407" customFormat="false" ht="12.8" hidden="false" customHeight="false" outlineLevel="0" collapsed="false">
      <c r="B41407" s="0" t="s">
        <v>35</v>
      </c>
    </row>
    <row r="41408" customFormat="false" ht="12.8" hidden="false" customHeight="false" outlineLevel="0" collapsed="false">
      <c r="B41408" s="0" t="s">
        <v>84</v>
      </c>
    </row>
    <row r="41410" customFormat="false" ht="12.8" hidden="false" customHeight="false" outlineLevel="0" collapsed="false">
      <c r="A41410" s="0" t="s">
        <v>14903</v>
      </c>
      <c r="B41410" s="0" t="str">
        <f aca="false">HYPERLINK("https://lindat.mff.cuni.cz/services/teitok/pdtc10/index.php?action=vallex&amp;frame=v-w5702f2", "rozmnožit (v-w5702f2)")</f>
        <v>rozmnožit (v-w5702f2)</v>
      </c>
    </row>
    <row r="41411" customFormat="false" ht="12.8" hidden="false" customHeight="false" outlineLevel="0" collapsed="false">
      <c r="B41411" s="0" t="s">
        <v>7</v>
      </c>
      <c r="D41411" s="0" t="s">
        <v>113</v>
      </c>
      <c r="E41411" s="0" t="s">
        <v>113</v>
      </c>
      <c r="F41411" s="0" t="s">
        <v>113</v>
      </c>
    </row>
    <row r="41412" customFormat="false" ht="12.8" hidden="false" customHeight="false" outlineLevel="0" collapsed="false">
      <c r="B41412" s="0" t="s">
        <v>14</v>
      </c>
      <c r="D41412" s="0" t="s">
        <v>624</v>
      </c>
      <c r="E41412" s="0" t="s">
        <v>624</v>
      </c>
      <c r="F41412" s="0" t="s">
        <v>624</v>
      </c>
    </row>
    <row r="41414" customFormat="false" ht="12.8" hidden="false" customHeight="false" outlineLevel="0" collapsed="false">
      <c r="A41414" s="0" t="s">
        <v>14904</v>
      </c>
      <c r="B41414" s="0" t="str">
        <f aca="false">HYPERLINK("https://lindat.mff.cuni.cz/services/teitok/pdtc10/index.php?action=vallex&amp;frame=v-whsb_159hsa_160", "rozmnožit se (v-whsb_159hsa_160)")</f>
        <v>rozmnožit se (v-whsb_159hsa_160)</v>
      </c>
    </row>
    <row r="41415" customFormat="false" ht="12.8" hidden="false" customHeight="false" outlineLevel="0" collapsed="false">
      <c r="B41415" s="0" t="s">
        <v>7</v>
      </c>
    </row>
    <row r="41417" customFormat="false" ht="12.8" hidden="false" customHeight="false" outlineLevel="0" collapsed="false">
      <c r="A41417" s="0" t="s">
        <v>14905</v>
      </c>
      <c r="B41417" s="0" t="str">
        <f aca="false">HYPERLINK("https://lindat.mff.cuni.cz/services/teitok/pdtc10/index.php?action=vallex&amp;frame=v-w11805_ZUf1_ZU", "rozmnožovat (v-w11805_ZUf1_ZU)")</f>
        <v>rozmnožovat (v-w11805_ZUf1_ZU)</v>
      </c>
    </row>
    <row r="41418" customFormat="false" ht="12.8" hidden="false" customHeight="false" outlineLevel="0" collapsed="false">
      <c r="B41418" s="0" t="s">
        <v>7</v>
      </c>
    </row>
    <row r="41419" customFormat="false" ht="12.8" hidden="false" customHeight="false" outlineLevel="0" collapsed="false">
      <c r="B41419" s="0" t="s">
        <v>14</v>
      </c>
    </row>
    <row r="41421" customFormat="false" ht="12.8" hidden="false" customHeight="false" outlineLevel="0" collapsed="false">
      <c r="A41421" s="0" t="s">
        <v>14906</v>
      </c>
      <c r="B41421" s="0" t="str">
        <f aca="false">HYPERLINK("https://lindat.mff.cuni.cz/services/teitok/pdtc10/index.php?action=vallex&amp;frame=v-w11576_ZUf1_ZU", "rozmoci se (v-w11576_ZUf1_ZU)")</f>
        <v>rozmoci se (v-w11576_ZUf1_ZU)</v>
      </c>
    </row>
    <row r="41422" customFormat="false" ht="12.8" hidden="false" customHeight="false" outlineLevel="0" collapsed="false">
      <c r="B41422" s="0" t="s">
        <v>7</v>
      </c>
    </row>
    <row r="41424" customFormat="false" ht="12.8" hidden="false" customHeight="false" outlineLevel="0" collapsed="false">
      <c r="A41424" s="0" t="s">
        <v>14907</v>
      </c>
      <c r="B41424" s="0" t="str">
        <f aca="false">HYPERLINK("https://lindat.mff.cuni.cz/services/teitok/pdtc10/index.php?action=vallex&amp;frame=v-w5703f1", "rozmotat (v-w5703f1)")</f>
        <v>rozmotat (v-w5703f1)</v>
      </c>
    </row>
    <row r="41425" customFormat="false" ht="12.8" hidden="false" customHeight="false" outlineLevel="0" collapsed="false">
      <c r="B41425" s="0" t="s">
        <v>7</v>
      </c>
    </row>
    <row r="41426" customFormat="false" ht="12.8" hidden="false" customHeight="false" outlineLevel="0" collapsed="false">
      <c r="B41426" s="0" t="s">
        <v>14</v>
      </c>
    </row>
    <row r="41428" customFormat="false" ht="12.8" hidden="false" customHeight="false" outlineLevel="0" collapsed="false">
      <c r="A41428" s="0" t="s">
        <v>14908</v>
      </c>
      <c r="B41428" s="0" t="str">
        <f aca="false">HYPERLINK("https://lindat.mff.cuni.cz/services/teitok/pdtc10/index.php?action=vallex&amp;frame=v-whsa_1430hsa_1431", "rozmrazovat (v-whsa_1430hsa_1431)")</f>
        <v>rozmrazovat (v-whsa_1430hsa_1431)</v>
      </c>
    </row>
    <row r="41429" customFormat="false" ht="12.8" hidden="false" customHeight="false" outlineLevel="0" collapsed="false">
      <c r="B41429" s="0" t="s">
        <v>7</v>
      </c>
    </row>
    <row r="41430" customFormat="false" ht="12.8" hidden="false" customHeight="false" outlineLevel="0" collapsed="false">
      <c r="B41430" s="0" t="s">
        <v>14</v>
      </c>
    </row>
    <row r="41432" customFormat="false" ht="12.8" hidden="false" customHeight="false" outlineLevel="0" collapsed="false">
      <c r="A41432" s="0" t="s">
        <v>14909</v>
      </c>
      <c r="B41432" s="0" t="str">
        <f aca="false">HYPERLINK("https://lindat.mff.cuni.cz/services/teitok/pdtc10/index.php?action=vallex&amp;frame=v-w5704f1", "rozmrznout (v-w5704f1)")</f>
        <v>rozmrznout (v-w5704f1)</v>
      </c>
    </row>
    <row r="41433" customFormat="false" ht="12.8" hidden="false" customHeight="false" outlineLevel="0" collapsed="false">
      <c r="B41433" s="0" t="s">
        <v>7</v>
      </c>
    </row>
    <row r="41435" customFormat="false" ht="12.8" hidden="false" customHeight="false" outlineLevel="0" collapsed="false">
      <c r="A41435" s="0" t="s">
        <v>14910</v>
      </c>
      <c r="B41435" s="0" t="str">
        <f aca="false">HYPERLINK("https://lindat.mff.cuni.cz/services/teitok/pdtc10/index.php?action=vallex&amp;frame=v-whsa_1202hsa_1203", "rozmyslet se (v-whsa_1202hsa_1203)")</f>
        <v>rozmyslet se (v-whsa_1202hsa_1203)</v>
      </c>
    </row>
    <row r="41436" customFormat="false" ht="12.8" hidden="false" customHeight="false" outlineLevel="0" collapsed="false">
      <c r="B41436" s="0" t="s">
        <v>7</v>
      </c>
      <c r="C41436" s="0" t="s">
        <v>2170</v>
      </c>
      <c r="D41436" s="0" t="s">
        <v>623</v>
      </c>
      <c r="E41436" s="0" t="s">
        <v>623</v>
      </c>
      <c r="F41436" s="0" t="s">
        <v>623</v>
      </c>
    </row>
    <row r="41438" customFormat="false" ht="12.8" hidden="false" customHeight="false" outlineLevel="0" collapsed="false">
      <c r="A41438" s="0" t="s">
        <v>14911</v>
      </c>
      <c r="B41438" s="0" t="str">
        <f aca="false">HYPERLINK("https://lindat.mff.cuni.cz/services/teitok/pdtc10/index.php?action=vallex&amp;frame=v-w5705f1", "rozmyslet si (v-w5705f1)")</f>
        <v>rozmyslet si (v-w5705f1)</v>
      </c>
    </row>
    <row r="41439" customFormat="false" ht="12.8" hidden="false" customHeight="false" outlineLevel="0" collapsed="false">
      <c r="B41439" s="0" t="s">
        <v>7</v>
      </c>
      <c r="C41439" s="0" t="s">
        <v>2170</v>
      </c>
      <c r="D41439" s="0" t="s">
        <v>515</v>
      </c>
      <c r="E41439" s="0" t="s">
        <v>515</v>
      </c>
      <c r="F41439" s="0" t="s">
        <v>515</v>
      </c>
    </row>
    <row r="41440" customFormat="false" ht="12.8" hidden="false" customHeight="false" outlineLevel="0" collapsed="false">
      <c r="B41440" s="0" t="s">
        <v>14912</v>
      </c>
      <c r="C41440" s="0" t="s">
        <v>10490</v>
      </c>
      <c r="D41440" s="0" t="s">
        <v>519</v>
      </c>
      <c r="E41440" s="0" t="s">
        <v>519</v>
      </c>
      <c r="F41440" s="0" t="s">
        <v>519</v>
      </c>
    </row>
    <row r="41442" customFormat="false" ht="12.8" hidden="false" customHeight="false" outlineLevel="0" collapsed="false">
      <c r="A41442" s="0" t="s">
        <v>14913</v>
      </c>
      <c r="B41442" s="0" t="str">
        <f aca="false">HYPERLINK("https://lindat.mff.cuni.cz/services/teitok/pdtc10/index.php?action=vallex&amp;frame=v-w5706f1", "rozmyslit si (v-w5706f1)")</f>
        <v>rozmyslit si (v-w5706f1)</v>
      </c>
    </row>
    <row r="41443" customFormat="false" ht="12.8" hidden="false" customHeight="false" outlineLevel="0" collapsed="false">
      <c r="B41443" s="0" t="s">
        <v>7</v>
      </c>
      <c r="C41443" s="0" t="s">
        <v>7092</v>
      </c>
    </row>
    <row r="41444" customFormat="false" ht="12.8" hidden="false" customHeight="false" outlineLevel="0" collapsed="false">
      <c r="B41444" s="0" t="s">
        <v>14912</v>
      </c>
    </row>
    <row r="41446" customFormat="false" ht="12.8" hidden="false" customHeight="false" outlineLevel="0" collapsed="false">
      <c r="A41446" s="0" t="s">
        <v>14914</v>
      </c>
      <c r="B41446" s="0" t="str">
        <f aca="false">HYPERLINK("https://lindat.mff.cuni.cz/services/teitok/pdtc10/index.php?action=vallex&amp;frame=v-w11446f1", "rozmáchnout se (v-w11446f1)")</f>
        <v>rozmáchnout se (v-w11446f1)</v>
      </c>
    </row>
    <row r="41447" customFormat="false" ht="12.8" hidden="false" customHeight="false" outlineLevel="0" collapsed="false">
      <c r="B41447" s="0" t="s">
        <v>7</v>
      </c>
    </row>
    <row r="41449" customFormat="false" ht="12.8" hidden="false" customHeight="false" outlineLevel="0" collapsed="false">
      <c r="A41449" s="0" t="s">
        <v>14915</v>
      </c>
      <c r="B41449" s="0" t="str">
        <f aca="false">HYPERLINK("https://lindat.mff.cuni.cz/services/teitok/pdtc10/index.php?action=vallex&amp;frame=v-w5689f1", "rozmáhat se (v-w5689f1)")</f>
        <v>rozmáhat se (v-w5689f1)</v>
      </c>
    </row>
    <row r="41450" customFormat="false" ht="12.8" hidden="false" customHeight="false" outlineLevel="0" collapsed="false">
      <c r="B41450" s="0" t="s">
        <v>7</v>
      </c>
    </row>
    <row r="41452" customFormat="false" ht="12.8" hidden="false" customHeight="false" outlineLevel="0" collapsed="false">
      <c r="A41452" s="0" t="s">
        <v>14916</v>
      </c>
      <c r="B41452" s="0" t="str">
        <f aca="false">HYPERLINK("https://lindat.mff.cuni.cz/services/teitok/pdtc10/index.php?action=vallex&amp;frame=v-w5696f1", "rozmíchat (v-w5696f1)")</f>
        <v>rozmíchat (v-w5696f1)</v>
      </c>
    </row>
    <row r="41453" customFormat="false" ht="12.8" hidden="false" customHeight="false" outlineLevel="0" collapsed="false">
      <c r="B41453" s="0" t="s">
        <v>7</v>
      </c>
      <c r="D41453" s="0" t="s">
        <v>5549</v>
      </c>
      <c r="E41453" s="0" t="s">
        <v>5549</v>
      </c>
      <c r="F41453" s="0" t="s">
        <v>5549</v>
      </c>
    </row>
    <row r="41454" customFormat="false" ht="12.8" hidden="false" customHeight="false" outlineLevel="0" collapsed="false">
      <c r="B41454" s="0" t="s">
        <v>14</v>
      </c>
      <c r="D41454" s="0" t="s">
        <v>5550</v>
      </c>
      <c r="E41454" s="0" t="s">
        <v>5550</v>
      </c>
      <c r="F41454" s="0" t="s">
        <v>5550</v>
      </c>
    </row>
    <row r="41455" customFormat="false" ht="12.8" hidden="false" customHeight="false" outlineLevel="0" collapsed="false">
      <c r="B41455" s="0" t="s">
        <v>35</v>
      </c>
      <c r="D41455" s="0" t="s">
        <v>5551</v>
      </c>
      <c r="E41455" s="0" t="s">
        <v>5551</v>
      </c>
      <c r="F41455" s="0" t="s">
        <v>5551</v>
      </c>
    </row>
    <row r="41457" customFormat="false" ht="12.8" hidden="false" customHeight="false" outlineLevel="0" collapsed="false">
      <c r="A41457" s="0" t="s">
        <v>14917</v>
      </c>
      <c r="B41457" s="0" t="str">
        <f aca="false">HYPERLINK("https://lindat.mff.cuni.cz/services/teitok/pdtc10/index.php?action=vallex&amp;frame=v-w5697f1", "rozmístit (v-w5697f1)")</f>
        <v>rozmístit (v-w5697f1)</v>
      </c>
    </row>
    <row r="41458" customFormat="false" ht="12.8" hidden="false" customHeight="false" outlineLevel="0" collapsed="false">
      <c r="B41458" s="0" t="s">
        <v>7</v>
      </c>
      <c r="C41458" s="0" t="s">
        <v>2523</v>
      </c>
      <c r="D41458" s="0" t="s">
        <v>2235</v>
      </c>
      <c r="E41458" s="0" t="s">
        <v>2235</v>
      </c>
      <c r="F41458" s="0" t="s">
        <v>2235</v>
      </c>
    </row>
    <row r="41459" customFormat="false" ht="12.8" hidden="false" customHeight="false" outlineLevel="0" collapsed="false">
      <c r="B41459" s="0" t="s">
        <v>14</v>
      </c>
      <c r="C41459" s="0" t="s">
        <v>1315</v>
      </c>
      <c r="D41459" s="0" t="s">
        <v>2237</v>
      </c>
      <c r="E41459" s="0" t="s">
        <v>2237</v>
      </c>
      <c r="F41459" s="0" t="s">
        <v>2237</v>
      </c>
    </row>
    <row r="41460" customFormat="false" ht="12.8" hidden="false" customHeight="false" outlineLevel="0" collapsed="false">
      <c r="B41460" s="0" t="s">
        <v>11</v>
      </c>
      <c r="D41460" s="0" t="s">
        <v>5217</v>
      </c>
      <c r="E41460" s="0" t="s">
        <v>5217</v>
      </c>
      <c r="F41460" s="0" t="s">
        <v>5217</v>
      </c>
    </row>
    <row r="41462" customFormat="false" ht="12.8" hidden="false" customHeight="false" outlineLevel="0" collapsed="false">
      <c r="A41462" s="0" t="s">
        <v>14918</v>
      </c>
      <c r="B41462" s="0" t="str">
        <f aca="false">HYPERLINK("https://lindat.mff.cuni.cz/services/teitok/pdtc10/index.php?action=vallex&amp;frame=v-w5697f2", "rozmístit (v-w5697f2)")</f>
        <v>rozmístit (v-w5697f2)</v>
      </c>
    </row>
    <row r="41463" customFormat="false" ht="12.8" hidden="false" customHeight="false" outlineLevel="0" collapsed="false">
      <c r="B41463" s="0" t="s">
        <v>7</v>
      </c>
      <c r="D41463" s="0" t="s">
        <v>2235</v>
      </c>
      <c r="E41463" s="0" t="s">
        <v>2235</v>
      </c>
      <c r="F41463" s="0" t="s">
        <v>2235</v>
      </c>
    </row>
    <row r="41464" customFormat="false" ht="12.8" hidden="false" customHeight="false" outlineLevel="0" collapsed="false">
      <c r="B41464" s="0" t="s">
        <v>14</v>
      </c>
      <c r="D41464" s="0" t="s">
        <v>2237</v>
      </c>
      <c r="E41464" s="0" t="s">
        <v>2237</v>
      </c>
      <c r="F41464" s="0" t="s">
        <v>2237</v>
      </c>
    </row>
    <row r="41465" customFormat="false" ht="12.8" hidden="false" customHeight="false" outlineLevel="0" collapsed="false">
      <c r="B41465" s="0" t="s">
        <v>124</v>
      </c>
      <c r="D41465" s="0" t="s">
        <v>2238</v>
      </c>
      <c r="E41465" s="0" t="s">
        <v>2238</v>
      </c>
      <c r="F41465" s="0" t="s">
        <v>2238</v>
      </c>
    </row>
    <row r="41467" customFormat="false" ht="12.8" hidden="false" customHeight="false" outlineLevel="0" collapsed="false">
      <c r="A41467" s="0" t="s">
        <v>14919</v>
      </c>
      <c r="B41467" s="0" t="str">
        <f aca="false">HYPERLINK("https://lindat.mff.cuni.cz/services/teitok/pdtc10/index.php?action=vallex&amp;frame=v-w12072_ZUf1_ZU", "rozmístit se (v-w12072_ZUf1_ZU)")</f>
        <v>rozmístit se (v-w12072_ZUf1_ZU)</v>
      </c>
    </row>
    <row r="41468" customFormat="false" ht="12.8" hidden="false" customHeight="false" outlineLevel="0" collapsed="false">
      <c r="B41468" s="0" t="s">
        <v>7</v>
      </c>
    </row>
    <row r="41470" customFormat="false" ht="12.8" hidden="false" customHeight="false" outlineLevel="0" collapsed="false">
      <c r="A41470" s="0" t="s">
        <v>14920</v>
      </c>
      <c r="B41470" s="0" t="str">
        <f aca="false">HYPERLINK("https://lindat.mff.cuni.cz/services/teitok/pdtc10/index.php?action=vallex&amp;frame=v-w5699f1", "rozmísťovat (v-w5699f1)")</f>
        <v>rozmísťovat (v-w5699f1)</v>
      </c>
    </row>
    <row r="41471" customFormat="false" ht="12.8" hidden="false" customHeight="false" outlineLevel="0" collapsed="false">
      <c r="B41471" s="0" t="s">
        <v>7</v>
      </c>
    </row>
    <row r="41472" customFormat="false" ht="12.8" hidden="false" customHeight="false" outlineLevel="0" collapsed="false">
      <c r="B41472" s="0" t="s">
        <v>14</v>
      </c>
    </row>
    <row r="41473" customFormat="false" ht="12.8" hidden="false" customHeight="false" outlineLevel="0" collapsed="false">
      <c r="B41473" s="0" t="s">
        <v>11</v>
      </c>
    </row>
    <row r="41475" customFormat="false" ht="12.8" hidden="false" customHeight="false" outlineLevel="0" collapsed="false">
      <c r="A41475" s="0" t="s">
        <v>14921</v>
      </c>
      <c r="B41475" s="0" t="str">
        <f aca="false">HYPERLINK("https://lindat.mff.cuni.cz/services/teitok/pdtc10/index.php?action=vallex&amp;frame=v-w5699f2", "rozmísťovat (v-w5699f2)")</f>
        <v>rozmísťovat (v-w5699f2)</v>
      </c>
    </row>
    <row r="41476" customFormat="false" ht="12.8" hidden="false" customHeight="false" outlineLevel="0" collapsed="false">
      <c r="B41476" s="0" t="s">
        <v>7</v>
      </c>
    </row>
    <row r="41477" customFormat="false" ht="12.8" hidden="false" customHeight="false" outlineLevel="0" collapsed="false">
      <c r="B41477" s="0" t="s">
        <v>14</v>
      </c>
    </row>
    <row r="41478" customFormat="false" ht="12.8" hidden="false" customHeight="false" outlineLevel="0" collapsed="false">
      <c r="B41478" s="0" t="s">
        <v>124</v>
      </c>
    </row>
    <row r="41480" customFormat="false" ht="12.8" hidden="false" customHeight="false" outlineLevel="0" collapsed="false">
      <c r="A41480" s="0" t="s">
        <v>14922</v>
      </c>
      <c r="B41480" s="0" t="str">
        <f aca="false">HYPERLINK("https://lindat.mff.cuni.cz/services/teitok/pdtc10/index.php?action=vallex&amp;frame=v-w5707f1", "rozmýšlet (v-w5707f1)")</f>
        <v>rozmýšlet (v-w5707f1)</v>
      </c>
    </row>
    <row r="41481" customFormat="false" ht="12.8" hidden="false" customHeight="false" outlineLevel="0" collapsed="false">
      <c r="B41481" s="0" t="s">
        <v>7</v>
      </c>
    </row>
    <row r="41482" customFormat="false" ht="12.8" hidden="false" customHeight="false" outlineLevel="0" collapsed="false">
      <c r="B41482" s="0" t="s">
        <v>2922</v>
      </c>
    </row>
    <row r="41484" customFormat="false" ht="12.8" hidden="false" customHeight="false" outlineLevel="0" collapsed="false">
      <c r="A41484" s="0" t="s">
        <v>14923</v>
      </c>
      <c r="B41484" s="0" t="str">
        <f aca="false">HYPERLINK("https://lindat.mff.cuni.cz/services/teitok/pdtc10/index.php?action=vallex&amp;frame=v-w5708f1", "rozmýšlet se (v-w5708f1)")</f>
        <v>rozmýšlet se (v-w5708f1)</v>
      </c>
    </row>
    <row r="41485" customFormat="false" ht="12.8" hidden="false" customHeight="false" outlineLevel="0" collapsed="false">
      <c r="B41485" s="0" t="s">
        <v>7</v>
      </c>
    </row>
    <row r="41486" customFormat="false" ht="12.8" hidden="false" customHeight="false" outlineLevel="0" collapsed="false">
      <c r="B41486" s="0" t="s">
        <v>14924</v>
      </c>
    </row>
    <row r="41488" customFormat="false" ht="12.8" hidden="false" customHeight="false" outlineLevel="0" collapsed="false">
      <c r="A41488" s="0" t="s">
        <v>14925</v>
      </c>
      <c r="B41488" s="0" t="str">
        <f aca="false">HYPERLINK("https://lindat.mff.cuni.cz/services/teitok/pdtc10/index.php?action=vallex&amp;frame=v-w11577_ZUf1_ZU", "rozmýšlet si (v-w11577_ZUf1_ZU)")</f>
        <v>rozmýšlet si (v-w11577_ZUf1_ZU)</v>
      </c>
    </row>
    <row r="41489" customFormat="false" ht="12.8" hidden="false" customHeight="false" outlineLevel="0" collapsed="false">
      <c r="B41489" s="0" t="s">
        <v>7</v>
      </c>
      <c r="D41489" s="0" t="s">
        <v>515</v>
      </c>
      <c r="E41489" s="0" t="s">
        <v>515</v>
      </c>
      <c r="F41489" s="0" t="s">
        <v>515</v>
      </c>
    </row>
    <row r="41490" customFormat="false" ht="12.8" hidden="false" customHeight="false" outlineLevel="0" collapsed="false">
      <c r="B41490" s="0" t="s">
        <v>14912</v>
      </c>
      <c r="D41490" s="0" t="s">
        <v>519</v>
      </c>
      <c r="E41490" s="0" t="s">
        <v>519</v>
      </c>
      <c r="F41490" s="0" t="s">
        <v>519</v>
      </c>
    </row>
    <row r="41492" customFormat="false" ht="12.8" hidden="false" customHeight="false" outlineLevel="0" collapsed="false">
      <c r="A41492" s="0" t="s">
        <v>14926</v>
      </c>
      <c r="B41492" s="0" t="str">
        <f aca="false">HYPERLINK("https://lindat.mff.cuni.cz/services/teitok/pdtc10/index.php?action=vallex&amp;frame=v-w5693f1", "rozmělňovat (v-w5693f1)")</f>
        <v>rozmělňovat (v-w5693f1)</v>
      </c>
    </row>
    <row r="41493" customFormat="false" ht="12.8" hidden="false" customHeight="false" outlineLevel="0" collapsed="false">
      <c r="B41493" s="0" t="s">
        <v>7</v>
      </c>
      <c r="C41493" s="0" t="s">
        <v>191</v>
      </c>
      <c r="D41493" s="0" t="s">
        <v>1287</v>
      </c>
      <c r="E41493" s="0" t="s">
        <v>1287</v>
      </c>
      <c r="F41493" s="0" t="s">
        <v>1287</v>
      </c>
    </row>
    <row r="41494" customFormat="false" ht="12.8" hidden="false" customHeight="false" outlineLevel="0" collapsed="false">
      <c r="B41494" s="0" t="s">
        <v>14</v>
      </c>
      <c r="C41494" s="0" t="s">
        <v>47</v>
      </c>
      <c r="D41494" s="0" t="s">
        <v>2517</v>
      </c>
      <c r="E41494" s="0" t="s">
        <v>2517</v>
      </c>
      <c r="F41494" s="0" t="s">
        <v>2517</v>
      </c>
    </row>
    <row r="41495" customFormat="false" ht="12.8" hidden="false" customHeight="false" outlineLevel="0" collapsed="false">
      <c r="B41495" s="0" t="s">
        <v>84</v>
      </c>
      <c r="D41495" s="0" t="s">
        <v>4598</v>
      </c>
      <c r="E41495" s="0" t="s">
        <v>4598</v>
      </c>
      <c r="F41495" s="0" t="s">
        <v>4598</v>
      </c>
    </row>
    <row r="41497" customFormat="false" ht="12.8" hidden="false" customHeight="false" outlineLevel="0" collapsed="false">
      <c r="A41497" s="0" t="s">
        <v>14927</v>
      </c>
      <c r="B41497" s="0" t="str">
        <f aca="false">HYPERLINK("https://lindat.mff.cuni.cz/services/teitok/pdtc10/index.php?action=vallex&amp;frame=v-w5694f1", "rozměnit (v-w5694f1)")</f>
        <v>rozměnit (v-w5694f1)</v>
      </c>
    </row>
    <row r="41498" customFormat="false" ht="12.8" hidden="false" customHeight="false" outlineLevel="0" collapsed="false">
      <c r="B41498" s="0" t="s">
        <v>7</v>
      </c>
    </row>
    <row r="41499" customFormat="false" ht="12.8" hidden="false" customHeight="false" outlineLevel="0" collapsed="false">
      <c r="B41499" s="0" t="s">
        <v>14</v>
      </c>
    </row>
    <row r="41500" customFormat="false" ht="12.8" hidden="false" customHeight="false" outlineLevel="0" collapsed="false">
      <c r="B41500" s="0" t="s">
        <v>14928</v>
      </c>
    </row>
    <row r="41502" customFormat="false" ht="12.8" hidden="false" customHeight="false" outlineLevel="0" collapsed="false">
      <c r="A41502" s="0" t="s">
        <v>14929</v>
      </c>
      <c r="B41502" s="0" t="str">
        <f aca="false">HYPERLINK("https://lindat.mff.cuni.cz/services/teitok/pdtc10/index.php?action=vallex&amp;frame=v-w11288f1", "roznásobovat (v-w11288f1)")</f>
        <v>roznásobovat (v-w11288f1)</v>
      </c>
    </row>
    <row r="41503" customFormat="false" ht="12.8" hidden="false" customHeight="false" outlineLevel="0" collapsed="false">
      <c r="B41503" s="0" t="s">
        <v>7</v>
      </c>
    </row>
    <row r="41504" customFormat="false" ht="12.8" hidden="false" customHeight="false" outlineLevel="0" collapsed="false">
      <c r="B41504" s="0" t="s">
        <v>14</v>
      </c>
    </row>
    <row r="41506" customFormat="false" ht="12.8" hidden="false" customHeight="false" outlineLevel="0" collapsed="false">
      <c r="A41506" s="0" t="s">
        <v>14930</v>
      </c>
      <c r="B41506" s="0" t="str">
        <f aca="false">HYPERLINK("https://lindat.mff.cuni.cz/services/teitok/pdtc10/index.php?action=vallex&amp;frame=v-w5710f1", "roznášet (v-w5710f1)")</f>
        <v>roznášet (v-w5710f1)</v>
      </c>
    </row>
    <row r="41507" customFormat="false" ht="12.8" hidden="false" customHeight="false" outlineLevel="0" collapsed="false">
      <c r="B41507" s="0" t="s">
        <v>7</v>
      </c>
    </row>
    <row r="41508" customFormat="false" ht="12.8" hidden="false" customHeight="false" outlineLevel="0" collapsed="false">
      <c r="B41508" s="0" t="s">
        <v>14</v>
      </c>
    </row>
    <row r="41510" customFormat="false" ht="12.8" hidden="false" customHeight="false" outlineLevel="0" collapsed="false">
      <c r="A41510" s="0" t="s">
        <v>14931</v>
      </c>
      <c r="B41510" s="0" t="str">
        <f aca="false">HYPERLINK("https://lindat.mff.cuni.cz/services/teitok/pdtc10/index.php?action=vallex&amp;frame=v-w5710f2", "roznášet (v-w5710f2)")</f>
        <v>roznášet (v-w5710f2)</v>
      </c>
    </row>
    <row r="41511" customFormat="false" ht="12.8" hidden="false" customHeight="false" outlineLevel="0" collapsed="false">
      <c r="B41511" s="0" t="s">
        <v>7</v>
      </c>
    </row>
    <row r="41512" customFormat="false" ht="12.8" hidden="false" customHeight="false" outlineLevel="0" collapsed="false">
      <c r="B41512" s="0" t="s">
        <v>5525</v>
      </c>
    </row>
    <row r="41513" customFormat="false" ht="12.8" hidden="false" customHeight="false" outlineLevel="0" collapsed="false">
      <c r="B41513" s="0" t="s">
        <v>363</v>
      </c>
    </row>
    <row r="41515" customFormat="false" ht="12.8" hidden="false" customHeight="false" outlineLevel="0" collapsed="false">
      <c r="A41515" s="0" t="s">
        <v>14932</v>
      </c>
      <c r="B41515" s="0" t="str">
        <f aca="false">HYPERLINK("https://lindat.mff.cuni.cz/services/teitok/pdtc10/index.php?action=vallex&amp;frame=v-w5710f4_ZU", "roznášet (v-w5710f4_ZU)")</f>
        <v>roznášet (v-w5710f4_ZU)</v>
      </c>
    </row>
    <row r="41516" customFormat="false" ht="12.8" hidden="false" customHeight="false" outlineLevel="0" collapsed="false">
      <c r="B41516" s="0" t="s">
        <v>7</v>
      </c>
    </row>
    <row r="41517" customFormat="false" ht="12.8" hidden="false" customHeight="false" outlineLevel="0" collapsed="false">
      <c r="B41517" s="0" t="s">
        <v>14</v>
      </c>
    </row>
    <row r="41519" customFormat="false" ht="12.8" hidden="false" customHeight="false" outlineLevel="0" collapsed="false">
      <c r="A41519" s="0" t="s">
        <v>14932</v>
      </c>
      <c r="B41519" s="0" t="str">
        <f aca="false">HYPERLINK("https://lindat.mff.cuni.cz/services/teitok/pdtc10/index.php?action=vallex&amp;frame=v-w5710f3_ZU", "roznášet (v-w5710f3_ZU) - substituted with v-w5710f4_ZU")</f>
        <v>roznášet (v-w5710f3_ZU) - substituted with v-w5710f4_ZU</v>
      </c>
    </row>
    <row r="41520" customFormat="false" ht="12.8" hidden="false" customHeight="false" outlineLevel="0" collapsed="false">
      <c r="B41520" s="0" t="s">
        <v>7</v>
      </c>
    </row>
    <row r="41521" customFormat="false" ht="12.8" hidden="false" customHeight="false" outlineLevel="0" collapsed="false">
      <c r="B41521" s="0" t="s">
        <v>14</v>
      </c>
    </row>
    <row r="41523" customFormat="false" ht="12.8" hidden="false" customHeight="false" outlineLevel="0" collapsed="false">
      <c r="A41523" s="0" t="s">
        <v>14933</v>
      </c>
      <c r="B41523" s="0" t="str">
        <f aca="false">HYPERLINK("https://lindat.mff.cuni.cz/services/teitok/pdtc10/index.php?action=vallex&amp;frame=v-w5712f1", "roznést (v-w5712f1)")</f>
        <v>roznést (v-w5712f1)</v>
      </c>
    </row>
    <row r="41524" customFormat="false" ht="12.8" hidden="false" customHeight="false" outlineLevel="0" collapsed="false">
      <c r="B41524" s="0" t="s">
        <v>7</v>
      </c>
      <c r="D41524" s="0" t="s">
        <v>14934</v>
      </c>
      <c r="E41524" s="0" t="s">
        <v>14934</v>
      </c>
      <c r="F41524" s="0" t="s">
        <v>14934</v>
      </c>
    </row>
    <row r="41525" customFormat="false" ht="12.8" hidden="false" customHeight="false" outlineLevel="0" collapsed="false">
      <c r="B41525" s="0" t="s">
        <v>14</v>
      </c>
      <c r="D41525" s="0" t="s">
        <v>14935</v>
      </c>
      <c r="E41525" s="0" t="s">
        <v>14935</v>
      </c>
      <c r="F41525" s="0" t="s">
        <v>14935</v>
      </c>
    </row>
    <row r="41527" customFormat="false" ht="12.8" hidden="false" customHeight="false" outlineLevel="0" collapsed="false">
      <c r="A41527" s="0" t="s">
        <v>14936</v>
      </c>
      <c r="B41527" s="0" t="str">
        <f aca="false">HYPERLINK("https://lindat.mff.cuni.cz/services/teitok/pdtc10/index.php?action=vallex&amp;frame=v-w5712f2", "roznést (v-w5712f2)")</f>
        <v>roznést (v-w5712f2)</v>
      </c>
    </row>
    <row r="41528" customFormat="false" ht="12.8" hidden="false" customHeight="false" outlineLevel="0" collapsed="false">
      <c r="B41528" s="0" t="s">
        <v>7</v>
      </c>
    </row>
    <row r="41529" customFormat="false" ht="12.8" hidden="false" customHeight="false" outlineLevel="0" collapsed="false">
      <c r="B41529" s="0" t="s">
        <v>5525</v>
      </c>
    </row>
    <row r="41530" customFormat="false" ht="12.8" hidden="false" customHeight="false" outlineLevel="0" collapsed="false">
      <c r="B41530" s="0" t="s">
        <v>363</v>
      </c>
    </row>
    <row r="41532" customFormat="false" ht="12.8" hidden="false" customHeight="false" outlineLevel="0" collapsed="false">
      <c r="A41532" s="0" t="s">
        <v>14937</v>
      </c>
      <c r="B41532" s="0" t="str">
        <f aca="false">HYPERLINK("https://lindat.mff.cuni.cz/services/teitok/pdtc10/index.php?action=vallex&amp;frame=v-w5712f3_ZU", "roznést (v-w5712f3_ZU)")</f>
        <v>roznést (v-w5712f3_ZU)</v>
      </c>
    </row>
    <row r="41533" customFormat="false" ht="12.8" hidden="false" customHeight="false" outlineLevel="0" collapsed="false">
      <c r="B41533" s="0" t="s">
        <v>7</v>
      </c>
    </row>
    <row r="41534" customFormat="false" ht="12.8" hidden="false" customHeight="false" outlineLevel="0" collapsed="false">
      <c r="B41534" s="0" t="s">
        <v>14938</v>
      </c>
    </row>
    <row r="41535" customFormat="false" ht="12.8" hidden="false" customHeight="false" outlineLevel="0" collapsed="false">
      <c r="B41535" s="0" t="s">
        <v>14</v>
      </c>
    </row>
    <row r="41537" customFormat="false" ht="12.8" hidden="false" customHeight="false" outlineLevel="0" collapsed="false">
      <c r="A41537" s="0" t="s">
        <v>14939</v>
      </c>
      <c r="B41537" s="0" t="str">
        <f aca="false">HYPERLINK("https://lindat.mff.cuni.cz/services/teitok/pdtc10/index.php?action=vallex&amp;frame=v-w10438f3", "roznítit (v-w10438f3)")</f>
        <v>roznítit (v-w10438f3)</v>
      </c>
    </row>
    <row r="41538" customFormat="false" ht="12.8" hidden="false" customHeight="false" outlineLevel="0" collapsed="false">
      <c r="B41538" s="0" t="s">
        <v>7</v>
      </c>
      <c r="C41538" s="0" t="s">
        <v>191</v>
      </c>
      <c r="D41538" s="0" t="s">
        <v>14940</v>
      </c>
      <c r="E41538" s="0" t="s">
        <v>14940</v>
      </c>
      <c r="F41538" s="0" t="s">
        <v>14940</v>
      </c>
    </row>
    <row r="41539" customFormat="false" ht="12.8" hidden="false" customHeight="false" outlineLevel="0" collapsed="false">
      <c r="B41539" s="0" t="s">
        <v>14</v>
      </c>
      <c r="C41539" s="0" t="s">
        <v>115</v>
      </c>
      <c r="D41539" s="0" t="s">
        <v>14941</v>
      </c>
      <c r="E41539" s="0" t="s">
        <v>14941</v>
      </c>
      <c r="F41539" s="0" t="s">
        <v>14941</v>
      </c>
    </row>
    <row r="41541" customFormat="false" ht="12.8" hidden="false" customHeight="false" outlineLevel="0" collapsed="false">
      <c r="A41541" s="0" t="s">
        <v>14942</v>
      </c>
      <c r="B41541" s="0" t="str">
        <f aca="false">HYPERLINK("https://lindat.mff.cuni.cz/services/teitok/pdtc10/index.php?action=vallex&amp;frame=v-w5711f1", "rozněcovat (v-w5711f1)")</f>
        <v>rozněcovat (v-w5711f1)</v>
      </c>
    </row>
    <row r="41542" customFormat="false" ht="12.8" hidden="false" customHeight="false" outlineLevel="0" collapsed="false">
      <c r="B41542" s="0" t="s">
        <v>7</v>
      </c>
    </row>
    <row r="41543" customFormat="false" ht="12.8" hidden="false" customHeight="false" outlineLevel="0" collapsed="false">
      <c r="B41543" s="0" t="s">
        <v>14</v>
      </c>
    </row>
    <row r="41545" customFormat="false" ht="12.8" hidden="false" customHeight="false" outlineLevel="0" collapsed="false">
      <c r="A41545" s="0" t="s">
        <v>14943</v>
      </c>
      <c r="B41545" s="0" t="str">
        <f aca="false">HYPERLINK("https://lindat.mff.cuni.cz/services/teitok/pdtc10/index.php?action=vallex&amp;frame=v-w11744_ZUf1_ZU", "rozněžňovat (v-w11744_ZUf1_ZU)")</f>
        <v>rozněžňovat (v-w11744_ZUf1_ZU)</v>
      </c>
    </row>
    <row r="41546" customFormat="false" ht="12.8" hidden="false" customHeight="false" outlineLevel="0" collapsed="false">
      <c r="B41546" s="0" t="s">
        <v>7</v>
      </c>
    </row>
    <row r="41547" customFormat="false" ht="12.8" hidden="false" customHeight="false" outlineLevel="0" collapsed="false">
      <c r="B41547" s="0" t="s">
        <v>14</v>
      </c>
    </row>
    <row r="41549" customFormat="false" ht="12.8" hidden="false" customHeight="false" outlineLevel="0" collapsed="false">
      <c r="A41549" s="0" t="s">
        <v>14944</v>
      </c>
      <c r="B41549" s="0" t="str">
        <f aca="false">HYPERLINK("https://lindat.mff.cuni.cz/services/teitok/pdtc10/index.php?action=vallex&amp;frame=v-w11241f1", "rozohnit se (v-w11241f1)")</f>
        <v>rozohnit se (v-w11241f1)</v>
      </c>
    </row>
    <row r="41550" customFormat="false" ht="12.8" hidden="false" customHeight="false" outlineLevel="0" collapsed="false">
      <c r="B41550" s="0" t="s">
        <v>7</v>
      </c>
    </row>
    <row r="41551" customFormat="false" ht="12.8" hidden="false" customHeight="false" outlineLevel="0" collapsed="false">
      <c r="B41551" s="0" t="s">
        <v>63</v>
      </c>
    </row>
    <row r="41553" customFormat="false" ht="12.8" hidden="false" customHeight="false" outlineLevel="0" collapsed="false">
      <c r="A41553" s="0" t="s">
        <v>14945</v>
      </c>
      <c r="B41553" s="0" t="str">
        <f aca="false">HYPERLINK("https://lindat.mff.cuni.cz/services/teitok/pdtc10/index.php?action=vallex&amp;frame=v-w5716f1", "rozpadat se (v-w5716f1)")</f>
        <v>rozpadat se (v-w5716f1)</v>
      </c>
    </row>
    <row r="41554" customFormat="false" ht="12.8" hidden="false" customHeight="false" outlineLevel="0" collapsed="false">
      <c r="B41554" s="0" t="s">
        <v>7</v>
      </c>
      <c r="C41554" s="0" t="s">
        <v>2911</v>
      </c>
      <c r="D41554" s="0" t="s">
        <v>1619</v>
      </c>
      <c r="E41554" s="0" t="s">
        <v>1619</v>
      </c>
      <c r="F41554" s="0" t="s">
        <v>1619</v>
      </c>
    </row>
    <row r="41555" customFormat="false" ht="12.8" hidden="false" customHeight="false" outlineLevel="0" collapsed="false">
      <c r="B41555" s="0" t="s">
        <v>2775</v>
      </c>
      <c r="D41555" s="0" t="s">
        <v>1620</v>
      </c>
      <c r="E41555" s="0" t="s">
        <v>1620</v>
      </c>
      <c r="F41555" s="0" t="s">
        <v>1620</v>
      </c>
    </row>
    <row r="41557" customFormat="false" ht="12.8" hidden="false" customHeight="false" outlineLevel="0" collapsed="false">
      <c r="A41557" s="0" t="s">
        <v>14946</v>
      </c>
      <c r="B41557" s="0" t="str">
        <f aca="false">HYPERLINK("https://lindat.mff.cuni.cz/services/teitok/pdtc10/index.php?action=vallex&amp;frame=v-w5716f2_ZU", "rozpadat se (v-w5716f2_ZU)")</f>
        <v>rozpadat se (v-w5716f2_ZU)</v>
      </c>
    </row>
    <row r="41558" customFormat="false" ht="12.8" hidden="false" customHeight="false" outlineLevel="0" collapsed="false">
      <c r="B41558" s="0" t="s">
        <v>7</v>
      </c>
    </row>
    <row r="41560" customFormat="false" ht="12.8" hidden="false" customHeight="false" outlineLevel="0" collapsed="false">
      <c r="A41560" s="0" t="s">
        <v>14947</v>
      </c>
      <c r="B41560" s="0" t="str">
        <f aca="false">HYPERLINK("https://lindat.mff.cuni.cz/services/teitok/pdtc10/index.php?action=vallex&amp;frame=v-w5717f2", "rozpadnout se (v-w5717f2)")</f>
        <v>rozpadnout se (v-w5717f2)</v>
      </c>
    </row>
    <row r="41561" customFormat="false" ht="12.8" hidden="false" customHeight="false" outlineLevel="0" collapsed="false">
      <c r="B41561" s="0" t="s">
        <v>7</v>
      </c>
      <c r="C41561" s="0" t="s">
        <v>1378</v>
      </c>
      <c r="D41561" s="0" t="s">
        <v>1619</v>
      </c>
      <c r="E41561" s="0" t="s">
        <v>1619</v>
      </c>
      <c r="F41561" s="0" t="s">
        <v>1619</v>
      </c>
    </row>
    <row r="41562" customFormat="false" ht="12.8" hidden="false" customHeight="false" outlineLevel="0" collapsed="false">
      <c r="B41562" s="0" t="s">
        <v>2775</v>
      </c>
      <c r="C41562" s="0" t="s">
        <v>400</v>
      </c>
      <c r="D41562" s="0" t="s">
        <v>1620</v>
      </c>
      <c r="E41562" s="0" t="s">
        <v>1620</v>
      </c>
      <c r="F41562" s="0" t="s">
        <v>1620</v>
      </c>
    </row>
    <row r="41564" customFormat="false" ht="12.8" hidden="false" customHeight="false" outlineLevel="0" collapsed="false">
      <c r="A41564" s="0" t="s">
        <v>14948</v>
      </c>
      <c r="B41564" s="0" t="str">
        <f aca="false">HYPERLINK("https://lindat.mff.cuni.cz/services/teitok/pdtc10/index.php?action=vallex&amp;frame=v-w5717f1", "rozpadnout se (v-w5717f1)")</f>
        <v>rozpadnout se (v-w5717f1)</v>
      </c>
    </row>
    <row r="41565" customFormat="false" ht="12.8" hidden="false" customHeight="false" outlineLevel="0" collapsed="false">
      <c r="B41565" s="0" t="s">
        <v>7</v>
      </c>
      <c r="C41565" s="0" t="s">
        <v>723</v>
      </c>
      <c r="D41565" s="0" t="s">
        <v>3676</v>
      </c>
      <c r="E41565" s="0" t="s">
        <v>3676</v>
      </c>
      <c r="F41565" s="0" t="s">
        <v>3676</v>
      </c>
    </row>
    <row r="41567" customFormat="false" ht="12.8" hidden="false" customHeight="false" outlineLevel="0" collapsed="false">
      <c r="A41567" s="0" t="s">
        <v>14949</v>
      </c>
      <c r="B41567" s="0" t="str">
        <f aca="false">HYPERLINK("https://lindat.mff.cuni.cz/services/teitok/pdtc10/index.php?action=vallex&amp;frame=v-w5718f1", "rozpakovat se (v-w5718f1)")</f>
        <v>rozpakovat se (v-w5718f1)</v>
      </c>
    </row>
    <row r="41568" customFormat="false" ht="12.8" hidden="false" customHeight="false" outlineLevel="0" collapsed="false">
      <c r="B41568" s="0" t="s">
        <v>7</v>
      </c>
      <c r="C41568" s="0" t="s">
        <v>623</v>
      </c>
      <c r="D41568" s="0" t="s">
        <v>8607</v>
      </c>
      <c r="E41568" s="0" t="s">
        <v>8607</v>
      </c>
      <c r="F41568" s="0" t="s">
        <v>14950</v>
      </c>
    </row>
    <row r="41569" customFormat="false" ht="12.8" hidden="false" customHeight="false" outlineLevel="0" collapsed="false">
      <c r="B41569" s="0" t="s">
        <v>9160</v>
      </c>
      <c r="C41569" s="0" t="s">
        <v>1170</v>
      </c>
      <c r="D41569" s="0" t="s">
        <v>8610</v>
      </c>
      <c r="E41569" s="0" t="s">
        <v>8610</v>
      </c>
      <c r="F41569" s="0" t="s">
        <v>14951</v>
      </c>
    </row>
    <row r="41571" customFormat="false" ht="12.8" hidden="false" customHeight="false" outlineLevel="0" collapsed="false">
      <c r="A41571" s="0" t="s">
        <v>14952</v>
      </c>
      <c r="B41571" s="0" t="str">
        <f aca="false">HYPERLINK("https://lindat.mff.cuni.cz/services/teitok/pdtc10/index.php?action=vallex&amp;frame=v-w5720f1", "rozpalovat (v-w5720f1)")</f>
        <v>rozpalovat (v-w5720f1)</v>
      </c>
    </row>
    <row r="41572" customFormat="false" ht="12.8" hidden="false" customHeight="false" outlineLevel="0" collapsed="false">
      <c r="B41572" s="0" t="s">
        <v>7</v>
      </c>
    </row>
    <row r="41573" customFormat="false" ht="12.8" hidden="false" customHeight="false" outlineLevel="0" collapsed="false">
      <c r="B41573" s="0" t="s">
        <v>14</v>
      </c>
    </row>
    <row r="41575" customFormat="false" ht="12.8" hidden="false" customHeight="false" outlineLevel="0" collapsed="false">
      <c r="A41575" s="0" t="s">
        <v>14953</v>
      </c>
      <c r="B41575" s="0" t="str">
        <f aca="false">HYPERLINK("https://lindat.mff.cuni.cz/services/teitok/pdtc10/index.php?action=vallex&amp;frame=v-w5720hsa_586", "rozpalovat (v-w5720hsa_586)")</f>
        <v>rozpalovat (v-w5720hsa_586)</v>
      </c>
    </row>
    <row r="41576" customFormat="false" ht="12.8" hidden="false" customHeight="false" outlineLevel="0" collapsed="false">
      <c r="B41576" s="0" t="s">
        <v>7</v>
      </c>
    </row>
    <row r="41577" customFormat="false" ht="12.8" hidden="false" customHeight="false" outlineLevel="0" collapsed="false">
      <c r="B41577" s="0" t="s">
        <v>14</v>
      </c>
    </row>
    <row r="41579" customFormat="false" ht="12.8" hidden="false" customHeight="false" outlineLevel="0" collapsed="false">
      <c r="A41579" s="0" t="s">
        <v>14954</v>
      </c>
      <c r="B41579" s="0" t="str">
        <f aca="false">HYPERLINK("https://lindat.mff.cuni.cz/services/teitok/pdtc10/index.php?action=vallex&amp;frame=v-w12154_ZUf1_ZU", "rozpažovat (v-w12154_ZUf1_ZU)")</f>
        <v>rozpažovat (v-w12154_ZUf1_ZU)</v>
      </c>
    </row>
    <row r="41580" customFormat="false" ht="12.8" hidden="false" customHeight="false" outlineLevel="0" collapsed="false">
      <c r="B41580" s="0" t="s">
        <v>7</v>
      </c>
    </row>
    <row r="41581" customFormat="false" ht="12.8" hidden="false" customHeight="false" outlineLevel="0" collapsed="false">
      <c r="B41581" s="0" t="s">
        <v>1836</v>
      </c>
    </row>
    <row r="41583" customFormat="false" ht="12.8" hidden="false" customHeight="false" outlineLevel="0" collapsed="false">
      <c r="A41583" s="0" t="s">
        <v>14955</v>
      </c>
      <c r="B41583" s="0" t="str">
        <f aca="false">HYPERLINK("https://lindat.mff.cuni.cz/services/teitok/pdtc10/index.php?action=vallex&amp;frame=v-w10747f2", "rozpitvávat (v-w10747f2)")</f>
        <v>rozpitvávat (v-w10747f2)</v>
      </c>
    </row>
    <row r="41584" customFormat="false" ht="12.8" hidden="false" customHeight="false" outlineLevel="0" collapsed="false">
      <c r="B41584" s="0" t="s">
        <v>7</v>
      </c>
    </row>
    <row r="41585" customFormat="false" ht="12.8" hidden="false" customHeight="false" outlineLevel="0" collapsed="false">
      <c r="B41585" s="0" t="s">
        <v>14</v>
      </c>
    </row>
    <row r="41587" customFormat="false" ht="12.8" hidden="false" customHeight="false" outlineLevel="0" collapsed="false">
      <c r="A41587" s="0" t="s">
        <v>14956</v>
      </c>
      <c r="B41587" s="0" t="str">
        <f aca="false">HYPERLINK("https://lindat.mff.cuni.cz/services/teitok/pdtc10/index.php?action=vallex&amp;frame=v-w5725f1", "rozplakat (v-w5725f1)")</f>
        <v>rozplakat (v-w5725f1)</v>
      </c>
    </row>
    <row r="41588" customFormat="false" ht="12.8" hidden="false" customHeight="false" outlineLevel="0" collapsed="false">
      <c r="B41588" s="0" t="s">
        <v>7</v>
      </c>
      <c r="D41588" s="0" t="s">
        <v>1879</v>
      </c>
      <c r="E41588" s="0" t="s">
        <v>1879</v>
      </c>
      <c r="F41588" s="0" t="s">
        <v>1879</v>
      </c>
    </row>
    <row r="41589" customFormat="false" ht="12.8" hidden="false" customHeight="false" outlineLevel="0" collapsed="false">
      <c r="B41589" s="0" t="s">
        <v>14</v>
      </c>
      <c r="D41589" s="0" t="s">
        <v>74</v>
      </c>
      <c r="E41589" s="0" t="s">
        <v>74</v>
      </c>
      <c r="F41589" s="0" t="s">
        <v>74</v>
      </c>
    </row>
    <row r="41591" customFormat="false" ht="12.8" hidden="false" customHeight="false" outlineLevel="0" collapsed="false">
      <c r="A41591" s="0" t="s">
        <v>14957</v>
      </c>
      <c r="B41591" s="0" t="str">
        <f aca="false">HYPERLINK("https://lindat.mff.cuni.cz/services/teitok/pdtc10/index.php?action=vallex&amp;frame=v-w11398f1", "rozplakat se (v-w11398f1)")</f>
        <v>rozplakat se (v-w11398f1)</v>
      </c>
    </row>
    <row r="41592" customFormat="false" ht="12.8" hidden="false" customHeight="false" outlineLevel="0" collapsed="false">
      <c r="B41592" s="0" t="s">
        <v>7</v>
      </c>
      <c r="C41592" s="0" t="s">
        <v>248</v>
      </c>
      <c r="D41592" s="0" t="s">
        <v>8962</v>
      </c>
      <c r="E41592" s="0" t="s">
        <v>8962</v>
      </c>
      <c r="F41592" s="0" t="s">
        <v>8962</v>
      </c>
    </row>
    <row r="41594" customFormat="false" ht="12.8" hidden="false" customHeight="false" outlineLevel="0" collapsed="false">
      <c r="A41594" s="0" t="s">
        <v>14958</v>
      </c>
      <c r="B41594" s="0" t="str">
        <f aca="false">HYPERLINK("https://lindat.mff.cuni.cz/services/teitok/pdtc10/index.php?action=vallex&amp;frame=v-whsa_1048hsa_1049", "rozplakávat (v-whsa_1048hsa_1049)")</f>
        <v>rozplakávat (v-whsa_1048hsa_1049)</v>
      </c>
    </row>
    <row r="41595" customFormat="false" ht="12.8" hidden="false" customHeight="false" outlineLevel="0" collapsed="false">
      <c r="B41595" s="0" t="s">
        <v>7</v>
      </c>
    </row>
    <row r="41596" customFormat="false" ht="12.8" hidden="false" customHeight="false" outlineLevel="0" collapsed="false">
      <c r="B41596" s="0" t="s">
        <v>14</v>
      </c>
    </row>
    <row r="41598" customFormat="false" ht="12.8" hidden="false" customHeight="false" outlineLevel="0" collapsed="false">
      <c r="A41598" s="0" t="s">
        <v>14959</v>
      </c>
      <c r="B41598" s="0" t="str">
        <f aca="false">HYPERLINK("https://lindat.mff.cuni.cz/services/teitok/pdtc10/index.php?action=vallex&amp;frame=v-w5726f1", "rozplynout se (v-w5726f1)")</f>
        <v>rozplynout se (v-w5726f1)</v>
      </c>
    </row>
    <row r="41599" customFormat="false" ht="12.8" hidden="false" customHeight="false" outlineLevel="0" collapsed="false">
      <c r="B41599" s="0" t="s">
        <v>7</v>
      </c>
      <c r="C41599" s="0" t="s">
        <v>14960</v>
      </c>
    </row>
    <row r="41601" customFormat="false" ht="12.8" hidden="false" customHeight="false" outlineLevel="0" collapsed="false">
      <c r="A41601" s="0" t="s">
        <v>14961</v>
      </c>
      <c r="B41601" s="0" t="str">
        <f aca="false">HYPERLINK("https://lindat.mff.cuni.cz/services/teitok/pdtc10/index.php?action=vallex&amp;frame=v-w10189f2", "rozplácnout (v-w10189f2)")</f>
        <v>rozplácnout (v-w10189f2)</v>
      </c>
    </row>
    <row r="41602" customFormat="false" ht="12.8" hidden="false" customHeight="false" outlineLevel="0" collapsed="false">
      <c r="B41602" s="0" t="s">
        <v>7</v>
      </c>
    </row>
    <row r="41603" customFormat="false" ht="12.8" hidden="false" customHeight="false" outlineLevel="0" collapsed="false">
      <c r="B41603" s="0" t="s">
        <v>14</v>
      </c>
      <c r="C41603" s="0" t="s">
        <v>155</v>
      </c>
      <c r="D41603" s="0" t="s">
        <v>155</v>
      </c>
      <c r="E41603" s="0" t="s">
        <v>155</v>
      </c>
      <c r="F41603" s="0" t="s">
        <v>155</v>
      </c>
    </row>
    <row r="41605" customFormat="false" ht="12.8" hidden="false" customHeight="false" outlineLevel="0" collapsed="false">
      <c r="A41605" s="0" t="s">
        <v>14962</v>
      </c>
      <c r="B41605" s="0" t="str">
        <f aca="false">HYPERLINK("https://lindat.mff.cuni.cz/services/teitok/pdtc10/index.php?action=vallex&amp;frame=v-w10419f2", "rozplést (v-w10419f2)")</f>
        <v>rozplést (v-w10419f2)</v>
      </c>
    </row>
    <row r="41606" customFormat="false" ht="12.8" hidden="false" customHeight="false" outlineLevel="0" collapsed="false">
      <c r="B41606" s="0" t="s">
        <v>7</v>
      </c>
      <c r="C41606" s="0" t="s">
        <v>184</v>
      </c>
    </row>
    <row r="41607" customFormat="false" ht="12.8" hidden="false" customHeight="false" outlineLevel="0" collapsed="false">
      <c r="B41607" s="0" t="s">
        <v>14</v>
      </c>
      <c r="C41607" s="0" t="s">
        <v>567</v>
      </c>
    </row>
    <row r="41609" customFormat="false" ht="12.8" hidden="false" customHeight="false" outlineLevel="0" collapsed="false">
      <c r="A41609" s="0" t="s">
        <v>14963</v>
      </c>
      <c r="B41609" s="0" t="str">
        <f aca="false">HYPERLINK("https://lindat.mff.cuni.cz/services/teitok/pdtc10/index.php?action=vallex&amp;frame=v-w11578_ZUf2_ZU", "rozplétat (v-w11578_ZUf2_ZU)")</f>
        <v>rozplétat (v-w11578_ZUf2_ZU)</v>
      </c>
    </row>
    <row r="41610" customFormat="false" ht="12.8" hidden="false" customHeight="false" outlineLevel="0" collapsed="false">
      <c r="B41610" s="0" t="s">
        <v>7</v>
      </c>
      <c r="C41610" s="0" t="s">
        <v>4651</v>
      </c>
    </row>
    <row r="41611" customFormat="false" ht="12.8" hidden="false" customHeight="false" outlineLevel="0" collapsed="false">
      <c r="B41611" s="0" t="s">
        <v>14964</v>
      </c>
    </row>
    <row r="41613" customFormat="false" ht="12.8" hidden="false" customHeight="false" outlineLevel="0" collapsed="false">
      <c r="A41613" s="0" t="s">
        <v>14963</v>
      </c>
      <c r="B41613" s="0" t="str">
        <f aca="false">HYPERLINK("https://lindat.mff.cuni.cz/services/teitok/pdtc10/index.php?action=vallex&amp;frame=v-w11578_ZUf1_ZU", "rozplétat (v-w11578_ZUf1_ZU) - substituted with v-w11578_ZUf2_ZU")</f>
        <v>rozplétat (v-w11578_ZUf1_ZU) - substituted with v-w11578_ZUf2_ZU</v>
      </c>
    </row>
    <row r="41614" customFormat="false" ht="12.8" hidden="false" customHeight="false" outlineLevel="0" collapsed="false">
      <c r="B41614" s="0" t="s">
        <v>7</v>
      </c>
    </row>
    <row r="41615" customFormat="false" ht="12.8" hidden="false" customHeight="false" outlineLevel="0" collapsed="false">
      <c r="B41615" s="0" t="s">
        <v>14964</v>
      </c>
    </row>
    <row r="41617" customFormat="false" ht="12.8" hidden="false" customHeight="false" outlineLevel="0" collapsed="false">
      <c r="A41617" s="0" t="s">
        <v>14965</v>
      </c>
      <c r="B41617" s="0" t="str">
        <f aca="false">HYPERLINK("https://lindat.mff.cuni.cz/services/teitok/pdtc10/index.php?action=vallex&amp;frame=v-w5727f1", "rozplývat se (v-w5727f1)")</f>
        <v>rozplývat se (v-w5727f1)</v>
      </c>
    </row>
    <row r="41618" customFormat="false" ht="12.8" hidden="false" customHeight="false" outlineLevel="0" collapsed="false">
      <c r="B41618" s="0" t="s">
        <v>7</v>
      </c>
    </row>
    <row r="41620" customFormat="false" ht="12.8" hidden="false" customHeight="false" outlineLevel="0" collapsed="false">
      <c r="A41620" s="0" t="s">
        <v>14966</v>
      </c>
      <c r="B41620" s="0" t="str">
        <f aca="false">HYPERLINK("https://lindat.mff.cuni.cz/services/teitok/pdtc10/index.php?action=vallex&amp;frame=v-w5727f2", "rozplývat se (v-w5727f2)")</f>
        <v>rozplývat se (v-w5727f2)</v>
      </c>
    </row>
    <row r="41621" customFormat="false" ht="12.8" hidden="false" customHeight="false" outlineLevel="0" collapsed="false">
      <c r="B41621" s="0" t="s">
        <v>7</v>
      </c>
      <c r="C41621" s="0" t="s">
        <v>46</v>
      </c>
      <c r="D41621" s="0" t="s">
        <v>46</v>
      </c>
      <c r="E41621" s="0" t="s">
        <v>46</v>
      </c>
      <c r="F41621" s="0" t="s">
        <v>46</v>
      </c>
    </row>
    <row r="41623" customFormat="false" ht="12.8" hidden="false" customHeight="false" outlineLevel="0" collapsed="false">
      <c r="A41623" s="0" t="s">
        <v>14967</v>
      </c>
      <c r="B41623" s="0" t="str">
        <f aca="false">HYPERLINK("https://lindat.mff.cuni.cz/services/teitok/pdtc10/index.php?action=vallex&amp;frame=v-w11415f1", "rozpojit se (v-w11415f1)")</f>
        <v>rozpojit se (v-w11415f1)</v>
      </c>
    </row>
    <row r="41624" customFormat="false" ht="12.8" hidden="false" customHeight="false" outlineLevel="0" collapsed="false">
      <c r="B41624" s="0" t="s">
        <v>7</v>
      </c>
    </row>
    <row r="41625" customFormat="false" ht="12.8" hidden="false" customHeight="false" outlineLevel="0" collapsed="false">
      <c r="B41625" s="0" t="s">
        <v>28</v>
      </c>
    </row>
    <row r="41627" customFormat="false" ht="12.8" hidden="false" customHeight="false" outlineLevel="0" collapsed="false">
      <c r="A41627" s="0" t="s">
        <v>14968</v>
      </c>
      <c r="B41627" s="0" t="str">
        <f aca="false">HYPERLINK("https://lindat.mff.cuni.cz/services/teitok/pdtc10/index.php?action=vallex&amp;frame=v-w10056f2", "rozpoltit (v-w10056f2)")</f>
        <v>rozpoltit (v-w10056f2)</v>
      </c>
    </row>
    <row r="41628" customFormat="false" ht="12.8" hidden="false" customHeight="false" outlineLevel="0" collapsed="false">
      <c r="B41628" s="0" t="s">
        <v>7</v>
      </c>
    </row>
    <row r="41629" customFormat="false" ht="12.8" hidden="false" customHeight="false" outlineLevel="0" collapsed="false">
      <c r="B41629" s="0" t="s">
        <v>14</v>
      </c>
    </row>
    <row r="41630" customFormat="false" ht="12.8" hidden="false" customHeight="false" outlineLevel="0" collapsed="false">
      <c r="B41630" s="0" t="s">
        <v>4978</v>
      </c>
    </row>
    <row r="41632" customFormat="false" ht="12.8" hidden="false" customHeight="false" outlineLevel="0" collapsed="false">
      <c r="A41632" s="0" t="s">
        <v>14969</v>
      </c>
      <c r="B41632" s="0" t="str">
        <f aca="false">HYPERLINK("https://lindat.mff.cuni.cz/services/teitok/pdtc10/index.php?action=vallex&amp;frame=v-w5733f1", "rozpomínat se (v-w5733f1)")</f>
        <v>rozpomínat se (v-w5733f1)</v>
      </c>
    </row>
    <row r="41633" customFormat="false" ht="12.8" hidden="false" customHeight="false" outlineLevel="0" collapsed="false">
      <c r="B41633" s="0" t="s">
        <v>7</v>
      </c>
    </row>
    <row r="41634" customFormat="false" ht="12.8" hidden="false" customHeight="false" outlineLevel="0" collapsed="false">
      <c r="B41634" s="0" t="s">
        <v>14970</v>
      </c>
    </row>
    <row r="41636" customFormat="false" ht="12.8" hidden="false" customHeight="false" outlineLevel="0" collapsed="false">
      <c r="A41636" s="0" t="s">
        <v>14971</v>
      </c>
      <c r="B41636" s="0" t="str">
        <f aca="false">HYPERLINK("https://lindat.mff.cuni.cz/services/teitok/pdtc10/index.php?action=vallex&amp;frame=v-whsa_848f1_ZU", "rozporcovat (v-whsa_848f1_ZU)")</f>
        <v>rozporcovat (v-whsa_848f1_ZU)</v>
      </c>
    </row>
    <row r="41637" customFormat="false" ht="12.8" hidden="false" customHeight="false" outlineLevel="0" collapsed="false">
      <c r="B41637" s="0" t="s">
        <v>7</v>
      </c>
      <c r="D41637" s="0" t="s">
        <v>1509</v>
      </c>
      <c r="E41637" s="0" t="s">
        <v>1509</v>
      </c>
      <c r="F41637" s="0" t="s">
        <v>1509</v>
      </c>
    </row>
    <row r="41638" customFormat="false" ht="12.8" hidden="false" customHeight="false" outlineLevel="0" collapsed="false">
      <c r="B41638" s="0" t="s">
        <v>14</v>
      </c>
      <c r="D41638" s="0" t="s">
        <v>14697</v>
      </c>
      <c r="E41638" s="0" t="s">
        <v>14697</v>
      </c>
      <c r="F41638" s="0" t="s">
        <v>14697</v>
      </c>
    </row>
    <row r="41639" customFormat="false" ht="12.8" hidden="false" customHeight="false" outlineLevel="0" collapsed="false">
      <c r="B41639" s="0" t="s">
        <v>84</v>
      </c>
      <c r="D41639" s="0" t="s">
        <v>14698</v>
      </c>
      <c r="E41639" s="0" t="s">
        <v>14698</v>
      </c>
      <c r="F41639" s="0" t="s">
        <v>14698</v>
      </c>
    </row>
    <row r="41641" customFormat="false" ht="12.8" hidden="false" customHeight="false" outlineLevel="0" collapsed="false">
      <c r="A41641" s="0" t="s">
        <v>14971</v>
      </c>
      <c r="B41641" s="0" t="str">
        <f aca="false">HYPERLINK("https://lindat.mff.cuni.cz/services/teitok/pdtc10/index.php?action=vallex&amp;frame=v-whsa_848hsa_849", "rozporcovat (v-whsa_848hsa_849) - substituted with v-whsa_848f1_ZU")</f>
        <v>rozporcovat (v-whsa_848hsa_849) - substituted with v-whsa_848f1_ZU</v>
      </c>
    </row>
    <row r="41642" customFormat="false" ht="12.8" hidden="false" customHeight="false" outlineLevel="0" collapsed="false">
      <c r="B41642" s="0" t="s">
        <v>7</v>
      </c>
    </row>
    <row r="41643" customFormat="false" ht="12.8" hidden="false" customHeight="false" outlineLevel="0" collapsed="false">
      <c r="B41643" s="0" t="s">
        <v>14</v>
      </c>
    </row>
    <row r="41644" customFormat="false" ht="12.8" hidden="false" customHeight="false" outlineLevel="0" collapsed="false">
      <c r="B41644" s="0" t="s">
        <v>84</v>
      </c>
    </row>
    <row r="41646" customFormat="false" ht="12.8" hidden="false" customHeight="false" outlineLevel="0" collapsed="false">
      <c r="A41646" s="0" t="s">
        <v>14972</v>
      </c>
      <c r="B41646" s="0" t="str">
        <f aca="false">HYPERLINK("https://lindat.mff.cuni.cz/services/teitok/pdtc10/index.php?action=vallex&amp;frame=v-w5739f1", "rozpoutat (v-w5739f1)")</f>
        <v>rozpoutat (v-w5739f1)</v>
      </c>
    </row>
    <row r="41647" customFormat="false" ht="12.8" hidden="false" customHeight="false" outlineLevel="0" collapsed="false">
      <c r="B41647" s="0" t="s">
        <v>7</v>
      </c>
      <c r="C41647" s="0" t="s">
        <v>126</v>
      </c>
      <c r="D41647" s="0" t="s">
        <v>69</v>
      </c>
      <c r="E41647" s="0" t="s">
        <v>69</v>
      </c>
      <c r="F41647" s="0" t="s">
        <v>69</v>
      </c>
    </row>
    <row r="41648" customFormat="false" ht="12.8" hidden="false" customHeight="false" outlineLevel="0" collapsed="false">
      <c r="B41648" s="0" t="s">
        <v>14</v>
      </c>
      <c r="C41648" s="0" t="s">
        <v>5444</v>
      </c>
      <c r="D41648" s="0" t="s">
        <v>71</v>
      </c>
      <c r="E41648" s="0" t="s">
        <v>71</v>
      </c>
      <c r="F41648" s="0" t="s">
        <v>71</v>
      </c>
    </row>
    <row r="41650" customFormat="false" ht="12.8" hidden="false" customHeight="false" outlineLevel="0" collapsed="false">
      <c r="A41650" s="0" t="s">
        <v>14973</v>
      </c>
      <c r="B41650" s="0" t="str">
        <f aca="false">HYPERLINK("https://lindat.mff.cuni.cz/services/teitok/pdtc10/index.php?action=vallex&amp;frame=v-w5740f1", "rozpoutat se (v-w5740f1)")</f>
        <v>rozpoutat se (v-w5740f1)</v>
      </c>
    </row>
    <row r="41651" customFormat="false" ht="12.8" hidden="false" customHeight="false" outlineLevel="0" collapsed="false">
      <c r="B41651" s="0" t="s">
        <v>7</v>
      </c>
      <c r="C41651" s="0" t="s">
        <v>200</v>
      </c>
      <c r="D41651" s="0" t="s">
        <v>288</v>
      </c>
      <c r="E41651" s="0" t="s">
        <v>1899</v>
      </c>
      <c r="F41651" s="0" t="s">
        <v>1899</v>
      </c>
    </row>
    <row r="41653" customFormat="false" ht="12.8" hidden="false" customHeight="false" outlineLevel="0" collapsed="false">
      <c r="A41653" s="0" t="s">
        <v>14974</v>
      </c>
      <c r="B41653" s="0" t="str">
        <f aca="false">HYPERLINK("https://lindat.mff.cuni.cz/services/teitok/pdtc10/index.php?action=vallex&amp;frame=v-whsa_918hsa_919", "rozpoutávat (v-whsa_918hsa_919)")</f>
        <v>rozpoutávat (v-whsa_918hsa_919)</v>
      </c>
    </row>
    <row r="41654" customFormat="false" ht="12.8" hidden="false" customHeight="false" outlineLevel="0" collapsed="false">
      <c r="B41654" s="0" t="s">
        <v>7</v>
      </c>
      <c r="C41654" s="0" t="s">
        <v>1879</v>
      </c>
      <c r="D41654" s="0" t="s">
        <v>69</v>
      </c>
      <c r="E41654" s="0" t="s">
        <v>69</v>
      </c>
      <c r="F41654" s="0" t="s">
        <v>69</v>
      </c>
    </row>
    <row r="41655" customFormat="false" ht="12.8" hidden="false" customHeight="false" outlineLevel="0" collapsed="false">
      <c r="B41655" s="0" t="s">
        <v>14</v>
      </c>
      <c r="C41655" s="0" t="s">
        <v>74</v>
      </c>
      <c r="D41655" s="0" t="s">
        <v>71</v>
      </c>
      <c r="E41655" s="0" t="s">
        <v>71</v>
      </c>
      <c r="F41655" s="0" t="s">
        <v>71</v>
      </c>
    </row>
    <row r="41657" customFormat="false" ht="12.8" hidden="false" customHeight="false" outlineLevel="0" collapsed="false">
      <c r="A41657" s="0" t="s">
        <v>14975</v>
      </c>
      <c r="B41657" s="0" t="str">
        <f aca="false">HYPERLINK("https://lindat.mff.cuni.cz/services/teitok/pdtc10/index.php?action=vallex&amp;frame=v-w5736f1", "rozpouštět (v-w5736f1)")</f>
        <v>rozpouštět (v-w5736f1)</v>
      </c>
    </row>
    <row r="41658" customFormat="false" ht="12.8" hidden="false" customHeight="false" outlineLevel="0" collapsed="false">
      <c r="B41658" s="0" t="s">
        <v>7</v>
      </c>
      <c r="C41658" s="0" t="s">
        <v>46</v>
      </c>
    </row>
    <row r="41659" customFormat="false" ht="12.8" hidden="false" customHeight="false" outlineLevel="0" collapsed="false">
      <c r="B41659" s="0" t="s">
        <v>14</v>
      </c>
      <c r="C41659" s="0" t="s">
        <v>33</v>
      </c>
    </row>
    <row r="41661" customFormat="false" ht="12.8" hidden="false" customHeight="false" outlineLevel="0" collapsed="false">
      <c r="A41661" s="0" t="s">
        <v>14976</v>
      </c>
      <c r="B41661" s="0" t="str">
        <f aca="false">HYPERLINK("https://lindat.mff.cuni.cz/services/teitok/pdtc10/index.php?action=vallex&amp;frame=v-w5736f2", "rozpouštět (v-w5736f2)")</f>
        <v>rozpouštět (v-w5736f2)</v>
      </c>
    </row>
    <row r="41662" customFormat="false" ht="12.8" hidden="false" customHeight="false" outlineLevel="0" collapsed="false">
      <c r="B41662" s="0" t="s">
        <v>7</v>
      </c>
      <c r="C41662" s="0" t="s">
        <v>184</v>
      </c>
      <c r="D41662" s="0" t="s">
        <v>7397</v>
      </c>
      <c r="E41662" s="0" t="s">
        <v>7397</v>
      </c>
      <c r="F41662" s="0" t="s">
        <v>7397</v>
      </c>
    </row>
    <row r="41663" customFormat="false" ht="12.8" hidden="false" customHeight="false" outlineLevel="0" collapsed="false">
      <c r="B41663" s="0" t="s">
        <v>14</v>
      </c>
      <c r="C41663" s="0" t="s">
        <v>384</v>
      </c>
      <c r="D41663" s="0" t="s">
        <v>7398</v>
      </c>
      <c r="E41663" s="0" t="s">
        <v>7398</v>
      </c>
      <c r="F41663" s="0" t="s">
        <v>7398</v>
      </c>
    </row>
    <row r="41665" customFormat="false" ht="12.8" hidden="false" customHeight="false" outlineLevel="0" collapsed="false">
      <c r="A41665" s="0" t="s">
        <v>14977</v>
      </c>
      <c r="B41665" s="0" t="str">
        <f aca="false">HYPERLINK("https://lindat.mff.cuni.cz/services/teitok/pdtc10/index.php?action=vallex&amp;frame=v-whsa_423hsa_424", "rozpouštět se (v-whsa_423hsa_424)")</f>
        <v>rozpouštět se (v-whsa_423hsa_424)</v>
      </c>
    </row>
    <row r="41666" customFormat="false" ht="12.8" hidden="false" customHeight="false" outlineLevel="0" collapsed="false">
      <c r="B41666" s="0" t="s">
        <v>7</v>
      </c>
    </row>
    <row r="41668" customFormat="false" ht="12.8" hidden="false" customHeight="false" outlineLevel="0" collapsed="false">
      <c r="A41668" s="0" t="s">
        <v>14978</v>
      </c>
      <c r="B41668" s="0" t="str">
        <f aca="false">HYPERLINK("https://lindat.mff.cuni.cz/services/teitok/pdtc10/index.php?action=vallex&amp;frame=v-w5741f1", "rozpovídat se (v-w5741f1)")</f>
        <v>rozpovídat se (v-w5741f1)</v>
      </c>
    </row>
    <row r="41669" customFormat="false" ht="12.8" hidden="false" customHeight="false" outlineLevel="0" collapsed="false">
      <c r="B41669" s="0" t="s">
        <v>7</v>
      </c>
      <c r="C41669" s="0" t="s">
        <v>191</v>
      </c>
    </row>
    <row r="41670" customFormat="false" ht="12.8" hidden="false" customHeight="false" outlineLevel="0" collapsed="false">
      <c r="B41670" s="0" t="s">
        <v>363</v>
      </c>
    </row>
    <row r="41672" customFormat="false" ht="12.8" hidden="false" customHeight="false" outlineLevel="0" collapsed="false">
      <c r="A41672" s="0" t="s">
        <v>14979</v>
      </c>
      <c r="B41672" s="0" t="str">
        <f aca="false">HYPERLINK("https://lindat.mff.cuni.cz/services/teitok/pdtc10/index.php?action=vallex&amp;frame=v-w5742f2", "rozpoznat (v-w5742f2)")</f>
        <v>rozpoznat (v-w5742f2)</v>
      </c>
    </row>
    <row r="41673" customFormat="false" ht="12.8" hidden="false" customHeight="false" outlineLevel="0" collapsed="false">
      <c r="B41673" s="0" t="s">
        <v>7</v>
      </c>
      <c r="C41673" s="0" t="s">
        <v>2170</v>
      </c>
      <c r="D41673" s="0" t="s">
        <v>46</v>
      </c>
      <c r="E41673" s="0" t="s">
        <v>46</v>
      </c>
      <c r="F41673" s="0" t="s">
        <v>46</v>
      </c>
    </row>
    <row r="41674" customFormat="false" ht="12.8" hidden="false" customHeight="false" outlineLevel="0" collapsed="false">
      <c r="B41674" s="0" t="s">
        <v>14</v>
      </c>
      <c r="C41674" s="0" t="s">
        <v>2739</v>
      </c>
      <c r="D41674" s="0" t="s">
        <v>1315</v>
      </c>
      <c r="E41674" s="0" t="s">
        <v>1315</v>
      </c>
      <c r="F41674" s="0" t="s">
        <v>1315</v>
      </c>
    </row>
    <row r="41675" customFormat="false" ht="12.8" hidden="false" customHeight="false" outlineLevel="0" collapsed="false">
      <c r="B41675" s="0" t="s">
        <v>1592</v>
      </c>
      <c r="D41675" s="0" t="s">
        <v>8242</v>
      </c>
      <c r="E41675" s="0" t="s">
        <v>8242</v>
      </c>
      <c r="F41675" s="0" t="s">
        <v>8242</v>
      </c>
    </row>
    <row r="41677" customFormat="false" ht="12.8" hidden="false" customHeight="false" outlineLevel="0" collapsed="false">
      <c r="A41677" s="0" t="s">
        <v>14980</v>
      </c>
      <c r="B41677" s="0" t="str">
        <f aca="false">HYPERLINK("https://lindat.mff.cuni.cz/services/teitok/pdtc10/index.php?action=vallex&amp;frame=v-w5742f1", "rozpoznat (v-w5742f1)")</f>
        <v>rozpoznat (v-w5742f1)</v>
      </c>
    </row>
    <row r="41678" customFormat="false" ht="12.8" hidden="false" customHeight="false" outlineLevel="0" collapsed="false">
      <c r="B41678" s="0" t="s">
        <v>7</v>
      </c>
      <c r="C41678" s="0" t="s">
        <v>14981</v>
      </c>
      <c r="D41678" s="0" t="s">
        <v>3243</v>
      </c>
      <c r="E41678" s="0" t="s">
        <v>3243</v>
      </c>
      <c r="F41678" s="0" t="s">
        <v>3243</v>
      </c>
    </row>
    <row r="41679" customFormat="false" ht="12.8" hidden="false" customHeight="false" outlineLevel="0" collapsed="false">
      <c r="B41679" s="0" t="s">
        <v>14982</v>
      </c>
      <c r="C41679" s="0" t="s">
        <v>14983</v>
      </c>
      <c r="D41679" s="0" t="s">
        <v>4158</v>
      </c>
      <c r="E41679" s="0" t="s">
        <v>4158</v>
      </c>
      <c r="F41679" s="0" t="s">
        <v>4158</v>
      </c>
    </row>
    <row r="41681" customFormat="false" ht="12.8" hidden="false" customHeight="false" outlineLevel="0" collapsed="false">
      <c r="A41681" s="0" t="s">
        <v>14984</v>
      </c>
      <c r="B41681" s="0" t="str">
        <f aca="false">HYPERLINK("https://lindat.mff.cuni.cz/services/teitok/pdtc10/index.php?action=vallex&amp;frame=v-w5744f2", "rozpoznávat (v-w5744f2)")</f>
        <v>rozpoznávat (v-w5744f2)</v>
      </c>
    </row>
    <row r="41682" customFormat="false" ht="12.8" hidden="false" customHeight="false" outlineLevel="0" collapsed="false">
      <c r="B41682" s="0" t="s">
        <v>7</v>
      </c>
      <c r="D41682" s="0" t="s">
        <v>46</v>
      </c>
      <c r="E41682" s="0" t="s">
        <v>46</v>
      </c>
      <c r="F41682" s="0" t="s">
        <v>46</v>
      </c>
    </row>
    <row r="41683" customFormat="false" ht="12.8" hidden="false" customHeight="false" outlineLevel="0" collapsed="false">
      <c r="B41683" s="0" t="s">
        <v>14</v>
      </c>
      <c r="D41683" s="0" t="s">
        <v>1315</v>
      </c>
      <c r="E41683" s="0" t="s">
        <v>1315</v>
      </c>
      <c r="F41683" s="0" t="s">
        <v>1315</v>
      </c>
    </row>
    <row r="41684" customFormat="false" ht="12.8" hidden="false" customHeight="false" outlineLevel="0" collapsed="false">
      <c r="B41684" s="0" t="s">
        <v>1592</v>
      </c>
      <c r="D41684" s="0" t="s">
        <v>8242</v>
      </c>
      <c r="E41684" s="0" t="s">
        <v>8242</v>
      </c>
      <c r="F41684" s="0" t="s">
        <v>8242</v>
      </c>
    </row>
    <row r="41686" customFormat="false" ht="12.8" hidden="false" customHeight="false" outlineLevel="0" collapsed="false">
      <c r="A41686" s="0" t="s">
        <v>14985</v>
      </c>
      <c r="B41686" s="0" t="str">
        <f aca="false">HYPERLINK("https://lindat.mff.cuni.cz/services/teitok/pdtc10/index.php?action=vallex&amp;frame=v-w5744f1", "rozpoznávat (v-w5744f1)")</f>
        <v>rozpoznávat (v-w5744f1)</v>
      </c>
    </row>
    <row r="41687" customFormat="false" ht="12.8" hidden="false" customHeight="false" outlineLevel="0" collapsed="false">
      <c r="B41687" s="0" t="s">
        <v>7</v>
      </c>
      <c r="D41687" s="0" t="s">
        <v>3243</v>
      </c>
      <c r="E41687" s="0" t="s">
        <v>3243</v>
      </c>
      <c r="F41687" s="0" t="s">
        <v>3243</v>
      </c>
    </row>
    <row r="41688" customFormat="false" ht="12.8" hidden="false" customHeight="false" outlineLevel="0" collapsed="false">
      <c r="B41688" s="0" t="s">
        <v>14982</v>
      </c>
      <c r="D41688" s="0" t="s">
        <v>4158</v>
      </c>
      <c r="E41688" s="0" t="s">
        <v>4158</v>
      </c>
      <c r="F41688" s="0" t="s">
        <v>4158</v>
      </c>
    </row>
    <row r="41690" customFormat="false" ht="12.8" hidden="false" customHeight="false" outlineLevel="0" collapsed="false">
      <c r="A41690" s="0" t="s">
        <v>14986</v>
      </c>
      <c r="B41690" s="0" t="str">
        <f aca="false">HYPERLINK("https://lindat.mff.cuni.cz/services/teitok/pdtc10/index.php?action=vallex&amp;frame=v-w5729f1", "rozpočíst (v-w5729f1)")</f>
        <v>rozpočíst (v-w5729f1)</v>
      </c>
    </row>
    <row r="41691" customFormat="false" ht="12.8" hidden="false" customHeight="false" outlineLevel="0" collapsed="false">
      <c r="B41691" s="0" t="s">
        <v>7</v>
      </c>
    </row>
    <row r="41692" customFormat="false" ht="12.8" hidden="false" customHeight="false" outlineLevel="0" collapsed="false">
      <c r="B41692" s="0" t="s">
        <v>14</v>
      </c>
    </row>
    <row r="41693" customFormat="false" ht="12.8" hidden="false" customHeight="false" outlineLevel="0" collapsed="false">
      <c r="B41693" s="0" t="s">
        <v>14669</v>
      </c>
    </row>
    <row r="41694" customFormat="false" ht="12.8" hidden="false" customHeight="false" outlineLevel="0" collapsed="false">
      <c r="B41694" s="0" t="s">
        <v>84</v>
      </c>
    </row>
    <row r="41696" customFormat="false" ht="12.8" hidden="false" customHeight="false" outlineLevel="0" collapsed="false">
      <c r="A41696" s="0" t="s">
        <v>14987</v>
      </c>
      <c r="B41696" s="0" t="str">
        <f aca="false">HYPERLINK("https://lindat.mff.cuni.cz/services/teitok/pdtc10/index.php?action=vallex&amp;frame=v-w5730f1", "rozpočíst se (v-w5730f1)")</f>
        <v>rozpočíst se (v-w5730f1)</v>
      </c>
    </row>
    <row r="41697" customFormat="false" ht="12.8" hidden="false" customHeight="false" outlineLevel="0" collapsed="false">
      <c r="B41697" s="0" t="s">
        <v>7</v>
      </c>
    </row>
    <row r="41698" customFormat="false" ht="12.8" hidden="false" customHeight="false" outlineLevel="0" collapsed="false">
      <c r="B41698" s="0" t="s">
        <v>14683</v>
      </c>
    </row>
    <row r="41700" customFormat="false" ht="12.8" hidden="false" customHeight="false" outlineLevel="0" collapsed="false">
      <c r="A41700" s="0" t="s">
        <v>14988</v>
      </c>
      <c r="B41700" s="0" t="str">
        <f aca="false">HYPERLINK("https://lindat.mff.cuni.cz/services/teitok/pdtc10/index.php?action=vallex&amp;frame=v-w12274_ZUf2_ZU", "rozpočítat (v-w12274_ZUf2_ZU)")</f>
        <v>rozpočítat (v-w12274_ZUf2_ZU)</v>
      </c>
    </row>
    <row r="41701" customFormat="false" ht="12.8" hidden="false" customHeight="false" outlineLevel="0" collapsed="false">
      <c r="B41701" s="0" t="s">
        <v>7</v>
      </c>
    </row>
    <row r="41702" customFormat="false" ht="12.8" hidden="false" customHeight="false" outlineLevel="0" collapsed="false">
      <c r="B41702" s="0" t="s">
        <v>14</v>
      </c>
    </row>
    <row r="41703" customFormat="false" ht="12.8" hidden="false" customHeight="false" outlineLevel="0" collapsed="false">
      <c r="B41703" s="0" t="s">
        <v>1633</v>
      </c>
    </row>
    <row r="41704" customFormat="false" ht="12.8" hidden="false" customHeight="false" outlineLevel="0" collapsed="false">
      <c r="B41704" s="0" t="s">
        <v>84</v>
      </c>
    </row>
    <row r="41706" customFormat="false" ht="12.8" hidden="false" customHeight="false" outlineLevel="0" collapsed="false">
      <c r="A41706" s="0" t="s">
        <v>14988</v>
      </c>
      <c r="B41706" s="0" t="str">
        <f aca="false">HYPERLINK("https://lindat.mff.cuni.cz/services/teitok/pdtc10/index.php?action=vallex&amp;frame=v-w12274_ZUf1_ZU", "rozpočítat (v-w12274_ZUf1_ZU) - substituted with v-w12274_ZUf2_ZU")</f>
        <v>rozpočítat (v-w12274_ZUf1_ZU) - substituted with v-w12274_ZUf2_ZU</v>
      </c>
    </row>
    <row r="41707" customFormat="false" ht="12.8" hidden="false" customHeight="false" outlineLevel="0" collapsed="false">
      <c r="B41707" s="0" t="s">
        <v>7</v>
      </c>
    </row>
    <row r="41708" customFormat="false" ht="12.8" hidden="false" customHeight="false" outlineLevel="0" collapsed="false">
      <c r="B41708" s="0" t="s">
        <v>14</v>
      </c>
    </row>
    <row r="41709" customFormat="false" ht="12.8" hidden="false" customHeight="false" outlineLevel="0" collapsed="false">
      <c r="B41709" s="0" t="s">
        <v>1633</v>
      </c>
    </row>
    <row r="41710" customFormat="false" ht="12.8" hidden="false" customHeight="false" outlineLevel="0" collapsed="false">
      <c r="B41710" s="0" t="s">
        <v>84</v>
      </c>
    </row>
    <row r="41712" customFormat="false" ht="12.8" hidden="false" customHeight="false" outlineLevel="0" collapsed="false">
      <c r="A41712" s="0" t="s">
        <v>14989</v>
      </c>
      <c r="B41712" s="0" t="str">
        <f aca="false">HYPERLINK("https://lindat.mff.cuni.cz/services/teitok/pdtc10/index.php?action=vallex&amp;frame=v-w5746f1", "rozpracovat (v-w5746f1)")</f>
        <v>rozpracovat (v-w5746f1)</v>
      </c>
    </row>
    <row r="41713" customFormat="false" ht="12.8" hidden="false" customHeight="false" outlineLevel="0" collapsed="false">
      <c r="B41713" s="0" t="s">
        <v>7</v>
      </c>
      <c r="C41713" s="0" t="s">
        <v>46</v>
      </c>
    </row>
    <row r="41714" customFormat="false" ht="12.8" hidden="false" customHeight="false" outlineLevel="0" collapsed="false">
      <c r="B41714" s="0" t="s">
        <v>14</v>
      </c>
      <c r="C41714" s="0" t="s">
        <v>567</v>
      </c>
    </row>
    <row r="41716" customFormat="false" ht="12.8" hidden="false" customHeight="false" outlineLevel="0" collapsed="false">
      <c r="A41716" s="0" t="s">
        <v>14990</v>
      </c>
      <c r="B41716" s="0" t="str">
        <f aca="false">HYPERLINK("https://lindat.mff.cuni.cz/services/teitok/pdtc10/index.php?action=vallex&amp;frame=v-w5747f1", "rozpracovávat (v-w5747f1)")</f>
        <v>rozpracovávat (v-w5747f1)</v>
      </c>
    </row>
    <row r="41717" customFormat="false" ht="12.8" hidden="false" customHeight="false" outlineLevel="0" collapsed="false">
      <c r="B41717" s="0" t="s">
        <v>7</v>
      </c>
    </row>
    <row r="41718" customFormat="false" ht="12.8" hidden="false" customHeight="false" outlineLevel="0" collapsed="false">
      <c r="B41718" s="0" t="s">
        <v>14</v>
      </c>
    </row>
    <row r="41720" customFormat="false" ht="12.8" hidden="false" customHeight="false" outlineLevel="0" collapsed="false">
      <c r="A41720" s="0" t="s">
        <v>14991</v>
      </c>
      <c r="B41720" s="0" t="str">
        <f aca="false">HYPERLINK("https://lindat.mff.cuni.cz/services/teitok/pdtc10/index.php?action=vallex&amp;frame=v-w11921_ZUf1_ZU", "rozpraskat (v-w11921_ZUf1_ZU)")</f>
        <v>rozpraskat (v-w11921_ZUf1_ZU)</v>
      </c>
    </row>
    <row r="41721" customFormat="false" ht="12.8" hidden="false" customHeight="false" outlineLevel="0" collapsed="false">
      <c r="B41721" s="0" t="s">
        <v>7</v>
      </c>
    </row>
    <row r="41723" customFormat="false" ht="12.8" hidden="false" customHeight="false" outlineLevel="0" collapsed="false">
      <c r="A41723" s="0" t="s">
        <v>14992</v>
      </c>
      <c r="B41723" s="0" t="str">
        <f aca="false">HYPERLINK("https://lindat.mff.cuni.cz/services/teitok/pdtc10/index.php?action=vallex&amp;frame=v-whsa_1084hsa_1085", "rozprchnout se (v-whsa_1084hsa_1085)")</f>
        <v>rozprchnout se (v-whsa_1084hsa_1085)</v>
      </c>
    </row>
    <row r="41724" customFormat="false" ht="12.8" hidden="false" customHeight="false" outlineLevel="0" collapsed="false">
      <c r="B41724" s="0" t="s">
        <v>7</v>
      </c>
    </row>
    <row r="41726" customFormat="false" ht="12.8" hidden="false" customHeight="false" outlineLevel="0" collapsed="false">
      <c r="A41726" s="0" t="s">
        <v>14993</v>
      </c>
      <c r="B41726" s="0" t="str">
        <f aca="false">HYPERLINK("https://lindat.mff.cuni.cz/services/teitok/pdtc10/index.php?action=vallex&amp;frame=v-whsa_1969hsa_1970", "rozprchávat se (v-whsa_1969hsa_1970)")</f>
        <v>rozprchávat se (v-whsa_1969hsa_1970)</v>
      </c>
    </row>
    <row r="41727" customFormat="false" ht="12.8" hidden="false" customHeight="false" outlineLevel="0" collapsed="false">
      <c r="B41727" s="0" t="s">
        <v>7</v>
      </c>
    </row>
    <row r="41729" customFormat="false" ht="12.8" hidden="false" customHeight="false" outlineLevel="0" collapsed="false">
      <c r="A41729" s="0" t="s">
        <v>14994</v>
      </c>
      <c r="B41729" s="0" t="str">
        <f aca="false">HYPERLINK("https://lindat.mff.cuni.cz/services/teitok/pdtc10/index.php?action=vallex&amp;frame=v-w5749f1", "rozprodat (v-w5749f1)")</f>
        <v>rozprodat (v-w5749f1)</v>
      </c>
    </row>
    <row r="41730" customFormat="false" ht="12.8" hidden="false" customHeight="false" outlineLevel="0" collapsed="false">
      <c r="B41730" s="0" t="s">
        <v>7</v>
      </c>
      <c r="C41730" s="0" t="s">
        <v>14995</v>
      </c>
      <c r="D41730" s="0" t="s">
        <v>8397</v>
      </c>
      <c r="E41730" s="0" t="s">
        <v>8397</v>
      </c>
      <c r="F41730" s="0" t="s">
        <v>8397</v>
      </c>
    </row>
    <row r="41731" customFormat="false" ht="12.8" hidden="false" customHeight="false" outlineLevel="0" collapsed="false">
      <c r="B41731" s="0" t="s">
        <v>14</v>
      </c>
      <c r="C41731" s="0" t="s">
        <v>14996</v>
      </c>
      <c r="D41731" s="0" t="s">
        <v>8399</v>
      </c>
      <c r="E41731" s="0" t="s">
        <v>8399</v>
      </c>
      <c r="F41731" s="0" t="s">
        <v>8399</v>
      </c>
    </row>
    <row r="41732" customFormat="false" ht="12.8" hidden="false" customHeight="false" outlineLevel="0" collapsed="false">
      <c r="B41732" s="0" t="s">
        <v>48</v>
      </c>
      <c r="C41732" s="0" t="s">
        <v>8400</v>
      </c>
    </row>
    <row r="41734" customFormat="false" ht="12.8" hidden="false" customHeight="false" outlineLevel="0" collapsed="false">
      <c r="A41734" s="0" t="s">
        <v>14997</v>
      </c>
      <c r="B41734" s="0" t="str">
        <f aca="false">HYPERLINK("https://lindat.mff.cuni.cz/services/teitok/pdtc10/index.php?action=vallex&amp;frame=v-w5750f1", "rozprodávat (v-w5750f1)")</f>
        <v>rozprodávat (v-w5750f1)</v>
      </c>
    </row>
    <row r="41735" customFormat="false" ht="12.8" hidden="false" customHeight="false" outlineLevel="0" collapsed="false">
      <c r="B41735" s="0" t="s">
        <v>7</v>
      </c>
      <c r="C41735" s="0" t="s">
        <v>118</v>
      </c>
      <c r="D41735" s="0" t="s">
        <v>8397</v>
      </c>
      <c r="E41735" s="0" t="s">
        <v>8397</v>
      </c>
      <c r="F41735" s="0" t="s">
        <v>8397</v>
      </c>
    </row>
    <row r="41736" customFormat="false" ht="12.8" hidden="false" customHeight="false" outlineLevel="0" collapsed="false">
      <c r="B41736" s="0" t="s">
        <v>14</v>
      </c>
      <c r="C41736" s="0" t="s">
        <v>625</v>
      </c>
      <c r="D41736" s="0" t="s">
        <v>8399</v>
      </c>
      <c r="E41736" s="0" t="s">
        <v>8399</v>
      </c>
      <c r="F41736" s="0" t="s">
        <v>8399</v>
      </c>
    </row>
    <row r="41737" customFormat="false" ht="12.8" hidden="false" customHeight="false" outlineLevel="0" collapsed="false">
      <c r="B41737" s="0" t="s">
        <v>48</v>
      </c>
      <c r="C41737" s="0" t="s">
        <v>9927</v>
      </c>
      <c r="D41737" s="0" t="s">
        <v>8400</v>
      </c>
      <c r="E41737" s="0" t="s">
        <v>8400</v>
      </c>
      <c r="F41737" s="0" t="s">
        <v>8400</v>
      </c>
    </row>
    <row r="41739" customFormat="false" ht="12.8" hidden="false" customHeight="false" outlineLevel="0" collapsed="false">
      <c r="A41739" s="0" t="s">
        <v>14998</v>
      </c>
      <c r="B41739" s="0" t="str">
        <f aca="false">HYPERLINK("https://lindat.mff.cuni.cz/services/teitok/pdtc10/index.php?action=vallex&amp;frame=v-w11666_ZUf1_ZU", "rozprostírat (v-w11666_ZUf1_ZU)")</f>
        <v>rozprostírat (v-w11666_ZUf1_ZU)</v>
      </c>
    </row>
    <row r="41740" customFormat="false" ht="12.8" hidden="false" customHeight="false" outlineLevel="0" collapsed="false">
      <c r="B41740" s="0" t="s">
        <v>7</v>
      </c>
      <c r="C41740" s="0" t="s">
        <v>335</v>
      </c>
    </row>
    <row r="41741" customFormat="false" ht="12.8" hidden="false" customHeight="false" outlineLevel="0" collapsed="false">
      <c r="B41741" s="0" t="s">
        <v>14</v>
      </c>
      <c r="C41741" s="0" t="s">
        <v>78</v>
      </c>
    </row>
    <row r="41743" customFormat="false" ht="12.8" hidden="false" customHeight="false" outlineLevel="0" collapsed="false">
      <c r="A41743" s="0" t="s">
        <v>14999</v>
      </c>
      <c r="B41743" s="0" t="str">
        <f aca="false">HYPERLINK("https://lindat.mff.cuni.cz/services/teitok/pdtc10/index.php?action=vallex&amp;frame=v-w5751f1", "rozprostírat se (v-w5751f1)")</f>
        <v>rozprostírat se (v-w5751f1)</v>
      </c>
    </row>
    <row r="41744" customFormat="false" ht="12.8" hidden="false" customHeight="false" outlineLevel="0" collapsed="false">
      <c r="B41744" s="0" t="s">
        <v>7</v>
      </c>
      <c r="C41744" s="0" t="s">
        <v>5380</v>
      </c>
    </row>
    <row r="41745" customFormat="false" ht="12.8" hidden="false" customHeight="false" outlineLevel="0" collapsed="false">
      <c r="B41745" s="0" t="s">
        <v>11</v>
      </c>
    </row>
    <row r="41747" customFormat="false" ht="12.8" hidden="false" customHeight="false" outlineLevel="0" collapsed="false">
      <c r="A41747" s="0" t="s">
        <v>15000</v>
      </c>
      <c r="B41747" s="0" t="str">
        <f aca="false">HYPERLINK("https://lindat.mff.cuni.cz/services/teitok/pdtc10/index.php?action=vallex&amp;frame=v-w10361f6", "rozprostřít (v-w10361f6)")</f>
        <v>rozprostřít (v-w10361f6)</v>
      </c>
    </row>
    <row r="41748" customFormat="false" ht="12.8" hidden="false" customHeight="false" outlineLevel="0" collapsed="false">
      <c r="B41748" s="0" t="s">
        <v>7</v>
      </c>
      <c r="C41748" s="0" t="s">
        <v>46</v>
      </c>
      <c r="D41748" s="0" t="s">
        <v>2507</v>
      </c>
      <c r="E41748" s="0" t="s">
        <v>2507</v>
      </c>
      <c r="F41748" s="0" t="s">
        <v>2507</v>
      </c>
    </row>
    <row r="41749" customFormat="false" ht="12.8" hidden="false" customHeight="false" outlineLevel="0" collapsed="false">
      <c r="B41749" s="0" t="s">
        <v>14</v>
      </c>
      <c r="C41749" s="0" t="s">
        <v>1209</v>
      </c>
      <c r="D41749" s="0" t="s">
        <v>25</v>
      </c>
      <c r="E41749" s="0" t="s">
        <v>25</v>
      </c>
      <c r="F41749" s="0" t="s">
        <v>25</v>
      </c>
    </row>
    <row r="41750" customFormat="false" ht="12.8" hidden="false" customHeight="false" outlineLevel="0" collapsed="false">
      <c r="B41750" s="0" t="s">
        <v>1633</v>
      </c>
      <c r="D41750" s="0" t="s">
        <v>1556</v>
      </c>
      <c r="E41750" s="0" t="s">
        <v>1556</v>
      </c>
      <c r="F41750" s="0" t="s">
        <v>1556</v>
      </c>
    </row>
    <row r="41752" customFormat="false" ht="12.8" hidden="false" customHeight="false" outlineLevel="0" collapsed="false">
      <c r="A41752" s="0" t="s">
        <v>15001</v>
      </c>
      <c r="B41752" s="0" t="str">
        <f aca="false">HYPERLINK("https://lindat.mff.cuni.cz/services/teitok/pdtc10/index.php?action=vallex&amp;frame=v-w10361f5", "rozprostřít (v-w10361f5)")</f>
        <v>rozprostřít (v-w10361f5)</v>
      </c>
    </row>
    <row r="41753" customFormat="false" ht="12.8" hidden="false" customHeight="false" outlineLevel="0" collapsed="false">
      <c r="B41753" s="0" t="s">
        <v>7</v>
      </c>
    </row>
    <row r="41754" customFormat="false" ht="12.8" hidden="false" customHeight="false" outlineLevel="0" collapsed="false">
      <c r="B41754" s="0" t="s">
        <v>14</v>
      </c>
      <c r="C41754" s="0" t="s">
        <v>115</v>
      </c>
    </row>
    <row r="41755" customFormat="false" ht="12.8" hidden="false" customHeight="false" outlineLevel="0" collapsed="false">
      <c r="B41755" s="0" t="s">
        <v>14755</v>
      </c>
    </row>
    <row r="41757" customFormat="false" ht="12.8" hidden="false" customHeight="false" outlineLevel="0" collapsed="false">
      <c r="A41757" s="0" t="s">
        <v>15002</v>
      </c>
      <c r="B41757" s="0" t="str">
        <f aca="false">HYPERLINK("https://lindat.mff.cuni.cz/services/teitok/pdtc10/index.php?action=vallex&amp;frame=v-w10361f2", "rozprostřít (v-w10361f2)")</f>
        <v>rozprostřít (v-w10361f2)</v>
      </c>
    </row>
    <row r="41758" customFormat="false" ht="12.8" hidden="false" customHeight="false" outlineLevel="0" collapsed="false">
      <c r="B41758" s="0" t="s">
        <v>7</v>
      </c>
    </row>
    <row r="41759" customFormat="false" ht="12.8" hidden="false" customHeight="false" outlineLevel="0" collapsed="false">
      <c r="B41759" s="0" t="s">
        <v>14</v>
      </c>
    </row>
    <row r="41761" customFormat="false" ht="12.8" hidden="false" customHeight="false" outlineLevel="0" collapsed="false">
      <c r="A41761" s="0" t="s">
        <v>15003</v>
      </c>
      <c r="B41761" s="0" t="str">
        <f aca="false">HYPERLINK("https://lindat.mff.cuni.cz/services/teitok/pdtc10/index.php?action=vallex&amp;frame=v-w10361f7_ZU", "rozprostřít (v-w10361f7_ZU)")</f>
        <v>rozprostřít (v-w10361f7_ZU)</v>
      </c>
    </row>
    <row r="41762" customFormat="false" ht="12.8" hidden="false" customHeight="false" outlineLevel="0" collapsed="false">
      <c r="B41762" s="0" t="s">
        <v>7</v>
      </c>
    </row>
    <row r="41763" customFormat="false" ht="12.8" hidden="false" customHeight="false" outlineLevel="0" collapsed="false">
      <c r="B41763" s="0" t="s">
        <v>14</v>
      </c>
    </row>
    <row r="41765" customFormat="false" ht="12.8" hidden="false" customHeight="false" outlineLevel="0" collapsed="false">
      <c r="A41765" s="0" t="s">
        <v>15004</v>
      </c>
      <c r="B41765" s="0" t="str">
        <f aca="false">HYPERLINK("https://lindat.mff.cuni.cz/services/teitok/pdtc10/index.php?action=vallex&amp;frame=v-w11296f1", "rozprostřít se (v-w11296f1)")</f>
        <v>rozprostřít se (v-w11296f1)</v>
      </c>
    </row>
    <row r="41766" customFormat="false" ht="12.8" hidden="false" customHeight="false" outlineLevel="0" collapsed="false">
      <c r="B41766" s="0" t="s">
        <v>7</v>
      </c>
      <c r="C41766" s="0" t="s">
        <v>16</v>
      </c>
    </row>
    <row r="41768" customFormat="false" ht="12.8" hidden="false" customHeight="false" outlineLevel="0" collapsed="false">
      <c r="A41768" s="0" t="s">
        <v>15005</v>
      </c>
      <c r="B41768" s="0" t="str">
        <f aca="false">HYPERLINK("https://lindat.mff.cuni.cz/services/teitok/pdtc10/index.php?action=vallex&amp;frame=v-w10620f2", "rozproudit (v-w10620f2)")</f>
        <v>rozproudit (v-w10620f2)</v>
      </c>
    </row>
    <row r="41769" customFormat="false" ht="12.8" hidden="false" customHeight="false" outlineLevel="0" collapsed="false">
      <c r="B41769" s="0" t="s">
        <v>7</v>
      </c>
      <c r="C41769" s="0" t="s">
        <v>15006</v>
      </c>
      <c r="D41769" s="0" t="s">
        <v>69</v>
      </c>
      <c r="E41769" s="0" t="s">
        <v>69</v>
      </c>
      <c r="F41769" s="0" t="s">
        <v>69</v>
      </c>
    </row>
    <row r="41770" customFormat="false" ht="12.8" hidden="false" customHeight="false" outlineLevel="0" collapsed="false">
      <c r="B41770" s="0" t="s">
        <v>14</v>
      </c>
      <c r="C41770" s="0" t="s">
        <v>1210</v>
      </c>
      <c r="D41770" s="0" t="s">
        <v>71</v>
      </c>
      <c r="E41770" s="0" t="s">
        <v>71</v>
      </c>
      <c r="F41770" s="0" t="s">
        <v>71</v>
      </c>
    </row>
    <row r="41772" customFormat="false" ht="12.8" hidden="false" customHeight="false" outlineLevel="0" collapsed="false">
      <c r="A41772" s="0" t="s">
        <v>15007</v>
      </c>
      <c r="B41772" s="0" t="str">
        <f aca="false">HYPERLINK("https://lindat.mff.cuni.cz/services/teitok/pdtc10/index.php?action=vallex&amp;frame=v-whsa_1096hsa_1097", "rozproudit se (v-whsa_1096hsa_1097)")</f>
        <v>rozproudit se (v-whsa_1096hsa_1097)</v>
      </c>
    </row>
    <row r="41773" customFormat="false" ht="12.8" hidden="false" customHeight="false" outlineLevel="0" collapsed="false">
      <c r="B41773" s="0" t="s">
        <v>7</v>
      </c>
    </row>
    <row r="41775" customFormat="false" ht="12.8" hidden="false" customHeight="false" outlineLevel="0" collapsed="false">
      <c r="A41775" s="0" t="s">
        <v>15008</v>
      </c>
      <c r="B41775" s="0" t="str">
        <f aca="false">HYPERLINK("https://lindat.mff.cuni.cz/services/teitok/pdtc10/index.php?action=vallex&amp;frame=v-whsb_53hsa_54", "rozprsknout se (v-whsb_53hsa_54)")</f>
        <v>rozprsknout se (v-whsb_53hsa_54)</v>
      </c>
    </row>
    <row r="41776" customFormat="false" ht="12.8" hidden="false" customHeight="false" outlineLevel="0" collapsed="false">
      <c r="B41776" s="0" t="s">
        <v>7</v>
      </c>
    </row>
    <row r="41778" customFormat="false" ht="12.8" hidden="false" customHeight="false" outlineLevel="0" collapsed="false">
      <c r="A41778" s="0" t="s">
        <v>15009</v>
      </c>
      <c r="B41778" s="0" t="str">
        <f aca="false">HYPERLINK("https://lindat.mff.cuni.cz/services/teitok/pdtc10/index.php?action=vallex&amp;frame=v-w10074f2", "rozprášit (v-w10074f2)")</f>
        <v>rozprášit (v-w10074f2)</v>
      </c>
    </row>
    <row r="41779" customFormat="false" ht="12.8" hidden="false" customHeight="false" outlineLevel="0" collapsed="false">
      <c r="B41779" s="0" t="s">
        <v>7</v>
      </c>
      <c r="C41779" s="0" t="s">
        <v>1263</v>
      </c>
      <c r="D41779" s="0" t="s">
        <v>184</v>
      </c>
      <c r="E41779" s="0" t="s">
        <v>184</v>
      </c>
      <c r="F41779" s="0" t="s">
        <v>184</v>
      </c>
    </row>
    <row r="41780" customFormat="false" ht="12.8" hidden="false" customHeight="false" outlineLevel="0" collapsed="false">
      <c r="B41780" s="0" t="s">
        <v>14</v>
      </c>
      <c r="C41780" s="0" t="s">
        <v>624</v>
      </c>
      <c r="D41780" s="0" t="s">
        <v>461</v>
      </c>
      <c r="E41780" s="0" t="s">
        <v>461</v>
      </c>
      <c r="F41780" s="0" t="s">
        <v>461</v>
      </c>
    </row>
    <row r="41782" customFormat="false" ht="12.8" hidden="false" customHeight="false" outlineLevel="0" collapsed="false">
      <c r="A41782" s="0" t="s">
        <v>15010</v>
      </c>
      <c r="B41782" s="0" t="str">
        <f aca="false">HYPERLINK("https://lindat.mff.cuni.cz/services/teitok/pdtc10/index.php?action=vallex&amp;frame=v-whsa_1184f1_ZU", "rozptylovat (v-whsa_1184f1_ZU)")</f>
        <v>rozptylovat (v-whsa_1184f1_ZU)</v>
      </c>
    </row>
    <row r="41783" customFormat="false" ht="12.8" hidden="false" customHeight="false" outlineLevel="0" collapsed="false">
      <c r="B41783" s="0" t="s">
        <v>7</v>
      </c>
      <c r="C41783" s="0" t="s">
        <v>623</v>
      </c>
    </row>
    <row r="41784" customFormat="false" ht="12.8" hidden="false" customHeight="false" outlineLevel="0" collapsed="false">
      <c r="B41784" s="0" t="s">
        <v>81</v>
      </c>
      <c r="C41784" s="0" t="s">
        <v>4656</v>
      </c>
    </row>
    <row r="41785" customFormat="false" ht="12.8" hidden="false" customHeight="false" outlineLevel="0" collapsed="false">
      <c r="B41785" s="0" t="s">
        <v>333</v>
      </c>
      <c r="C41785" s="0" t="s">
        <v>274</v>
      </c>
    </row>
    <row r="41787" customFormat="false" ht="12.8" hidden="false" customHeight="false" outlineLevel="0" collapsed="false">
      <c r="A41787" s="0" t="s">
        <v>15010</v>
      </c>
      <c r="B41787" s="0" t="str">
        <f aca="false">HYPERLINK("https://lindat.mff.cuni.cz/services/teitok/pdtc10/index.php?action=vallex&amp;frame=v-whsa_1184hsa_1185", "rozptylovat (v-whsa_1184hsa_1185) - substituted with v-whsa_1184f1_ZU")</f>
        <v>rozptylovat (v-whsa_1184hsa_1185) - substituted with v-whsa_1184f1_ZU</v>
      </c>
    </row>
    <row r="41788" customFormat="false" ht="12.8" hidden="false" customHeight="false" outlineLevel="0" collapsed="false">
      <c r="B41788" s="0" t="s">
        <v>7</v>
      </c>
    </row>
    <row r="41789" customFormat="false" ht="12.8" hidden="false" customHeight="false" outlineLevel="0" collapsed="false">
      <c r="B41789" s="0" t="s">
        <v>81</v>
      </c>
    </row>
    <row r="41790" customFormat="false" ht="12.8" hidden="false" customHeight="false" outlineLevel="0" collapsed="false">
      <c r="B41790" s="0" t="s">
        <v>333</v>
      </c>
    </row>
    <row r="41792" customFormat="false" ht="12.8" hidden="false" customHeight="false" outlineLevel="0" collapsed="false">
      <c r="A41792" s="0" t="s">
        <v>15011</v>
      </c>
      <c r="B41792" s="0" t="str">
        <f aca="false">HYPERLINK("https://lindat.mff.cuni.cz/services/teitok/pdtc10/index.php?action=vallex&amp;frame=v-w5755f1", "rozptylovat se (v-w5755f1)")</f>
        <v>rozptylovat se (v-w5755f1)</v>
      </c>
    </row>
    <row r="41793" customFormat="false" ht="12.8" hidden="false" customHeight="false" outlineLevel="0" collapsed="false">
      <c r="B41793" s="0" t="s">
        <v>7</v>
      </c>
      <c r="D41793" s="0" t="s">
        <v>247</v>
      </c>
      <c r="E41793" s="0" t="s">
        <v>247</v>
      </c>
      <c r="F41793" s="0" t="s">
        <v>247</v>
      </c>
    </row>
    <row r="41795" customFormat="false" ht="12.8" hidden="false" customHeight="false" outlineLevel="0" collapsed="false">
      <c r="A41795" s="0" t="s">
        <v>15012</v>
      </c>
      <c r="B41795" s="0" t="str">
        <f aca="false">HYPERLINK("https://lindat.mff.cuni.cz/services/teitok/pdtc10/index.php?action=vallex&amp;frame=v-w5754f1", "rozptýlit (v-w5754f1)")</f>
        <v>rozptýlit (v-w5754f1)</v>
      </c>
    </row>
    <row r="41796" customFormat="false" ht="12.8" hidden="false" customHeight="false" outlineLevel="0" collapsed="false">
      <c r="B41796" s="0" t="s">
        <v>7</v>
      </c>
      <c r="C41796" s="0" t="s">
        <v>504</v>
      </c>
      <c r="D41796" s="0" t="s">
        <v>184</v>
      </c>
      <c r="E41796" s="0" t="s">
        <v>184</v>
      </c>
      <c r="F41796" s="0" t="s">
        <v>184</v>
      </c>
    </row>
    <row r="41797" customFormat="false" ht="12.8" hidden="false" customHeight="false" outlineLevel="0" collapsed="false">
      <c r="B41797" s="0" t="s">
        <v>14</v>
      </c>
      <c r="C41797" s="0" t="s">
        <v>1210</v>
      </c>
      <c r="D41797" s="0" t="s">
        <v>461</v>
      </c>
      <c r="E41797" s="0" t="s">
        <v>461</v>
      </c>
      <c r="F41797" s="0" t="s">
        <v>461</v>
      </c>
    </row>
    <row r="41799" customFormat="false" ht="12.8" hidden="false" customHeight="false" outlineLevel="0" collapsed="false">
      <c r="A41799" s="0" t="s">
        <v>15013</v>
      </c>
      <c r="B41799" s="0" t="str">
        <f aca="false">HYPERLINK("https://lindat.mff.cuni.cz/services/teitok/pdtc10/index.php?action=vallex&amp;frame=v-w5754f2_ZU", "rozptýlit (v-w5754f2_ZU)")</f>
        <v>rozptýlit (v-w5754f2_ZU)</v>
      </c>
    </row>
    <row r="41800" customFormat="false" ht="12.8" hidden="false" customHeight="false" outlineLevel="0" collapsed="false">
      <c r="B41800" s="0" t="s">
        <v>7</v>
      </c>
      <c r="D41800" s="0" t="s">
        <v>184</v>
      </c>
      <c r="E41800" s="0" t="s">
        <v>184</v>
      </c>
      <c r="F41800" s="0" t="s">
        <v>184</v>
      </c>
    </row>
    <row r="41801" customFormat="false" ht="12.8" hidden="false" customHeight="false" outlineLevel="0" collapsed="false">
      <c r="B41801" s="0" t="s">
        <v>14</v>
      </c>
      <c r="C41801" s="0" t="s">
        <v>155</v>
      </c>
      <c r="D41801" s="0" t="s">
        <v>384</v>
      </c>
      <c r="E41801" s="0" t="s">
        <v>384</v>
      </c>
      <c r="F41801" s="0" t="s">
        <v>384</v>
      </c>
    </row>
    <row r="41803" customFormat="false" ht="12.8" hidden="false" customHeight="false" outlineLevel="0" collapsed="false">
      <c r="A41803" s="0" t="s">
        <v>15013</v>
      </c>
      <c r="B41803" s="0" t="str">
        <f aca="false">HYPERLINK("https://lindat.mff.cuni.cz/services/teitok/pdtc10/index.php?action=vallex&amp;frame=v-w5754hsa_108", "rozptýlit (v-w5754hsa_108) - substituted with v-w5754f2_ZU")</f>
        <v>rozptýlit (v-w5754hsa_108) - substituted with v-w5754f2_ZU</v>
      </c>
    </row>
    <row r="41804" customFormat="false" ht="12.8" hidden="false" customHeight="false" outlineLevel="0" collapsed="false">
      <c r="B41804" s="0" t="s">
        <v>7</v>
      </c>
    </row>
    <row r="41805" customFormat="false" ht="12.8" hidden="false" customHeight="false" outlineLevel="0" collapsed="false">
      <c r="B41805" s="0" t="s">
        <v>14</v>
      </c>
    </row>
    <row r="41807" customFormat="false" ht="12.8" hidden="false" customHeight="false" outlineLevel="0" collapsed="false">
      <c r="A41807" s="0" t="s">
        <v>15014</v>
      </c>
      <c r="B41807" s="0" t="str">
        <f aca="false">HYPERLINK("https://lindat.mff.cuni.cz/services/teitok/pdtc10/index.php?action=vallex&amp;frame=v-whsa_942f1_ZU", "rozptýlit se (v-whsa_942f1_ZU)")</f>
        <v>rozptýlit se (v-whsa_942f1_ZU)</v>
      </c>
    </row>
    <row r="41808" customFormat="false" ht="12.8" hidden="false" customHeight="false" outlineLevel="0" collapsed="false">
      <c r="B41808" s="0" t="s">
        <v>7</v>
      </c>
      <c r="C41808" s="0" t="s">
        <v>16</v>
      </c>
      <c r="D41808" s="0" t="s">
        <v>247</v>
      </c>
      <c r="E41808" s="0" t="s">
        <v>247</v>
      </c>
      <c r="F41808" s="0" t="s">
        <v>247</v>
      </c>
    </row>
    <row r="41810" customFormat="false" ht="12.8" hidden="false" customHeight="false" outlineLevel="0" collapsed="false">
      <c r="A41810" s="0" t="s">
        <v>15014</v>
      </c>
      <c r="B41810" s="0" t="str">
        <f aca="false">HYPERLINK("https://lindat.mff.cuni.cz/services/teitok/pdtc10/index.php?action=vallex&amp;frame=v-whsa_942hsa_943", "rozptýlit se (v-whsa_942hsa_943) - substituted with v-whsa_942f1_ZU")</f>
        <v>rozptýlit se (v-whsa_942hsa_943) - substituted with v-whsa_942f1_ZU</v>
      </c>
    </row>
    <row r="41811" customFormat="false" ht="12.8" hidden="false" customHeight="false" outlineLevel="0" collapsed="false">
      <c r="B41811" s="0" t="s">
        <v>7</v>
      </c>
    </row>
    <row r="41813" customFormat="false" ht="12.8" hidden="false" customHeight="false" outlineLevel="0" collapsed="false">
      <c r="A41813" s="0" t="s">
        <v>15015</v>
      </c>
      <c r="B41813" s="0" t="str">
        <f aca="false">HYPERLINK("https://lindat.mff.cuni.cz/services/teitok/pdtc10/index.php?action=vallex&amp;frame=v-whsa_942f2_ZU", "rozptýlit se (v-whsa_942f2_ZU)")</f>
        <v>rozptýlit se (v-whsa_942f2_ZU)</v>
      </c>
    </row>
    <row r="41814" customFormat="false" ht="12.8" hidden="false" customHeight="false" outlineLevel="0" collapsed="false">
      <c r="B41814" s="0" t="s">
        <v>7</v>
      </c>
    </row>
    <row r="41816" customFormat="false" ht="12.8" hidden="false" customHeight="false" outlineLevel="0" collapsed="false">
      <c r="A41816" s="0" t="s">
        <v>15016</v>
      </c>
      <c r="B41816" s="0" t="str">
        <f aca="false">HYPERLINK("https://lindat.mff.cuni.cz/services/teitok/pdtc10/index.php?action=vallex&amp;frame=v-whsa_942hsa_1838", "rozptýlit se (v-whsa_942hsa_1838)")</f>
        <v>rozptýlit se (v-whsa_942hsa_1838)</v>
      </c>
    </row>
    <row r="41817" customFormat="false" ht="12.8" hidden="false" customHeight="false" outlineLevel="0" collapsed="false">
      <c r="B41817" s="0" t="s">
        <v>7</v>
      </c>
    </row>
    <row r="41819" customFormat="false" ht="12.8" hidden="false" customHeight="false" outlineLevel="0" collapsed="false">
      <c r="A41819" s="0" t="s">
        <v>15017</v>
      </c>
      <c r="B41819" s="0" t="str">
        <f aca="false">HYPERLINK("https://lindat.mff.cuni.cz/services/teitok/pdtc10/index.php?action=vallex&amp;frame=v-w5756f1", "rozpustit (v-w5756f1)")</f>
        <v>rozpustit (v-w5756f1)</v>
      </c>
    </row>
    <row r="41820" customFormat="false" ht="12.8" hidden="false" customHeight="false" outlineLevel="0" collapsed="false">
      <c r="B41820" s="0" t="s">
        <v>7</v>
      </c>
      <c r="C41820" s="0" t="s">
        <v>118</v>
      </c>
      <c r="D41820" s="0" t="s">
        <v>7397</v>
      </c>
      <c r="E41820" s="0" t="s">
        <v>7397</v>
      </c>
      <c r="F41820" s="0" t="s">
        <v>7397</v>
      </c>
    </row>
    <row r="41821" customFormat="false" ht="12.8" hidden="false" customHeight="false" outlineLevel="0" collapsed="false">
      <c r="B41821" s="0" t="s">
        <v>14</v>
      </c>
      <c r="C41821" s="0" t="s">
        <v>195</v>
      </c>
      <c r="D41821" s="0" t="s">
        <v>7398</v>
      </c>
      <c r="E41821" s="0" t="s">
        <v>7398</v>
      </c>
      <c r="F41821" s="0" t="s">
        <v>7398</v>
      </c>
    </row>
    <row r="41823" customFormat="false" ht="12.8" hidden="false" customHeight="false" outlineLevel="0" collapsed="false">
      <c r="A41823" s="0" t="s">
        <v>15018</v>
      </c>
      <c r="B41823" s="0" t="str">
        <f aca="false">HYPERLINK("https://lindat.mff.cuni.cz/services/teitok/pdtc10/index.php?action=vallex&amp;frame=v-w5756f2", "rozpustit (v-w5756f2)")</f>
        <v>rozpustit (v-w5756f2)</v>
      </c>
    </row>
    <row r="41824" customFormat="false" ht="12.8" hidden="false" customHeight="false" outlineLevel="0" collapsed="false">
      <c r="B41824" s="0" t="s">
        <v>7</v>
      </c>
    </row>
    <row r="41825" customFormat="false" ht="12.8" hidden="false" customHeight="false" outlineLevel="0" collapsed="false">
      <c r="B41825" s="0" t="s">
        <v>14</v>
      </c>
    </row>
    <row r="41827" customFormat="false" ht="12.8" hidden="false" customHeight="false" outlineLevel="0" collapsed="false">
      <c r="A41827" s="0" t="s">
        <v>15019</v>
      </c>
      <c r="B41827" s="0" t="str">
        <f aca="false">HYPERLINK("https://lindat.mff.cuni.cz/services/teitok/pdtc10/index.php?action=vallex&amp;frame=v-whsa_5hsa_6", "rozpálit (v-whsa_5hsa_6)")</f>
        <v>rozpálit (v-whsa_5hsa_6)</v>
      </c>
    </row>
    <row r="41828" customFormat="false" ht="12.8" hidden="false" customHeight="false" outlineLevel="0" collapsed="false">
      <c r="B41828" s="0" t="s">
        <v>7</v>
      </c>
    </row>
    <row r="41829" customFormat="false" ht="12.8" hidden="false" customHeight="false" outlineLevel="0" collapsed="false">
      <c r="B41829" s="0" t="s">
        <v>14</v>
      </c>
    </row>
    <row r="41831" customFormat="false" ht="12.8" hidden="false" customHeight="false" outlineLevel="0" collapsed="false">
      <c r="A41831" s="0" t="s">
        <v>15020</v>
      </c>
      <c r="B41831" s="0" t="str">
        <f aca="false">HYPERLINK("https://lindat.mff.cuni.cz/services/teitok/pdtc10/index.php?action=vallex&amp;frame=v-w5721f1", "rozpíjet se (v-w5721f1)")</f>
        <v>rozpíjet se (v-w5721f1)</v>
      </c>
    </row>
    <row r="41832" customFormat="false" ht="12.8" hidden="false" customHeight="false" outlineLevel="0" collapsed="false">
      <c r="B41832" s="0" t="s">
        <v>7</v>
      </c>
    </row>
    <row r="41834" customFormat="false" ht="12.8" hidden="false" customHeight="false" outlineLevel="0" collapsed="false">
      <c r="A41834" s="0" t="s">
        <v>15021</v>
      </c>
      <c r="B41834" s="0" t="str">
        <f aca="false">HYPERLINK("https://lindat.mff.cuni.cz/services/teitok/pdtc10/index.php?action=vallex&amp;frame=v-w5723f1", "rozpínat se (v-w5723f1)")</f>
        <v>rozpínat se (v-w5723f1)</v>
      </c>
    </row>
    <row r="41835" customFormat="false" ht="12.8" hidden="false" customHeight="false" outlineLevel="0" collapsed="false">
      <c r="B41835" s="0" t="s">
        <v>7</v>
      </c>
      <c r="D41835" s="0" t="s">
        <v>15022</v>
      </c>
      <c r="E41835" s="0" t="s">
        <v>15022</v>
      </c>
      <c r="F41835" s="0" t="s">
        <v>15022</v>
      </c>
    </row>
    <row r="41837" customFormat="false" ht="12.8" hidden="false" customHeight="false" outlineLevel="0" collapsed="false">
      <c r="A41837" s="0" t="s">
        <v>15023</v>
      </c>
      <c r="B41837" s="0" t="str">
        <f aca="false">HYPERLINK("https://lindat.mff.cuni.cz/services/teitok/pdtc10/index.php?action=vallex&amp;frame=v-w10340f2", "rozpůjčovat (v-w10340f2)")</f>
        <v>rozpůjčovat (v-w10340f2)</v>
      </c>
    </row>
    <row r="41838" customFormat="false" ht="12.8" hidden="false" customHeight="false" outlineLevel="0" collapsed="false">
      <c r="B41838" s="0" t="s">
        <v>7</v>
      </c>
      <c r="C41838" s="0" t="s">
        <v>1142</v>
      </c>
      <c r="D41838" s="0" t="s">
        <v>1484</v>
      </c>
      <c r="E41838" s="0" t="s">
        <v>1484</v>
      </c>
      <c r="F41838" s="0" t="s">
        <v>1484</v>
      </c>
    </row>
    <row r="41839" customFormat="false" ht="12.8" hidden="false" customHeight="false" outlineLevel="0" collapsed="false">
      <c r="B41839" s="0" t="s">
        <v>14</v>
      </c>
      <c r="C41839" s="0" t="s">
        <v>7966</v>
      </c>
      <c r="D41839" s="0" t="s">
        <v>1485</v>
      </c>
      <c r="E41839" s="0" t="s">
        <v>1485</v>
      </c>
      <c r="F41839" s="0" t="s">
        <v>1485</v>
      </c>
    </row>
    <row r="41840" customFormat="false" ht="12.8" hidden="false" customHeight="false" outlineLevel="0" collapsed="false">
      <c r="B41840" s="0" t="s">
        <v>48</v>
      </c>
      <c r="C41840" s="0" t="s">
        <v>12111</v>
      </c>
      <c r="D41840" s="0" t="s">
        <v>1487</v>
      </c>
      <c r="E41840" s="0" t="s">
        <v>1487</v>
      </c>
      <c r="F41840" s="0" t="s">
        <v>1487</v>
      </c>
    </row>
    <row r="41842" customFormat="false" ht="12.8" hidden="false" customHeight="false" outlineLevel="0" collapsed="false">
      <c r="A41842" s="0" t="s">
        <v>15024</v>
      </c>
      <c r="B41842" s="0" t="str">
        <f aca="false">HYPERLINK("https://lindat.mff.cuni.cz/services/teitok/pdtc10/index.php?action=vallex&amp;frame=v-w10994f2", "rozpůlit (v-w10994f2)")</f>
        <v>rozpůlit (v-w10994f2)</v>
      </c>
    </row>
    <row r="41843" customFormat="false" ht="12.8" hidden="false" customHeight="false" outlineLevel="0" collapsed="false">
      <c r="B41843" s="0" t="s">
        <v>7</v>
      </c>
      <c r="D41843" s="0" t="s">
        <v>14676</v>
      </c>
      <c r="E41843" s="0" t="s">
        <v>14676</v>
      </c>
      <c r="F41843" s="0" t="s">
        <v>14676</v>
      </c>
    </row>
    <row r="41844" customFormat="false" ht="12.8" hidden="false" customHeight="false" outlineLevel="0" collapsed="false">
      <c r="B41844" s="0" t="s">
        <v>14</v>
      </c>
      <c r="C41844" s="0" t="s">
        <v>33</v>
      </c>
      <c r="D41844" s="0" t="s">
        <v>14677</v>
      </c>
      <c r="E41844" s="0" t="s">
        <v>14677</v>
      </c>
      <c r="F41844" s="0" t="s">
        <v>14677</v>
      </c>
    </row>
    <row r="41845" customFormat="false" ht="12.8" hidden="false" customHeight="false" outlineLevel="0" collapsed="false">
      <c r="B41845" s="0" t="s">
        <v>4978</v>
      </c>
      <c r="D41845" s="0" t="s">
        <v>14679</v>
      </c>
      <c r="E41845" s="0" t="s">
        <v>14679</v>
      </c>
      <c r="F41845" s="0" t="s">
        <v>14679</v>
      </c>
    </row>
    <row r="41847" customFormat="false" ht="12.8" hidden="false" customHeight="false" outlineLevel="0" collapsed="false">
      <c r="A41847" s="0" t="s">
        <v>15025</v>
      </c>
      <c r="B41847" s="0" t="str">
        <f aca="false">HYPERLINK("https://lindat.mff.cuni.cz/services/teitok/pdtc10/index.php?action=vallex&amp;frame=v-w5758f1", "rozrazit (v-w5758f1)")</f>
        <v>rozrazit (v-w5758f1)</v>
      </c>
    </row>
    <row r="41848" customFormat="false" ht="12.8" hidden="false" customHeight="false" outlineLevel="0" collapsed="false">
      <c r="B41848" s="0" t="s">
        <v>7</v>
      </c>
    </row>
    <row r="41849" customFormat="false" ht="12.8" hidden="false" customHeight="false" outlineLevel="0" collapsed="false">
      <c r="B41849" s="0" t="s">
        <v>14</v>
      </c>
    </row>
    <row r="41851" customFormat="false" ht="12.8" hidden="false" customHeight="false" outlineLevel="0" collapsed="false">
      <c r="A41851" s="0" t="s">
        <v>15026</v>
      </c>
      <c r="B41851" s="0" t="str">
        <f aca="false">HYPERLINK("https://lindat.mff.cuni.cz/services/teitok/pdtc10/index.php?action=vallex&amp;frame=v-w5762f1", "rozrušit (v-w5762f1)")</f>
        <v>rozrušit (v-w5762f1)</v>
      </c>
    </row>
    <row r="41852" customFormat="false" ht="12.8" hidden="false" customHeight="false" outlineLevel="0" collapsed="false">
      <c r="B41852" s="0" t="s">
        <v>7</v>
      </c>
      <c r="C41852" s="0" t="s">
        <v>623</v>
      </c>
      <c r="D41852" s="0" t="s">
        <v>2062</v>
      </c>
      <c r="E41852" s="0" t="s">
        <v>10061</v>
      </c>
      <c r="F41852" s="0" t="s">
        <v>10061</v>
      </c>
    </row>
    <row r="41853" customFormat="false" ht="12.8" hidden="false" customHeight="false" outlineLevel="0" collapsed="false">
      <c r="B41853" s="0" t="s">
        <v>14</v>
      </c>
      <c r="C41853" s="0" t="s">
        <v>461</v>
      </c>
      <c r="D41853" s="0" t="s">
        <v>2065</v>
      </c>
      <c r="E41853" s="0" t="s">
        <v>10062</v>
      </c>
      <c r="F41853" s="0" t="s">
        <v>10062</v>
      </c>
    </row>
    <row r="41855" customFormat="false" ht="12.8" hidden="false" customHeight="false" outlineLevel="0" collapsed="false">
      <c r="A41855" s="0" t="s">
        <v>15027</v>
      </c>
      <c r="B41855" s="0" t="str">
        <f aca="false">HYPERLINK("https://lindat.mff.cuni.cz/services/teitok/pdtc10/index.php?action=vallex&amp;frame=v-w5762f4_ZU", "rozrušit (v-w5762f4_ZU)")</f>
        <v>rozrušit (v-w5762f4_ZU)</v>
      </c>
    </row>
    <row r="41856" customFormat="false" ht="12.8" hidden="false" customHeight="false" outlineLevel="0" collapsed="false">
      <c r="B41856" s="0" t="s">
        <v>641</v>
      </c>
    </row>
    <row r="41857" customFormat="false" ht="12.8" hidden="false" customHeight="false" outlineLevel="0" collapsed="false">
      <c r="B41857" s="0" t="s">
        <v>14</v>
      </c>
    </row>
    <row r="41859" customFormat="false" ht="12.8" hidden="false" customHeight="false" outlineLevel="0" collapsed="false">
      <c r="A41859" s="0" t="s">
        <v>15027</v>
      </c>
      <c r="B41859" s="0" t="str">
        <f aca="false">HYPERLINK("https://lindat.mff.cuni.cz/services/teitok/pdtc10/index.php?action=vallex&amp;frame=v-w5762f2_ZU", "rozrušit (v-w5762f2_ZU) - substituted with v-w5762f4_ZU")</f>
        <v>rozrušit (v-w5762f2_ZU) - substituted with v-w5762f4_ZU</v>
      </c>
    </row>
    <row r="41860" customFormat="false" ht="12.8" hidden="false" customHeight="false" outlineLevel="0" collapsed="false">
      <c r="B41860" s="0" t="s">
        <v>641</v>
      </c>
    </row>
    <row r="41861" customFormat="false" ht="12.8" hidden="false" customHeight="false" outlineLevel="0" collapsed="false">
      <c r="B41861" s="0" t="s">
        <v>14</v>
      </c>
    </row>
    <row r="41863" customFormat="false" ht="12.8" hidden="false" customHeight="false" outlineLevel="0" collapsed="false">
      <c r="A41863" s="0" t="s">
        <v>15027</v>
      </c>
      <c r="B41863" s="0" t="str">
        <f aca="false">HYPERLINK("https://lindat.mff.cuni.cz/services/teitok/pdtc10/index.php?action=vallex&amp;frame=v-w5762f3_ZU", "rozrušit (v-w5762f3_ZU) - substituted with v-w5762f4_ZU")</f>
        <v>rozrušit (v-w5762f3_ZU) - substituted with v-w5762f4_ZU</v>
      </c>
    </row>
    <row r="41864" customFormat="false" ht="12.8" hidden="false" customHeight="false" outlineLevel="0" collapsed="false">
      <c r="B41864" s="0" t="s">
        <v>641</v>
      </c>
      <c r="C41864" s="0" t="s">
        <v>191</v>
      </c>
      <c r="D41864" s="0" t="s">
        <v>10458</v>
      </c>
      <c r="E41864" s="0" t="s">
        <v>10458</v>
      </c>
      <c r="F41864" s="0" t="s">
        <v>10458</v>
      </c>
    </row>
    <row r="41865" customFormat="false" ht="12.8" hidden="false" customHeight="false" outlineLevel="0" collapsed="false">
      <c r="B41865" s="0" t="s">
        <v>14</v>
      </c>
      <c r="C41865" s="0" t="s">
        <v>15028</v>
      </c>
      <c r="D41865" s="0" t="s">
        <v>14767</v>
      </c>
      <c r="E41865" s="0" t="s">
        <v>14767</v>
      </c>
      <c r="F41865" s="0" t="s">
        <v>14767</v>
      </c>
    </row>
    <row r="41867" customFormat="false" ht="12.8" hidden="false" customHeight="false" outlineLevel="0" collapsed="false">
      <c r="A41867" s="0" t="s">
        <v>15027</v>
      </c>
      <c r="B41867" s="0" t="str">
        <f aca="false">HYPERLINK("https://lindat.mff.cuni.cz/services/teitok/pdtc10/index.php?action=vallex&amp;frame=v-w5762hsa_195", "rozrušit (v-w5762hsa_195) - substituted with v-w5762f4_ZU")</f>
        <v>rozrušit (v-w5762hsa_195) - substituted with v-w5762f4_ZU</v>
      </c>
    </row>
    <row r="41868" customFormat="false" ht="12.8" hidden="false" customHeight="false" outlineLevel="0" collapsed="false">
      <c r="B41868" s="0" t="s">
        <v>641</v>
      </c>
    </row>
    <row r="41869" customFormat="false" ht="12.8" hidden="false" customHeight="false" outlineLevel="0" collapsed="false">
      <c r="B41869" s="0" t="s">
        <v>14</v>
      </c>
    </row>
    <row r="41871" customFormat="false" ht="12.8" hidden="false" customHeight="false" outlineLevel="0" collapsed="false">
      <c r="A41871" s="0" t="s">
        <v>15029</v>
      </c>
      <c r="B41871" s="0" t="str">
        <f aca="false">HYPERLINK("https://lindat.mff.cuni.cz/services/teitok/pdtc10/index.php?action=vallex&amp;frame=v-w5762hsa_237", "rozrušit (v-w5762hsa_237)")</f>
        <v>rozrušit (v-w5762hsa_237)</v>
      </c>
    </row>
    <row r="41872" customFormat="false" ht="12.8" hidden="false" customHeight="false" outlineLevel="0" collapsed="false">
      <c r="B41872" s="0" t="s">
        <v>7</v>
      </c>
    </row>
    <row r="41873" customFormat="false" ht="12.8" hidden="false" customHeight="false" outlineLevel="0" collapsed="false">
      <c r="B41873" s="0" t="s">
        <v>14</v>
      </c>
    </row>
    <row r="41875" customFormat="false" ht="12.8" hidden="false" customHeight="false" outlineLevel="0" collapsed="false">
      <c r="A41875" s="0" t="s">
        <v>15030</v>
      </c>
      <c r="B41875" s="0" t="str">
        <f aca="false">HYPERLINK("https://lindat.mff.cuni.cz/services/teitok/pdtc10/index.php?action=vallex&amp;frame=v-w12104_ZUf1_ZU", "rozrušovat (v-w12104_ZUf1_ZU)")</f>
        <v>rozrušovat (v-w12104_ZUf1_ZU)</v>
      </c>
    </row>
    <row r="41876" customFormat="false" ht="12.8" hidden="false" customHeight="false" outlineLevel="0" collapsed="false">
      <c r="B41876" s="0" t="s">
        <v>7</v>
      </c>
    </row>
    <row r="41877" customFormat="false" ht="12.8" hidden="false" customHeight="false" outlineLevel="0" collapsed="false">
      <c r="B41877" s="0" t="s">
        <v>14</v>
      </c>
    </row>
    <row r="41879" customFormat="false" ht="12.8" hidden="false" customHeight="false" outlineLevel="0" collapsed="false">
      <c r="A41879" s="0" t="s">
        <v>15031</v>
      </c>
      <c r="B41879" s="0" t="str">
        <f aca="false">HYPERLINK("https://lindat.mff.cuni.cz/services/teitok/pdtc10/index.php?action=vallex&amp;frame=v-w5763f1", "rozrýt (v-w5763f1)")</f>
        <v>rozrýt (v-w5763f1)</v>
      </c>
    </row>
    <row r="41880" customFormat="false" ht="12.8" hidden="false" customHeight="false" outlineLevel="0" collapsed="false">
      <c r="B41880" s="0" t="s">
        <v>7</v>
      </c>
    </row>
    <row r="41881" customFormat="false" ht="12.8" hidden="false" customHeight="false" outlineLevel="0" collapsed="false">
      <c r="B41881" s="0" t="s">
        <v>14</v>
      </c>
    </row>
    <row r="41883" customFormat="false" ht="12.8" hidden="false" customHeight="false" outlineLevel="0" collapsed="false">
      <c r="A41883" s="0" t="s">
        <v>15032</v>
      </c>
      <c r="B41883" s="0" t="str">
        <f aca="false">HYPERLINK("https://lindat.mff.cuni.cz/services/teitok/pdtc10/index.php?action=vallex&amp;frame=v-w5761f1", "rozrůst se (v-w5761f1)")</f>
        <v>rozrůst se (v-w5761f1)</v>
      </c>
    </row>
    <row r="41884" customFormat="false" ht="12.8" hidden="false" customHeight="false" outlineLevel="0" collapsed="false">
      <c r="B41884" s="0" t="s">
        <v>7</v>
      </c>
      <c r="C41884" s="0" t="s">
        <v>15033</v>
      </c>
      <c r="D41884" s="0" t="s">
        <v>6244</v>
      </c>
      <c r="E41884" s="0" t="s">
        <v>6244</v>
      </c>
      <c r="F41884" s="0" t="s">
        <v>6244</v>
      </c>
    </row>
    <row r="41885" customFormat="false" ht="12.8" hidden="false" customHeight="false" outlineLevel="0" collapsed="false">
      <c r="B41885" s="0" t="s">
        <v>581</v>
      </c>
      <c r="C41885" s="0" t="s">
        <v>15034</v>
      </c>
      <c r="D41885" s="0" t="s">
        <v>15035</v>
      </c>
      <c r="E41885" s="0" t="s">
        <v>15035</v>
      </c>
      <c r="F41885" s="0" t="s">
        <v>15035</v>
      </c>
    </row>
    <row r="41886" customFormat="false" ht="12.8" hidden="false" customHeight="false" outlineLevel="0" collapsed="false">
      <c r="B41886" s="0" t="s">
        <v>3993</v>
      </c>
      <c r="C41886" s="0" t="s">
        <v>15036</v>
      </c>
      <c r="D41886" s="0" t="s">
        <v>15037</v>
      </c>
      <c r="E41886" s="0" t="s">
        <v>15037</v>
      </c>
      <c r="F41886" s="0" t="s">
        <v>15037</v>
      </c>
    </row>
    <row r="41888" customFormat="false" ht="12.8" hidden="false" customHeight="false" outlineLevel="0" collapsed="false">
      <c r="A41888" s="0" t="s">
        <v>15038</v>
      </c>
      <c r="B41888" s="0" t="str">
        <f aca="false">HYPERLINK("https://lindat.mff.cuni.cz/services/teitok/pdtc10/index.php?action=vallex&amp;frame=v-w5761f3_ZU", "rozrůst se (v-w5761f3_ZU)")</f>
        <v>rozrůst se (v-w5761f3_ZU)</v>
      </c>
    </row>
    <row r="41889" customFormat="false" ht="12.8" hidden="false" customHeight="false" outlineLevel="0" collapsed="false">
      <c r="B41889" s="0" t="s">
        <v>7</v>
      </c>
    </row>
    <row r="41891" customFormat="false" ht="12.8" hidden="false" customHeight="false" outlineLevel="0" collapsed="false">
      <c r="A41891" s="0" t="s">
        <v>15038</v>
      </c>
      <c r="B41891" s="0" t="str">
        <f aca="false">HYPERLINK("https://lindat.mff.cuni.cz/services/teitok/pdtc10/index.php?action=vallex&amp;frame=v-w5761f2_ZU", "rozrůst se (v-w5761f2_ZU) - substituted with v-w5761f3_ZU")</f>
        <v>rozrůst se (v-w5761f2_ZU) - substituted with v-w5761f3_ZU</v>
      </c>
    </row>
    <row r="41892" customFormat="false" ht="12.8" hidden="false" customHeight="false" outlineLevel="0" collapsed="false">
      <c r="B41892" s="0" t="s">
        <v>7</v>
      </c>
    </row>
    <row r="41894" customFormat="false" ht="12.8" hidden="false" customHeight="false" outlineLevel="0" collapsed="false">
      <c r="A41894" s="0" t="s">
        <v>15039</v>
      </c>
      <c r="B41894" s="0" t="str">
        <f aca="false">HYPERLINK("https://lindat.mff.cuni.cz/services/teitok/pdtc10/index.php?action=vallex&amp;frame=v-w5760f1", "rozrůstat se (v-w5760f1)")</f>
        <v>rozrůstat se (v-w5760f1)</v>
      </c>
    </row>
    <row r="41895" customFormat="false" ht="12.8" hidden="false" customHeight="false" outlineLevel="0" collapsed="false">
      <c r="B41895" s="0" t="s">
        <v>7</v>
      </c>
      <c r="C41895" s="0" t="s">
        <v>15040</v>
      </c>
      <c r="D41895" s="0" t="s">
        <v>6244</v>
      </c>
      <c r="E41895" s="0" t="s">
        <v>6244</v>
      </c>
      <c r="F41895" s="0" t="s">
        <v>6244</v>
      </c>
    </row>
    <row r="41896" customFormat="false" ht="12.8" hidden="false" customHeight="false" outlineLevel="0" collapsed="false">
      <c r="B41896" s="0" t="s">
        <v>581</v>
      </c>
      <c r="C41896" s="0" t="s">
        <v>15041</v>
      </c>
      <c r="D41896" s="0" t="s">
        <v>15035</v>
      </c>
      <c r="E41896" s="0" t="s">
        <v>15035</v>
      </c>
      <c r="F41896" s="0" t="s">
        <v>15035</v>
      </c>
    </row>
    <row r="41897" customFormat="false" ht="12.8" hidden="false" customHeight="false" outlineLevel="0" collapsed="false">
      <c r="B41897" s="0" t="s">
        <v>3993</v>
      </c>
      <c r="C41897" s="0" t="s">
        <v>15042</v>
      </c>
      <c r="D41897" s="0" t="s">
        <v>15037</v>
      </c>
      <c r="E41897" s="0" t="s">
        <v>15037</v>
      </c>
      <c r="F41897" s="0" t="s">
        <v>15037</v>
      </c>
    </row>
    <row r="41899" customFormat="false" ht="12.8" hidden="false" customHeight="false" outlineLevel="0" collapsed="false">
      <c r="A41899" s="0" t="s">
        <v>15043</v>
      </c>
      <c r="B41899" s="0" t="str">
        <f aca="false">HYPERLINK("https://lindat.mff.cuni.cz/services/teitok/pdtc10/index.php?action=vallex&amp;frame=v-w5760hsa_689", "rozrůstat se (v-w5760hsa_689)")</f>
        <v>rozrůstat se (v-w5760hsa_689)</v>
      </c>
    </row>
    <row r="41900" customFormat="false" ht="12.8" hidden="false" customHeight="false" outlineLevel="0" collapsed="false">
      <c r="B41900" s="0" t="s">
        <v>7</v>
      </c>
    </row>
    <row r="41902" customFormat="false" ht="12.8" hidden="false" customHeight="false" outlineLevel="0" collapsed="false">
      <c r="A41902" s="0" t="s">
        <v>15044</v>
      </c>
      <c r="B41902" s="0" t="str">
        <f aca="false">HYPERLINK("https://lindat.mff.cuni.cz/services/teitok/pdtc10/index.php?action=vallex&amp;frame=v-w11315f1", "rozrůznit se (v-w11315f1)")</f>
        <v>rozrůznit se (v-w11315f1)</v>
      </c>
    </row>
    <row r="41903" customFormat="false" ht="12.8" hidden="false" customHeight="false" outlineLevel="0" collapsed="false">
      <c r="B41903" s="0" t="s">
        <v>7</v>
      </c>
    </row>
    <row r="41905" customFormat="false" ht="12.8" hidden="false" customHeight="false" outlineLevel="0" collapsed="false">
      <c r="A41905" s="0" t="s">
        <v>15045</v>
      </c>
      <c r="B41905" s="0" t="str">
        <f aca="false">HYPERLINK("https://lindat.mff.cuni.cz/services/teitok/pdtc10/index.php?action=vallex&amp;frame=v-whsb_0hsa_1", "rozsazovat (v-whsb_0hsa_1)")</f>
        <v>rozsazovat (v-whsb_0hsa_1)</v>
      </c>
    </row>
    <row r="41906" customFormat="false" ht="12.8" hidden="false" customHeight="false" outlineLevel="0" collapsed="false">
      <c r="B41906" s="0" t="s">
        <v>7</v>
      </c>
    </row>
    <row r="41907" customFormat="false" ht="12.8" hidden="false" customHeight="false" outlineLevel="0" collapsed="false">
      <c r="B41907" s="0" t="s">
        <v>14</v>
      </c>
    </row>
    <row r="41908" customFormat="false" ht="12.8" hidden="false" customHeight="false" outlineLevel="0" collapsed="false">
      <c r="B41908" s="0" t="s">
        <v>124</v>
      </c>
    </row>
    <row r="41910" customFormat="false" ht="12.8" hidden="false" customHeight="false" outlineLevel="0" collapsed="false">
      <c r="A41910" s="0" t="s">
        <v>15046</v>
      </c>
      <c r="B41910" s="0" t="str">
        <f aca="false">HYPERLINK("https://lindat.mff.cuni.cz/services/teitok/pdtc10/index.php?action=vallex&amp;frame=v-whsa_0hsa_2", "rozsazovat (v-whsa_0hsa_2)")</f>
        <v>rozsazovat (v-whsa_0hsa_2)</v>
      </c>
    </row>
    <row r="41911" customFormat="false" ht="12.8" hidden="false" customHeight="false" outlineLevel="0" collapsed="false">
      <c r="B41911" s="0" t="s">
        <v>7</v>
      </c>
    </row>
    <row r="41912" customFormat="false" ht="12.8" hidden="false" customHeight="false" outlineLevel="0" collapsed="false">
      <c r="B41912" s="0" t="s">
        <v>14</v>
      </c>
    </row>
    <row r="41913" customFormat="false" ht="12.8" hidden="false" customHeight="false" outlineLevel="0" collapsed="false">
      <c r="B41913" s="0" t="s">
        <v>11</v>
      </c>
    </row>
    <row r="41915" customFormat="false" ht="12.8" hidden="false" customHeight="false" outlineLevel="0" collapsed="false">
      <c r="A41915" s="0" t="s">
        <v>15047</v>
      </c>
      <c r="B41915" s="0" t="str">
        <f aca="false">HYPERLINK("https://lindat.mff.cuni.cz/services/teitok/pdtc10/index.php?action=vallex&amp;frame=v-whsa_1330hsa_1331", "rozsekat (v-whsa_1330hsa_1331)")</f>
        <v>rozsekat (v-whsa_1330hsa_1331)</v>
      </c>
    </row>
    <row r="41916" customFormat="false" ht="12.8" hidden="false" customHeight="false" outlineLevel="0" collapsed="false">
      <c r="B41916" s="0" t="s">
        <v>7</v>
      </c>
    </row>
    <row r="41917" customFormat="false" ht="12.8" hidden="false" customHeight="false" outlineLevel="0" collapsed="false">
      <c r="B41917" s="0" t="s">
        <v>14</v>
      </c>
    </row>
    <row r="41918" customFormat="false" ht="12.8" hidden="false" customHeight="false" outlineLevel="0" collapsed="false">
      <c r="B41918" s="0" t="s">
        <v>84</v>
      </c>
    </row>
    <row r="41920" customFormat="false" ht="12.8" hidden="false" customHeight="false" outlineLevel="0" collapsed="false">
      <c r="A41920" s="0" t="s">
        <v>15048</v>
      </c>
      <c r="B41920" s="0" t="str">
        <f aca="false">HYPERLINK("https://lindat.mff.cuni.cz/services/teitok/pdtc10/index.php?action=vallex&amp;frame=v-w11945_ZUf1_ZU", "rozseknout (v-w11945_ZUf1_ZU)")</f>
        <v>rozseknout (v-w11945_ZUf1_ZU)</v>
      </c>
    </row>
    <row r="41921" customFormat="false" ht="12.8" hidden="false" customHeight="false" outlineLevel="0" collapsed="false">
      <c r="B41921" s="0" t="s">
        <v>7</v>
      </c>
    </row>
    <row r="41922" customFormat="false" ht="12.8" hidden="false" customHeight="false" outlineLevel="0" collapsed="false">
      <c r="B41922" s="0" t="s">
        <v>14</v>
      </c>
    </row>
    <row r="41924" customFormat="false" ht="12.8" hidden="false" customHeight="false" outlineLevel="0" collapsed="false">
      <c r="A41924" s="0" t="s">
        <v>15049</v>
      </c>
      <c r="B41924" s="0" t="str">
        <f aca="false">HYPERLINK("https://lindat.mff.cuni.cz/services/teitok/pdtc10/index.php?action=vallex&amp;frame=v-whsa_509hsa_510", "rozsoudit (v-whsa_509hsa_510)")</f>
        <v>rozsoudit (v-whsa_509hsa_510)</v>
      </c>
    </row>
    <row r="41925" customFormat="false" ht="12.8" hidden="false" customHeight="false" outlineLevel="0" collapsed="false">
      <c r="B41925" s="0" t="s">
        <v>7</v>
      </c>
    </row>
    <row r="41926" customFormat="false" ht="12.8" hidden="false" customHeight="false" outlineLevel="0" collapsed="false">
      <c r="B41926" s="0" t="s">
        <v>14</v>
      </c>
    </row>
    <row r="41928" customFormat="false" ht="12.8" hidden="false" customHeight="false" outlineLevel="0" collapsed="false">
      <c r="A41928" s="0" t="s">
        <v>15050</v>
      </c>
      <c r="B41928" s="0" t="str">
        <f aca="false">HYPERLINK("https://lindat.mff.cuni.cz/services/teitok/pdtc10/index.php?action=vallex&amp;frame=v-w10954f3", "rozstřikovat (v-w10954f3)")</f>
        <v>rozstřikovat (v-w10954f3)</v>
      </c>
    </row>
    <row r="41929" customFormat="false" ht="12.8" hidden="false" customHeight="false" outlineLevel="0" collapsed="false">
      <c r="B41929" s="0" t="s">
        <v>7</v>
      </c>
      <c r="C41929" s="0" t="s">
        <v>184</v>
      </c>
      <c r="D41929" s="0" t="s">
        <v>184</v>
      </c>
      <c r="E41929" s="0" t="s">
        <v>184</v>
      </c>
      <c r="F41929" s="0" t="s">
        <v>184</v>
      </c>
    </row>
    <row r="41930" customFormat="false" ht="12.8" hidden="false" customHeight="false" outlineLevel="0" collapsed="false">
      <c r="B41930" s="0" t="s">
        <v>14</v>
      </c>
      <c r="C41930" s="0" t="s">
        <v>567</v>
      </c>
      <c r="D41930" s="0" t="s">
        <v>384</v>
      </c>
      <c r="E41930" s="0" t="s">
        <v>384</v>
      </c>
      <c r="F41930" s="0" t="s">
        <v>384</v>
      </c>
    </row>
    <row r="41932" customFormat="false" ht="12.8" hidden="false" customHeight="false" outlineLevel="0" collapsed="false">
      <c r="A41932" s="0" t="s">
        <v>15051</v>
      </c>
      <c r="B41932" s="0" t="str">
        <f aca="false">HYPERLINK("https://lindat.mff.cuni.cz/services/teitok/pdtc10/index.php?action=vallex&amp;frame=v-w11710_ZUf1_ZU", "rozstříhat (v-w11710_ZUf1_ZU)")</f>
        <v>rozstříhat (v-w11710_ZUf1_ZU)</v>
      </c>
    </row>
    <row r="41933" customFormat="false" ht="12.8" hidden="false" customHeight="false" outlineLevel="0" collapsed="false">
      <c r="B41933" s="0" t="s">
        <v>7</v>
      </c>
    </row>
    <row r="41934" customFormat="false" ht="12.8" hidden="false" customHeight="false" outlineLevel="0" collapsed="false">
      <c r="B41934" s="0" t="s">
        <v>14</v>
      </c>
    </row>
    <row r="41935" customFormat="false" ht="12.8" hidden="false" customHeight="false" outlineLevel="0" collapsed="false">
      <c r="B41935" s="0" t="s">
        <v>84</v>
      </c>
    </row>
    <row r="41937" customFormat="false" ht="12.8" hidden="false" customHeight="false" outlineLevel="0" collapsed="false">
      <c r="A41937" s="0" t="s">
        <v>15052</v>
      </c>
      <c r="B41937" s="0" t="str">
        <f aca="false">HYPERLINK("https://lindat.mff.cuni.cz/services/teitok/pdtc10/index.php?action=vallex&amp;frame=v-w5769f1", "rozstřílet (v-w5769f1)")</f>
        <v>rozstřílet (v-w5769f1)</v>
      </c>
    </row>
    <row r="41938" customFormat="false" ht="12.8" hidden="false" customHeight="false" outlineLevel="0" collapsed="false">
      <c r="B41938" s="0" t="s">
        <v>7</v>
      </c>
    </row>
    <row r="41939" customFormat="false" ht="12.8" hidden="false" customHeight="false" outlineLevel="0" collapsed="false">
      <c r="B41939" s="0" t="s">
        <v>14</v>
      </c>
    </row>
    <row r="41941" customFormat="false" ht="12.8" hidden="false" customHeight="false" outlineLevel="0" collapsed="false">
      <c r="A41941" s="0" t="s">
        <v>15053</v>
      </c>
      <c r="B41941" s="0" t="str">
        <f aca="false">HYPERLINK("https://lindat.mff.cuni.cz/services/teitok/pdtc10/index.php?action=vallex&amp;frame=v-w5769f2_ZU", "rozstřílet (v-w5769f2_ZU)")</f>
        <v>rozstřílet (v-w5769f2_ZU)</v>
      </c>
    </row>
    <row r="41942" customFormat="false" ht="12.8" hidden="false" customHeight="false" outlineLevel="0" collapsed="false">
      <c r="B41942" s="0" t="s">
        <v>7</v>
      </c>
    </row>
    <row r="41943" customFormat="false" ht="12.8" hidden="false" customHeight="false" outlineLevel="0" collapsed="false">
      <c r="B41943" s="0" t="s">
        <v>14</v>
      </c>
    </row>
    <row r="41944" customFormat="false" ht="12.8" hidden="false" customHeight="false" outlineLevel="0" collapsed="false">
      <c r="B41944" s="0" t="s">
        <v>84</v>
      </c>
    </row>
    <row r="41946" customFormat="false" ht="12.8" hidden="false" customHeight="false" outlineLevel="0" collapsed="false">
      <c r="A41946" s="0" t="s">
        <v>15054</v>
      </c>
      <c r="B41946" s="0" t="str">
        <f aca="false">HYPERLINK("https://lindat.mff.cuni.cz/services/teitok/pdtc10/index.php?action=vallex&amp;frame=v-w5772f1", "rozsvítit (v-w5772f1)")</f>
        <v>rozsvítit (v-w5772f1)</v>
      </c>
    </row>
    <row r="41947" customFormat="false" ht="12.8" hidden="false" customHeight="false" outlineLevel="0" collapsed="false">
      <c r="B41947" s="0" t="s">
        <v>7</v>
      </c>
      <c r="D41947" s="0" t="s">
        <v>46</v>
      </c>
      <c r="E41947" s="0" t="s">
        <v>46</v>
      </c>
      <c r="F41947" s="0" t="s">
        <v>46</v>
      </c>
    </row>
    <row r="41948" customFormat="false" ht="12.8" hidden="false" customHeight="false" outlineLevel="0" collapsed="false">
      <c r="B41948" s="0" t="s">
        <v>14</v>
      </c>
      <c r="D41948" s="0" t="s">
        <v>155</v>
      </c>
      <c r="E41948" s="0" t="s">
        <v>155</v>
      </c>
      <c r="F41948" s="0" t="s">
        <v>155</v>
      </c>
    </row>
    <row r="41950" customFormat="false" ht="12.8" hidden="false" customHeight="false" outlineLevel="0" collapsed="false">
      <c r="A41950" s="0" t="s">
        <v>15055</v>
      </c>
      <c r="B41950" s="0" t="str">
        <f aca="false">HYPERLINK("https://lindat.mff.cuni.cz/services/teitok/pdtc10/index.php?action=vallex&amp;frame=v-w5773f1", "rozsvítit se (v-w5773f1)")</f>
        <v>rozsvítit se (v-w5773f1)</v>
      </c>
    </row>
    <row r="41951" customFormat="false" ht="12.8" hidden="false" customHeight="false" outlineLevel="0" collapsed="false">
      <c r="B41951" s="0" t="s">
        <v>7</v>
      </c>
    </row>
    <row r="41953" customFormat="false" ht="12.8" hidden="false" customHeight="false" outlineLevel="0" collapsed="false">
      <c r="A41953" s="0" t="s">
        <v>15056</v>
      </c>
      <c r="B41953" s="0" t="str">
        <f aca="false">HYPERLINK("https://lindat.mff.cuni.cz/services/teitok/pdtc10/index.php?action=vallex&amp;frame=v-w11027f3_ZU", "rozsvěcet (v-w11027f3_ZU)")</f>
        <v>rozsvěcet (v-w11027f3_ZU)</v>
      </c>
    </row>
    <row r="41954" customFormat="false" ht="12.8" hidden="false" customHeight="false" outlineLevel="0" collapsed="false">
      <c r="B41954" s="0" t="s">
        <v>7</v>
      </c>
    </row>
    <row r="41955" customFormat="false" ht="12.8" hidden="false" customHeight="false" outlineLevel="0" collapsed="false">
      <c r="B41955" s="0" t="s">
        <v>14</v>
      </c>
    </row>
    <row r="41957" customFormat="false" ht="12.8" hidden="false" customHeight="false" outlineLevel="0" collapsed="false">
      <c r="A41957" s="0" t="s">
        <v>15056</v>
      </c>
      <c r="B41957" s="0" t="str">
        <f aca="false">HYPERLINK("https://lindat.mff.cuni.cz/services/teitok/pdtc10/index.php?action=vallex&amp;frame=v-w11027f2", "rozsvěcet (v-w11027f2) - substituted with v-w11027f3_ZU")</f>
        <v>rozsvěcet (v-w11027f2) - substituted with v-w11027f3_ZU</v>
      </c>
    </row>
    <row r="41958" customFormat="false" ht="12.8" hidden="false" customHeight="false" outlineLevel="0" collapsed="false">
      <c r="B41958" s="0" t="s">
        <v>7</v>
      </c>
    </row>
    <row r="41959" customFormat="false" ht="12.8" hidden="false" customHeight="false" outlineLevel="0" collapsed="false">
      <c r="B41959" s="0" t="s">
        <v>14</v>
      </c>
    </row>
    <row r="41961" customFormat="false" ht="12.8" hidden="false" customHeight="false" outlineLevel="0" collapsed="false">
      <c r="A41961" s="0" t="s">
        <v>15057</v>
      </c>
      <c r="B41961" s="0" t="str">
        <f aca="false">HYPERLINK("https://lindat.mff.cuni.cz/services/teitok/pdtc10/index.php?action=vallex&amp;frame=v-w11306f1", "rozsvěcovat se (v-w11306f1)")</f>
        <v>rozsvěcovat se (v-w11306f1)</v>
      </c>
    </row>
    <row r="41962" customFormat="false" ht="12.8" hidden="false" customHeight="false" outlineLevel="0" collapsed="false">
      <c r="B41962" s="0" t="s">
        <v>7</v>
      </c>
    </row>
    <row r="41964" customFormat="false" ht="12.8" hidden="false" customHeight="false" outlineLevel="0" collapsed="false">
      <c r="A41964" s="0" t="s">
        <v>15058</v>
      </c>
      <c r="B41964" s="0" t="str">
        <f aca="false">HYPERLINK("https://lindat.mff.cuni.cz/services/teitok/pdtc10/index.php?action=vallex&amp;frame=v-w11727_ZUf1_ZU", "rozsypat (v-w11727_ZUf1_ZU)")</f>
        <v>rozsypat (v-w11727_ZUf1_ZU)</v>
      </c>
    </row>
    <row r="41965" customFormat="false" ht="12.8" hidden="false" customHeight="false" outlineLevel="0" collapsed="false">
      <c r="B41965" s="0" t="s">
        <v>7</v>
      </c>
    </row>
    <row r="41966" customFormat="false" ht="12.8" hidden="false" customHeight="false" outlineLevel="0" collapsed="false">
      <c r="B41966" s="0" t="s">
        <v>14</v>
      </c>
    </row>
    <row r="41968" customFormat="false" ht="12.8" hidden="false" customHeight="false" outlineLevel="0" collapsed="false">
      <c r="A41968" s="0" t="s">
        <v>15059</v>
      </c>
      <c r="B41968" s="0" t="str">
        <f aca="false">HYPERLINK("https://lindat.mff.cuni.cz/services/teitok/pdtc10/index.php?action=vallex&amp;frame=v-w5774f1", "rozsypat se (v-w5774f1)")</f>
        <v>rozsypat se (v-w5774f1)</v>
      </c>
    </row>
    <row r="41969" customFormat="false" ht="12.8" hidden="false" customHeight="false" outlineLevel="0" collapsed="false">
      <c r="B41969" s="0" t="s">
        <v>7</v>
      </c>
    </row>
    <row r="41971" customFormat="false" ht="12.8" hidden="false" customHeight="false" outlineLevel="0" collapsed="false">
      <c r="A41971" s="0" t="s">
        <v>15060</v>
      </c>
      <c r="B41971" s="0" t="str">
        <f aca="false">HYPERLINK("https://lindat.mff.cuni.cz/services/teitok/pdtc10/index.php?action=vallex&amp;frame=v-w5775f1", "rozsypávat se (v-w5775f1)")</f>
        <v>rozsypávat se (v-w5775f1)</v>
      </c>
    </row>
    <row r="41972" customFormat="false" ht="12.8" hidden="false" customHeight="false" outlineLevel="0" collapsed="false">
      <c r="B41972" s="0" t="s">
        <v>7</v>
      </c>
    </row>
    <row r="41974" customFormat="false" ht="12.8" hidden="false" customHeight="false" outlineLevel="0" collapsed="false">
      <c r="A41974" s="0" t="s">
        <v>15061</v>
      </c>
      <c r="B41974" s="0" t="str">
        <f aca="false">HYPERLINK("https://lindat.mff.cuni.cz/services/teitok/pdtc10/index.php?action=vallex&amp;frame=v-w5768f1", "rozsít (v-w5768f1)")</f>
        <v>rozsít (v-w5768f1)</v>
      </c>
    </row>
    <row r="41975" customFormat="false" ht="12.8" hidden="false" customHeight="false" outlineLevel="0" collapsed="false">
      <c r="B41975" s="0" t="s">
        <v>7</v>
      </c>
    </row>
    <row r="41976" customFormat="false" ht="12.8" hidden="false" customHeight="false" outlineLevel="0" collapsed="false">
      <c r="B41976" s="0" t="s">
        <v>14</v>
      </c>
    </row>
    <row r="41977" customFormat="false" ht="12.8" hidden="false" customHeight="false" outlineLevel="0" collapsed="false">
      <c r="B41977" s="0" t="s">
        <v>11</v>
      </c>
    </row>
    <row r="41979" customFormat="false" ht="12.8" hidden="false" customHeight="false" outlineLevel="0" collapsed="false">
      <c r="A41979" s="0" t="s">
        <v>15062</v>
      </c>
      <c r="B41979" s="0" t="str">
        <f aca="false">HYPERLINK("https://lindat.mff.cuni.cz/services/teitok/pdtc10/index.php?action=vallex&amp;frame=v-w5768f2", "rozsít (v-w5768f2)")</f>
        <v>rozsít (v-w5768f2)</v>
      </c>
    </row>
    <row r="41980" customFormat="false" ht="12.8" hidden="false" customHeight="false" outlineLevel="0" collapsed="false">
      <c r="B41980" s="0" t="s">
        <v>7</v>
      </c>
    </row>
    <row r="41981" customFormat="false" ht="12.8" hidden="false" customHeight="false" outlineLevel="0" collapsed="false">
      <c r="B41981" s="0" t="s">
        <v>14</v>
      </c>
    </row>
    <row r="41982" customFormat="false" ht="12.8" hidden="false" customHeight="false" outlineLevel="0" collapsed="false">
      <c r="B41982" s="0" t="s">
        <v>124</v>
      </c>
    </row>
    <row r="41984" customFormat="false" ht="12.8" hidden="false" customHeight="false" outlineLevel="0" collapsed="false">
      <c r="A41984" s="0" t="s">
        <v>15063</v>
      </c>
      <c r="B41984" s="0" t="str">
        <f aca="false">HYPERLINK("https://lindat.mff.cuni.cz/services/teitok/pdtc10/index.php?action=vallex&amp;frame=v-w11460f1", "roztahovat (v-w11460f1)")</f>
        <v>roztahovat (v-w11460f1)</v>
      </c>
    </row>
    <row r="41985" customFormat="false" ht="12.8" hidden="false" customHeight="false" outlineLevel="0" collapsed="false">
      <c r="B41985" s="0" t="s">
        <v>7</v>
      </c>
      <c r="F41985" s="0" t="s">
        <v>247</v>
      </c>
    </row>
    <row r="41986" customFormat="false" ht="12.8" hidden="false" customHeight="false" outlineLevel="0" collapsed="false">
      <c r="B41986" s="0" t="s">
        <v>14</v>
      </c>
      <c r="F41986" s="0" t="s">
        <v>155</v>
      </c>
    </row>
    <row r="41988" customFormat="false" ht="12.8" hidden="false" customHeight="false" outlineLevel="0" collapsed="false">
      <c r="A41988" s="0" t="s">
        <v>15064</v>
      </c>
      <c r="B41988" s="0" t="str">
        <f aca="false">HYPERLINK("https://lindat.mff.cuni.cz/services/teitok/pdtc10/index.php?action=vallex&amp;frame=v-w11460f2_ZU", "roztahovat (v-w11460f2_ZU)")</f>
        <v>roztahovat (v-w11460f2_ZU)</v>
      </c>
    </row>
    <row r="41989" customFormat="false" ht="12.8" hidden="false" customHeight="false" outlineLevel="0" collapsed="false">
      <c r="B41989" s="0" t="s">
        <v>7</v>
      </c>
    </row>
    <row r="41990" customFormat="false" ht="12.8" hidden="false" customHeight="false" outlineLevel="0" collapsed="false">
      <c r="B41990" s="0" t="s">
        <v>14</v>
      </c>
    </row>
    <row r="41992" customFormat="false" ht="12.8" hidden="false" customHeight="false" outlineLevel="0" collapsed="false">
      <c r="A41992" s="0" t="s">
        <v>15065</v>
      </c>
      <c r="B41992" s="0" t="str">
        <f aca="false">HYPERLINK("https://lindat.mff.cuni.cz/services/teitok/pdtc10/index.php?action=vallex&amp;frame=v-w5789f1", "roztahovat se (v-w5789f1)")</f>
        <v>roztahovat se (v-w5789f1)</v>
      </c>
    </row>
    <row r="41993" customFormat="false" ht="12.8" hidden="false" customHeight="false" outlineLevel="0" collapsed="false">
      <c r="B41993" s="0" t="s">
        <v>7</v>
      </c>
      <c r="D41993" s="0" t="s">
        <v>15022</v>
      </c>
      <c r="E41993" s="0" t="s">
        <v>15022</v>
      </c>
      <c r="F41993" s="0" t="s">
        <v>15066</v>
      </c>
    </row>
    <row r="41995" customFormat="false" ht="12.8" hidden="false" customHeight="false" outlineLevel="0" collapsed="false">
      <c r="A41995" s="0" t="s">
        <v>15067</v>
      </c>
      <c r="B41995" s="0" t="str">
        <f aca="false">HYPERLINK("https://lindat.mff.cuni.cz/services/teitok/pdtc10/index.php?action=vallex&amp;frame=v-w5790f1", "roztancovat (v-w5790f1)")</f>
        <v>roztancovat (v-w5790f1)</v>
      </c>
    </row>
    <row r="41996" customFormat="false" ht="12.8" hidden="false" customHeight="false" outlineLevel="0" collapsed="false">
      <c r="B41996" s="0" t="s">
        <v>457</v>
      </c>
    </row>
    <row r="41997" customFormat="false" ht="12.8" hidden="false" customHeight="false" outlineLevel="0" collapsed="false">
      <c r="B41997" s="0" t="s">
        <v>14</v>
      </c>
    </row>
    <row r="41999" customFormat="false" ht="12.8" hidden="false" customHeight="false" outlineLevel="0" collapsed="false">
      <c r="A41999" s="0" t="s">
        <v>15068</v>
      </c>
      <c r="B41999" s="0" t="str">
        <f aca="false">HYPERLINK("https://lindat.mff.cuni.cz/services/teitok/pdtc10/index.php?action=vallex&amp;frame=v-w5791f1", "roztančit (v-w5791f1)")</f>
        <v>roztančit (v-w5791f1)</v>
      </c>
    </row>
    <row r="42000" customFormat="false" ht="12.8" hidden="false" customHeight="false" outlineLevel="0" collapsed="false">
      <c r="B42000" s="0" t="s">
        <v>7</v>
      </c>
    </row>
    <row r="42001" customFormat="false" ht="12.8" hidden="false" customHeight="false" outlineLevel="0" collapsed="false">
      <c r="B42001" s="0" t="s">
        <v>14</v>
      </c>
    </row>
    <row r="42003" customFormat="false" ht="12.8" hidden="false" customHeight="false" outlineLevel="0" collapsed="false">
      <c r="A42003" s="0" t="s">
        <v>15069</v>
      </c>
      <c r="B42003" s="0" t="str">
        <f aca="false">HYPERLINK("https://lindat.mff.cuni.cz/services/teitok/pdtc10/index.php?action=vallex&amp;frame=v-w5793f1", "roztavit (v-w5793f1)")</f>
        <v>roztavit (v-w5793f1)</v>
      </c>
    </row>
    <row r="42004" customFormat="false" ht="12.8" hidden="false" customHeight="false" outlineLevel="0" collapsed="false">
      <c r="B42004" s="0" t="s">
        <v>7</v>
      </c>
    </row>
    <row r="42005" customFormat="false" ht="12.8" hidden="false" customHeight="false" outlineLevel="0" collapsed="false">
      <c r="B42005" s="0" t="s">
        <v>14</v>
      </c>
    </row>
    <row r="42007" customFormat="false" ht="12.8" hidden="false" customHeight="false" outlineLevel="0" collapsed="false">
      <c r="A42007" s="0" t="s">
        <v>15070</v>
      </c>
      <c r="B42007" s="0" t="str">
        <f aca="false">HYPERLINK("https://lindat.mff.cuni.cz/services/teitok/pdtc10/index.php?action=vallex&amp;frame=v-w5794f1", "roztavit se (v-w5794f1)")</f>
        <v>roztavit se (v-w5794f1)</v>
      </c>
    </row>
    <row r="42008" customFormat="false" ht="12.8" hidden="false" customHeight="false" outlineLevel="0" collapsed="false">
      <c r="B42008" s="0" t="s">
        <v>7</v>
      </c>
      <c r="C42008" s="0" t="s">
        <v>396</v>
      </c>
      <c r="D42008" s="0" t="s">
        <v>396</v>
      </c>
      <c r="E42008" s="0" t="s">
        <v>396</v>
      </c>
      <c r="F42008" s="0" t="s">
        <v>396</v>
      </c>
    </row>
    <row r="42010" customFormat="false" ht="12.8" hidden="false" customHeight="false" outlineLevel="0" collapsed="false">
      <c r="A42010" s="0" t="s">
        <v>15071</v>
      </c>
      <c r="B42010" s="0" t="str">
        <f aca="false">HYPERLINK("https://lindat.mff.cuni.cz/services/teitok/pdtc10/index.php?action=vallex&amp;frame=v-w5795f1", "roztleskat (v-w5795f1)")</f>
        <v>roztleskat (v-w5795f1)</v>
      </c>
    </row>
    <row r="42011" customFormat="false" ht="12.8" hidden="false" customHeight="false" outlineLevel="0" collapsed="false">
      <c r="B42011" s="0" t="s">
        <v>7</v>
      </c>
    </row>
    <row r="42012" customFormat="false" ht="12.8" hidden="false" customHeight="false" outlineLevel="0" collapsed="false">
      <c r="B42012" s="0" t="s">
        <v>14</v>
      </c>
    </row>
    <row r="42014" customFormat="false" ht="12.8" hidden="false" customHeight="false" outlineLevel="0" collapsed="false">
      <c r="A42014" s="0" t="s">
        <v>15072</v>
      </c>
      <c r="B42014" s="0" t="str">
        <f aca="false">HYPERLINK("https://lindat.mff.cuni.cz/services/teitok/pdtc10/index.php?action=vallex&amp;frame=v-w10349f2", "roztlouci (v-w10349f2)")</f>
        <v>roztlouci (v-w10349f2)</v>
      </c>
    </row>
    <row r="42015" customFormat="false" ht="12.8" hidden="false" customHeight="false" outlineLevel="0" collapsed="false">
      <c r="B42015" s="0" t="s">
        <v>7</v>
      </c>
      <c r="C42015" s="0" t="s">
        <v>191</v>
      </c>
      <c r="D42015" s="0" t="s">
        <v>1549</v>
      </c>
      <c r="E42015" s="0" t="s">
        <v>1550</v>
      </c>
      <c r="F42015" s="0" t="s">
        <v>1550</v>
      </c>
    </row>
    <row r="42016" customFormat="false" ht="12.8" hidden="false" customHeight="false" outlineLevel="0" collapsed="false">
      <c r="B42016" s="0" t="s">
        <v>14</v>
      </c>
      <c r="C42016" s="0" t="s">
        <v>155</v>
      </c>
      <c r="D42016" s="0" t="s">
        <v>1164</v>
      </c>
      <c r="E42016" s="0" t="s">
        <v>1551</v>
      </c>
      <c r="F42016" s="0" t="s">
        <v>1551</v>
      </c>
    </row>
    <row r="42018" customFormat="false" ht="12.8" hidden="false" customHeight="false" outlineLevel="0" collapsed="false">
      <c r="A42018" s="0" t="s">
        <v>15073</v>
      </c>
      <c r="B42018" s="0" t="str">
        <f aca="false">HYPERLINK("https://lindat.mff.cuni.cz/services/teitok/pdtc10/index.php?action=vallex&amp;frame=v-w11892_ZUf1_ZU", "roztloukat (v-w11892_ZUf1_ZU)")</f>
        <v>roztloukat (v-w11892_ZUf1_ZU)</v>
      </c>
    </row>
    <row r="42019" customFormat="false" ht="12.8" hidden="false" customHeight="false" outlineLevel="0" collapsed="false">
      <c r="B42019" s="0" t="s">
        <v>7</v>
      </c>
    </row>
    <row r="42020" customFormat="false" ht="12.8" hidden="false" customHeight="false" outlineLevel="0" collapsed="false">
      <c r="B42020" s="0" t="s">
        <v>14</v>
      </c>
    </row>
    <row r="42021" customFormat="false" ht="12.8" hidden="false" customHeight="false" outlineLevel="0" collapsed="false">
      <c r="B42021" s="0" t="s">
        <v>84</v>
      </c>
    </row>
    <row r="42023" customFormat="false" ht="12.8" hidden="false" customHeight="false" outlineLevel="0" collapsed="false">
      <c r="A42023" s="0" t="s">
        <v>15074</v>
      </c>
      <c r="B42023" s="0" t="str">
        <f aca="false">HYPERLINK("https://lindat.mff.cuni.cz/services/teitok/pdtc10/index.php?action=vallex&amp;frame=v-w10377f2", "roztočit (v-w10377f2)")</f>
        <v>roztočit (v-w10377f2)</v>
      </c>
    </row>
    <row r="42024" customFormat="false" ht="12.8" hidden="false" customHeight="false" outlineLevel="0" collapsed="false">
      <c r="B42024" s="0" t="s">
        <v>7</v>
      </c>
      <c r="C42024" s="0" t="s">
        <v>335</v>
      </c>
      <c r="D42024" s="0" t="s">
        <v>2323</v>
      </c>
      <c r="E42024" s="0" t="s">
        <v>2323</v>
      </c>
      <c r="F42024" s="0" t="s">
        <v>2323</v>
      </c>
    </row>
    <row r="42025" customFormat="false" ht="12.8" hidden="false" customHeight="false" outlineLevel="0" collapsed="false">
      <c r="B42025" s="0" t="s">
        <v>14</v>
      </c>
      <c r="C42025" s="0" t="s">
        <v>155</v>
      </c>
      <c r="D42025" s="0" t="s">
        <v>1918</v>
      </c>
      <c r="E42025" s="0" t="s">
        <v>1918</v>
      </c>
      <c r="F42025" s="0" t="s">
        <v>1918</v>
      </c>
    </row>
    <row r="42026" customFormat="false" ht="12.8" hidden="false" customHeight="false" outlineLevel="0" collapsed="false">
      <c r="B42026" s="0" t="s">
        <v>279</v>
      </c>
      <c r="D42026" s="0" t="s">
        <v>2325</v>
      </c>
      <c r="E42026" s="0" t="s">
        <v>2325</v>
      </c>
      <c r="F42026" s="0" t="s">
        <v>2325</v>
      </c>
    </row>
    <row r="42028" customFormat="false" ht="12.8" hidden="false" customHeight="false" outlineLevel="0" collapsed="false">
      <c r="A42028" s="0" t="s">
        <v>15075</v>
      </c>
      <c r="B42028" s="0" t="str">
        <f aca="false">HYPERLINK("https://lindat.mff.cuni.cz/services/teitok/pdtc10/index.php?action=vallex&amp;frame=v-w10377f3", "roztočit (v-w10377f3)")</f>
        <v>roztočit (v-w10377f3)</v>
      </c>
    </row>
    <row r="42029" customFormat="false" ht="12.8" hidden="false" customHeight="false" outlineLevel="0" collapsed="false">
      <c r="B42029" s="0" t="s">
        <v>7</v>
      </c>
      <c r="C42029" s="0" t="s">
        <v>191</v>
      </c>
    </row>
    <row r="42030" customFormat="false" ht="12.8" hidden="false" customHeight="false" outlineLevel="0" collapsed="false">
      <c r="B42030" s="0" t="s">
        <v>14</v>
      </c>
      <c r="C42030" s="0" t="s">
        <v>47</v>
      </c>
    </row>
    <row r="42032" customFormat="false" ht="12.8" hidden="false" customHeight="false" outlineLevel="0" collapsed="false">
      <c r="A42032" s="0" t="s">
        <v>15076</v>
      </c>
      <c r="B42032" s="0" t="str">
        <f aca="false">HYPERLINK("https://lindat.mff.cuni.cz/services/teitok/pdtc10/index.php?action=vallex&amp;frame=v-w10377f4", "roztočit (v-w10377f4)")</f>
        <v>roztočit (v-w10377f4)</v>
      </c>
    </row>
    <row r="42033" customFormat="false" ht="12.8" hidden="false" customHeight="false" outlineLevel="0" collapsed="false">
      <c r="B42033" s="0" t="s">
        <v>7</v>
      </c>
      <c r="C42033" s="0" t="s">
        <v>31</v>
      </c>
      <c r="D42033" s="0" t="s">
        <v>69</v>
      </c>
      <c r="E42033" s="0" t="s">
        <v>69</v>
      </c>
      <c r="F42033" s="0" t="s">
        <v>69</v>
      </c>
    </row>
    <row r="42034" customFormat="false" ht="12.8" hidden="false" customHeight="false" outlineLevel="0" collapsed="false">
      <c r="B42034" s="0" t="s">
        <v>14</v>
      </c>
      <c r="C42034" s="0" t="s">
        <v>1264</v>
      </c>
      <c r="D42034" s="0" t="s">
        <v>71</v>
      </c>
      <c r="E42034" s="0" t="s">
        <v>71</v>
      </c>
      <c r="F42034" s="0" t="s">
        <v>71</v>
      </c>
    </row>
    <row r="42036" customFormat="false" ht="12.8" hidden="false" customHeight="false" outlineLevel="0" collapsed="false">
      <c r="A42036" s="0" t="s">
        <v>15077</v>
      </c>
      <c r="B42036" s="0" t="str">
        <f aca="false">HYPERLINK("https://lindat.mff.cuni.cz/services/teitok/pdtc10/index.php?action=vallex&amp;frame=v-w10218f2", "roztrhat (v-w10218f2)")</f>
        <v>roztrhat (v-w10218f2)</v>
      </c>
    </row>
    <row r="42037" customFormat="false" ht="12.8" hidden="false" customHeight="false" outlineLevel="0" collapsed="false">
      <c r="B42037" s="0" t="s">
        <v>7</v>
      </c>
      <c r="C42037" s="0" t="s">
        <v>46</v>
      </c>
    </row>
    <row r="42038" customFormat="false" ht="12.8" hidden="false" customHeight="false" outlineLevel="0" collapsed="false">
      <c r="B42038" s="0" t="s">
        <v>14</v>
      </c>
    </row>
    <row r="42039" customFormat="false" ht="12.8" hidden="false" customHeight="false" outlineLevel="0" collapsed="false">
      <c r="B42039" s="0" t="s">
        <v>84</v>
      </c>
    </row>
    <row r="42041" customFormat="false" ht="12.8" hidden="false" customHeight="false" outlineLevel="0" collapsed="false">
      <c r="A42041" s="0" t="s">
        <v>15078</v>
      </c>
      <c r="B42041" s="0" t="str">
        <f aca="false">HYPERLINK("https://lindat.mff.cuni.cz/services/teitok/pdtc10/index.php?action=vallex&amp;frame=v-w11265f1", "roztrhat se (v-w11265f1)")</f>
        <v>roztrhat se (v-w11265f1)</v>
      </c>
    </row>
    <row r="42042" customFormat="false" ht="12.8" hidden="false" customHeight="false" outlineLevel="0" collapsed="false">
      <c r="B42042" s="0" t="s">
        <v>7</v>
      </c>
      <c r="D42042" s="0" t="s">
        <v>15079</v>
      </c>
      <c r="E42042" s="0" t="s">
        <v>15080</v>
      </c>
      <c r="F42042" s="0" t="s">
        <v>15080</v>
      </c>
    </row>
    <row r="42044" customFormat="false" ht="12.8" hidden="false" customHeight="false" outlineLevel="0" collapsed="false">
      <c r="A42044" s="0" t="s">
        <v>15081</v>
      </c>
      <c r="B42044" s="0" t="str">
        <f aca="false">HYPERLINK("https://lindat.mff.cuni.cz/services/teitok/pdtc10/index.php?action=vallex&amp;frame=v-w5797f1", "roztrhnout (v-w5797f1)")</f>
        <v>roztrhnout (v-w5797f1)</v>
      </c>
    </row>
    <row r="42045" customFormat="false" ht="12.8" hidden="false" customHeight="false" outlineLevel="0" collapsed="false">
      <c r="B42045" s="0" t="s">
        <v>7</v>
      </c>
    </row>
    <row r="42046" customFormat="false" ht="12.8" hidden="false" customHeight="false" outlineLevel="0" collapsed="false">
      <c r="B42046" s="0" t="s">
        <v>14</v>
      </c>
    </row>
    <row r="42047" customFormat="false" ht="12.8" hidden="false" customHeight="false" outlineLevel="0" collapsed="false">
      <c r="B42047" s="0" t="s">
        <v>84</v>
      </c>
    </row>
    <row r="42049" customFormat="false" ht="12.8" hidden="false" customHeight="false" outlineLevel="0" collapsed="false">
      <c r="A42049" s="0" t="s">
        <v>15082</v>
      </c>
      <c r="B42049" s="0" t="str">
        <f aca="false">HYPERLINK("https://lindat.mff.cuni.cz/services/teitok/pdtc10/index.php?action=vallex&amp;frame=v-w5798f1", "roztrhnout se (v-w5798f1)")</f>
        <v>roztrhnout se (v-w5798f1)</v>
      </c>
    </row>
    <row r="42050" customFormat="false" ht="12.8" hidden="false" customHeight="false" outlineLevel="0" collapsed="false">
      <c r="B42050" s="0" t="s">
        <v>7</v>
      </c>
    </row>
    <row r="42052" customFormat="false" ht="12.8" hidden="false" customHeight="false" outlineLevel="0" collapsed="false">
      <c r="A42052" s="0" t="s">
        <v>15083</v>
      </c>
      <c r="B42052" s="0" t="str">
        <f aca="false">HYPERLINK("https://lindat.mff.cuni.cz/services/teitok/pdtc10/index.php?action=vallex&amp;frame=v-w5799f1", "roztrousit (v-w5799f1)")</f>
        <v>roztrousit (v-w5799f1)</v>
      </c>
    </row>
    <row r="42053" customFormat="false" ht="12.8" hidden="false" customHeight="false" outlineLevel="0" collapsed="false">
      <c r="B42053" s="0" t="s">
        <v>7</v>
      </c>
    </row>
    <row r="42054" customFormat="false" ht="12.8" hidden="false" customHeight="false" outlineLevel="0" collapsed="false">
      <c r="B42054" s="0" t="s">
        <v>14</v>
      </c>
      <c r="C42054" s="0" t="s">
        <v>15084</v>
      </c>
    </row>
    <row r="42056" customFormat="false" ht="12.8" hidden="false" customHeight="false" outlineLevel="0" collapsed="false">
      <c r="A42056" s="0" t="s">
        <v>15085</v>
      </c>
      <c r="B42056" s="0" t="str">
        <f aca="false">HYPERLINK("https://lindat.mff.cuni.cz/services/teitok/pdtc10/index.php?action=vallex&amp;frame=v-w5799f2_ZU", "roztrousit (v-w5799f2_ZU)")</f>
        <v>roztrousit (v-w5799f2_ZU)</v>
      </c>
    </row>
    <row r="42057" customFormat="false" ht="12.8" hidden="false" customHeight="false" outlineLevel="0" collapsed="false">
      <c r="B42057" s="0" t="s">
        <v>7</v>
      </c>
    </row>
    <row r="42058" customFormat="false" ht="12.8" hidden="false" customHeight="false" outlineLevel="0" collapsed="false">
      <c r="B42058" s="0" t="s">
        <v>14</v>
      </c>
      <c r="C42058" s="0" t="s">
        <v>155</v>
      </c>
    </row>
    <row r="42059" customFormat="false" ht="12.8" hidden="false" customHeight="false" outlineLevel="0" collapsed="false">
      <c r="B42059" s="0" t="s">
        <v>11</v>
      </c>
      <c r="C42059" s="0" t="s">
        <v>15086</v>
      </c>
    </row>
    <row r="42061" customFormat="false" ht="12.8" hidden="false" customHeight="false" outlineLevel="0" collapsed="false">
      <c r="A42061" s="0" t="s">
        <v>15085</v>
      </c>
      <c r="B42061" s="0" t="str">
        <f aca="false">HYPERLINK("https://lindat.mff.cuni.cz/services/teitok/pdtc10/index.php?action=vallex&amp;frame=v-w5799hsa_1236", "roztrousit (v-w5799hsa_1236) - substituted with v-w5799f2_ZU")</f>
        <v>roztrousit (v-w5799hsa_1236) - substituted with v-w5799f2_ZU</v>
      </c>
    </row>
    <row r="42062" customFormat="false" ht="12.8" hidden="false" customHeight="false" outlineLevel="0" collapsed="false">
      <c r="B42062" s="0" t="s">
        <v>7</v>
      </c>
    </row>
    <row r="42063" customFormat="false" ht="12.8" hidden="false" customHeight="false" outlineLevel="0" collapsed="false">
      <c r="B42063" s="0" t="s">
        <v>14</v>
      </c>
    </row>
    <row r="42064" customFormat="false" ht="12.8" hidden="false" customHeight="false" outlineLevel="0" collapsed="false">
      <c r="B42064" s="0" t="s">
        <v>11</v>
      </c>
    </row>
    <row r="42066" customFormat="false" ht="12.8" hidden="false" customHeight="false" outlineLevel="0" collapsed="false">
      <c r="A42066" s="0" t="s">
        <v>15087</v>
      </c>
      <c r="B42066" s="0" t="str">
        <f aca="false">HYPERLINK("https://lindat.mff.cuni.cz/services/teitok/pdtc10/index.php?action=vallex&amp;frame=v-w10450f2", "roztrpčit (v-w10450f2)")</f>
        <v>roztrpčit (v-w10450f2)</v>
      </c>
    </row>
    <row r="42067" customFormat="false" ht="12.8" hidden="false" customHeight="false" outlineLevel="0" collapsed="false">
      <c r="B42067" s="0" t="s">
        <v>7</v>
      </c>
    </row>
    <row r="42068" customFormat="false" ht="12.8" hidden="false" customHeight="false" outlineLevel="0" collapsed="false">
      <c r="B42068" s="0" t="s">
        <v>14</v>
      </c>
    </row>
    <row r="42070" customFormat="false" ht="12.8" hidden="false" customHeight="false" outlineLevel="0" collapsed="false">
      <c r="A42070" s="0" t="s">
        <v>15088</v>
      </c>
      <c r="B42070" s="0" t="str">
        <f aca="false">HYPERLINK("https://lindat.mff.cuni.cz/services/teitok/pdtc10/index.php?action=vallex&amp;frame=v-whsa_655hsa_656", "roztrpčovat (v-whsa_655hsa_656)")</f>
        <v>roztrpčovat (v-whsa_655hsa_656)</v>
      </c>
    </row>
    <row r="42071" customFormat="false" ht="12.8" hidden="false" customHeight="false" outlineLevel="0" collapsed="false">
      <c r="B42071" s="0" t="s">
        <v>7</v>
      </c>
    </row>
    <row r="42072" customFormat="false" ht="12.8" hidden="false" customHeight="false" outlineLevel="0" collapsed="false">
      <c r="B42072" s="0" t="s">
        <v>14</v>
      </c>
    </row>
    <row r="42074" customFormat="false" ht="12.8" hidden="false" customHeight="false" outlineLevel="0" collapsed="false">
      <c r="A42074" s="0" t="s">
        <v>15089</v>
      </c>
      <c r="B42074" s="0" t="str">
        <f aca="false">HYPERLINK("https://lindat.mff.cuni.cz/services/teitok/pdtc10/index.php?action=vallex&amp;frame=v-w5786f1", "roztáhnout (v-w5786f1)")</f>
        <v>roztáhnout (v-w5786f1)</v>
      </c>
    </row>
    <row r="42075" customFormat="false" ht="12.8" hidden="false" customHeight="false" outlineLevel="0" collapsed="false">
      <c r="B42075" s="0" t="s">
        <v>7</v>
      </c>
      <c r="F42075" s="0" t="s">
        <v>247</v>
      </c>
    </row>
    <row r="42076" customFormat="false" ht="12.8" hidden="false" customHeight="false" outlineLevel="0" collapsed="false">
      <c r="B42076" s="0" t="s">
        <v>14</v>
      </c>
      <c r="F42076" s="0" t="s">
        <v>155</v>
      </c>
    </row>
    <row r="42078" customFormat="false" ht="12.8" hidden="false" customHeight="false" outlineLevel="0" collapsed="false">
      <c r="A42078" s="0" t="s">
        <v>15090</v>
      </c>
      <c r="B42078" s="0" t="str">
        <f aca="false">HYPERLINK("https://lindat.mff.cuni.cz/services/teitok/pdtc10/index.php?action=vallex&amp;frame=v-w5787f1", "roztáhnout se (v-w5787f1)")</f>
        <v>roztáhnout se (v-w5787f1)</v>
      </c>
    </row>
    <row r="42079" customFormat="false" ht="12.8" hidden="false" customHeight="false" outlineLevel="0" collapsed="false">
      <c r="B42079" s="0" t="s">
        <v>7</v>
      </c>
      <c r="D42079" s="0" t="s">
        <v>15022</v>
      </c>
      <c r="E42079" s="0" t="s">
        <v>15022</v>
      </c>
      <c r="F42079" s="0" t="s">
        <v>15066</v>
      </c>
    </row>
    <row r="42081" customFormat="false" ht="12.8" hidden="false" customHeight="false" outlineLevel="0" collapsed="false">
      <c r="A42081" s="0" t="s">
        <v>15091</v>
      </c>
      <c r="B42081" s="0" t="str">
        <f aca="false">HYPERLINK("https://lindat.mff.cuni.cz/services/teitok/pdtc10/index.php?action=vallex&amp;frame=v-w5792f1", "roztát (v-w5792f1)")</f>
        <v>roztát (v-w5792f1)</v>
      </c>
    </row>
    <row r="42082" customFormat="false" ht="12.8" hidden="false" customHeight="false" outlineLevel="0" collapsed="false">
      <c r="B42082" s="0" t="s">
        <v>7</v>
      </c>
    </row>
    <row r="42084" customFormat="false" ht="12.8" hidden="false" customHeight="false" outlineLevel="0" collapsed="false">
      <c r="A42084" s="0" t="s">
        <v>15092</v>
      </c>
      <c r="B42084" s="0" t="str">
        <f aca="false">HYPERLINK("https://lindat.mff.cuni.cz/services/teitok/pdtc10/index.php?action=vallex&amp;frame=v-w5785f1", "roztáčet (v-w5785f1)")</f>
        <v>roztáčet (v-w5785f1)</v>
      </c>
    </row>
    <row r="42085" customFormat="false" ht="12.8" hidden="false" customHeight="false" outlineLevel="0" collapsed="false">
      <c r="B42085" s="0" t="s">
        <v>7</v>
      </c>
    </row>
    <row r="42086" customFormat="false" ht="12.8" hidden="false" customHeight="false" outlineLevel="0" collapsed="false">
      <c r="B42086" s="0" t="s">
        <v>14</v>
      </c>
    </row>
    <row r="42088" customFormat="false" ht="12.8" hidden="false" customHeight="false" outlineLevel="0" collapsed="false">
      <c r="A42088" s="0" t="s">
        <v>15093</v>
      </c>
      <c r="B42088" s="0" t="str">
        <f aca="false">HYPERLINK("https://lindat.mff.cuni.cz/services/teitok/pdtc10/index.php?action=vallex&amp;frame=v-w5785f2_ZU", "roztáčet (v-w5785f2_ZU)")</f>
        <v>roztáčet (v-w5785f2_ZU)</v>
      </c>
    </row>
    <row r="42089" customFormat="false" ht="12.8" hidden="false" customHeight="false" outlineLevel="0" collapsed="false">
      <c r="B42089" s="0" t="s">
        <v>7</v>
      </c>
    </row>
    <row r="42090" customFormat="false" ht="12.8" hidden="false" customHeight="false" outlineLevel="0" collapsed="false">
      <c r="B42090" s="0" t="s">
        <v>14</v>
      </c>
    </row>
    <row r="42092" customFormat="false" ht="12.8" hidden="false" customHeight="false" outlineLevel="0" collapsed="false">
      <c r="A42092" s="0" t="s">
        <v>15094</v>
      </c>
      <c r="B42092" s="0" t="str">
        <f aca="false">HYPERLINK("https://lindat.mff.cuni.cz/services/teitok/pdtc10/index.php?action=vallex&amp;frame=v-w5785hsa_248", "roztáčet (v-w5785hsa_248)")</f>
        <v>roztáčet (v-w5785hsa_248)</v>
      </c>
    </row>
    <row r="42093" customFormat="false" ht="12.8" hidden="false" customHeight="false" outlineLevel="0" collapsed="false">
      <c r="B42093" s="0" t="s">
        <v>7</v>
      </c>
    </row>
    <row r="42094" customFormat="false" ht="12.8" hidden="false" customHeight="false" outlineLevel="0" collapsed="false">
      <c r="B42094" s="0" t="s">
        <v>14</v>
      </c>
    </row>
    <row r="42096" customFormat="false" ht="12.8" hidden="false" customHeight="false" outlineLevel="0" collapsed="false">
      <c r="A42096" s="0" t="s">
        <v>15095</v>
      </c>
      <c r="B42096" s="0" t="str">
        <f aca="false">HYPERLINK("https://lindat.mff.cuni.cz/services/teitok/pdtc10/index.php?action=vallex&amp;frame=v-whsa_523f2_ZU", "roztéci se (v-whsa_523f2_ZU)")</f>
        <v>roztéci se (v-whsa_523f2_ZU)</v>
      </c>
    </row>
    <row r="42097" customFormat="false" ht="12.8" hidden="false" customHeight="false" outlineLevel="0" collapsed="false">
      <c r="B42097" s="0" t="s">
        <v>7</v>
      </c>
      <c r="C42097" s="0" t="s">
        <v>200</v>
      </c>
      <c r="D42097" s="0" t="s">
        <v>16</v>
      </c>
      <c r="E42097" s="0" t="s">
        <v>16</v>
      </c>
      <c r="F42097" s="0" t="s">
        <v>16</v>
      </c>
    </row>
    <row r="42099" customFormat="false" ht="12.8" hidden="false" customHeight="false" outlineLevel="0" collapsed="false">
      <c r="A42099" s="0" t="s">
        <v>15095</v>
      </c>
      <c r="B42099" s="0" t="str">
        <f aca="false">HYPERLINK("https://lindat.mff.cuni.cz/services/teitok/pdtc10/index.php?action=vallex&amp;frame=v-whsa_523f1_ZU", "roztéci se (v-whsa_523f1_ZU) - substituted with v-whsa_523f2_ZU")</f>
        <v>roztéci se (v-whsa_523f1_ZU) - substituted with v-whsa_523f2_ZU</v>
      </c>
    </row>
    <row r="42100" customFormat="false" ht="12.8" hidden="false" customHeight="false" outlineLevel="0" collapsed="false">
      <c r="B42100" s="0" t="s">
        <v>7</v>
      </c>
    </row>
    <row r="42102" customFormat="false" ht="12.8" hidden="false" customHeight="false" outlineLevel="0" collapsed="false">
      <c r="A42102" s="0" t="s">
        <v>15095</v>
      </c>
      <c r="B42102" s="0" t="str">
        <f aca="false">HYPERLINK("https://lindat.mff.cuni.cz/services/teitok/pdtc10/index.php?action=vallex&amp;frame=v-whsa_523hsa_524", "roztéci se (v-whsa_523hsa_524) - substituted with v-whsa_523f2_ZU")</f>
        <v>roztéci se (v-whsa_523hsa_524) - substituted with v-whsa_523f2_ZU</v>
      </c>
    </row>
    <row r="42103" customFormat="false" ht="12.8" hidden="false" customHeight="false" outlineLevel="0" collapsed="false">
      <c r="B42103" s="0" t="s">
        <v>7</v>
      </c>
    </row>
    <row r="42105" customFormat="false" ht="12.8" hidden="false" customHeight="false" outlineLevel="0" collapsed="false">
      <c r="A42105" s="0" t="s">
        <v>15096</v>
      </c>
      <c r="B42105" s="0" t="str">
        <f aca="false">HYPERLINK("https://lindat.mff.cuni.cz/services/teitok/pdtc10/index.php?action=vallex&amp;frame=v-whsa_593hsa_594", "roztékat se (v-whsa_593hsa_594)")</f>
        <v>roztékat se (v-whsa_593hsa_594)</v>
      </c>
    </row>
    <row r="42106" customFormat="false" ht="12.8" hidden="false" customHeight="false" outlineLevel="0" collapsed="false">
      <c r="B42106" s="0" t="s">
        <v>7</v>
      </c>
      <c r="C42106" s="0" t="s">
        <v>200</v>
      </c>
      <c r="D42106" s="0" t="s">
        <v>396</v>
      </c>
      <c r="E42106" s="0" t="s">
        <v>396</v>
      </c>
      <c r="F42106" s="0" t="s">
        <v>396</v>
      </c>
    </row>
    <row r="42108" customFormat="false" ht="12.8" hidden="false" customHeight="false" outlineLevel="0" collapsed="false">
      <c r="A42108" s="0" t="s">
        <v>15097</v>
      </c>
      <c r="B42108" s="0" t="str">
        <f aca="false">HYPERLINK("https://lindat.mff.cuni.cz/services/teitok/pdtc10/index.php?action=vallex&amp;frame=v-w10538f2", "roztřiďovat (v-w10538f2)")</f>
        <v>roztřiďovat (v-w10538f2)</v>
      </c>
    </row>
    <row r="42109" customFormat="false" ht="12.8" hidden="false" customHeight="false" outlineLevel="0" collapsed="false">
      <c r="B42109" s="0" t="s">
        <v>7</v>
      </c>
      <c r="D42109" s="0" t="s">
        <v>1287</v>
      </c>
      <c r="E42109" s="0" t="s">
        <v>1287</v>
      </c>
      <c r="F42109" s="0" t="s">
        <v>1287</v>
      </c>
    </row>
    <row r="42110" customFormat="false" ht="12.8" hidden="false" customHeight="false" outlineLevel="0" collapsed="false">
      <c r="B42110" s="0" t="s">
        <v>14</v>
      </c>
      <c r="D42110" s="0" t="s">
        <v>2517</v>
      </c>
      <c r="E42110" s="0" t="s">
        <v>2517</v>
      </c>
      <c r="F42110" s="0" t="s">
        <v>2517</v>
      </c>
    </row>
    <row r="42111" customFormat="false" ht="12.8" hidden="false" customHeight="false" outlineLevel="0" collapsed="false">
      <c r="B42111" s="0" t="s">
        <v>4978</v>
      </c>
      <c r="D42111" s="0" t="s">
        <v>4598</v>
      </c>
      <c r="E42111" s="0" t="s">
        <v>4598</v>
      </c>
      <c r="F42111" s="0" t="s">
        <v>4598</v>
      </c>
    </row>
    <row r="42113" customFormat="false" ht="12.8" hidden="false" customHeight="false" outlineLevel="0" collapsed="false">
      <c r="A42113" s="0" t="s">
        <v>15098</v>
      </c>
      <c r="B42113" s="0" t="str">
        <f aca="false">HYPERLINK("https://lindat.mff.cuni.cz/services/teitok/pdtc10/index.php?action=vallex&amp;frame=v-w5801f1", "roztřídit (v-w5801f1)")</f>
        <v>roztřídit (v-w5801f1)</v>
      </c>
    </row>
    <row r="42114" customFormat="false" ht="12.8" hidden="false" customHeight="false" outlineLevel="0" collapsed="false">
      <c r="B42114" s="0" t="s">
        <v>7</v>
      </c>
      <c r="D42114" s="0" t="s">
        <v>1287</v>
      </c>
      <c r="E42114" s="0" t="s">
        <v>1287</v>
      </c>
      <c r="F42114" s="0" t="s">
        <v>1287</v>
      </c>
    </row>
    <row r="42115" customFormat="false" ht="12.8" hidden="false" customHeight="false" outlineLevel="0" collapsed="false">
      <c r="B42115" s="0" t="s">
        <v>14</v>
      </c>
      <c r="C42115" s="0" t="s">
        <v>567</v>
      </c>
      <c r="D42115" s="0" t="s">
        <v>2517</v>
      </c>
      <c r="E42115" s="0" t="s">
        <v>2517</v>
      </c>
      <c r="F42115" s="0" t="s">
        <v>2517</v>
      </c>
    </row>
    <row r="42116" customFormat="false" ht="12.8" hidden="false" customHeight="false" outlineLevel="0" collapsed="false">
      <c r="B42116" s="0" t="s">
        <v>4978</v>
      </c>
      <c r="D42116" s="0" t="s">
        <v>4598</v>
      </c>
      <c r="E42116" s="0" t="s">
        <v>4598</v>
      </c>
      <c r="F42116" s="0" t="s">
        <v>4598</v>
      </c>
    </row>
    <row r="42118" customFormat="false" ht="12.8" hidden="false" customHeight="false" outlineLevel="0" collapsed="false">
      <c r="A42118" s="0" t="s">
        <v>15099</v>
      </c>
      <c r="B42118" s="0" t="str">
        <f aca="false">HYPERLINK("https://lindat.mff.cuni.cz/services/teitok/pdtc10/index.php?action=vallex&amp;frame=v-w10153f3", "roztříštit (v-w10153f3)")</f>
        <v>roztříštit (v-w10153f3)</v>
      </c>
    </row>
    <row r="42119" customFormat="false" ht="12.8" hidden="false" customHeight="false" outlineLevel="0" collapsed="false">
      <c r="B42119" s="0" t="s">
        <v>7</v>
      </c>
    </row>
    <row r="42120" customFormat="false" ht="12.8" hidden="false" customHeight="false" outlineLevel="0" collapsed="false">
      <c r="B42120" s="0" t="s">
        <v>14</v>
      </c>
    </row>
    <row r="42121" customFormat="false" ht="12.8" hidden="false" customHeight="false" outlineLevel="0" collapsed="false">
      <c r="B42121" s="0" t="s">
        <v>37</v>
      </c>
    </row>
    <row r="42123" customFormat="false" ht="12.8" hidden="false" customHeight="false" outlineLevel="0" collapsed="false">
      <c r="A42123" s="0" t="s">
        <v>15100</v>
      </c>
      <c r="B42123" s="0" t="str">
        <f aca="false">HYPERLINK("https://lindat.mff.cuni.cz/services/teitok/pdtc10/index.php?action=vallex&amp;frame=v-w10153f2", "roztříštit (v-w10153f2)")</f>
        <v>roztříštit (v-w10153f2)</v>
      </c>
    </row>
    <row r="42124" customFormat="false" ht="12.8" hidden="false" customHeight="false" outlineLevel="0" collapsed="false">
      <c r="B42124" s="0" t="s">
        <v>7</v>
      </c>
    </row>
    <row r="42125" customFormat="false" ht="12.8" hidden="false" customHeight="false" outlineLevel="0" collapsed="false">
      <c r="B42125" s="0" t="s">
        <v>14</v>
      </c>
    </row>
    <row r="42126" customFormat="false" ht="12.8" hidden="false" customHeight="false" outlineLevel="0" collapsed="false">
      <c r="B42126" s="0" t="s">
        <v>84</v>
      </c>
    </row>
    <row r="42128" customFormat="false" ht="12.8" hidden="false" customHeight="false" outlineLevel="0" collapsed="false">
      <c r="A42128" s="0" t="s">
        <v>15101</v>
      </c>
      <c r="B42128" s="0" t="str">
        <f aca="false">HYPERLINK("https://lindat.mff.cuni.cz/services/teitok/pdtc10/index.php?action=vallex&amp;frame=v-w11252f1", "roztříštit se (v-w11252f1)")</f>
        <v>roztříštit se (v-w11252f1)</v>
      </c>
    </row>
    <row r="42129" customFormat="false" ht="12.8" hidden="false" customHeight="false" outlineLevel="0" collapsed="false">
      <c r="B42129" s="0" t="s">
        <v>7</v>
      </c>
      <c r="C42129" s="0" t="s">
        <v>200</v>
      </c>
    </row>
    <row r="42130" customFormat="false" ht="12.8" hidden="false" customHeight="false" outlineLevel="0" collapsed="false">
      <c r="B42130" s="0" t="s">
        <v>63</v>
      </c>
    </row>
    <row r="42132" customFormat="false" ht="12.8" hidden="false" customHeight="false" outlineLevel="0" collapsed="false">
      <c r="A42132" s="0" t="s">
        <v>15102</v>
      </c>
      <c r="B42132" s="0" t="str">
        <f aca="false">HYPERLINK("https://lindat.mff.cuni.cz/services/teitok/pdtc10/index.php?action=vallex&amp;frame=v-w5804f7_ZU", "rozumět (v-w5804f7_ZU)")</f>
        <v>rozumět (v-w5804f7_ZU)</v>
      </c>
    </row>
    <row r="42133" customFormat="false" ht="12.8" hidden="false" customHeight="false" outlineLevel="0" collapsed="false">
      <c r="B42133" s="0" t="s">
        <v>7</v>
      </c>
    </row>
    <row r="42134" customFormat="false" ht="12.8" hidden="false" customHeight="false" outlineLevel="0" collapsed="false">
      <c r="B42134" s="0" t="s">
        <v>8144</v>
      </c>
    </row>
    <row r="42135" customFormat="false" ht="12.8" hidden="false" customHeight="false" outlineLevel="0" collapsed="false">
      <c r="B42135" s="0" t="s">
        <v>48</v>
      </c>
    </row>
    <row r="42137" customFormat="false" ht="12.8" hidden="false" customHeight="false" outlineLevel="0" collapsed="false">
      <c r="A42137" s="0" t="s">
        <v>15102</v>
      </c>
      <c r="B42137" s="0" t="str">
        <f aca="false">HYPERLINK("https://lindat.mff.cuni.cz/services/teitok/pdtc10/index.php?action=vallex&amp;frame=v-w5804f3", "rozumět (v-w5804f3) - substituted with v-w5804f7_ZU")</f>
        <v>rozumět (v-w5804f3) - substituted with v-w5804f7_ZU</v>
      </c>
    </row>
    <row r="42138" customFormat="false" ht="12.8" hidden="false" customHeight="false" outlineLevel="0" collapsed="false">
      <c r="B42138" s="0" t="s">
        <v>7</v>
      </c>
      <c r="C42138" s="0" t="s">
        <v>3803</v>
      </c>
    </row>
    <row r="42139" customFormat="false" ht="12.8" hidden="false" customHeight="false" outlineLevel="0" collapsed="false">
      <c r="B42139" s="0" t="s">
        <v>8144</v>
      </c>
    </row>
    <row r="42140" customFormat="false" ht="12.8" hidden="false" customHeight="false" outlineLevel="0" collapsed="false">
      <c r="B42140" s="0" t="s">
        <v>48</v>
      </c>
      <c r="C42140" s="0" t="s">
        <v>15103</v>
      </c>
    </row>
    <row r="42142" customFormat="false" ht="12.8" hidden="false" customHeight="false" outlineLevel="0" collapsed="false">
      <c r="A42142" s="0" t="s">
        <v>15104</v>
      </c>
      <c r="B42142" s="0" t="str">
        <f aca="false">HYPERLINK("https://lindat.mff.cuni.cz/services/teitok/pdtc10/index.php?action=vallex&amp;frame=v-w5804f6_ZU", "rozumět (v-w5804f6_ZU)")</f>
        <v>rozumět (v-w5804f6_ZU)</v>
      </c>
    </row>
    <row r="42143" customFormat="false" ht="12.8" hidden="false" customHeight="false" outlineLevel="0" collapsed="false">
      <c r="B42143" s="0" t="s">
        <v>7</v>
      </c>
    </row>
    <row r="42144" customFormat="false" ht="12.8" hidden="false" customHeight="false" outlineLevel="0" collapsed="false">
      <c r="B42144" s="0" t="s">
        <v>15105</v>
      </c>
    </row>
    <row r="42146" customFormat="false" ht="12.8" hidden="false" customHeight="false" outlineLevel="0" collapsed="false">
      <c r="A42146" s="0" t="s">
        <v>15104</v>
      </c>
      <c r="B42146" s="0" t="str">
        <f aca="false">HYPERLINK("https://lindat.mff.cuni.cz/services/teitok/pdtc10/index.php?action=vallex&amp;frame=v-w5804f1", "rozumět (v-w5804f1) - substituted with v-w5804f6_ZU")</f>
        <v>rozumět (v-w5804f1) - substituted with v-w5804f6_ZU</v>
      </c>
    </row>
    <row r="42147" customFormat="false" ht="12.8" hidden="false" customHeight="false" outlineLevel="0" collapsed="false">
      <c r="B42147" s="0" t="s">
        <v>7</v>
      </c>
      <c r="C42147" s="0" t="s">
        <v>5792</v>
      </c>
      <c r="D42147" s="0" t="s">
        <v>3610</v>
      </c>
      <c r="E42147" s="0" t="s">
        <v>3610</v>
      </c>
      <c r="F42147" s="0" t="s">
        <v>3610</v>
      </c>
    </row>
    <row r="42148" customFormat="false" ht="12.8" hidden="false" customHeight="false" outlineLevel="0" collapsed="false">
      <c r="B42148" s="0" t="s">
        <v>15105</v>
      </c>
      <c r="C42148" s="0" t="s">
        <v>2850</v>
      </c>
      <c r="D42148" s="0" t="s">
        <v>4163</v>
      </c>
      <c r="E42148" s="0" t="s">
        <v>4163</v>
      </c>
      <c r="F42148" s="0" t="s">
        <v>4163</v>
      </c>
    </row>
    <row r="42150" customFormat="false" ht="12.8" hidden="false" customHeight="false" outlineLevel="0" collapsed="false">
      <c r="A42150" s="0" t="s">
        <v>15106</v>
      </c>
      <c r="B42150" s="0" t="str">
        <f aca="false">HYPERLINK("https://lindat.mff.cuni.cz/services/teitok/pdtc10/index.php?action=vallex&amp;frame=v-w5804f8_MM", "rozumět (v-w5804f8_MM)")</f>
        <v>rozumět (v-w5804f8_MM)</v>
      </c>
    </row>
    <row r="42151" customFormat="false" ht="12.8" hidden="false" customHeight="false" outlineLevel="0" collapsed="false">
      <c r="B42151" s="0" t="s">
        <v>7</v>
      </c>
    </row>
    <row r="42152" customFormat="false" ht="12.8" hidden="false" customHeight="false" outlineLevel="0" collapsed="false">
      <c r="B42152" s="0" t="s">
        <v>142</v>
      </c>
    </row>
    <row r="42154" customFormat="false" ht="12.8" hidden="false" customHeight="false" outlineLevel="0" collapsed="false">
      <c r="A42154" s="0" t="s">
        <v>15106</v>
      </c>
      <c r="B42154" s="0" t="str">
        <f aca="false">HYPERLINK("https://lindat.mff.cuni.cz/services/teitok/pdtc10/index.php?action=vallex&amp;frame=v-w5804f4", "rozumět (v-w5804f4) - substituted with v-w5804f8_MM")</f>
        <v>rozumět (v-w5804f4) - substituted with v-w5804f8_MM</v>
      </c>
    </row>
    <row r="42155" customFormat="false" ht="12.8" hidden="false" customHeight="false" outlineLevel="0" collapsed="false">
      <c r="B42155" s="0" t="s">
        <v>7</v>
      </c>
      <c r="C42155" s="0" t="s">
        <v>2199</v>
      </c>
      <c r="D42155" s="0" t="s">
        <v>3803</v>
      </c>
      <c r="E42155" s="0" t="s">
        <v>3803</v>
      </c>
      <c r="F42155" s="0" t="s">
        <v>3803</v>
      </c>
    </row>
    <row r="42156" customFormat="false" ht="12.8" hidden="false" customHeight="false" outlineLevel="0" collapsed="false">
      <c r="B42156" s="0" t="s">
        <v>142</v>
      </c>
      <c r="C42156" s="0" t="s">
        <v>2850</v>
      </c>
      <c r="D42156" s="0" t="s">
        <v>2850</v>
      </c>
      <c r="E42156" s="0" t="s">
        <v>2850</v>
      </c>
      <c r="F42156" s="0" t="s">
        <v>2850</v>
      </c>
    </row>
    <row r="42158" customFormat="false" ht="12.8" hidden="false" customHeight="false" outlineLevel="0" collapsed="false">
      <c r="A42158" s="0" t="s">
        <v>15107</v>
      </c>
      <c r="B42158" s="0" t="str">
        <f aca="false">HYPERLINK("https://lindat.mff.cuni.cz/services/teitok/pdtc10/index.php?action=vallex&amp;frame=v-w5804f2", "rozumět (v-w5804f2)")</f>
        <v>rozumět (v-w5804f2)</v>
      </c>
    </row>
    <row r="42159" customFormat="false" ht="12.8" hidden="false" customHeight="false" outlineLevel="0" collapsed="false">
      <c r="B42159" s="0" t="s">
        <v>7</v>
      </c>
    </row>
    <row r="42160" customFormat="false" ht="12.8" hidden="false" customHeight="false" outlineLevel="0" collapsed="false">
      <c r="B42160" s="0" t="s">
        <v>15108</v>
      </c>
    </row>
    <row r="42161" customFormat="false" ht="12.8" hidden="false" customHeight="false" outlineLevel="0" collapsed="false">
      <c r="B42161" s="0" t="s">
        <v>5506</v>
      </c>
    </row>
    <row r="42163" customFormat="false" ht="12.8" hidden="false" customHeight="false" outlineLevel="0" collapsed="false">
      <c r="A42163" s="0" t="s">
        <v>15109</v>
      </c>
      <c r="B42163" s="0" t="str">
        <f aca="false">HYPERLINK("https://lindat.mff.cuni.cz/services/teitok/pdtc10/index.php?action=vallex&amp;frame=v-w5804f5", "rozumět (v-w5804f5)")</f>
        <v>rozumět (v-w5804f5)</v>
      </c>
    </row>
    <row r="42164" customFormat="false" ht="12.8" hidden="false" customHeight="false" outlineLevel="0" collapsed="false">
      <c r="B42164" s="0" t="s">
        <v>7</v>
      </c>
    </row>
    <row r="42166" customFormat="false" ht="12.8" hidden="false" customHeight="false" outlineLevel="0" collapsed="false">
      <c r="A42166" s="0" t="s">
        <v>15110</v>
      </c>
      <c r="B42166" s="0" t="str">
        <f aca="false">HYPERLINK("https://lindat.mff.cuni.cz/services/teitok/pdtc10/index.php?action=vallex&amp;frame=v-whsa_1730hsa_1731", "rozumět si (v-whsa_1730hsa_1731)")</f>
        <v>rozumět si (v-whsa_1730hsa_1731)</v>
      </c>
    </row>
    <row r="42167" customFormat="false" ht="12.8" hidden="false" customHeight="false" outlineLevel="0" collapsed="false">
      <c r="B42167" s="0" t="s">
        <v>7</v>
      </c>
    </row>
    <row r="42168" customFormat="false" ht="12.8" hidden="false" customHeight="false" outlineLevel="0" collapsed="false">
      <c r="B42168" s="0" t="s">
        <v>548</v>
      </c>
    </row>
    <row r="42170" customFormat="false" ht="12.8" hidden="false" customHeight="false" outlineLevel="0" collapsed="false">
      <c r="A42170" s="0" t="s">
        <v>15111</v>
      </c>
      <c r="B42170" s="0" t="str">
        <f aca="false">HYPERLINK("https://lindat.mff.cuni.cz/services/teitok/pdtc10/index.php?action=vallex&amp;frame=v-whsa_1160f1_ZU", "rozutéci se (v-whsa_1160f1_ZU)")</f>
        <v>rozutéci se (v-whsa_1160f1_ZU)</v>
      </c>
    </row>
    <row r="42171" customFormat="false" ht="12.8" hidden="false" customHeight="false" outlineLevel="0" collapsed="false">
      <c r="B42171" s="0" t="s">
        <v>7</v>
      </c>
      <c r="C42171" s="0" t="s">
        <v>149</v>
      </c>
    </row>
    <row r="42173" customFormat="false" ht="12.8" hidden="false" customHeight="false" outlineLevel="0" collapsed="false">
      <c r="A42173" s="0" t="s">
        <v>15111</v>
      </c>
      <c r="B42173" s="0" t="str">
        <f aca="false">HYPERLINK("https://lindat.mff.cuni.cz/services/teitok/pdtc10/index.php?action=vallex&amp;frame=v-whsa_1160hsa_1161", "rozutéci se (v-whsa_1160hsa_1161) - substituted with v-whsa_1160f1_ZU")</f>
        <v>rozutéci se (v-whsa_1160hsa_1161) - substituted with v-whsa_1160f1_ZU</v>
      </c>
    </row>
    <row r="42174" customFormat="false" ht="12.8" hidden="false" customHeight="false" outlineLevel="0" collapsed="false">
      <c r="B42174" s="0" t="s">
        <v>7</v>
      </c>
    </row>
    <row r="42176" customFormat="false" ht="12.8" hidden="false" customHeight="false" outlineLevel="0" collapsed="false">
      <c r="A42176" s="0" t="s">
        <v>15112</v>
      </c>
      <c r="B42176" s="0" t="str">
        <f aca="false">HYPERLINK("https://lindat.mff.cuni.cz/services/teitok/pdtc10/index.php?action=vallex&amp;frame=v-w11236f1", "rozutíkávat se (v-w11236f1)")</f>
        <v>rozutíkávat se (v-w11236f1)</v>
      </c>
    </row>
    <row r="42177" customFormat="false" ht="12.8" hidden="false" customHeight="false" outlineLevel="0" collapsed="false">
      <c r="B42177" s="0" t="s">
        <v>7</v>
      </c>
    </row>
    <row r="42179" customFormat="false" ht="12.8" hidden="false" customHeight="false" outlineLevel="0" collapsed="false">
      <c r="A42179" s="0" t="s">
        <v>15113</v>
      </c>
      <c r="B42179" s="0" t="str">
        <f aca="false">HYPERLINK("https://lindat.mff.cuni.cz/services/teitok/pdtc10/index.php?action=vallex&amp;frame=v-w10272f2", "rozuzlit (v-w10272f2)")</f>
        <v>rozuzlit (v-w10272f2)</v>
      </c>
    </row>
    <row r="42180" customFormat="false" ht="12.8" hidden="false" customHeight="false" outlineLevel="0" collapsed="false">
      <c r="B42180" s="0" t="s">
        <v>7</v>
      </c>
    </row>
    <row r="42181" customFormat="false" ht="12.8" hidden="false" customHeight="false" outlineLevel="0" collapsed="false">
      <c r="B42181" s="0" t="s">
        <v>2030</v>
      </c>
    </row>
    <row r="42183" customFormat="false" ht="12.8" hidden="false" customHeight="false" outlineLevel="0" collapsed="false">
      <c r="A42183" s="0" t="s">
        <v>15114</v>
      </c>
      <c r="B42183" s="0" t="str">
        <f aca="false">HYPERLINK("https://lindat.mff.cuni.cz/services/teitok/pdtc10/index.php?action=vallex&amp;frame=v-w12090_ZUf1_ZU", "rozvazovat (v-w12090_ZUf1_ZU)")</f>
        <v>rozvazovat (v-w12090_ZUf1_ZU)</v>
      </c>
    </row>
    <row r="42184" customFormat="false" ht="12.8" hidden="false" customHeight="false" outlineLevel="0" collapsed="false">
      <c r="B42184" s="0" t="s">
        <v>7</v>
      </c>
    </row>
    <row r="42186" customFormat="false" ht="12.8" hidden="false" customHeight="false" outlineLevel="0" collapsed="false">
      <c r="A42186" s="0" t="s">
        <v>15115</v>
      </c>
      <c r="B42186" s="0" t="str">
        <f aca="false">HYPERLINK("https://lindat.mff.cuni.cz/services/teitok/pdtc10/index.php?action=vallex&amp;frame=v-whsa_1170hsa_1171", "rozvažovat (v-whsa_1170hsa_1171)")</f>
        <v>rozvažovat (v-whsa_1170hsa_1171)</v>
      </c>
    </row>
    <row r="42187" customFormat="false" ht="12.8" hidden="false" customHeight="false" outlineLevel="0" collapsed="false">
      <c r="B42187" s="0" t="s">
        <v>7</v>
      </c>
      <c r="C42187" s="0" t="s">
        <v>68</v>
      </c>
      <c r="D42187" s="0" t="s">
        <v>515</v>
      </c>
      <c r="E42187" s="0" t="s">
        <v>515</v>
      </c>
      <c r="F42187" s="0" t="s">
        <v>515</v>
      </c>
    </row>
    <row r="42188" customFormat="false" ht="12.8" hidden="false" customHeight="false" outlineLevel="0" collapsed="false">
      <c r="B42188" s="0" t="s">
        <v>14</v>
      </c>
      <c r="C42188" s="0" t="s">
        <v>4407</v>
      </c>
      <c r="D42188" s="0" t="s">
        <v>519</v>
      </c>
      <c r="E42188" s="0" t="s">
        <v>519</v>
      </c>
      <c r="F42188" s="0" t="s">
        <v>519</v>
      </c>
    </row>
    <row r="42190" customFormat="false" ht="12.8" hidden="false" customHeight="false" outlineLevel="0" collapsed="false">
      <c r="A42190" s="0" t="s">
        <v>15116</v>
      </c>
      <c r="B42190" s="0" t="str">
        <f aca="false">HYPERLINK("https://lindat.mff.cuni.cz/services/teitok/pdtc10/index.php?action=vallex&amp;frame=v-w5819f1", "rozvinout (v-w5819f1)")</f>
        <v>rozvinout (v-w5819f1)</v>
      </c>
    </row>
    <row r="42191" customFormat="false" ht="12.8" hidden="false" customHeight="false" outlineLevel="0" collapsed="false">
      <c r="B42191" s="0" t="s">
        <v>7</v>
      </c>
      <c r="C42191" s="0" t="s">
        <v>46</v>
      </c>
      <c r="D42191" s="0" t="s">
        <v>46</v>
      </c>
      <c r="E42191" s="0" t="s">
        <v>46</v>
      </c>
      <c r="F42191" s="0" t="s">
        <v>46</v>
      </c>
    </row>
    <row r="42192" customFormat="false" ht="12.8" hidden="false" customHeight="false" outlineLevel="0" collapsed="false">
      <c r="B42192" s="0" t="s">
        <v>14</v>
      </c>
      <c r="C42192" s="0" t="s">
        <v>47</v>
      </c>
      <c r="D42192" s="0" t="s">
        <v>155</v>
      </c>
      <c r="E42192" s="0" t="s">
        <v>155</v>
      </c>
      <c r="F42192" s="0" t="s">
        <v>155</v>
      </c>
    </row>
    <row r="42194" customFormat="false" ht="12.8" hidden="false" customHeight="false" outlineLevel="0" collapsed="false">
      <c r="A42194" s="0" t="s">
        <v>15117</v>
      </c>
      <c r="B42194" s="0" t="str">
        <f aca="false">HYPERLINK("https://lindat.mff.cuni.cz/services/teitok/pdtc10/index.php?action=vallex&amp;frame=v-w5819f2", "rozvinout (v-w5819f2)")</f>
        <v>rozvinout (v-w5819f2)</v>
      </c>
    </row>
    <row r="42195" customFormat="false" ht="12.8" hidden="false" customHeight="false" outlineLevel="0" collapsed="false">
      <c r="B42195" s="0" t="s">
        <v>7</v>
      </c>
      <c r="C42195" s="0" t="s">
        <v>13546</v>
      </c>
      <c r="D42195" s="0" t="s">
        <v>4783</v>
      </c>
      <c r="E42195" s="0" t="s">
        <v>4783</v>
      </c>
      <c r="F42195" s="0" t="s">
        <v>4783</v>
      </c>
    </row>
    <row r="42196" customFormat="false" ht="12.8" hidden="false" customHeight="false" outlineLevel="0" collapsed="false">
      <c r="B42196" s="0" t="s">
        <v>14</v>
      </c>
      <c r="C42196" s="0" t="s">
        <v>15118</v>
      </c>
      <c r="D42196" s="0" t="s">
        <v>152</v>
      </c>
      <c r="E42196" s="0" t="s">
        <v>152</v>
      </c>
      <c r="F42196" s="0" t="s">
        <v>152</v>
      </c>
    </row>
    <row r="42198" customFormat="false" ht="12.8" hidden="false" customHeight="false" outlineLevel="0" collapsed="false">
      <c r="A42198" s="0" t="s">
        <v>15119</v>
      </c>
      <c r="B42198" s="0" t="str">
        <f aca="false">HYPERLINK("https://lindat.mff.cuni.cz/services/teitok/pdtc10/index.php?action=vallex&amp;frame=v-w5819f3", "rozvinout (v-w5819f3)")</f>
        <v>rozvinout (v-w5819f3)</v>
      </c>
    </row>
    <row r="42199" customFormat="false" ht="12.8" hidden="false" customHeight="false" outlineLevel="0" collapsed="false">
      <c r="B42199" s="0" t="s">
        <v>7</v>
      </c>
      <c r="C42199" s="0" t="s">
        <v>191</v>
      </c>
    </row>
    <row r="42200" customFormat="false" ht="12.8" hidden="false" customHeight="false" outlineLevel="0" collapsed="false">
      <c r="B42200" s="0" t="s">
        <v>14</v>
      </c>
      <c r="C42200" s="0" t="s">
        <v>47</v>
      </c>
    </row>
    <row r="42202" customFormat="false" ht="12.8" hidden="false" customHeight="false" outlineLevel="0" collapsed="false">
      <c r="A42202" s="0" t="s">
        <v>15120</v>
      </c>
      <c r="B42202" s="0" t="str">
        <f aca="false">HYPERLINK("https://lindat.mff.cuni.cz/services/teitok/pdtc10/index.php?action=vallex&amp;frame=v-w5820f1", "rozvinout se (v-w5820f1)")</f>
        <v>rozvinout se (v-w5820f1)</v>
      </c>
    </row>
    <row r="42203" customFormat="false" ht="12.8" hidden="false" customHeight="false" outlineLevel="0" collapsed="false">
      <c r="B42203" s="0" t="s">
        <v>7</v>
      </c>
      <c r="C42203" s="0" t="s">
        <v>15121</v>
      </c>
      <c r="D42203" s="0" t="s">
        <v>5047</v>
      </c>
      <c r="E42203" s="0" t="s">
        <v>5047</v>
      </c>
      <c r="F42203" s="0" t="s">
        <v>5047</v>
      </c>
    </row>
    <row r="42205" customFormat="false" ht="12.8" hidden="false" customHeight="false" outlineLevel="0" collapsed="false">
      <c r="A42205" s="0" t="s">
        <v>15122</v>
      </c>
      <c r="B42205" s="0" t="str">
        <f aca="false">HYPERLINK("https://lindat.mff.cuni.cz/services/teitok/pdtc10/index.php?action=vallex&amp;frame=v-w5820f2_ZU", "rozvinout se (v-w5820f2_ZU)")</f>
        <v>rozvinout se (v-w5820f2_ZU)</v>
      </c>
    </row>
    <row r="42206" customFormat="false" ht="12.8" hidden="false" customHeight="false" outlineLevel="0" collapsed="false">
      <c r="B42206" s="0" t="s">
        <v>7</v>
      </c>
    </row>
    <row r="42207" customFormat="false" ht="12.8" hidden="false" customHeight="false" outlineLevel="0" collapsed="false">
      <c r="B42207" s="0" t="s">
        <v>581</v>
      </c>
    </row>
    <row r="42208" customFormat="false" ht="12.8" hidden="false" customHeight="false" outlineLevel="0" collapsed="false">
      <c r="B42208" s="0" t="s">
        <v>181</v>
      </c>
    </row>
    <row r="42210" customFormat="false" ht="12.8" hidden="false" customHeight="false" outlineLevel="0" collapsed="false">
      <c r="A42210" s="0" t="s">
        <v>15123</v>
      </c>
      <c r="B42210" s="0" t="str">
        <f aca="false">HYPERLINK("https://lindat.mff.cuni.cz/services/teitok/pdtc10/index.php?action=vallex&amp;frame=v-w5821f1", "rozvinovat (v-w5821f1)")</f>
        <v>rozvinovat (v-w5821f1)</v>
      </c>
    </row>
    <row r="42211" customFormat="false" ht="12.8" hidden="false" customHeight="false" outlineLevel="0" collapsed="false">
      <c r="B42211" s="0" t="s">
        <v>7</v>
      </c>
      <c r="D42211" s="0" t="s">
        <v>4783</v>
      </c>
      <c r="E42211" s="0" t="s">
        <v>4783</v>
      </c>
      <c r="F42211" s="0" t="s">
        <v>4783</v>
      </c>
    </row>
    <row r="42212" customFormat="false" ht="12.8" hidden="false" customHeight="false" outlineLevel="0" collapsed="false">
      <c r="B42212" s="0" t="s">
        <v>14</v>
      </c>
      <c r="D42212" s="0" t="s">
        <v>152</v>
      </c>
      <c r="E42212" s="0" t="s">
        <v>152</v>
      </c>
      <c r="F42212" s="0" t="s">
        <v>152</v>
      </c>
    </row>
    <row r="42214" customFormat="false" ht="12.8" hidden="false" customHeight="false" outlineLevel="0" collapsed="false">
      <c r="A42214" s="0" t="s">
        <v>15124</v>
      </c>
      <c r="B42214" s="0" t="str">
        <f aca="false">HYPERLINK("https://lindat.mff.cuni.cz/services/teitok/pdtc10/index.php?action=vallex&amp;frame=v-w5822f1", "rozvinovat se (v-w5822f1)")</f>
        <v>rozvinovat se (v-w5822f1)</v>
      </c>
    </row>
    <row r="42215" customFormat="false" ht="12.8" hidden="false" customHeight="false" outlineLevel="0" collapsed="false">
      <c r="B42215" s="0" t="s">
        <v>7</v>
      </c>
    </row>
    <row r="42217" customFormat="false" ht="12.8" hidden="false" customHeight="false" outlineLevel="0" collapsed="false">
      <c r="A42217" s="0" t="s">
        <v>15125</v>
      </c>
      <c r="B42217" s="0" t="str">
        <f aca="false">HYPERLINK("https://lindat.mff.cuni.cz/services/teitok/pdtc10/index.php?action=vallex&amp;frame=v-w5827f1", "rozvodnit se (v-w5827f1)")</f>
        <v>rozvodnit se (v-w5827f1)</v>
      </c>
    </row>
    <row r="42218" customFormat="false" ht="12.8" hidden="false" customHeight="false" outlineLevel="0" collapsed="false">
      <c r="B42218" s="0" t="s">
        <v>7</v>
      </c>
    </row>
    <row r="42220" customFormat="false" ht="12.8" hidden="false" customHeight="false" outlineLevel="0" collapsed="false">
      <c r="A42220" s="0" t="s">
        <v>15126</v>
      </c>
      <c r="B42220" s="0" t="str">
        <f aca="false">HYPERLINK("https://lindat.mff.cuni.cz/services/teitok/pdtc10/index.php?action=vallex&amp;frame=v-w11667_ZUf1_ZU", "rozvracet (v-w11667_ZUf1_ZU)")</f>
        <v>rozvracet (v-w11667_ZUf1_ZU)</v>
      </c>
    </row>
    <row r="42221" customFormat="false" ht="12.8" hidden="false" customHeight="false" outlineLevel="0" collapsed="false">
      <c r="B42221" s="0" t="s">
        <v>7</v>
      </c>
      <c r="C42221" s="0" t="s">
        <v>191</v>
      </c>
      <c r="D42221" s="0" t="s">
        <v>2012</v>
      </c>
      <c r="E42221" s="0" t="s">
        <v>15127</v>
      </c>
      <c r="F42221" s="0" t="s">
        <v>15127</v>
      </c>
    </row>
    <row r="42222" customFormat="false" ht="12.8" hidden="false" customHeight="false" outlineLevel="0" collapsed="false">
      <c r="B42222" s="0" t="s">
        <v>14</v>
      </c>
      <c r="C42222" s="0" t="s">
        <v>115</v>
      </c>
      <c r="D42222" s="0" t="s">
        <v>11703</v>
      </c>
      <c r="E42222" s="0" t="s">
        <v>15128</v>
      </c>
      <c r="F42222" s="0" t="s">
        <v>15128</v>
      </c>
    </row>
    <row r="42224" customFormat="false" ht="12.8" hidden="false" customHeight="false" outlineLevel="0" collapsed="false">
      <c r="A42224" s="0" t="s">
        <v>15129</v>
      </c>
      <c r="B42224" s="0" t="str">
        <f aca="false">HYPERLINK("https://lindat.mff.cuni.cz/services/teitok/pdtc10/index.php?action=vallex&amp;frame=v-w5831f1", "rozvrhnout (v-w5831f1)")</f>
        <v>rozvrhnout (v-w5831f1)</v>
      </c>
    </row>
    <row r="42225" customFormat="false" ht="12.8" hidden="false" customHeight="false" outlineLevel="0" collapsed="false">
      <c r="B42225" s="0" t="s">
        <v>7</v>
      </c>
    </row>
    <row r="42226" customFormat="false" ht="12.8" hidden="false" customHeight="false" outlineLevel="0" collapsed="false">
      <c r="B42226" s="0" t="s">
        <v>14</v>
      </c>
    </row>
    <row r="42227" customFormat="false" ht="12.8" hidden="false" customHeight="false" outlineLevel="0" collapsed="false">
      <c r="B42227" s="0" t="s">
        <v>1633</v>
      </c>
    </row>
    <row r="42229" customFormat="false" ht="12.8" hidden="false" customHeight="false" outlineLevel="0" collapsed="false">
      <c r="A42229" s="0" t="s">
        <v>15130</v>
      </c>
      <c r="B42229" s="0" t="str">
        <f aca="false">HYPERLINK("https://lindat.mff.cuni.cz/services/teitok/pdtc10/index.php?action=vallex&amp;frame=v-w11936_ZUf1_ZU", "rozvrstvit (v-w11936_ZUf1_ZU)")</f>
        <v>rozvrstvit (v-w11936_ZUf1_ZU)</v>
      </c>
    </row>
    <row r="42230" customFormat="false" ht="12.8" hidden="false" customHeight="false" outlineLevel="0" collapsed="false">
      <c r="B42230" s="0" t="s">
        <v>7</v>
      </c>
    </row>
    <row r="42231" customFormat="false" ht="12.8" hidden="false" customHeight="false" outlineLevel="0" collapsed="false">
      <c r="B42231" s="0" t="s">
        <v>14</v>
      </c>
    </row>
    <row r="42233" customFormat="false" ht="12.8" hidden="false" customHeight="false" outlineLevel="0" collapsed="false">
      <c r="A42233" s="0" t="s">
        <v>15131</v>
      </c>
      <c r="B42233" s="0" t="str">
        <f aca="false">HYPERLINK("https://lindat.mff.cuni.cz/services/teitok/pdtc10/index.php?action=vallex&amp;frame=v-w11580_ZUf1_ZU", "rozvrátit (v-w11580_ZUf1_ZU)")</f>
        <v>rozvrátit (v-w11580_ZUf1_ZU)</v>
      </c>
    </row>
    <row r="42234" customFormat="false" ht="12.8" hidden="false" customHeight="false" outlineLevel="0" collapsed="false">
      <c r="B42234" s="0" t="s">
        <v>7</v>
      </c>
      <c r="C42234" s="0" t="s">
        <v>184</v>
      </c>
      <c r="D42234" s="0" t="s">
        <v>15132</v>
      </c>
      <c r="E42234" s="0" t="s">
        <v>15133</v>
      </c>
      <c r="F42234" s="0" t="s">
        <v>15133</v>
      </c>
    </row>
    <row r="42235" customFormat="false" ht="12.8" hidden="false" customHeight="false" outlineLevel="0" collapsed="false">
      <c r="B42235" s="0" t="s">
        <v>14</v>
      </c>
      <c r="C42235" s="0" t="s">
        <v>1170</v>
      </c>
      <c r="D42235" s="0" t="s">
        <v>15134</v>
      </c>
      <c r="E42235" s="0" t="s">
        <v>15135</v>
      </c>
      <c r="F42235" s="0" t="s">
        <v>15135</v>
      </c>
    </row>
    <row r="42237" customFormat="false" ht="12.8" hidden="false" customHeight="false" outlineLevel="0" collapsed="false">
      <c r="A42237" s="0" t="s">
        <v>15136</v>
      </c>
      <c r="B42237" s="0" t="str">
        <f aca="false">HYPERLINK("https://lindat.mff.cuni.cz/services/teitok/pdtc10/index.php?action=vallex&amp;frame=v-w5806f1", "rozvádět (v-w5806f1)")</f>
        <v>rozvádět (v-w5806f1)</v>
      </c>
    </row>
    <row r="42238" customFormat="false" ht="12.8" hidden="false" customHeight="false" outlineLevel="0" collapsed="false">
      <c r="B42238" s="0" t="s">
        <v>7</v>
      </c>
      <c r="C42238" s="0" t="s">
        <v>1263</v>
      </c>
      <c r="D42238" s="0" t="s">
        <v>4783</v>
      </c>
      <c r="E42238" s="0" t="s">
        <v>4783</v>
      </c>
      <c r="F42238" s="0" t="s">
        <v>4783</v>
      </c>
    </row>
    <row r="42239" customFormat="false" ht="12.8" hidden="false" customHeight="false" outlineLevel="0" collapsed="false">
      <c r="B42239" s="0" t="s">
        <v>2573</v>
      </c>
      <c r="C42239" s="0" t="s">
        <v>120</v>
      </c>
      <c r="D42239" s="0" t="s">
        <v>152</v>
      </c>
      <c r="E42239" s="0" t="s">
        <v>152</v>
      </c>
      <c r="F42239" s="0" t="s">
        <v>152</v>
      </c>
    </row>
    <row r="42241" customFormat="false" ht="12.8" hidden="false" customHeight="false" outlineLevel="0" collapsed="false">
      <c r="A42241" s="0" t="s">
        <v>15137</v>
      </c>
      <c r="B42241" s="0" t="str">
        <f aca="false">HYPERLINK("https://lindat.mff.cuni.cz/services/teitok/pdtc10/index.php?action=vallex&amp;frame=v-w5806f2", "rozvádět (v-w5806f2)")</f>
        <v>rozvádět (v-w5806f2)</v>
      </c>
    </row>
    <row r="42242" customFormat="false" ht="12.8" hidden="false" customHeight="false" outlineLevel="0" collapsed="false">
      <c r="B42242" s="0" t="s">
        <v>7</v>
      </c>
    </row>
    <row r="42243" customFormat="false" ht="12.8" hidden="false" customHeight="false" outlineLevel="0" collapsed="false">
      <c r="B42243" s="0" t="s">
        <v>14</v>
      </c>
    </row>
    <row r="42245" customFormat="false" ht="12.8" hidden="false" customHeight="false" outlineLevel="0" collapsed="false">
      <c r="A42245" s="0" t="s">
        <v>15138</v>
      </c>
      <c r="B42245" s="0" t="str">
        <f aca="false">HYPERLINK("https://lindat.mff.cuni.cz/services/teitok/pdtc10/index.php?action=vallex&amp;frame=v-w5807f1", "rozvádět se (v-w5807f1)")</f>
        <v>rozvádět se (v-w5807f1)</v>
      </c>
    </row>
    <row r="42246" customFormat="false" ht="12.8" hidden="false" customHeight="false" outlineLevel="0" collapsed="false">
      <c r="B42246" s="0" t="s">
        <v>7</v>
      </c>
      <c r="D42246" s="0" t="s">
        <v>46</v>
      </c>
      <c r="E42246" s="0" t="s">
        <v>46</v>
      </c>
      <c r="F42246" s="0" t="s">
        <v>46</v>
      </c>
    </row>
    <row r="42247" customFormat="false" ht="12.8" hidden="false" customHeight="false" outlineLevel="0" collapsed="false">
      <c r="B42247" s="0" t="s">
        <v>548</v>
      </c>
      <c r="D42247" s="0" t="s">
        <v>47</v>
      </c>
      <c r="E42247" s="0" t="s">
        <v>47</v>
      </c>
      <c r="F42247" s="0" t="s">
        <v>47</v>
      </c>
    </row>
    <row r="42249" customFormat="false" ht="12.8" hidden="false" customHeight="false" outlineLevel="0" collapsed="false">
      <c r="A42249" s="0" t="s">
        <v>15139</v>
      </c>
      <c r="B42249" s="0" t="str">
        <f aca="false">HYPERLINK("https://lindat.mff.cuni.cz/services/teitok/pdtc10/index.php?action=vallex&amp;frame=v-w5809f1", "rozvázat (v-w5809f1)")</f>
        <v>rozvázat (v-w5809f1)</v>
      </c>
    </row>
    <row r="42250" customFormat="false" ht="12.8" hidden="false" customHeight="false" outlineLevel="0" collapsed="false">
      <c r="B42250" s="0" t="s">
        <v>7</v>
      </c>
    </row>
    <row r="42251" customFormat="false" ht="12.8" hidden="false" customHeight="false" outlineLevel="0" collapsed="false">
      <c r="B42251" s="0" t="s">
        <v>14</v>
      </c>
    </row>
    <row r="42253" customFormat="false" ht="12.8" hidden="false" customHeight="false" outlineLevel="0" collapsed="false">
      <c r="A42253" s="0" t="s">
        <v>15140</v>
      </c>
      <c r="B42253" s="0" t="str">
        <f aca="false">HYPERLINK("https://lindat.mff.cuni.cz/services/teitok/pdtc10/index.php?action=vallex&amp;frame=v-w5809f3", "rozvázat (v-w5809f3)")</f>
        <v>rozvázat (v-w5809f3)</v>
      </c>
    </row>
    <row r="42254" customFormat="false" ht="12.8" hidden="false" customHeight="false" outlineLevel="0" collapsed="false">
      <c r="B42254" s="0" t="s">
        <v>7</v>
      </c>
    </row>
    <row r="42255" customFormat="false" ht="12.8" hidden="false" customHeight="false" outlineLevel="0" collapsed="false">
      <c r="B42255" s="0" t="s">
        <v>15141</v>
      </c>
    </row>
    <row r="42256" customFormat="false" ht="12.8" hidden="false" customHeight="false" outlineLevel="0" collapsed="false">
      <c r="B42256" s="0" t="s">
        <v>142</v>
      </c>
    </row>
    <row r="42258" customFormat="false" ht="12.8" hidden="false" customHeight="false" outlineLevel="0" collapsed="false">
      <c r="A42258" s="0" t="s">
        <v>15142</v>
      </c>
      <c r="B42258" s="0" t="str">
        <f aca="false">HYPERLINK("https://lindat.mff.cuni.cz/services/teitok/pdtc10/index.php?action=vallex&amp;frame=v-w5809f2", "rozvázat (v-w5809f2)")</f>
        <v>rozvázat (v-w5809f2)</v>
      </c>
    </row>
    <row r="42259" customFormat="false" ht="12.8" hidden="false" customHeight="false" outlineLevel="0" collapsed="false">
      <c r="B42259" s="0" t="s">
        <v>7</v>
      </c>
    </row>
    <row r="42260" customFormat="false" ht="12.8" hidden="false" customHeight="false" outlineLevel="0" collapsed="false">
      <c r="B42260" s="0" t="s">
        <v>15143</v>
      </c>
    </row>
    <row r="42262" customFormat="false" ht="12.8" hidden="false" customHeight="false" outlineLevel="0" collapsed="false">
      <c r="A42262" s="0" t="s">
        <v>15144</v>
      </c>
      <c r="B42262" s="0" t="str">
        <f aca="false">HYPERLINK("https://lindat.mff.cuni.cz/services/teitok/pdtc10/index.php?action=vallex&amp;frame=v-w5809hsa_1137", "rozvázat (v-w5809hsa_1137)")</f>
        <v>rozvázat (v-w5809hsa_1137)</v>
      </c>
    </row>
    <row r="42263" customFormat="false" ht="12.8" hidden="false" customHeight="false" outlineLevel="0" collapsed="false">
      <c r="B42263" s="0" t="s">
        <v>7</v>
      </c>
    </row>
    <row r="42264" customFormat="false" ht="12.8" hidden="false" customHeight="false" outlineLevel="0" collapsed="false">
      <c r="B42264" s="0" t="s">
        <v>14</v>
      </c>
    </row>
    <row r="42266" customFormat="false" ht="12.8" hidden="false" customHeight="false" outlineLevel="0" collapsed="false">
      <c r="A42266" s="0" t="s">
        <v>15145</v>
      </c>
      <c r="B42266" s="0" t="str">
        <f aca="false">HYPERLINK("https://lindat.mff.cuni.cz/services/teitok/pdtc10/index.php?action=vallex&amp;frame=v-w10528f2", "rozvážet (v-w10528f2)")</f>
        <v>rozvážet (v-w10528f2)</v>
      </c>
    </row>
    <row r="42267" customFormat="false" ht="12.8" hidden="false" customHeight="false" outlineLevel="0" collapsed="false">
      <c r="B42267" s="0" t="s">
        <v>7</v>
      </c>
    </row>
    <row r="42268" customFormat="false" ht="12.8" hidden="false" customHeight="false" outlineLevel="0" collapsed="false">
      <c r="B42268" s="0" t="s">
        <v>14</v>
      </c>
    </row>
    <row r="42270" customFormat="false" ht="12.8" hidden="false" customHeight="false" outlineLevel="0" collapsed="false">
      <c r="A42270" s="0" t="s">
        <v>15146</v>
      </c>
      <c r="B42270" s="0" t="str">
        <f aca="false">HYPERLINK("https://lindat.mff.cuni.cz/services/teitok/pdtc10/index.php?action=vallex&amp;frame=v-w5810f1", "rozvážit (v-w5810f1)")</f>
        <v>rozvážit (v-w5810f1)</v>
      </c>
    </row>
    <row r="42271" customFormat="false" ht="12.8" hidden="false" customHeight="false" outlineLevel="0" collapsed="false">
      <c r="B42271" s="0" t="s">
        <v>7</v>
      </c>
      <c r="D42271" s="0" t="s">
        <v>515</v>
      </c>
      <c r="E42271" s="0" t="s">
        <v>515</v>
      </c>
      <c r="F42271" s="0" t="s">
        <v>515</v>
      </c>
    </row>
    <row r="42272" customFormat="false" ht="12.8" hidden="false" customHeight="false" outlineLevel="0" collapsed="false">
      <c r="B42272" s="0" t="s">
        <v>14</v>
      </c>
      <c r="D42272" s="0" t="s">
        <v>519</v>
      </c>
      <c r="E42272" s="0" t="s">
        <v>519</v>
      </c>
      <c r="F42272" s="0" t="s">
        <v>519</v>
      </c>
    </row>
    <row r="42274" customFormat="false" ht="12.8" hidden="false" customHeight="false" outlineLevel="0" collapsed="false">
      <c r="A42274" s="0" t="s">
        <v>15147</v>
      </c>
      <c r="B42274" s="0" t="str">
        <f aca="false">HYPERLINK("https://lindat.mff.cuni.cz/services/teitok/pdtc10/index.php?action=vallex&amp;frame=v-w5812f3_ZU", "rozvést (v-w5812f3_ZU)")</f>
        <v>rozvést (v-w5812f3_ZU)</v>
      </c>
    </row>
    <row r="42275" customFormat="false" ht="12.8" hidden="false" customHeight="false" outlineLevel="0" collapsed="false">
      <c r="B42275" s="0" t="s">
        <v>7</v>
      </c>
      <c r="C42275" s="0" t="s">
        <v>21</v>
      </c>
      <c r="D42275" s="0" t="s">
        <v>4783</v>
      </c>
      <c r="E42275" s="0" t="s">
        <v>4783</v>
      </c>
      <c r="F42275" s="0" t="s">
        <v>4783</v>
      </c>
    </row>
    <row r="42276" customFormat="false" ht="12.8" hidden="false" customHeight="false" outlineLevel="0" collapsed="false">
      <c r="B42276" s="0" t="s">
        <v>14</v>
      </c>
      <c r="C42276" s="0" t="s">
        <v>487</v>
      </c>
      <c r="D42276" s="0" t="s">
        <v>152</v>
      </c>
      <c r="E42276" s="0" t="s">
        <v>152</v>
      </c>
      <c r="F42276" s="0" t="s">
        <v>152</v>
      </c>
    </row>
    <row r="42277" customFormat="false" ht="12.8" hidden="false" customHeight="false" outlineLevel="0" collapsed="false">
      <c r="B42277" s="0" t="s">
        <v>181</v>
      </c>
    </row>
    <row r="42279" customFormat="false" ht="12.8" hidden="false" customHeight="false" outlineLevel="0" collapsed="false">
      <c r="A42279" s="0" t="s">
        <v>15148</v>
      </c>
      <c r="B42279" s="0" t="str">
        <f aca="false">HYPERLINK("https://lindat.mff.cuni.cz/services/teitok/pdtc10/index.php?action=vallex&amp;frame=v-w5812f1", "rozvést (v-w5812f1)")</f>
        <v>rozvést (v-w5812f1)</v>
      </c>
    </row>
    <row r="42280" customFormat="false" ht="12.8" hidden="false" customHeight="false" outlineLevel="0" collapsed="false">
      <c r="B42280" s="0" t="s">
        <v>7</v>
      </c>
    </row>
    <row r="42281" customFormat="false" ht="12.8" hidden="false" customHeight="false" outlineLevel="0" collapsed="false">
      <c r="B42281" s="0" t="s">
        <v>14</v>
      </c>
    </row>
    <row r="42283" customFormat="false" ht="12.8" hidden="false" customHeight="false" outlineLevel="0" collapsed="false">
      <c r="A42283" s="0" t="s">
        <v>15149</v>
      </c>
      <c r="B42283" s="0" t="str">
        <f aca="false">HYPERLINK("https://lindat.mff.cuni.cz/services/teitok/pdtc10/index.php?action=vallex&amp;frame=v-w5812f2", "rozvést (v-w5812f2)")</f>
        <v>rozvést (v-w5812f2)</v>
      </c>
    </row>
    <row r="42284" customFormat="false" ht="12.8" hidden="false" customHeight="false" outlineLevel="0" collapsed="false">
      <c r="B42284" s="0" t="s">
        <v>7</v>
      </c>
    </row>
    <row r="42285" customFormat="false" ht="12.8" hidden="false" customHeight="false" outlineLevel="0" collapsed="false">
      <c r="B42285" s="0" t="s">
        <v>14</v>
      </c>
    </row>
    <row r="42287" customFormat="false" ht="12.8" hidden="false" customHeight="false" outlineLevel="0" collapsed="false">
      <c r="A42287" s="0" t="s">
        <v>15150</v>
      </c>
      <c r="B42287" s="0" t="str">
        <f aca="false">HYPERLINK("https://lindat.mff.cuni.cz/services/teitok/pdtc10/index.php?action=vallex&amp;frame=v-w5813f1", "rozvést se (v-w5813f1)")</f>
        <v>rozvést se (v-w5813f1)</v>
      </c>
    </row>
    <row r="42288" customFormat="false" ht="12.8" hidden="false" customHeight="false" outlineLevel="0" collapsed="false">
      <c r="B42288" s="0" t="s">
        <v>7</v>
      </c>
      <c r="C42288" s="0" t="s">
        <v>46</v>
      </c>
      <c r="D42288" s="0" t="s">
        <v>46</v>
      </c>
      <c r="E42288" s="0" t="s">
        <v>46</v>
      </c>
      <c r="F42288" s="0" t="s">
        <v>46</v>
      </c>
    </row>
    <row r="42289" customFormat="false" ht="12.8" hidden="false" customHeight="false" outlineLevel="0" collapsed="false">
      <c r="B42289" s="0" t="s">
        <v>548</v>
      </c>
      <c r="C42289" s="0" t="s">
        <v>47</v>
      </c>
      <c r="D42289" s="0" t="s">
        <v>47</v>
      </c>
      <c r="E42289" s="0" t="s">
        <v>47</v>
      </c>
      <c r="F42289" s="0" t="s">
        <v>47</v>
      </c>
    </row>
    <row r="42291" customFormat="false" ht="12.8" hidden="false" customHeight="false" outlineLevel="0" collapsed="false">
      <c r="A42291" s="0" t="s">
        <v>15151</v>
      </c>
      <c r="B42291" s="0" t="str">
        <f aca="false">HYPERLINK("https://lindat.mff.cuni.cz/services/teitok/pdtc10/index.php?action=vallex&amp;frame=v-w5817f1", "rozvíjet (v-w5817f1)")</f>
        <v>rozvíjet (v-w5817f1)</v>
      </c>
    </row>
    <row r="42292" customFormat="false" ht="12.8" hidden="false" customHeight="false" outlineLevel="0" collapsed="false">
      <c r="B42292" s="0" t="s">
        <v>7</v>
      </c>
      <c r="C42292" s="0" t="s">
        <v>10827</v>
      </c>
      <c r="D42292" s="0" t="s">
        <v>10736</v>
      </c>
      <c r="E42292" s="0" t="s">
        <v>10736</v>
      </c>
      <c r="F42292" s="0" t="s">
        <v>10736</v>
      </c>
    </row>
    <row r="42293" customFormat="false" ht="12.8" hidden="false" customHeight="false" outlineLevel="0" collapsed="false">
      <c r="B42293" s="0" t="s">
        <v>14</v>
      </c>
      <c r="C42293" s="0" t="s">
        <v>15152</v>
      </c>
      <c r="D42293" s="0" t="s">
        <v>7533</v>
      </c>
      <c r="E42293" s="0" t="s">
        <v>7533</v>
      </c>
      <c r="F42293" s="0" t="s">
        <v>7533</v>
      </c>
    </row>
    <row r="42295" customFormat="false" ht="12.8" hidden="false" customHeight="false" outlineLevel="0" collapsed="false">
      <c r="A42295" s="0" t="s">
        <v>15153</v>
      </c>
      <c r="B42295" s="0" t="str">
        <f aca="false">HYPERLINK("https://lindat.mff.cuni.cz/services/teitok/pdtc10/index.php?action=vallex&amp;frame=v-w5817f2", "rozvíjet (v-w5817f2)")</f>
        <v>rozvíjet (v-w5817f2)</v>
      </c>
    </row>
    <row r="42296" customFormat="false" ht="12.8" hidden="false" customHeight="false" outlineLevel="0" collapsed="false">
      <c r="B42296" s="0" t="s">
        <v>7</v>
      </c>
    </row>
    <row r="42297" customFormat="false" ht="12.8" hidden="false" customHeight="false" outlineLevel="0" collapsed="false">
      <c r="B42297" s="0" t="s">
        <v>14</v>
      </c>
    </row>
    <row r="42299" customFormat="false" ht="12.8" hidden="false" customHeight="false" outlineLevel="0" collapsed="false">
      <c r="A42299" s="0" t="s">
        <v>15154</v>
      </c>
      <c r="B42299" s="0" t="str">
        <f aca="false">HYPERLINK("https://lindat.mff.cuni.cz/services/teitok/pdtc10/index.php?action=vallex&amp;frame=v-w5818f1", "rozvíjet se (v-w5818f1)")</f>
        <v>rozvíjet se (v-w5818f1)</v>
      </c>
    </row>
    <row r="42300" customFormat="false" ht="12.8" hidden="false" customHeight="false" outlineLevel="0" collapsed="false">
      <c r="B42300" s="0" t="s">
        <v>7</v>
      </c>
      <c r="C42300" s="0" t="s">
        <v>15155</v>
      </c>
      <c r="D42300" s="0" t="s">
        <v>5047</v>
      </c>
      <c r="E42300" s="0" t="s">
        <v>5047</v>
      </c>
      <c r="F42300" s="0" t="s">
        <v>5047</v>
      </c>
    </row>
    <row r="42302" customFormat="false" ht="12.8" hidden="false" customHeight="false" outlineLevel="0" collapsed="false">
      <c r="A42302" s="0" t="s">
        <v>15156</v>
      </c>
      <c r="B42302" s="0" t="str">
        <f aca="false">HYPERLINK("https://lindat.mff.cuni.cz/services/teitok/pdtc10/index.php?action=vallex&amp;frame=v-w5818f2_ZU", "rozvíjet se (v-w5818f2_ZU)")</f>
        <v>rozvíjet se (v-w5818f2_ZU)</v>
      </c>
    </row>
    <row r="42303" customFormat="false" ht="12.8" hidden="false" customHeight="false" outlineLevel="0" collapsed="false">
      <c r="B42303" s="0" t="s">
        <v>7</v>
      </c>
    </row>
    <row r="42305" customFormat="false" ht="12.8" hidden="false" customHeight="false" outlineLevel="0" collapsed="false">
      <c r="A42305" s="0" t="s">
        <v>15157</v>
      </c>
      <c r="B42305" s="0" t="str">
        <f aca="false">HYPERLINK("https://lindat.mff.cuni.cz/services/teitok/pdtc10/index.php?action=vallex&amp;frame=v-w5824f1", "rozvířit (v-w5824f1)")</f>
        <v>rozvířit (v-w5824f1)</v>
      </c>
    </row>
    <row r="42306" customFormat="false" ht="12.8" hidden="false" customHeight="false" outlineLevel="0" collapsed="false">
      <c r="B42306" s="0" t="s">
        <v>7</v>
      </c>
      <c r="C42306" s="0" t="s">
        <v>184</v>
      </c>
      <c r="D42306" s="0" t="s">
        <v>335</v>
      </c>
      <c r="E42306" s="0" t="s">
        <v>335</v>
      </c>
      <c r="F42306" s="0" t="s">
        <v>335</v>
      </c>
    </row>
    <row r="42307" customFormat="false" ht="12.8" hidden="false" customHeight="false" outlineLevel="0" collapsed="false">
      <c r="B42307" s="0" t="s">
        <v>14</v>
      </c>
      <c r="C42307" s="0" t="s">
        <v>384</v>
      </c>
      <c r="D42307" s="0" t="s">
        <v>78</v>
      </c>
      <c r="E42307" s="0" t="s">
        <v>78</v>
      </c>
      <c r="F42307" s="0" t="s">
        <v>78</v>
      </c>
    </row>
    <row r="42309" customFormat="false" ht="12.8" hidden="false" customHeight="false" outlineLevel="0" collapsed="false">
      <c r="A42309" s="0" t="s">
        <v>15158</v>
      </c>
      <c r="B42309" s="0" t="str">
        <f aca="false">HYPERLINK("https://lindat.mff.cuni.cz/services/teitok/pdtc10/index.php?action=vallex&amp;frame=v-w5811f1", "rozvěsit (v-w5811f1)")</f>
        <v>rozvěsit (v-w5811f1)</v>
      </c>
    </row>
    <row r="42310" customFormat="false" ht="12.8" hidden="false" customHeight="false" outlineLevel="0" collapsed="false">
      <c r="B42310" s="0" t="s">
        <v>7</v>
      </c>
    </row>
    <row r="42311" customFormat="false" ht="12.8" hidden="false" customHeight="false" outlineLevel="0" collapsed="false">
      <c r="B42311" s="0" t="s">
        <v>14</v>
      </c>
    </row>
    <row r="42313" customFormat="false" ht="12.8" hidden="false" customHeight="false" outlineLevel="0" collapsed="false">
      <c r="A42313" s="0" t="s">
        <v>15159</v>
      </c>
      <c r="B42313" s="0" t="str">
        <f aca="false">HYPERLINK("https://lindat.mff.cuni.cz/services/teitok/pdtc10/index.php?action=vallex&amp;frame=v-w5814f1", "rozvětvovat se (v-w5814f1)")</f>
        <v>rozvětvovat se (v-w5814f1)</v>
      </c>
    </row>
    <row r="42314" customFormat="false" ht="12.8" hidden="false" customHeight="false" outlineLevel="0" collapsed="false">
      <c r="B42314" s="0" t="s">
        <v>7</v>
      </c>
      <c r="D42314" s="0" t="s">
        <v>1619</v>
      </c>
      <c r="E42314" s="0" t="s">
        <v>1619</v>
      </c>
      <c r="F42314" s="0" t="s">
        <v>1619</v>
      </c>
    </row>
    <row r="42315" customFormat="false" ht="12.8" hidden="false" customHeight="false" outlineLevel="0" collapsed="false">
      <c r="B42315" s="0" t="s">
        <v>3568</v>
      </c>
      <c r="D42315" s="0" t="s">
        <v>1620</v>
      </c>
      <c r="E42315" s="0" t="s">
        <v>1620</v>
      </c>
      <c r="F42315" s="0" t="s">
        <v>1620</v>
      </c>
    </row>
    <row r="42317" customFormat="false" ht="12.8" hidden="false" customHeight="false" outlineLevel="0" collapsed="false">
      <c r="A42317" s="0" t="s">
        <v>15160</v>
      </c>
      <c r="B42317" s="0" t="str">
        <f aca="false">HYPERLINK("https://lindat.mff.cuni.cz/services/teitok/pdtc10/index.php?action=vallex&amp;frame=v-w11581_ZUf2_ZU", "rozzlobit (v-w11581_ZUf2_ZU)")</f>
        <v>rozzlobit (v-w11581_ZUf2_ZU)</v>
      </c>
    </row>
    <row r="42318" customFormat="false" ht="12.8" hidden="false" customHeight="false" outlineLevel="0" collapsed="false">
      <c r="B42318" s="0" t="s">
        <v>641</v>
      </c>
    </row>
    <row r="42319" customFormat="false" ht="12.8" hidden="false" customHeight="false" outlineLevel="0" collapsed="false">
      <c r="B42319" s="0" t="s">
        <v>14</v>
      </c>
    </row>
    <row r="42321" customFormat="false" ht="12.8" hidden="false" customHeight="false" outlineLevel="0" collapsed="false">
      <c r="A42321" s="0" t="s">
        <v>15160</v>
      </c>
      <c r="B42321" s="0" t="str">
        <f aca="false">HYPERLINK("https://lindat.mff.cuni.cz/services/teitok/pdtc10/index.php?action=vallex&amp;frame=v-w11581_ZUf1_ZU", "rozzlobit (v-w11581_ZUf1_ZU) - substituted with v-w11581_ZUf2_ZU")</f>
        <v>rozzlobit (v-w11581_ZUf1_ZU) - substituted with v-w11581_ZUf2_ZU</v>
      </c>
    </row>
    <row r="42322" customFormat="false" ht="12.8" hidden="false" customHeight="false" outlineLevel="0" collapsed="false">
      <c r="B42322" s="0" t="s">
        <v>641</v>
      </c>
      <c r="C42322" s="0" t="s">
        <v>1263</v>
      </c>
      <c r="D42322" s="0" t="s">
        <v>149</v>
      </c>
      <c r="E42322" s="0" t="s">
        <v>149</v>
      </c>
      <c r="F42322" s="0" t="s">
        <v>149</v>
      </c>
    </row>
    <row r="42323" customFormat="false" ht="12.8" hidden="false" customHeight="false" outlineLevel="0" collapsed="false">
      <c r="B42323" s="0" t="s">
        <v>14</v>
      </c>
      <c r="C42323" s="0" t="s">
        <v>89</v>
      </c>
      <c r="D42323" s="0" t="s">
        <v>1315</v>
      </c>
      <c r="E42323" s="0" t="s">
        <v>1315</v>
      </c>
      <c r="F42323" s="0" t="s">
        <v>1315</v>
      </c>
    </row>
    <row r="42325" customFormat="false" ht="12.8" hidden="false" customHeight="false" outlineLevel="0" collapsed="false">
      <c r="A42325" s="0" t="s">
        <v>15161</v>
      </c>
      <c r="B42325" s="0" t="str">
        <f aca="false">HYPERLINK("https://lindat.mff.cuni.cz/services/teitok/pdtc10/index.php?action=vallex&amp;frame=v-w5834f1", "rozzlobit se (v-w5834f1)")</f>
        <v>rozzlobit se (v-w5834f1)</v>
      </c>
    </row>
    <row r="42326" customFormat="false" ht="12.8" hidden="false" customHeight="false" outlineLevel="0" collapsed="false">
      <c r="B42326" s="0" t="s">
        <v>7</v>
      </c>
    </row>
    <row r="42327" customFormat="false" ht="12.8" hidden="false" customHeight="false" outlineLevel="0" collapsed="false">
      <c r="B42327" s="0" t="s">
        <v>600</v>
      </c>
    </row>
    <row r="42329" customFormat="false" ht="12.8" hidden="false" customHeight="false" outlineLevel="0" collapsed="false">
      <c r="A42329" s="0" t="s">
        <v>15162</v>
      </c>
      <c r="B42329" s="0" t="str">
        <f aca="false">HYPERLINK("https://lindat.mff.cuni.cz/services/teitok/pdtc10/index.php?action=vallex&amp;frame=v-w10623f2", "rozzuřit (v-w10623f2)")</f>
        <v>rozzuřit (v-w10623f2)</v>
      </c>
    </row>
    <row r="42330" customFormat="false" ht="12.8" hidden="false" customHeight="false" outlineLevel="0" collapsed="false">
      <c r="B42330" s="0" t="s">
        <v>7</v>
      </c>
      <c r="C42330" s="0" t="s">
        <v>460</v>
      </c>
      <c r="D42330" s="0" t="s">
        <v>149</v>
      </c>
      <c r="E42330" s="0" t="s">
        <v>149</v>
      </c>
      <c r="F42330" s="0" t="s">
        <v>149</v>
      </c>
    </row>
    <row r="42331" customFormat="false" ht="12.8" hidden="false" customHeight="false" outlineLevel="0" collapsed="false">
      <c r="B42331" s="0" t="s">
        <v>14</v>
      </c>
      <c r="C42331" s="0" t="s">
        <v>1209</v>
      </c>
      <c r="D42331" s="0" t="s">
        <v>1315</v>
      </c>
      <c r="E42331" s="0" t="s">
        <v>1315</v>
      </c>
      <c r="F42331" s="0" t="s">
        <v>1315</v>
      </c>
    </row>
    <row r="42333" customFormat="false" ht="12.8" hidden="false" customHeight="false" outlineLevel="0" collapsed="false">
      <c r="A42333" s="0" t="s">
        <v>15163</v>
      </c>
      <c r="B42333" s="0" t="str">
        <f aca="false">HYPERLINK("https://lindat.mff.cuni.cz/services/teitok/pdtc10/index.php?action=vallex&amp;frame=v-w5833f1", "rozzářit se (v-w5833f1)")</f>
        <v>rozzářit se (v-w5833f1)</v>
      </c>
    </row>
    <row r="42334" customFormat="false" ht="12.8" hidden="false" customHeight="false" outlineLevel="0" collapsed="false">
      <c r="B42334" s="0" t="s">
        <v>7</v>
      </c>
    </row>
    <row r="42336" customFormat="false" ht="12.8" hidden="false" customHeight="false" outlineLevel="0" collapsed="false">
      <c r="A42336" s="0" t="s">
        <v>15164</v>
      </c>
      <c r="B42336" s="0" t="str">
        <f aca="false">HYPERLINK("https://lindat.mff.cuni.cz/services/teitok/pdtc10/index.php?action=vallex&amp;frame=v-w10085f2", "rozčarovat (v-w10085f2)")</f>
        <v>rozčarovat (v-w10085f2)</v>
      </c>
    </row>
    <row r="42337" customFormat="false" ht="12.8" hidden="false" customHeight="false" outlineLevel="0" collapsed="false">
      <c r="B42337" s="0" t="s">
        <v>15165</v>
      </c>
      <c r="D42337" s="0" t="s">
        <v>88</v>
      </c>
      <c r="E42337" s="0" t="s">
        <v>88</v>
      </c>
      <c r="F42337" s="0" t="s">
        <v>88</v>
      </c>
    </row>
    <row r="42338" customFormat="false" ht="12.8" hidden="false" customHeight="false" outlineLevel="0" collapsed="false">
      <c r="B42338" s="0" t="s">
        <v>14</v>
      </c>
      <c r="C42338" s="0" t="s">
        <v>155</v>
      </c>
      <c r="D42338" s="0" t="s">
        <v>15166</v>
      </c>
      <c r="E42338" s="0" t="s">
        <v>15166</v>
      </c>
      <c r="F42338" s="0" t="s">
        <v>15166</v>
      </c>
    </row>
    <row r="42340" customFormat="false" ht="12.8" hidden="false" customHeight="false" outlineLevel="0" collapsed="false">
      <c r="A42340" s="0" t="s">
        <v>15167</v>
      </c>
      <c r="B42340" s="0" t="str">
        <f aca="false">HYPERLINK("https://lindat.mff.cuni.cz/services/teitok/pdtc10/index.php?action=vallex&amp;frame=v-w5573f1", "rozčeřit (v-w5573f1)")</f>
        <v>rozčeřit (v-w5573f1)</v>
      </c>
    </row>
    <row r="42341" customFormat="false" ht="12.8" hidden="false" customHeight="false" outlineLevel="0" collapsed="false">
      <c r="B42341" s="0" t="s">
        <v>7</v>
      </c>
      <c r="C42341" s="0" t="s">
        <v>569</v>
      </c>
    </row>
    <row r="42342" customFormat="false" ht="12.8" hidden="false" customHeight="false" outlineLevel="0" collapsed="false">
      <c r="B42342" s="0" t="s">
        <v>14</v>
      </c>
      <c r="C42342" s="0" t="s">
        <v>1170</v>
      </c>
    </row>
    <row r="42344" customFormat="false" ht="12.8" hidden="false" customHeight="false" outlineLevel="0" collapsed="false">
      <c r="A42344" s="0" t="s">
        <v>15168</v>
      </c>
      <c r="B42344" s="0" t="str">
        <f aca="false">HYPERLINK("https://lindat.mff.cuni.cz/services/teitok/pdtc10/index.php?action=vallex&amp;frame=v-whsa_70hsa_71", "rozčilit se (v-whsa_70hsa_71)")</f>
        <v>rozčilit se (v-whsa_70hsa_71)</v>
      </c>
    </row>
    <row r="42345" customFormat="false" ht="12.8" hidden="false" customHeight="false" outlineLevel="0" collapsed="false">
      <c r="B42345" s="0" t="s">
        <v>7</v>
      </c>
      <c r="C42345" s="0" t="s">
        <v>623</v>
      </c>
    </row>
    <row r="42346" customFormat="false" ht="12.8" hidden="false" customHeight="false" outlineLevel="0" collapsed="false">
      <c r="B42346" s="0" t="s">
        <v>15169</v>
      </c>
      <c r="C42346" s="0" t="s">
        <v>74</v>
      </c>
    </row>
    <row r="42348" customFormat="false" ht="12.8" hidden="false" customHeight="false" outlineLevel="0" collapsed="false">
      <c r="A42348" s="0" t="s">
        <v>15170</v>
      </c>
      <c r="B42348" s="0" t="str">
        <f aca="false">HYPERLINK("https://lindat.mff.cuni.cz/services/teitok/pdtc10/index.php?action=vallex&amp;frame=v-w5575f3_ZU", "rozčilovat (v-w5575f3_ZU)")</f>
        <v>rozčilovat (v-w5575f3_ZU)</v>
      </c>
    </row>
    <row r="42349" customFormat="false" ht="12.8" hidden="false" customHeight="false" outlineLevel="0" collapsed="false">
      <c r="B42349" s="0" t="s">
        <v>15171</v>
      </c>
    </row>
    <row r="42350" customFormat="false" ht="12.8" hidden="false" customHeight="false" outlineLevel="0" collapsed="false">
      <c r="B42350" s="0" t="s">
        <v>14</v>
      </c>
    </row>
    <row r="42352" customFormat="false" ht="12.8" hidden="false" customHeight="false" outlineLevel="0" collapsed="false">
      <c r="A42352" s="0" t="s">
        <v>15170</v>
      </c>
      <c r="B42352" s="0" t="str">
        <f aca="false">HYPERLINK("https://lindat.mff.cuni.cz/services/teitok/pdtc10/index.php?action=vallex&amp;frame=v-w5575f1", "rozčilovat (v-w5575f1) - substituted with v-w5575f3_ZU")</f>
        <v>rozčilovat (v-w5575f1) - substituted with v-w5575f3_ZU</v>
      </c>
    </row>
    <row r="42353" customFormat="false" ht="12.8" hidden="false" customHeight="false" outlineLevel="0" collapsed="false">
      <c r="B42353" s="0" t="s">
        <v>15171</v>
      </c>
      <c r="C42353" s="0" t="s">
        <v>4638</v>
      </c>
      <c r="D42353" s="0" t="s">
        <v>7092</v>
      </c>
      <c r="E42353" s="0" t="s">
        <v>7092</v>
      </c>
      <c r="F42353" s="0" t="s">
        <v>7092</v>
      </c>
    </row>
    <row r="42354" customFormat="false" ht="12.8" hidden="false" customHeight="false" outlineLevel="0" collapsed="false">
      <c r="B42354" s="0" t="s">
        <v>14</v>
      </c>
      <c r="C42354" s="0" t="s">
        <v>15172</v>
      </c>
      <c r="D42354" s="0" t="s">
        <v>15172</v>
      </c>
      <c r="E42354" s="0" t="s">
        <v>15172</v>
      </c>
      <c r="F42354" s="0" t="s">
        <v>15172</v>
      </c>
    </row>
    <row r="42356" customFormat="false" ht="12.8" hidden="false" customHeight="false" outlineLevel="0" collapsed="false">
      <c r="A42356" s="0" t="s">
        <v>15170</v>
      </c>
      <c r="B42356" s="0" t="str">
        <f aca="false">HYPERLINK("https://lindat.mff.cuni.cz/services/teitok/pdtc10/index.php?action=vallex&amp;frame=v-w5575f2_ZU", "rozčilovat (v-w5575f2_ZU) - substituted with v-w5575f3_ZU")</f>
        <v>rozčilovat (v-w5575f2_ZU) - substituted with v-w5575f3_ZU</v>
      </c>
    </row>
    <row r="42357" customFormat="false" ht="12.8" hidden="false" customHeight="false" outlineLevel="0" collapsed="false">
      <c r="B42357" s="0" t="s">
        <v>15171</v>
      </c>
    </row>
    <row r="42358" customFormat="false" ht="12.8" hidden="false" customHeight="false" outlineLevel="0" collapsed="false">
      <c r="B42358" s="0" t="s">
        <v>14</v>
      </c>
    </row>
    <row r="42360" customFormat="false" ht="12.8" hidden="false" customHeight="false" outlineLevel="0" collapsed="false">
      <c r="A42360" s="0" t="s">
        <v>15173</v>
      </c>
      <c r="B42360" s="0" t="str">
        <f aca="false">HYPERLINK("https://lindat.mff.cuni.cz/services/teitok/pdtc10/index.php?action=vallex&amp;frame=v-w5576f1", "rozčilovat se (v-w5576f1)")</f>
        <v>rozčilovat se (v-w5576f1)</v>
      </c>
    </row>
    <row r="42361" customFormat="false" ht="12.8" hidden="false" customHeight="false" outlineLevel="0" collapsed="false">
      <c r="B42361" s="0" t="s">
        <v>7</v>
      </c>
    </row>
    <row r="42362" customFormat="false" ht="12.8" hidden="false" customHeight="false" outlineLevel="0" collapsed="false">
      <c r="B42362" s="0" t="s">
        <v>63</v>
      </c>
    </row>
    <row r="42364" customFormat="false" ht="12.8" hidden="false" customHeight="false" outlineLevel="0" collapsed="false">
      <c r="A42364" s="0" t="s">
        <v>15174</v>
      </c>
      <c r="B42364" s="0" t="str">
        <f aca="false">HYPERLINK("https://lindat.mff.cuni.cz/services/teitok/pdtc10/index.php?action=vallex&amp;frame=v-w5578f2", "rozčlenit (v-w5578f2)")</f>
        <v>rozčlenit (v-w5578f2)</v>
      </c>
    </row>
    <row r="42365" customFormat="false" ht="12.8" hidden="false" customHeight="false" outlineLevel="0" collapsed="false">
      <c r="B42365" s="0" t="s">
        <v>7</v>
      </c>
    </row>
    <row r="42366" customFormat="false" ht="12.8" hidden="false" customHeight="false" outlineLevel="0" collapsed="false">
      <c r="B42366" s="0" t="s">
        <v>14</v>
      </c>
    </row>
    <row r="42367" customFormat="false" ht="12.8" hidden="false" customHeight="false" outlineLevel="0" collapsed="false">
      <c r="B42367" s="0" t="s">
        <v>3560</v>
      </c>
    </row>
    <row r="42369" customFormat="false" ht="12.8" hidden="false" customHeight="false" outlineLevel="0" collapsed="false">
      <c r="A42369" s="0" t="s">
        <v>15175</v>
      </c>
      <c r="B42369" s="0" t="str">
        <f aca="false">HYPERLINK("https://lindat.mff.cuni.cz/services/teitok/pdtc10/index.php?action=vallex&amp;frame=v-w5578f1", "rozčlenit (v-w5578f1)")</f>
        <v>rozčlenit (v-w5578f1)</v>
      </c>
    </row>
    <row r="42370" customFormat="false" ht="12.8" hidden="false" customHeight="false" outlineLevel="0" collapsed="false">
      <c r="B42370" s="0" t="s">
        <v>7</v>
      </c>
    </row>
    <row r="42371" customFormat="false" ht="12.8" hidden="false" customHeight="false" outlineLevel="0" collapsed="false">
      <c r="B42371" s="0" t="s">
        <v>14</v>
      </c>
    </row>
    <row r="42372" customFormat="false" ht="12.8" hidden="false" customHeight="false" outlineLevel="0" collapsed="false">
      <c r="B42372" s="0" t="s">
        <v>4978</v>
      </c>
    </row>
    <row r="42374" customFormat="false" ht="12.8" hidden="false" customHeight="false" outlineLevel="0" collapsed="false">
      <c r="A42374" s="0" t="s">
        <v>15176</v>
      </c>
      <c r="B42374" s="0" t="str">
        <f aca="false">HYPERLINK("https://lindat.mff.cuni.cz/services/teitok/pdtc10/index.php?action=vallex&amp;frame=v-w5574f1", "rozčílit (v-w5574f1)")</f>
        <v>rozčílit (v-w5574f1)</v>
      </c>
    </row>
    <row r="42375" customFormat="false" ht="12.8" hidden="false" customHeight="false" outlineLevel="0" collapsed="false">
      <c r="B42375" s="0" t="s">
        <v>7</v>
      </c>
    </row>
    <row r="42376" customFormat="false" ht="12.8" hidden="false" customHeight="false" outlineLevel="0" collapsed="false">
      <c r="B42376" s="0" t="s">
        <v>14</v>
      </c>
    </row>
    <row r="42378" customFormat="false" ht="12.8" hidden="false" customHeight="false" outlineLevel="0" collapsed="false">
      <c r="A42378" s="0" t="s">
        <v>15177</v>
      </c>
      <c r="B42378" s="0" t="str">
        <f aca="false">HYPERLINK("https://lindat.mff.cuni.cz/services/teitok/pdtc10/index.php?action=vallex&amp;frame=v-whsa_388hsa_389", "rozčílit se (v-whsa_388hsa_389)")</f>
        <v>rozčílit se (v-whsa_388hsa_389)</v>
      </c>
    </row>
    <row r="42379" customFormat="false" ht="12.8" hidden="false" customHeight="false" outlineLevel="0" collapsed="false">
      <c r="B42379" s="0" t="s">
        <v>7</v>
      </c>
    </row>
    <row r="42380" customFormat="false" ht="12.8" hidden="false" customHeight="false" outlineLevel="0" collapsed="false">
      <c r="B42380" s="0" t="s">
        <v>15169</v>
      </c>
    </row>
    <row r="42382" customFormat="false" ht="12.8" hidden="false" customHeight="false" outlineLevel="0" collapsed="false">
      <c r="A42382" s="0" t="s">
        <v>15178</v>
      </c>
      <c r="B42382" s="0" t="str">
        <f aca="false">HYPERLINK("https://lindat.mff.cuni.cz/services/teitok/pdtc10/index.php?action=vallex&amp;frame=v-w11579_ZUf1_ZU", "rozředit (v-w11579_ZUf1_ZU)")</f>
        <v>rozředit (v-w11579_ZUf1_ZU)</v>
      </c>
    </row>
    <row r="42383" customFormat="false" ht="12.8" hidden="false" customHeight="false" outlineLevel="0" collapsed="false">
      <c r="B42383" s="0" t="s">
        <v>7</v>
      </c>
      <c r="C42383" s="0" t="s">
        <v>569</v>
      </c>
    </row>
    <row r="42384" customFormat="false" ht="12.8" hidden="false" customHeight="false" outlineLevel="0" collapsed="false">
      <c r="B42384" s="0" t="s">
        <v>14</v>
      </c>
      <c r="C42384" s="0" t="s">
        <v>1209</v>
      </c>
    </row>
    <row r="42385" customFormat="false" ht="12.8" hidden="false" customHeight="false" outlineLevel="0" collapsed="false">
      <c r="B42385" s="0" t="s">
        <v>84</v>
      </c>
      <c r="C42385" s="0" t="s">
        <v>15179</v>
      </c>
    </row>
    <row r="42387" customFormat="false" ht="12.8" hidden="false" customHeight="false" outlineLevel="0" collapsed="false">
      <c r="A42387" s="0" t="s">
        <v>15180</v>
      </c>
      <c r="B42387" s="0" t="str">
        <f aca="false">HYPERLINK("https://lindat.mff.cuni.cz/services/teitok/pdtc10/index.php?action=vallex&amp;frame=v-w10546f2", "rozřezat (v-w10546f2)")</f>
        <v>rozřezat (v-w10546f2)</v>
      </c>
    </row>
    <row r="42388" customFormat="false" ht="12.8" hidden="false" customHeight="false" outlineLevel="0" collapsed="false">
      <c r="B42388" s="0" t="s">
        <v>7</v>
      </c>
      <c r="C42388" s="0" t="s">
        <v>191</v>
      </c>
      <c r="D42388" s="0" t="s">
        <v>15181</v>
      </c>
      <c r="E42388" s="0" t="s">
        <v>15182</v>
      </c>
      <c r="F42388" s="0" t="s">
        <v>15182</v>
      </c>
    </row>
    <row r="42389" customFormat="false" ht="12.8" hidden="false" customHeight="false" outlineLevel="0" collapsed="false">
      <c r="B42389" s="0" t="s">
        <v>14</v>
      </c>
      <c r="C42389" s="0" t="s">
        <v>47</v>
      </c>
      <c r="D42389" s="0" t="s">
        <v>14091</v>
      </c>
      <c r="E42389" s="0" t="s">
        <v>15183</v>
      </c>
      <c r="F42389" s="0" t="s">
        <v>15183</v>
      </c>
    </row>
    <row r="42390" customFormat="false" ht="12.8" hidden="false" customHeight="false" outlineLevel="0" collapsed="false">
      <c r="B42390" s="0" t="s">
        <v>2773</v>
      </c>
      <c r="D42390" s="0" t="s">
        <v>15184</v>
      </c>
      <c r="E42390" s="0" t="s">
        <v>15185</v>
      </c>
      <c r="F42390" s="0" t="s">
        <v>15185</v>
      </c>
    </row>
    <row r="42392" customFormat="false" ht="12.8" hidden="false" customHeight="false" outlineLevel="0" collapsed="false">
      <c r="A42392" s="0" t="s">
        <v>15186</v>
      </c>
      <c r="B42392" s="0" t="str">
        <f aca="false">HYPERLINK("https://lindat.mff.cuni.cz/services/teitok/pdtc10/index.php?action=vallex&amp;frame=v-whsa_1574hsa_1575", "rozřezávat (v-whsa_1574hsa_1575)")</f>
        <v>rozřezávat (v-whsa_1574hsa_1575)</v>
      </c>
    </row>
    <row r="42393" customFormat="false" ht="12.8" hidden="false" customHeight="false" outlineLevel="0" collapsed="false">
      <c r="B42393" s="0" t="s">
        <v>7</v>
      </c>
    </row>
    <row r="42394" customFormat="false" ht="12.8" hidden="false" customHeight="false" outlineLevel="0" collapsed="false">
      <c r="B42394" s="0" t="s">
        <v>14</v>
      </c>
    </row>
    <row r="42396" customFormat="false" ht="12.8" hidden="false" customHeight="false" outlineLevel="0" collapsed="false">
      <c r="A42396" s="0" t="s">
        <v>15187</v>
      </c>
      <c r="B42396" s="0" t="str">
        <f aca="false">HYPERLINK("https://lindat.mff.cuni.cz/services/teitok/pdtc10/index.php?action=vallex&amp;frame=v-w5764f1", "rozřeďovat se (v-w5764f1)")</f>
        <v>rozřeďovat se (v-w5764f1)</v>
      </c>
    </row>
    <row r="42397" customFormat="false" ht="12.8" hidden="false" customHeight="false" outlineLevel="0" collapsed="false">
      <c r="B42397" s="0" t="s">
        <v>7</v>
      </c>
    </row>
    <row r="42399" customFormat="false" ht="12.8" hidden="false" customHeight="false" outlineLevel="0" collapsed="false">
      <c r="A42399" s="0" t="s">
        <v>15188</v>
      </c>
      <c r="B42399" s="0" t="str">
        <f aca="false">HYPERLINK("https://lindat.mff.cuni.cz/services/teitok/pdtc10/index.php?action=vallex&amp;frame=v-w5765f1", "rozřešit (v-w5765f1)")</f>
        <v>rozřešit (v-w5765f1)</v>
      </c>
    </row>
    <row r="42400" customFormat="false" ht="12.8" hidden="false" customHeight="false" outlineLevel="0" collapsed="false">
      <c r="B42400" s="0" t="s">
        <v>7</v>
      </c>
    </row>
    <row r="42401" customFormat="false" ht="12.8" hidden="false" customHeight="false" outlineLevel="0" collapsed="false">
      <c r="B42401" s="0" t="s">
        <v>14</v>
      </c>
    </row>
    <row r="42403" customFormat="false" ht="12.8" hidden="false" customHeight="false" outlineLevel="0" collapsed="false">
      <c r="A42403" s="0" t="s">
        <v>15189</v>
      </c>
      <c r="B42403" s="0" t="str">
        <f aca="false">HYPERLINK("https://lindat.mff.cuni.cz/services/teitok/pdtc10/index.php?action=vallex&amp;frame=v-w5766f1", "rozříznout (v-w5766f1)")</f>
        <v>rozříznout (v-w5766f1)</v>
      </c>
    </row>
    <row r="42404" customFormat="false" ht="12.8" hidden="false" customHeight="false" outlineLevel="0" collapsed="false">
      <c r="B42404" s="0" t="s">
        <v>7</v>
      </c>
      <c r="D42404" s="0" t="s">
        <v>1287</v>
      </c>
      <c r="E42404" s="0" t="s">
        <v>1287</v>
      </c>
      <c r="F42404" s="0" t="s">
        <v>1287</v>
      </c>
    </row>
    <row r="42405" customFormat="false" ht="12.8" hidden="false" customHeight="false" outlineLevel="0" collapsed="false">
      <c r="B42405" s="0" t="s">
        <v>14</v>
      </c>
      <c r="C42405" s="0" t="s">
        <v>155</v>
      </c>
      <c r="D42405" s="0" t="s">
        <v>2517</v>
      </c>
      <c r="E42405" s="0" t="s">
        <v>2517</v>
      </c>
      <c r="F42405" s="0" t="s">
        <v>2517</v>
      </c>
    </row>
    <row r="42406" customFormat="false" ht="12.8" hidden="false" customHeight="false" outlineLevel="0" collapsed="false">
      <c r="B42406" s="0" t="s">
        <v>2773</v>
      </c>
      <c r="D42406" s="0" t="s">
        <v>4598</v>
      </c>
      <c r="E42406" s="0" t="s">
        <v>4598</v>
      </c>
      <c r="F42406" s="0" t="s">
        <v>4598</v>
      </c>
    </row>
    <row r="42408" customFormat="false" ht="12.8" hidden="false" customHeight="false" outlineLevel="0" collapsed="false">
      <c r="A42408" s="0" t="s">
        <v>15190</v>
      </c>
      <c r="B42408" s="0" t="str">
        <f aca="false">HYPERLINK("https://lindat.mff.cuni.cz/services/teitok/pdtc10/index.php?action=vallex&amp;frame=v-w5780f1", "rozšiřovat (v-w5780f1)")</f>
        <v>rozšiřovat (v-w5780f1)</v>
      </c>
    </row>
    <row r="42409" customFormat="false" ht="12.8" hidden="false" customHeight="false" outlineLevel="0" collapsed="false">
      <c r="B42409" s="0" t="s">
        <v>7</v>
      </c>
      <c r="C42409" s="0" t="s">
        <v>15191</v>
      </c>
      <c r="D42409" s="0" t="s">
        <v>6436</v>
      </c>
      <c r="E42409" s="0" t="s">
        <v>6436</v>
      </c>
      <c r="F42409" s="0" t="s">
        <v>6436</v>
      </c>
    </row>
    <row r="42410" customFormat="false" ht="12.8" hidden="false" customHeight="false" outlineLevel="0" collapsed="false">
      <c r="B42410" s="0" t="s">
        <v>14</v>
      </c>
      <c r="C42410" s="0" t="s">
        <v>15192</v>
      </c>
      <c r="D42410" s="0" t="s">
        <v>6437</v>
      </c>
      <c r="E42410" s="0" t="s">
        <v>6437</v>
      </c>
      <c r="F42410" s="0" t="s">
        <v>6437</v>
      </c>
    </row>
    <row r="42411" customFormat="false" ht="12.8" hidden="false" customHeight="false" outlineLevel="0" collapsed="false">
      <c r="B42411" s="0" t="s">
        <v>35</v>
      </c>
      <c r="C42411" s="0" t="s">
        <v>15193</v>
      </c>
      <c r="D42411" s="0" t="s">
        <v>6438</v>
      </c>
      <c r="E42411" s="0" t="s">
        <v>6438</v>
      </c>
      <c r="F42411" s="0" t="s">
        <v>6438</v>
      </c>
    </row>
    <row r="42412" customFormat="false" ht="12.8" hidden="false" customHeight="false" outlineLevel="0" collapsed="false">
      <c r="B42412" s="0" t="s">
        <v>15194</v>
      </c>
      <c r="C42412" s="0" t="s">
        <v>15195</v>
      </c>
      <c r="D42412" s="0" t="s">
        <v>6440</v>
      </c>
      <c r="E42412" s="0" t="s">
        <v>6440</v>
      </c>
      <c r="F42412" s="0" t="s">
        <v>6440</v>
      </c>
    </row>
    <row r="42414" customFormat="false" ht="12.8" hidden="false" customHeight="false" outlineLevel="0" collapsed="false">
      <c r="A42414" s="0" t="s">
        <v>15196</v>
      </c>
      <c r="B42414" s="0" t="str">
        <f aca="false">HYPERLINK("https://lindat.mff.cuni.cz/services/teitok/pdtc10/index.php?action=vallex&amp;frame=v-w5780f3", "rozšiřovat (v-w5780f3)")</f>
        <v>rozšiřovat (v-w5780f3)</v>
      </c>
    </row>
    <row r="42415" customFormat="false" ht="12.8" hidden="false" customHeight="false" outlineLevel="0" collapsed="false">
      <c r="B42415" s="0" t="s">
        <v>7</v>
      </c>
      <c r="C42415" s="0" t="s">
        <v>4147</v>
      </c>
      <c r="D42415" s="0" t="s">
        <v>88</v>
      </c>
      <c r="E42415" s="0" t="s">
        <v>88</v>
      </c>
      <c r="F42415" s="0" t="s">
        <v>88</v>
      </c>
    </row>
    <row r="42416" customFormat="false" ht="12.8" hidden="false" customHeight="false" outlineLevel="0" collapsed="false">
      <c r="B42416" s="0" t="s">
        <v>14</v>
      </c>
      <c r="C42416" s="0" t="s">
        <v>78</v>
      </c>
      <c r="D42416" s="0" t="s">
        <v>1405</v>
      </c>
      <c r="E42416" s="0" t="s">
        <v>1405</v>
      </c>
      <c r="F42416" s="0" t="s">
        <v>1405</v>
      </c>
    </row>
    <row r="42418" customFormat="false" ht="12.8" hidden="false" customHeight="false" outlineLevel="0" collapsed="false">
      <c r="A42418" s="0" t="s">
        <v>15197</v>
      </c>
      <c r="B42418" s="0" t="str">
        <f aca="false">HYPERLINK("https://lindat.mff.cuni.cz/services/teitok/pdtc10/index.php?action=vallex&amp;frame=v-w5780f2", "rozšiřovat (v-w5780f2)")</f>
        <v>rozšiřovat (v-w5780f2)</v>
      </c>
    </row>
    <row r="42419" customFormat="false" ht="12.8" hidden="false" customHeight="false" outlineLevel="0" collapsed="false">
      <c r="B42419" s="0" t="s">
        <v>7</v>
      </c>
    </row>
    <row r="42420" customFormat="false" ht="12.8" hidden="false" customHeight="false" outlineLevel="0" collapsed="false">
      <c r="B42420" s="0" t="s">
        <v>5525</v>
      </c>
    </row>
    <row r="42421" customFormat="false" ht="12.8" hidden="false" customHeight="false" outlineLevel="0" collapsed="false">
      <c r="B42421" s="0" t="s">
        <v>363</v>
      </c>
    </row>
    <row r="42423" customFormat="false" ht="12.8" hidden="false" customHeight="false" outlineLevel="0" collapsed="false">
      <c r="A42423" s="0" t="s">
        <v>15198</v>
      </c>
      <c r="B42423" s="0" t="str">
        <f aca="false">HYPERLINK("https://lindat.mff.cuni.cz/services/teitok/pdtc10/index.php?action=vallex&amp;frame=v-w5781f1", "rozšiřovat se (v-w5781f1)")</f>
        <v>rozšiřovat se (v-w5781f1)</v>
      </c>
    </row>
    <row r="42424" customFormat="false" ht="12.8" hidden="false" customHeight="false" outlineLevel="0" collapsed="false">
      <c r="B42424" s="0" t="s">
        <v>7</v>
      </c>
      <c r="C42424" s="0" t="s">
        <v>15199</v>
      </c>
      <c r="D42424" s="0" t="s">
        <v>3626</v>
      </c>
      <c r="E42424" s="0" t="s">
        <v>3626</v>
      </c>
      <c r="F42424" s="0" t="s">
        <v>3626</v>
      </c>
    </row>
    <row r="42426" customFormat="false" ht="12.8" hidden="false" customHeight="false" outlineLevel="0" collapsed="false">
      <c r="A42426" s="0" t="s">
        <v>15200</v>
      </c>
      <c r="B42426" s="0" t="str">
        <f aca="false">HYPERLINK("https://lindat.mff.cuni.cz/services/teitok/pdtc10/index.php?action=vallex&amp;frame=v-w11711_ZUf1_ZU", "rozšlapat (v-w11711_ZUf1_ZU)")</f>
        <v>rozšlapat (v-w11711_ZUf1_ZU)</v>
      </c>
    </row>
    <row r="42427" customFormat="false" ht="12.8" hidden="false" customHeight="false" outlineLevel="0" collapsed="false">
      <c r="B42427" s="0" t="s">
        <v>7</v>
      </c>
    </row>
    <row r="42428" customFormat="false" ht="12.8" hidden="false" customHeight="false" outlineLevel="0" collapsed="false">
      <c r="B42428" s="0" t="s">
        <v>14</v>
      </c>
    </row>
    <row r="42429" customFormat="false" ht="12.8" hidden="false" customHeight="false" outlineLevel="0" collapsed="false">
      <c r="B42429" s="0" t="s">
        <v>84</v>
      </c>
    </row>
    <row r="42431" customFormat="false" ht="12.8" hidden="false" customHeight="false" outlineLevel="0" collapsed="false">
      <c r="A42431" s="0" t="s">
        <v>15201</v>
      </c>
      <c r="B42431" s="0" t="str">
        <f aca="false">HYPERLINK("https://lindat.mff.cuni.cz/services/teitok/pdtc10/index.php?action=vallex&amp;frame=v-w5782f1", "rozšlehat (v-w5782f1)")</f>
        <v>rozšlehat (v-w5782f1)</v>
      </c>
    </row>
    <row r="42432" customFormat="false" ht="12.8" hidden="false" customHeight="false" outlineLevel="0" collapsed="false">
      <c r="B42432" s="0" t="s">
        <v>7</v>
      </c>
    </row>
    <row r="42433" customFormat="false" ht="12.8" hidden="false" customHeight="false" outlineLevel="0" collapsed="false">
      <c r="B42433" s="0" t="s">
        <v>14</v>
      </c>
    </row>
    <row r="42435" customFormat="false" ht="12.8" hidden="false" customHeight="false" outlineLevel="0" collapsed="false">
      <c r="A42435" s="0" t="s">
        <v>15202</v>
      </c>
      <c r="B42435" s="0" t="str">
        <f aca="false">HYPERLINK("https://lindat.mff.cuni.cz/services/teitok/pdtc10/index.php?action=vallex&amp;frame=v-whsa_1071hsa_1072", "rozšoupnout se (v-whsa_1071hsa_1072)")</f>
        <v>rozšoupnout se (v-whsa_1071hsa_1072)</v>
      </c>
    </row>
    <row r="42436" customFormat="false" ht="12.8" hidden="false" customHeight="false" outlineLevel="0" collapsed="false">
      <c r="B42436" s="0" t="s">
        <v>7</v>
      </c>
    </row>
    <row r="42438" customFormat="false" ht="12.8" hidden="false" customHeight="false" outlineLevel="0" collapsed="false">
      <c r="A42438" s="0" t="s">
        <v>15203</v>
      </c>
      <c r="B42438" s="0" t="str">
        <f aca="false">HYPERLINK("https://lindat.mff.cuni.cz/services/teitok/pdtc10/index.php?action=vallex&amp;frame=v-whsa_1466hsa_1467", "rozštipovat se (v-whsa_1466hsa_1467)")</f>
        <v>rozštipovat se (v-whsa_1466hsa_1467)</v>
      </c>
    </row>
    <row r="42439" customFormat="false" ht="12.8" hidden="false" customHeight="false" outlineLevel="0" collapsed="false">
      <c r="B42439" s="0" t="s">
        <v>7</v>
      </c>
    </row>
    <row r="42440" customFormat="false" ht="12.8" hidden="false" customHeight="false" outlineLevel="0" collapsed="false">
      <c r="B42440" s="0" t="s">
        <v>63</v>
      </c>
    </row>
    <row r="42442" customFormat="false" ht="12.8" hidden="false" customHeight="false" outlineLevel="0" collapsed="false">
      <c r="A42442" s="0" t="s">
        <v>15204</v>
      </c>
      <c r="B42442" s="0" t="str">
        <f aca="false">HYPERLINK("https://lindat.mff.cuni.cz/services/teitok/pdtc10/index.php?action=vallex&amp;frame=v-w10227f2", "rozštěpit (v-w10227f2)")</f>
        <v>rozštěpit (v-w10227f2)</v>
      </c>
    </row>
    <row r="42443" customFormat="false" ht="12.8" hidden="false" customHeight="false" outlineLevel="0" collapsed="false">
      <c r="B42443" s="0" t="s">
        <v>7</v>
      </c>
      <c r="C42443" s="0" t="s">
        <v>15205</v>
      </c>
      <c r="D42443" s="0" t="s">
        <v>14676</v>
      </c>
      <c r="E42443" s="0" t="s">
        <v>14676</v>
      </c>
      <c r="F42443" s="0" t="s">
        <v>14676</v>
      </c>
    </row>
    <row r="42444" customFormat="false" ht="12.8" hidden="false" customHeight="false" outlineLevel="0" collapsed="false">
      <c r="B42444" s="0" t="s">
        <v>14</v>
      </c>
      <c r="C42444" s="0" t="s">
        <v>155</v>
      </c>
      <c r="D42444" s="0" t="s">
        <v>14677</v>
      </c>
      <c r="E42444" s="0" t="s">
        <v>14677</v>
      </c>
      <c r="F42444" s="0" t="s">
        <v>14677</v>
      </c>
    </row>
    <row r="42445" customFormat="false" ht="12.8" hidden="false" customHeight="false" outlineLevel="0" collapsed="false">
      <c r="B42445" s="0" t="s">
        <v>4978</v>
      </c>
      <c r="C42445" s="0" t="s">
        <v>1527</v>
      </c>
      <c r="D42445" s="0" t="s">
        <v>14679</v>
      </c>
      <c r="E42445" s="0" t="s">
        <v>14679</v>
      </c>
      <c r="F42445" s="0" t="s">
        <v>14679</v>
      </c>
    </row>
    <row r="42447" customFormat="false" ht="12.8" hidden="false" customHeight="false" outlineLevel="0" collapsed="false">
      <c r="A42447" s="0" t="s">
        <v>15206</v>
      </c>
      <c r="B42447" s="0" t="str">
        <f aca="false">HYPERLINK("https://lindat.mff.cuni.cz/services/teitok/pdtc10/index.php?action=vallex&amp;frame=v-w5777f2", "rozšířit (v-w5777f2)")</f>
        <v>rozšířit (v-w5777f2)</v>
      </c>
    </row>
    <row r="42448" customFormat="false" ht="12.8" hidden="false" customHeight="false" outlineLevel="0" collapsed="false">
      <c r="B42448" s="0" t="s">
        <v>7</v>
      </c>
      <c r="C42448" s="0" t="s">
        <v>15207</v>
      </c>
      <c r="D42448" s="0" t="s">
        <v>6436</v>
      </c>
      <c r="E42448" s="0" t="s">
        <v>6436</v>
      </c>
      <c r="F42448" s="0" t="s">
        <v>6436</v>
      </c>
    </row>
    <row r="42449" customFormat="false" ht="12.8" hidden="false" customHeight="false" outlineLevel="0" collapsed="false">
      <c r="B42449" s="0" t="s">
        <v>14</v>
      </c>
      <c r="C42449" s="0" t="s">
        <v>15208</v>
      </c>
      <c r="D42449" s="0" t="s">
        <v>6437</v>
      </c>
      <c r="E42449" s="0" t="s">
        <v>6437</v>
      </c>
      <c r="F42449" s="0" t="s">
        <v>6437</v>
      </c>
    </row>
    <row r="42450" customFormat="false" ht="12.8" hidden="false" customHeight="false" outlineLevel="0" collapsed="false">
      <c r="B42450" s="0" t="s">
        <v>35</v>
      </c>
      <c r="C42450" s="0" t="s">
        <v>15209</v>
      </c>
      <c r="D42450" s="0" t="s">
        <v>6438</v>
      </c>
      <c r="E42450" s="0" t="s">
        <v>6438</v>
      </c>
      <c r="F42450" s="0" t="s">
        <v>6438</v>
      </c>
    </row>
    <row r="42451" customFormat="false" ht="12.8" hidden="false" customHeight="false" outlineLevel="0" collapsed="false">
      <c r="B42451" s="0" t="s">
        <v>15194</v>
      </c>
      <c r="C42451" s="0" t="s">
        <v>15210</v>
      </c>
      <c r="D42451" s="0" t="s">
        <v>6440</v>
      </c>
      <c r="E42451" s="0" t="s">
        <v>6440</v>
      </c>
      <c r="F42451" s="0" t="s">
        <v>6440</v>
      </c>
    </row>
    <row r="42453" customFormat="false" ht="12.8" hidden="false" customHeight="false" outlineLevel="0" collapsed="false">
      <c r="A42453" s="0" t="s">
        <v>15211</v>
      </c>
      <c r="B42453" s="0" t="str">
        <f aca="false">HYPERLINK("https://lindat.mff.cuni.cz/services/teitok/pdtc10/index.php?action=vallex&amp;frame=v-w5777f1", "rozšířit (v-w5777f1)")</f>
        <v>rozšířit (v-w5777f1)</v>
      </c>
    </row>
    <row r="42454" customFormat="false" ht="12.8" hidden="false" customHeight="false" outlineLevel="0" collapsed="false">
      <c r="B42454" s="0" t="s">
        <v>7</v>
      </c>
      <c r="C42454" s="0" t="s">
        <v>2668</v>
      </c>
    </row>
    <row r="42455" customFormat="false" ht="12.8" hidden="false" customHeight="false" outlineLevel="0" collapsed="false">
      <c r="B42455" s="0" t="s">
        <v>14</v>
      </c>
      <c r="C42455" s="0" t="s">
        <v>5185</v>
      </c>
    </row>
    <row r="42457" customFormat="false" ht="12.8" hidden="false" customHeight="false" outlineLevel="0" collapsed="false">
      <c r="A42457" s="0" t="s">
        <v>15212</v>
      </c>
      <c r="B42457" s="0" t="str">
        <f aca="false">HYPERLINK("https://lindat.mff.cuni.cz/services/teitok/pdtc10/index.php?action=vallex&amp;frame=v-w5777f3", "rozšířit (v-w5777f3)")</f>
        <v>rozšířit (v-w5777f3)</v>
      </c>
    </row>
    <row r="42458" customFormat="false" ht="12.8" hidden="false" customHeight="false" outlineLevel="0" collapsed="false">
      <c r="B42458" s="0" t="s">
        <v>7</v>
      </c>
      <c r="C42458" s="0" t="s">
        <v>15213</v>
      </c>
      <c r="D42458" s="0" t="s">
        <v>88</v>
      </c>
      <c r="E42458" s="0" t="s">
        <v>88</v>
      </c>
      <c r="F42458" s="0" t="s">
        <v>88</v>
      </c>
    </row>
    <row r="42459" customFormat="false" ht="12.8" hidden="false" customHeight="false" outlineLevel="0" collapsed="false">
      <c r="B42459" s="0" t="s">
        <v>14</v>
      </c>
      <c r="C42459" s="0" t="s">
        <v>4345</v>
      </c>
      <c r="D42459" s="0" t="s">
        <v>1405</v>
      </c>
      <c r="E42459" s="0" t="s">
        <v>1405</v>
      </c>
      <c r="F42459" s="0" t="s">
        <v>1405</v>
      </c>
    </row>
    <row r="42461" customFormat="false" ht="12.8" hidden="false" customHeight="false" outlineLevel="0" collapsed="false">
      <c r="A42461" s="0" t="s">
        <v>15214</v>
      </c>
      <c r="B42461" s="0" t="str">
        <f aca="false">HYPERLINK("https://lindat.mff.cuni.cz/services/teitok/pdtc10/index.php?action=vallex&amp;frame=v-w5777f4", "rozšířit (v-w5777f4)")</f>
        <v>rozšířit (v-w5777f4)</v>
      </c>
    </row>
    <row r="42462" customFormat="false" ht="12.8" hidden="false" customHeight="false" outlineLevel="0" collapsed="false">
      <c r="B42462" s="0" t="s">
        <v>7</v>
      </c>
    </row>
    <row r="42463" customFormat="false" ht="12.8" hidden="false" customHeight="false" outlineLevel="0" collapsed="false">
      <c r="B42463" s="0" t="s">
        <v>5525</v>
      </c>
    </row>
    <row r="42464" customFormat="false" ht="12.8" hidden="false" customHeight="false" outlineLevel="0" collapsed="false">
      <c r="B42464" s="0" t="s">
        <v>363</v>
      </c>
    </row>
    <row r="42466" customFormat="false" ht="12.8" hidden="false" customHeight="false" outlineLevel="0" collapsed="false">
      <c r="A42466" s="0" t="s">
        <v>15215</v>
      </c>
      <c r="B42466" s="0" t="str">
        <f aca="false">HYPERLINK("https://lindat.mff.cuni.cz/services/teitok/pdtc10/index.php?action=vallex&amp;frame=v-w5778f1", "rozšířit se (v-w5778f1)")</f>
        <v>rozšířit se (v-w5778f1)</v>
      </c>
    </row>
    <row r="42467" customFormat="false" ht="12.8" hidden="false" customHeight="false" outlineLevel="0" collapsed="false">
      <c r="B42467" s="0" t="s">
        <v>7</v>
      </c>
      <c r="C42467" s="0" t="s">
        <v>15216</v>
      </c>
      <c r="D42467" s="0" t="s">
        <v>3626</v>
      </c>
      <c r="E42467" s="0" t="s">
        <v>3626</v>
      </c>
      <c r="F42467" s="0" t="s">
        <v>3626</v>
      </c>
    </row>
    <row r="42469" customFormat="false" ht="12.8" hidden="false" customHeight="false" outlineLevel="0" collapsed="false">
      <c r="A42469" s="0" t="s">
        <v>15217</v>
      </c>
      <c r="B42469" s="0" t="str">
        <f aca="false">HYPERLINK("https://lindat.mff.cuni.cz/services/teitok/pdtc10/index.php?action=vallex&amp;frame=v-w5778f2_ZU", "rozšířit se (v-w5778f2_ZU)")</f>
        <v>rozšířit se (v-w5778f2_ZU)</v>
      </c>
    </row>
    <row r="42470" customFormat="false" ht="12.8" hidden="false" customHeight="false" outlineLevel="0" collapsed="false">
      <c r="B42470" s="0" t="s">
        <v>7</v>
      </c>
      <c r="C42470" s="0" t="s">
        <v>15218</v>
      </c>
      <c r="D42470" s="0" t="s">
        <v>6244</v>
      </c>
      <c r="E42470" s="0" t="s">
        <v>6244</v>
      </c>
      <c r="F42470" s="0" t="s">
        <v>6244</v>
      </c>
    </row>
    <row r="42471" customFormat="false" ht="12.8" hidden="false" customHeight="false" outlineLevel="0" collapsed="false">
      <c r="B42471" s="0" t="s">
        <v>63</v>
      </c>
      <c r="C42471" s="0" t="s">
        <v>15219</v>
      </c>
      <c r="D42471" s="0" t="s">
        <v>4496</v>
      </c>
      <c r="E42471" s="0" t="s">
        <v>4496</v>
      </c>
      <c r="F42471" s="0" t="s">
        <v>4496</v>
      </c>
    </row>
    <row r="42472" customFormat="false" ht="12.8" hidden="false" customHeight="false" outlineLevel="0" collapsed="false">
      <c r="B42472" s="0" t="s">
        <v>35</v>
      </c>
      <c r="C42472" s="0" t="s">
        <v>15220</v>
      </c>
      <c r="D42472" s="0" t="s">
        <v>4497</v>
      </c>
      <c r="E42472" s="0" t="s">
        <v>4497</v>
      </c>
      <c r="F42472" s="0" t="s">
        <v>4497</v>
      </c>
    </row>
    <row r="42474" customFormat="false" ht="12.8" hidden="false" customHeight="false" outlineLevel="0" collapsed="false">
      <c r="A42474" s="0" t="s">
        <v>15217</v>
      </c>
      <c r="B42474" s="0" t="str">
        <f aca="false">HYPERLINK("https://lindat.mff.cuni.cz/services/teitok/pdtc10/index.php?action=vallex&amp;frame=v-w5778hsa_616", "rozšířit se (v-w5778hsa_616) - substituted with v-w5778f2_ZU")</f>
        <v>rozšířit se (v-w5778hsa_616) - substituted with v-w5778f2_ZU</v>
      </c>
    </row>
    <row r="42475" customFormat="false" ht="12.8" hidden="false" customHeight="false" outlineLevel="0" collapsed="false">
      <c r="B42475" s="0" t="s">
        <v>7</v>
      </c>
    </row>
    <row r="42476" customFormat="false" ht="12.8" hidden="false" customHeight="false" outlineLevel="0" collapsed="false">
      <c r="B42476" s="0" t="s">
        <v>63</v>
      </c>
    </row>
    <row r="42477" customFormat="false" ht="12.8" hidden="false" customHeight="false" outlineLevel="0" collapsed="false">
      <c r="B42477" s="0" t="s">
        <v>35</v>
      </c>
    </row>
    <row r="42479" customFormat="false" ht="12.8" hidden="false" customHeight="false" outlineLevel="0" collapsed="false">
      <c r="A42479" s="0" t="s">
        <v>15221</v>
      </c>
      <c r="B42479" s="0" t="str">
        <f aca="false">HYPERLINK("https://lindat.mff.cuni.cz/services/teitok/pdtc10/index.php?action=vallex&amp;frame=v-w5838f1", "ruinovat (v-w5838f1)")</f>
        <v>ruinovat (v-w5838f1)</v>
      </c>
    </row>
    <row r="42480" customFormat="false" ht="12.8" hidden="false" customHeight="false" outlineLevel="0" collapsed="false">
      <c r="B42480" s="0" t="s">
        <v>7</v>
      </c>
      <c r="C42480" s="0" t="s">
        <v>335</v>
      </c>
      <c r="D42480" s="0" t="s">
        <v>1549</v>
      </c>
      <c r="E42480" s="0" t="s">
        <v>1550</v>
      </c>
      <c r="F42480" s="0" t="s">
        <v>1550</v>
      </c>
    </row>
    <row r="42481" customFormat="false" ht="12.8" hidden="false" customHeight="false" outlineLevel="0" collapsed="false">
      <c r="B42481" s="0" t="s">
        <v>14</v>
      </c>
      <c r="C42481" s="0" t="s">
        <v>33</v>
      </c>
      <c r="D42481" s="0" t="s">
        <v>1164</v>
      </c>
      <c r="E42481" s="0" t="s">
        <v>1551</v>
      </c>
      <c r="F42481" s="0" t="s">
        <v>1551</v>
      </c>
    </row>
    <row r="42483" customFormat="false" ht="12.8" hidden="false" customHeight="false" outlineLevel="0" collapsed="false">
      <c r="A42483" s="0" t="s">
        <v>15222</v>
      </c>
      <c r="B42483" s="0" t="str">
        <f aca="false">HYPERLINK("https://lindat.mff.cuni.cz/services/teitok/pdtc10/index.php?action=vallex&amp;frame=v-w5839f1", "rukovat (v-w5839f1)")</f>
        <v>rukovat (v-w5839f1)</v>
      </c>
    </row>
    <row r="42484" customFormat="false" ht="12.8" hidden="false" customHeight="false" outlineLevel="0" collapsed="false">
      <c r="B42484" s="0" t="s">
        <v>7</v>
      </c>
    </row>
    <row r="42485" customFormat="false" ht="12.8" hidden="false" customHeight="false" outlineLevel="0" collapsed="false">
      <c r="B42485" s="0" t="s">
        <v>124</v>
      </c>
    </row>
    <row r="42487" customFormat="false" ht="12.8" hidden="false" customHeight="false" outlineLevel="0" collapsed="false">
      <c r="A42487" s="0" t="s">
        <v>15223</v>
      </c>
      <c r="B42487" s="0" t="str">
        <f aca="false">HYPERLINK("https://lindat.mff.cuni.cz/services/teitok/pdtc10/index.php?action=vallex&amp;frame=v-w11843_ZUf1_ZU", "rupnout (v-w11843_ZUf1_ZU)")</f>
        <v>rupnout (v-w11843_ZUf1_ZU)</v>
      </c>
    </row>
    <row r="42488" customFormat="false" ht="12.8" hidden="false" customHeight="false" outlineLevel="0" collapsed="false">
      <c r="B42488" s="0" t="s">
        <v>7</v>
      </c>
    </row>
    <row r="42490" customFormat="false" ht="12.8" hidden="false" customHeight="false" outlineLevel="0" collapsed="false">
      <c r="A42490" s="0" t="s">
        <v>15224</v>
      </c>
      <c r="B42490" s="0" t="str">
        <f aca="false">HYPERLINK("https://lindat.mff.cuni.cz/services/teitok/pdtc10/index.php?action=vallex&amp;frame=v-w5836f1", "ručit (v-w5836f1)")</f>
        <v>ručit (v-w5836f1)</v>
      </c>
    </row>
    <row r="42491" customFormat="false" ht="12.8" hidden="false" customHeight="false" outlineLevel="0" collapsed="false">
      <c r="B42491" s="0" t="s">
        <v>7</v>
      </c>
      <c r="C42491" s="0" t="s">
        <v>4208</v>
      </c>
      <c r="D42491" s="0" t="s">
        <v>428</v>
      </c>
      <c r="E42491" s="0" t="s">
        <v>428</v>
      </c>
      <c r="F42491" s="0" t="s">
        <v>428</v>
      </c>
    </row>
    <row r="42492" customFormat="false" ht="12.8" hidden="false" customHeight="false" outlineLevel="0" collapsed="false">
      <c r="B42492" s="0" t="s">
        <v>15225</v>
      </c>
      <c r="C42492" s="0" t="s">
        <v>11817</v>
      </c>
      <c r="D42492" s="0" t="s">
        <v>1467</v>
      </c>
      <c r="E42492" s="0" t="s">
        <v>1467</v>
      </c>
      <c r="F42492" s="0" t="s">
        <v>1467</v>
      </c>
    </row>
    <row r="42493" customFormat="false" ht="12.8" hidden="false" customHeight="false" outlineLevel="0" collapsed="false">
      <c r="B42493" s="0" t="s">
        <v>48</v>
      </c>
      <c r="C42493" s="0" t="s">
        <v>3288</v>
      </c>
      <c r="D42493" s="0" t="s">
        <v>3288</v>
      </c>
      <c r="E42493" s="0" t="s">
        <v>3288</v>
      </c>
      <c r="F42493" s="0" t="s">
        <v>3288</v>
      </c>
    </row>
    <row r="42495" customFormat="false" ht="12.8" hidden="false" customHeight="false" outlineLevel="0" collapsed="false">
      <c r="A42495" s="0" t="s">
        <v>15226</v>
      </c>
      <c r="B42495" s="0" t="str">
        <f aca="false">HYPERLINK("https://lindat.mff.cuni.cz/services/teitok/pdtc10/index.php?action=vallex&amp;frame=v-w5845f1", "rušit (v-w5845f1)")</f>
        <v>rušit (v-w5845f1)</v>
      </c>
    </row>
    <row r="42496" customFormat="false" ht="12.8" hidden="false" customHeight="false" outlineLevel="0" collapsed="false">
      <c r="B42496" s="0" t="s">
        <v>7</v>
      </c>
    </row>
    <row r="42497" customFormat="false" ht="12.8" hidden="false" customHeight="false" outlineLevel="0" collapsed="false">
      <c r="B42497" s="0" t="s">
        <v>14</v>
      </c>
    </row>
    <row r="42498" customFormat="false" ht="12.8" hidden="false" customHeight="false" outlineLevel="0" collapsed="false">
      <c r="B42498" s="0" t="s">
        <v>2339</v>
      </c>
    </row>
    <row r="42500" customFormat="false" ht="12.8" hidden="false" customHeight="false" outlineLevel="0" collapsed="false">
      <c r="A42500" s="0" t="s">
        <v>15227</v>
      </c>
      <c r="B42500" s="0" t="str">
        <f aca="false">HYPERLINK("https://lindat.mff.cuni.cz/services/teitok/pdtc10/index.php?action=vallex&amp;frame=v-w5845f3_ZU", "rušit (v-w5845f3_ZU)")</f>
        <v>rušit (v-w5845f3_ZU)</v>
      </c>
    </row>
    <row r="42501" customFormat="false" ht="12.8" hidden="false" customHeight="false" outlineLevel="0" collapsed="false">
      <c r="B42501" s="0" t="s">
        <v>7</v>
      </c>
      <c r="D42501" s="0" t="s">
        <v>7397</v>
      </c>
      <c r="E42501" s="0" t="s">
        <v>7397</v>
      </c>
      <c r="F42501" s="0" t="s">
        <v>7397</v>
      </c>
    </row>
    <row r="42502" customFormat="false" ht="12.8" hidden="false" customHeight="false" outlineLevel="0" collapsed="false">
      <c r="B42502" s="0" t="s">
        <v>14</v>
      </c>
      <c r="D42502" s="0" t="s">
        <v>7398</v>
      </c>
      <c r="E42502" s="0" t="s">
        <v>7398</v>
      </c>
      <c r="F42502" s="0" t="s">
        <v>7398</v>
      </c>
    </row>
    <row r="42504" customFormat="false" ht="12.8" hidden="false" customHeight="false" outlineLevel="0" collapsed="false">
      <c r="A42504" s="0" t="s">
        <v>15227</v>
      </c>
      <c r="B42504" s="0" t="str">
        <f aca="false">HYPERLINK("https://lindat.mff.cuni.cz/services/teitok/pdtc10/index.php?action=vallex&amp;frame=v-w5845f2", "rušit (v-w5845f2) - substituted with v-w5845f3_ZU")</f>
        <v>rušit (v-w5845f2) - substituted with v-w5845f3_ZU</v>
      </c>
    </row>
    <row r="42505" customFormat="false" ht="12.8" hidden="false" customHeight="false" outlineLevel="0" collapsed="false">
      <c r="B42505" s="0" t="s">
        <v>7</v>
      </c>
      <c r="C42505" s="0" t="s">
        <v>2557</v>
      </c>
    </row>
    <row r="42506" customFormat="false" ht="12.8" hidden="false" customHeight="false" outlineLevel="0" collapsed="false">
      <c r="B42506" s="0" t="s">
        <v>14</v>
      </c>
      <c r="C42506" s="0" t="s">
        <v>8042</v>
      </c>
    </row>
    <row r="42508" customFormat="false" ht="12.8" hidden="false" customHeight="false" outlineLevel="0" collapsed="false">
      <c r="A42508" s="0" t="s">
        <v>15228</v>
      </c>
      <c r="B42508" s="0" t="str">
        <f aca="false">HYPERLINK("https://lindat.mff.cuni.cz/services/teitok/pdtc10/index.php?action=vallex&amp;frame=v-w5845f4_ZU", "rušit (v-w5845f4_ZU)")</f>
        <v>rušit (v-w5845f4_ZU)</v>
      </c>
    </row>
    <row r="42509" customFormat="false" ht="12.8" hidden="false" customHeight="false" outlineLevel="0" collapsed="false">
      <c r="B42509" s="0" t="s">
        <v>7</v>
      </c>
    </row>
    <row r="42510" customFormat="false" ht="12.8" hidden="false" customHeight="false" outlineLevel="0" collapsed="false">
      <c r="B42510" s="0" t="s">
        <v>14</v>
      </c>
    </row>
    <row r="42512" customFormat="false" ht="12.8" hidden="false" customHeight="false" outlineLevel="0" collapsed="false">
      <c r="A42512" s="0" t="s">
        <v>15229</v>
      </c>
      <c r="B42512" s="0" t="str">
        <f aca="false">HYPERLINK("https://lindat.mff.cuni.cz/services/teitok/pdtc10/index.php?action=vallex&amp;frame=v-w5848f1", "rvát (v-w5848f1)")</f>
        <v>rvát (v-w5848f1)</v>
      </c>
    </row>
    <row r="42513" customFormat="false" ht="12.8" hidden="false" customHeight="false" outlineLevel="0" collapsed="false">
      <c r="B42513" s="0" t="s">
        <v>7</v>
      </c>
    </row>
    <row r="42514" customFormat="false" ht="12.8" hidden="false" customHeight="false" outlineLevel="0" collapsed="false">
      <c r="B42514" s="0" t="s">
        <v>14</v>
      </c>
    </row>
    <row r="42515" customFormat="false" ht="12.8" hidden="false" customHeight="false" outlineLevel="0" collapsed="false">
      <c r="B42515" s="0" t="s">
        <v>84</v>
      </c>
    </row>
    <row r="42517" customFormat="false" ht="12.8" hidden="false" customHeight="false" outlineLevel="0" collapsed="false">
      <c r="A42517" s="0" t="s">
        <v>15230</v>
      </c>
      <c r="B42517" s="0" t="str">
        <f aca="false">HYPERLINK("https://lindat.mff.cuni.cz/services/teitok/pdtc10/index.php?action=vallex&amp;frame=v-w5849f1", "rvát se (v-w5849f1)")</f>
        <v>rvát se (v-w5849f1)</v>
      </c>
    </row>
    <row r="42518" customFormat="false" ht="12.8" hidden="false" customHeight="false" outlineLevel="0" collapsed="false">
      <c r="B42518" s="0" t="s">
        <v>7</v>
      </c>
      <c r="C42518" s="0" t="s">
        <v>191</v>
      </c>
      <c r="D42518" s="0" t="s">
        <v>316</v>
      </c>
      <c r="E42518" s="0" t="s">
        <v>316</v>
      </c>
      <c r="F42518" s="0" t="s">
        <v>316</v>
      </c>
    </row>
    <row r="42519" customFormat="false" ht="12.8" hidden="false" customHeight="false" outlineLevel="0" collapsed="false">
      <c r="B42519" s="0" t="s">
        <v>207</v>
      </c>
      <c r="D42519" s="0" t="s">
        <v>319</v>
      </c>
      <c r="E42519" s="0" t="s">
        <v>319</v>
      </c>
      <c r="F42519" s="0" t="s">
        <v>319</v>
      </c>
    </row>
    <row r="42520" customFormat="false" ht="12.8" hidden="false" customHeight="false" outlineLevel="0" collapsed="false">
      <c r="B42520" s="0" t="s">
        <v>2721</v>
      </c>
      <c r="D42520" s="0" t="s">
        <v>322</v>
      </c>
      <c r="E42520" s="0" t="s">
        <v>322</v>
      </c>
      <c r="F42520" s="0" t="s">
        <v>322</v>
      </c>
    </row>
    <row r="42522" customFormat="false" ht="12.8" hidden="false" customHeight="false" outlineLevel="0" collapsed="false">
      <c r="A42522" s="0" t="s">
        <v>15231</v>
      </c>
      <c r="B42522" s="0" t="str">
        <f aca="false">HYPERLINK("https://lindat.mff.cuni.cz/services/teitok/pdtc10/index.php?action=vallex&amp;frame=v-w5850f1", "rybařit (v-w5850f1)")</f>
        <v>rybařit (v-w5850f1)</v>
      </c>
    </row>
    <row r="42523" customFormat="false" ht="12.8" hidden="false" customHeight="false" outlineLevel="0" collapsed="false">
      <c r="B42523" s="0" t="s">
        <v>7</v>
      </c>
    </row>
    <row r="42525" customFormat="false" ht="12.8" hidden="false" customHeight="false" outlineLevel="0" collapsed="false">
      <c r="A42525" s="0" t="s">
        <v>15232</v>
      </c>
      <c r="B42525" s="0" t="str">
        <f aca="false">HYPERLINK("https://lindat.mff.cuni.cz/services/teitok/pdtc10/index.php?action=vallex&amp;frame=v-whsa_1525hsa_1526", "rychtovat (v-whsa_1525hsa_1526)")</f>
        <v>rychtovat (v-whsa_1525hsa_1526)</v>
      </c>
    </row>
    <row r="42526" customFormat="false" ht="12.8" hidden="false" customHeight="false" outlineLevel="0" collapsed="false">
      <c r="B42526" s="0" t="s">
        <v>7</v>
      </c>
    </row>
    <row r="42527" customFormat="false" ht="12.8" hidden="false" customHeight="false" outlineLevel="0" collapsed="false">
      <c r="B42527" s="0" t="s">
        <v>14</v>
      </c>
    </row>
    <row r="42529" customFormat="false" ht="12.8" hidden="false" customHeight="false" outlineLevel="0" collapsed="false">
      <c r="A42529" s="0" t="s">
        <v>15233</v>
      </c>
      <c r="B42529" s="0" t="str">
        <f aca="false">HYPERLINK("https://lindat.mff.cuni.cz/services/teitok/pdtc10/index.php?action=vallex&amp;frame=v-w5412f1", "rámovat (v-w5412f1)")</f>
        <v>rámovat (v-w5412f1)</v>
      </c>
    </row>
    <row r="42530" customFormat="false" ht="12.8" hidden="false" customHeight="false" outlineLevel="0" collapsed="false">
      <c r="B42530" s="0" t="s">
        <v>7</v>
      </c>
      <c r="D42530" s="0" t="s">
        <v>5122</v>
      </c>
      <c r="E42530" s="0" t="s">
        <v>5122</v>
      </c>
      <c r="F42530" s="0" t="s">
        <v>5122</v>
      </c>
    </row>
    <row r="42531" customFormat="false" ht="12.8" hidden="false" customHeight="false" outlineLevel="0" collapsed="false">
      <c r="B42531" s="0" t="s">
        <v>14</v>
      </c>
      <c r="D42531" s="0" t="s">
        <v>5123</v>
      </c>
      <c r="E42531" s="0" t="s">
        <v>5123</v>
      </c>
      <c r="F42531" s="0" t="s">
        <v>5123</v>
      </c>
    </row>
    <row r="42533" customFormat="false" ht="12.8" hidden="false" customHeight="false" outlineLevel="0" collapsed="false">
      <c r="A42533" s="0" t="s">
        <v>15234</v>
      </c>
      <c r="B42533" s="0" t="str">
        <f aca="false">HYPERLINK("https://lindat.mff.cuni.cz/services/teitok/pdtc10/index.php?action=vallex&amp;frame=v-w11822_ZUf1_ZU", "ráčit (v-w11822_ZUf1_ZU)")</f>
        <v>ráčit (v-w11822_ZUf1_ZU)</v>
      </c>
    </row>
    <row r="42534" customFormat="false" ht="12.8" hidden="false" customHeight="false" outlineLevel="0" collapsed="false">
      <c r="B42534" s="0" t="s">
        <v>7</v>
      </c>
    </row>
    <row r="42535" customFormat="false" ht="12.8" hidden="false" customHeight="false" outlineLevel="0" collapsed="false">
      <c r="B42535" s="0" t="s">
        <v>14</v>
      </c>
    </row>
    <row r="42537" customFormat="false" ht="12.8" hidden="false" customHeight="false" outlineLevel="0" collapsed="false">
      <c r="A42537" s="0" t="s">
        <v>15235</v>
      </c>
      <c r="B42537" s="0" t="str">
        <f aca="false">HYPERLINK("https://lindat.mff.cuni.cz/services/teitok/pdtc10/index.php?action=vallex&amp;frame=v-w5401f1", "ráčkovat (v-w5401f1)")</f>
        <v>ráčkovat (v-w5401f1)</v>
      </c>
    </row>
    <row r="42538" customFormat="false" ht="12.8" hidden="false" customHeight="false" outlineLevel="0" collapsed="false">
      <c r="B42538" s="0" t="s">
        <v>7</v>
      </c>
    </row>
    <row r="42540" customFormat="false" ht="12.8" hidden="false" customHeight="false" outlineLevel="0" collapsed="false">
      <c r="A42540" s="0" t="s">
        <v>15236</v>
      </c>
      <c r="B42540" s="0" t="str">
        <f aca="false">HYPERLINK("https://lindat.mff.cuni.cz/services/teitok/pdtc10/index.php?action=vallex&amp;frame=v-w10333f4_ZU", "rýmovat (v-w10333f4_ZU)")</f>
        <v>rýmovat (v-w10333f4_ZU)</v>
      </c>
    </row>
    <row r="42541" customFormat="false" ht="12.8" hidden="false" customHeight="false" outlineLevel="0" collapsed="false">
      <c r="B42541" s="0" t="s">
        <v>7</v>
      </c>
      <c r="C42541" s="0" t="s">
        <v>191</v>
      </c>
      <c r="D42541" s="0" t="s">
        <v>191</v>
      </c>
      <c r="E42541" s="0" t="s">
        <v>191</v>
      </c>
      <c r="F42541" s="0" t="s">
        <v>191</v>
      </c>
    </row>
    <row r="42542" customFormat="false" ht="12.8" hidden="false" customHeight="false" outlineLevel="0" collapsed="false">
      <c r="B42542" s="0" t="s">
        <v>14</v>
      </c>
      <c r="C42542" s="0" t="s">
        <v>155</v>
      </c>
      <c r="D42542" s="0" t="s">
        <v>155</v>
      </c>
      <c r="E42542" s="0" t="s">
        <v>155</v>
      </c>
      <c r="F42542" s="0" t="s">
        <v>155</v>
      </c>
    </row>
    <row r="42543" customFormat="false" ht="12.8" hidden="false" customHeight="false" outlineLevel="0" collapsed="false">
      <c r="B42543" s="0" t="s">
        <v>3086</v>
      </c>
      <c r="C42543" s="0" t="s">
        <v>38</v>
      </c>
      <c r="D42543" s="0" t="s">
        <v>38</v>
      </c>
      <c r="E42543" s="0" t="s">
        <v>38</v>
      </c>
      <c r="F42543" s="0" t="s">
        <v>38</v>
      </c>
    </row>
    <row r="42545" customFormat="false" ht="12.8" hidden="false" customHeight="false" outlineLevel="0" collapsed="false">
      <c r="A42545" s="0" t="s">
        <v>15236</v>
      </c>
      <c r="B42545" s="0" t="str">
        <f aca="false">HYPERLINK("https://lindat.mff.cuni.cz/services/teitok/pdtc10/index.php?action=vallex&amp;frame=v-w10333f3", "rýmovat (v-w10333f3) - substituted with v-w10333f4_ZU")</f>
        <v>rýmovat (v-w10333f3) - substituted with v-w10333f4_ZU</v>
      </c>
    </row>
    <row r="42546" customFormat="false" ht="12.8" hidden="false" customHeight="false" outlineLevel="0" collapsed="false">
      <c r="B42546" s="0" t="s">
        <v>7</v>
      </c>
    </row>
    <row r="42547" customFormat="false" ht="12.8" hidden="false" customHeight="false" outlineLevel="0" collapsed="false">
      <c r="B42547" s="0" t="s">
        <v>14</v>
      </c>
    </row>
    <row r="42548" customFormat="false" ht="12.8" hidden="false" customHeight="false" outlineLevel="0" collapsed="false">
      <c r="B42548" s="0" t="s">
        <v>3086</v>
      </c>
    </row>
    <row r="42550" customFormat="false" ht="12.8" hidden="false" customHeight="false" outlineLevel="0" collapsed="false">
      <c r="A42550" s="0" t="s">
        <v>15237</v>
      </c>
      <c r="B42550" s="0" t="str">
        <f aca="false">HYPERLINK("https://lindat.mff.cuni.cz/services/teitok/pdtc10/index.php?action=vallex&amp;frame=v-w11285f1", "rýmovat se (v-w11285f1)")</f>
        <v>rýmovat se (v-w11285f1)</v>
      </c>
    </row>
    <row r="42551" customFormat="false" ht="12.8" hidden="false" customHeight="false" outlineLevel="0" collapsed="false">
      <c r="B42551" s="0" t="s">
        <v>7</v>
      </c>
      <c r="C42551" s="0" t="s">
        <v>247</v>
      </c>
      <c r="D42551" s="0" t="s">
        <v>16</v>
      </c>
      <c r="E42551" s="0" t="s">
        <v>16</v>
      </c>
      <c r="F42551" s="0" t="s">
        <v>16</v>
      </c>
    </row>
    <row r="42552" customFormat="false" ht="12.8" hidden="false" customHeight="false" outlineLevel="0" collapsed="false">
      <c r="B42552" s="0" t="s">
        <v>548</v>
      </c>
      <c r="C42552" s="0" t="s">
        <v>1544</v>
      </c>
      <c r="D42552" s="0" t="s">
        <v>400</v>
      </c>
      <c r="E42552" s="0" t="s">
        <v>400</v>
      </c>
      <c r="F42552" s="0" t="s">
        <v>400</v>
      </c>
    </row>
    <row r="42554" customFormat="false" ht="12.8" hidden="false" customHeight="false" outlineLevel="0" collapsed="false">
      <c r="A42554" s="0" t="s">
        <v>15238</v>
      </c>
      <c r="B42554" s="0" t="str">
        <f aca="false">HYPERLINK("https://lindat.mff.cuni.cz/services/teitok/pdtc10/index.php?action=vallex&amp;frame=v-w5852f1", "rýpnout si (v-w5852f1)")</f>
        <v>rýpnout si (v-w5852f1)</v>
      </c>
    </row>
    <row r="42555" customFormat="false" ht="12.8" hidden="false" customHeight="false" outlineLevel="0" collapsed="false">
      <c r="B42555" s="0" t="s">
        <v>7</v>
      </c>
    </row>
    <row r="42556" customFormat="false" ht="12.8" hidden="false" customHeight="false" outlineLevel="0" collapsed="false">
      <c r="B42556" s="0" t="s">
        <v>985</v>
      </c>
    </row>
    <row r="42558" customFormat="false" ht="12.8" hidden="false" customHeight="false" outlineLevel="0" collapsed="false">
      <c r="A42558" s="0" t="s">
        <v>15239</v>
      </c>
      <c r="B42558" s="0" t="str">
        <f aca="false">HYPERLINK("https://lindat.mff.cuni.cz/services/teitok/pdtc10/index.php?action=vallex&amp;frame=v-w5853f1", "rýsovat (v-w5853f1)")</f>
        <v>rýsovat (v-w5853f1)</v>
      </c>
    </row>
    <row r="42559" customFormat="false" ht="12.8" hidden="false" customHeight="false" outlineLevel="0" collapsed="false">
      <c r="B42559" s="0" t="s">
        <v>7</v>
      </c>
    </row>
    <row r="42560" customFormat="false" ht="12.8" hidden="false" customHeight="false" outlineLevel="0" collapsed="false">
      <c r="B42560" s="0" t="s">
        <v>14</v>
      </c>
    </row>
    <row r="42562" customFormat="false" ht="12.8" hidden="false" customHeight="false" outlineLevel="0" collapsed="false">
      <c r="A42562" s="0" t="s">
        <v>15240</v>
      </c>
      <c r="B42562" s="0" t="str">
        <f aca="false">HYPERLINK("https://lindat.mff.cuni.cz/services/teitok/pdtc10/index.php?action=vallex&amp;frame=v-w5854f1", "rýsovat se (v-w5854f1)")</f>
        <v>rýsovat se (v-w5854f1)</v>
      </c>
    </row>
    <row r="42563" customFormat="false" ht="12.8" hidden="false" customHeight="false" outlineLevel="0" collapsed="false">
      <c r="B42563" s="0" t="s">
        <v>7</v>
      </c>
      <c r="C42563" s="0" t="s">
        <v>15241</v>
      </c>
      <c r="D42563" s="0" t="s">
        <v>15242</v>
      </c>
      <c r="E42563" s="0" t="s">
        <v>15242</v>
      </c>
      <c r="F42563" s="0" t="s">
        <v>15242</v>
      </c>
    </row>
    <row r="42565" customFormat="false" ht="12.8" hidden="false" customHeight="false" outlineLevel="0" collapsed="false">
      <c r="A42565" s="0" t="s">
        <v>15243</v>
      </c>
      <c r="B42565" s="0" t="str">
        <f aca="false">HYPERLINK("https://lindat.mff.cuni.cz/services/teitok/pdtc10/index.php?action=vallex&amp;frame=v-whsa_986f2_ZU", "rýt (v-whsa_986f2_ZU)")</f>
        <v>rýt (v-whsa_986f2_ZU)</v>
      </c>
    </row>
    <row r="42566" customFormat="false" ht="12.8" hidden="false" customHeight="false" outlineLevel="0" collapsed="false">
      <c r="B42566" s="0" t="s">
        <v>7</v>
      </c>
    </row>
    <row r="42567" customFormat="false" ht="12.8" hidden="false" customHeight="false" outlineLevel="0" collapsed="false">
      <c r="B42567" s="0" t="s">
        <v>297</v>
      </c>
    </row>
    <row r="42569" customFormat="false" ht="12.8" hidden="false" customHeight="false" outlineLevel="0" collapsed="false">
      <c r="A42569" s="0" t="s">
        <v>15243</v>
      </c>
      <c r="B42569" s="0" t="str">
        <f aca="false">HYPERLINK("https://lindat.mff.cuni.cz/services/teitok/pdtc10/index.php?action=vallex&amp;frame=v-whsa_986f1_ZU", "rýt (v-whsa_986f1_ZU) - substituted with v-whsa_986f2_ZU")</f>
        <v>rýt (v-whsa_986f1_ZU) - substituted with v-whsa_986f2_ZU</v>
      </c>
    </row>
    <row r="42570" customFormat="false" ht="12.8" hidden="false" customHeight="false" outlineLevel="0" collapsed="false">
      <c r="B42570" s="0" t="s">
        <v>7</v>
      </c>
      <c r="C42570" s="0" t="s">
        <v>184</v>
      </c>
    </row>
    <row r="42571" customFormat="false" ht="12.8" hidden="false" customHeight="false" outlineLevel="0" collapsed="false">
      <c r="B42571" s="0" t="s">
        <v>297</v>
      </c>
    </row>
    <row r="42573" customFormat="false" ht="12.8" hidden="false" customHeight="false" outlineLevel="0" collapsed="false">
      <c r="A42573" s="0" t="s">
        <v>15243</v>
      </c>
      <c r="B42573" s="0" t="str">
        <f aca="false">HYPERLINK("https://lindat.mff.cuni.cz/services/teitok/pdtc10/index.php?action=vallex&amp;frame=v-whsa_986hsa_987", "rýt (v-whsa_986hsa_987) - substituted with v-whsa_986f2_ZU")</f>
        <v>rýt (v-whsa_986hsa_987) - substituted with v-whsa_986f2_ZU</v>
      </c>
    </row>
    <row r="42574" customFormat="false" ht="12.8" hidden="false" customHeight="false" outlineLevel="0" collapsed="false">
      <c r="B42574" s="0" t="s">
        <v>7</v>
      </c>
    </row>
    <row r="42575" customFormat="false" ht="12.8" hidden="false" customHeight="false" outlineLevel="0" collapsed="false">
      <c r="B42575" s="0" t="s">
        <v>297</v>
      </c>
    </row>
    <row r="42577" customFormat="false" ht="12.8" hidden="false" customHeight="false" outlineLevel="0" collapsed="false">
      <c r="A42577" s="0" t="s">
        <v>15244</v>
      </c>
      <c r="B42577" s="0" t="str">
        <f aca="false">HYPERLINK("https://lindat.mff.cuni.cz/services/teitok/pdtc10/index.php?action=vallex&amp;frame=v-whsa_984hsa_985", "rýt (v-whsa_984hsa_985)")</f>
        <v>rýt (v-whsa_984hsa_985)</v>
      </c>
    </row>
    <row r="42578" customFormat="false" ht="12.8" hidden="false" customHeight="false" outlineLevel="0" collapsed="false">
      <c r="B42578" s="0" t="s">
        <v>7</v>
      </c>
    </row>
    <row r="42579" customFormat="false" ht="12.8" hidden="false" customHeight="false" outlineLevel="0" collapsed="false">
      <c r="B42579" s="0" t="s">
        <v>297</v>
      </c>
    </row>
    <row r="42581" customFormat="false" ht="12.8" hidden="false" customHeight="false" outlineLevel="0" collapsed="false">
      <c r="A42581" s="0" t="s">
        <v>15245</v>
      </c>
      <c r="B42581" s="0" t="str">
        <f aca="false">HYPERLINK("https://lindat.mff.cuni.cz/services/teitok/pdtc10/index.php?action=vallex&amp;frame=v-w10283f3", "rýžovat (v-w10283f3)")</f>
        <v>rýžovat (v-w10283f3)</v>
      </c>
    </row>
    <row r="42582" customFormat="false" ht="12.8" hidden="false" customHeight="false" outlineLevel="0" collapsed="false">
      <c r="B42582" s="0" t="s">
        <v>7</v>
      </c>
    </row>
    <row r="42583" customFormat="false" ht="12.8" hidden="false" customHeight="false" outlineLevel="0" collapsed="false">
      <c r="B42583" s="0" t="s">
        <v>14</v>
      </c>
    </row>
    <row r="42584" customFormat="false" ht="12.8" hidden="false" customHeight="false" outlineLevel="0" collapsed="false">
      <c r="B42584" s="0" t="s">
        <v>7321</v>
      </c>
    </row>
    <row r="42586" customFormat="false" ht="12.8" hidden="false" customHeight="false" outlineLevel="0" collapsed="false">
      <c r="A42586" s="0" t="s">
        <v>15246</v>
      </c>
      <c r="B42586" s="0" t="str">
        <f aca="false">HYPERLINK("https://lindat.mff.cuni.cz/services/teitok/pdtc10/index.php?action=vallex&amp;frame=v-w10283f4", "rýžovat (v-w10283f4)")</f>
        <v>rýžovat (v-w10283f4)</v>
      </c>
    </row>
    <row r="42587" customFormat="false" ht="12.8" hidden="false" customHeight="false" outlineLevel="0" collapsed="false">
      <c r="B42587" s="0" t="s">
        <v>7</v>
      </c>
      <c r="C42587" s="0" t="s">
        <v>191</v>
      </c>
      <c r="D42587" s="0" t="s">
        <v>191</v>
      </c>
      <c r="E42587" s="0" t="s">
        <v>191</v>
      </c>
      <c r="F42587" s="0" t="s">
        <v>191</v>
      </c>
    </row>
    <row r="42588" customFormat="false" ht="12.8" hidden="false" customHeight="false" outlineLevel="0" collapsed="false">
      <c r="B42588" s="0" t="s">
        <v>14</v>
      </c>
      <c r="C42588" s="0" t="s">
        <v>47</v>
      </c>
      <c r="D42588" s="0" t="s">
        <v>47</v>
      </c>
      <c r="E42588" s="0" t="s">
        <v>47</v>
      </c>
      <c r="F42588" s="0" t="s">
        <v>47</v>
      </c>
    </row>
    <row r="42590" customFormat="false" ht="12.8" hidden="false" customHeight="false" outlineLevel="0" collapsed="false">
      <c r="A42590" s="0" t="s">
        <v>15247</v>
      </c>
      <c r="B42590" s="0" t="str">
        <f aca="false">HYPERLINK("https://lindat.mff.cuni.cz/services/teitok/pdtc10/index.php?action=vallex&amp;frame=v-w5841f3", "růst (v-w5841f3)")</f>
        <v>růst (v-w5841f3)</v>
      </c>
    </row>
    <row r="42591" customFormat="false" ht="12.8" hidden="false" customHeight="false" outlineLevel="0" collapsed="false">
      <c r="B42591" s="0" t="s">
        <v>7</v>
      </c>
    </row>
    <row r="42592" customFormat="false" ht="12.8" hidden="false" customHeight="false" outlineLevel="0" collapsed="false">
      <c r="B42592" s="0" t="s">
        <v>2231</v>
      </c>
    </row>
    <row r="42593" customFormat="false" ht="12.8" hidden="false" customHeight="false" outlineLevel="0" collapsed="false">
      <c r="B42593" s="0" t="s">
        <v>35</v>
      </c>
    </row>
    <row r="42595" customFormat="false" ht="12.8" hidden="false" customHeight="false" outlineLevel="0" collapsed="false">
      <c r="A42595" s="0" t="s">
        <v>15248</v>
      </c>
      <c r="B42595" s="0" t="str">
        <f aca="false">HYPERLINK("https://lindat.mff.cuni.cz/services/teitok/pdtc10/index.php?action=vallex&amp;frame=v-w5841f5_ZU", "růst (v-w5841f5_ZU)")</f>
        <v>růst (v-w5841f5_ZU)</v>
      </c>
    </row>
    <row r="42596" customFormat="false" ht="12.8" hidden="false" customHeight="false" outlineLevel="0" collapsed="false">
      <c r="B42596" s="0" t="s">
        <v>7</v>
      </c>
      <c r="C42596" s="0" t="s">
        <v>15249</v>
      </c>
      <c r="D42596" s="0" t="s">
        <v>6244</v>
      </c>
      <c r="E42596" s="0" t="s">
        <v>6244</v>
      </c>
      <c r="F42596" s="0" t="s">
        <v>6244</v>
      </c>
    </row>
    <row r="42597" customFormat="false" ht="12.8" hidden="false" customHeight="false" outlineLevel="0" collapsed="false">
      <c r="B42597" s="0" t="s">
        <v>2193</v>
      </c>
      <c r="C42597" s="0" t="s">
        <v>15250</v>
      </c>
      <c r="D42597" s="0" t="s">
        <v>4496</v>
      </c>
      <c r="E42597" s="0" t="s">
        <v>4496</v>
      </c>
      <c r="F42597" s="0" t="s">
        <v>4496</v>
      </c>
    </row>
    <row r="42598" customFormat="false" ht="12.8" hidden="false" customHeight="false" outlineLevel="0" collapsed="false">
      <c r="B42598" s="0" t="s">
        <v>35</v>
      </c>
      <c r="C42598" s="0" t="s">
        <v>15251</v>
      </c>
      <c r="D42598" s="0" t="s">
        <v>4497</v>
      </c>
      <c r="E42598" s="0" t="s">
        <v>4497</v>
      </c>
      <c r="F42598" s="0" t="s">
        <v>4497</v>
      </c>
    </row>
    <row r="42600" customFormat="false" ht="12.8" hidden="false" customHeight="false" outlineLevel="0" collapsed="false">
      <c r="A42600" s="0" t="s">
        <v>15248</v>
      </c>
      <c r="B42600" s="0" t="str">
        <f aca="false">HYPERLINK("https://lindat.mff.cuni.cz/services/teitok/pdtc10/index.php?action=vallex&amp;frame=v-w5841f1", "růst (v-w5841f1) - substituted with v-w5841f5_ZU")</f>
        <v>růst (v-w5841f1) - substituted with v-w5841f5_ZU</v>
      </c>
    </row>
    <row r="42601" customFormat="false" ht="12.8" hidden="false" customHeight="false" outlineLevel="0" collapsed="false">
      <c r="B42601" s="0" t="s">
        <v>7</v>
      </c>
      <c r="C42601" s="0" t="s">
        <v>15252</v>
      </c>
    </row>
    <row r="42602" customFormat="false" ht="12.8" hidden="false" customHeight="false" outlineLevel="0" collapsed="false">
      <c r="B42602" s="0" t="s">
        <v>2193</v>
      </c>
      <c r="C42602" s="0" t="s">
        <v>15253</v>
      </c>
    </row>
    <row r="42603" customFormat="false" ht="12.8" hidden="false" customHeight="false" outlineLevel="0" collapsed="false">
      <c r="B42603" s="0" t="s">
        <v>35</v>
      </c>
      <c r="C42603" s="0" t="s">
        <v>15254</v>
      </c>
    </row>
    <row r="42605" customFormat="false" ht="12.8" hidden="false" customHeight="false" outlineLevel="0" collapsed="false">
      <c r="A42605" s="0" t="s">
        <v>15255</v>
      </c>
      <c r="B42605" s="0" t="str">
        <f aca="false">HYPERLINK("https://lindat.mff.cuni.cz/services/teitok/pdtc10/index.php?action=vallex&amp;frame=v-w5841f4", "růst (v-w5841f4)")</f>
        <v>růst (v-w5841f4)</v>
      </c>
    </row>
    <row r="42606" customFormat="false" ht="12.8" hidden="false" customHeight="false" outlineLevel="0" collapsed="false">
      <c r="B42606" s="0" t="s">
        <v>7</v>
      </c>
    </row>
    <row r="42607" customFormat="false" ht="12.8" hidden="false" customHeight="false" outlineLevel="0" collapsed="false">
      <c r="B42607" s="0" t="s">
        <v>227</v>
      </c>
    </row>
    <row r="42609" customFormat="false" ht="12.8" hidden="false" customHeight="false" outlineLevel="0" collapsed="false">
      <c r="A42609" s="0" t="s">
        <v>15256</v>
      </c>
      <c r="B42609" s="0" t="str">
        <f aca="false">HYPERLINK("https://lindat.mff.cuni.cz/services/teitok/pdtc10/index.php?action=vallex&amp;frame=v-w5841f7_ZU", "růst (v-w5841f7_ZU)")</f>
        <v>růst (v-w5841f7_ZU)</v>
      </c>
    </row>
    <row r="42610" customFormat="false" ht="12.8" hidden="false" customHeight="false" outlineLevel="0" collapsed="false">
      <c r="B42610" s="0" t="s">
        <v>7</v>
      </c>
    </row>
    <row r="42612" customFormat="false" ht="12.8" hidden="false" customHeight="false" outlineLevel="0" collapsed="false">
      <c r="A42612" s="0" t="s">
        <v>15256</v>
      </c>
      <c r="B42612" s="0" t="str">
        <f aca="false">HYPERLINK("https://lindat.mff.cuni.cz/services/teitok/pdtc10/index.php?action=vallex&amp;frame=v-w5841f2", "růst (v-w5841f2) - substituted with v-w5841f7_ZU")</f>
        <v>růst (v-w5841f2) - substituted with v-w5841f7_ZU</v>
      </c>
    </row>
    <row r="42613" customFormat="false" ht="12.8" hidden="false" customHeight="false" outlineLevel="0" collapsed="false">
      <c r="B42613" s="0" t="s">
        <v>7</v>
      </c>
      <c r="C42613" s="0" t="s">
        <v>15257</v>
      </c>
      <c r="D42613" s="0" t="s">
        <v>5047</v>
      </c>
      <c r="E42613" s="0" t="s">
        <v>5047</v>
      </c>
      <c r="F42613" s="0" t="s">
        <v>5047</v>
      </c>
    </row>
    <row r="42615" customFormat="false" ht="12.8" hidden="false" customHeight="false" outlineLevel="0" collapsed="false">
      <c r="A42615" s="0" t="s">
        <v>15258</v>
      </c>
      <c r="B42615" s="0" t="str">
        <f aca="false">HYPERLINK("https://lindat.mff.cuni.cz/services/teitok/pdtc10/index.php?action=vallex&amp;frame=v-w5841f6_ZU", "růst (v-w5841f6_ZU)")</f>
        <v>růst (v-w5841f6_ZU)</v>
      </c>
    </row>
    <row r="42616" customFormat="false" ht="12.8" hidden="false" customHeight="false" outlineLevel="0" collapsed="false">
      <c r="B42616" s="0" t="s">
        <v>7</v>
      </c>
    </row>
    <row r="42617" customFormat="false" ht="12.8" hidden="false" customHeight="false" outlineLevel="0" collapsed="false">
      <c r="B42617" s="0" t="s">
        <v>15259</v>
      </c>
    </row>
    <row r="42619" customFormat="false" ht="12.8" hidden="false" customHeight="false" outlineLevel="0" collapsed="false">
      <c r="A42619" s="0" t="s">
        <v>15258</v>
      </c>
      <c r="B42619" s="0" t="str">
        <f aca="false">HYPERLINK("https://lindat.mff.cuni.cz/services/teitok/pdtc10/index.php?action=vallex&amp;frame=v-w5841hsa_956", "růst (v-w5841hsa_956) - substituted with v-w5841f6_ZU")</f>
        <v>růst (v-w5841hsa_956) - substituted with v-w5841f6_ZU</v>
      </c>
    </row>
    <row r="42620" customFormat="false" ht="12.8" hidden="false" customHeight="false" outlineLevel="0" collapsed="false">
      <c r="B42620" s="0" t="s">
        <v>7</v>
      </c>
    </row>
    <row r="42621" customFormat="false" ht="12.8" hidden="false" customHeight="false" outlineLevel="0" collapsed="false">
      <c r="B42621" s="0" t="s">
        <v>15259</v>
      </c>
    </row>
    <row r="42623" customFormat="false" ht="12.8" hidden="false" customHeight="false" outlineLevel="0" collapsed="false">
      <c r="A42623" s="0" t="s">
        <v>15260</v>
      </c>
      <c r="B42623" s="0" t="str">
        <f aca="false">HYPERLINK("https://lindat.mff.cuni.cz/services/teitok/pdtc10/index.php?action=vallex&amp;frame=v-w5846f1", "různit se (v-w5846f1)")</f>
        <v>různit se (v-w5846f1)</v>
      </c>
    </row>
    <row r="42624" customFormat="false" ht="12.8" hidden="false" customHeight="false" outlineLevel="0" collapsed="false">
      <c r="B42624" s="0" t="s">
        <v>7</v>
      </c>
      <c r="C42624" s="0" t="s">
        <v>9210</v>
      </c>
      <c r="D42624" s="0" t="s">
        <v>4812</v>
      </c>
      <c r="E42624" s="0" t="s">
        <v>4812</v>
      </c>
      <c r="F42624" s="0" t="s">
        <v>4812</v>
      </c>
    </row>
    <row r="42625" customFormat="false" ht="12.8" hidden="false" customHeight="false" outlineLevel="0" collapsed="false">
      <c r="B42625" s="0" t="s">
        <v>28</v>
      </c>
      <c r="C42625" s="0" t="s">
        <v>74</v>
      </c>
      <c r="D42625" s="0" t="s">
        <v>4814</v>
      </c>
      <c r="E42625" s="0" t="s">
        <v>4814</v>
      </c>
      <c r="F42625" s="0" t="s">
        <v>4814</v>
      </c>
    </row>
    <row r="42627" customFormat="false" ht="12.8" hidden="false" customHeight="false" outlineLevel="0" collapsed="false">
      <c r="A42627" s="0" t="s">
        <v>15261</v>
      </c>
      <c r="B42627" s="0" t="str">
        <f aca="false">HYPERLINK("https://lindat.mff.cuni.cz/services/teitok/pdtc10/index.php?action=vallex&amp;frame=v-w11668_ZUf1_ZU", "sabotovat (v-w11668_ZUf1_ZU)")</f>
        <v>sabotovat (v-w11668_ZUf1_ZU)</v>
      </c>
    </row>
    <row r="42628" customFormat="false" ht="12.8" hidden="false" customHeight="false" outlineLevel="0" collapsed="false">
      <c r="B42628" s="0" t="s">
        <v>7</v>
      </c>
    </row>
    <row r="42629" customFormat="false" ht="12.8" hidden="false" customHeight="false" outlineLevel="0" collapsed="false">
      <c r="B42629" s="0" t="s">
        <v>14</v>
      </c>
      <c r="C42629" s="0" t="s">
        <v>567</v>
      </c>
    </row>
    <row r="42631" customFormat="false" ht="12.8" hidden="false" customHeight="false" outlineLevel="0" collapsed="false">
      <c r="A42631" s="0" t="s">
        <v>15262</v>
      </c>
      <c r="B42631" s="0" t="str">
        <f aca="false">HYPERLINK("https://lindat.mff.cuni.cz/services/teitok/pdtc10/index.php?action=vallex&amp;frame=v-w5890f2", "sahat (v-w5890f2)")</f>
        <v>sahat (v-w5890f2)</v>
      </c>
    </row>
    <row r="42632" customFormat="false" ht="12.8" hidden="false" customHeight="false" outlineLevel="0" collapsed="false">
      <c r="B42632" s="0" t="s">
        <v>7</v>
      </c>
      <c r="C42632" s="0" t="s">
        <v>623</v>
      </c>
      <c r="D42632" s="0" t="s">
        <v>108</v>
      </c>
      <c r="E42632" s="0" t="s">
        <v>108</v>
      </c>
      <c r="F42632" s="0" t="s">
        <v>108</v>
      </c>
    </row>
    <row r="42633" customFormat="false" ht="12.8" hidden="false" customHeight="false" outlineLevel="0" collapsed="false">
      <c r="B42633" s="0" t="s">
        <v>15263</v>
      </c>
      <c r="C42633" s="0" t="s">
        <v>74</v>
      </c>
      <c r="D42633" s="0" t="s">
        <v>1209</v>
      </c>
      <c r="E42633" s="0" t="s">
        <v>1209</v>
      </c>
      <c r="F42633" s="0" t="s">
        <v>1209</v>
      </c>
    </row>
    <row r="42635" customFormat="false" ht="12.8" hidden="false" customHeight="false" outlineLevel="0" collapsed="false">
      <c r="A42635" s="0" t="s">
        <v>15264</v>
      </c>
      <c r="B42635" s="0" t="str">
        <f aca="false">HYPERLINK("https://lindat.mff.cuni.cz/services/teitok/pdtc10/index.php?action=vallex&amp;frame=v-w5890f4", "sahat (v-w5890f4)")</f>
        <v>sahat (v-w5890f4)</v>
      </c>
    </row>
    <row r="42636" customFormat="false" ht="12.8" hidden="false" customHeight="false" outlineLevel="0" collapsed="false">
      <c r="B42636" s="0" t="s">
        <v>7</v>
      </c>
    </row>
    <row r="42637" customFormat="false" ht="12.8" hidden="false" customHeight="false" outlineLevel="0" collapsed="false">
      <c r="B42637" s="0" t="s">
        <v>41</v>
      </c>
    </row>
    <row r="42639" customFormat="false" ht="12.8" hidden="false" customHeight="false" outlineLevel="0" collapsed="false">
      <c r="A42639" s="0" t="s">
        <v>15265</v>
      </c>
      <c r="B42639" s="0" t="str">
        <f aca="false">HYPERLINK("https://lindat.mff.cuni.cz/services/teitok/pdtc10/index.php?action=vallex&amp;frame=v-w5890f1", "sahat (v-w5890f1)")</f>
        <v>sahat (v-w5890f1)</v>
      </c>
    </row>
    <row r="42640" customFormat="false" ht="12.8" hidden="false" customHeight="false" outlineLevel="0" collapsed="false">
      <c r="B42640" s="0" t="s">
        <v>7</v>
      </c>
      <c r="C42640" s="0" t="s">
        <v>46</v>
      </c>
      <c r="D42640" s="0" t="s">
        <v>88</v>
      </c>
      <c r="E42640" s="0" t="s">
        <v>460</v>
      </c>
      <c r="F42640" s="0" t="s">
        <v>460</v>
      </c>
    </row>
    <row r="42641" customFormat="false" ht="12.8" hidden="false" customHeight="false" outlineLevel="0" collapsed="false">
      <c r="B42641" s="0" t="s">
        <v>124</v>
      </c>
      <c r="D42641" s="0" t="s">
        <v>4037</v>
      </c>
      <c r="E42641" s="0" t="s">
        <v>4037</v>
      </c>
      <c r="F42641" s="0" t="s">
        <v>4037</v>
      </c>
    </row>
    <row r="42643" customFormat="false" ht="12.8" hidden="false" customHeight="false" outlineLevel="0" collapsed="false">
      <c r="A42643" s="0" t="s">
        <v>15266</v>
      </c>
      <c r="B42643" s="0" t="str">
        <f aca="false">HYPERLINK("https://lindat.mff.cuni.cz/services/teitok/pdtc10/index.php?action=vallex&amp;frame=v-w5890f3", "sahat (v-w5890f3)")</f>
        <v>sahat (v-w5890f3)</v>
      </c>
    </row>
    <row r="42644" customFormat="false" ht="12.8" hidden="false" customHeight="false" outlineLevel="0" collapsed="false">
      <c r="B42644" s="0" t="s">
        <v>7</v>
      </c>
      <c r="C42644" s="0" t="s">
        <v>15267</v>
      </c>
      <c r="D42644" s="0" t="s">
        <v>7802</v>
      </c>
      <c r="E42644" s="0" t="s">
        <v>7802</v>
      </c>
      <c r="F42644" s="0" t="s">
        <v>7802</v>
      </c>
    </row>
    <row r="42645" customFormat="false" ht="12.8" hidden="false" customHeight="false" outlineLevel="0" collapsed="false">
      <c r="B42645" s="0" t="s">
        <v>124</v>
      </c>
      <c r="C42645" s="0" t="s">
        <v>15268</v>
      </c>
    </row>
    <row r="42647" customFormat="false" ht="12.8" hidden="false" customHeight="false" outlineLevel="0" collapsed="false">
      <c r="A42647" s="0" t="s">
        <v>15269</v>
      </c>
      <c r="B42647" s="0" t="str">
        <f aca="false">HYPERLINK("https://lindat.mff.cuni.cz/services/teitok/pdtc10/index.php?action=vallex&amp;frame=v-w11297f1", "samopojišťovat se (v-w11297f1)")</f>
        <v>samopojišťovat se (v-w11297f1)</v>
      </c>
    </row>
    <row r="42648" customFormat="false" ht="12.8" hidden="false" customHeight="false" outlineLevel="0" collapsed="false">
      <c r="B42648" s="0" t="s">
        <v>7</v>
      </c>
      <c r="D42648" s="0" t="s">
        <v>15270</v>
      </c>
      <c r="E42648" s="0" t="s">
        <v>15270</v>
      </c>
      <c r="F42648" s="0" t="s">
        <v>15270</v>
      </c>
    </row>
    <row r="42650" customFormat="false" ht="12.8" hidden="false" customHeight="false" outlineLevel="0" collapsed="false">
      <c r="A42650" s="0" t="s">
        <v>15271</v>
      </c>
      <c r="B42650" s="0" t="str">
        <f aca="false">HYPERLINK("https://lindat.mff.cuni.cz/services/teitok/pdtc10/index.php?action=vallex&amp;frame=v-w5894f1", "sankcionovat (v-w5894f1)")</f>
        <v>sankcionovat (v-w5894f1)</v>
      </c>
    </row>
    <row r="42651" customFormat="false" ht="12.8" hidden="false" customHeight="false" outlineLevel="0" collapsed="false">
      <c r="B42651" s="0" t="s">
        <v>7</v>
      </c>
    </row>
    <row r="42652" customFormat="false" ht="12.8" hidden="false" customHeight="false" outlineLevel="0" collapsed="false">
      <c r="B42652" s="0" t="s">
        <v>14</v>
      </c>
    </row>
    <row r="42654" customFormat="false" ht="12.8" hidden="false" customHeight="false" outlineLevel="0" collapsed="false">
      <c r="A42654" s="0" t="s">
        <v>15272</v>
      </c>
      <c r="B42654" s="0" t="str">
        <f aca="false">HYPERLINK("https://lindat.mff.cuni.cz/services/teitok/pdtc10/index.php?action=vallex&amp;frame=v-w5900f2", "sbalit (v-w5900f2)")</f>
        <v>sbalit (v-w5900f2)</v>
      </c>
    </row>
    <row r="42655" customFormat="false" ht="12.8" hidden="false" customHeight="false" outlineLevel="0" collapsed="false">
      <c r="B42655" s="0" t="s">
        <v>7</v>
      </c>
    </row>
    <row r="42656" customFormat="false" ht="12.8" hidden="false" customHeight="false" outlineLevel="0" collapsed="false">
      <c r="B42656" s="0" t="s">
        <v>14</v>
      </c>
    </row>
    <row r="42657" customFormat="false" ht="12.8" hidden="false" customHeight="false" outlineLevel="0" collapsed="false">
      <c r="B42657" s="0" t="s">
        <v>181</v>
      </c>
    </row>
    <row r="42659" customFormat="false" ht="12.8" hidden="false" customHeight="false" outlineLevel="0" collapsed="false">
      <c r="A42659" s="0" t="s">
        <v>15273</v>
      </c>
      <c r="B42659" s="0" t="str">
        <f aca="false">HYPERLINK("https://lindat.mff.cuni.cz/services/teitok/pdtc10/index.php?action=vallex&amp;frame=v-w5900f1", "sbalit (v-w5900f1)")</f>
        <v>sbalit (v-w5900f1)</v>
      </c>
    </row>
    <row r="42660" customFormat="false" ht="12.8" hidden="false" customHeight="false" outlineLevel="0" collapsed="false">
      <c r="B42660" s="0" t="s">
        <v>7</v>
      </c>
      <c r="C42660" s="0" t="s">
        <v>335</v>
      </c>
    </row>
    <row r="42661" customFormat="false" ht="12.8" hidden="false" customHeight="false" outlineLevel="0" collapsed="false">
      <c r="B42661" s="0" t="s">
        <v>14</v>
      </c>
      <c r="C42661" s="0" t="s">
        <v>6832</v>
      </c>
    </row>
    <row r="42663" customFormat="false" ht="12.8" hidden="false" customHeight="false" outlineLevel="0" collapsed="false">
      <c r="A42663" s="0" t="s">
        <v>15274</v>
      </c>
      <c r="B42663" s="0" t="str">
        <f aca="false">HYPERLINK("https://lindat.mff.cuni.cz/services/teitok/pdtc10/index.php?action=vallex&amp;frame=v-w5900f3", "sbalit (v-w5900f3)")</f>
        <v>sbalit (v-w5900f3)</v>
      </c>
    </row>
    <row r="42664" customFormat="false" ht="12.8" hidden="false" customHeight="false" outlineLevel="0" collapsed="false">
      <c r="B42664" s="0" t="s">
        <v>7</v>
      </c>
    </row>
    <row r="42665" customFormat="false" ht="12.8" hidden="false" customHeight="false" outlineLevel="0" collapsed="false">
      <c r="B42665" s="0" t="s">
        <v>14</v>
      </c>
    </row>
    <row r="42667" customFormat="false" ht="12.8" hidden="false" customHeight="false" outlineLevel="0" collapsed="false">
      <c r="A42667" s="0" t="s">
        <v>15275</v>
      </c>
      <c r="B42667" s="0" t="str">
        <f aca="false">HYPERLINK("https://lindat.mff.cuni.cz/services/teitok/pdtc10/index.php?action=vallex&amp;frame=v-w5900f4_ZU", "sbalit (v-w5900f4_ZU)")</f>
        <v>sbalit (v-w5900f4_ZU)</v>
      </c>
    </row>
    <row r="42668" customFormat="false" ht="12.8" hidden="false" customHeight="false" outlineLevel="0" collapsed="false">
      <c r="B42668" s="0" t="s">
        <v>7</v>
      </c>
    </row>
    <row r="42669" customFormat="false" ht="12.8" hidden="false" customHeight="false" outlineLevel="0" collapsed="false">
      <c r="B42669" s="0" t="s">
        <v>14</v>
      </c>
    </row>
    <row r="42671" customFormat="false" ht="12.8" hidden="false" customHeight="false" outlineLevel="0" collapsed="false">
      <c r="A42671" s="0" t="s">
        <v>15276</v>
      </c>
      <c r="B42671" s="0" t="str">
        <f aca="false">HYPERLINK("https://lindat.mff.cuni.cz/services/teitok/pdtc10/index.php?action=vallex&amp;frame=v-w12346_MMf1_MM", "sbližovat (v-w12346_MMf1_MM)")</f>
        <v>sbližovat (v-w12346_MMf1_MM)</v>
      </c>
    </row>
    <row r="42672" customFormat="false" ht="12.8" hidden="false" customHeight="false" outlineLevel="0" collapsed="false">
      <c r="B42672" s="0" t="s">
        <v>7</v>
      </c>
    </row>
    <row r="42673" customFormat="false" ht="12.8" hidden="false" customHeight="false" outlineLevel="0" collapsed="false">
      <c r="B42673" s="0" t="s">
        <v>14</v>
      </c>
    </row>
    <row r="42674" customFormat="false" ht="12.8" hidden="false" customHeight="false" outlineLevel="0" collapsed="false">
      <c r="B42674" s="0" t="s">
        <v>207</v>
      </c>
    </row>
    <row r="42676" customFormat="false" ht="12.8" hidden="false" customHeight="false" outlineLevel="0" collapsed="false">
      <c r="A42676" s="0" t="s">
        <v>15277</v>
      </c>
      <c r="B42676" s="0" t="str">
        <f aca="false">HYPERLINK("https://lindat.mff.cuni.cz/services/teitok/pdtc10/index.php?action=vallex&amp;frame=v-w5909f1", "sblížit (v-w5909f1)")</f>
        <v>sblížit (v-w5909f1)</v>
      </c>
    </row>
    <row r="42677" customFormat="false" ht="12.8" hidden="false" customHeight="false" outlineLevel="0" collapsed="false">
      <c r="B42677" s="0" t="s">
        <v>7</v>
      </c>
    </row>
    <row r="42678" customFormat="false" ht="12.8" hidden="false" customHeight="false" outlineLevel="0" collapsed="false">
      <c r="B42678" s="0" t="s">
        <v>548</v>
      </c>
    </row>
    <row r="42679" customFormat="false" ht="12.8" hidden="false" customHeight="false" outlineLevel="0" collapsed="false">
      <c r="B42679" s="0" t="s">
        <v>81</v>
      </c>
    </row>
    <row r="42681" customFormat="false" ht="12.8" hidden="false" customHeight="false" outlineLevel="0" collapsed="false">
      <c r="A42681" s="0" t="s">
        <v>15278</v>
      </c>
      <c r="B42681" s="0" t="str">
        <f aca="false">HYPERLINK("https://lindat.mff.cuni.cz/services/teitok/pdtc10/index.php?action=vallex&amp;frame=v-w11470f1", "sblížit se (v-w11470f1)")</f>
        <v>sblížit se (v-w11470f1)</v>
      </c>
    </row>
    <row r="42682" customFormat="false" ht="12.8" hidden="false" customHeight="false" outlineLevel="0" collapsed="false">
      <c r="B42682" s="0" t="s">
        <v>7</v>
      </c>
    </row>
    <row r="42683" customFormat="false" ht="12.8" hidden="false" customHeight="false" outlineLevel="0" collapsed="false">
      <c r="B42683" s="0" t="s">
        <v>548</v>
      </c>
    </row>
    <row r="42685" customFormat="false" ht="12.8" hidden="false" customHeight="false" outlineLevel="0" collapsed="false">
      <c r="A42685" s="0" t="s">
        <v>15279</v>
      </c>
      <c r="B42685" s="0" t="str">
        <f aca="false">HYPERLINK("https://lindat.mff.cuni.cz/services/teitok/pdtc10/index.php?action=vallex&amp;frame=v-whsb_1174hsa_1175", "sbuchnout (v-whsb_1174hsa_1175)")</f>
        <v>sbuchnout (v-whsb_1174hsa_1175)</v>
      </c>
    </row>
    <row r="42686" customFormat="false" ht="12.8" hidden="false" customHeight="false" outlineLevel="0" collapsed="false">
      <c r="B42686" s="0" t="s">
        <v>7</v>
      </c>
    </row>
    <row r="42688" customFormat="false" ht="12.8" hidden="false" customHeight="false" outlineLevel="0" collapsed="false">
      <c r="A42688" s="0" t="s">
        <v>15280</v>
      </c>
      <c r="B42688" s="0" t="str">
        <f aca="false">HYPERLINK("https://lindat.mff.cuni.cz/services/teitok/pdtc10/index.php?action=vallex&amp;frame=v-w5904f1", "sbíhat se (v-w5904f1)")</f>
        <v>sbíhat se (v-w5904f1)</v>
      </c>
    </row>
    <row r="42689" customFormat="false" ht="12.8" hidden="false" customHeight="false" outlineLevel="0" collapsed="false">
      <c r="B42689" s="0" t="s">
        <v>7</v>
      </c>
    </row>
    <row r="42690" customFormat="false" ht="12.8" hidden="false" customHeight="false" outlineLevel="0" collapsed="false">
      <c r="B42690" s="0" t="s">
        <v>548</v>
      </c>
    </row>
    <row r="42691" customFormat="false" ht="12.8" hidden="false" customHeight="false" outlineLevel="0" collapsed="false">
      <c r="B42691" s="0" t="s">
        <v>2571</v>
      </c>
    </row>
    <row r="42693" customFormat="false" ht="12.8" hidden="false" customHeight="false" outlineLevel="0" collapsed="false">
      <c r="A42693" s="0" t="s">
        <v>15281</v>
      </c>
      <c r="B42693" s="0" t="str">
        <f aca="false">HYPERLINK("https://lindat.mff.cuni.cz/services/teitok/pdtc10/index.php?action=vallex&amp;frame=v-w5904f2_ZU", "sbíhat se (v-w5904f2_ZU)")</f>
        <v>sbíhat se (v-w5904f2_ZU)</v>
      </c>
    </row>
    <row r="42694" customFormat="false" ht="12.8" hidden="false" customHeight="false" outlineLevel="0" collapsed="false">
      <c r="B42694" s="0" t="s">
        <v>603</v>
      </c>
    </row>
    <row r="42695" customFormat="false" ht="12.8" hidden="false" customHeight="false" outlineLevel="0" collapsed="false">
      <c r="B42695" s="0" t="s">
        <v>15282</v>
      </c>
    </row>
    <row r="42696" customFormat="false" ht="12.8" hidden="false" customHeight="false" outlineLevel="0" collapsed="false">
      <c r="B42696" s="0" t="s">
        <v>63</v>
      </c>
    </row>
    <row r="42698" customFormat="false" ht="12.8" hidden="false" customHeight="false" outlineLevel="0" collapsed="false">
      <c r="A42698" s="0" t="s">
        <v>15283</v>
      </c>
      <c r="B42698" s="0" t="str">
        <f aca="false">HYPERLINK("https://lindat.mff.cuni.cz/services/teitok/pdtc10/index.php?action=vallex&amp;frame=v-w5906f4_ZU", "sbírat (v-w5906f4_ZU)")</f>
        <v>sbírat (v-w5906f4_ZU)</v>
      </c>
    </row>
    <row r="42699" customFormat="false" ht="12.8" hidden="false" customHeight="false" outlineLevel="0" collapsed="false">
      <c r="B42699" s="0" t="s">
        <v>7</v>
      </c>
    </row>
    <row r="42700" customFormat="false" ht="12.8" hidden="false" customHeight="false" outlineLevel="0" collapsed="false">
      <c r="B42700" s="0" t="s">
        <v>14</v>
      </c>
    </row>
    <row r="42702" customFormat="false" ht="12.8" hidden="false" customHeight="false" outlineLevel="0" collapsed="false">
      <c r="A42702" s="0" t="s">
        <v>15283</v>
      </c>
      <c r="B42702" s="0" t="str">
        <f aca="false">HYPERLINK("https://lindat.mff.cuni.cz/services/teitok/pdtc10/index.php?action=vallex&amp;frame=v-w5906f1", "sbírat (v-w5906f1) - substituted with v-w5906f4_ZU")</f>
        <v>sbírat (v-w5906f1) - substituted with v-w5906f4_ZU</v>
      </c>
    </row>
    <row r="42703" customFormat="false" ht="12.8" hidden="false" customHeight="false" outlineLevel="0" collapsed="false">
      <c r="B42703" s="0" t="s">
        <v>7</v>
      </c>
      <c r="C42703" s="0" t="s">
        <v>149</v>
      </c>
    </row>
    <row r="42704" customFormat="false" ht="12.8" hidden="false" customHeight="false" outlineLevel="0" collapsed="false">
      <c r="B42704" s="0" t="s">
        <v>14</v>
      </c>
      <c r="C42704" s="0" t="s">
        <v>1289</v>
      </c>
    </row>
    <row r="42706" customFormat="false" ht="12.8" hidden="false" customHeight="false" outlineLevel="0" collapsed="false">
      <c r="A42706" s="0" t="s">
        <v>15283</v>
      </c>
      <c r="B42706" s="0" t="str">
        <f aca="false">HYPERLINK("https://lindat.mff.cuni.cz/services/teitok/pdtc10/index.php?action=vallex&amp;frame=v-w5906f3_ZU", "sbírat (v-w5906f3_ZU) - substituted with v-w5906f4_ZU")</f>
        <v>sbírat (v-w5906f3_ZU) - substituted with v-w5906f4_ZU</v>
      </c>
    </row>
    <row r="42707" customFormat="false" ht="12.8" hidden="false" customHeight="false" outlineLevel="0" collapsed="false">
      <c r="B42707" s="0" t="s">
        <v>7</v>
      </c>
      <c r="C42707" s="0" t="s">
        <v>15284</v>
      </c>
      <c r="D42707" s="0" t="s">
        <v>77</v>
      </c>
      <c r="E42707" s="0" t="s">
        <v>77</v>
      </c>
      <c r="F42707" s="0" t="s">
        <v>14005</v>
      </c>
    </row>
    <row r="42708" customFormat="false" ht="12.8" hidden="false" customHeight="false" outlineLevel="0" collapsed="false">
      <c r="B42708" s="0" t="s">
        <v>14</v>
      </c>
      <c r="C42708" s="0" t="s">
        <v>15285</v>
      </c>
      <c r="D42708" s="0" t="s">
        <v>79</v>
      </c>
      <c r="E42708" s="0" t="s">
        <v>79</v>
      </c>
      <c r="F42708" s="0" t="s">
        <v>3781</v>
      </c>
    </row>
    <row r="42710" customFormat="false" ht="12.8" hidden="false" customHeight="false" outlineLevel="0" collapsed="false">
      <c r="A42710" s="0" t="s">
        <v>15286</v>
      </c>
      <c r="B42710" s="0" t="str">
        <f aca="false">HYPERLINK("https://lindat.mff.cuni.cz/services/teitok/pdtc10/index.php?action=vallex&amp;frame=v-w5906f2", "sbírat (v-w5906f2)")</f>
        <v>sbírat (v-w5906f2)</v>
      </c>
    </row>
    <row r="42711" customFormat="false" ht="12.8" hidden="false" customHeight="false" outlineLevel="0" collapsed="false">
      <c r="B42711" s="0" t="s">
        <v>7</v>
      </c>
    </row>
    <row r="42712" customFormat="false" ht="12.8" hidden="false" customHeight="false" outlineLevel="0" collapsed="false">
      <c r="B42712" s="0" t="s">
        <v>15287</v>
      </c>
    </row>
    <row r="42714" customFormat="false" ht="12.8" hidden="false" customHeight="false" outlineLevel="0" collapsed="false">
      <c r="A42714" s="0" t="s">
        <v>15288</v>
      </c>
      <c r="B42714" s="0" t="str">
        <f aca="false">HYPERLINK("https://lindat.mff.cuni.cz/services/teitok/pdtc10/index.php?action=vallex&amp;frame=v-w5906f5_ZU", "sbírat (v-w5906f5_ZU)")</f>
        <v>sbírat (v-w5906f5_ZU)</v>
      </c>
    </row>
    <row r="42715" customFormat="false" ht="12.8" hidden="false" customHeight="false" outlineLevel="0" collapsed="false">
      <c r="B42715" s="0" t="s">
        <v>7</v>
      </c>
    </row>
    <row r="42716" customFormat="false" ht="12.8" hidden="false" customHeight="false" outlineLevel="0" collapsed="false">
      <c r="B42716" s="0" t="s">
        <v>14</v>
      </c>
    </row>
    <row r="42717" customFormat="false" ht="12.8" hidden="false" customHeight="false" outlineLevel="0" collapsed="false">
      <c r="B42717" s="0" t="s">
        <v>5382</v>
      </c>
    </row>
    <row r="42719" customFormat="false" ht="12.8" hidden="false" customHeight="false" outlineLevel="0" collapsed="false">
      <c r="A42719" s="0" t="s">
        <v>15289</v>
      </c>
      <c r="B42719" s="0" t="str">
        <f aca="false">HYPERLINK("https://lindat.mff.cuni.cz/services/teitok/pdtc10/index.php?action=vallex&amp;frame=v-w5906f6_ZU", "sbírat (v-w5906f6_ZU)")</f>
        <v>sbírat (v-w5906f6_ZU)</v>
      </c>
    </row>
    <row r="42720" customFormat="false" ht="12.8" hidden="false" customHeight="false" outlineLevel="0" collapsed="false">
      <c r="B42720" s="0" t="s">
        <v>7</v>
      </c>
    </row>
    <row r="42721" customFormat="false" ht="12.8" hidden="false" customHeight="false" outlineLevel="0" collapsed="false">
      <c r="B42721" s="0" t="s">
        <v>14</v>
      </c>
    </row>
    <row r="42723" customFormat="false" ht="12.8" hidden="false" customHeight="false" outlineLevel="0" collapsed="false">
      <c r="A42723" s="0" t="s">
        <v>15290</v>
      </c>
      <c r="B42723" s="0" t="str">
        <f aca="false">HYPERLINK("https://lindat.mff.cuni.cz/services/teitok/pdtc10/index.php?action=vallex&amp;frame=v-w11813_ZUf1_ZU", "scelovat (v-w11813_ZUf1_ZU)")</f>
        <v>scelovat (v-w11813_ZUf1_ZU)</v>
      </c>
    </row>
    <row r="42724" customFormat="false" ht="12.8" hidden="false" customHeight="false" outlineLevel="0" collapsed="false">
      <c r="B42724" s="0" t="s">
        <v>7</v>
      </c>
    </row>
    <row r="42725" customFormat="false" ht="12.8" hidden="false" customHeight="false" outlineLevel="0" collapsed="false">
      <c r="B42725" s="0" t="s">
        <v>14</v>
      </c>
    </row>
    <row r="42726" customFormat="false" ht="12.8" hidden="false" customHeight="false" outlineLevel="0" collapsed="false">
      <c r="B42726" s="0" t="s">
        <v>207</v>
      </c>
    </row>
    <row r="42727" customFormat="false" ht="12.8" hidden="false" customHeight="false" outlineLevel="0" collapsed="false">
      <c r="B42727" s="0" t="s">
        <v>181</v>
      </c>
    </row>
    <row r="42729" customFormat="false" ht="12.8" hidden="false" customHeight="false" outlineLevel="0" collapsed="false">
      <c r="A42729" s="0" t="s">
        <v>15291</v>
      </c>
      <c r="B42729" s="0" t="str">
        <f aca="false">HYPERLINK("https://lindat.mff.cuni.cz/services/teitok/pdtc10/index.php?action=vallex&amp;frame=v-whsa_2056hsa_2057", "schnout (v-whsa_2056hsa_2057)")</f>
        <v>schnout (v-whsa_2056hsa_2057)</v>
      </c>
    </row>
    <row r="42730" customFormat="false" ht="12.8" hidden="false" customHeight="false" outlineLevel="0" collapsed="false">
      <c r="B42730" s="0" t="s">
        <v>7</v>
      </c>
    </row>
    <row r="42732" customFormat="false" ht="12.8" hidden="false" customHeight="false" outlineLevel="0" collapsed="false">
      <c r="A42732" s="0" t="s">
        <v>15292</v>
      </c>
      <c r="B42732" s="0" t="str">
        <f aca="false">HYPERLINK("https://lindat.mff.cuni.cz/services/teitok/pdtc10/index.php?action=vallex&amp;frame=v-w6049f1", "schovat (v-w6049f1)")</f>
        <v>schovat (v-w6049f1)</v>
      </c>
    </row>
    <row r="42733" customFormat="false" ht="12.8" hidden="false" customHeight="false" outlineLevel="0" collapsed="false">
      <c r="B42733" s="0" t="s">
        <v>7</v>
      </c>
      <c r="D42733" s="0" t="s">
        <v>4999</v>
      </c>
      <c r="E42733" s="0" t="s">
        <v>4999</v>
      </c>
      <c r="F42733" s="0" t="s">
        <v>4999</v>
      </c>
    </row>
    <row r="42734" customFormat="false" ht="12.8" hidden="false" customHeight="false" outlineLevel="0" collapsed="false">
      <c r="B42734" s="0" t="s">
        <v>3742</v>
      </c>
      <c r="D42734" s="0" t="s">
        <v>5000</v>
      </c>
      <c r="E42734" s="0" t="s">
        <v>5000</v>
      </c>
      <c r="F42734" s="0" t="s">
        <v>5000</v>
      </c>
    </row>
    <row r="42735" customFormat="false" ht="12.8" hidden="false" customHeight="false" outlineLevel="0" collapsed="false">
      <c r="B42735" s="0" t="s">
        <v>3743</v>
      </c>
      <c r="D42735" s="0" t="s">
        <v>5001</v>
      </c>
      <c r="E42735" s="0" t="s">
        <v>5001</v>
      </c>
      <c r="F42735" s="0" t="s">
        <v>5001</v>
      </c>
    </row>
    <row r="42737" customFormat="false" ht="12.8" hidden="false" customHeight="false" outlineLevel="0" collapsed="false">
      <c r="A42737" s="0" t="s">
        <v>15293</v>
      </c>
      <c r="B42737" s="0" t="str">
        <f aca="false">HYPERLINK("https://lindat.mff.cuni.cz/services/teitok/pdtc10/index.php?action=vallex&amp;frame=v-w6049f2", "schovat (v-w6049f2)")</f>
        <v>schovat (v-w6049f2)</v>
      </c>
    </row>
    <row r="42738" customFormat="false" ht="12.8" hidden="false" customHeight="false" outlineLevel="0" collapsed="false">
      <c r="B42738" s="0" t="s">
        <v>7</v>
      </c>
    </row>
    <row r="42739" customFormat="false" ht="12.8" hidden="false" customHeight="false" outlineLevel="0" collapsed="false">
      <c r="B42739" s="0" t="s">
        <v>15294</v>
      </c>
    </row>
    <row r="42740" customFormat="false" ht="12.8" hidden="false" customHeight="false" outlineLevel="0" collapsed="false">
      <c r="B42740" s="0" t="s">
        <v>363</v>
      </c>
    </row>
    <row r="42741" customFormat="false" ht="12.8" hidden="false" customHeight="false" outlineLevel="0" collapsed="false">
      <c r="B42741" s="0" t="s">
        <v>3743</v>
      </c>
    </row>
    <row r="42743" customFormat="false" ht="12.8" hidden="false" customHeight="false" outlineLevel="0" collapsed="false">
      <c r="A42743" s="0" t="s">
        <v>15295</v>
      </c>
      <c r="B42743" s="0" t="str">
        <f aca="false">HYPERLINK("https://lindat.mff.cuni.cz/services/teitok/pdtc10/index.php?action=vallex&amp;frame=v-w11164f5", "schovávat (v-w11164f5)")</f>
        <v>schovávat (v-w11164f5)</v>
      </c>
    </row>
    <row r="42744" customFormat="false" ht="12.8" hidden="false" customHeight="false" outlineLevel="0" collapsed="false">
      <c r="B42744" s="0" t="s">
        <v>7</v>
      </c>
      <c r="C42744" s="0" t="s">
        <v>15296</v>
      </c>
      <c r="D42744" s="0" t="s">
        <v>4999</v>
      </c>
      <c r="E42744" s="0" t="s">
        <v>4999</v>
      </c>
      <c r="F42744" s="0" t="s">
        <v>4999</v>
      </c>
    </row>
    <row r="42745" customFormat="false" ht="12.8" hidden="false" customHeight="false" outlineLevel="0" collapsed="false">
      <c r="B42745" s="0" t="s">
        <v>3742</v>
      </c>
      <c r="C42745" s="0" t="s">
        <v>13038</v>
      </c>
      <c r="D42745" s="0" t="s">
        <v>5000</v>
      </c>
      <c r="E42745" s="0" t="s">
        <v>5000</v>
      </c>
      <c r="F42745" s="0" t="s">
        <v>5000</v>
      </c>
    </row>
    <row r="42746" customFormat="false" ht="12.8" hidden="false" customHeight="false" outlineLevel="0" collapsed="false">
      <c r="B42746" s="0" t="s">
        <v>3743</v>
      </c>
      <c r="D42746" s="0" t="s">
        <v>5001</v>
      </c>
      <c r="E42746" s="0" t="s">
        <v>5001</v>
      </c>
      <c r="F42746" s="0" t="s">
        <v>5001</v>
      </c>
    </row>
    <row r="42748" customFormat="false" ht="12.8" hidden="false" customHeight="false" outlineLevel="0" collapsed="false">
      <c r="A42748" s="0" t="s">
        <v>15297</v>
      </c>
      <c r="B42748" s="0" t="str">
        <f aca="false">HYPERLINK("https://lindat.mff.cuni.cz/services/teitok/pdtc10/index.php?action=vallex&amp;frame=v-w11164f3", "schovávat (v-w11164f3)")</f>
        <v>schovávat (v-w11164f3)</v>
      </c>
    </row>
    <row r="42749" customFormat="false" ht="12.8" hidden="false" customHeight="false" outlineLevel="0" collapsed="false">
      <c r="B42749" s="0" t="s">
        <v>7</v>
      </c>
      <c r="C42749" s="0" t="s">
        <v>113</v>
      </c>
      <c r="D42749" s="0" t="s">
        <v>2101</v>
      </c>
      <c r="E42749" s="0" t="s">
        <v>2101</v>
      </c>
      <c r="F42749" s="0" t="s">
        <v>2101</v>
      </c>
    </row>
    <row r="42750" customFormat="false" ht="12.8" hidden="false" customHeight="false" outlineLevel="0" collapsed="false">
      <c r="B42750" s="0" t="s">
        <v>14</v>
      </c>
      <c r="C42750" s="0" t="s">
        <v>33</v>
      </c>
      <c r="D42750" s="0" t="s">
        <v>624</v>
      </c>
      <c r="E42750" s="0" t="s">
        <v>624</v>
      </c>
      <c r="F42750" s="0" t="s">
        <v>624</v>
      </c>
    </row>
    <row r="42752" customFormat="false" ht="12.8" hidden="false" customHeight="false" outlineLevel="0" collapsed="false">
      <c r="A42752" s="0" t="s">
        <v>15298</v>
      </c>
      <c r="B42752" s="0" t="str">
        <f aca="false">HYPERLINK("https://lindat.mff.cuni.cz/services/teitok/pdtc10/index.php?action=vallex&amp;frame=v-whsa_1483hsa_1484", "schrastit (v-whsa_1483hsa_1484)")</f>
        <v>schrastit (v-whsa_1483hsa_1484)</v>
      </c>
    </row>
    <row r="42753" customFormat="false" ht="12.8" hidden="false" customHeight="false" outlineLevel="0" collapsed="false">
      <c r="B42753" s="0" t="s">
        <v>7</v>
      </c>
    </row>
    <row r="42754" customFormat="false" ht="12.8" hidden="false" customHeight="false" outlineLevel="0" collapsed="false">
      <c r="B42754" s="0" t="s">
        <v>14</v>
      </c>
    </row>
    <row r="42756" customFormat="false" ht="12.8" hidden="false" customHeight="false" outlineLevel="0" collapsed="false">
      <c r="A42756" s="0" t="s">
        <v>15299</v>
      </c>
      <c r="B42756" s="0" t="str">
        <f aca="false">HYPERLINK("https://lindat.mff.cuni.cz/services/teitok/pdtc10/index.php?action=vallex&amp;frame=v-w10621f2", "schraňovat (v-w10621f2)")</f>
        <v>schraňovat (v-w10621f2)</v>
      </c>
    </row>
    <row r="42757" customFormat="false" ht="12.8" hidden="false" customHeight="false" outlineLevel="0" collapsed="false">
      <c r="B42757" s="0" t="s">
        <v>7</v>
      </c>
      <c r="C42757" s="0" t="s">
        <v>1332</v>
      </c>
      <c r="D42757" s="0" t="s">
        <v>77</v>
      </c>
      <c r="E42757" s="0" t="s">
        <v>77</v>
      </c>
      <c r="F42757" s="0" t="s">
        <v>6959</v>
      </c>
    </row>
    <row r="42758" customFormat="false" ht="12.8" hidden="false" customHeight="false" outlineLevel="0" collapsed="false">
      <c r="B42758" s="0" t="s">
        <v>14</v>
      </c>
      <c r="C42758" s="0" t="s">
        <v>1289</v>
      </c>
      <c r="D42758" s="0" t="s">
        <v>79</v>
      </c>
      <c r="E42758" s="0" t="s">
        <v>79</v>
      </c>
      <c r="F42758" s="0" t="s">
        <v>1093</v>
      </c>
    </row>
    <row r="42760" customFormat="false" ht="12.8" hidden="false" customHeight="false" outlineLevel="0" collapsed="false">
      <c r="A42760" s="0" t="s">
        <v>15300</v>
      </c>
      <c r="B42760" s="0" t="str">
        <f aca="false">HYPERLINK("https://lindat.mff.cuni.cz/services/teitok/pdtc10/index.php?action=vallex&amp;frame=v-w6057f2", "schvalovat (v-w6057f2)")</f>
        <v>schvalovat (v-w6057f2)</v>
      </c>
    </row>
    <row r="42761" customFormat="false" ht="12.8" hidden="false" customHeight="false" outlineLevel="0" collapsed="false">
      <c r="B42761" s="0" t="s">
        <v>7</v>
      </c>
    </row>
    <row r="42762" customFormat="false" ht="12.8" hidden="false" customHeight="false" outlineLevel="0" collapsed="false">
      <c r="B42762" s="0" t="s">
        <v>14</v>
      </c>
    </row>
    <row r="42763" customFormat="false" ht="12.8" hidden="false" customHeight="false" outlineLevel="0" collapsed="false">
      <c r="B42763" s="0" t="s">
        <v>11071</v>
      </c>
    </row>
    <row r="42765" customFormat="false" ht="12.8" hidden="false" customHeight="false" outlineLevel="0" collapsed="false">
      <c r="A42765" s="0" t="s">
        <v>15301</v>
      </c>
      <c r="B42765" s="0" t="str">
        <f aca="false">HYPERLINK("https://lindat.mff.cuni.cz/services/teitok/pdtc10/index.php?action=vallex&amp;frame=v-w6057f1", "schvalovat (v-w6057f1)")</f>
        <v>schvalovat (v-w6057f1)</v>
      </c>
    </row>
    <row r="42766" customFormat="false" ht="12.8" hidden="false" customHeight="false" outlineLevel="0" collapsed="false">
      <c r="B42766" s="0" t="s">
        <v>7</v>
      </c>
      <c r="C42766" s="0" t="s">
        <v>15302</v>
      </c>
      <c r="D42766" s="0" t="s">
        <v>158</v>
      </c>
      <c r="E42766" s="0" t="s">
        <v>158</v>
      </c>
      <c r="F42766" s="0" t="s">
        <v>158</v>
      </c>
    </row>
    <row r="42767" customFormat="false" ht="12.8" hidden="false" customHeight="false" outlineLevel="0" collapsed="false">
      <c r="B42767" s="0" t="s">
        <v>165</v>
      </c>
      <c r="C42767" s="0" t="s">
        <v>15303</v>
      </c>
      <c r="D42767" s="0" t="s">
        <v>160</v>
      </c>
      <c r="E42767" s="0" t="s">
        <v>160</v>
      </c>
      <c r="F42767" s="0" t="s">
        <v>160</v>
      </c>
    </row>
    <row r="42769" customFormat="false" ht="12.8" hidden="false" customHeight="false" outlineLevel="0" collapsed="false">
      <c r="A42769" s="0" t="s">
        <v>15304</v>
      </c>
      <c r="B42769" s="0" t="str">
        <f aca="false">HYPERLINK("https://lindat.mff.cuni.cz/services/teitok/pdtc10/index.php?action=vallex&amp;frame=v-w6054f2", "schválit (v-w6054f2)")</f>
        <v>schválit (v-w6054f2)</v>
      </c>
    </row>
    <row r="42770" customFormat="false" ht="12.8" hidden="false" customHeight="false" outlineLevel="0" collapsed="false">
      <c r="B42770" s="0" t="s">
        <v>7</v>
      </c>
    </row>
    <row r="42771" customFormat="false" ht="12.8" hidden="false" customHeight="false" outlineLevel="0" collapsed="false">
      <c r="B42771" s="0" t="s">
        <v>14</v>
      </c>
    </row>
    <row r="42772" customFormat="false" ht="12.8" hidden="false" customHeight="false" outlineLevel="0" collapsed="false">
      <c r="B42772" s="0" t="s">
        <v>11071</v>
      </c>
    </row>
    <row r="42774" customFormat="false" ht="12.8" hidden="false" customHeight="false" outlineLevel="0" collapsed="false">
      <c r="A42774" s="0" t="s">
        <v>15305</v>
      </c>
      <c r="B42774" s="0" t="str">
        <f aca="false">HYPERLINK("https://lindat.mff.cuni.cz/services/teitok/pdtc10/index.php?action=vallex&amp;frame=v-w6054f1", "schválit (v-w6054f1)")</f>
        <v>schválit (v-w6054f1)</v>
      </c>
    </row>
    <row r="42775" customFormat="false" ht="12.8" hidden="false" customHeight="false" outlineLevel="0" collapsed="false">
      <c r="B42775" s="0" t="s">
        <v>7</v>
      </c>
      <c r="C42775" s="0" t="s">
        <v>15306</v>
      </c>
      <c r="D42775" s="0" t="s">
        <v>158</v>
      </c>
      <c r="E42775" s="0" t="s">
        <v>158</v>
      </c>
      <c r="F42775" s="0" t="s">
        <v>158</v>
      </c>
    </row>
    <row r="42776" customFormat="false" ht="12.8" hidden="false" customHeight="false" outlineLevel="0" collapsed="false">
      <c r="B42776" s="0" t="s">
        <v>165</v>
      </c>
      <c r="C42776" s="0" t="s">
        <v>15307</v>
      </c>
      <c r="D42776" s="0" t="s">
        <v>160</v>
      </c>
      <c r="E42776" s="0" t="s">
        <v>160</v>
      </c>
      <c r="F42776" s="0" t="s">
        <v>160</v>
      </c>
    </row>
    <row r="42778" customFormat="false" ht="12.8" hidden="false" customHeight="false" outlineLevel="0" collapsed="false">
      <c r="A42778" s="0" t="s">
        <v>15308</v>
      </c>
      <c r="B42778" s="0" t="str">
        <f aca="false">HYPERLINK("https://lindat.mff.cuni.cz/services/teitok/pdtc10/index.php?action=vallex&amp;frame=v-w12029_ZUf1_ZU", "schvátit (v-w12029_ZUf1_ZU)")</f>
        <v>schvátit (v-w12029_ZUf1_ZU)</v>
      </c>
    </row>
    <row r="42779" customFormat="false" ht="12.8" hidden="false" customHeight="false" outlineLevel="0" collapsed="false">
      <c r="B42779" s="0" t="s">
        <v>7</v>
      </c>
    </row>
    <row r="42780" customFormat="false" ht="12.8" hidden="false" customHeight="false" outlineLevel="0" collapsed="false">
      <c r="B42780" s="0" t="s">
        <v>14</v>
      </c>
    </row>
    <row r="42782" customFormat="false" ht="12.8" hidden="false" customHeight="false" outlineLevel="0" collapsed="false">
      <c r="A42782" s="0" t="s">
        <v>15309</v>
      </c>
      <c r="B42782" s="0" t="str">
        <f aca="false">HYPERLINK("https://lindat.mff.cuni.cz/services/teitok/pdtc10/index.php?action=vallex&amp;frame=v-w6058f2", "schylovat se (v-w6058f2)")</f>
        <v>schylovat se (v-w6058f2)</v>
      </c>
    </row>
    <row r="42783" customFormat="false" ht="12.8" hidden="false" customHeight="false" outlineLevel="0" collapsed="false">
      <c r="B42783" s="0" t="s">
        <v>7</v>
      </c>
    </row>
    <row r="42784" customFormat="false" ht="12.8" hidden="false" customHeight="false" outlineLevel="0" collapsed="false">
      <c r="B42784" s="0" t="s">
        <v>237</v>
      </c>
    </row>
    <row r="42786" customFormat="false" ht="12.8" hidden="false" customHeight="false" outlineLevel="0" collapsed="false">
      <c r="A42786" s="0" t="s">
        <v>15310</v>
      </c>
      <c r="B42786" s="0" t="str">
        <f aca="false">HYPERLINK("https://lindat.mff.cuni.cz/services/teitok/pdtc10/index.php?action=vallex&amp;frame=v-w6058f1", "schylovat se (v-w6058f1)")</f>
        <v>schylovat se (v-w6058f1)</v>
      </c>
    </row>
    <row r="42787" customFormat="false" ht="12.8" hidden="false" customHeight="false" outlineLevel="0" collapsed="false">
      <c r="B42787" s="0" t="s">
        <v>1713</v>
      </c>
      <c r="C42787" s="0" t="s">
        <v>569</v>
      </c>
    </row>
    <row r="42789" customFormat="false" ht="12.8" hidden="false" customHeight="false" outlineLevel="0" collapsed="false">
      <c r="A42789" s="0" t="s">
        <v>15311</v>
      </c>
      <c r="B42789" s="0" t="str">
        <f aca="false">HYPERLINK("https://lindat.mff.cuni.cz/services/teitok/pdtc10/index.php?action=vallex&amp;frame=v-w6059f1", "schytat (v-w6059f1)")</f>
        <v>schytat (v-w6059f1)</v>
      </c>
    </row>
    <row r="42790" customFormat="false" ht="12.8" hidden="false" customHeight="false" outlineLevel="0" collapsed="false">
      <c r="B42790" s="0" t="s">
        <v>7</v>
      </c>
    </row>
    <row r="42791" customFormat="false" ht="12.8" hidden="false" customHeight="false" outlineLevel="0" collapsed="false">
      <c r="B42791" s="0" t="s">
        <v>14</v>
      </c>
    </row>
    <row r="42792" customFormat="false" ht="12.8" hidden="false" customHeight="false" outlineLevel="0" collapsed="false">
      <c r="B42792" s="0" t="s">
        <v>441</v>
      </c>
    </row>
    <row r="42794" customFormat="false" ht="12.8" hidden="false" customHeight="false" outlineLevel="0" collapsed="false">
      <c r="A42794" s="0" t="s">
        <v>15312</v>
      </c>
      <c r="B42794" s="0" t="str">
        <f aca="false">HYPERLINK("https://lindat.mff.cuni.cz/services/teitok/pdtc10/index.php?action=vallex&amp;frame=v-w12383_MMf1_MM", "schytnout (v-w12383_MMf1_MM)")</f>
        <v>schytnout (v-w12383_MMf1_MM)</v>
      </c>
    </row>
    <row r="42795" customFormat="false" ht="12.8" hidden="false" customHeight="false" outlineLevel="0" collapsed="false">
      <c r="B42795" s="0" t="s">
        <v>7</v>
      </c>
    </row>
    <row r="42796" customFormat="false" ht="12.8" hidden="false" customHeight="false" outlineLevel="0" collapsed="false">
      <c r="B42796" s="0" t="s">
        <v>14</v>
      </c>
    </row>
    <row r="42797" customFormat="false" ht="12.8" hidden="false" customHeight="false" outlineLevel="0" collapsed="false">
      <c r="B42797" s="0" t="s">
        <v>441</v>
      </c>
    </row>
    <row r="42799" customFormat="false" ht="12.8" hidden="false" customHeight="false" outlineLevel="0" collapsed="false">
      <c r="A42799" s="0" t="s">
        <v>15313</v>
      </c>
      <c r="B42799" s="0" t="str">
        <f aca="false">HYPERLINK("https://lindat.mff.cuni.cz/services/teitok/pdtc10/index.php?action=vallex&amp;frame=v-w12383_MMf2_MM", "schytnout (v-w12383_MMf2_MM)")</f>
        <v>schytnout (v-w12383_MMf2_MM)</v>
      </c>
    </row>
    <row r="42800" customFormat="false" ht="12.8" hidden="false" customHeight="false" outlineLevel="0" collapsed="false">
      <c r="B42800" s="0" t="s">
        <v>7</v>
      </c>
    </row>
    <row r="42801" customFormat="false" ht="12.8" hidden="false" customHeight="false" outlineLevel="0" collapsed="false">
      <c r="B42801" s="0" t="s">
        <v>14</v>
      </c>
    </row>
    <row r="42802" customFormat="false" ht="12.8" hidden="false" customHeight="false" outlineLevel="0" collapsed="false">
      <c r="B42802" s="0" t="s">
        <v>441</v>
      </c>
    </row>
    <row r="42804" customFormat="false" ht="12.8" hidden="false" customHeight="false" outlineLevel="0" collapsed="false">
      <c r="A42804" s="0" t="s">
        <v>15314</v>
      </c>
      <c r="B42804" s="0" t="str">
        <f aca="false">HYPERLINK("https://lindat.mff.cuni.cz/services/teitok/pdtc10/index.php?action=vallex&amp;frame=v-w6045f1", "scházet (v-w6045f1)")</f>
        <v>scházet (v-w6045f1)</v>
      </c>
    </row>
    <row r="42805" customFormat="false" ht="12.8" hidden="false" customHeight="false" outlineLevel="0" collapsed="false">
      <c r="B42805" s="0" t="s">
        <v>641</v>
      </c>
    </row>
    <row r="42806" customFormat="false" ht="12.8" hidden="false" customHeight="false" outlineLevel="0" collapsed="false">
      <c r="B42806" s="0" t="s">
        <v>142</v>
      </c>
    </row>
    <row r="42808" customFormat="false" ht="12.8" hidden="false" customHeight="false" outlineLevel="0" collapsed="false">
      <c r="A42808" s="0" t="s">
        <v>15315</v>
      </c>
      <c r="B42808" s="0" t="str">
        <f aca="false">HYPERLINK("https://lindat.mff.cuni.cz/services/teitok/pdtc10/index.php?action=vallex&amp;frame=v-w6045f2_ZU", "scházet (v-w6045f2_ZU)")</f>
        <v>scházet (v-w6045f2_ZU)</v>
      </c>
    </row>
    <row r="42809" customFormat="false" ht="12.8" hidden="false" customHeight="false" outlineLevel="0" collapsed="false">
      <c r="B42809" s="0" t="s">
        <v>632</v>
      </c>
    </row>
    <row r="42811" customFormat="false" ht="12.8" hidden="false" customHeight="false" outlineLevel="0" collapsed="false">
      <c r="A42811" s="0" t="s">
        <v>15316</v>
      </c>
      <c r="B42811" s="0" t="str">
        <f aca="false">HYPERLINK("https://lindat.mff.cuni.cz/services/teitok/pdtc10/index.php?action=vallex&amp;frame=v-w6046f3_MM", "scházet se (v-w6046f3_MM)")</f>
        <v>scházet se (v-w6046f3_MM)</v>
      </c>
    </row>
    <row r="42812" customFormat="false" ht="12.8" hidden="false" customHeight="false" outlineLevel="0" collapsed="false">
      <c r="B42812" s="0" t="s">
        <v>7</v>
      </c>
    </row>
    <row r="42813" customFormat="false" ht="12.8" hidden="false" customHeight="false" outlineLevel="0" collapsed="false">
      <c r="B42813" s="0" t="s">
        <v>548</v>
      </c>
    </row>
    <row r="42815" customFormat="false" ht="12.8" hidden="false" customHeight="false" outlineLevel="0" collapsed="false">
      <c r="A42815" s="0" t="s">
        <v>15316</v>
      </c>
      <c r="B42815" s="0" t="str">
        <f aca="false">HYPERLINK("https://lindat.mff.cuni.cz/services/teitok/pdtc10/index.php?action=vallex&amp;frame=v-w6046f1", "scházet se (v-w6046f1) - substituted with v-w6046f3_MM")</f>
        <v>scházet se (v-w6046f1) - substituted with v-w6046f3_MM</v>
      </c>
    </row>
    <row r="42816" customFormat="false" ht="12.8" hidden="false" customHeight="false" outlineLevel="0" collapsed="false">
      <c r="B42816" s="0" t="s">
        <v>7</v>
      </c>
      <c r="C42816" s="0" t="s">
        <v>15317</v>
      </c>
      <c r="D42816" s="0" t="s">
        <v>11037</v>
      </c>
      <c r="E42816" s="0" t="s">
        <v>11037</v>
      </c>
      <c r="F42816" s="0" t="s">
        <v>11037</v>
      </c>
    </row>
    <row r="42817" customFormat="false" ht="12.8" hidden="false" customHeight="false" outlineLevel="0" collapsed="false">
      <c r="B42817" s="0" t="s">
        <v>548</v>
      </c>
      <c r="C42817" s="0" t="s">
        <v>1168</v>
      </c>
      <c r="D42817" s="0" t="s">
        <v>4163</v>
      </c>
      <c r="E42817" s="0" t="s">
        <v>4163</v>
      </c>
      <c r="F42817" s="0" t="s">
        <v>4163</v>
      </c>
    </row>
    <row r="42819" customFormat="false" ht="12.8" hidden="false" customHeight="false" outlineLevel="0" collapsed="false">
      <c r="A42819" s="0" t="s">
        <v>15316</v>
      </c>
      <c r="B42819" s="0" t="str">
        <f aca="false">HYPERLINK("https://lindat.mff.cuni.cz/services/teitok/pdtc10/index.php?action=vallex&amp;frame=v-w6046f2_ZU", "scházet se (v-w6046f2_ZU) - substituted with v-w6046f3_MM")</f>
        <v>scházet se (v-w6046f2_ZU) - substituted with v-w6046f3_MM</v>
      </c>
    </row>
    <row r="42820" customFormat="false" ht="12.8" hidden="false" customHeight="false" outlineLevel="0" collapsed="false">
      <c r="B42820" s="0" t="s">
        <v>7</v>
      </c>
    </row>
    <row r="42821" customFormat="false" ht="12.8" hidden="false" customHeight="false" outlineLevel="0" collapsed="false">
      <c r="B42821" s="0" t="s">
        <v>548</v>
      </c>
    </row>
    <row r="42823" customFormat="false" ht="12.8" hidden="false" customHeight="false" outlineLevel="0" collapsed="false">
      <c r="A42823" s="0" t="s">
        <v>15318</v>
      </c>
      <c r="B42823" s="0" t="str">
        <f aca="false">HYPERLINK("https://lindat.mff.cuni.cz/services/teitok/pdtc10/index.php?action=vallex&amp;frame=v-w6046f5_MM", "scházet se (v-w6046f5_MM)")</f>
        <v>scházet se (v-w6046f5_MM)</v>
      </c>
    </row>
    <row r="42824" customFormat="false" ht="12.8" hidden="false" customHeight="false" outlineLevel="0" collapsed="false">
      <c r="B42824" s="0" t="s">
        <v>7</v>
      </c>
    </row>
    <row r="42825" customFormat="false" ht="12.8" hidden="false" customHeight="false" outlineLevel="0" collapsed="false">
      <c r="B42825" s="0" t="s">
        <v>124</v>
      </c>
    </row>
    <row r="42827" customFormat="false" ht="12.8" hidden="false" customHeight="false" outlineLevel="0" collapsed="false">
      <c r="A42827" s="0" t="s">
        <v>15318</v>
      </c>
      <c r="B42827" s="0" t="str">
        <f aca="false">HYPERLINK("https://lindat.mff.cuni.cz/services/teitok/pdtc10/index.php?action=vallex&amp;frame=v-w6046f4_MM", "scházet se (v-w6046f4_MM) - substituted with v-w6046f5_MM")</f>
        <v>scházet se (v-w6046f4_MM) - substituted with v-w6046f5_MM</v>
      </c>
    </row>
    <row r="42828" customFormat="false" ht="12.8" hidden="false" customHeight="false" outlineLevel="0" collapsed="false">
      <c r="B42828" s="0" t="s">
        <v>7</v>
      </c>
    </row>
    <row r="42829" customFormat="false" ht="12.8" hidden="false" customHeight="false" outlineLevel="0" collapsed="false">
      <c r="B42829" s="0" t="s">
        <v>124</v>
      </c>
    </row>
    <row r="42831" customFormat="false" ht="12.8" hidden="false" customHeight="false" outlineLevel="0" collapsed="false">
      <c r="A42831" s="0" t="s">
        <v>15319</v>
      </c>
      <c r="B42831" s="0" t="str">
        <f aca="false">HYPERLINK("https://lindat.mff.cuni.cz/services/teitok/pdtc10/index.php?action=vallex&amp;frame=v-whsa_1710hsa_1711", "scházívat se (v-whsa_1710hsa_1711)")</f>
        <v>scházívat se (v-whsa_1710hsa_1711)</v>
      </c>
    </row>
    <row r="42832" customFormat="false" ht="12.8" hidden="false" customHeight="false" outlineLevel="0" collapsed="false">
      <c r="B42832" s="0" t="s">
        <v>7</v>
      </c>
    </row>
    <row r="42833" customFormat="false" ht="12.8" hidden="false" customHeight="false" outlineLevel="0" collapsed="false">
      <c r="B42833" s="0" t="s">
        <v>548</v>
      </c>
    </row>
    <row r="42835" customFormat="false" ht="12.8" hidden="false" customHeight="false" outlineLevel="0" collapsed="false">
      <c r="A42835" s="0" t="s">
        <v>15320</v>
      </c>
      <c r="B42835" s="0" t="str">
        <f aca="false">HYPERLINK("https://lindat.mff.cuni.cz/services/teitok/pdtc10/index.php?action=vallex&amp;frame=v-w5913f1", "scupovat (v-w5913f1)")</f>
        <v>scupovat (v-w5913f1)</v>
      </c>
    </row>
    <row r="42836" customFormat="false" ht="12.8" hidden="false" customHeight="false" outlineLevel="0" collapsed="false">
      <c r="B42836" s="0" t="s">
        <v>7</v>
      </c>
    </row>
    <row r="42837" customFormat="false" ht="12.8" hidden="false" customHeight="false" outlineLevel="0" collapsed="false">
      <c r="B42837" s="0" t="s">
        <v>14</v>
      </c>
    </row>
    <row r="42838" customFormat="false" ht="12.8" hidden="false" customHeight="false" outlineLevel="0" collapsed="false">
      <c r="B42838" s="0" t="s">
        <v>2767</v>
      </c>
    </row>
    <row r="42839" customFormat="false" ht="12.8" hidden="false" customHeight="false" outlineLevel="0" collapsed="false">
      <c r="B42839" s="0" t="s">
        <v>2571</v>
      </c>
    </row>
    <row r="42841" customFormat="false" ht="12.8" hidden="false" customHeight="false" outlineLevel="0" collapsed="false">
      <c r="A42841" s="0" t="s">
        <v>15321</v>
      </c>
      <c r="B42841" s="0" t="str">
        <f aca="false">HYPERLINK("https://lindat.mff.cuni.cz/services/teitok/pdtc10/index.php?action=vallex&amp;frame=v-w12160_ZUf1_ZU", "scvakat (v-w12160_ZUf1_ZU)")</f>
        <v>scvakat (v-w12160_ZUf1_ZU)</v>
      </c>
    </row>
    <row r="42842" customFormat="false" ht="12.8" hidden="false" customHeight="false" outlineLevel="0" collapsed="false">
      <c r="B42842" s="0" t="s">
        <v>7</v>
      </c>
    </row>
    <row r="42843" customFormat="false" ht="12.8" hidden="false" customHeight="false" outlineLevel="0" collapsed="false">
      <c r="B42843" s="0" t="s">
        <v>14</v>
      </c>
    </row>
    <row r="42845" customFormat="false" ht="12.8" hidden="false" customHeight="false" outlineLevel="0" collapsed="false">
      <c r="A42845" s="0" t="s">
        <v>15322</v>
      </c>
      <c r="B42845" s="0" t="str">
        <f aca="false">HYPERLINK("https://lindat.mff.cuni.cz/services/teitok/pdtc10/index.php?action=vallex&amp;frame=v-w5914f2", "scvrknout se (v-w5914f2)")</f>
        <v>scvrknout se (v-w5914f2)</v>
      </c>
    </row>
    <row r="42846" customFormat="false" ht="12.8" hidden="false" customHeight="false" outlineLevel="0" collapsed="false">
      <c r="B42846" s="0" t="s">
        <v>7</v>
      </c>
    </row>
    <row r="42847" customFormat="false" ht="12.8" hidden="false" customHeight="false" outlineLevel="0" collapsed="false">
      <c r="B42847" s="0" t="s">
        <v>63</v>
      </c>
    </row>
    <row r="42848" customFormat="false" ht="12.8" hidden="false" customHeight="false" outlineLevel="0" collapsed="false">
      <c r="B42848" s="0" t="s">
        <v>35</v>
      </c>
    </row>
    <row r="42850" customFormat="false" ht="12.8" hidden="false" customHeight="false" outlineLevel="0" collapsed="false">
      <c r="A42850" s="0" t="s">
        <v>15323</v>
      </c>
      <c r="B42850" s="0" t="str">
        <f aca="false">HYPERLINK("https://lindat.mff.cuni.cz/services/teitok/pdtc10/index.php?action=vallex&amp;frame=v-w5914f1", "scvrknout se (v-w5914f1)")</f>
        <v>scvrknout se (v-w5914f1)</v>
      </c>
    </row>
    <row r="42851" customFormat="false" ht="12.8" hidden="false" customHeight="false" outlineLevel="0" collapsed="false">
      <c r="B42851" s="0" t="s">
        <v>7</v>
      </c>
    </row>
    <row r="42852" customFormat="false" ht="12.8" hidden="false" customHeight="false" outlineLevel="0" collapsed="false">
      <c r="B42852" s="0" t="s">
        <v>3745</v>
      </c>
    </row>
    <row r="42854" customFormat="false" ht="12.8" hidden="false" customHeight="false" outlineLevel="0" collapsed="false">
      <c r="A42854" s="0" t="s">
        <v>15324</v>
      </c>
      <c r="B42854" s="0" t="str">
        <f aca="false">HYPERLINK("https://lindat.mff.cuni.cz/services/teitok/pdtc10/index.php?action=vallex&amp;frame=v-w11454f1", "scvrkávat se (v-w11454f1)")</f>
        <v>scvrkávat se (v-w11454f1)</v>
      </c>
    </row>
    <row r="42855" customFormat="false" ht="12.8" hidden="false" customHeight="false" outlineLevel="0" collapsed="false">
      <c r="B42855" s="0" t="s">
        <v>7</v>
      </c>
    </row>
    <row r="42856" customFormat="false" ht="12.8" hidden="false" customHeight="false" outlineLevel="0" collapsed="false">
      <c r="B42856" s="0" t="s">
        <v>63</v>
      </c>
    </row>
    <row r="42857" customFormat="false" ht="12.8" hidden="false" customHeight="false" outlineLevel="0" collapsed="false">
      <c r="B42857" s="0" t="s">
        <v>35</v>
      </c>
    </row>
    <row r="42859" customFormat="false" ht="12.8" hidden="false" customHeight="false" outlineLevel="0" collapsed="false">
      <c r="A42859" s="0" t="s">
        <v>15325</v>
      </c>
      <c r="B42859" s="0" t="str">
        <f aca="false">HYPERLINK("https://lindat.mff.cuni.cz/services/teitok/pdtc10/index.php?action=vallex&amp;frame=v-whsa_1211hsa_1212", "sdrkotat (v-whsa_1211hsa_1212)")</f>
        <v>sdrkotat (v-whsa_1211hsa_1212)</v>
      </c>
    </row>
    <row r="42860" customFormat="false" ht="12.8" hidden="false" customHeight="false" outlineLevel="0" collapsed="false">
      <c r="B42860" s="0" t="s">
        <v>7</v>
      </c>
    </row>
    <row r="42861" customFormat="false" ht="12.8" hidden="false" customHeight="false" outlineLevel="0" collapsed="false">
      <c r="B42861" s="0" t="s">
        <v>459</v>
      </c>
    </row>
    <row r="42863" customFormat="false" ht="12.8" hidden="false" customHeight="false" outlineLevel="0" collapsed="false">
      <c r="A42863" s="0" t="s">
        <v>15326</v>
      </c>
      <c r="B42863" s="0" t="str">
        <f aca="false">HYPERLINK("https://lindat.mff.cuni.cz/services/teitok/pdtc10/index.php?action=vallex&amp;frame=v-w5923f1", "sdružit (v-w5923f1)")</f>
        <v>sdružit (v-w5923f1)</v>
      </c>
    </row>
    <row r="42864" customFormat="false" ht="12.8" hidden="false" customHeight="false" outlineLevel="0" collapsed="false">
      <c r="B42864" s="0" t="s">
        <v>7</v>
      </c>
      <c r="D42864" s="0" t="s">
        <v>4721</v>
      </c>
      <c r="E42864" s="0" t="s">
        <v>4721</v>
      </c>
      <c r="F42864" s="0" t="s">
        <v>4721</v>
      </c>
    </row>
    <row r="42865" customFormat="false" ht="12.8" hidden="false" customHeight="false" outlineLevel="0" collapsed="false">
      <c r="B42865" s="0" t="s">
        <v>14</v>
      </c>
      <c r="D42865" s="0" t="s">
        <v>4723</v>
      </c>
      <c r="E42865" s="0" t="s">
        <v>4723</v>
      </c>
      <c r="F42865" s="0" t="s">
        <v>4723</v>
      </c>
    </row>
    <row r="42866" customFormat="false" ht="12.8" hidden="false" customHeight="false" outlineLevel="0" collapsed="false">
      <c r="B42866" s="0" t="s">
        <v>207</v>
      </c>
      <c r="D42866" s="0" t="s">
        <v>15327</v>
      </c>
      <c r="E42866" s="0" t="s">
        <v>15327</v>
      </c>
      <c r="F42866" s="0" t="s">
        <v>15327</v>
      </c>
    </row>
    <row r="42867" customFormat="false" ht="12.8" hidden="false" customHeight="false" outlineLevel="0" collapsed="false">
      <c r="B42867" s="0" t="s">
        <v>181</v>
      </c>
    </row>
    <row r="42869" customFormat="false" ht="12.8" hidden="false" customHeight="false" outlineLevel="0" collapsed="false">
      <c r="A42869" s="0" t="s">
        <v>15328</v>
      </c>
      <c r="B42869" s="0" t="str">
        <f aca="false">HYPERLINK("https://lindat.mff.cuni.cz/services/teitok/pdtc10/index.php?action=vallex&amp;frame=v-w5924f1", "sdružit se (v-w5924f1)")</f>
        <v>sdružit se (v-w5924f1)</v>
      </c>
    </row>
    <row r="42870" customFormat="false" ht="12.8" hidden="false" customHeight="false" outlineLevel="0" collapsed="false">
      <c r="B42870" s="0" t="s">
        <v>7</v>
      </c>
      <c r="D42870" s="0" t="s">
        <v>2780</v>
      </c>
      <c r="E42870" s="0" t="s">
        <v>2780</v>
      </c>
      <c r="F42870" s="0" t="s">
        <v>2780</v>
      </c>
    </row>
    <row r="42871" customFormat="false" ht="12.8" hidden="false" customHeight="false" outlineLevel="0" collapsed="false">
      <c r="B42871" s="0" t="s">
        <v>548</v>
      </c>
      <c r="D42871" s="0" t="s">
        <v>2781</v>
      </c>
      <c r="E42871" s="0" t="s">
        <v>2781</v>
      </c>
      <c r="F42871" s="0" t="s">
        <v>2781</v>
      </c>
    </row>
    <row r="42872" customFormat="false" ht="12.8" hidden="false" customHeight="false" outlineLevel="0" collapsed="false">
      <c r="B42872" s="0" t="s">
        <v>2571</v>
      </c>
      <c r="D42872" s="0" t="s">
        <v>10273</v>
      </c>
      <c r="E42872" s="0" t="s">
        <v>10273</v>
      </c>
      <c r="F42872" s="0" t="s">
        <v>10273</v>
      </c>
    </row>
    <row r="42874" customFormat="false" ht="12.8" hidden="false" customHeight="false" outlineLevel="0" collapsed="false">
      <c r="A42874" s="0" t="s">
        <v>15329</v>
      </c>
      <c r="B42874" s="0" t="str">
        <f aca="false">HYPERLINK("https://lindat.mff.cuni.cz/services/teitok/pdtc10/index.php?action=vallex&amp;frame=v-w5926f1", "sdružovat (v-w5926f1)")</f>
        <v>sdružovat (v-w5926f1)</v>
      </c>
    </row>
    <row r="42875" customFormat="false" ht="12.8" hidden="false" customHeight="false" outlineLevel="0" collapsed="false">
      <c r="B42875" s="0" t="s">
        <v>7</v>
      </c>
      <c r="C42875" s="0" t="s">
        <v>15330</v>
      </c>
      <c r="D42875" s="0" t="s">
        <v>4721</v>
      </c>
      <c r="E42875" s="0" t="s">
        <v>4721</v>
      </c>
      <c r="F42875" s="0" t="s">
        <v>4721</v>
      </c>
    </row>
    <row r="42876" customFormat="false" ht="12.8" hidden="false" customHeight="false" outlineLevel="0" collapsed="false">
      <c r="B42876" s="0" t="s">
        <v>14</v>
      </c>
      <c r="C42876" s="0" t="s">
        <v>15331</v>
      </c>
      <c r="D42876" s="0" t="s">
        <v>4723</v>
      </c>
      <c r="E42876" s="0" t="s">
        <v>4723</v>
      </c>
      <c r="F42876" s="0" t="s">
        <v>4723</v>
      </c>
    </row>
    <row r="42877" customFormat="false" ht="12.8" hidden="false" customHeight="false" outlineLevel="0" collapsed="false">
      <c r="B42877" s="0" t="s">
        <v>207</v>
      </c>
      <c r="C42877" s="0" t="s">
        <v>15332</v>
      </c>
      <c r="D42877" s="0" t="s">
        <v>15327</v>
      </c>
      <c r="E42877" s="0" t="s">
        <v>15327</v>
      </c>
      <c r="F42877" s="0" t="s">
        <v>15327</v>
      </c>
    </row>
    <row r="42878" customFormat="false" ht="12.8" hidden="false" customHeight="false" outlineLevel="0" collapsed="false">
      <c r="B42878" s="0" t="s">
        <v>2571</v>
      </c>
      <c r="C42878" s="0" t="s">
        <v>4724</v>
      </c>
    </row>
    <row r="42880" customFormat="false" ht="12.8" hidden="false" customHeight="false" outlineLevel="0" collapsed="false">
      <c r="A42880" s="0" t="s">
        <v>15333</v>
      </c>
      <c r="B42880" s="0" t="str">
        <f aca="false">HYPERLINK("https://lindat.mff.cuni.cz/services/teitok/pdtc10/index.php?action=vallex&amp;frame=v-w5927f1", "sdružovat se (v-w5927f1)")</f>
        <v>sdružovat se (v-w5927f1)</v>
      </c>
    </row>
    <row r="42881" customFormat="false" ht="12.8" hidden="false" customHeight="false" outlineLevel="0" collapsed="false">
      <c r="B42881" s="0" t="s">
        <v>7</v>
      </c>
      <c r="C42881" s="0" t="s">
        <v>5009</v>
      </c>
      <c r="D42881" s="0" t="s">
        <v>2780</v>
      </c>
      <c r="E42881" s="0" t="s">
        <v>2780</v>
      </c>
      <c r="F42881" s="0" t="s">
        <v>2780</v>
      </c>
    </row>
    <row r="42882" customFormat="false" ht="12.8" hidden="false" customHeight="false" outlineLevel="0" collapsed="false">
      <c r="B42882" s="0" t="s">
        <v>548</v>
      </c>
      <c r="C42882" s="0" t="s">
        <v>47</v>
      </c>
      <c r="D42882" s="0" t="s">
        <v>2781</v>
      </c>
      <c r="E42882" s="0" t="s">
        <v>2781</v>
      </c>
      <c r="F42882" s="0" t="s">
        <v>2781</v>
      </c>
    </row>
    <row r="42883" customFormat="false" ht="12.8" hidden="false" customHeight="false" outlineLevel="0" collapsed="false">
      <c r="B42883" s="0" t="s">
        <v>2571</v>
      </c>
      <c r="D42883" s="0" t="s">
        <v>10273</v>
      </c>
      <c r="E42883" s="0" t="s">
        <v>10273</v>
      </c>
      <c r="F42883" s="0" t="s">
        <v>10273</v>
      </c>
    </row>
    <row r="42885" customFormat="false" ht="12.8" hidden="false" customHeight="false" outlineLevel="0" collapsed="false">
      <c r="A42885" s="0" t="s">
        <v>15334</v>
      </c>
      <c r="B42885" s="0" t="str">
        <f aca="false">HYPERLINK("https://lindat.mff.cuni.cz/services/teitok/pdtc10/index.php?action=vallex&amp;frame=v-w5921f1", "sdílet (v-w5921f1)")</f>
        <v>sdílet (v-w5921f1)</v>
      </c>
    </row>
    <row r="42886" customFormat="false" ht="12.8" hidden="false" customHeight="false" outlineLevel="0" collapsed="false">
      <c r="B42886" s="0" t="s">
        <v>7</v>
      </c>
      <c r="C42886" s="0" t="s">
        <v>23</v>
      </c>
      <c r="D42886" s="0" t="s">
        <v>23</v>
      </c>
      <c r="E42886" s="0" t="s">
        <v>23</v>
      </c>
      <c r="F42886" s="0" t="s">
        <v>23</v>
      </c>
    </row>
    <row r="42887" customFormat="false" ht="12.8" hidden="false" customHeight="false" outlineLevel="0" collapsed="false">
      <c r="B42887" s="0" t="s">
        <v>14</v>
      </c>
      <c r="C42887" s="0" t="s">
        <v>3565</v>
      </c>
      <c r="D42887" s="0" t="s">
        <v>3565</v>
      </c>
      <c r="E42887" s="0" t="s">
        <v>3565</v>
      </c>
      <c r="F42887" s="0" t="s">
        <v>3565</v>
      </c>
    </row>
    <row r="42888" customFormat="false" ht="12.8" hidden="false" customHeight="false" outlineLevel="0" collapsed="false">
      <c r="B42888" s="0" t="s">
        <v>207</v>
      </c>
      <c r="C42888" s="0" t="s">
        <v>3566</v>
      </c>
      <c r="D42888" s="0" t="s">
        <v>3566</v>
      </c>
      <c r="E42888" s="0" t="s">
        <v>3566</v>
      </c>
      <c r="F42888" s="0" t="s">
        <v>3566</v>
      </c>
    </row>
    <row r="42890" customFormat="false" ht="12.8" hidden="false" customHeight="false" outlineLevel="0" collapsed="false">
      <c r="A42890" s="0" t="s">
        <v>15335</v>
      </c>
      <c r="B42890" s="0" t="str">
        <f aca="false">HYPERLINK("https://lindat.mff.cuni.cz/services/teitok/pdtc10/index.php?action=vallex&amp;frame=v-whsa_645hsa_646", "sdělat (v-whsa_645hsa_646)")</f>
        <v>sdělat (v-whsa_645hsa_646)</v>
      </c>
    </row>
    <row r="42891" customFormat="false" ht="12.8" hidden="false" customHeight="false" outlineLevel="0" collapsed="false">
      <c r="B42891" s="0" t="s">
        <v>7</v>
      </c>
    </row>
    <row r="42892" customFormat="false" ht="12.8" hidden="false" customHeight="false" outlineLevel="0" collapsed="false">
      <c r="B42892" s="0" t="s">
        <v>14</v>
      </c>
    </row>
    <row r="42893" customFormat="false" ht="12.8" hidden="false" customHeight="false" outlineLevel="0" collapsed="false">
      <c r="B42893" s="0" t="s">
        <v>124</v>
      </c>
    </row>
    <row r="42895" customFormat="false" ht="12.8" hidden="false" customHeight="false" outlineLevel="0" collapsed="false">
      <c r="A42895" s="0" t="s">
        <v>15336</v>
      </c>
      <c r="B42895" s="0" t="str">
        <f aca="false">HYPERLINK("https://lindat.mff.cuni.cz/services/teitok/pdtc10/index.php?action=vallex&amp;frame=v-w5918f3_ZU", "sdělit (v-w5918f3_ZU)")</f>
        <v>sdělit (v-w5918f3_ZU)</v>
      </c>
    </row>
    <row r="42896" customFormat="false" ht="12.8" hidden="false" customHeight="false" outlineLevel="0" collapsed="false">
      <c r="B42896" s="0" t="s">
        <v>7</v>
      </c>
    </row>
    <row r="42897" customFormat="false" ht="12.8" hidden="false" customHeight="false" outlineLevel="0" collapsed="false">
      <c r="B42897" s="0" t="s">
        <v>2573</v>
      </c>
    </row>
    <row r="42898" customFormat="false" ht="12.8" hidden="false" customHeight="false" outlineLevel="0" collapsed="false">
      <c r="B42898" s="0" t="s">
        <v>48</v>
      </c>
    </row>
    <row r="42900" customFormat="false" ht="12.8" hidden="false" customHeight="false" outlineLevel="0" collapsed="false">
      <c r="A42900" s="0" t="s">
        <v>15336</v>
      </c>
      <c r="B42900" s="0" t="str">
        <f aca="false">HYPERLINK("https://lindat.mff.cuni.cz/services/teitok/pdtc10/index.php?action=vallex&amp;frame=v-w5918f2", "sdělit (v-w5918f2) - substituted with v-w5918f3_ZU")</f>
        <v>sdělit (v-w5918f2) - substituted with v-w5918f3_ZU</v>
      </c>
    </row>
    <row r="42901" customFormat="false" ht="12.8" hidden="false" customHeight="false" outlineLevel="0" collapsed="false">
      <c r="B42901" s="0" t="s">
        <v>7</v>
      </c>
      <c r="C42901" s="0" t="s">
        <v>15337</v>
      </c>
      <c r="D42901" s="0" t="s">
        <v>164</v>
      </c>
      <c r="E42901" s="0" t="s">
        <v>164</v>
      </c>
      <c r="F42901" s="0" t="s">
        <v>164</v>
      </c>
    </row>
    <row r="42902" customFormat="false" ht="12.8" hidden="false" customHeight="false" outlineLevel="0" collapsed="false">
      <c r="B42902" s="0" t="s">
        <v>2573</v>
      </c>
      <c r="C42902" s="0" t="s">
        <v>15338</v>
      </c>
      <c r="D42902" s="0" t="s">
        <v>167</v>
      </c>
      <c r="E42902" s="0" t="s">
        <v>167</v>
      </c>
      <c r="F42902" s="0" t="s">
        <v>167</v>
      </c>
    </row>
    <row r="42903" customFormat="false" ht="12.8" hidden="false" customHeight="false" outlineLevel="0" collapsed="false">
      <c r="B42903" s="0" t="s">
        <v>48</v>
      </c>
      <c r="C42903" s="0" t="s">
        <v>15339</v>
      </c>
      <c r="D42903" s="0" t="s">
        <v>168</v>
      </c>
      <c r="E42903" s="0" t="s">
        <v>168</v>
      </c>
      <c r="F42903" s="0" t="s">
        <v>168</v>
      </c>
    </row>
    <row r="42905" customFormat="false" ht="12.8" hidden="false" customHeight="false" outlineLevel="0" collapsed="false">
      <c r="A42905" s="0" t="s">
        <v>15340</v>
      </c>
      <c r="B42905" s="0" t="str">
        <f aca="false">HYPERLINK("https://lindat.mff.cuni.cz/services/teitok/pdtc10/index.php?action=vallex&amp;frame=v-w5918f1", "sdělit (v-w5918f1)")</f>
        <v>sdělit (v-w5918f1)</v>
      </c>
    </row>
    <row r="42906" customFormat="false" ht="12.8" hidden="false" customHeight="false" outlineLevel="0" collapsed="false">
      <c r="B42906" s="0" t="s">
        <v>7</v>
      </c>
      <c r="C42906" s="0" t="s">
        <v>15341</v>
      </c>
      <c r="D42906" s="0" t="s">
        <v>164</v>
      </c>
      <c r="E42906" s="0" t="s">
        <v>164</v>
      </c>
      <c r="F42906" s="0" t="s">
        <v>164</v>
      </c>
    </row>
    <row r="42907" customFormat="false" ht="12.8" hidden="false" customHeight="false" outlineLevel="0" collapsed="false">
      <c r="B42907" s="0" t="s">
        <v>48</v>
      </c>
      <c r="C42907" s="0" t="s">
        <v>15342</v>
      </c>
      <c r="D42907" s="0" t="s">
        <v>168</v>
      </c>
      <c r="E42907" s="0" t="s">
        <v>168</v>
      </c>
      <c r="F42907" s="0" t="s">
        <v>168</v>
      </c>
    </row>
    <row r="42908" customFormat="false" ht="12.8" hidden="false" customHeight="false" outlineLevel="0" collapsed="false">
      <c r="B42908" s="0" t="s">
        <v>15343</v>
      </c>
      <c r="C42908" s="0" t="s">
        <v>15344</v>
      </c>
      <c r="D42908" s="0" t="s">
        <v>1766</v>
      </c>
      <c r="E42908" s="0" t="s">
        <v>1766</v>
      </c>
      <c r="F42908" s="0" t="s">
        <v>1766</v>
      </c>
    </row>
    <row r="42909" customFormat="false" ht="12.8" hidden="false" customHeight="false" outlineLevel="0" collapsed="false">
      <c r="B42909" s="0" t="s">
        <v>363</v>
      </c>
      <c r="C42909" s="0" t="s">
        <v>15345</v>
      </c>
      <c r="D42909" s="0" t="s">
        <v>167</v>
      </c>
      <c r="E42909" s="0" t="s">
        <v>167</v>
      </c>
      <c r="F42909" s="0" t="s">
        <v>167</v>
      </c>
    </row>
    <row r="42911" customFormat="false" ht="12.8" hidden="false" customHeight="false" outlineLevel="0" collapsed="false">
      <c r="A42911" s="0" t="s">
        <v>15346</v>
      </c>
      <c r="B42911" s="0" t="str">
        <f aca="false">HYPERLINK("https://lindat.mff.cuni.cz/services/teitok/pdtc10/index.php?action=vallex&amp;frame=v-w5919f3_ZU", "sdělovat (v-w5919f3_ZU)")</f>
        <v>sdělovat (v-w5919f3_ZU)</v>
      </c>
    </row>
    <row r="42912" customFormat="false" ht="12.8" hidden="false" customHeight="false" outlineLevel="0" collapsed="false">
      <c r="B42912" s="0" t="s">
        <v>7</v>
      </c>
    </row>
    <row r="42913" customFormat="false" ht="12.8" hidden="false" customHeight="false" outlineLevel="0" collapsed="false">
      <c r="B42913" s="0" t="s">
        <v>367</v>
      </c>
    </row>
    <row r="42914" customFormat="false" ht="12.8" hidden="false" customHeight="false" outlineLevel="0" collapsed="false">
      <c r="B42914" s="0" t="s">
        <v>48</v>
      </c>
    </row>
    <row r="42916" customFormat="false" ht="12.8" hidden="false" customHeight="false" outlineLevel="0" collapsed="false">
      <c r="A42916" s="0" t="s">
        <v>15346</v>
      </c>
      <c r="B42916" s="0" t="str">
        <f aca="false">HYPERLINK("https://lindat.mff.cuni.cz/services/teitok/pdtc10/index.php?action=vallex&amp;frame=v-w5919f1", "sdělovat (v-w5919f1) - substituted with v-w5919f3_ZU")</f>
        <v>sdělovat (v-w5919f1) - substituted with v-w5919f3_ZU</v>
      </c>
    </row>
    <row r="42917" customFormat="false" ht="12.8" hidden="false" customHeight="false" outlineLevel="0" collapsed="false">
      <c r="B42917" s="0" t="s">
        <v>7</v>
      </c>
      <c r="D42917" s="0" t="s">
        <v>164</v>
      </c>
      <c r="E42917" s="0" t="s">
        <v>164</v>
      </c>
      <c r="F42917" s="0" t="s">
        <v>164</v>
      </c>
    </row>
    <row r="42918" customFormat="false" ht="12.8" hidden="false" customHeight="false" outlineLevel="0" collapsed="false">
      <c r="B42918" s="0" t="s">
        <v>367</v>
      </c>
      <c r="D42918" s="0" t="s">
        <v>167</v>
      </c>
      <c r="E42918" s="0" t="s">
        <v>167</v>
      </c>
      <c r="F42918" s="0" t="s">
        <v>167</v>
      </c>
    </row>
    <row r="42919" customFormat="false" ht="12.8" hidden="false" customHeight="false" outlineLevel="0" collapsed="false">
      <c r="B42919" s="0" t="s">
        <v>48</v>
      </c>
      <c r="D42919" s="0" t="s">
        <v>168</v>
      </c>
      <c r="E42919" s="0" t="s">
        <v>168</v>
      </c>
      <c r="F42919" s="0" t="s">
        <v>168</v>
      </c>
    </row>
    <row r="42921" customFormat="false" ht="12.8" hidden="false" customHeight="false" outlineLevel="0" collapsed="false">
      <c r="A42921" s="0" t="s">
        <v>15347</v>
      </c>
      <c r="B42921" s="0" t="str">
        <f aca="false">HYPERLINK("https://lindat.mff.cuni.cz/services/teitok/pdtc10/index.php?action=vallex&amp;frame=v-w5919f2", "sdělovat (v-w5919f2)")</f>
        <v>sdělovat (v-w5919f2)</v>
      </c>
    </row>
    <row r="42922" customFormat="false" ht="12.8" hidden="false" customHeight="false" outlineLevel="0" collapsed="false">
      <c r="B42922" s="0" t="s">
        <v>7</v>
      </c>
      <c r="C42922" s="0" t="s">
        <v>15348</v>
      </c>
      <c r="D42922" s="0" t="s">
        <v>164</v>
      </c>
      <c r="E42922" s="0" t="s">
        <v>164</v>
      </c>
      <c r="F42922" s="0" t="s">
        <v>164</v>
      </c>
    </row>
    <row r="42923" customFormat="false" ht="12.8" hidden="false" customHeight="false" outlineLevel="0" collapsed="false">
      <c r="B42923" s="0" t="s">
        <v>48</v>
      </c>
      <c r="C42923" s="0" t="s">
        <v>15349</v>
      </c>
      <c r="D42923" s="0" t="s">
        <v>168</v>
      </c>
      <c r="E42923" s="0" t="s">
        <v>168</v>
      </c>
      <c r="F42923" s="0" t="s">
        <v>168</v>
      </c>
    </row>
    <row r="42924" customFormat="false" ht="12.8" hidden="false" customHeight="false" outlineLevel="0" collapsed="false">
      <c r="B42924" s="0" t="s">
        <v>360</v>
      </c>
      <c r="C42924" s="0" t="s">
        <v>15350</v>
      </c>
      <c r="D42924" s="0" t="s">
        <v>1766</v>
      </c>
      <c r="E42924" s="0" t="s">
        <v>1766</v>
      </c>
      <c r="F42924" s="0" t="s">
        <v>1766</v>
      </c>
    </row>
    <row r="42925" customFormat="false" ht="12.8" hidden="false" customHeight="false" outlineLevel="0" collapsed="false">
      <c r="B42925" s="0" t="s">
        <v>15351</v>
      </c>
      <c r="C42925" s="0" t="s">
        <v>624</v>
      </c>
      <c r="D42925" s="0" t="s">
        <v>167</v>
      </c>
      <c r="E42925" s="0" t="s">
        <v>167</v>
      </c>
      <c r="F42925" s="0" t="s">
        <v>167</v>
      </c>
    </row>
    <row r="42927" customFormat="false" ht="12.8" hidden="false" customHeight="false" outlineLevel="0" collapsed="false">
      <c r="A42927" s="0" t="s">
        <v>15352</v>
      </c>
      <c r="B42927" s="0" t="str">
        <f aca="false">HYPERLINK("https://lindat.mff.cuni.cz/services/teitok/pdtc10/index.php?action=vallex&amp;frame=v-w5940f1", "sebrat (v-w5940f1)")</f>
        <v>sebrat (v-w5940f1)</v>
      </c>
    </row>
    <row r="42928" customFormat="false" ht="12.8" hidden="false" customHeight="false" outlineLevel="0" collapsed="false">
      <c r="B42928" s="0" t="s">
        <v>7</v>
      </c>
      <c r="C42928" s="0" t="s">
        <v>15353</v>
      </c>
      <c r="D42928" s="0" t="s">
        <v>429</v>
      </c>
      <c r="E42928" s="0" t="s">
        <v>430</v>
      </c>
      <c r="F42928" s="0" t="s">
        <v>431</v>
      </c>
    </row>
    <row r="42929" customFormat="false" ht="12.8" hidden="false" customHeight="false" outlineLevel="0" collapsed="false">
      <c r="B42929" s="0" t="s">
        <v>14</v>
      </c>
      <c r="C42929" s="0" t="s">
        <v>15354</v>
      </c>
      <c r="D42929" s="0" t="s">
        <v>433</v>
      </c>
      <c r="E42929" s="0" t="s">
        <v>434</v>
      </c>
      <c r="F42929" s="0" t="s">
        <v>435</v>
      </c>
    </row>
    <row r="42930" customFormat="false" ht="12.8" hidden="false" customHeight="false" outlineLevel="0" collapsed="false">
      <c r="B42930" s="0" t="s">
        <v>48</v>
      </c>
      <c r="C42930" s="0" t="s">
        <v>15355</v>
      </c>
      <c r="D42930" s="0" t="s">
        <v>437</v>
      </c>
      <c r="E42930" s="0" t="s">
        <v>438</v>
      </c>
      <c r="F42930" s="0" t="s">
        <v>439</v>
      </c>
    </row>
    <row r="42932" customFormat="false" ht="12.8" hidden="false" customHeight="false" outlineLevel="0" collapsed="false">
      <c r="A42932" s="0" t="s">
        <v>15356</v>
      </c>
      <c r="B42932" s="0" t="str">
        <f aca="false">HYPERLINK("https://lindat.mff.cuni.cz/services/teitok/pdtc10/index.php?action=vallex&amp;frame=v-w5940f3_ZU", "sebrat (v-w5940f3_ZU)")</f>
        <v>sebrat (v-w5940f3_ZU)</v>
      </c>
    </row>
    <row r="42933" customFormat="false" ht="12.8" hidden="false" customHeight="false" outlineLevel="0" collapsed="false">
      <c r="B42933" s="0" t="s">
        <v>7</v>
      </c>
      <c r="C42933" s="0" t="s">
        <v>465</v>
      </c>
      <c r="F42933" s="0" t="s">
        <v>46</v>
      </c>
    </row>
    <row r="42934" customFormat="false" ht="12.8" hidden="false" customHeight="false" outlineLevel="0" collapsed="false">
      <c r="B42934" s="0" t="s">
        <v>14</v>
      </c>
      <c r="C42934" s="0" t="s">
        <v>466</v>
      </c>
      <c r="F42934" s="0" t="s">
        <v>9461</v>
      </c>
    </row>
    <row r="42936" customFormat="false" ht="12.8" hidden="false" customHeight="false" outlineLevel="0" collapsed="false">
      <c r="A42936" s="0" t="s">
        <v>15357</v>
      </c>
      <c r="B42936" s="0" t="str">
        <f aca="false">HYPERLINK("https://lindat.mff.cuni.cz/services/teitok/pdtc10/index.php?action=vallex&amp;frame=v-w5940f2", "sebrat (v-w5940f2)")</f>
        <v>sebrat (v-w5940f2)</v>
      </c>
    </row>
    <row r="42937" customFormat="false" ht="12.8" hidden="false" customHeight="false" outlineLevel="0" collapsed="false">
      <c r="B42937" s="0" t="s">
        <v>7</v>
      </c>
    </row>
    <row r="42938" customFormat="false" ht="12.8" hidden="false" customHeight="false" outlineLevel="0" collapsed="false">
      <c r="B42938" s="0" t="s">
        <v>15287</v>
      </c>
    </row>
    <row r="42940" customFormat="false" ht="12.8" hidden="false" customHeight="false" outlineLevel="0" collapsed="false">
      <c r="A42940" s="0" t="s">
        <v>15358</v>
      </c>
      <c r="B42940" s="0" t="str">
        <f aca="false">HYPERLINK("https://lindat.mff.cuni.cz/services/teitok/pdtc10/index.php?action=vallex&amp;frame=v-w5940f4_ZU", "sebrat (v-w5940f4_ZU)")</f>
        <v>sebrat (v-w5940f4_ZU)</v>
      </c>
    </row>
    <row r="42941" customFormat="false" ht="12.8" hidden="false" customHeight="false" outlineLevel="0" collapsed="false">
      <c r="B42941" s="0" t="s">
        <v>7</v>
      </c>
    </row>
    <row r="42942" customFormat="false" ht="12.8" hidden="false" customHeight="false" outlineLevel="0" collapsed="false">
      <c r="B42942" s="0" t="s">
        <v>14</v>
      </c>
    </row>
    <row r="42943" customFormat="false" ht="12.8" hidden="false" customHeight="false" outlineLevel="0" collapsed="false">
      <c r="B42943" s="0" t="s">
        <v>441</v>
      </c>
    </row>
    <row r="42945" customFormat="false" ht="12.8" hidden="false" customHeight="false" outlineLevel="0" collapsed="false">
      <c r="A42945" s="0" t="s">
        <v>15358</v>
      </c>
      <c r="B42945" s="0" t="str">
        <f aca="false">HYPERLINK("https://lindat.mff.cuni.cz/services/teitok/pdtc10/index.php?action=vallex&amp;frame=v-w5940hsa_1161", "sebrat (v-w5940hsa_1161) - substituted with v-w5940f4_ZU")</f>
        <v>sebrat (v-w5940hsa_1161) - substituted with v-w5940f4_ZU</v>
      </c>
    </row>
    <row r="42946" customFormat="false" ht="12.8" hidden="false" customHeight="false" outlineLevel="0" collapsed="false">
      <c r="B42946" s="0" t="s">
        <v>7</v>
      </c>
    </row>
    <row r="42947" customFormat="false" ht="12.8" hidden="false" customHeight="false" outlineLevel="0" collapsed="false">
      <c r="B42947" s="0" t="s">
        <v>14</v>
      </c>
    </row>
    <row r="42948" customFormat="false" ht="12.8" hidden="false" customHeight="false" outlineLevel="0" collapsed="false">
      <c r="B42948" s="0" t="s">
        <v>441</v>
      </c>
    </row>
    <row r="42950" customFormat="false" ht="12.8" hidden="false" customHeight="false" outlineLevel="0" collapsed="false">
      <c r="A42950" s="0" t="s">
        <v>15359</v>
      </c>
      <c r="B42950" s="0" t="str">
        <f aca="false">HYPERLINK("https://lindat.mff.cuni.cz/services/teitok/pdtc10/index.php?action=vallex&amp;frame=v-w5940f5_ZU", "sebrat (v-w5940f5_ZU)")</f>
        <v>sebrat (v-w5940f5_ZU)</v>
      </c>
    </row>
    <row r="42951" customFormat="false" ht="12.8" hidden="false" customHeight="false" outlineLevel="0" collapsed="false">
      <c r="B42951" s="0" t="s">
        <v>7</v>
      </c>
    </row>
    <row r="42952" customFormat="false" ht="12.8" hidden="false" customHeight="false" outlineLevel="0" collapsed="false">
      <c r="B42952" s="0" t="s">
        <v>14</v>
      </c>
    </row>
    <row r="42954" customFormat="false" ht="12.8" hidden="false" customHeight="false" outlineLevel="0" collapsed="false">
      <c r="A42954" s="0" t="s">
        <v>15359</v>
      </c>
      <c r="B42954" s="0" t="str">
        <f aca="false">HYPERLINK("https://lindat.mff.cuni.cz/services/teitok/pdtc10/index.php?action=vallex&amp;frame=v-w5940hsa_1160", "sebrat (v-w5940hsa_1160) - substituted with v-w5940f5_ZU")</f>
        <v>sebrat (v-w5940hsa_1160) - substituted with v-w5940f5_ZU</v>
      </c>
    </row>
    <row r="42955" customFormat="false" ht="12.8" hidden="false" customHeight="false" outlineLevel="0" collapsed="false">
      <c r="B42955" s="0" t="s">
        <v>7</v>
      </c>
    </row>
    <row r="42956" customFormat="false" ht="12.8" hidden="false" customHeight="false" outlineLevel="0" collapsed="false">
      <c r="B42956" s="0" t="s">
        <v>14</v>
      </c>
    </row>
    <row r="42958" customFormat="false" ht="12.8" hidden="false" customHeight="false" outlineLevel="0" collapsed="false">
      <c r="A42958" s="0" t="s">
        <v>15360</v>
      </c>
      <c r="B42958" s="0" t="str">
        <f aca="false">HYPERLINK("https://lindat.mff.cuni.cz/services/teitok/pdtc10/index.php?action=vallex&amp;frame=v-w5940f7_ZU", "sebrat (v-w5940f7_ZU)")</f>
        <v>sebrat (v-w5940f7_ZU)</v>
      </c>
    </row>
    <row r="42959" customFormat="false" ht="12.8" hidden="false" customHeight="false" outlineLevel="0" collapsed="false">
      <c r="B42959" s="0" t="s">
        <v>7</v>
      </c>
    </row>
    <row r="42960" customFormat="false" ht="12.8" hidden="false" customHeight="false" outlineLevel="0" collapsed="false">
      <c r="B42960" s="0" t="s">
        <v>14</v>
      </c>
    </row>
    <row r="42962" customFormat="false" ht="12.8" hidden="false" customHeight="false" outlineLevel="0" collapsed="false">
      <c r="A42962" s="0" t="s">
        <v>15360</v>
      </c>
      <c r="B42962" s="0" t="str">
        <f aca="false">HYPERLINK("https://lindat.mff.cuni.cz/services/teitok/pdtc10/index.php?action=vallex&amp;frame=v-w5940f6_ZU", "sebrat (v-w5940f6_ZU) - substituted with v-w5940f7_ZU")</f>
        <v>sebrat (v-w5940f6_ZU) - substituted with v-w5940f7_ZU</v>
      </c>
    </row>
    <row r="42963" customFormat="false" ht="12.8" hidden="false" customHeight="false" outlineLevel="0" collapsed="false">
      <c r="B42963" s="0" t="s">
        <v>7</v>
      </c>
    </row>
    <row r="42964" customFormat="false" ht="12.8" hidden="false" customHeight="false" outlineLevel="0" collapsed="false">
      <c r="B42964" s="0" t="s">
        <v>14</v>
      </c>
    </row>
    <row r="42966" customFormat="false" ht="12.8" hidden="false" customHeight="false" outlineLevel="0" collapsed="false">
      <c r="A42966" s="0" t="s">
        <v>15361</v>
      </c>
      <c r="B42966" s="0" t="str">
        <f aca="false">HYPERLINK("https://lindat.mff.cuni.cz/services/teitok/pdtc10/index.php?action=vallex&amp;frame=v-w5940f9_MM", "sebrat (v-w5940f9_MM)")</f>
        <v>sebrat (v-w5940f9_MM)</v>
      </c>
    </row>
    <row r="42967" customFormat="false" ht="12.8" hidden="false" customHeight="false" outlineLevel="0" collapsed="false">
      <c r="B42967" s="0" t="s">
        <v>7</v>
      </c>
    </row>
    <row r="42968" customFormat="false" ht="12.8" hidden="false" customHeight="false" outlineLevel="0" collapsed="false">
      <c r="B42968" s="0" t="s">
        <v>232</v>
      </c>
    </row>
    <row r="42970" customFormat="false" ht="12.8" hidden="false" customHeight="false" outlineLevel="0" collapsed="false">
      <c r="A42970" s="0" t="s">
        <v>15361</v>
      </c>
      <c r="B42970" s="0" t="str">
        <f aca="false">HYPERLINK("https://lindat.mff.cuni.cz/services/teitok/pdtc10/index.php?action=vallex&amp;frame=v-w5940f8_ZU", "sebrat (v-w5940f8_ZU) - substituted with v-w5940f9_MM")</f>
        <v>sebrat (v-w5940f8_ZU) - substituted with v-w5940f9_MM</v>
      </c>
    </row>
    <row r="42971" customFormat="false" ht="12.8" hidden="false" customHeight="false" outlineLevel="0" collapsed="false">
      <c r="B42971" s="0" t="s">
        <v>7</v>
      </c>
    </row>
    <row r="42972" customFormat="false" ht="12.8" hidden="false" customHeight="false" outlineLevel="0" collapsed="false">
      <c r="B42972" s="0" t="s">
        <v>232</v>
      </c>
    </row>
    <row r="42974" customFormat="false" ht="12.8" hidden="false" customHeight="false" outlineLevel="0" collapsed="false">
      <c r="A42974" s="0" t="s">
        <v>15361</v>
      </c>
      <c r="B42974" s="0" t="str">
        <f aca="false">HYPERLINK("https://lindat.mff.cuni.cz/services/teitok/pdtc10/index.php?action=vallex&amp;frame=v-w5940hsa_1158", "sebrat (v-w5940hsa_1158) - substituted with v-w5940f9_MM")</f>
        <v>sebrat (v-w5940hsa_1158) - substituted with v-w5940f9_MM</v>
      </c>
    </row>
    <row r="42975" customFormat="false" ht="12.8" hidden="false" customHeight="false" outlineLevel="0" collapsed="false">
      <c r="B42975" s="0" t="s">
        <v>7</v>
      </c>
    </row>
    <row r="42976" customFormat="false" ht="12.8" hidden="false" customHeight="false" outlineLevel="0" collapsed="false">
      <c r="B42976" s="0" t="s">
        <v>232</v>
      </c>
    </row>
    <row r="42978" customFormat="false" ht="12.8" hidden="false" customHeight="false" outlineLevel="0" collapsed="false">
      <c r="A42978" s="0" t="s">
        <v>15362</v>
      </c>
      <c r="B42978" s="0" t="str">
        <f aca="false">HYPERLINK("https://lindat.mff.cuni.cz/services/teitok/pdtc10/index.php?action=vallex&amp;frame=v-w5940hsa_1159", "sebrat (v-w5940hsa_1159)")</f>
        <v>sebrat (v-w5940hsa_1159)</v>
      </c>
    </row>
    <row r="42979" customFormat="false" ht="12.8" hidden="false" customHeight="false" outlineLevel="0" collapsed="false">
      <c r="B42979" s="0" t="s">
        <v>7</v>
      </c>
    </row>
    <row r="42980" customFormat="false" ht="12.8" hidden="false" customHeight="false" outlineLevel="0" collapsed="false">
      <c r="B42980" s="0" t="s">
        <v>14</v>
      </c>
    </row>
    <row r="42982" customFormat="false" ht="12.8" hidden="false" customHeight="false" outlineLevel="0" collapsed="false">
      <c r="A42982" s="0" t="s">
        <v>15363</v>
      </c>
      <c r="B42982" s="0" t="str">
        <f aca="false">HYPERLINK("https://lindat.mff.cuni.cz/services/teitok/pdtc10/index.php?action=vallex&amp;frame=v-whsa_1065hsa_1066", "sebrat se (v-whsa_1065hsa_1066)")</f>
        <v>sebrat se (v-whsa_1065hsa_1066)</v>
      </c>
    </row>
    <row r="42983" customFormat="false" ht="12.8" hidden="false" customHeight="false" outlineLevel="0" collapsed="false">
      <c r="B42983" s="0" t="s">
        <v>7</v>
      </c>
    </row>
    <row r="42985" customFormat="false" ht="12.8" hidden="false" customHeight="false" outlineLevel="0" collapsed="false">
      <c r="A42985" s="0" t="s">
        <v>15364</v>
      </c>
      <c r="B42985" s="0" t="str">
        <f aca="false">HYPERLINK("https://lindat.mff.cuni.cz/services/teitok/pdtc10/index.php?action=vallex&amp;frame=v-whsa_1065hsa_1067", "sebrat se (v-whsa_1065hsa_1067)")</f>
        <v>sebrat se (v-whsa_1065hsa_1067)</v>
      </c>
    </row>
    <row r="42986" customFormat="false" ht="12.8" hidden="false" customHeight="false" outlineLevel="0" collapsed="false">
      <c r="B42986" s="0" t="s">
        <v>7</v>
      </c>
    </row>
    <row r="42988" customFormat="false" ht="12.8" hidden="false" customHeight="false" outlineLevel="0" collapsed="false">
      <c r="A42988" s="0" t="s">
        <v>15365</v>
      </c>
      <c r="B42988" s="0" t="str">
        <f aca="false">HYPERLINK("https://lindat.mff.cuni.cz/services/teitok/pdtc10/index.php?action=vallex&amp;frame=v-whsa_757hsa_758", "seběhnout (v-whsa_757hsa_758)")</f>
        <v>seběhnout (v-whsa_757hsa_758)</v>
      </c>
    </row>
    <row r="42989" customFormat="false" ht="12.8" hidden="false" customHeight="false" outlineLevel="0" collapsed="false">
      <c r="B42989" s="0" t="s">
        <v>7</v>
      </c>
    </row>
    <row r="42990" customFormat="false" ht="12.8" hidden="false" customHeight="false" outlineLevel="0" collapsed="false">
      <c r="B42990" s="0" t="s">
        <v>124</v>
      </c>
    </row>
    <row r="42992" customFormat="false" ht="12.8" hidden="false" customHeight="false" outlineLevel="0" collapsed="false">
      <c r="A42992" s="0" t="s">
        <v>15366</v>
      </c>
      <c r="B42992" s="0" t="str">
        <f aca="false">HYPERLINK("https://lindat.mff.cuni.cz/services/teitok/pdtc10/index.php?action=vallex&amp;frame=v-w5929f1", "seběhnout se (v-w5929f1)")</f>
        <v>seběhnout se (v-w5929f1)</v>
      </c>
    </row>
    <row r="42993" customFormat="false" ht="12.8" hidden="false" customHeight="false" outlineLevel="0" collapsed="false">
      <c r="B42993" s="0" t="s">
        <v>7</v>
      </c>
    </row>
    <row r="42994" customFormat="false" ht="12.8" hidden="false" customHeight="false" outlineLevel="0" collapsed="false">
      <c r="B42994" s="0" t="s">
        <v>11</v>
      </c>
    </row>
    <row r="42996" customFormat="false" ht="12.8" hidden="false" customHeight="false" outlineLevel="0" collapsed="false">
      <c r="A42996" s="0" t="s">
        <v>15367</v>
      </c>
      <c r="B42996" s="0" t="str">
        <f aca="false">HYPERLINK("https://lindat.mff.cuni.cz/services/teitok/pdtc10/index.php?action=vallex&amp;frame=v-w5929f3", "seběhnout se (v-w5929f3)")</f>
        <v>seběhnout se (v-w5929f3)</v>
      </c>
    </row>
    <row r="42997" customFormat="false" ht="12.8" hidden="false" customHeight="false" outlineLevel="0" collapsed="false">
      <c r="B42997" s="0" t="s">
        <v>7</v>
      </c>
    </row>
    <row r="42998" customFormat="false" ht="12.8" hidden="false" customHeight="false" outlineLevel="0" collapsed="false">
      <c r="B42998" s="0" t="s">
        <v>124</v>
      </c>
    </row>
    <row r="43000" customFormat="false" ht="12.8" hidden="false" customHeight="false" outlineLevel="0" collapsed="false">
      <c r="A43000" s="0" t="s">
        <v>15368</v>
      </c>
      <c r="B43000" s="0" t="str">
        <f aca="false">HYPERLINK("https://lindat.mff.cuni.cz/services/teitok/pdtc10/index.php?action=vallex&amp;frame=v-w5929f2", "seběhnout se (v-w5929f2)")</f>
        <v>seběhnout se (v-w5929f2)</v>
      </c>
    </row>
    <row r="43001" customFormat="false" ht="12.8" hidden="false" customHeight="false" outlineLevel="0" collapsed="false">
      <c r="B43001" s="0" t="s">
        <v>7</v>
      </c>
    </row>
    <row r="43003" customFormat="false" ht="12.8" hidden="false" customHeight="false" outlineLevel="0" collapsed="false">
      <c r="A43003" s="0" t="s">
        <v>15369</v>
      </c>
      <c r="B43003" s="0" t="str">
        <f aca="false">HYPERLINK("https://lindat.mff.cuni.cz/services/teitok/pdtc10/index.php?action=vallex&amp;frame=v-whsa_879hsa_880", "secvičit (v-whsa_879hsa_880)")</f>
        <v>secvičit (v-whsa_879hsa_880)</v>
      </c>
    </row>
    <row r="43004" customFormat="false" ht="12.8" hidden="false" customHeight="false" outlineLevel="0" collapsed="false">
      <c r="B43004" s="0" t="s">
        <v>7</v>
      </c>
    </row>
    <row r="43005" customFormat="false" ht="12.8" hidden="false" customHeight="false" outlineLevel="0" collapsed="false">
      <c r="B43005" s="0" t="s">
        <v>14</v>
      </c>
    </row>
    <row r="43007" customFormat="false" ht="12.8" hidden="false" customHeight="false" outlineLevel="0" collapsed="false">
      <c r="A43007" s="0" t="s">
        <v>15370</v>
      </c>
      <c r="B43007" s="0" t="str">
        <f aca="false">HYPERLINK("https://lindat.mff.cuni.cz/services/teitok/pdtc10/index.php?action=vallex&amp;frame=v-whsa_584hsa_585", "secvičovat (v-whsa_584hsa_585)")</f>
        <v>secvičovat (v-whsa_584hsa_585)</v>
      </c>
    </row>
    <row r="43008" customFormat="false" ht="12.8" hidden="false" customHeight="false" outlineLevel="0" collapsed="false">
      <c r="B43008" s="0" t="s">
        <v>7</v>
      </c>
    </row>
    <row r="43009" customFormat="false" ht="12.8" hidden="false" customHeight="false" outlineLevel="0" collapsed="false">
      <c r="B43009" s="0" t="s">
        <v>14</v>
      </c>
    </row>
    <row r="43011" customFormat="false" ht="12.8" hidden="false" customHeight="false" outlineLevel="0" collapsed="false">
      <c r="A43011" s="0" t="s">
        <v>15371</v>
      </c>
      <c r="B43011" s="0" t="str">
        <f aca="false">HYPERLINK("https://lindat.mff.cuni.cz/services/teitok/pdtc10/index.php?action=vallex&amp;frame=v-whsa_1398hsa_1399", "secvičovat se (v-whsa_1398hsa_1399)")</f>
        <v>secvičovat se (v-whsa_1398hsa_1399)</v>
      </c>
    </row>
    <row r="43012" customFormat="false" ht="12.8" hidden="false" customHeight="false" outlineLevel="0" collapsed="false">
      <c r="B43012" s="0" t="s">
        <v>7</v>
      </c>
    </row>
    <row r="43013" customFormat="false" ht="12.8" hidden="false" customHeight="false" outlineLevel="0" collapsed="false">
      <c r="B43013" s="0" t="s">
        <v>548</v>
      </c>
    </row>
    <row r="43015" customFormat="false" ht="12.8" hidden="false" customHeight="false" outlineLevel="0" collapsed="false">
      <c r="A43015" s="0" t="s">
        <v>15372</v>
      </c>
      <c r="B43015" s="0" t="str">
        <f aca="false">HYPERLINK("https://lindat.mff.cuni.cz/services/teitok/pdtc10/index.php?action=vallex&amp;frame=v-w11767_ZUf2_ZU", "sedat (v-w11767_ZUf2_ZU)")</f>
        <v>sedat (v-w11767_ZUf2_ZU)</v>
      </c>
    </row>
    <row r="43016" customFormat="false" ht="12.8" hidden="false" customHeight="false" outlineLevel="0" collapsed="false">
      <c r="B43016" s="0" t="s">
        <v>7</v>
      </c>
    </row>
    <row r="43017" customFormat="false" ht="12.8" hidden="false" customHeight="false" outlineLevel="0" collapsed="false">
      <c r="B43017" s="0" t="s">
        <v>338</v>
      </c>
    </row>
    <row r="43019" customFormat="false" ht="12.8" hidden="false" customHeight="false" outlineLevel="0" collapsed="false">
      <c r="A43019" s="0" t="s">
        <v>15373</v>
      </c>
      <c r="B43019" s="0" t="str">
        <f aca="false">HYPERLINK("https://lindat.mff.cuni.cz/services/teitok/pdtc10/index.php?action=vallex&amp;frame=v-w11767_ZUf3_ZU", "sedat (v-w11767_ZUf3_ZU)")</f>
        <v>sedat (v-w11767_ZUf3_ZU)</v>
      </c>
    </row>
    <row r="43020" customFormat="false" ht="12.8" hidden="false" customHeight="false" outlineLevel="0" collapsed="false">
      <c r="B43020" s="0" t="s">
        <v>7</v>
      </c>
    </row>
    <row r="43021" customFormat="false" ht="12.8" hidden="false" customHeight="false" outlineLevel="0" collapsed="false">
      <c r="B43021" s="0" t="s">
        <v>1059</v>
      </c>
    </row>
    <row r="43023" customFormat="false" ht="12.8" hidden="false" customHeight="false" outlineLevel="0" collapsed="false">
      <c r="A43023" s="0" t="s">
        <v>15373</v>
      </c>
      <c r="B43023" s="0" t="str">
        <f aca="false">HYPERLINK("https://lindat.mff.cuni.cz/services/teitok/pdtc10/index.php?action=vallex&amp;frame=v-w11767_ZUf1_ZU", "sedat (v-w11767_ZUf1_ZU) - substituted with v-w11767_ZUf3_ZU")</f>
        <v>sedat (v-w11767_ZUf1_ZU) - substituted with v-w11767_ZUf3_ZU</v>
      </c>
    </row>
    <row r="43024" customFormat="false" ht="12.8" hidden="false" customHeight="false" outlineLevel="0" collapsed="false">
      <c r="B43024" s="0" t="s">
        <v>7</v>
      </c>
    </row>
    <row r="43025" customFormat="false" ht="12.8" hidden="false" customHeight="false" outlineLevel="0" collapsed="false">
      <c r="B43025" s="0" t="s">
        <v>1059</v>
      </c>
    </row>
    <row r="43027" customFormat="false" ht="12.8" hidden="false" customHeight="false" outlineLevel="0" collapsed="false">
      <c r="A43027" s="0" t="s">
        <v>15374</v>
      </c>
      <c r="B43027" s="0" t="str">
        <f aca="false">HYPERLINK("https://lindat.mff.cuni.cz/services/teitok/pdtc10/index.php?action=vallex&amp;frame=v-whsa_1364hsa_1365", "sedat si (v-whsa_1364hsa_1365)")</f>
        <v>sedat si (v-whsa_1364hsa_1365)</v>
      </c>
    </row>
    <row r="43028" customFormat="false" ht="12.8" hidden="false" customHeight="false" outlineLevel="0" collapsed="false">
      <c r="B43028" s="0" t="s">
        <v>7</v>
      </c>
    </row>
    <row r="43029" customFormat="false" ht="12.8" hidden="false" customHeight="false" outlineLevel="0" collapsed="false">
      <c r="B43029" s="0" t="s">
        <v>124</v>
      </c>
    </row>
    <row r="43031" customFormat="false" ht="12.8" hidden="false" customHeight="false" outlineLevel="0" collapsed="false">
      <c r="A43031" s="0" t="s">
        <v>15375</v>
      </c>
      <c r="B43031" s="0" t="str">
        <f aca="false">HYPERLINK("https://lindat.mff.cuni.cz/services/teitok/pdtc10/index.php?action=vallex&amp;frame=v-w10268f2", "sedlat (v-w10268f2)")</f>
        <v>sedlat (v-w10268f2)</v>
      </c>
    </row>
    <row r="43032" customFormat="false" ht="12.8" hidden="false" customHeight="false" outlineLevel="0" collapsed="false">
      <c r="B43032" s="0" t="s">
        <v>7</v>
      </c>
    </row>
    <row r="43033" customFormat="false" ht="12.8" hidden="false" customHeight="false" outlineLevel="0" collapsed="false">
      <c r="B43033" s="0" t="s">
        <v>14</v>
      </c>
    </row>
    <row r="43035" customFormat="false" ht="12.8" hidden="false" customHeight="false" outlineLevel="0" collapsed="false">
      <c r="A43035" s="0" t="s">
        <v>15376</v>
      </c>
      <c r="B43035" s="0" t="str">
        <f aca="false">HYPERLINK("https://lindat.mff.cuni.cz/services/teitok/pdtc10/index.php?action=vallex&amp;frame=v-w5946f1", "sednout (v-w5946f1)")</f>
        <v>sednout (v-w5946f1)</v>
      </c>
    </row>
    <row r="43036" customFormat="false" ht="12.8" hidden="false" customHeight="false" outlineLevel="0" collapsed="false">
      <c r="B43036" s="0" t="s">
        <v>7</v>
      </c>
      <c r="E43036" s="0" t="s">
        <v>176</v>
      </c>
      <c r="F43036" s="0" t="s">
        <v>176</v>
      </c>
    </row>
    <row r="43037" customFormat="false" ht="12.8" hidden="false" customHeight="false" outlineLevel="0" collapsed="false">
      <c r="B43037" s="0" t="s">
        <v>124</v>
      </c>
    </row>
    <row r="43039" customFormat="false" ht="12.8" hidden="false" customHeight="false" outlineLevel="0" collapsed="false">
      <c r="A43039" s="0" t="s">
        <v>15377</v>
      </c>
      <c r="B43039" s="0" t="str">
        <f aca="false">HYPERLINK("https://lindat.mff.cuni.cz/services/teitok/pdtc10/index.php?action=vallex&amp;frame=v-w5947f3_ZU", "sednout si (v-w5947f3_ZU)")</f>
        <v>sednout si (v-w5947f3_ZU)</v>
      </c>
    </row>
    <row r="43040" customFormat="false" ht="12.8" hidden="false" customHeight="false" outlineLevel="0" collapsed="false">
      <c r="B43040" s="0" t="s">
        <v>7</v>
      </c>
    </row>
    <row r="43041" customFormat="false" ht="12.8" hidden="false" customHeight="false" outlineLevel="0" collapsed="false">
      <c r="B43041" s="0" t="s">
        <v>11</v>
      </c>
    </row>
    <row r="43043" customFormat="false" ht="12.8" hidden="false" customHeight="false" outlineLevel="0" collapsed="false">
      <c r="A43043" s="0" t="s">
        <v>15377</v>
      </c>
      <c r="B43043" s="0" t="str">
        <f aca="false">HYPERLINK("https://lindat.mff.cuni.cz/services/teitok/pdtc10/index.php?action=vallex&amp;frame=v-w5947f2", "sednout si (v-w5947f2) - substituted with v-w5947f3_ZU")</f>
        <v>sednout si (v-w5947f2) - substituted with v-w5947f3_ZU</v>
      </c>
    </row>
    <row r="43044" customFormat="false" ht="12.8" hidden="false" customHeight="false" outlineLevel="0" collapsed="false">
      <c r="B43044" s="0" t="s">
        <v>7</v>
      </c>
      <c r="C43044" s="0" t="s">
        <v>176</v>
      </c>
      <c r="D43044" s="0" t="s">
        <v>176</v>
      </c>
      <c r="E43044" s="0" t="s">
        <v>176</v>
      </c>
      <c r="F43044" s="0" t="s">
        <v>176</v>
      </c>
    </row>
    <row r="43045" customFormat="false" ht="12.8" hidden="false" customHeight="false" outlineLevel="0" collapsed="false">
      <c r="B43045" s="0" t="s">
        <v>11</v>
      </c>
    </row>
    <row r="43047" customFormat="false" ht="12.8" hidden="false" customHeight="false" outlineLevel="0" collapsed="false">
      <c r="A43047" s="0" t="s">
        <v>15378</v>
      </c>
      <c r="B43047" s="0" t="str">
        <f aca="false">HYPERLINK("https://lindat.mff.cuni.cz/services/teitok/pdtc10/index.php?action=vallex&amp;frame=v-w5947f1", "sednout si (v-w5947f1)")</f>
        <v>sednout si (v-w5947f1)</v>
      </c>
    </row>
    <row r="43048" customFormat="false" ht="12.8" hidden="false" customHeight="false" outlineLevel="0" collapsed="false">
      <c r="B43048" s="0" t="s">
        <v>7</v>
      </c>
      <c r="C43048" s="0" t="s">
        <v>5276</v>
      </c>
      <c r="D43048" s="0" t="s">
        <v>176</v>
      </c>
      <c r="E43048" s="0" t="s">
        <v>176</v>
      </c>
      <c r="F43048" s="0" t="s">
        <v>176</v>
      </c>
    </row>
    <row r="43049" customFormat="false" ht="12.8" hidden="false" customHeight="false" outlineLevel="0" collapsed="false">
      <c r="B43049" s="0" t="s">
        <v>124</v>
      </c>
    </row>
    <row r="43051" customFormat="false" ht="12.8" hidden="false" customHeight="false" outlineLevel="0" collapsed="false">
      <c r="A43051" s="0" t="s">
        <v>15379</v>
      </c>
      <c r="B43051" s="0" t="str">
        <f aca="false">HYPERLINK("https://lindat.mff.cuni.cz/services/teitok/pdtc10/index.php?action=vallex&amp;frame=v-w5947hsa_1230", "sednout si (v-w5947hsa_1230)")</f>
        <v>sednout si (v-w5947hsa_1230)</v>
      </c>
    </row>
    <row r="43052" customFormat="false" ht="12.8" hidden="false" customHeight="false" outlineLevel="0" collapsed="false">
      <c r="B43052" s="0" t="s">
        <v>7</v>
      </c>
    </row>
    <row r="43053" customFormat="false" ht="12.8" hidden="false" customHeight="false" outlineLevel="0" collapsed="false">
      <c r="B43053" s="0" t="s">
        <v>15380</v>
      </c>
    </row>
    <row r="43055" customFormat="false" ht="12.8" hidden="false" customHeight="false" outlineLevel="0" collapsed="false">
      <c r="A43055" s="0" t="s">
        <v>15381</v>
      </c>
      <c r="B43055" s="0" t="str">
        <f aca="false">HYPERLINK("https://lindat.mff.cuni.cz/services/teitok/pdtc10/index.php?action=vallex&amp;frame=v-w5944f1", "sedávat (v-w5944f1)")</f>
        <v>sedávat (v-w5944f1)</v>
      </c>
    </row>
    <row r="43056" customFormat="false" ht="12.8" hidden="false" customHeight="false" outlineLevel="0" collapsed="false">
      <c r="B43056" s="0" t="s">
        <v>7</v>
      </c>
      <c r="C43056" s="0" t="s">
        <v>247</v>
      </c>
      <c r="E43056" s="0" t="s">
        <v>10720</v>
      </c>
      <c r="F43056" s="0" t="s">
        <v>10720</v>
      </c>
    </row>
    <row r="43057" customFormat="false" ht="12.8" hidden="false" customHeight="false" outlineLevel="0" collapsed="false">
      <c r="B43057" s="0" t="s">
        <v>11</v>
      </c>
    </row>
    <row r="43059" customFormat="false" ht="12.8" hidden="false" customHeight="false" outlineLevel="0" collapsed="false">
      <c r="A43059" s="0" t="s">
        <v>15382</v>
      </c>
      <c r="B43059" s="0" t="str">
        <f aca="false">HYPERLINK("https://lindat.mff.cuni.cz/services/teitok/pdtc10/index.php?action=vallex&amp;frame=v-w5945f3", "sedět (v-w5945f3)")</f>
        <v>sedět (v-w5945f3)</v>
      </c>
    </row>
    <row r="43060" customFormat="false" ht="12.8" hidden="false" customHeight="false" outlineLevel="0" collapsed="false">
      <c r="B43060" s="0" t="s">
        <v>6802</v>
      </c>
      <c r="C43060" s="0" t="s">
        <v>200</v>
      </c>
    </row>
    <row r="43061" customFormat="false" ht="12.8" hidden="false" customHeight="false" outlineLevel="0" collapsed="false">
      <c r="B43061" s="0" t="s">
        <v>142</v>
      </c>
    </row>
    <row r="43063" customFormat="false" ht="12.8" hidden="false" customHeight="false" outlineLevel="0" collapsed="false">
      <c r="A43063" s="0" t="s">
        <v>15383</v>
      </c>
      <c r="B43063" s="0" t="str">
        <f aca="false">HYPERLINK("https://lindat.mff.cuni.cz/services/teitok/pdtc10/index.php?action=vallex&amp;frame=v-w5945f1", "sedět (v-w5945f1)")</f>
        <v>sedět (v-w5945f1)</v>
      </c>
    </row>
    <row r="43064" customFormat="false" ht="12.8" hidden="false" customHeight="false" outlineLevel="0" collapsed="false">
      <c r="B43064" s="0" t="s">
        <v>7</v>
      </c>
      <c r="C43064" s="0" t="s">
        <v>15384</v>
      </c>
      <c r="D43064" s="0" t="s">
        <v>10910</v>
      </c>
      <c r="E43064" s="0" t="s">
        <v>10910</v>
      </c>
      <c r="F43064" s="0" t="s">
        <v>10910</v>
      </c>
    </row>
    <row r="43065" customFormat="false" ht="12.8" hidden="false" customHeight="false" outlineLevel="0" collapsed="false">
      <c r="B43065" s="0" t="s">
        <v>11</v>
      </c>
      <c r="C43065" s="0" t="s">
        <v>10247</v>
      </c>
    </row>
    <row r="43067" customFormat="false" ht="12.8" hidden="false" customHeight="false" outlineLevel="0" collapsed="false">
      <c r="A43067" s="0" t="s">
        <v>15385</v>
      </c>
      <c r="B43067" s="0" t="str">
        <f aca="false">HYPERLINK("https://lindat.mff.cuni.cz/services/teitok/pdtc10/index.php?action=vallex&amp;frame=v-w5945f2", "sedět (v-w5945f2)")</f>
        <v>sedět (v-w5945f2)</v>
      </c>
    </row>
    <row r="43068" customFormat="false" ht="12.8" hidden="false" customHeight="false" outlineLevel="0" collapsed="false">
      <c r="B43068" s="0" t="s">
        <v>7</v>
      </c>
      <c r="C43068" s="0" t="s">
        <v>15386</v>
      </c>
      <c r="D43068" s="0" t="s">
        <v>10720</v>
      </c>
      <c r="E43068" s="0" t="s">
        <v>10720</v>
      </c>
      <c r="F43068" s="0" t="s">
        <v>10720</v>
      </c>
    </row>
    <row r="43070" customFormat="false" ht="12.8" hidden="false" customHeight="false" outlineLevel="0" collapsed="false">
      <c r="A43070" s="0" t="s">
        <v>15387</v>
      </c>
      <c r="B43070" s="0" t="str">
        <f aca="false">HYPERLINK("https://lindat.mff.cuni.cz/services/teitok/pdtc10/index.php?action=vallex&amp;frame=v-w5945f4", "sedět (v-w5945f4)")</f>
        <v>sedět (v-w5945f4)</v>
      </c>
    </row>
    <row r="43071" customFormat="false" ht="12.8" hidden="false" customHeight="false" outlineLevel="0" collapsed="false">
      <c r="B43071" s="0" t="s">
        <v>7</v>
      </c>
      <c r="C43071" s="0" t="s">
        <v>727</v>
      </c>
    </row>
    <row r="43073" customFormat="false" ht="12.8" hidden="false" customHeight="false" outlineLevel="0" collapsed="false">
      <c r="A43073" s="0" t="s">
        <v>15388</v>
      </c>
      <c r="B43073" s="0" t="str">
        <f aca="false">HYPERLINK("https://lindat.mff.cuni.cz/services/teitok/pdtc10/index.php?action=vallex&amp;frame=v-w5945hsa_1293", "sedět (v-w5945hsa_1293)")</f>
        <v>sedět (v-w5945hsa_1293)</v>
      </c>
    </row>
    <row r="43074" customFormat="false" ht="12.8" hidden="false" customHeight="false" outlineLevel="0" collapsed="false">
      <c r="B43074" s="0" t="s">
        <v>7</v>
      </c>
      <c r="C43074" s="0" t="s">
        <v>200</v>
      </c>
      <c r="D43074" s="0" t="s">
        <v>11096</v>
      </c>
      <c r="E43074" s="0" t="s">
        <v>11096</v>
      </c>
      <c r="F43074" s="0" t="s">
        <v>11096</v>
      </c>
    </row>
    <row r="43075" customFormat="false" ht="12.8" hidden="false" customHeight="false" outlineLevel="0" collapsed="false">
      <c r="B43075" s="0" t="s">
        <v>142</v>
      </c>
      <c r="D43075" s="0" t="s">
        <v>11098</v>
      </c>
      <c r="E43075" s="0" t="s">
        <v>11098</v>
      </c>
      <c r="F43075" s="0" t="s">
        <v>11098</v>
      </c>
    </row>
    <row r="43077" customFormat="false" ht="12.8" hidden="false" customHeight="false" outlineLevel="0" collapsed="false">
      <c r="A43077" s="0" t="s">
        <v>15389</v>
      </c>
      <c r="B43077" s="0" t="str">
        <f aca="false">HYPERLINK("https://lindat.mff.cuni.cz/services/teitok/pdtc10/index.php?action=vallex&amp;frame=v-w5945hsa_1294", "sedět (v-w5945hsa_1294)")</f>
        <v>sedět (v-w5945hsa_1294)</v>
      </c>
    </row>
    <row r="43078" customFormat="false" ht="12.8" hidden="false" customHeight="false" outlineLevel="0" collapsed="false">
      <c r="B43078" s="0" t="s">
        <v>7</v>
      </c>
      <c r="C43078" s="0" t="s">
        <v>10720</v>
      </c>
    </row>
    <row r="43079" customFormat="false" ht="12.8" hidden="false" customHeight="false" outlineLevel="0" collapsed="false">
      <c r="B43079" s="0" t="s">
        <v>220</v>
      </c>
    </row>
    <row r="43081" customFormat="false" ht="12.8" hidden="false" customHeight="false" outlineLevel="0" collapsed="false">
      <c r="A43081" s="0" t="s">
        <v>15390</v>
      </c>
      <c r="B43081" s="0" t="str">
        <f aca="false">HYPERLINK("https://lindat.mff.cuni.cz/services/teitok/pdtc10/index.php?action=vallex&amp;frame=v-w5945f5_ZU", "sedět (v-w5945f5_ZU)")</f>
        <v>sedět (v-w5945f5_ZU)</v>
      </c>
    </row>
    <row r="43082" customFormat="false" ht="12.8" hidden="false" customHeight="false" outlineLevel="0" collapsed="false">
      <c r="B43082" s="0" t="s">
        <v>7</v>
      </c>
      <c r="C43082" s="0" t="s">
        <v>1286</v>
      </c>
    </row>
    <row r="43083" customFormat="false" ht="12.8" hidden="false" customHeight="false" outlineLevel="0" collapsed="false">
      <c r="B43083" s="0" t="s">
        <v>15391</v>
      </c>
    </row>
    <row r="43085" customFormat="false" ht="12.8" hidden="false" customHeight="false" outlineLevel="0" collapsed="false">
      <c r="A43085" s="0" t="s">
        <v>15390</v>
      </c>
      <c r="B43085" s="0" t="str">
        <f aca="false">HYPERLINK("https://lindat.mff.cuni.cz/services/teitok/pdtc10/index.php?action=vallex&amp;frame=v-w5945hsa_1295", "sedět (v-w5945hsa_1295) - substituted with v-w5945f5_ZU")</f>
        <v>sedět (v-w5945hsa_1295) - substituted with v-w5945f5_ZU</v>
      </c>
    </row>
    <row r="43086" customFormat="false" ht="12.8" hidden="false" customHeight="false" outlineLevel="0" collapsed="false">
      <c r="B43086" s="0" t="s">
        <v>7</v>
      </c>
    </row>
    <row r="43087" customFormat="false" ht="12.8" hidden="false" customHeight="false" outlineLevel="0" collapsed="false">
      <c r="B43087" s="0" t="s">
        <v>15391</v>
      </c>
    </row>
    <row r="43089" customFormat="false" ht="12.8" hidden="false" customHeight="false" outlineLevel="0" collapsed="false">
      <c r="A43089" s="0" t="s">
        <v>15392</v>
      </c>
      <c r="B43089" s="0" t="str">
        <f aca="false">HYPERLINK("https://lindat.mff.cuni.cz/services/teitok/pdtc10/index.php?action=vallex&amp;frame=v-w5945f6_ZU", "sedět (v-w5945f6_ZU)")</f>
        <v>sedět (v-w5945f6_ZU)</v>
      </c>
    </row>
    <row r="43090" customFormat="false" ht="12.8" hidden="false" customHeight="false" outlineLevel="0" collapsed="false">
      <c r="B43090" s="0" t="s">
        <v>7</v>
      </c>
      <c r="C43090" s="0" t="s">
        <v>10720</v>
      </c>
    </row>
    <row r="43091" customFormat="false" ht="12.8" hidden="false" customHeight="false" outlineLevel="0" collapsed="false">
      <c r="B43091" s="0" t="s">
        <v>15393</v>
      </c>
    </row>
    <row r="43093" customFormat="false" ht="12.8" hidden="false" customHeight="false" outlineLevel="0" collapsed="false">
      <c r="A43093" s="0" t="s">
        <v>15392</v>
      </c>
      <c r="B43093" s="0" t="str">
        <f aca="false">HYPERLINK("https://lindat.mff.cuni.cz/services/teitok/pdtc10/index.php?action=vallex&amp;frame=v-w5945hsa_1296", "sedět (v-w5945hsa_1296) - substituted with v-w5945f6_ZU")</f>
        <v>sedět (v-w5945hsa_1296) - substituted with v-w5945f6_ZU</v>
      </c>
    </row>
    <row r="43094" customFormat="false" ht="12.8" hidden="false" customHeight="false" outlineLevel="0" collapsed="false">
      <c r="B43094" s="0" t="s">
        <v>7</v>
      </c>
    </row>
    <row r="43095" customFormat="false" ht="12.8" hidden="false" customHeight="false" outlineLevel="0" collapsed="false">
      <c r="B43095" s="0" t="s">
        <v>15393</v>
      </c>
    </row>
    <row r="43097" customFormat="false" ht="12.8" hidden="false" customHeight="false" outlineLevel="0" collapsed="false">
      <c r="A43097" s="0" t="s">
        <v>15394</v>
      </c>
      <c r="B43097" s="0" t="str">
        <f aca="false">HYPERLINK("https://lindat.mff.cuni.cz/services/teitok/pdtc10/index.php?action=vallex&amp;frame=v-w5945hsa_1101", "sedět (v-w5945hsa_1101)")</f>
        <v>sedět (v-w5945hsa_1101)</v>
      </c>
    </row>
    <row r="43098" customFormat="false" ht="12.8" hidden="false" customHeight="false" outlineLevel="0" collapsed="false">
      <c r="B43098" s="0" t="s">
        <v>7</v>
      </c>
    </row>
    <row r="43099" customFormat="false" ht="12.8" hidden="false" customHeight="false" outlineLevel="0" collapsed="false">
      <c r="B43099" s="0" t="s">
        <v>41</v>
      </c>
    </row>
    <row r="43101" customFormat="false" ht="12.8" hidden="false" customHeight="false" outlineLevel="0" collapsed="false">
      <c r="A43101" s="0" t="s">
        <v>15395</v>
      </c>
      <c r="B43101" s="0" t="str">
        <f aca="false">HYPERLINK("https://lindat.mff.cuni.cz/services/teitok/pdtc10/index.php?action=vallex&amp;frame=v-w10763f2", "sedřít (v-w10763f2)")</f>
        <v>sedřít (v-w10763f2)</v>
      </c>
    </row>
    <row r="43102" customFormat="false" ht="12.8" hidden="false" customHeight="false" outlineLevel="0" collapsed="false">
      <c r="B43102" s="0" t="s">
        <v>7</v>
      </c>
      <c r="C43102" s="0" t="s">
        <v>247</v>
      </c>
    </row>
    <row r="43103" customFormat="false" ht="12.8" hidden="false" customHeight="false" outlineLevel="0" collapsed="false">
      <c r="B43103" s="0" t="s">
        <v>15396</v>
      </c>
      <c r="C43103" s="0" t="s">
        <v>15397</v>
      </c>
    </row>
    <row r="43104" customFormat="false" ht="12.8" hidden="false" customHeight="false" outlineLevel="0" collapsed="false">
      <c r="B43104" s="0" t="s">
        <v>142</v>
      </c>
      <c r="C43104" s="0" t="s">
        <v>9635</v>
      </c>
    </row>
    <row r="43106" customFormat="false" ht="12.8" hidden="false" customHeight="false" outlineLevel="0" collapsed="false">
      <c r="A43106" s="0" t="s">
        <v>15398</v>
      </c>
      <c r="B43106" s="0" t="str">
        <f aca="false">HYPERLINK("https://lindat.mff.cuni.cz/services/teitok/pdtc10/index.php?action=vallex&amp;frame=v-whsa_23hsa_24", "segmentovat (v-whsa_23hsa_24)")</f>
        <v>segmentovat (v-whsa_23hsa_24)</v>
      </c>
    </row>
    <row r="43107" customFormat="false" ht="12.8" hidden="false" customHeight="false" outlineLevel="0" collapsed="false">
      <c r="B43107" s="0" t="s">
        <v>7</v>
      </c>
    </row>
    <row r="43108" customFormat="false" ht="12.8" hidden="false" customHeight="false" outlineLevel="0" collapsed="false">
      <c r="B43108" s="0" t="s">
        <v>14</v>
      </c>
    </row>
    <row r="43109" customFormat="false" ht="12.8" hidden="false" customHeight="false" outlineLevel="0" collapsed="false">
      <c r="B43109" s="0" t="s">
        <v>2773</v>
      </c>
    </row>
    <row r="43111" customFormat="false" ht="12.8" hidden="false" customHeight="false" outlineLevel="0" collapsed="false">
      <c r="A43111" s="0" t="s">
        <v>15399</v>
      </c>
      <c r="B43111" s="0" t="str">
        <f aca="false">HYPERLINK("https://lindat.mff.cuni.cz/services/teitok/pdtc10/index.php?action=vallex&amp;frame=v-w5948f2_ZU", "sehnat (v-w5948f2_ZU)")</f>
        <v>sehnat (v-w5948f2_ZU)</v>
      </c>
    </row>
    <row r="43112" customFormat="false" ht="12.8" hidden="false" customHeight="false" outlineLevel="0" collapsed="false">
      <c r="B43112" s="0" t="s">
        <v>7</v>
      </c>
    </row>
    <row r="43113" customFormat="false" ht="12.8" hidden="false" customHeight="false" outlineLevel="0" collapsed="false">
      <c r="B43113" s="0" t="s">
        <v>14</v>
      </c>
    </row>
    <row r="43114" customFormat="false" ht="12.8" hidden="false" customHeight="false" outlineLevel="0" collapsed="false">
      <c r="B43114" s="0" t="s">
        <v>441</v>
      </c>
    </row>
    <row r="43116" customFormat="false" ht="12.8" hidden="false" customHeight="false" outlineLevel="0" collapsed="false">
      <c r="A43116" s="0" t="s">
        <v>15399</v>
      </c>
      <c r="B43116" s="0" t="str">
        <f aca="false">HYPERLINK("https://lindat.mff.cuni.cz/services/teitok/pdtc10/index.php?action=vallex&amp;frame=v-w5948f1", "sehnat (v-w5948f1) - substituted with v-w5948f2_ZU")</f>
        <v>sehnat (v-w5948f1) - substituted with v-w5948f2_ZU</v>
      </c>
    </row>
    <row r="43117" customFormat="false" ht="12.8" hidden="false" customHeight="false" outlineLevel="0" collapsed="false">
      <c r="B43117" s="0" t="s">
        <v>7</v>
      </c>
      <c r="C43117" s="0" t="s">
        <v>15400</v>
      </c>
      <c r="D43117" s="0" t="s">
        <v>1332</v>
      </c>
      <c r="E43117" s="0" t="s">
        <v>1332</v>
      </c>
      <c r="F43117" s="0" t="s">
        <v>1332</v>
      </c>
    </row>
    <row r="43118" customFormat="false" ht="12.8" hidden="false" customHeight="false" outlineLevel="0" collapsed="false">
      <c r="B43118" s="0" t="s">
        <v>14</v>
      </c>
      <c r="C43118" s="0" t="s">
        <v>15401</v>
      </c>
      <c r="D43118" s="0" t="s">
        <v>414</v>
      </c>
      <c r="E43118" s="0" t="s">
        <v>414</v>
      </c>
      <c r="F43118" s="0" t="s">
        <v>414</v>
      </c>
    </row>
    <row r="43119" customFormat="false" ht="12.8" hidden="false" customHeight="false" outlineLevel="0" collapsed="false">
      <c r="B43119" s="0" t="s">
        <v>441</v>
      </c>
    </row>
    <row r="43121" customFormat="false" ht="12.8" hidden="false" customHeight="false" outlineLevel="0" collapsed="false">
      <c r="A43121" s="0" t="s">
        <v>15402</v>
      </c>
      <c r="B43121" s="0" t="str">
        <f aca="false">HYPERLINK("https://lindat.mff.cuni.cz/services/teitok/pdtc10/index.php?action=vallex&amp;frame=v-w12202_ZUf1_ZU", "sehnout se (v-w12202_ZUf1_ZU)")</f>
        <v>sehnout se (v-w12202_ZUf1_ZU)</v>
      </c>
    </row>
    <row r="43122" customFormat="false" ht="12.8" hidden="false" customHeight="false" outlineLevel="0" collapsed="false">
      <c r="B43122" s="0" t="s">
        <v>7</v>
      </c>
    </row>
    <row r="43124" customFormat="false" ht="12.8" hidden="false" customHeight="false" outlineLevel="0" collapsed="false">
      <c r="A43124" s="0" t="s">
        <v>15403</v>
      </c>
      <c r="B43124" s="0" t="str">
        <f aca="false">HYPERLINK("https://lindat.mff.cuni.cz/services/teitok/pdtc10/index.php?action=vallex&amp;frame=v-w5950f1", "sehrát (v-w5950f1)")</f>
        <v>sehrát (v-w5950f1)</v>
      </c>
    </row>
    <row r="43125" customFormat="false" ht="12.8" hidden="false" customHeight="false" outlineLevel="0" collapsed="false">
      <c r="B43125" s="0" t="s">
        <v>7</v>
      </c>
      <c r="C43125" s="0" t="s">
        <v>1857</v>
      </c>
      <c r="D43125" s="0" t="s">
        <v>4041</v>
      </c>
      <c r="E43125" s="0" t="s">
        <v>4041</v>
      </c>
      <c r="F43125" s="0" t="s">
        <v>4041</v>
      </c>
    </row>
    <row r="43126" customFormat="false" ht="12.8" hidden="false" customHeight="false" outlineLevel="0" collapsed="false">
      <c r="B43126" s="0" t="s">
        <v>14</v>
      </c>
      <c r="C43126" s="0" t="s">
        <v>466</v>
      </c>
      <c r="D43126" s="0" t="s">
        <v>466</v>
      </c>
      <c r="E43126" s="0" t="s">
        <v>466</v>
      </c>
      <c r="F43126" s="0" t="s">
        <v>466</v>
      </c>
    </row>
    <row r="43127" customFormat="false" ht="12.8" hidden="false" customHeight="false" outlineLevel="0" collapsed="false">
      <c r="B43127" s="0" t="s">
        <v>2722</v>
      </c>
    </row>
    <row r="43128" customFormat="false" ht="12.8" hidden="false" customHeight="false" outlineLevel="0" collapsed="false">
      <c r="B43128" s="0" t="s">
        <v>1956</v>
      </c>
    </row>
    <row r="43130" customFormat="false" ht="12.8" hidden="false" customHeight="false" outlineLevel="0" collapsed="false">
      <c r="A43130" s="0" t="s">
        <v>15404</v>
      </c>
      <c r="B43130" s="0" t="str">
        <f aca="false">HYPERLINK("https://lindat.mff.cuni.cz/services/teitok/pdtc10/index.php?action=vallex&amp;frame=v-w5950f4", "sehrát (v-w5950f4)")</f>
        <v>sehrát (v-w5950f4)</v>
      </c>
    </row>
    <row r="43131" customFormat="false" ht="12.8" hidden="false" customHeight="false" outlineLevel="0" collapsed="false">
      <c r="B43131" s="0" t="s">
        <v>7</v>
      </c>
    </row>
    <row r="43132" customFormat="false" ht="12.8" hidden="false" customHeight="false" outlineLevel="0" collapsed="false">
      <c r="B43132" s="0" t="s">
        <v>14</v>
      </c>
    </row>
    <row r="43134" customFormat="false" ht="12.8" hidden="false" customHeight="false" outlineLevel="0" collapsed="false">
      <c r="A43134" s="0" t="s">
        <v>15405</v>
      </c>
      <c r="B43134" s="0" t="str">
        <f aca="false">HYPERLINK("https://lindat.mff.cuni.cz/services/teitok/pdtc10/index.php?action=vallex&amp;frame=v-w5950f2", "sehrát (v-w5950f2)")</f>
        <v>sehrát (v-w5950f2)</v>
      </c>
    </row>
    <row r="43135" customFormat="false" ht="12.8" hidden="false" customHeight="false" outlineLevel="0" collapsed="false">
      <c r="B43135" s="0" t="s">
        <v>15165</v>
      </c>
      <c r="C43135" s="0" t="s">
        <v>1226</v>
      </c>
    </row>
    <row r="43136" customFormat="false" ht="12.8" hidden="false" customHeight="false" outlineLevel="0" collapsed="false">
      <c r="B43136" s="0" t="s">
        <v>4058</v>
      </c>
      <c r="C43136" s="0" t="s">
        <v>4063</v>
      </c>
    </row>
    <row r="43138" customFormat="false" ht="12.8" hidden="false" customHeight="false" outlineLevel="0" collapsed="false">
      <c r="A43138" s="0" t="s">
        <v>15406</v>
      </c>
      <c r="B43138" s="0" t="str">
        <f aca="false">HYPERLINK("https://lindat.mff.cuni.cz/services/teitok/pdtc10/index.php?action=vallex&amp;frame=v-w5950f3", "sehrát (v-w5950f3)")</f>
        <v>sehrát (v-w5950f3)</v>
      </c>
    </row>
    <row r="43139" customFormat="false" ht="12.8" hidden="false" customHeight="false" outlineLevel="0" collapsed="false">
      <c r="B43139" s="0" t="s">
        <v>15165</v>
      </c>
      <c r="C43139" s="0" t="s">
        <v>15407</v>
      </c>
    </row>
    <row r="43140" customFormat="false" ht="12.8" hidden="false" customHeight="false" outlineLevel="0" collapsed="false">
      <c r="B43140" s="0" t="s">
        <v>4062</v>
      </c>
      <c r="C43140" s="0" t="s">
        <v>15408</v>
      </c>
    </row>
    <row r="43142" customFormat="false" ht="12.8" hidden="false" customHeight="false" outlineLevel="0" collapsed="false">
      <c r="A43142" s="0" t="s">
        <v>15409</v>
      </c>
      <c r="B43142" s="0" t="str">
        <f aca="false">HYPERLINK("https://lindat.mff.cuni.cz/services/teitok/pdtc10/index.php?action=vallex&amp;frame=v-w5951f1", "sehrávat (v-w5951f1)")</f>
        <v>sehrávat (v-w5951f1)</v>
      </c>
    </row>
    <row r="43143" customFormat="false" ht="12.8" hidden="false" customHeight="false" outlineLevel="0" collapsed="false">
      <c r="B43143" s="0" t="s">
        <v>15165</v>
      </c>
    </row>
    <row r="43144" customFormat="false" ht="12.8" hidden="false" customHeight="false" outlineLevel="0" collapsed="false">
      <c r="B43144" s="0" t="s">
        <v>4058</v>
      </c>
    </row>
    <row r="43146" customFormat="false" ht="12.8" hidden="false" customHeight="false" outlineLevel="0" collapsed="false">
      <c r="A43146" s="0" t="s">
        <v>15410</v>
      </c>
      <c r="B43146" s="0" t="str">
        <f aca="false">HYPERLINK("https://lindat.mff.cuni.cz/services/teitok/pdtc10/index.php?action=vallex&amp;frame=v-w5951f2", "sehrávat (v-w5951f2)")</f>
        <v>sehrávat (v-w5951f2)</v>
      </c>
    </row>
    <row r="43147" customFormat="false" ht="12.8" hidden="false" customHeight="false" outlineLevel="0" collapsed="false">
      <c r="B43147" s="0" t="s">
        <v>15165</v>
      </c>
    </row>
    <row r="43148" customFormat="false" ht="12.8" hidden="false" customHeight="false" outlineLevel="0" collapsed="false">
      <c r="B43148" s="0" t="s">
        <v>4062</v>
      </c>
    </row>
    <row r="43150" customFormat="false" ht="12.8" hidden="false" customHeight="false" outlineLevel="0" collapsed="false">
      <c r="A43150" s="0" t="s">
        <v>15411</v>
      </c>
      <c r="B43150" s="0" t="str">
        <f aca="false">HYPERLINK("https://lindat.mff.cuni.cz/services/teitok/pdtc10/index.php?action=vallex&amp;frame=v-w5954f1", "sejmout (v-w5954f1)")</f>
        <v>sejmout (v-w5954f1)</v>
      </c>
    </row>
    <row r="43151" customFormat="false" ht="12.8" hidden="false" customHeight="false" outlineLevel="0" collapsed="false">
      <c r="B43151" s="0" t="s">
        <v>7</v>
      </c>
      <c r="C43151" s="0" t="s">
        <v>113</v>
      </c>
      <c r="D43151" s="0" t="s">
        <v>88</v>
      </c>
      <c r="E43151" s="0" t="s">
        <v>88</v>
      </c>
      <c r="F43151" s="0" t="s">
        <v>88</v>
      </c>
    </row>
    <row r="43152" customFormat="false" ht="12.8" hidden="false" customHeight="false" outlineLevel="0" collapsed="false">
      <c r="B43152" s="0" t="s">
        <v>14</v>
      </c>
      <c r="C43152" s="0" t="s">
        <v>78</v>
      </c>
      <c r="D43152" s="0" t="s">
        <v>3872</v>
      </c>
      <c r="E43152" s="0" t="s">
        <v>3872</v>
      </c>
      <c r="F43152" s="0" t="s">
        <v>3872</v>
      </c>
    </row>
    <row r="43153" customFormat="false" ht="12.8" hidden="false" customHeight="false" outlineLevel="0" collapsed="false">
      <c r="B43153" s="0" t="s">
        <v>459</v>
      </c>
      <c r="D43153" s="0" t="s">
        <v>8533</v>
      </c>
      <c r="E43153" s="0" t="s">
        <v>8533</v>
      </c>
      <c r="F43153" s="0" t="s">
        <v>8533</v>
      </c>
    </row>
    <row r="43155" customFormat="false" ht="12.8" hidden="false" customHeight="false" outlineLevel="0" collapsed="false">
      <c r="A43155" s="0" t="s">
        <v>15412</v>
      </c>
      <c r="B43155" s="0" t="str">
        <f aca="false">HYPERLINK("https://lindat.mff.cuni.cz/services/teitok/pdtc10/index.php?action=vallex&amp;frame=v-w5954f4", "sejmout (v-w5954f4)")</f>
        <v>sejmout (v-w5954f4)</v>
      </c>
    </row>
    <row r="43156" customFormat="false" ht="12.8" hidden="false" customHeight="false" outlineLevel="0" collapsed="false">
      <c r="B43156" s="0" t="s">
        <v>7</v>
      </c>
    </row>
    <row r="43157" customFormat="false" ht="12.8" hidden="false" customHeight="false" outlineLevel="0" collapsed="false">
      <c r="B43157" s="0" t="s">
        <v>14</v>
      </c>
    </row>
    <row r="43158" customFormat="false" ht="12.8" hidden="false" customHeight="false" outlineLevel="0" collapsed="false">
      <c r="B43158" s="0" t="s">
        <v>459</v>
      </c>
    </row>
    <row r="43160" customFormat="false" ht="12.8" hidden="false" customHeight="false" outlineLevel="0" collapsed="false">
      <c r="A43160" s="0" t="s">
        <v>15413</v>
      </c>
      <c r="B43160" s="0" t="str">
        <f aca="false">HYPERLINK("https://lindat.mff.cuni.cz/services/teitok/pdtc10/index.php?action=vallex&amp;frame=v-w5954f2", "sejmout (v-w5954f2)")</f>
        <v>sejmout (v-w5954f2)</v>
      </c>
    </row>
    <row r="43161" customFormat="false" ht="12.8" hidden="false" customHeight="false" outlineLevel="0" collapsed="false">
      <c r="B43161" s="0" t="s">
        <v>7</v>
      </c>
    </row>
    <row r="43162" customFormat="false" ht="12.8" hidden="false" customHeight="false" outlineLevel="0" collapsed="false">
      <c r="B43162" s="0" t="s">
        <v>14</v>
      </c>
    </row>
    <row r="43164" customFormat="false" ht="12.8" hidden="false" customHeight="false" outlineLevel="0" collapsed="false">
      <c r="A43164" s="0" t="s">
        <v>15414</v>
      </c>
      <c r="B43164" s="0" t="str">
        <f aca="false">HYPERLINK("https://lindat.mff.cuni.cz/services/teitok/pdtc10/index.php?action=vallex&amp;frame=v-w5954f3", "sejmout (v-w5954f3)")</f>
        <v>sejmout (v-w5954f3)</v>
      </c>
    </row>
    <row r="43165" customFormat="false" ht="12.8" hidden="false" customHeight="false" outlineLevel="0" collapsed="false">
      <c r="B43165" s="0" t="s">
        <v>7</v>
      </c>
    </row>
    <row r="43166" customFormat="false" ht="12.8" hidden="false" customHeight="false" outlineLevel="0" collapsed="false">
      <c r="B43166" s="0" t="s">
        <v>14</v>
      </c>
    </row>
    <row r="43168" customFormat="false" ht="12.8" hidden="false" customHeight="false" outlineLevel="0" collapsed="false">
      <c r="A43168" s="0" t="s">
        <v>15415</v>
      </c>
      <c r="B43168" s="0" t="str">
        <f aca="false">HYPERLINK("https://lindat.mff.cuni.cz/services/teitok/pdtc10/index.php?action=vallex&amp;frame=v-w5952f7", "sejít (v-w5952f7)")</f>
        <v>sejít (v-w5952f7)</v>
      </c>
    </row>
    <row r="43169" customFormat="false" ht="12.8" hidden="false" customHeight="false" outlineLevel="0" collapsed="false">
      <c r="B43169" s="0" t="s">
        <v>7</v>
      </c>
    </row>
    <row r="43170" customFormat="false" ht="12.8" hidden="false" customHeight="false" outlineLevel="0" collapsed="false">
      <c r="B43170" s="0" t="s">
        <v>14</v>
      </c>
    </row>
    <row r="43172" customFormat="false" ht="12.8" hidden="false" customHeight="false" outlineLevel="0" collapsed="false">
      <c r="A43172" s="0" t="s">
        <v>15416</v>
      </c>
      <c r="B43172" s="0" t="str">
        <f aca="false">HYPERLINK("https://lindat.mff.cuni.cz/services/teitok/pdtc10/index.php?action=vallex&amp;frame=v-w5952f3", "sejít (v-w5952f3)")</f>
        <v>sejít (v-w5952f3)</v>
      </c>
    </row>
    <row r="43173" customFormat="false" ht="12.8" hidden="false" customHeight="false" outlineLevel="0" collapsed="false">
      <c r="B43173" s="0" t="s">
        <v>603</v>
      </c>
    </row>
    <row r="43174" customFormat="false" ht="12.8" hidden="false" customHeight="false" outlineLevel="0" collapsed="false">
      <c r="B43174" s="0" t="s">
        <v>220</v>
      </c>
    </row>
    <row r="43176" customFormat="false" ht="12.8" hidden="false" customHeight="false" outlineLevel="0" collapsed="false">
      <c r="A43176" s="0" t="s">
        <v>15417</v>
      </c>
      <c r="B43176" s="0" t="str">
        <f aca="false">HYPERLINK("https://lindat.mff.cuni.cz/services/teitok/pdtc10/index.php?action=vallex&amp;frame=v-w5952f4", "sejít (v-w5952f4)")</f>
        <v>sejít (v-w5952f4)</v>
      </c>
    </row>
    <row r="43177" customFormat="false" ht="12.8" hidden="false" customHeight="false" outlineLevel="0" collapsed="false">
      <c r="B43177" s="0" t="s">
        <v>7</v>
      </c>
      <c r="D43177" s="0" t="s">
        <v>15418</v>
      </c>
      <c r="E43177" s="0" t="s">
        <v>15418</v>
      </c>
      <c r="F43177" s="0" t="s">
        <v>15418</v>
      </c>
    </row>
    <row r="43178" customFormat="false" ht="12.8" hidden="false" customHeight="false" outlineLevel="0" collapsed="false">
      <c r="B43178" s="0" t="s">
        <v>459</v>
      </c>
      <c r="D43178" s="0" t="s">
        <v>1583</v>
      </c>
      <c r="E43178" s="0" t="s">
        <v>1583</v>
      </c>
      <c r="F43178" s="0" t="s">
        <v>1583</v>
      </c>
    </row>
    <row r="43180" customFormat="false" ht="12.8" hidden="false" customHeight="false" outlineLevel="0" collapsed="false">
      <c r="A43180" s="0" t="s">
        <v>15419</v>
      </c>
      <c r="B43180" s="0" t="str">
        <f aca="false">HYPERLINK("https://lindat.mff.cuni.cz/services/teitok/pdtc10/index.php?action=vallex&amp;frame=v-w5952f2", "sejít (v-w5952f2)")</f>
        <v>sejít (v-w5952f2)</v>
      </c>
    </row>
    <row r="43181" customFormat="false" ht="12.8" hidden="false" customHeight="false" outlineLevel="0" collapsed="false">
      <c r="B43181" s="0" t="s">
        <v>7</v>
      </c>
      <c r="D43181" s="0" t="s">
        <v>73</v>
      </c>
      <c r="E43181" s="0" t="s">
        <v>73</v>
      </c>
      <c r="F43181" s="0" t="s">
        <v>73</v>
      </c>
    </row>
    <row r="43182" customFormat="false" ht="12.8" hidden="false" customHeight="false" outlineLevel="0" collapsed="false">
      <c r="B43182" s="0" t="s">
        <v>15420</v>
      </c>
    </row>
    <row r="43184" customFormat="false" ht="12.8" hidden="false" customHeight="false" outlineLevel="0" collapsed="false">
      <c r="A43184" s="0" t="s">
        <v>15421</v>
      </c>
      <c r="B43184" s="0" t="str">
        <f aca="false">HYPERLINK("https://lindat.mff.cuni.cz/services/teitok/pdtc10/index.php?action=vallex&amp;frame=v-w5952f5", "sejít (v-w5952f5)")</f>
        <v>sejít (v-w5952f5)</v>
      </c>
    </row>
    <row r="43185" customFormat="false" ht="12.8" hidden="false" customHeight="false" outlineLevel="0" collapsed="false">
      <c r="B43185" s="0" t="s">
        <v>7</v>
      </c>
    </row>
    <row r="43187" customFormat="false" ht="12.8" hidden="false" customHeight="false" outlineLevel="0" collapsed="false">
      <c r="A43187" s="0" t="s">
        <v>15422</v>
      </c>
      <c r="B43187" s="0" t="str">
        <f aca="false">HYPERLINK("https://lindat.mff.cuni.cz/services/teitok/pdtc10/index.php?action=vallex&amp;frame=v-w5952f6", "sejít (v-w5952f6)")</f>
        <v>sejít (v-w5952f6)</v>
      </c>
    </row>
    <row r="43188" customFormat="false" ht="12.8" hidden="false" customHeight="false" outlineLevel="0" collapsed="false">
      <c r="B43188" s="0" t="s">
        <v>7</v>
      </c>
    </row>
    <row r="43190" customFormat="false" ht="12.8" hidden="false" customHeight="false" outlineLevel="0" collapsed="false">
      <c r="A43190" s="0" t="s">
        <v>15423</v>
      </c>
      <c r="B43190" s="0" t="str">
        <f aca="false">HYPERLINK("https://lindat.mff.cuni.cz/services/teitok/pdtc10/index.php?action=vallex&amp;frame=v-w5952f1", "sejít (v-w5952f1)")</f>
        <v>sejít (v-w5952f1)</v>
      </c>
    </row>
    <row r="43191" customFormat="false" ht="12.8" hidden="false" customHeight="false" outlineLevel="0" collapsed="false">
      <c r="B43191" s="0" t="s">
        <v>15424</v>
      </c>
      <c r="C43191" s="0" t="s">
        <v>7671</v>
      </c>
    </row>
    <row r="43193" customFormat="false" ht="12.8" hidden="false" customHeight="false" outlineLevel="0" collapsed="false">
      <c r="A43193" s="0" t="s">
        <v>15425</v>
      </c>
      <c r="B43193" s="0" t="str">
        <f aca="false">HYPERLINK("https://lindat.mff.cuni.cz/services/teitok/pdtc10/index.php?action=vallex&amp;frame=v-w5952f8", "sejít (v-w5952f8)")</f>
        <v>sejít (v-w5952f8)</v>
      </c>
    </row>
    <row r="43194" customFormat="false" ht="12.8" hidden="false" customHeight="false" outlineLevel="0" collapsed="false">
      <c r="B43194" s="0" t="s">
        <v>7</v>
      </c>
    </row>
    <row r="43195" customFormat="false" ht="12.8" hidden="false" customHeight="false" outlineLevel="0" collapsed="false">
      <c r="B43195" s="0" t="s">
        <v>15426</v>
      </c>
    </row>
    <row r="43196" customFormat="false" ht="12.8" hidden="false" customHeight="false" outlineLevel="0" collapsed="false">
      <c r="B43196" s="0" t="s">
        <v>142</v>
      </c>
    </row>
    <row r="43198" customFormat="false" ht="12.8" hidden="false" customHeight="false" outlineLevel="0" collapsed="false">
      <c r="A43198" s="0" t="s">
        <v>15427</v>
      </c>
      <c r="B43198" s="0" t="str">
        <f aca="false">HYPERLINK("https://lindat.mff.cuni.cz/services/teitok/pdtc10/index.php?action=vallex&amp;frame=v-w5952f9_ZU", "sejít (v-w5952f9_ZU)")</f>
        <v>sejít (v-w5952f9_ZU)</v>
      </c>
    </row>
    <row r="43199" customFormat="false" ht="12.8" hidden="false" customHeight="false" outlineLevel="0" collapsed="false">
      <c r="B43199" s="0" t="s">
        <v>7</v>
      </c>
    </row>
    <row r="43200" customFormat="false" ht="12.8" hidden="false" customHeight="false" outlineLevel="0" collapsed="false">
      <c r="B43200" s="0" t="s">
        <v>227</v>
      </c>
    </row>
    <row r="43202" customFormat="false" ht="12.8" hidden="false" customHeight="false" outlineLevel="0" collapsed="false">
      <c r="A43202" s="0" t="s">
        <v>15427</v>
      </c>
      <c r="B43202" s="0" t="str">
        <f aca="false">HYPERLINK("https://lindat.mff.cuni.cz/services/teitok/pdtc10/index.php?action=vallex&amp;frame=v-w5952hsa_1148", "sejít (v-w5952hsa_1148) - substituted with v-w5952f9_ZU")</f>
        <v>sejít (v-w5952hsa_1148) - substituted with v-w5952f9_ZU</v>
      </c>
    </row>
    <row r="43203" customFormat="false" ht="12.8" hidden="false" customHeight="false" outlineLevel="0" collapsed="false">
      <c r="B43203" s="0" t="s">
        <v>7</v>
      </c>
    </row>
    <row r="43204" customFormat="false" ht="12.8" hidden="false" customHeight="false" outlineLevel="0" collapsed="false">
      <c r="B43204" s="0" t="s">
        <v>227</v>
      </c>
    </row>
    <row r="43206" customFormat="false" ht="12.8" hidden="false" customHeight="false" outlineLevel="0" collapsed="false">
      <c r="A43206" s="0" t="s">
        <v>15428</v>
      </c>
      <c r="B43206" s="0" t="str">
        <f aca="false">HYPERLINK("https://lindat.mff.cuni.cz/services/teitok/pdtc10/index.php?action=vallex&amp;frame=v-w5952f10_ZU", "sejít (v-w5952f10_ZU)")</f>
        <v>sejít (v-w5952f10_ZU)</v>
      </c>
    </row>
    <row r="43207" customFormat="false" ht="12.8" hidden="false" customHeight="false" outlineLevel="0" collapsed="false">
      <c r="B43207" s="0" t="s">
        <v>7</v>
      </c>
    </row>
    <row r="43208" customFormat="false" ht="12.8" hidden="false" customHeight="false" outlineLevel="0" collapsed="false">
      <c r="B43208" s="0" t="s">
        <v>15429</v>
      </c>
    </row>
    <row r="43209" customFormat="false" ht="12.8" hidden="false" customHeight="false" outlineLevel="0" collapsed="false">
      <c r="B43209" s="0" t="s">
        <v>142</v>
      </c>
    </row>
    <row r="43211" customFormat="false" ht="12.8" hidden="false" customHeight="false" outlineLevel="0" collapsed="false">
      <c r="A43211" s="0" t="s">
        <v>15428</v>
      </c>
      <c r="B43211" s="0" t="str">
        <f aca="false">HYPERLINK("https://lindat.mff.cuni.cz/services/teitok/pdtc10/index.php?action=vallex&amp;frame=v-w5952hsa_1149", "sejít (v-w5952hsa_1149) - substituted with v-w5952f10_ZU")</f>
        <v>sejít (v-w5952hsa_1149) - substituted with v-w5952f10_ZU</v>
      </c>
    </row>
    <row r="43212" customFormat="false" ht="12.8" hidden="false" customHeight="false" outlineLevel="0" collapsed="false">
      <c r="B43212" s="0" t="s">
        <v>7</v>
      </c>
    </row>
    <row r="43213" customFormat="false" ht="12.8" hidden="false" customHeight="false" outlineLevel="0" collapsed="false">
      <c r="B43213" s="0" t="s">
        <v>15429</v>
      </c>
    </row>
    <row r="43214" customFormat="false" ht="12.8" hidden="false" customHeight="false" outlineLevel="0" collapsed="false">
      <c r="B43214" s="0" t="s">
        <v>142</v>
      </c>
    </row>
    <row r="43216" customFormat="false" ht="12.8" hidden="false" customHeight="false" outlineLevel="0" collapsed="false">
      <c r="A43216" s="0" t="s">
        <v>15430</v>
      </c>
      <c r="B43216" s="0" t="str">
        <f aca="false">HYPERLINK("https://lindat.mff.cuni.cz/services/teitok/pdtc10/index.php?action=vallex&amp;frame=v-w5953f1", "sejít se (v-w5953f1)")</f>
        <v>sejít se (v-w5953f1)</v>
      </c>
    </row>
    <row r="43217" customFormat="false" ht="12.8" hidden="false" customHeight="false" outlineLevel="0" collapsed="false">
      <c r="B43217" s="0" t="s">
        <v>7</v>
      </c>
      <c r="C43217" s="0" t="s">
        <v>15431</v>
      </c>
      <c r="D43217" s="0" t="s">
        <v>11037</v>
      </c>
      <c r="E43217" s="0" t="s">
        <v>11037</v>
      </c>
      <c r="F43217" s="0" t="s">
        <v>11037</v>
      </c>
    </row>
    <row r="43218" customFormat="false" ht="12.8" hidden="false" customHeight="false" outlineLevel="0" collapsed="false">
      <c r="B43218" s="0" t="s">
        <v>548</v>
      </c>
      <c r="C43218" s="0" t="s">
        <v>1168</v>
      </c>
      <c r="D43218" s="0" t="s">
        <v>4163</v>
      </c>
      <c r="E43218" s="0" t="s">
        <v>4163</v>
      </c>
      <c r="F43218" s="0" t="s">
        <v>4163</v>
      </c>
    </row>
    <row r="43220" customFormat="false" ht="12.8" hidden="false" customHeight="false" outlineLevel="0" collapsed="false">
      <c r="A43220" s="0" t="s">
        <v>15432</v>
      </c>
      <c r="B43220" s="0" t="str">
        <f aca="false">HYPERLINK("https://lindat.mff.cuni.cz/services/teitok/pdtc10/index.php?action=vallex&amp;frame=v-w5953f2", "sejít se (v-w5953f2)")</f>
        <v>sejít se (v-w5953f2)</v>
      </c>
    </row>
    <row r="43221" customFormat="false" ht="12.8" hidden="false" customHeight="false" outlineLevel="0" collapsed="false">
      <c r="B43221" s="0" t="s">
        <v>7</v>
      </c>
    </row>
    <row r="43223" customFormat="false" ht="12.8" hidden="false" customHeight="false" outlineLevel="0" collapsed="false">
      <c r="A43223" s="0" t="s">
        <v>15433</v>
      </c>
      <c r="B43223" s="0" t="str">
        <f aca="false">HYPERLINK("https://lindat.mff.cuni.cz/services/teitok/pdtc10/index.php?action=vallex&amp;frame=v-w10771f2", "sekat (v-w10771f2)")</f>
        <v>sekat (v-w10771f2)</v>
      </c>
    </row>
    <row r="43224" customFormat="false" ht="12.8" hidden="false" customHeight="false" outlineLevel="0" collapsed="false">
      <c r="B43224" s="0" t="s">
        <v>7</v>
      </c>
      <c r="C43224" s="0" t="s">
        <v>191</v>
      </c>
    </row>
    <row r="43225" customFormat="false" ht="12.8" hidden="false" customHeight="false" outlineLevel="0" collapsed="false">
      <c r="B43225" s="0" t="s">
        <v>14</v>
      </c>
      <c r="C43225" s="0" t="s">
        <v>155</v>
      </c>
    </row>
    <row r="43227" customFormat="false" ht="12.8" hidden="false" customHeight="false" outlineLevel="0" collapsed="false">
      <c r="A43227" s="0" t="s">
        <v>15434</v>
      </c>
      <c r="B43227" s="0" t="str">
        <f aca="false">HYPERLINK("https://lindat.mff.cuni.cz/services/teitok/pdtc10/index.php?action=vallex&amp;frame=v-w10771f3", "sekat (v-w10771f3)")</f>
        <v>sekat (v-w10771f3)</v>
      </c>
    </row>
    <row r="43228" customFormat="false" ht="12.8" hidden="false" customHeight="false" outlineLevel="0" collapsed="false">
      <c r="B43228" s="0" t="s">
        <v>7</v>
      </c>
    </row>
    <row r="43229" customFormat="false" ht="12.8" hidden="false" customHeight="false" outlineLevel="0" collapsed="false">
      <c r="B43229" s="0" t="s">
        <v>15435</v>
      </c>
      <c r="C43229" s="0" t="s">
        <v>532</v>
      </c>
      <c r="D43229" s="0" t="s">
        <v>532</v>
      </c>
      <c r="E43229" s="0" t="s">
        <v>532</v>
      </c>
      <c r="F43229" s="0" t="s">
        <v>532</v>
      </c>
    </row>
    <row r="43231" customFormat="false" ht="12.8" hidden="false" customHeight="false" outlineLevel="0" collapsed="false">
      <c r="A43231" s="0" t="s">
        <v>15436</v>
      </c>
      <c r="B43231" s="0" t="str">
        <f aca="false">HYPERLINK("https://lindat.mff.cuni.cz/services/teitok/pdtc10/index.php?action=vallex&amp;frame=v-whsa_1413f1_ZU", "seknout (v-whsa_1413f1_ZU)")</f>
        <v>seknout (v-whsa_1413f1_ZU)</v>
      </c>
    </row>
    <row r="43232" customFormat="false" ht="12.8" hidden="false" customHeight="false" outlineLevel="0" collapsed="false">
      <c r="B43232" s="0" t="s">
        <v>7</v>
      </c>
    </row>
    <row r="43233" customFormat="false" ht="12.8" hidden="false" customHeight="false" outlineLevel="0" collapsed="false">
      <c r="B43233" s="0" t="s">
        <v>548</v>
      </c>
    </row>
    <row r="43235" customFormat="false" ht="12.8" hidden="false" customHeight="false" outlineLevel="0" collapsed="false">
      <c r="A43235" s="0" t="s">
        <v>15436</v>
      </c>
      <c r="B43235" s="0" t="str">
        <f aca="false">HYPERLINK("https://lindat.mff.cuni.cz/services/teitok/pdtc10/index.php?action=vallex&amp;frame=v-whsa_1413hsa_1414", "seknout (v-whsa_1413hsa_1414) - substituted with v-whsa_1413f1_ZU")</f>
        <v>seknout (v-whsa_1413hsa_1414) - substituted with v-whsa_1413f1_ZU</v>
      </c>
    </row>
    <row r="43236" customFormat="false" ht="12.8" hidden="false" customHeight="false" outlineLevel="0" collapsed="false">
      <c r="B43236" s="0" t="s">
        <v>7</v>
      </c>
    </row>
    <row r="43237" customFormat="false" ht="12.8" hidden="false" customHeight="false" outlineLevel="0" collapsed="false">
      <c r="B43237" s="0" t="s">
        <v>548</v>
      </c>
    </row>
    <row r="43239" customFormat="false" ht="12.8" hidden="false" customHeight="false" outlineLevel="0" collapsed="false">
      <c r="A43239" s="0" t="s">
        <v>15437</v>
      </c>
      <c r="B43239" s="0" t="str">
        <f aca="false">HYPERLINK("https://lindat.mff.cuni.cz/services/teitok/pdtc10/index.php?action=vallex&amp;frame=v-whsa_1413f2_ZU", "seknout (v-whsa_1413f2_ZU)")</f>
        <v>seknout (v-whsa_1413f2_ZU)</v>
      </c>
    </row>
    <row r="43240" customFormat="false" ht="12.8" hidden="false" customHeight="false" outlineLevel="0" collapsed="false">
      <c r="B43240" s="0" t="s">
        <v>7</v>
      </c>
    </row>
    <row r="43241" customFormat="false" ht="12.8" hidden="false" customHeight="false" outlineLevel="0" collapsed="false">
      <c r="B43241" s="0" t="s">
        <v>216</v>
      </c>
    </row>
    <row r="43243" customFormat="false" ht="12.8" hidden="false" customHeight="false" outlineLevel="0" collapsed="false">
      <c r="A43243" s="0" t="s">
        <v>15438</v>
      </c>
      <c r="B43243" s="0" t="str">
        <f aca="false">HYPERLINK("https://lindat.mff.cuni.cz/services/teitok/pdtc10/index.php?action=vallex&amp;frame=v-w11484f1", "seknout se (v-w11484f1)")</f>
        <v>seknout se (v-w11484f1)</v>
      </c>
    </row>
    <row r="43244" customFormat="false" ht="12.8" hidden="false" customHeight="false" outlineLevel="0" collapsed="false">
      <c r="B43244" s="0" t="s">
        <v>7</v>
      </c>
    </row>
    <row r="43246" customFormat="false" ht="12.8" hidden="false" customHeight="false" outlineLevel="0" collapsed="false">
      <c r="A43246" s="0" t="s">
        <v>15439</v>
      </c>
      <c r="B43246" s="0" t="str">
        <f aca="false">HYPERLINK("https://lindat.mff.cuni.cz/services/teitok/pdtc10/index.php?action=vallex&amp;frame=v-w5955f1", "sekundovat (v-w5955f1)")</f>
        <v>sekundovat (v-w5955f1)</v>
      </c>
    </row>
    <row r="43247" customFormat="false" ht="12.8" hidden="false" customHeight="false" outlineLevel="0" collapsed="false">
      <c r="B43247" s="0" t="s">
        <v>7</v>
      </c>
    </row>
    <row r="43248" customFormat="false" ht="12.8" hidden="false" customHeight="false" outlineLevel="0" collapsed="false">
      <c r="B43248" s="0" t="s">
        <v>142</v>
      </c>
    </row>
    <row r="43250" customFormat="false" ht="12.8" hidden="false" customHeight="false" outlineLevel="0" collapsed="false">
      <c r="A43250" s="0" t="s">
        <v>15440</v>
      </c>
      <c r="B43250" s="0" t="str">
        <f aca="false">HYPERLINK("https://lindat.mff.cuni.cz/services/teitok/pdtc10/index.php?action=vallex&amp;frame=v-w5955f2", "sekundovat (v-w5955f2)")</f>
        <v>sekundovat (v-w5955f2)</v>
      </c>
    </row>
    <row r="43251" customFormat="false" ht="12.8" hidden="false" customHeight="false" outlineLevel="0" collapsed="false">
      <c r="B43251" s="0" t="s">
        <v>7</v>
      </c>
    </row>
    <row r="43252" customFormat="false" ht="12.8" hidden="false" customHeight="false" outlineLevel="0" collapsed="false">
      <c r="B43252" s="0" t="s">
        <v>142</v>
      </c>
    </row>
    <row r="43254" customFormat="false" ht="12.8" hidden="false" customHeight="false" outlineLevel="0" collapsed="false">
      <c r="A43254" s="0" t="s">
        <v>15441</v>
      </c>
      <c r="B43254" s="0" t="str">
        <f aca="false">HYPERLINK("https://lindat.mff.cuni.cz/services/teitok/pdtc10/index.php?action=vallex&amp;frame=v-w5957f1", "selhat (v-w5957f1)")</f>
        <v>selhat (v-w5957f1)</v>
      </c>
    </row>
    <row r="43255" customFormat="false" ht="12.8" hidden="false" customHeight="false" outlineLevel="0" collapsed="false">
      <c r="B43255" s="0" t="s">
        <v>7</v>
      </c>
      <c r="C43255" s="0" t="s">
        <v>15442</v>
      </c>
      <c r="D43255" s="0" t="s">
        <v>9560</v>
      </c>
      <c r="E43255" s="0" t="s">
        <v>9561</v>
      </c>
      <c r="F43255" s="0" t="s">
        <v>9561</v>
      </c>
    </row>
    <row r="43257" customFormat="false" ht="12.8" hidden="false" customHeight="false" outlineLevel="0" collapsed="false">
      <c r="A43257" s="0" t="s">
        <v>15443</v>
      </c>
      <c r="B43257" s="0" t="str">
        <f aca="false">HYPERLINK("https://lindat.mff.cuni.cz/services/teitok/pdtc10/index.php?action=vallex&amp;frame=v-w11584_ZUf1_ZU", "selhávat (v-w11584_ZUf1_ZU)")</f>
        <v>selhávat (v-w11584_ZUf1_ZU)</v>
      </c>
    </row>
    <row r="43258" customFormat="false" ht="12.8" hidden="false" customHeight="false" outlineLevel="0" collapsed="false">
      <c r="B43258" s="0" t="s">
        <v>7</v>
      </c>
      <c r="D43258" s="0" t="s">
        <v>1902</v>
      </c>
      <c r="E43258" s="0" t="s">
        <v>1902</v>
      </c>
      <c r="F43258" s="0" t="s">
        <v>1902</v>
      </c>
    </row>
    <row r="43260" customFormat="false" ht="12.8" hidden="false" customHeight="false" outlineLevel="0" collapsed="false">
      <c r="A43260" s="0" t="s">
        <v>15444</v>
      </c>
      <c r="B43260" s="0" t="str">
        <f aca="false">HYPERLINK("https://lindat.mff.cuni.cz/services/teitok/pdtc10/index.php?action=vallex&amp;frame=v-w10860f2", "semknout (v-w10860f2)")</f>
        <v>semknout (v-w10860f2)</v>
      </c>
    </row>
    <row r="43261" customFormat="false" ht="12.8" hidden="false" customHeight="false" outlineLevel="0" collapsed="false">
      <c r="B43261" s="0" t="s">
        <v>7</v>
      </c>
    </row>
    <row r="43262" customFormat="false" ht="12.8" hidden="false" customHeight="false" outlineLevel="0" collapsed="false">
      <c r="B43262" s="0" t="s">
        <v>14</v>
      </c>
    </row>
    <row r="43263" customFormat="false" ht="12.8" hidden="false" customHeight="false" outlineLevel="0" collapsed="false">
      <c r="B43263" s="0" t="s">
        <v>207</v>
      </c>
    </row>
    <row r="43265" customFormat="false" ht="12.8" hidden="false" customHeight="false" outlineLevel="0" collapsed="false">
      <c r="A43265" s="0" t="s">
        <v>15445</v>
      </c>
      <c r="B43265" s="0" t="str">
        <f aca="false">HYPERLINK("https://lindat.mff.cuni.cz/services/teitok/pdtc10/index.php?action=vallex&amp;frame=v-whsa_1138hsa_1139", "semknout se (v-whsa_1138hsa_1139)")</f>
        <v>semknout se (v-whsa_1138hsa_1139)</v>
      </c>
    </row>
    <row r="43266" customFormat="false" ht="12.8" hidden="false" customHeight="false" outlineLevel="0" collapsed="false">
      <c r="B43266" s="0" t="s">
        <v>7</v>
      </c>
    </row>
    <row r="43267" customFormat="false" ht="12.8" hidden="false" customHeight="false" outlineLevel="0" collapsed="false">
      <c r="B43267" s="0" t="s">
        <v>548</v>
      </c>
    </row>
    <row r="43268" customFormat="false" ht="12.8" hidden="false" customHeight="false" outlineLevel="0" collapsed="false">
      <c r="B43268" s="0" t="s">
        <v>2571</v>
      </c>
    </row>
    <row r="43270" customFormat="false" ht="12.8" hidden="false" customHeight="false" outlineLevel="0" collapsed="false">
      <c r="A43270" s="0" t="s">
        <v>15446</v>
      </c>
      <c r="B43270" s="0" t="str">
        <f aca="false">HYPERLINK("https://lindat.mff.cuni.cz/services/teitok/pdtc10/index.php?action=vallex&amp;frame=v-w5959f1", "semlít (v-w5959f1)")</f>
        <v>semlít (v-w5959f1)</v>
      </c>
    </row>
    <row r="43271" customFormat="false" ht="12.8" hidden="false" customHeight="false" outlineLevel="0" collapsed="false">
      <c r="B43271" s="0" t="s">
        <v>7</v>
      </c>
      <c r="F43271" s="0" t="s">
        <v>46</v>
      </c>
    </row>
    <row r="43272" customFormat="false" ht="12.8" hidden="false" customHeight="false" outlineLevel="0" collapsed="false">
      <c r="B43272" s="0" t="s">
        <v>14</v>
      </c>
      <c r="F43272" s="0" t="s">
        <v>1209</v>
      </c>
    </row>
    <row r="43273" customFormat="false" ht="12.8" hidden="false" customHeight="false" outlineLevel="0" collapsed="false">
      <c r="B43273" s="0" t="s">
        <v>35</v>
      </c>
    </row>
    <row r="43274" customFormat="false" ht="12.8" hidden="false" customHeight="false" outlineLevel="0" collapsed="false">
      <c r="B43274" s="0" t="s">
        <v>84</v>
      </c>
    </row>
    <row r="43276" customFormat="false" ht="12.8" hidden="false" customHeight="false" outlineLevel="0" collapsed="false">
      <c r="A43276" s="0" t="s">
        <v>15447</v>
      </c>
      <c r="B43276" s="0" t="str">
        <f aca="false">HYPERLINK("https://lindat.mff.cuni.cz/services/teitok/pdtc10/index.php?action=vallex&amp;frame=v-w10362f2", "separovat (v-w10362f2)")</f>
        <v>separovat (v-w10362f2)</v>
      </c>
    </row>
    <row r="43277" customFormat="false" ht="12.8" hidden="false" customHeight="false" outlineLevel="0" collapsed="false">
      <c r="B43277" s="0" t="s">
        <v>7</v>
      </c>
    </row>
    <row r="43278" customFormat="false" ht="12.8" hidden="false" customHeight="false" outlineLevel="0" collapsed="false">
      <c r="B43278" s="0" t="s">
        <v>14</v>
      </c>
    </row>
    <row r="43279" customFormat="false" ht="12.8" hidden="false" customHeight="false" outlineLevel="0" collapsed="false">
      <c r="B43279" s="0" t="s">
        <v>441</v>
      </c>
    </row>
    <row r="43281" customFormat="false" ht="12.8" hidden="false" customHeight="false" outlineLevel="0" collapsed="false">
      <c r="A43281" s="0" t="s">
        <v>15448</v>
      </c>
      <c r="B43281" s="0" t="str">
        <f aca="false">HYPERLINK("https://lindat.mff.cuni.cz/services/teitok/pdtc10/index.php?action=vallex&amp;frame=v-w11585_ZUf2_ZU", "separovat se (v-w11585_ZUf2_ZU)")</f>
        <v>separovat se (v-w11585_ZUf2_ZU)</v>
      </c>
    </row>
    <row r="43282" customFormat="false" ht="12.8" hidden="false" customHeight="false" outlineLevel="0" collapsed="false">
      <c r="B43282" s="0" t="s">
        <v>7</v>
      </c>
      <c r="C43282" s="0" t="s">
        <v>247</v>
      </c>
      <c r="D43282" s="0" t="s">
        <v>8727</v>
      </c>
      <c r="E43282" s="0" t="s">
        <v>8727</v>
      </c>
      <c r="F43282" s="0" t="s">
        <v>8727</v>
      </c>
    </row>
    <row r="43283" customFormat="false" ht="12.8" hidden="false" customHeight="false" outlineLevel="0" collapsed="false">
      <c r="B43283" s="0" t="s">
        <v>28</v>
      </c>
      <c r="C43283" s="0" t="s">
        <v>1544</v>
      </c>
      <c r="D43283" s="0" t="s">
        <v>4706</v>
      </c>
      <c r="E43283" s="0" t="s">
        <v>4706</v>
      </c>
      <c r="F43283" s="0" t="s">
        <v>4706</v>
      </c>
    </row>
    <row r="43285" customFormat="false" ht="12.8" hidden="false" customHeight="false" outlineLevel="0" collapsed="false">
      <c r="A43285" s="0" t="s">
        <v>15448</v>
      </c>
      <c r="B43285" s="0" t="str">
        <f aca="false">HYPERLINK("https://lindat.mff.cuni.cz/services/teitok/pdtc10/index.php?action=vallex&amp;frame=v-w11585_ZUf1_ZU", "separovat se (v-w11585_ZUf1_ZU) - substituted with v-w11585_ZUf2_ZU")</f>
        <v>separovat se (v-w11585_ZUf1_ZU) - substituted with v-w11585_ZUf2_ZU</v>
      </c>
    </row>
    <row r="43286" customFormat="false" ht="12.8" hidden="false" customHeight="false" outlineLevel="0" collapsed="false">
      <c r="B43286" s="0" t="s">
        <v>7</v>
      </c>
    </row>
    <row r="43287" customFormat="false" ht="12.8" hidden="false" customHeight="false" outlineLevel="0" collapsed="false">
      <c r="B43287" s="0" t="s">
        <v>28</v>
      </c>
    </row>
    <row r="43289" customFormat="false" ht="12.8" hidden="false" customHeight="false" outlineLevel="0" collapsed="false">
      <c r="A43289" s="0" t="s">
        <v>15449</v>
      </c>
      <c r="B43289" s="0" t="str">
        <f aca="false">HYPERLINK("https://lindat.mff.cuni.cz/services/teitok/pdtc10/index.php?action=vallex&amp;frame=v-w5962f1", "sepisovat (v-w5962f1)")</f>
        <v>sepisovat (v-w5962f1)</v>
      </c>
    </row>
    <row r="43290" customFormat="false" ht="12.8" hidden="false" customHeight="false" outlineLevel="0" collapsed="false">
      <c r="B43290" s="0" t="s">
        <v>7</v>
      </c>
      <c r="C43290" s="0" t="s">
        <v>460</v>
      </c>
      <c r="D43290" s="0" t="s">
        <v>1874</v>
      </c>
      <c r="E43290" s="0" t="s">
        <v>1874</v>
      </c>
      <c r="F43290" s="0" t="s">
        <v>1874</v>
      </c>
    </row>
    <row r="43291" customFormat="false" ht="12.8" hidden="false" customHeight="false" outlineLevel="0" collapsed="false">
      <c r="B43291" s="0" t="s">
        <v>14</v>
      </c>
      <c r="C43291" s="0" t="s">
        <v>1209</v>
      </c>
      <c r="D43291" s="0" t="s">
        <v>173</v>
      </c>
      <c r="E43291" s="0" t="s">
        <v>173</v>
      </c>
      <c r="F43291" s="0" t="s">
        <v>173</v>
      </c>
    </row>
    <row r="43293" customFormat="false" ht="12.8" hidden="false" customHeight="false" outlineLevel="0" collapsed="false">
      <c r="A43293" s="0" t="s">
        <v>15450</v>
      </c>
      <c r="B43293" s="0" t="str">
        <f aca="false">HYPERLINK("https://lindat.mff.cuni.cz/services/teitok/pdtc10/index.php?action=vallex&amp;frame=v-w5962f2_ZU", "sepisovat (v-w5962f2_ZU)")</f>
        <v>sepisovat (v-w5962f2_ZU)</v>
      </c>
    </row>
    <row r="43294" customFormat="false" ht="12.8" hidden="false" customHeight="false" outlineLevel="0" collapsed="false">
      <c r="B43294" s="0" t="s">
        <v>7</v>
      </c>
    </row>
    <row r="43295" customFormat="false" ht="12.8" hidden="false" customHeight="false" outlineLevel="0" collapsed="false">
      <c r="B43295" s="0" t="s">
        <v>14</v>
      </c>
    </row>
    <row r="43297" customFormat="false" ht="12.8" hidden="false" customHeight="false" outlineLevel="0" collapsed="false">
      <c r="A43297" s="0" t="s">
        <v>15451</v>
      </c>
      <c r="B43297" s="0" t="str">
        <f aca="false">HYPERLINK("https://lindat.mff.cuni.cz/services/teitok/pdtc10/index.php?action=vallex&amp;frame=v-w11586_ZUf1_ZU", "sepnout (v-w11586_ZUf1_ZU)")</f>
        <v>sepnout (v-w11586_ZUf1_ZU)</v>
      </c>
    </row>
    <row r="43298" customFormat="false" ht="12.8" hidden="false" customHeight="false" outlineLevel="0" collapsed="false">
      <c r="B43298" s="0" t="s">
        <v>7</v>
      </c>
      <c r="C43298" s="0" t="s">
        <v>15452</v>
      </c>
    </row>
    <row r="43299" customFormat="false" ht="12.8" hidden="false" customHeight="false" outlineLevel="0" collapsed="false">
      <c r="B43299" s="0" t="s">
        <v>14</v>
      </c>
      <c r="C43299" s="0" t="s">
        <v>173</v>
      </c>
    </row>
    <row r="43301" customFormat="false" ht="12.8" hidden="false" customHeight="false" outlineLevel="0" collapsed="false">
      <c r="A43301" s="0" t="s">
        <v>15453</v>
      </c>
      <c r="B43301" s="0" t="str">
        <f aca="false">HYPERLINK("https://lindat.mff.cuni.cz/services/teitok/pdtc10/index.php?action=vallex&amp;frame=v-w5965f1", "sepsat (v-w5965f1)")</f>
        <v>sepsat (v-w5965f1)</v>
      </c>
    </row>
    <row r="43302" customFormat="false" ht="12.8" hidden="false" customHeight="false" outlineLevel="0" collapsed="false">
      <c r="B43302" s="0" t="s">
        <v>7</v>
      </c>
      <c r="C43302" s="0" t="s">
        <v>2199</v>
      </c>
      <c r="D43302" s="0" t="s">
        <v>1874</v>
      </c>
      <c r="E43302" s="0" t="s">
        <v>1874</v>
      </c>
      <c r="F43302" s="0" t="s">
        <v>1874</v>
      </c>
    </row>
    <row r="43303" customFormat="false" ht="12.8" hidden="false" customHeight="false" outlineLevel="0" collapsed="false">
      <c r="B43303" s="0" t="s">
        <v>14</v>
      </c>
      <c r="C43303" s="0" t="s">
        <v>26</v>
      </c>
      <c r="D43303" s="0" t="s">
        <v>173</v>
      </c>
      <c r="E43303" s="0" t="s">
        <v>173</v>
      </c>
      <c r="F43303" s="0" t="s">
        <v>173</v>
      </c>
    </row>
    <row r="43305" customFormat="false" ht="12.8" hidden="false" customHeight="false" outlineLevel="0" collapsed="false">
      <c r="A43305" s="0" t="s">
        <v>15454</v>
      </c>
      <c r="B43305" s="0" t="str">
        <f aca="false">HYPERLINK("https://lindat.mff.cuni.cz/services/teitok/pdtc10/index.php?action=vallex&amp;frame=v-w5966f1", "sepsout (v-w5966f1)")</f>
        <v>sepsout (v-w5966f1)</v>
      </c>
    </row>
    <row r="43306" customFormat="false" ht="12.8" hidden="false" customHeight="false" outlineLevel="0" collapsed="false">
      <c r="B43306" s="0" t="s">
        <v>7</v>
      </c>
    </row>
    <row r="43307" customFormat="false" ht="12.8" hidden="false" customHeight="false" outlineLevel="0" collapsed="false">
      <c r="B43307" s="0" t="s">
        <v>14</v>
      </c>
    </row>
    <row r="43309" customFormat="false" ht="12.8" hidden="false" customHeight="false" outlineLevel="0" collapsed="false">
      <c r="A43309" s="0" t="s">
        <v>15455</v>
      </c>
      <c r="B43309" s="0" t="str">
        <f aca="false">HYPERLINK("https://lindat.mff.cuni.cz/services/teitok/pdtc10/index.php?action=vallex&amp;frame=v-whsb_812hsa_813", "serializovat (v-whsb_812hsa_813)")</f>
        <v>serializovat (v-whsb_812hsa_813)</v>
      </c>
    </row>
    <row r="43310" customFormat="false" ht="12.8" hidden="false" customHeight="false" outlineLevel="0" collapsed="false">
      <c r="B43310" s="0" t="s">
        <v>7</v>
      </c>
    </row>
    <row r="43311" customFormat="false" ht="12.8" hidden="false" customHeight="false" outlineLevel="0" collapsed="false">
      <c r="B43311" s="0" t="s">
        <v>14</v>
      </c>
    </row>
    <row r="43313" customFormat="false" ht="12.8" hidden="false" customHeight="false" outlineLevel="0" collapsed="false">
      <c r="A43313" s="0" t="s">
        <v>15456</v>
      </c>
      <c r="B43313" s="0" t="str">
        <f aca="false">HYPERLINK("https://lindat.mff.cuni.cz/services/teitok/pdtc10/index.php?action=vallex&amp;frame=v-w5969f2", "servírovat (v-w5969f2)")</f>
        <v>servírovat (v-w5969f2)</v>
      </c>
    </row>
    <row r="43314" customFormat="false" ht="12.8" hidden="false" customHeight="false" outlineLevel="0" collapsed="false">
      <c r="B43314" s="0" t="s">
        <v>7</v>
      </c>
      <c r="D43314" s="0" t="s">
        <v>3235</v>
      </c>
      <c r="E43314" s="0" t="s">
        <v>3235</v>
      </c>
      <c r="F43314" s="0" t="s">
        <v>3235</v>
      </c>
    </row>
    <row r="43315" customFormat="false" ht="12.8" hidden="false" customHeight="false" outlineLevel="0" collapsed="false">
      <c r="B43315" s="0" t="s">
        <v>14</v>
      </c>
      <c r="D43315" s="0" t="s">
        <v>3237</v>
      </c>
      <c r="E43315" s="0" t="s">
        <v>3237</v>
      </c>
      <c r="F43315" s="0" t="s">
        <v>3237</v>
      </c>
    </row>
    <row r="43316" customFormat="false" ht="12.8" hidden="false" customHeight="false" outlineLevel="0" collapsed="false">
      <c r="B43316" s="0" t="s">
        <v>48</v>
      </c>
      <c r="D43316" s="0" t="s">
        <v>3238</v>
      </c>
      <c r="E43316" s="0" t="s">
        <v>3238</v>
      </c>
      <c r="F43316" s="0" t="s">
        <v>3238</v>
      </c>
    </row>
    <row r="43318" customFormat="false" ht="12.8" hidden="false" customHeight="false" outlineLevel="0" collapsed="false">
      <c r="A43318" s="0" t="s">
        <v>15457</v>
      </c>
      <c r="B43318" s="0" t="str">
        <f aca="false">HYPERLINK("https://lindat.mff.cuni.cz/services/teitok/pdtc10/index.php?action=vallex&amp;frame=v-w5969f1", "servírovat (v-w5969f1)")</f>
        <v>servírovat (v-w5969f1)</v>
      </c>
    </row>
    <row r="43319" customFormat="false" ht="12.8" hidden="false" customHeight="false" outlineLevel="0" collapsed="false">
      <c r="B43319" s="0" t="s">
        <v>7</v>
      </c>
    </row>
    <row r="43321" customFormat="false" ht="12.8" hidden="false" customHeight="false" outlineLevel="0" collapsed="false">
      <c r="A43321" s="0" t="s">
        <v>15458</v>
      </c>
      <c r="B43321" s="0" t="str">
        <f aca="false">HYPERLINK("https://lindat.mff.cuni.cz/services/teitok/pdtc10/index.php?action=vallex&amp;frame=v-w5977f2", "sesadit (v-w5977f2)")</f>
        <v>sesadit (v-w5977f2)</v>
      </c>
    </row>
    <row r="43322" customFormat="false" ht="12.8" hidden="false" customHeight="false" outlineLevel="0" collapsed="false">
      <c r="B43322" s="0" t="s">
        <v>7</v>
      </c>
    </row>
    <row r="43323" customFormat="false" ht="12.8" hidden="false" customHeight="false" outlineLevel="0" collapsed="false">
      <c r="B43323" s="0" t="s">
        <v>14</v>
      </c>
    </row>
    <row r="43324" customFormat="false" ht="12.8" hidden="false" customHeight="false" outlineLevel="0" collapsed="false">
      <c r="B43324" s="0" t="s">
        <v>207</v>
      </c>
    </row>
    <row r="43326" customFormat="false" ht="12.8" hidden="false" customHeight="false" outlineLevel="0" collapsed="false">
      <c r="A43326" s="0" t="s">
        <v>15459</v>
      </c>
      <c r="B43326" s="0" t="str">
        <f aca="false">HYPERLINK("https://lindat.mff.cuni.cz/services/teitok/pdtc10/index.php?action=vallex&amp;frame=v-w5977f1", "sesadit (v-w5977f1)")</f>
        <v>sesadit (v-w5977f1)</v>
      </c>
    </row>
    <row r="43327" customFormat="false" ht="12.8" hidden="false" customHeight="false" outlineLevel="0" collapsed="false">
      <c r="B43327" s="0" t="s">
        <v>7</v>
      </c>
      <c r="C43327" s="0" t="s">
        <v>309</v>
      </c>
      <c r="D43327" s="0" t="s">
        <v>2560</v>
      </c>
      <c r="E43327" s="0" t="s">
        <v>2560</v>
      </c>
      <c r="F43327" s="0" t="s">
        <v>2560</v>
      </c>
    </row>
    <row r="43328" customFormat="false" ht="12.8" hidden="false" customHeight="false" outlineLevel="0" collapsed="false">
      <c r="B43328" s="0" t="s">
        <v>14</v>
      </c>
      <c r="C43328" s="0" t="s">
        <v>10088</v>
      </c>
      <c r="D43328" s="0" t="s">
        <v>3883</v>
      </c>
      <c r="E43328" s="0" t="s">
        <v>3883</v>
      </c>
      <c r="F43328" s="0" t="s">
        <v>3883</v>
      </c>
    </row>
    <row r="43329" customFormat="false" ht="12.8" hidden="false" customHeight="false" outlineLevel="0" collapsed="false">
      <c r="B43329" s="0" t="s">
        <v>459</v>
      </c>
      <c r="C43329" s="0" t="s">
        <v>8536</v>
      </c>
    </row>
    <row r="43331" customFormat="false" ht="12.8" hidden="false" customHeight="false" outlineLevel="0" collapsed="false">
      <c r="A43331" s="0" t="s">
        <v>15460</v>
      </c>
      <c r="B43331" s="0" t="str">
        <f aca="false">HYPERLINK("https://lindat.mff.cuni.cz/services/teitok/pdtc10/index.php?action=vallex&amp;frame=v-w10519f2", "sesbírat (v-w10519f2)")</f>
        <v>sesbírat (v-w10519f2)</v>
      </c>
    </row>
    <row r="43332" customFormat="false" ht="12.8" hidden="false" customHeight="false" outlineLevel="0" collapsed="false">
      <c r="B43332" s="0" t="s">
        <v>7</v>
      </c>
      <c r="C43332" s="0" t="s">
        <v>335</v>
      </c>
      <c r="D43332" s="0" t="s">
        <v>15461</v>
      </c>
      <c r="E43332" s="0" t="s">
        <v>15461</v>
      </c>
      <c r="F43332" s="0" t="s">
        <v>15461</v>
      </c>
    </row>
    <row r="43333" customFormat="false" ht="12.8" hidden="false" customHeight="false" outlineLevel="0" collapsed="false">
      <c r="B43333" s="0" t="s">
        <v>14</v>
      </c>
      <c r="C43333" s="0" t="s">
        <v>120</v>
      </c>
      <c r="D43333" s="0" t="s">
        <v>5185</v>
      </c>
      <c r="E43333" s="0" t="s">
        <v>5185</v>
      </c>
      <c r="F43333" s="0" t="s">
        <v>5185</v>
      </c>
    </row>
    <row r="43335" customFormat="false" ht="12.8" hidden="false" customHeight="false" outlineLevel="0" collapsed="false">
      <c r="A43335" s="0" t="s">
        <v>15462</v>
      </c>
      <c r="B43335" s="0" t="str">
        <f aca="false">HYPERLINK("https://lindat.mff.cuni.cz/services/teitok/pdtc10/index.php?action=vallex&amp;frame=v-w11789_ZUf1_ZU", "sesednout (v-w11789_ZUf1_ZU)")</f>
        <v>sesednout (v-w11789_ZUf1_ZU)</v>
      </c>
    </row>
    <row r="43336" customFormat="false" ht="12.8" hidden="false" customHeight="false" outlineLevel="0" collapsed="false">
      <c r="B43336" s="0" t="s">
        <v>7</v>
      </c>
    </row>
    <row r="43337" customFormat="false" ht="12.8" hidden="false" customHeight="false" outlineLevel="0" collapsed="false">
      <c r="B43337" s="0" t="s">
        <v>14</v>
      </c>
    </row>
    <row r="43339" customFormat="false" ht="12.8" hidden="false" customHeight="false" outlineLevel="0" collapsed="false">
      <c r="A43339" s="0" t="s">
        <v>15463</v>
      </c>
      <c r="B43339" s="0" t="str">
        <f aca="false">HYPERLINK("https://lindat.mff.cuni.cz/services/teitok/pdtc10/index.php?action=vallex&amp;frame=v-w5979f1", "seskočit (v-w5979f1)")</f>
        <v>seskočit (v-w5979f1)</v>
      </c>
    </row>
    <row r="43340" customFormat="false" ht="12.8" hidden="false" customHeight="false" outlineLevel="0" collapsed="false">
      <c r="B43340" s="0" t="s">
        <v>7</v>
      </c>
      <c r="D43340" s="0" t="s">
        <v>1894</v>
      </c>
      <c r="E43340" s="0" t="s">
        <v>1894</v>
      </c>
      <c r="F43340" s="0" t="s">
        <v>1894</v>
      </c>
    </row>
    <row r="43341" customFormat="false" ht="12.8" hidden="false" customHeight="false" outlineLevel="0" collapsed="false">
      <c r="B43341" s="0" t="s">
        <v>459</v>
      </c>
    </row>
    <row r="43343" customFormat="false" ht="12.8" hidden="false" customHeight="false" outlineLevel="0" collapsed="false">
      <c r="A43343" s="0" t="s">
        <v>15464</v>
      </c>
      <c r="B43343" s="0" t="str">
        <f aca="false">HYPERLINK("https://lindat.mff.cuni.cz/services/teitok/pdtc10/index.php?action=vallex&amp;frame=v-w12308_MMf1_MM", "seskupit se (v-w12308_MMf1_MM)")</f>
        <v>seskupit se (v-w12308_MMf1_MM)</v>
      </c>
    </row>
    <row r="43344" customFormat="false" ht="12.8" hidden="false" customHeight="false" outlineLevel="0" collapsed="false">
      <c r="B43344" s="0" t="s">
        <v>7</v>
      </c>
    </row>
    <row r="43346" customFormat="false" ht="12.8" hidden="false" customHeight="false" outlineLevel="0" collapsed="false">
      <c r="A43346" s="0" t="s">
        <v>15465</v>
      </c>
      <c r="B43346" s="0" t="str">
        <f aca="false">HYPERLINK("https://lindat.mff.cuni.cz/services/teitok/pdtc10/index.php?action=vallex&amp;frame=v-w10715f2", "seskupovat (v-w10715f2)")</f>
        <v>seskupovat (v-w10715f2)</v>
      </c>
    </row>
    <row r="43347" customFormat="false" ht="12.8" hidden="false" customHeight="false" outlineLevel="0" collapsed="false">
      <c r="B43347" s="0" t="s">
        <v>7</v>
      </c>
    </row>
    <row r="43348" customFormat="false" ht="12.8" hidden="false" customHeight="false" outlineLevel="0" collapsed="false">
      <c r="B43348" s="0" t="s">
        <v>14</v>
      </c>
    </row>
    <row r="43350" customFormat="false" ht="12.8" hidden="false" customHeight="false" outlineLevel="0" collapsed="false">
      <c r="A43350" s="0" t="s">
        <v>15466</v>
      </c>
      <c r="B43350" s="0" t="str">
        <f aca="false">HYPERLINK("https://lindat.mff.cuni.cz/services/teitok/pdtc10/index.php?action=vallex&amp;frame=v-w10840f2", "sesmolit (v-w10840f2)")</f>
        <v>sesmolit (v-w10840f2)</v>
      </c>
    </row>
    <row r="43351" customFormat="false" ht="12.8" hidden="false" customHeight="false" outlineLevel="0" collapsed="false">
      <c r="B43351" s="0" t="s">
        <v>7</v>
      </c>
    </row>
    <row r="43352" customFormat="false" ht="12.8" hidden="false" customHeight="false" outlineLevel="0" collapsed="false">
      <c r="B43352" s="0" t="s">
        <v>14</v>
      </c>
    </row>
    <row r="43354" customFormat="false" ht="12.8" hidden="false" customHeight="false" outlineLevel="0" collapsed="false">
      <c r="A43354" s="0" t="s">
        <v>15467</v>
      </c>
      <c r="B43354" s="0" t="str">
        <f aca="false">HYPERLINK("https://lindat.mff.cuni.cz/services/teitok/pdtc10/index.php?action=vallex&amp;frame=v-w10840hsa_72", "sesmolit (v-w10840hsa_72)")</f>
        <v>sesmolit (v-w10840hsa_72)</v>
      </c>
    </row>
    <row r="43355" customFormat="false" ht="12.8" hidden="false" customHeight="false" outlineLevel="0" collapsed="false">
      <c r="B43355" s="0" t="s">
        <v>7</v>
      </c>
      <c r="C43355" s="0" t="s">
        <v>191</v>
      </c>
      <c r="D43355" s="0" t="s">
        <v>8453</v>
      </c>
      <c r="E43355" s="0" t="s">
        <v>8453</v>
      </c>
      <c r="F43355" s="0" t="s">
        <v>8453</v>
      </c>
    </row>
    <row r="43356" customFormat="false" ht="12.8" hidden="false" customHeight="false" outlineLevel="0" collapsed="false">
      <c r="B43356" s="0" t="s">
        <v>14</v>
      </c>
      <c r="C43356" s="0" t="s">
        <v>1588</v>
      </c>
      <c r="D43356" s="0" t="s">
        <v>12969</v>
      </c>
      <c r="E43356" s="0" t="s">
        <v>12969</v>
      </c>
      <c r="F43356" s="0" t="s">
        <v>12969</v>
      </c>
    </row>
    <row r="43357" customFormat="false" ht="12.8" hidden="false" customHeight="false" outlineLevel="0" collapsed="false">
      <c r="B43357" s="0" t="s">
        <v>639</v>
      </c>
      <c r="C43357" s="0" t="s">
        <v>15468</v>
      </c>
      <c r="D43357" s="0" t="s">
        <v>2112</v>
      </c>
      <c r="E43357" s="0" t="s">
        <v>2112</v>
      </c>
      <c r="F43357" s="0" t="s">
        <v>2112</v>
      </c>
    </row>
    <row r="43359" customFormat="false" ht="12.8" hidden="false" customHeight="false" outlineLevel="0" collapsed="false">
      <c r="A43359" s="0" t="s">
        <v>15469</v>
      </c>
      <c r="B43359" s="0" t="str">
        <f aca="false">HYPERLINK("https://lindat.mff.cuni.cz/services/teitok/pdtc10/index.php?action=vallex&amp;frame=v-whsa_555hsa_556", "sesout se (v-whsa_555hsa_556)")</f>
        <v>sesout se (v-whsa_555hsa_556)</v>
      </c>
    </row>
    <row r="43360" customFormat="false" ht="12.8" hidden="false" customHeight="false" outlineLevel="0" collapsed="false">
      <c r="B43360" s="0" t="s">
        <v>7</v>
      </c>
    </row>
    <row r="43362" customFormat="false" ht="12.8" hidden="false" customHeight="false" outlineLevel="0" collapsed="false">
      <c r="A43362" s="0" t="s">
        <v>15470</v>
      </c>
      <c r="B43362" s="0" t="str">
        <f aca="false">HYPERLINK("https://lindat.mff.cuni.cz/services/teitok/pdtc10/index.php?action=vallex&amp;frame=v-w5986f1", "sestavit (v-w5986f1)")</f>
        <v>sestavit (v-w5986f1)</v>
      </c>
    </row>
    <row r="43363" customFormat="false" ht="12.8" hidden="false" customHeight="false" outlineLevel="0" collapsed="false">
      <c r="B43363" s="0" t="s">
        <v>7</v>
      </c>
      <c r="C43363" s="0" t="s">
        <v>15471</v>
      </c>
      <c r="D43363" s="0" t="s">
        <v>10877</v>
      </c>
      <c r="E43363" s="0" t="s">
        <v>10877</v>
      </c>
      <c r="F43363" s="0" t="s">
        <v>10877</v>
      </c>
    </row>
    <row r="43364" customFormat="false" ht="12.8" hidden="false" customHeight="false" outlineLevel="0" collapsed="false">
      <c r="B43364" s="0" t="s">
        <v>14</v>
      </c>
      <c r="C43364" s="0" t="s">
        <v>15472</v>
      </c>
      <c r="D43364" s="0" t="s">
        <v>10879</v>
      </c>
      <c r="E43364" s="0" t="s">
        <v>10879</v>
      </c>
      <c r="F43364" s="0" t="s">
        <v>10879</v>
      </c>
    </row>
    <row r="43365" customFormat="false" ht="12.8" hidden="false" customHeight="false" outlineLevel="0" collapsed="false">
      <c r="B43365" s="0" t="s">
        <v>35</v>
      </c>
      <c r="C43365" s="0" t="s">
        <v>594</v>
      </c>
      <c r="D43365" s="0" t="s">
        <v>10746</v>
      </c>
      <c r="E43365" s="0" t="s">
        <v>10746</v>
      </c>
      <c r="F43365" s="0" t="s">
        <v>10746</v>
      </c>
    </row>
    <row r="43367" customFormat="false" ht="12.8" hidden="false" customHeight="false" outlineLevel="0" collapsed="false">
      <c r="A43367" s="0" t="s">
        <v>15473</v>
      </c>
      <c r="B43367" s="0" t="str">
        <f aca="false">HYPERLINK("https://lindat.mff.cuni.cz/services/teitok/pdtc10/index.php?action=vallex&amp;frame=v-w5986f2", "sestavit (v-w5986f2)")</f>
        <v>sestavit (v-w5986f2)</v>
      </c>
    </row>
    <row r="43368" customFormat="false" ht="12.8" hidden="false" customHeight="false" outlineLevel="0" collapsed="false">
      <c r="B43368" s="0" t="s">
        <v>7</v>
      </c>
      <c r="C43368" s="0" t="s">
        <v>1263</v>
      </c>
      <c r="D43368" s="0" t="s">
        <v>191</v>
      </c>
      <c r="E43368" s="0" t="s">
        <v>191</v>
      </c>
      <c r="F43368" s="0" t="s">
        <v>191</v>
      </c>
    </row>
    <row r="43369" customFormat="false" ht="12.8" hidden="false" customHeight="false" outlineLevel="0" collapsed="false">
      <c r="B43369" s="0" t="s">
        <v>14</v>
      </c>
      <c r="C43369" s="0" t="s">
        <v>384</v>
      </c>
      <c r="D43369" s="0" t="s">
        <v>155</v>
      </c>
      <c r="E43369" s="0" t="s">
        <v>155</v>
      </c>
      <c r="F43369" s="0" t="s">
        <v>155</v>
      </c>
    </row>
    <row r="43370" customFormat="false" ht="12.8" hidden="false" customHeight="false" outlineLevel="0" collapsed="false">
      <c r="B43370" s="0" t="s">
        <v>2571</v>
      </c>
    </row>
    <row r="43372" customFormat="false" ht="12.8" hidden="false" customHeight="false" outlineLevel="0" collapsed="false">
      <c r="A43372" s="0" t="s">
        <v>15474</v>
      </c>
      <c r="B43372" s="0" t="str">
        <f aca="false">HYPERLINK("https://lindat.mff.cuni.cz/services/teitok/pdtc10/index.php?action=vallex&amp;frame=v-w5989f1", "sestavovat (v-w5989f1)")</f>
        <v>sestavovat (v-w5989f1)</v>
      </c>
    </row>
    <row r="43373" customFormat="false" ht="12.8" hidden="false" customHeight="false" outlineLevel="0" collapsed="false">
      <c r="B43373" s="0" t="s">
        <v>7</v>
      </c>
      <c r="C43373" s="0" t="s">
        <v>7871</v>
      </c>
      <c r="D43373" s="0" t="s">
        <v>10877</v>
      </c>
      <c r="E43373" s="0" t="s">
        <v>10877</v>
      </c>
      <c r="F43373" s="0" t="s">
        <v>10877</v>
      </c>
    </row>
    <row r="43374" customFormat="false" ht="12.8" hidden="false" customHeight="false" outlineLevel="0" collapsed="false">
      <c r="B43374" s="0" t="s">
        <v>14</v>
      </c>
      <c r="C43374" s="0" t="s">
        <v>15475</v>
      </c>
      <c r="D43374" s="0" t="s">
        <v>10879</v>
      </c>
      <c r="E43374" s="0" t="s">
        <v>10879</v>
      </c>
      <c r="F43374" s="0" t="s">
        <v>10879</v>
      </c>
    </row>
    <row r="43375" customFormat="false" ht="12.8" hidden="false" customHeight="false" outlineLevel="0" collapsed="false">
      <c r="B43375" s="0" t="s">
        <v>35</v>
      </c>
      <c r="C43375" s="0" t="s">
        <v>5459</v>
      </c>
      <c r="D43375" s="0" t="s">
        <v>10746</v>
      </c>
      <c r="E43375" s="0" t="s">
        <v>10746</v>
      </c>
      <c r="F43375" s="0" t="s">
        <v>10746</v>
      </c>
    </row>
    <row r="43377" customFormat="false" ht="12.8" hidden="false" customHeight="false" outlineLevel="0" collapsed="false">
      <c r="A43377" s="0" t="s">
        <v>15476</v>
      </c>
      <c r="B43377" s="0" t="str">
        <f aca="false">HYPERLINK("https://lindat.mff.cuni.cz/services/teitok/pdtc10/index.php?action=vallex&amp;frame=v-w5989f2", "sestavovat (v-w5989f2)")</f>
        <v>sestavovat (v-w5989f2)</v>
      </c>
    </row>
    <row r="43378" customFormat="false" ht="12.8" hidden="false" customHeight="false" outlineLevel="0" collapsed="false">
      <c r="B43378" s="0" t="s">
        <v>7</v>
      </c>
      <c r="D43378" s="0" t="s">
        <v>191</v>
      </c>
      <c r="E43378" s="0" t="s">
        <v>191</v>
      </c>
      <c r="F43378" s="0" t="s">
        <v>191</v>
      </c>
    </row>
    <row r="43379" customFormat="false" ht="12.8" hidden="false" customHeight="false" outlineLevel="0" collapsed="false">
      <c r="B43379" s="0" t="s">
        <v>14</v>
      </c>
      <c r="D43379" s="0" t="s">
        <v>155</v>
      </c>
      <c r="E43379" s="0" t="s">
        <v>155</v>
      </c>
      <c r="F43379" s="0" t="s">
        <v>155</v>
      </c>
    </row>
    <row r="43380" customFormat="false" ht="12.8" hidden="false" customHeight="false" outlineLevel="0" collapsed="false">
      <c r="B43380" s="0" t="s">
        <v>2571</v>
      </c>
    </row>
    <row r="43382" customFormat="false" ht="12.8" hidden="false" customHeight="false" outlineLevel="0" collapsed="false">
      <c r="A43382" s="0" t="s">
        <v>15477</v>
      </c>
      <c r="B43382" s="0" t="str">
        <f aca="false">HYPERLINK("https://lindat.mff.cuni.cz/services/teitok/pdtc10/index.php?action=vallex&amp;frame=v-whsa_299f1_ZU", "sestoupit (v-whsa_299f1_ZU)")</f>
        <v>sestoupit (v-whsa_299f1_ZU)</v>
      </c>
    </row>
    <row r="43383" customFormat="false" ht="12.8" hidden="false" customHeight="false" outlineLevel="0" collapsed="false">
      <c r="B43383" s="0" t="s">
        <v>7</v>
      </c>
    </row>
    <row r="43384" customFormat="false" ht="12.8" hidden="false" customHeight="false" outlineLevel="0" collapsed="false">
      <c r="B43384" s="0" t="s">
        <v>459</v>
      </c>
    </row>
    <row r="43386" customFormat="false" ht="12.8" hidden="false" customHeight="false" outlineLevel="0" collapsed="false">
      <c r="A43386" s="0" t="s">
        <v>15477</v>
      </c>
      <c r="B43386" s="0" t="str">
        <f aca="false">HYPERLINK("https://lindat.mff.cuni.cz/services/teitok/pdtc10/index.php?action=vallex&amp;frame=v-whsb_299hsa_300", "sestoupit (v-whsb_299hsa_300) - substituted with v-whsa_299f1_ZU")</f>
        <v>sestoupit (v-whsb_299hsa_300) - substituted with v-whsa_299f1_ZU</v>
      </c>
    </row>
    <row r="43387" customFormat="false" ht="12.8" hidden="false" customHeight="false" outlineLevel="0" collapsed="false">
      <c r="B43387" s="0" t="s">
        <v>7</v>
      </c>
    </row>
    <row r="43388" customFormat="false" ht="12.8" hidden="false" customHeight="false" outlineLevel="0" collapsed="false">
      <c r="B43388" s="0" t="s">
        <v>459</v>
      </c>
    </row>
    <row r="43390" customFormat="false" ht="12.8" hidden="false" customHeight="false" outlineLevel="0" collapsed="false">
      <c r="A43390" s="0" t="s">
        <v>15478</v>
      </c>
      <c r="B43390" s="0" t="str">
        <f aca="false">HYPERLINK("https://lindat.mff.cuni.cz/services/teitok/pdtc10/index.php?action=vallex&amp;frame=v-w5990f1", "sestrojit (v-w5990f1)")</f>
        <v>sestrojit (v-w5990f1)</v>
      </c>
    </row>
    <row r="43391" customFormat="false" ht="12.8" hidden="false" customHeight="false" outlineLevel="0" collapsed="false">
      <c r="B43391" s="0" t="s">
        <v>7</v>
      </c>
    </row>
    <row r="43392" customFormat="false" ht="12.8" hidden="false" customHeight="false" outlineLevel="0" collapsed="false">
      <c r="B43392" s="0" t="s">
        <v>14</v>
      </c>
    </row>
    <row r="43393" customFormat="false" ht="12.8" hidden="false" customHeight="false" outlineLevel="0" collapsed="false">
      <c r="B43393" s="0" t="s">
        <v>35</v>
      </c>
    </row>
    <row r="43395" customFormat="false" ht="12.8" hidden="false" customHeight="false" outlineLevel="0" collapsed="false">
      <c r="A43395" s="0" t="s">
        <v>15479</v>
      </c>
      <c r="B43395" s="0" t="str">
        <f aca="false">HYPERLINK("https://lindat.mff.cuni.cz/services/teitok/pdtc10/index.php?action=vallex&amp;frame=v-w5995f1", "sestupovat (v-w5995f1)")</f>
        <v>sestupovat (v-w5995f1)</v>
      </c>
    </row>
    <row r="43396" customFormat="false" ht="12.8" hidden="false" customHeight="false" outlineLevel="0" collapsed="false">
      <c r="B43396" s="0" t="s">
        <v>7</v>
      </c>
      <c r="C43396" s="0" t="s">
        <v>15480</v>
      </c>
      <c r="D43396" s="0" t="s">
        <v>15481</v>
      </c>
      <c r="E43396" s="0" t="s">
        <v>15481</v>
      </c>
      <c r="F43396" s="0" t="s">
        <v>15481</v>
      </c>
    </row>
    <row r="43397" customFormat="false" ht="12.8" hidden="false" customHeight="false" outlineLevel="0" collapsed="false">
      <c r="B43397" s="0" t="s">
        <v>459</v>
      </c>
    </row>
    <row r="43399" customFormat="false" ht="12.8" hidden="false" customHeight="false" outlineLevel="0" collapsed="false">
      <c r="A43399" s="0" t="s">
        <v>15482</v>
      </c>
      <c r="B43399" s="0" t="str">
        <f aca="false">HYPERLINK("https://lindat.mff.cuni.cz/services/teitok/pdtc10/index.php?action=vallex&amp;frame=v-w5996f1", "sestykovat (v-w5996f1)")</f>
        <v>sestykovat (v-w5996f1)</v>
      </c>
    </row>
    <row r="43400" customFormat="false" ht="12.8" hidden="false" customHeight="false" outlineLevel="0" collapsed="false">
      <c r="B43400" s="0" t="s">
        <v>7</v>
      </c>
    </row>
    <row r="43401" customFormat="false" ht="12.8" hidden="false" customHeight="false" outlineLevel="0" collapsed="false">
      <c r="B43401" s="0" t="s">
        <v>14</v>
      </c>
    </row>
    <row r="43402" customFormat="false" ht="12.8" hidden="false" customHeight="false" outlineLevel="0" collapsed="false">
      <c r="B43402" s="0" t="s">
        <v>207</v>
      </c>
    </row>
    <row r="43404" customFormat="false" ht="12.8" hidden="false" customHeight="false" outlineLevel="0" collapsed="false">
      <c r="A43404" s="0" t="s">
        <v>15483</v>
      </c>
      <c r="B43404" s="0" t="str">
        <f aca="false">HYPERLINK("https://lindat.mff.cuni.cz/services/teitok/pdtc10/index.php?action=vallex&amp;frame=v-w5983f1", "sestávat (v-w5983f1)")</f>
        <v>sestávat (v-w5983f1)</v>
      </c>
    </row>
    <row r="43405" customFormat="false" ht="12.8" hidden="false" customHeight="false" outlineLevel="0" collapsed="false">
      <c r="B43405" s="0" t="s">
        <v>7</v>
      </c>
      <c r="C43405" s="0" t="s">
        <v>15484</v>
      </c>
      <c r="D43405" s="0" t="s">
        <v>7828</v>
      </c>
      <c r="E43405" s="0" t="s">
        <v>7828</v>
      </c>
      <c r="F43405" s="0" t="s">
        <v>7828</v>
      </c>
    </row>
    <row r="43406" customFormat="false" ht="12.8" hidden="false" customHeight="false" outlineLevel="0" collapsed="false">
      <c r="B43406" s="0" t="s">
        <v>227</v>
      </c>
      <c r="C43406" s="0" t="s">
        <v>15485</v>
      </c>
      <c r="D43406" s="0" t="s">
        <v>7830</v>
      </c>
      <c r="E43406" s="0" t="s">
        <v>7830</v>
      </c>
      <c r="F43406" s="0" t="s">
        <v>7830</v>
      </c>
    </row>
    <row r="43408" customFormat="false" ht="12.8" hidden="false" customHeight="false" outlineLevel="0" collapsed="false">
      <c r="A43408" s="0" t="s">
        <v>15486</v>
      </c>
      <c r="B43408" s="0" t="str">
        <f aca="false">HYPERLINK("https://lindat.mff.cuni.cz/services/teitok/pdtc10/index.php?action=vallex&amp;frame=v-w5993f1", "sestřelit (v-w5993f1)")</f>
        <v>sestřelit (v-w5993f1)</v>
      </c>
    </row>
    <row r="43409" customFormat="false" ht="12.8" hidden="false" customHeight="false" outlineLevel="0" collapsed="false">
      <c r="B43409" s="0" t="s">
        <v>7</v>
      </c>
      <c r="C43409" s="0" t="s">
        <v>46</v>
      </c>
    </row>
    <row r="43410" customFormat="false" ht="12.8" hidden="false" customHeight="false" outlineLevel="0" collapsed="false">
      <c r="B43410" s="0" t="s">
        <v>14</v>
      </c>
      <c r="C43410" s="0" t="s">
        <v>567</v>
      </c>
    </row>
    <row r="43412" customFormat="false" ht="12.8" hidden="false" customHeight="false" outlineLevel="0" collapsed="false">
      <c r="A43412" s="0" t="s">
        <v>15487</v>
      </c>
      <c r="B43412" s="0" t="str">
        <f aca="false">HYPERLINK("https://lindat.mff.cuni.cz/services/teitok/pdtc10/index.php?action=vallex&amp;frame=v-w11745_ZUf1_ZU", "sestřihávat (v-w11745_ZUf1_ZU)")</f>
        <v>sestřihávat (v-w11745_ZUf1_ZU)</v>
      </c>
    </row>
    <row r="43413" customFormat="false" ht="12.8" hidden="false" customHeight="false" outlineLevel="0" collapsed="false">
      <c r="B43413" s="0" t="s">
        <v>7</v>
      </c>
    </row>
    <row r="43414" customFormat="false" ht="12.8" hidden="false" customHeight="false" outlineLevel="0" collapsed="false">
      <c r="B43414" s="0" t="s">
        <v>14</v>
      </c>
    </row>
    <row r="43415" customFormat="false" ht="12.8" hidden="false" customHeight="false" outlineLevel="0" collapsed="false">
      <c r="B43415" s="0" t="s">
        <v>35</v>
      </c>
    </row>
    <row r="43417" customFormat="false" ht="12.8" hidden="false" customHeight="false" outlineLevel="0" collapsed="false">
      <c r="A43417" s="0" t="s">
        <v>15488</v>
      </c>
      <c r="B43417" s="0" t="str">
        <f aca="false">HYPERLINK("https://lindat.mff.cuni.cz/services/teitok/pdtc10/index.php?action=vallex&amp;frame=v-w12145_ZUf1_ZU", "sesumírovat (v-w12145_ZUf1_ZU)")</f>
        <v>sesumírovat (v-w12145_ZUf1_ZU)</v>
      </c>
    </row>
    <row r="43418" customFormat="false" ht="12.8" hidden="false" customHeight="false" outlineLevel="0" collapsed="false">
      <c r="B43418" s="0" t="s">
        <v>7</v>
      </c>
    </row>
    <row r="43419" customFormat="false" ht="12.8" hidden="false" customHeight="false" outlineLevel="0" collapsed="false">
      <c r="B43419" s="0" t="s">
        <v>232</v>
      </c>
    </row>
    <row r="43421" customFormat="false" ht="12.8" hidden="false" customHeight="false" outlineLevel="0" collapsed="false">
      <c r="A43421" s="0" t="s">
        <v>15489</v>
      </c>
      <c r="B43421" s="0" t="str">
        <f aca="false">HYPERLINK("https://lindat.mff.cuni.cz/services/teitok/pdtc10/index.php?action=vallex&amp;frame=v-w5997f1", "sesunout se (v-w5997f1)")</f>
        <v>sesunout se (v-w5997f1)</v>
      </c>
    </row>
    <row r="43422" customFormat="false" ht="12.8" hidden="false" customHeight="false" outlineLevel="0" collapsed="false">
      <c r="B43422" s="0" t="s">
        <v>7</v>
      </c>
    </row>
    <row r="43424" customFormat="false" ht="12.8" hidden="false" customHeight="false" outlineLevel="0" collapsed="false">
      <c r="A43424" s="0" t="s">
        <v>15490</v>
      </c>
      <c r="B43424" s="0" t="str">
        <f aca="false">HYPERLINK("https://lindat.mff.cuni.cz/services/teitok/pdtc10/index.php?action=vallex&amp;frame=v-w5999f1", "sesypat se (v-w5999f1)")</f>
        <v>sesypat se (v-w5999f1)</v>
      </c>
    </row>
    <row r="43425" customFormat="false" ht="12.8" hidden="false" customHeight="false" outlineLevel="0" collapsed="false">
      <c r="B43425" s="0" t="s">
        <v>7</v>
      </c>
    </row>
    <row r="43427" customFormat="false" ht="12.8" hidden="false" customHeight="false" outlineLevel="0" collapsed="false">
      <c r="A43427" s="0" t="s">
        <v>15491</v>
      </c>
      <c r="B43427" s="0" t="str">
        <f aca="false">HYPERLINK("https://lindat.mff.cuni.cz/services/teitok/pdtc10/index.php?action=vallex&amp;frame=v-w6002f1", "setkat se (v-w6002f1)")</f>
        <v>setkat se (v-w6002f1)</v>
      </c>
    </row>
    <row r="43428" customFormat="false" ht="12.8" hidden="false" customHeight="false" outlineLevel="0" collapsed="false">
      <c r="B43428" s="0" t="s">
        <v>7</v>
      </c>
      <c r="C43428" s="0" t="s">
        <v>15492</v>
      </c>
      <c r="D43428" s="0" t="s">
        <v>11037</v>
      </c>
      <c r="E43428" s="0" t="s">
        <v>11037</v>
      </c>
      <c r="F43428" s="0" t="s">
        <v>11037</v>
      </c>
    </row>
    <row r="43429" customFormat="false" ht="12.8" hidden="false" customHeight="false" outlineLevel="0" collapsed="false">
      <c r="B43429" s="0" t="s">
        <v>548</v>
      </c>
      <c r="C43429" s="0" t="s">
        <v>15493</v>
      </c>
      <c r="D43429" s="0" t="s">
        <v>4163</v>
      </c>
      <c r="E43429" s="0" t="s">
        <v>4163</v>
      </c>
      <c r="F43429" s="0" t="s">
        <v>4163</v>
      </c>
    </row>
    <row r="43431" customFormat="false" ht="12.8" hidden="false" customHeight="false" outlineLevel="0" collapsed="false">
      <c r="A43431" s="0" t="s">
        <v>15494</v>
      </c>
      <c r="B43431" s="0" t="str">
        <f aca="false">HYPERLINK("https://lindat.mff.cuni.cz/services/teitok/pdtc10/index.php?action=vallex&amp;frame=v-w6002f2", "setkat se (v-w6002f2)")</f>
        <v>setkat se (v-w6002f2)</v>
      </c>
    </row>
    <row r="43432" customFormat="false" ht="12.8" hidden="false" customHeight="false" outlineLevel="0" collapsed="false">
      <c r="B43432" s="0" t="s">
        <v>7</v>
      </c>
      <c r="C43432" s="0" t="s">
        <v>15495</v>
      </c>
      <c r="D43432" s="0" t="s">
        <v>10078</v>
      </c>
      <c r="E43432" s="0" t="s">
        <v>10078</v>
      </c>
      <c r="F43432" s="0" t="s">
        <v>10078</v>
      </c>
    </row>
    <row r="43433" customFormat="false" ht="12.8" hidden="false" customHeight="false" outlineLevel="0" collapsed="false">
      <c r="B43433" s="0" t="s">
        <v>548</v>
      </c>
      <c r="C43433" s="0" t="s">
        <v>15496</v>
      </c>
      <c r="D43433" s="0" t="s">
        <v>10080</v>
      </c>
      <c r="E43433" s="0" t="s">
        <v>10080</v>
      </c>
      <c r="F43433" s="0" t="s">
        <v>10080</v>
      </c>
    </row>
    <row r="43435" customFormat="false" ht="12.8" hidden="false" customHeight="false" outlineLevel="0" collapsed="false">
      <c r="A43435" s="0" t="s">
        <v>15497</v>
      </c>
      <c r="B43435" s="0" t="str">
        <f aca="false">HYPERLINK("https://lindat.mff.cuni.cz/services/teitok/pdtc10/index.php?action=vallex&amp;frame=v-w6004f1", "setkávat se (v-w6004f1)")</f>
        <v>setkávat se (v-w6004f1)</v>
      </c>
    </row>
    <row r="43436" customFormat="false" ht="12.8" hidden="false" customHeight="false" outlineLevel="0" collapsed="false">
      <c r="B43436" s="0" t="s">
        <v>7</v>
      </c>
      <c r="C43436" s="0" t="s">
        <v>15498</v>
      </c>
      <c r="D43436" s="0" t="s">
        <v>10078</v>
      </c>
      <c r="E43436" s="0" t="s">
        <v>10078</v>
      </c>
      <c r="F43436" s="0" t="s">
        <v>10078</v>
      </c>
    </row>
    <row r="43437" customFormat="false" ht="12.8" hidden="false" customHeight="false" outlineLevel="0" collapsed="false">
      <c r="B43437" s="0" t="s">
        <v>548</v>
      </c>
      <c r="C43437" s="0" t="s">
        <v>7634</v>
      </c>
      <c r="D43437" s="0" t="s">
        <v>10080</v>
      </c>
      <c r="E43437" s="0" t="s">
        <v>10080</v>
      </c>
      <c r="F43437" s="0" t="s">
        <v>10080</v>
      </c>
    </row>
    <row r="43439" customFormat="false" ht="12.8" hidden="false" customHeight="false" outlineLevel="0" collapsed="false">
      <c r="A43439" s="0" t="s">
        <v>15499</v>
      </c>
      <c r="B43439" s="0" t="str">
        <f aca="false">HYPERLINK("https://lindat.mff.cuni.cz/services/teitok/pdtc10/index.php?action=vallex&amp;frame=v-w6004f2", "setkávat se (v-w6004f2)")</f>
        <v>setkávat se (v-w6004f2)</v>
      </c>
    </row>
    <row r="43440" customFormat="false" ht="12.8" hidden="false" customHeight="false" outlineLevel="0" collapsed="false">
      <c r="B43440" s="0" t="s">
        <v>7</v>
      </c>
      <c r="C43440" s="0" t="s">
        <v>15500</v>
      </c>
      <c r="D43440" s="0" t="s">
        <v>11037</v>
      </c>
      <c r="E43440" s="0" t="s">
        <v>11037</v>
      </c>
      <c r="F43440" s="0" t="s">
        <v>11037</v>
      </c>
    </row>
    <row r="43441" customFormat="false" ht="12.8" hidden="false" customHeight="false" outlineLevel="0" collapsed="false">
      <c r="B43441" s="0" t="s">
        <v>548</v>
      </c>
      <c r="C43441" s="0" t="s">
        <v>1313</v>
      </c>
      <c r="D43441" s="0" t="s">
        <v>4163</v>
      </c>
      <c r="E43441" s="0" t="s">
        <v>4163</v>
      </c>
      <c r="F43441" s="0" t="s">
        <v>4163</v>
      </c>
    </row>
    <row r="43443" customFormat="false" ht="12.8" hidden="false" customHeight="false" outlineLevel="0" collapsed="false">
      <c r="A43443" s="0" t="s">
        <v>15501</v>
      </c>
      <c r="B43443" s="0" t="str">
        <f aca="false">HYPERLINK("https://lindat.mff.cuni.cz/services/teitok/pdtc10/index.php?action=vallex&amp;frame=v-w12043_ZUf1_ZU", "setmít se (v-w12043_ZUf1_ZU)")</f>
        <v>setmít se (v-w12043_ZUf1_ZU)</v>
      </c>
    </row>
    <row r="43445" customFormat="false" ht="12.8" hidden="false" customHeight="false" outlineLevel="0" collapsed="false">
      <c r="A43445" s="0" t="s">
        <v>15502</v>
      </c>
      <c r="B43445" s="0" t="str">
        <f aca="false">HYPERLINK("https://lindat.mff.cuni.cz/services/teitok/pdtc10/index.php?action=vallex&amp;frame=v-w6006f1", "setrvat (v-w6006f1)")</f>
        <v>setrvat (v-w6006f1)</v>
      </c>
    </row>
    <row r="43446" customFormat="false" ht="12.8" hidden="false" customHeight="false" outlineLevel="0" collapsed="false">
      <c r="B43446" s="0" t="s">
        <v>7</v>
      </c>
      <c r="C43446" s="0" t="s">
        <v>498</v>
      </c>
    </row>
    <row r="43447" customFormat="false" ht="12.8" hidden="false" customHeight="false" outlineLevel="0" collapsed="false">
      <c r="B43447" s="0" t="s">
        <v>11</v>
      </c>
    </row>
    <row r="43449" customFormat="false" ht="12.8" hidden="false" customHeight="false" outlineLevel="0" collapsed="false">
      <c r="A43449" s="0" t="s">
        <v>15503</v>
      </c>
      <c r="B43449" s="0" t="str">
        <f aca="false">HYPERLINK("https://lindat.mff.cuni.cz/services/teitok/pdtc10/index.php?action=vallex&amp;frame=v-w6006f2", "setrvat (v-w6006f2)")</f>
        <v>setrvat (v-w6006f2)</v>
      </c>
    </row>
    <row r="43450" customFormat="false" ht="12.8" hidden="false" customHeight="false" outlineLevel="0" collapsed="false">
      <c r="B43450" s="0" t="s">
        <v>7</v>
      </c>
      <c r="C43450" s="0" t="s">
        <v>2911</v>
      </c>
      <c r="D43450" s="0" t="s">
        <v>1048</v>
      </c>
      <c r="E43450" s="0" t="s">
        <v>1048</v>
      </c>
      <c r="F43450" s="0" t="s">
        <v>1048</v>
      </c>
    </row>
    <row r="43451" customFormat="false" ht="12.8" hidden="false" customHeight="false" outlineLevel="0" collapsed="false">
      <c r="B43451" s="0" t="s">
        <v>5619</v>
      </c>
      <c r="C43451" s="0" t="s">
        <v>12588</v>
      </c>
      <c r="D43451" s="0" t="s">
        <v>15504</v>
      </c>
      <c r="E43451" s="0" t="s">
        <v>15504</v>
      </c>
      <c r="F43451" s="0" t="s">
        <v>15504</v>
      </c>
    </row>
    <row r="43452" customFormat="false" ht="12.8" hidden="false" customHeight="false" outlineLevel="0" collapsed="false">
      <c r="B43452" s="0" t="s">
        <v>7395</v>
      </c>
      <c r="D43452" s="0" t="s">
        <v>15505</v>
      </c>
      <c r="E43452" s="0" t="s">
        <v>15505</v>
      </c>
      <c r="F43452" s="0" t="s">
        <v>15505</v>
      </c>
    </row>
    <row r="43453" customFormat="false" ht="12.8" hidden="false" customHeight="false" outlineLevel="0" collapsed="false">
      <c r="B43453" s="0" t="s">
        <v>7394</v>
      </c>
      <c r="D43453" s="0" t="s">
        <v>15506</v>
      </c>
      <c r="E43453" s="0" t="s">
        <v>15506</v>
      </c>
      <c r="F43453" s="0" t="s">
        <v>15506</v>
      </c>
    </row>
    <row r="43455" customFormat="false" ht="12.8" hidden="false" customHeight="false" outlineLevel="0" collapsed="false">
      <c r="A43455" s="0" t="s">
        <v>15507</v>
      </c>
      <c r="B43455" s="0" t="str">
        <f aca="false">HYPERLINK("https://lindat.mff.cuni.cz/services/teitok/pdtc10/index.php?action=vallex&amp;frame=v-w6007f1", "setrvávat (v-w6007f1)")</f>
        <v>setrvávat (v-w6007f1)</v>
      </c>
    </row>
    <row r="43456" customFormat="false" ht="12.8" hidden="false" customHeight="false" outlineLevel="0" collapsed="false">
      <c r="B43456" s="0" t="s">
        <v>7</v>
      </c>
      <c r="C43456" s="0" t="s">
        <v>16</v>
      </c>
      <c r="D43456" s="0" t="s">
        <v>15508</v>
      </c>
      <c r="E43456" s="0" t="s">
        <v>15508</v>
      </c>
      <c r="F43456" s="0" t="s">
        <v>15508</v>
      </c>
    </row>
    <row r="43457" customFormat="false" ht="12.8" hidden="false" customHeight="false" outlineLevel="0" collapsed="false">
      <c r="B43457" s="0" t="s">
        <v>15509</v>
      </c>
      <c r="C43457" s="0" t="s">
        <v>400</v>
      </c>
      <c r="D43457" s="0" t="s">
        <v>1551</v>
      </c>
      <c r="E43457" s="0" t="s">
        <v>1551</v>
      </c>
      <c r="F43457" s="0" t="s">
        <v>1551</v>
      </c>
    </row>
    <row r="43459" customFormat="false" ht="12.8" hidden="false" customHeight="false" outlineLevel="0" collapsed="false">
      <c r="A43459" s="0" t="s">
        <v>15510</v>
      </c>
      <c r="B43459" s="0" t="str">
        <f aca="false">HYPERLINK("https://lindat.mff.cuni.cz/services/teitok/pdtc10/index.php?action=vallex&amp;frame=v-w6007f3", "setrvávat (v-w6007f3)")</f>
        <v>setrvávat (v-w6007f3)</v>
      </c>
    </row>
    <row r="43460" customFormat="false" ht="12.8" hidden="false" customHeight="false" outlineLevel="0" collapsed="false">
      <c r="B43460" s="0" t="s">
        <v>7</v>
      </c>
      <c r="C43460" s="0" t="s">
        <v>191</v>
      </c>
      <c r="D43460" s="0" t="s">
        <v>2901</v>
      </c>
      <c r="E43460" s="0" t="s">
        <v>2901</v>
      </c>
      <c r="F43460" s="0" t="s">
        <v>2901</v>
      </c>
    </row>
    <row r="43461" customFormat="false" ht="12.8" hidden="false" customHeight="false" outlineLevel="0" collapsed="false">
      <c r="B43461" s="0" t="s">
        <v>11</v>
      </c>
      <c r="D43461" s="0" t="s">
        <v>2903</v>
      </c>
      <c r="E43461" s="0" t="s">
        <v>2903</v>
      </c>
      <c r="F43461" s="0" t="s">
        <v>2903</v>
      </c>
    </row>
    <row r="43463" customFormat="false" ht="12.8" hidden="false" customHeight="false" outlineLevel="0" collapsed="false">
      <c r="A43463" s="0" t="s">
        <v>15511</v>
      </c>
      <c r="B43463" s="0" t="str">
        <f aca="false">HYPERLINK("https://lindat.mff.cuni.cz/services/teitok/pdtc10/index.php?action=vallex&amp;frame=v-w6007f2", "setrvávat (v-w6007f2)")</f>
        <v>setrvávat (v-w6007f2)</v>
      </c>
    </row>
    <row r="43464" customFormat="false" ht="12.8" hidden="false" customHeight="false" outlineLevel="0" collapsed="false">
      <c r="B43464" s="0" t="s">
        <v>7</v>
      </c>
      <c r="C43464" s="0" t="s">
        <v>176</v>
      </c>
      <c r="D43464" s="0" t="s">
        <v>1048</v>
      </c>
      <c r="E43464" s="0" t="s">
        <v>1048</v>
      </c>
      <c r="F43464" s="0" t="s">
        <v>1048</v>
      </c>
    </row>
    <row r="43465" customFormat="false" ht="12.8" hidden="false" customHeight="false" outlineLevel="0" collapsed="false">
      <c r="B43465" s="0" t="s">
        <v>5619</v>
      </c>
      <c r="D43465" s="0" t="s">
        <v>15504</v>
      </c>
      <c r="E43465" s="0" t="s">
        <v>15504</v>
      </c>
      <c r="F43465" s="0" t="s">
        <v>15504</v>
      </c>
    </row>
    <row r="43466" customFormat="false" ht="12.8" hidden="false" customHeight="false" outlineLevel="0" collapsed="false">
      <c r="B43466" s="0" t="s">
        <v>7395</v>
      </c>
      <c r="D43466" s="0" t="s">
        <v>15505</v>
      </c>
      <c r="E43466" s="0" t="s">
        <v>15505</v>
      </c>
      <c r="F43466" s="0" t="s">
        <v>15505</v>
      </c>
    </row>
    <row r="43467" customFormat="false" ht="12.8" hidden="false" customHeight="false" outlineLevel="0" collapsed="false">
      <c r="B43467" s="0" t="s">
        <v>7394</v>
      </c>
      <c r="D43467" s="0" t="s">
        <v>15506</v>
      </c>
      <c r="E43467" s="0" t="s">
        <v>15506</v>
      </c>
      <c r="F43467" s="0" t="s">
        <v>15506</v>
      </c>
    </row>
    <row r="43469" customFormat="false" ht="12.8" hidden="false" customHeight="false" outlineLevel="0" collapsed="false">
      <c r="A43469" s="0" t="s">
        <v>15512</v>
      </c>
      <c r="B43469" s="0" t="str">
        <f aca="false">HYPERLINK("https://lindat.mff.cuni.cz/services/teitok/pdtc10/index.php?action=vallex&amp;frame=v-w10295f2", "setřást (v-w10295f2)")</f>
        <v>setřást (v-w10295f2)</v>
      </c>
    </row>
    <row r="43470" customFormat="false" ht="12.8" hidden="false" customHeight="false" outlineLevel="0" collapsed="false">
      <c r="B43470" s="0" t="s">
        <v>7</v>
      </c>
      <c r="C43470" s="0" t="s">
        <v>46</v>
      </c>
    </row>
    <row r="43471" customFormat="false" ht="12.8" hidden="false" customHeight="false" outlineLevel="0" collapsed="false">
      <c r="B43471" s="0" t="s">
        <v>14</v>
      </c>
      <c r="C43471" s="0" t="s">
        <v>384</v>
      </c>
    </row>
    <row r="43472" customFormat="false" ht="12.8" hidden="false" customHeight="false" outlineLevel="0" collapsed="false">
      <c r="B43472" s="0" t="s">
        <v>459</v>
      </c>
    </row>
    <row r="43474" customFormat="false" ht="12.8" hidden="false" customHeight="false" outlineLevel="0" collapsed="false">
      <c r="A43474" s="0" t="s">
        <v>15513</v>
      </c>
      <c r="B43474" s="0" t="str">
        <f aca="false">HYPERLINK("https://lindat.mff.cuni.cz/services/teitok/pdtc10/index.php?action=vallex&amp;frame=v-w6008f1", "setřít (v-w6008f1)")</f>
        <v>setřít (v-w6008f1)</v>
      </c>
    </row>
    <row r="43475" customFormat="false" ht="12.8" hidden="false" customHeight="false" outlineLevel="0" collapsed="false">
      <c r="B43475" s="0" t="s">
        <v>7</v>
      </c>
      <c r="F43475" s="0" t="s">
        <v>46</v>
      </c>
    </row>
    <row r="43476" customFormat="false" ht="12.8" hidden="false" customHeight="false" outlineLevel="0" collapsed="false">
      <c r="B43476" s="0" t="s">
        <v>14</v>
      </c>
      <c r="F43476" s="0" t="s">
        <v>1170</v>
      </c>
    </row>
    <row r="43478" customFormat="false" ht="12.8" hidden="false" customHeight="false" outlineLevel="0" collapsed="false">
      <c r="A43478" s="0" t="s">
        <v>15514</v>
      </c>
      <c r="B43478" s="0" t="str">
        <f aca="false">HYPERLINK("https://lindat.mff.cuni.cz/services/teitok/pdtc10/index.php?action=vallex&amp;frame=v-w6008f2", "setřít (v-w6008f2)")</f>
        <v>setřít (v-w6008f2)</v>
      </c>
    </row>
    <row r="43479" customFormat="false" ht="12.8" hidden="false" customHeight="false" outlineLevel="0" collapsed="false">
      <c r="B43479" s="0" t="s">
        <v>7</v>
      </c>
    </row>
    <row r="43480" customFormat="false" ht="12.8" hidden="false" customHeight="false" outlineLevel="0" collapsed="false">
      <c r="B43480" s="0" t="s">
        <v>14</v>
      </c>
    </row>
    <row r="43482" customFormat="false" ht="12.8" hidden="false" customHeight="false" outlineLevel="0" collapsed="false">
      <c r="A43482" s="0" t="s">
        <v>15515</v>
      </c>
      <c r="B43482" s="0" t="str">
        <f aca="false">HYPERLINK("https://lindat.mff.cuni.cz/services/teitok/pdtc10/index.php?action=vallex&amp;frame=v-w6009f1", "sevřít (v-w6009f1)")</f>
        <v>sevřít (v-w6009f1)</v>
      </c>
    </row>
    <row r="43483" customFormat="false" ht="12.8" hidden="false" customHeight="false" outlineLevel="0" collapsed="false">
      <c r="B43483" s="0" t="s">
        <v>7</v>
      </c>
      <c r="D43483" s="0" t="s">
        <v>2812</v>
      </c>
      <c r="E43483" s="0" t="s">
        <v>2812</v>
      </c>
      <c r="F43483" s="0" t="s">
        <v>2812</v>
      </c>
    </row>
    <row r="43484" customFormat="false" ht="12.8" hidden="false" customHeight="false" outlineLevel="0" collapsed="false">
      <c r="B43484" s="0" t="s">
        <v>14</v>
      </c>
      <c r="D43484" s="0" t="s">
        <v>15516</v>
      </c>
      <c r="E43484" s="0" t="s">
        <v>15516</v>
      </c>
      <c r="F43484" s="0" t="s">
        <v>15516</v>
      </c>
    </row>
    <row r="43486" customFormat="false" ht="12.8" hidden="false" customHeight="false" outlineLevel="0" collapsed="false">
      <c r="A43486" s="0" t="s">
        <v>15517</v>
      </c>
      <c r="B43486" s="0" t="str">
        <f aca="false">HYPERLINK("https://lindat.mff.cuni.cz/services/teitok/pdtc10/index.php?action=vallex&amp;frame=v-whsa_366hsa_367", "sevřít se (v-whsa_366hsa_367)")</f>
        <v>sevřít se (v-whsa_366hsa_367)</v>
      </c>
    </row>
    <row r="43487" customFormat="false" ht="12.8" hidden="false" customHeight="false" outlineLevel="0" collapsed="false">
      <c r="B43487" s="0" t="s">
        <v>7</v>
      </c>
    </row>
    <row r="43489" customFormat="false" ht="12.8" hidden="false" customHeight="false" outlineLevel="0" collapsed="false">
      <c r="A43489" s="0" t="s">
        <v>15518</v>
      </c>
      <c r="B43489" s="0" t="str">
        <f aca="false">HYPERLINK("https://lindat.mff.cuni.cz/services/teitok/pdtc10/index.php?action=vallex&amp;frame=v-w6015f1", "seznamovat (v-w6015f1)")</f>
        <v>seznamovat (v-w6015f1)</v>
      </c>
    </row>
    <row r="43490" customFormat="false" ht="12.8" hidden="false" customHeight="false" outlineLevel="0" collapsed="false">
      <c r="B43490" s="0" t="s">
        <v>7</v>
      </c>
    </row>
    <row r="43491" customFormat="false" ht="12.8" hidden="false" customHeight="false" outlineLevel="0" collapsed="false">
      <c r="B43491" s="0" t="s">
        <v>548</v>
      </c>
    </row>
    <row r="43492" customFormat="false" ht="12.8" hidden="false" customHeight="false" outlineLevel="0" collapsed="false">
      <c r="B43492" s="0" t="s">
        <v>81</v>
      </c>
    </row>
    <row r="43494" customFormat="false" ht="12.8" hidden="false" customHeight="false" outlineLevel="0" collapsed="false">
      <c r="A43494" s="0" t="s">
        <v>15519</v>
      </c>
      <c r="B43494" s="0" t="str">
        <f aca="false">HYPERLINK("https://lindat.mff.cuni.cz/services/teitok/pdtc10/index.php?action=vallex&amp;frame=v-w6016f1", "seznamovat se (v-w6016f1)")</f>
        <v>seznamovat se (v-w6016f1)</v>
      </c>
    </row>
    <row r="43495" customFormat="false" ht="12.8" hidden="false" customHeight="false" outlineLevel="0" collapsed="false">
      <c r="B43495" s="0" t="s">
        <v>7</v>
      </c>
      <c r="C43495" s="0" t="s">
        <v>316</v>
      </c>
      <c r="D43495" s="0" t="s">
        <v>88</v>
      </c>
      <c r="E43495" s="0" t="s">
        <v>88</v>
      </c>
      <c r="F43495" s="0" t="s">
        <v>88</v>
      </c>
    </row>
    <row r="43496" customFormat="false" ht="12.8" hidden="false" customHeight="false" outlineLevel="0" collapsed="false">
      <c r="B43496" s="0" t="s">
        <v>548</v>
      </c>
      <c r="C43496" s="0" t="s">
        <v>2685</v>
      </c>
      <c r="D43496" s="0" t="s">
        <v>120</v>
      </c>
      <c r="E43496" s="0" t="s">
        <v>120</v>
      </c>
      <c r="F43496" s="0" t="s">
        <v>120</v>
      </c>
    </row>
    <row r="43498" customFormat="false" ht="12.8" hidden="false" customHeight="false" outlineLevel="0" collapsed="false">
      <c r="A43498" s="0" t="s">
        <v>15520</v>
      </c>
      <c r="B43498" s="0" t="str">
        <f aca="false">HYPERLINK("https://lindat.mff.cuni.cz/services/teitok/pdtc10/index.php?action=vallex&amp;frame=v-w6016f2_ZU", "seznamovat se (v-w6016f2_ZU)")</f>
        <v>seznamovat se (v-w6016f2_ZU)</v>
      </c>
    </row>
    <row r="43499" customFormat="false" ht="12.8" hidden="false" customHeight="false" outlineLevel="0" collapsed="false">
      <c r="B43499" s="0" t="s">
        <v>7</v>
      </c>
    </row>
    <row r="43500" customFormat="false" ht="12.8" hidden="false" customHeight="false" outlineLevel="0" collapsed="false">
      <c r="B43500" s="0" t="s">
        <v>548</v>
      </c>
    </row>
    <row r="43502" customFormat="false" ht="12.8" hidden="false" customHeight="false" outlineLevel="0" collapsed="false">
      <c r="A43502" s="0" t="s">
        <v>15521</v>
      </c>
      <c r="B43502" s="0" t="str">
        <f aca="false">HYPERLINK("https://lindat.mff.cuni.cz/services/teitok/pdtc10/index.php?action=vallex&amp;frame=v-w10047f2", "seznat (v-w10047f2)")</f>
        <v>seznat (v-w10047f2)</v>
      </c>
    </row>
    <row r="43503" customFormat="false" ht="12.8" hidden="false" customHeight="false" outlineLevel="0" collapsed="false">
      <c r="B43503" s="0" t="s">
        <v>7</v>
      </c>
      <c r="C43503" s="0" t="s">
        <v>3944</v>
      </c>
      <c r="D43503" s="0" t="s">
        <v>2022</v>
      </c>
      <c r="E43503" s="0" t="s">
        <v>2022</v>
      </c>
      <c r="F43503" s="0" t="s">
        <v>2022</v>
      </c>
    </row>
    <row r="43504" customFormat="false" ht="12.8" hidden="false" customHeight="false" outlineLevel="0" collapsed="false">
      <c r="B43504" s="0" t="s">
        <v>15522</v>
      </c>
      <c r="C43504" s="0" t="s">
        <v>15523</v>
      </c>
      <c r="D43504" s="0" t="s">
        <v>2027</v>
      </c>
      <c r="E43504" s="0" t="s">
        <v>2027</v>
      </c>
      <c r="F43504" s="0" t="s">
        <v>2027</v>
      </c>
    </row>
    <row r="43505" customFormat="false" ht="12.8" hidden="false" customHeight="false" outlineLevel="0" collapsed="false">
      <c r="B43505" s="0" t="s">
        <v>15522</v>
      </c>
      <c r="C43505" s="0" t="s">
        <v>15523</v>
      </c>
      <c r="D43505" s="0" t="s">
        <v>2027</v>
      </c>
      <c r="E43505" s="0" t="s">
        <v>2027</v>
      </c>
      <c r="F43505" s="0" t="s">
        <v>2027</v>
      </c>
    </row>
    <row r="43506" customFormat="false" ht="12.8" hidden="false" customHeight="false" outlineLevel="0" collapsed="false">
      <c r="B43506" s="0" t="s">
        <v>15524</v>
      </c>
      <c r="C43506" s="0" t="s">
        <v>15525</v>
      </c>
      <c r="D43506" s="0" t="s">
        <v>2025</v>
      </c>
      <c r="E43506" s="0" t="s">
        <v>2025</v>
      </c>
      <c r="F43506" s="0" t="s">
        <v>2025</v>
      </c>
    </row>
    <row r="43508" customFormat="false" ht="12.8" hidden="false" customHeight="false" outlineLevel="0" collapsed="false">
      <c r="A43508" s="0" t="s">
        <v>15526</v>
      </c>
      <c r="B43508" s="0" t="str">
        <f aca="false">HYPERLINK("https://lindat.mff.cuni.cz/services/teitok/pdtc10/index.php?action=vallex&amp;frame=v-w10047f3", "seznat (v-w10047f3)")</f>
        <v>seznat (v-w10047f3)</v>
      </c>
    </row>
    <row r="43509" customFormat="false" ht="12.8" hidden="false" customHeight="false" outlineLevel="0" collapsed="false">
      <c r="B43509" s="0" t="s">
        <v>7</v>
      </c>
      <c r="C43509" s="0" t="s">
        <v>845</v>
      </c>
      <c r="D43509" s="0" t="s">
        <v>7732</v>
      </c>
      <c r="E43509" s="0" t="s">
        <v>7732</v>
      </c>
      <c r="F43509" s="0" t="s">
        <v>7732</v>
      </c>
    </row>
    <row r="43510" customFormat="false" ht="12.8" hidden="false" customHeight="false" outlineLevel="0" collapsed="false">
      <c r="B43510" s="0" t="s">
        <v>54</v>
      </c>
      <c r="C43510" s="0" t="s">
        <v>2726</v>
      </c>
      <c r="D43510" s="0" t="s">
        <v>10974</v>
      </c>
      <c r="E43510" s="0" t="s">
        <v>10974</v>
      </c>
      <c r="F43510" s="0" t="s">
        <v>10974</v>
      </c>
    </row>
    <row r="43512" customFormat="false" ht="12.8" hidden="false" customHeight="false" outlineLevel="0" collapsed="false">
      <c r="A43512" s="0" t="s">
        <v>15527</v>
      </c>
      <c r="B43512" s="0" t="str">
        <f aca="false">HYPERLINK("https://lindat.mff.cuni.cz/services/teitok/pdtc10/index.php?action=vallex&amp;frame=v-w6012f1", "seznámit (v-w6012f1)")</f>
        <v>seznámit (v-w6012f1)</v>
      </c>
    </row>
    <row r="43513" customFormat="false" ht="12.8" hidden="false" customHeight="false" outlineLevel="0" collapsed="false">
      <c r="B43513" s="0" t="s">
        <v>7</v>
      </c>
      <c r="C43513" s="0" t="s">
        <v>15528</v>
      </c>
    </row>
    <row r="43514" customFormat="false" ht="12.8" hidden="false" customHeight="false" outlineLevel="0" collapsed="false">
      <c r="B43514" s="0" t="s">
        <v>548</v>
      </c>
      <c r="C43514" s="0" t="s">
        <v>15529</v>
      </c>
    </row>
    <row r="43515" customFormat="false" ht="12.8" hidden="false" customHeight="false" outlineLevel="0" collapsed="false">
      <c r="B43515" s="0" t="s">
        <v>81</v>
      </c>
      <c r="C43515" s="0" t="s">
        <v>15530</v>
      </c>
    </row>
    <row r="43517" customFormat="false" ht="12.8" hidden="false" customHeight="false" outlineLevel="0" collapsed="false">
      <c r="A43517" s="0" t="s">
        <v>15531</v>
      </c>
      <c r="B43517" s="0" t="str">
        <f aca="false">HYPERLINK("https://lindat.mff.cuni.cz/services/teitok/pdtc10/index.php?action=vallex&amp;frame=v-w6013f1", "seznámit se (v-w6013f1)")</f>
        <v>seznámit se (v-w6013f1)</v>
      </c>
    </row>
    <row r="43518" customFormat="false" ht="12.8" hidden="false" customHeight="false" outlineLevel="0" collapsed="false">
      <c r="B43518" s="0" t="s">
        <v>7</v>
      </c>
      <c r="C43518" s="0" t="s">
        <v>15532</v>
      </c>
      <c r="D43518" s="0" t="s">
        <v>88</v>
      </c>
      <c r="E43518" s="0" t="s">
        <v>88</v>
      </c>
      <c r="F43518" s="0" t="s">
        <v>88</v>
      </c>
    </row>
    <row r="43519" customFormat="false" ht="12.8" hidden="false" customHeight="false" outlineLevel="0" collapsed="false">
      <c r="B43519" s="0" t="s">
        <v>548</v>
      </c>
      <c r="C43519" s="0" t="s">
        <v>1313</v>
      </c>
      <c r="D43519" s="0" t="s">
        <v>120</v>
      </c>
      <c r="E43519" s="0" t="s">
        <v>120</v>
      </c>
      <c r="F43519" s="0" t="s">
        <v>120</v>
      </c>
    </row>
    <row r="43521" customFormat="false" ht="12.8" hidden="false" customHeight="false" outlineLevel="0" collapsed="false">
      <c r="A43521" s="0" t="s">
        <v>15533</v>
      </c>
      <c r="B43521" s="0" t="str">
        <f aca="false">HYPERLINK("https://lindat.mff.cuni.cz/services/teitok/pdtc10/index.php?action=vallex&amp;frame=v-w6013f3_ZU", "seznámit se (v-w6013f3_ZU)")</f>
        <v>seznámit se (v-w6013f3_ZU)</v>
      </c>
    </row>
    <row r="43522" customFormat="false" ht="12.8" hidden="false" customHeight="false" outlineLevel="0" collapsed="false">
      <c r="B43522" s="0" t="s">
        <v>7</v>
      </c>
    </row>
    <row r="43523" customFormat="false" ht="12.8" hidden="false" customHeight="false" outlineLevel="0" collapsed="false">
      <c r="B43523" s="0" t="s">
        <v>548</v>
      </c>
    </row>
    <row r="43525" customFormat="false" ht="12.8" hidden="false" customHeight="false" outlineLevel="0" collapsed="false">
      <c r="A43525" s="0" t="s">
        <v>15533</v>
      </c>
      <c r="B43525" s="0" t="str">
        <f aca="false">HYPERLINK("https://lindat.mff.cuni.cz/services/teitok/pdtc10/index.php?action=vallex&amp;frame=v-w6013f2_ZU", "seznámit se (v-w6013f2_ZU) - substituted with v-w6013f3_ZU")</f>
        <v>seznámit se (v-w6013f2_ZU) - substituted with v-w6013f3_ZU</v>
      </c>
    </row>
    <row r="43526" customFormat="false" ht="12.8" hidden="false" customHeight="false" outlineLevel="0" collapsed="false">
      <c r="B43526" s="0" t="s">
        <v>7</v>
      </c>
    </row>
    <row r="43527" customFormat="false" ht="12.8" hidden="false" customHeight="false" outlineLevel="0" collapsed="false">
      <c r="B43527" s="0" t="s">
        <v>548</v>
      </c>
    </row>
    <row r="43529" customFormat="false" ht="12.8" hidden="false" customHeight="false" outlineLevel="0" collapsed="false">
      <c r="A43529" s="0" t="s">
        <v>15534</v>
      </c>
      <c r="B43529" s="0" t="str">
        <f aca="false">HYPERLINK("https://lindat.mff.cuni.cz/services/teitok/pdtc10/index.php?action=vallex&amp;frame=v-w6017f1", "sezvat (v-w6017f1)")</f>
        <v>sezvat (v-w6017f1)</v>
      </c>
    </row>
    <row r="43530" customFormat="false" ht="12.8" hidden="false" customHeight="false" outlineLevel="0" collapsed="false">
      <c r="B43530" s="0" t="s">
        <v>7</v>
      </c>
      <c r="D43530" s="0" t="s">
        <v>14266</v>
      </c>
      <c r="E43530" s="0" t="s">
        <v>14266</v>
      </c>
      <c r="F43530" s="0" t="s">
        <v>14266</v>
      </c>
    </row>
    <row r="43531" customFormat="false" ht="12.8" hidden="false" customHeight="false" outlineLevel="0" collapsed="false">
      <c r="B43531" s="0" t="s">
        <v>14</v>
      </c>
      <c r="D43531" s="0" t="s">
        <v>14267</v>
      </c>
      <c r="E43531" s="0" t="s">
        <v>14267</v>
      </c>
      <c r="F43531" s="0" t="s">
        <v>14267</v>
      </c>
    </row>
    <row r="43533" customFormat="false" ht="12.8" hidden="false" customHeight="false" outlineLevel="0" collapsed="false">
      <c r="A43533" s="0" t="s">
        <v>15535</v>
      </c>
      <c r="B43533" s="0" t="str">
        <f aca="false">HYPERLINK("https://lindat.mff.cuni.cz/services/teitok/pdtc10/index.php?action=vallex&amp;frame=v-w5942f2", "sečíst (v-w5942f2)")</f>
        <v>sečíst (v-w5942f2)</v>
      </c>
    </row>
    <row r="43534" customFormat="false" ht="12.8" hidden="false" customHeight="false" outlineLevel="0" collapsed="false">
      <c r="B43534" s="0" t="s">
        <v>7</v>
      </c>
    </row>
    <row r="43535" customFormat="false" ht="12.8" hidden="false" customHeight="false" outlineLevel="0" collapsed="false">
      <c r="B43535" s="0" t="s">
        <v>14</v>
      </c>
    </row>
    <row r="43536" customFormat="false" ht="12.8" hidden="false" customHeight="false" outlineLevel="0" collapsed="false">
      <c r="B43536" s="0" t="s">
        <v>3086</v>
      </c>
    </row>
    <row r="43538" customFormat="false" ht="12.8" hidden="false" customHeight="false" outlineLevel="0" collapsed="false">
      <c r="A43538" s="0" t="s">
        <v>15536</v>
      </c>
      <c r="B43538" s="0" t="str">
        <f aca="false">HYPERLINK("https://lindat.mff.cuni.cz/services/teitok/pdtc10/index.php?action=vallex&amp;frame=v-w5942f4_ZU", "sečíst (v-w5942f4_ZU)")</f>
        <v>sečíst (v-w5942f4_ZU)</v>
      </c>
    </row>
    <row r="43539" customFormat="false" ht="12.8" hidden="false" customHeight="false" outlineLevel="0" collapsed="false">
      <c r="B43539" s="0" t="s">
        <v>7</v>
      </c>
    </row>
    <row r="43540" customFormat="false" ht="12.8" hidden="false" customHeight="false" outlineLevel="0" collapsed="false">
      <c r="B43540" s="0" t="s">
        <v>15537</v>
      </c>
    </row>
    <row r="43542" customFormat="false" ht="12.8" hidden="false" customHeight="false" outlineLevel="0" collapsed="false">
      <c r="A43542" s="0" t="s">
        <v>15536</v>
      </c>
      <c r="B43542" s="0" t="str">
        <f aca="false">HYPERLINK("https://lindat.mff.cuni.cz/services/teitok/pdtc10/index.php?action=vallex&amp;frame=v-w5942f1", "sečíst (v-w5942f1) - substituted with v-w5942f4_ZU")</f>
        <v>sečíst (v-w5942f1) - substituted with v-w5942f4_ZU</v>
      </c>
    </row>
    <row r="43543" customFormat="false" ht="12.8" hidden="false" customHeight="false" outlineLevel="0" collapsed="false">
      <c r="B43543" s="0" t="s">
        <v>7</v>
      </c>
    </row>
    <row r="43544" customFormat="false" ht="12.8" hidden="false" customHeight="false" outlineLevel="0" collapsed="false">
      <c r="B43544" s="0" t="s">
        <v>15537</v>
      </c>
      <c r="C43544" s="0" t="s">
        <v>47</v>
      </c>
    </row>
    <row r="43546" customFormat="false" ht="12.8" hidden="false" customHeight="false" outlineLevel="0" collapsed="false">
      <c r="A43546" s="0" t="s">
        <v>15536</v>
      </c>
      <c r="B43546" s="0" t="str">
        <f aca="false">HYPERLINK("https://lindat.mff.cuni.cz/services/teitok/pdtc10/index.php?action=vallex&amp;frame=v-w5942f3_ZU", "sečíst (v-w5942f3_ZU) - substituted with v-w5942f4_ZU")</f>
        <v>sečíst (v-w5942f3_ZU) - substituted with v-w5942f4_ZU</v>
      </c>
    </row>
    <row r="43547" customFormat="false" ht="12.8" hidden="false" customHeight="false" outlineLevel="0" collapsed="false">
      <c r="B43547" s="0" t="s">
        <v>7</v>
      </c>
      <c r="C43547" s="0" t="s">
        <v>15538</v>
      </c>
      <c r="D43547" s="0" t="s">
        <v>11401</v>
      </c>
      <c r="E43547" s="0" t="s">
        <v>11401</v>
      </c>
      <c r="F43547" s="0" t="s">
        <v>11401</v>
      </c>
    </row>
    <row r="43548" customFormat="false" ht="12.8" hidden="false" customHeight="false" outlineLevel="0" collapsed="false">
      <c r="B43548" s="0" t="s">
        <v>15537</v>
      </c>
      <c r="C43548" s="0" t="s">
        <v>15539</v>
      </c>
      <c r="D43548" s="0" t="s">
        <v>1168</v>
      </c>
      <c r="E43548" s="0" t="s">
        <v>1168</v>
      </c>
      <c r="F43548" s="0" t="s">
        <v>1168</v>
      </c>
    </row>
    <row r="43550" customFormat="false" ht="12.8" hidden="false" customHeight="false" outlineLevel="0" collapsed="false">
      <c r="A43550" s="0" t="s">
        <v>15540</v>
      </c>
      <c r="B43550" s="0" t="str">
        <f aca="false">HYPERLINK("https://lindat.mff.cuni.cz/services/teitok/pdtc10/index.php?action=vallex&amp;frame=v-w5942hsa_784", "sečíst (v-w5942hsa_784)")</f>
        <v>sečíst (v-w5942hsa_784)</v>
      </c>
    </row>
    <row r="43551" customFormat="false" ht="12.8" hidden="false" customHeight="false" outlineLevel="0" collapsed="false">
      <c r="B43551" s="0" t="s">
        <v>7</v>
      </c>
    </row>
    <row r="43552" customFormat="false" ht="12.8" hidden="false" customHeight="false" outlineLevel="0" collapsed="false">
      <c r="B43552" s="0" t="s">
        <v>14</v>
      </c>
    </row>
    <row r="43554" customFormat="false" ht="12.8" hidden="false" customHeight="false" outlineLevel="0" collapsed="false">
      <c r="A43554" s="0" t="s">
        <v>15541</v>
      </c>
      <c r="B43554" s="0" t="str">
        <f aca="false">HYPERLINK("https://lindat.mff.cuni.cz/services/teitok/pdtc10/index.php?action=vallex&amp;frame=v-w10973f2", "sečítat (v-w10973f2)")</f>
        <v>sečítat (v-w10973f2)</v>
      </c>
    </row>
    <row r="43555" customFormat="false" ht="12.8" hidden="false" customHeight="false" outlineLevel="0" collapsed="false">
      <c r="B43555" s="0" t="s">
        <v>7</v>
      </c>
    </row>
    <row r="43556" customFormat="false" ht="12.8" hidden="false" customHeight="false" outlineLevel="0" collapsed="false">
      <c r="B43556" s="0" t="s">
        <v>14</v>
      </c>
    </row>
    <row r="43558" customFormat="false" ht="12.8" hidden="false" customHeight="false" outlineLevel="0" collapsed="false">
      <c r="A43558" s="0" t="s">
        <v>15542</v>
      </c>
      <c r="B43558" s="0" t="str">
        <f aca="false">HYPERLINK("https://lindat.mff.cuni.cz/services/teitok/pdtc10/index.php?action=vallex&amp;frame=v-w5971f1", "seřadit (v-w5971f1)")</f>
        <v>seřadit (v-w5971f1)</v>
      </c>
    </row>
    <row r="43559" customFormat="false" ht="12.8" hidden="false" customHeight="false" outlineLevel="0" collapsed="false">
      <c r="B43559" s="0" t="s">
        <v>7</v>
      </c>
    </row>
    <row r="43560" customFormat="false" ht="12.8" hidden="false" customHeight="false" outlineLevel="0" collapsed="false">
      <c r="B43560" s="0" t="s">
        <v>14</v>
      </c>
    </row>
    <row r="43561" customFormat="false" ht="12.8" hidden="false" customHeight="false" outlineLevel="0" collapsed="false">
      <c r="B43561" s="0" t="s">
        <v>181</v>
      </c>
    </row>
    <row r="43563" customFormat="false" ht="12.8" hidden="false" customHeight="false" outlineLevel="0" collapsed="false">
      <c r="A43563" s="0" t="s">
        <v>15543</v>
      </c>
      <c r="B43563" s="0" t="str">
        <f aca="false">HYPERLINK("https://lindat.mff.cuni.cz/services/teitok/pdtc10/index.php?action=vallex&amp;frame=v-w12100_ZUf1_ZU", "seřadit se (v-w12100_ZUf1_ZU)")</f>
        <v>seřadit se (v-w12100_ZUf1_ZU)</v>
      </c>
    </row>
    <row r="43564" customFormat="false" ht="12.8" hidden="false" customHeight="false" outlineLevel="0" collapsed="false">
      <c r="B43564" s="0" t="s">
        <v>7</v>
      </c>
    </row>
    <row r="43565" customFormat="false" ht="12.8" hidden="false" customHeight="false" outlineLevel="0" collapsed="false">
      <c r="B43565" s="0" t="s">
        <v>3745</v>
      </c>
    </row>
    <row r="43567" customFormat="false" ht="12.8" hidden="false" customHeight="false" outlineLevel="0" collapsed="false">
      <c r="A43567" s="0" t="s">
        <v>15544</v>
      </c>
      <c r="B43567" s="0" t="str">
        <f aca="false">HYPERLINK("https://lindat.mff.cuni.cz/services/teitok/pdtc10/index.php?action=vallex&amp;frame=v-w12130_ZUf1_ZU", "seřazovat (v-w12130_ZUf1_ZU)")</f>
        <v>seřazovat (v-w12130_ZUf1_ZU)</v>
      </c>
    </row>
    <row r="43568" customFormat="false" ht="12.8" hidden="false" customHeight="false" outlineLevel="0" collapsed="false">
      <c r="B43568" s="0" t="s">
        <v>7</v>
      </c>
    </row>
    <row r="43569" customFormat="false" ht="12.8" hidden="false" customHeight="false" outlineLevel="0" collapsed="false">
      <c r="B43569" s="0" t="s">
        <v>14</v>
      </c>
    </row>
    <row r="43570" customFormat="false" ht="12.8" hidden="false" customHeight="false" outlineLevel="0" collapsed="false">
      <c r="B43570" s="0" t="s">
        <v>181</v>
      </c>
    </row>
    <row r="43572" customFormat="false" ht="12.8" hidden="false" customHeight="false" outlineLevel="0" collapsed="false">
      <c r="A43572" s="0" t="s">
        <v>15545</v>
      </c>
      <c r="B43572" s="0" t="str">
        <f aca="false">HYPERLINK("https://lindat.mff.cuni.cz/services/teitok/pdtc10/index.php?action=vallex&amp;frame=v-w5975f1", "seřizovat (v-w5975f1)")</f>
        <v>seřizovat (v-w5975f1)</v>
      </c>
    </row>
    <row r="43573" customFormat="false" ht="12.8" hidden="false" customHeight="false" outlineLevel="0" collapsed="false">
      <c r="B43573" s="0" t="s">
        <v>7</v>
      </c>
    </row>
    <row r="43574" customFormat="false" ht="12.8" hidden="false" customHeight="false" outlineLevel="0" collapsed="false">
      <c r="B43574" s="0" t="s">
        <v>14</v>
      </c>
    </row>
    <row r="43576" customFormat="false" ht="12.8" hidden="false" customHeight="false" outlineLevel="0" collapsed="false">
      <c r="A43576" s="0" t="s">
        <v>15546</v>
      </c>
      <c r="B43576" s="0" t="str">
        <f aca="false">HYPERLINK("https://lindat.mff.cuni.cz/services/teitok/pdtc10/index.php?action=vallex&amp;frame=v-w5976f1", "seřvat (v-w5976f1)")</f>
        <v>seřvat (v-w5976f1)</v>
      </c>
    </row>
    <row r="43577" customFormat="false" ht="12.8" hidden="false" customHeight="false" outlineLevel="0" collapsed="false">
      <c r="B43577" s="0" t="s">
        <v>7</v>
      </c>
    </row>
    <row r="43578" customFormat="false" ht="12.8" hidden="false" customHeight="false" outlineLevel="0" collapsed="false">
      <c r="B43578" s="0" t="s">
        <v>14</v>
      </c>
    </row>
    <row r="43580" customFormat="false" ht="12.8" hidden="false" customHeight="false" outlineLevel="0" collapsed="false">
      <c r="A43580" s="0" t="s">
        <v>15547</v>
      </c>
      <c r="B43580" s="0" t="str">
        <f aca="false">HYPERLINK("https://lindat.mff.cuni.cz/services/teitok/pdtc10/index.php?action=vallex&amp;frame=v-w12270_ZUf1_ZU", "seřvávat (v-w12270_ZUf1_ZU)")</f>
        <v>seřvávat (v-w12270_ZUf1_ZU)</v>
      </c>
    </row>
    <row r="43581" customFormat="false" ht="12.8" hidden="false" customHeight="false" outlineLevel="0" collapsed="false">
      <c r="B43581" s="0" t="s">
        <v>7</v>
      </c>
    </row>
    <row r="43582" customFormat="false" ht="12.8" hidden="false" customHeight="false" outlineLevel="0" collapsed="false">
      <c r="B43582" s="0" t="s">
        <v>14</v>
      </c>
    </row>
    <row r="43584" customFormat="false" ht="12.8" hidden="false" customHeight="false" outlineLevel="0" collapsed="false">
      <c r="A43584" s="0" t="s">
        <v>15548</v>
      </c>
      <c r="B43584" s="0" t="str">
        <f aca="false">HYPERLINK("https://lindat.mff.cuni.cz/services/teitok/pdtc10/index.php?action=vallex&amp;frame=v-w5972f1", "seřídit (v-w5972f1)")</f>
        <v>seřídit (v-w5972f1)</v>
      </c>
    </row>
    <row r="43585" customFormat="false" ht="12.8" hidden="false" customHeight="false" outlineLevel="0" collapsed="false">
      <c r="B43585" s="0" t="s">
        <v>7</v>
      </c>
    </row>
    <row r="43586" customFormat="false" ht="12.8" hidden="false" customHeight="false" outlineLevel="0" collapsed="false">
      <c r="B43586" s="0" t="s">
        <v>14</v>
      </c>
    </row>
    <row r="43588" customFormat="false" ht="12.8" hidden="false" customHeight="false" outlineLevel="0" collapsed="false">
      <c r="A43588" s="0" t="s">
        <v>15549</v>
      </c>
      <c r="B43588" s="0" t="str">
        <f aca="false">HYPERLINK("https://lindat.mff.cuni.cz/services/teitok/pdtc10/index.php?action=vallex&amp;frame=v-w10412f2", "seříznout (v-w10412f2)")</f>
        <v>seříznout (v-w10412f2)</v>
      </c>
    </row>
    <row r="43589" customFormat="false" ht="12.8" hidden="false" customHeight="false" outlineLevel="0" collapsed="false">
      <c r="B43589" s="0" t="s">
        <v>7</v>
      </c>
      <c r="D43589" s="0" t="s">
        <v>8822</v>
      </c>
      <c r="E43589" s="0" t="s">
        <v>8822</v>
      </c>
      <c r="F43589" s="0" t="s">
        <v>8822</v>
      </c>
    </row>
    <row r="43590" customFormat="false" ht="12.8" hidden="false" customHeight="false" outlineLevel="0" collapsed="false">
      <c r="B43590" s="0" t="s">
        <v>14</v>
      </c>
      <c r="D43590" s="0" t="s">
        <v>8824</v>
      </c>
      <c r="E43590" s="0" t="s">
        <v>8824</v>
      </c>
      <c r="F43590" s="0" t="s">
        <v>8824</v>
      </c>
    </row>
    <row r="43591" customFormat="false" ht="12.8" hidden="false" customHeight="false" outlineLevel="0" collapsed="false">
      <c r="B43591" s="0" t="s">
        <v>35</v>
      </c>
      <c r="D43591" s="0" t="s">
        <v>9482</v>
      </c>
      <c r="E43591" s="0" t="s">
        <v>9482</v>
      </c>
      <c r="F43591" s="0" t="s">
        <v>9482</v>
      </c>
    </row>
    <row r="43592" customFormat="false" ht="12.8" hidden="false" customHeight="false" outlineLevel="0" collapsed="false">
      <c r="B43592" s="0" t="s">
        <v>84</v>
      </c>
      <c r="D43592" s="0" t="s">
        <v>9485</v>
      </c>
      <c r="E43592" s="0" t="s">
        <v>9485</v>
      </c>
      <c r="F43592" s="0" t="s">
        <v>9485</v>
      </c>
    </row>
    <row r="43594" customFormat="false" ht="12.8" hidden="false" customHeight="false" outlineLevel="0" collapsed="false">
      <c r="A43594" s="0" t="s">
        <v>15550</v>
      </c>
      <c r="B43594" s="0" t="str">
        <f aca="false">HYPERLINK("https://lindat.mff.cuni.cz/services/teitok/pdtc10/index.php?action=vallex&amp;frame=v-w10052f2", "sešikovat (v-w10052f2)")</f>
        <v>sešikovat (v-w10052f2)</v>
      </c>
    </row>
    <row r="43595" customFormat="false" ht="12.8" hidden="false" customHeight="false" outlineLevel="0" collapsed="false">
      <c r="B43595" s="0" t="s">
        <v>7</v>
      </c>
    </row>
    <row r="43596" customFormat="false" ht="12.8" hidden="false" customHeight="false" outlineLevel="0" collapsed="false">
      <c r="B43596" s="0" t="s">
        <v>14</v>
      </c>
    </row>
    <row r="43598" customFormat="false" ht="12.8" hidden="false" customHeight="false" outlineLevel="0" collapsed="false">
      <c r="A43598" s="0" t="s">
        <v>15551</v>
      </c>
      <c r="B43598" s="0" t="str">
        <f aca="false">HYPERLINK("https://lindat.mff.cuni.cz/services/teitok/pdtc10/index.php?action=vallex&amp;frame=v-w10316f2", "seškrtat (v-w10316f2)")</f>
        <v>seškrtat (v-w10316f2)</v>
      </c>
    </row>
    <row r="43599" customFormat="false" ht="12.8" hidden="false" customHeight="false" outlineLevel="0" collapsed="false">
      <c r="B43599" s="0" t="s">
        <v>7</v>
      </c>
    </row>
    <row r="43600" customFormat="false" ht="12.8" hidden="false" customHeight="false" outlineLevel="0" collapsed="false">
      <c r="B43600" s="0" t="s">
        <v>14</v>
      </c>
    </row>
    <row r="43601" customFormat="false" ht="12.8" hidden="false" customHeight="false" outlineLevel="0" collapsed="false">
      <c r="B43601" s="0" t="s">
        <v>35</v>
      </c>
    </row>
    <row r="43602" customFormat="false" ht="12.8" hidden="false" customHeight="false" outlineLevel="0" collapsed="false">
      <c r="B43602" s="0" t="s">
        <v>84</v>
      </c>
    </row>
    <row r="43604" customFormat="false" ht="12.8" hidden="false" customHeight="false" outlineLevel="0" collapsed="false">
      <c r="A43604" s="0" t="s">
        <v>15552</v>
      </c>
      <c r="B43604" s="0" t="str">
        <f aca="false">HYPERLINK("https://lindat.mff.cuni.cz/services/teitok/pdtc10/index.php?action=vallex&amp;frame=v-whsa_890f1_ZU", "seškrtnout (v-whsa_890f1_ZU)")</f>
        <v>seškrtnout (v-whsa_890f1_ZU)</v>
      </c>
    </row>
    <row r="43605" customFormat="false" ht="12.8" hidden="false" customHeight="false" outlineLevel="0" collapsed="false">
      <c r="B43605" s="0" t="s">
        <v>7</v>
      </c>
      <c r="C43605" s="0" t="s">
        <v>1874</v>
      </c>
    </row>
    <row r="43606" customFormat="false" ht="12.8" hidden="false" customHeight="false" outlineLevel="0" collapsed="false">
      <c r="B43606" s="0" t="s">
        <v>14</v>
      </c>
      <c r="C43606" s="0" t="s">
        <v>2641</v>
      </c>
    </row>
    <row r="43607" customFormat="false" ht="12.8" hidden="false" customHeight="false" outlineLevel="0" collapsed="false">
      <c r="B43607" s="0" t="s">
        <v>35</v>
      </c>
    </row>
    <row r="43608" customFormat="false" ht="12.8" hidden="false" customHeight="false" outlineLevel="0" collapsed="false">
      <c r="B43608" s="0" t="s">
        <v>84</v>
      </c>
    </row>
    <row r="43610" customFormat="false" ht="12.8" hidden="false" customHeight="false" outlineLevel="0" collapsed="false">
      <c r="A43610" s="0" t="s">
        <v>15552</v>
      </c>
      <c r="B43610" s="0" t="str">
        <f aca="false">HYPERLINK("https://lindat.mff.cuni.cz/services/teitok/pdtc10/index.php?action=vallex&amp;frame=v-whsa_890hsa_891", "seškrtnout (v-whsa_890hsa_891) - substituted with v-whsa_890f1_ZU")</f>
        <v>seškrtnout (v-whsa_890hsa_891) - substituted with v-whsa_890f1_ZU</v>
      </c>
    </row>
    <row r="43611" customFormat="false" ht="12.8" hidden="false" customHeight="false" outlineLevel="0" collapsed="false">
      <c r="B43611" s="0" t="s">
        <v>7</v>
      </c>
    </row>
    <row r="43612" customFormat="false" ht="12.8" hidden="false" customHeight="false" outlineLevel="0" collapsed="false">
      <c r="B43612" s="0" t="s">
        <v>14</v>
      </c>
    </row>
    <row r="43613" customFormat="false" ht="12.8" hidden="false" customHeight="false" outlineLevel="0" collapsed="false">
      <c r="B43613" s="0" t="s">
        <v>35</v>
      </c>
    </row>
    <row r="43614" customFormat="false" ht="12.8" hidden="false" customHeight="false" outlineLevel="0" collapsed="false">
      <c r="B43614" s="0" t="s">
        <v>84</v>
      </c>
    </row>
    <row r="43616" customFormat="false" ht="12.8" hidden="false" customHeight="false" outlineLevel="0" collapsed="false">
      <c r="A43616" s="0" t="s">
        <v>15553</v>
      </c>
      <c r="B43616" s="0" t="str">
        <f aca="false">HYPERLINK("https://lindat.mff.cuni.cz/services/teitok/pdtc10/index.php?action=vallex&amp;frame=v-w11205f2", "sešlápnout (v-w11205f2)")</f>
        <v>sešlápnout (v-w11205f2)</v>
      </c>
    </row>
    <row r="43617" customFormat="false" ht="12.8" hidden="false" customHeight="false" outlineLevel="0" collapsed="false">
      <c r="B43617" s="0" t="s">
        <v>7</v>
      </c>
      <c r="C43617" s="0" t="s">
        <v>191</v>
      </c>
      <c r="D43617" s="0" t="s">
        <v>126</v>
      </c>
      <c r="E43617" s="0" t="s">
        <v>126</v>
      </c>
      <c r="F43617" s="0" t="s">
        <v>126</v>
      </c>
    </row>
    <row r="43618" customFormat="false" ht="12.8" hidden="false" customHeight="false" outlineLevel="0" collapsed="false">
      <c r="B43618" s="0" t="s">
        <v>14</v>
      </c>
      <c r="C43618" s="0" t="s">
        <v>155</v>
      </c>
      <c r="D43618" s="0" t="s">
        <v>3249</v>
      </c>
      <c r="E43618" s="0" t="s">
        <v>3249</v>
      </c>
      <c r="F43618" s="0" t="s">
        <v>3249</v>
      </c>
    </row>
    <row r="43620" customFormat="false" ht="12.8" hidden="false" customHeight="false" outlineLevel="0" collapsed="false">
      <c r="A43620" s="0" t="s">
        <v>15554</v>
      </c>
      <c r="B43620" s="0" t="str">
        <f aca="false">HYPERLINK("https://lindat.mff.cuni.cz/services/teitok/pdtc10/index.php?action=vallex&amp;frame=v-whsa_1822hsa_1823", "sešoupat (v-whsa_1822hsa_1823)")</f>
        <v>sešoupat (v-whsa_1822hsa_1823)</v>
      </c>
    </row>
    <row r="43621" customFormat="false" ht="12.8" hidden="false" customHeight="false" outlineLevel="0" collapsed="false">
      <c r="B43621" s="0" t="s">
        <v>7</v>
      </c>
    </row>
    <row r="43622" customFormat="false" ht="12.8" hidden="false" customHeight="false" outlineLevel="0" collapsed="false">
      <c r="B43622" s="0" t="s">
        <v>14</v>
      </c>
    </row>
    <row r="43623" customFormat="false" ht="12.8" hidden="false" customHeight="false" outlineLevel="0" collapsed="false">
      <c r="B43623" s="0" t="s">
        <v>124</v>
      </c>
    </row>
    <row r="43625" customFormat="false" ht="12.8" hidden="false" customHeight="false" outlineLevel="0" collapsed="false">
      <c r="A43625" s="0" t="s">
        <v>15555</v>
      </c>
      <c r="B43625" s="0" t="str">
        <f aca="false">HYPERLINK("https://lindat.mff.cuni.cz/services/teitok/pdtc10/index.php?action=vallex&amp;frame=v-w10121f2", "sešroubovávat (v-w10121f2)")</f>
        <v>sešroubovávat (v-w10121f2)</v>
      </c>
    </row>
    <row r="43626" customFormat="false" ht="12.8" hidden="false" customHeight="false" outlineLevel="0" collapsed="false">
      <c r="B43626" s="0" t="s">
        <v>7</v>
      </c>
    </row>
    <row r="43627" customFormat="false" ht="12.8" hidden="false" customHeight="false" outlineLevel="0" collapsed="false">
      <c r="B43627" s="0" t="s">
        <v>14</v>
      </c>
    </row>
    <row r="43628" customFormat="false" ht="12.8" hidden="false" customHeight="false" outlineLevel="0" collapsed="false">
      <c r="B43628" s="0" t="s">
        <v>207</v>
      </c>
    </row>
    <row r="43629" customFormat="false" ht="12.8" hidden="false" customHeight="false" outlineLevel="0" collapsed="false">
      <c r="B43629" s="0" t="s">
        <v>2571</v>
      </c>
    </row>
    <row r="43631" customFormat="false" ht="12.8" hidden="false" customHeight="false" outlineLevel="0" collapsed="false">
      <c r="A43631" s="0" t="s">
        <v>15556</v>
      </c>
      <c r="B43631" s="0" t="str">
        <f aca="false">HYPERLINK("https://lindat.mff.cuni.cz/services/teitok/pdtc10/index.php?action=vallex&amp;frame=v-w6000f1", "sešít (v-w6000f1)")</f>
        <v>sešít (v-w6000f1)</v>
      </c>
    </row>
    <row r="43632" customFormat="false" ht="12.8" hidden="false" customHeight="false" outlineLevel="0" collapsed="false">
      <c r="B43632" s="0" t="s">
        <v>7</v>
      </c>
    </row>
    <row r="43633" customFormat="false" ht="12.8" hidden="false" customHeight="false" outlineLevel="0" collapsed="false">
      <c r="B43633" s="0" t="s">
        <v>14</v>
      </c>
    </row>
    <row r="43635" customFormat="false" ht="12.8" hidden="false" customHeight="false" outlineLevel="0" collapsed="false">
      <c r="A43635" s="0" t="s">
        <v>15557</v>
      </c>
      <c r="B43635" s="0" t="str">
        <f aca="false">HYPERLINK("https://lindat.mff.cuni.cz/services/teitok/pdtc10/index.php?action=vallex&amp;frame=v-w6000f2_MM", "sešít (v-w6000f2_MM)")</f>
        <v>sešít (v-w6000f2_MM)</v>
      </c>
    </row>
    <row r="43636" customFormat="false" ht="12.8" hidden="false" customHeight="false" outlineLevel="0" collapsed="false">
      <c r="B43636" s="0" t="s">
        <v>7</v>
      </c>
    </row>
    <row r="43637" customFormat="false" ht="12.8" hidden="false" customHeight="false" outlineLevel="0" collapsed="false">
      <c r="B43637" s="0" t="s">
        <v>14</v>
      </c>
    </row>
    <row r="43638" customFormat="false" ht="12.8" hidden="false" customHeight="false" outlineLevel="0" collapsed="false">
      <c r="B43638" s="0" t="s">
        <v>35</v>
      </c>
    </row>
    <row r="43640" customFormat="false" ht="12.8" hidden="false" customHeight="false" outlineLevel="0" collapsed="false">
      <c r="A43640" s="0" t="s">
        <v>15558</v>
      </c>
      <c r="B43640" s="0" t="str">
        <f aca="false">HYPERLINK("https://lindat.mff.cuni.cz/services/teitok/pdtc10/index.php?action=vallex&amp;frame=v-whsa_1243hsa_1244", "sešívat (v-whsa_1243hsa_1244)")</f>
        <v>sešívat (v-whsa_1243hsa_1244)</v>
      </c>
    </row>
    <row r="43641" customFormat="false" ht="12.8" hidden="false" customHeight="false" outlineLevel="0" collapsed="false">
      <c r="B43641" s="0" t="s">
        <v>7</v>
      </c>
    </row>
    <row r="43642" customFormat="false" ht="12.8" hidden="false" customHeight="false" outlineLevel="0" collapsed="false">
      <c r="B43642" s="0" t="s">
        <v>14</v>
      </c>
    </row>
    <row r="43644" customFormat="false" ht="12.8" hidden="false" customHeight="false" outlineLevel="0" collapsed="false">
      <c r="A43644" s="0" t="s">
        <v>15559</v>
      </c>
      <c r="B43644" s="0" t="str">
        <f aca="false">HYPERLINK("https://lindat.mff.cuni.cz/services/teitok/pdtc10/index.php?action=vallex&amp;frame=v-w6018f1", "sežrat (v-w6018f1)")</f>
        <v>sežrat (v-w6018f1)</v>
      </c>
    </row>
    <row r="43645" customFormat="false" ht="12.8" hidden="false" customHeight="false" outlineLevel="0" collapsed="false">
      <c r="B43645" s="0" t="s">
        <v>7</v>
      </c>
      <c r="E43645" s="0" t="s">
        <v>15560</v>
      </c>
      <c r="F43645" s="0" t="s">
        <v>15560</v>
      </c>
    </row>
    <row r="43646" customFormat="false" ht="12.8" hidden="false" customHeight="false" outlineLevel="0" collapsed="false">
      <c r="B43646" s="0" t="s">
        <v>14</v>
      </c>
      <c r="E43646" s="0" t="s">
        <v>8765</v>
      </c>
      <c r="F43646" s="0" t="s">
        <v>8765</v>
      </c>
    </row>
    <row r="43648" customFormat="false" ht="12.8" hidden="false" customHeight="false" outlineLevel="0" collapsed="false">
      <c r="A43648" s="0" t="s">
        <v>15561</v>
      </c>
      <c r="B43648" s="0" t="str">
        <f aca="false">HYPERLINK("https://lindat.mff.cuni.cz/services/teitok/pdtc10/index.php?action=vallex&amp;frame=v-w6018f2_ZU", "sežrat (v-w6018f2_ZU)")</f>
        <v>sežrat (v-w6018f2_ZU)</v>
      </c>
    </row>
    <row r="43649" customFormat="false" ht="12.8" hidden="false" customHeight="false" outlineLevel="0" collapsed="false">
      <c r="B43649" s="0" t="s">
        <v>7</v>
      </c>
    </row>
    <row r="43650" customFormat="false" ht="12.8" hidden="false" customHeight="false" outlineLevel="0" collapsed="false">
      <c r="B43650" s="0" t="s">
        <v>14</v>
      </c>
    </row>
    <row r="43652" customFormat="false" ht="12.8" hidden="false" customHeight="false" outlineLevel="0" collapsed="false">
      <c r="A43652" s="0" t="s">
        <v>15562</v>
      </c>
      <c r="B43652" s="0" t="str">
        <f aca="false">HYPERLINK("https://lindat.mff.cuni.cz/services/teitok/pdtc10/index.php?action=vallex&amp;frame=v-w6022f1", "shazovat (v-w6022f1)")</f>
        <v>shazovat (v-w6022f1)</v>
      </c>
    </row>
    <row r="43653" customFormat="false" ht="12.8" hidden="false" customHeight="false" outlineLevel="0" collapsed="false">
      <c r="B43653" s="0" t="s">
        <v>7</v>
      </c>
      <c r="C43653" s="0" t="s">
        <v>46</v>
      </c>
      <c r="D43653" s="0" t="s">
        <v>46</v>
      </c>
      <c r="E43653" s="0" t="s">
        <v>46</v>
      </c>
      <c r="F43653" s="0" t="s">
        <v>46</v>
      </c>
    </row>
    <row r="43654" customFormat="false" ht="12.8" hidden="false" customHeight="false" outlineLevel="0" collapsed="false">
      <c r="B43654" s="0" t="s">
        <v>14</v>
      </c>
      <c r="C43654" s="0" t="s">
        <v>567</v>
      </c>
      <c r="D43654" s="0" t="s">
        <v>567</v>
      </c>
      <c r="E43654" s="0" t="s">
        <v>567</v>
      </c>
      <c r="F43654" s="0" t="s">
        <v>567</v>
      </c>
    </row>
    <row r="43655" customFormat="false" ht="12.8" hidden="false" customHeight="false" outlineLevel="0" collapsed="false">
      <c r="B43655" s="0" t="s">
        <v>459</v>
      </c>
    </row>
    <row r="43657" customFormat="false" ht="12.8" hidden="false" customHeight="false" outlineLevel="0" collapsed="false">
      <c r="A43657" s="0" t="s">
        <v>15563</v>
      </c>
      <c r="B43657" s="0" t="str">
        <f aca="false">HYPERLINK("https://lindat.mff.cuni.cz/services/teitok/pdtc10/index.php?action=vallex&amp;frame=v-w6022f3", "shazovat (v-w6022f3)")</f>
        <v>shazovat (v-w6022f3)</v>
      </c>
    </row>
    <row r="43658" customFormat="false" ht="12.8" hidden="false" customHeight="false" outlineLevel="0" collapsed="false">
      <c r="B43658" s="0" t="s">
        <v>7</v>
      </c>
      <c r="C43658" s="0" t="s">
        <v>191</v>
      </c>
      <c r="D43658" s="0" t="s">
        <v>335</v>
      </c>
      <c r="E43658" s="0" t="s">
        <v>335</v>
      </c>
      <c r="F43658" s="0" t="s">
        <v>335</v>
      </c>
    </row>
    <row r="43659" customFormat="false" ht="12.8" hidden="false" customHeight="false" outlineLevel="0" collapsed="false">
      <c r="B43659" s="0" t="s">
        <v>14</v>
      </c>
      <c r="C43659" s="0" t="s">
        <v>155</v>
      </c>
      <c r="D43659" s="0" t="s">
        <v>567</v>
      </c>
      <c r="E43659" s="0" t="s">
        <v>567</v>
      </c>
      <c r="F43659" s="0" t="s">
        <v>567</v>
      </c>
    </row>
    <row r="43660" customFormat="false" ht="12.8" hidden="false" customHeight="false" outlineLevel="0" collapsed="false">
      <c r="B43660" s="0" t="s">
        <v>124</v>
      </c>
    </row>
    <row r="43662" customFormat="false" ht="12.8" hidden="false" customHeight="false" outlineLevel="0" collapsed="false">
      <c r="A43662" s="0" t="s">
        <v>15564</v>
      </c>
      <c r="B43662" s="0" t="str">
        <f aca="false">HYPERLINK("https://lindat.mff.cuni.cz/services/teitok/pdtc10/index.php?action=vallex&amp;frame=v-w6022f4", "shazovat (v-w6022f4)")</f>
        <v>shazovat (v-w6022f4)</v>
      </c>
    </row>
    <row r="43663" customFormat="false" ht="12.8" hidden="false" customHeight="false" outlineLevel="0" collapsed="false">
      <c r="B43663" s="0" t="s">
        <v>7</v>
      </c>
      <c r="C43663" s="0" t="s">
        <v>569</v>
      </c>
      <c r="D43663" s="0" t="s">
        <v>335</v>
      </c>
      <c r="E43663" s="0" t="s">
        <v>335</v>
      </c>
      <c r="F43663" s="0" t="s">
        <v>335</v>
      </c>
    </row>
    <row r="43664" customFormat="false" ht="12.8" hidden="false" customHeight="false" outlineLevel="0" collapsed="false">
      <c r="B43664" s="0" t="s">
        <v>14</v>
      </c>
      <c r="C43664" s="0" t="s">
        <v>78</v>
      </c>
      <c r="D43664" s="0" t="s">
        <v>15565</v>
      </c>
      <c r="E43664" s="0" t="s">
        <v>15565</v>
      </c>
      <c r="F43664" s="0" t="s">
        <v>15565</v>
      </c>
    </row>
    <row r="43666" customFormat="false" ht="12.8" hidden="false" customHeight="false" outlineLevel="0" collapsed="false">
      <c r="A43666" s="0" t="s">
        <v>15566</v>
      </c>
      <c r="B43666" s="0" t="str">
        <f aca="false">HYPERLINK("https://lindat.mff.cuni.cz/services/teitok/pdtc10/index.php?action=vallex&amp;frame=v-w6022f2", "shazovat (v-w6022f2)")</f>
        <v>shazovat (v-w6022f2)</v>
      </c>
    </row>
    <row r="43667" customFormat="false" ht="12.8" hidden="false" customHeight="false" outlineLevel="0" collapsed="false">
      <c r="B43667" s="0" t="s">
        <v>7</v>
      </c>
    </row>
    <row r="43668" customFormat="false" ht="12.8" hidden="false" customHeight="false" outlineLevel="0" collapsed="false">
      <c r="B43668" s="0" t="s">
        <v>14</v>
      </c>
      <c r="D43668" s="0" t="s">
        <v>155</v>
      </c>
      <c r="E43668" s="0" t="s">
        <v>155</v>
      </c>
      <c r="F43668" s="0" t="s">
        <v>155</v>
      </c>
    </row>
    <row r="43670" customFormat="false" ht="12.8" hidden="false" customHeight="false" outlineLevel="0" collapsed="false">
      <c r="A43670" s="0" t="s">
        <v>15567</v>
      </c>
      <c r="B43670" s="0" t="str">
        <f aca="false">HYPERLINK("https://lindat.mff.cuni.cz/services/teitok/pdtc10/index.php?action=vallex&amp;frame=v-w6022f5_ZU", "shazovat (v-w6022f5_ZU)")</f>
        <v>shazovat (v-w6022f5_ZU)</v>
      </c>
    </row>
    <row r="43671" customFormat="false" ht="12.8" hidden="false" customHeight="false" outlineLevel="0" collapsed="false">
      <c r="B43671" s="0" t="s">
        <v>7</v>
      </c>
    </row>
    <row r="43672" customFormat="false" ht="12.8" hidden="false" customHeight="false" outlineLevel="0" collapsed="false">
      <c r="B43672" s="0" t="s">
        <v>15568</v>
      </c>
    </row>
    <row r="43674" customFormat="false" ht="12.8" hidden="false" customHeight="false" outlineLevel="0" collapsed="false">
      <c r="A43674" s="0" t="s">
        <v>15569</v>
      </c>
      <c r="B43674" s="0" t="str">
        <f aca="false">HYPERLINK("https://lindat.mff.cuni.cz/services/teitok/pdtc10/index.php?action=vallex&amp;frame=v-w6023f2", "shledat (v-w6023f2)")</f>
        <v>shledat (v-w6023f2)</v>
      </c>
    </row>
    <row r="43675" customFormat="false" ht="12.8" hidden="false" customHeight="false" outlineLevel="0" collapsed="false">
      <c r="B43675" s="0" t="s">
        <v>7</v>
      </c>
      <c r="C43675" s="0" t="s">
        <v>208</v>
      </c>
      <c r="D43675" s="0" t="s">
        <v>451</v>
      </c>
      <c r="E43675" s="0" t="s">
        <v>451</v>
      </c>
      <c r="F43675" s="0" t="s">
        <v>451</v>
      </c>
    </row>
    <row r="43676" customFormat="false" ht="12.8" hidden="false" customHeight="false" outlineLevel="0" collapsed="false">
      <c r="B43676" s="0" t="s">
        <v>54</v>
      </c>
      <c r="C43676" s="0" t="s">
        <v>15570</v>
      </c>
      <c r="D43676" s="0" t="s">
        <v>453</v>
      </c>
      <c r="E43676" s="0" t="s">
        <v>453</v>
      </c>
      <c r="F43676" s="0" t="s">
        <v>453</v>
      </c>
    </row>
    <row r="43677" customFormat="false" ht="12.8" hidden="false" customHeight="false" outlineLevel="0" collapsed="false">
      <c r="B43677" s="0" t="s">
        <v>15571</v>
      </c>
      <c r="C43677" s="0" t="s">
        <v>15572</v>
      </c>
      <c r="D43677" s="0" t="s">
        <v>455</v>
      </c>
      <c r="E43677" s="0" t="s">
        <v>455</v>
      </c>
      <c r="F43677" s="0" t="s">
        <v>455</v>
      </c>
    </row>
    <row r="43679" customFormat="false" ht="12.8" hidden="false" customHeight="false" outlineLevel="0" collapsed="false">
      <c r="A43679" s="0" t="s">
        <v>15573</v>
      </c>
      <c r="B43679" s="0" t="str">
        <f aca="false">HYPERLINK("https://lindat.mff.cuni.cz/services/teitok/pdtc10/index.php?action=vallex&amp;frame=v-w6023f1", "shledat (v-w6023f1)")</f>
        <v>shledat (v-w6023f1)</v>
      </c>
    </row>
    <row r="43680" customFormat="false" ht="12.8" hidden="false" customHeight="false" outlineLevel="0" collapsed="false">
      <c r="B43680" s="0" t="s">
        <v>7</v>
      </c>
      <c r="C43680" s="0" t="s">
        <v>2323</v>
      </c>
      <c r="D43680" s="0" t="s">
        <v>2998</v>
      </c>
      <c r="E43680" s="0" t="s">
        <v>2998</v>
      </c>
      <c r="F43680" s="0" t="s">
        <v>2998</v>
      </c>
    </row>
    <row r="43681" customFormat="false" ht="12.8" hidden="false" customHeight="false" outlineLevel="0" collapsed="false">
      <c r="B43681" s="0" t="s">
        <v>172</v>
      </c>
      <c r="C43681" s="0" t="s">
        <v>15574</v>
      </c>
      <c r="D43681" s="0" t="s">
        <v>3001</v>
      </c>
      <c r="E43681" s="0" t="s">
        <v>3001</v>
      </c>
      <c r="F43681" s="0" t="s">
        <v>3001</v>
      </c>
    </row>
    <row r="43683" customFormat="false" ht="12.8" hidden="false" customHeight="false" outlineLevel="0" collapsed="false">
      <c r="A43683" s="0" t="s">
        <v>15575</v>
      </c>
      <c r="B43683" s="0" t="str">
        <f aca="false">HYPERLINK("https://lindat.mff.cuni.cz/services/teitok/pdtc10/index.php?action=vallex&amp;frame=v-whsa_525hsa_526", "shledat se (v-whsa_525hsa_526)")</f>
        <v>shledat se (v-whsa_525hsa_526)</v>
      </c>
    </row>
    <row r="43684" customFormat="false" ht="12.8" hidden="false" customHeight="false" outlineLevel="0" collapsed="false">
      <c r="B43684" s="0" t="s">
        <v>7</v>
      </c>
    </row>
    <row r="43685" customFormat="false" ht="12.8" hidden="false" customHeight="false" outlineLevel="0" collapsed="false">
      <c r="B43685" s="0" t="s">
        <v>548</v>
      </c>
    </row>
    <row r="43687" customFormat="false" ht="12.8" hidden="false" customHeight="false" outlineLevel="0" collapsed="false">
      <c r="A43687" s="0" t="s">
        <v>15576</v>
      </c>
      <c r="B43687" s="0" t="str">
        <f aca="false">HYPERLINK("https://lindat.mff.cuni.cz/services/teitok/pdtc10/index.php?action=vallex&amp;frame=v-w6024f1", "shledávat (v-w6024f1)")</f>
        <v>shledávat (v-w6024f1)</v>
      </c>
    </row>
    <row r="43688" customFormat="false" ht="12.8" hidden="false" customHeight="false" outlineLevel="0" collapsed="false">
      <c r="B43688" s="0" t="s">
        <v>7</v>
      </c>
      <c r="C43688" s="0" t="s">
        <v>3944</v>
      </c>
      <c r="D43688" s="0" t="s">
        <v>2022</v>
      </c>
      <c r="E43688" s="0" t="s">
        <v>2022</v>
      </c>
      <c r="F43688" s="0" t="s">
        <v>2022</v>
      </c>
    </row>
    <row r="43689" customFormat="false" ht="12.8" hidden="false" customHeight="false" outlineLevel="0" collapsed="false">
      <c r="B43689" s="0" t="s">
        <v>54</v>
      </c>
      <c r="C43689" s="0" t="s">
        <v>15523</v>
      </c>
      <c r="D43689" s="0" t="s">
        <v>2027</v>
      </c>
      <c r="E43689" s="0" t="s">
        <v>2027</v>
      </c>
      <c r="F43689" s="0" t="s">
        <v>2027</v>
      </c>
    </row>
    <row r="43690" customFormat="false" ht="12.8" hidden="false" customHeight="false" outlineLevel="0" collapsed="false">
      <c r="B43690" s="0" t="s">
        <v>15571</v>
      </c>
      <c r="C43690" s="0" t="s">
        <v>15525</v>
      </c>
      <c r="D43690" s="0" t="s">
        <v>2025</v>
      </c>
      <c r="E43690" s="0" t="s">
        <v>2025</v>
      </c>
      <c r="F43690" s="0" t="s">
        <v>2025</v>
      </c>
    </row>
    <row r="43692" customFormat="false" ht="12.8" hidden="false" customHeight="false" outlineLevel="0" collapsed="false">
      <c r="A43692" s="0" t="s">
        <v>15577</v>
      </c>
      <c r="B43692" s="0" t="str">
        <f aca="false">HYPERLINK("https://lindat.mff.cuni.cz/services/teitok/pdtc10/index.php?action=vallex&amp;frame=v-w6024f2", "shledávat (v-w6024f2)")</f>
        <v>shledávat (v-w6024f2)</v>
      </c>
    </row>
    <row r="43693" customFormat="false" ht="12.8" hidden="false" customHeight="false" outlineLevel="0" collapsed="false">
      <c r="B43693" s="0" t="s">
        <v>7</v>
      </c>
      <c r="C43693" s="0" t="s">
        <v>15578</v>
      </c>
      <c r="D43693" s="0" t="s">
        <v>6342</v>
      </c>
      <c r="E43693" s="0" t="s">
        <v>6342</v>
      </c>
      <c r="F43693" s="0" t="s">
        <v>6342</v>
      </c>
    </row>
    <row r="43694" customFormat="false" ht="12.8" hidden="false" customHeight="false" outlineLevel="0" collapsed="false">
      <c r="B43694" s="0" t="s">
        <v>172</v>
      </c>
      <c r="C43694" s="0" t="s">
        <v>15579</v>
      </c>
      <c r="D43694" s="0" t="s">
        <v>6344</v>
      </c>
      <c r="E43694" s="0" t="s">
        <v>6344</v>
      </c>
      <c r="F43694" s="0" t="s">
        <v>6344</v>
      </c>
    </row>
    <row r="43696" customFormat="false" ht="12.8" hidden="false" customHeight="false" outlineLevel="0" collapsed="false">
      <c r="A43696" s="0" t="s">
        <v>15580</v>
      </c>
      <c r="B43696" s="0" t="str">
        <f aca="false">HYPERLINK("https://lindat.mff.cuni.cz/services/teitok/pdtc10/index.php?action=vallex&amp;frame=v-w6026f1", "shluknout se (v-w6026f1)")</f>
        <v>shluknout se (v-w6026f1)</v>
      </c>
    </row>
    <row r="43697" customFormat="false" ht="12.8" hidden="false" customHeight="false" outlineLevel="0" collapsed="false">
      <c r="B43697" s="0" t="s">
        <v>7</v>
      </c>
    </row>
    <row r="43698" customFormat="false" ht="12.8" hidden="false" customHeight="false" outlineLevel="0" collapsed="false">
      <c r="B43698" s="0" t="s">
        <v>3950</v>
      </c>
    </row>
    <row r="43700" customFormat="false" ht="12.8" hidden="false" customHeight="false" outlineLevel="0" collapsed="false">
      <c r="A43700" s="0" t="s">
        <v>15581</v>
      </c>
      <c r="B43700" s="0" t="str">
        <f aca="false">HYPERLINK("https://lindat.mff.cuni.cz/services/teitok/pdtc10/index.php?action=vallex&amp;frame=v-w6027f1", "shlukovat se (v-w6027f1)")</f>
        <v>shlukovat se (v-w6027f1)</v>
      </c>
    </row>
    <row r="43701" customFormat="false" ht="12.8" hidden="false" customHeight="false" outlineLevel="0" collapsed="false">
      <c r="B43701" s="0" t="s">
        <v>7</v>
      </c>
    </row>
    <row r="43702" customFormat="false" ht="12.8" hidden="false" customHeight="false" outlineLevel="0" collapsed="false">
      <c r="B43702" s="0" t="s">
        <v>3950</v>
      </c>
    </row>
    <row r="43704" customFormat="false" ht="12.8" hidden="false" customHeight="false" outlineLevel="0" collapsed="false">
      <c r="A43704" s="0" t="s">
        <v>15582</v>
      </c>
      <c r="B43704" s="0" t="str">
        <f aca="false">HYPERLINK("https://lindat.mff.cuni.cz/services/teitok/pdtc10/index.php?action=vallex&amp;frame=v-w6025f1", "shlížet (v-w6025f1)")</f>
        <v>shlížet (v-w6025f1)</v>
      </c>
    </row>
    <row r="43705" customFormat="false" ht="12.8" hidden="false" customHeight="false" outlineLevel="0" collapsed="false">
      <c r="B43705" s="0" t="s">
        <v>7</v>
      </c>
    </row>
    <row r="43706" customFormat="false" ht="12.8" hidden="false" customHeight="false" outlineLevel="0" collapsed="false">
      <c r="B43706" s="0" t="s">
        <v>459</v>
      </c>
    </row>
    <row r="43708" customFormat="false" ht="12.8" hidden="false" customHeight="false" outlineLevel="0" collapsed="false">
      <c r="A43708" s="0" t="s">
        <v>15583</v>
      </c>
      <c r="B43708" s="0" t="str">
        <f aca="false">HYPERLINK("https://lindat.mff.cuni.cz/services/teitok/pdtc10/index.php?action=vallex&amp;frame=v-w10136f2", "shnít (v-w10136f2)")</f>
        <v>shnít (v-w10136f2)</v>
      </c>
    </row>
    <row r="43709" customFormat="false" ht="12.8" hidden="false" customHeight="false" outlineLevel="0" collapsed="false">
      <c r="B43709" s="0" t="s">
        <v>7</v>
      </c>
    </row>
    <row r="43711" customFormat="false" ht="12.8" hidden="false" customHeight="false" outlineLevel="0" collapsed="false">
      <c r="A43711" s="0" t="s">
        <v>15584</v>
      </c>
      <c r="B43711" s="0" t="str">
        <f aca="false">HYPERLINK("https://lindat.mff.cuni.cz/services/teitok/pdtc10/index.php?action=vallex&amp;frame=v-w6029f1", "shodit (v-w6029f1)")</f>
        <v>shodit (v-w6029f1)</v>
      </c>
    </row>
    <row r="43712" customFormat="false" ht="12.8" hidden="false" customHeight="false" outlineLevel="0" collapsed="false">
      <c r="B43712" s="0" t="s">
        <v>7</v>
      </c>
      <c r="D43712" s="0" t="s">
        <v>46</v>
      </c>
      <c r="E43712" s="0" t="s">
        <v>46</v>
      </c>
      <c r="F43712" s="0" t="s">
        <v>46</v>
      </c>
    </row>
    <row r="43713" customFormat="false" ht="12.8" hidden="false" customHeight="false" outlineLevel="0" collapsed="false">
      <c r="B43713" s="0" t="s">
        <v>14</v>
      </c>
      <c r="D43713" s="0" t="s">
        <v>567</v>
      </c>
      <c r="E43713" s="0" t="s">
        <v>567</v>
      </c>
      <c r="F43713" s="0" t="s">
        <v>567</v>
      </c>
    </row>
    <row r="43714" customFormat="false" ht="12.8" hidden="false" customHeight="false" outlineLevel="0" collapsed="false">
      <c r="B43714" s="0" t="s">
        <v>459</v>
      </c>
    </row>
    <row r="43716" customFormat="false" ht="12.8" hidden="false" customHeight="false" outlineLevel="0" collapsed="false">
      <c r="A43716" s="0" t="s">
        <v>15585</v>
      </c>
      <c r="B43716" s="0" t="str">
        <f aca="false">HYPERLINK("https://lindat.mff.cuni.cz/services/teitok/pdtc10/index.php?action=vallex&amp;frame=v-w6029f2", "shodit (v-w6029f2)")</f>
        <v>shodit (v-w6029f2)</v>
      </c>
    </row>
    <row r="43717" customFormat="false" ht="12.8" hidden="false" customHeight="false" outlineLevel="0" collapsed="false">
      <c r="B43717" s="0" t="s">
        <v>7</v>
      </c>
    </row>
    <row r="43718" customFormat="false" ht="12.8" hidden="false" customHeight="false" outlineLevel="0" collapsed="false">
      <c r="B43718" s="0" t="s">
        <v>15586</v>
      </c>
    </row>
    <row r="43719" customFormat="false" ht="12.8" hidden="false" customHeight="false" outlineLevel="0" collapsed="false">
      <c r="B43719" s="0" t="s">
        <v>14</v>
      </c>
    </row>
    <row r="43721" customFormat="false" ht="12.8" hidden="false" customHeight="false" outlineLevel="0" collapsed="false">
      <c r="A43721" s="0" t="s">
        <v>15587</v>
      </c>
      <c r="B43721" s="0" t="str">
        <f aca="false">HYPERLINK("https://lindat.mff.cuni.cz/services/teitok/pdtc10/index.php?action=vallex&amp;frame=v-w6029f3_ZU", "shodit (v-w6029f3_ZU)")</f>
        <v>shodit (v-w6029f3_ZU)</v>
      </c>
    </row>
    <row r="43722" customFormat="false" ht="12.8" hidden="false" customHeight="false" outlineLevel="0" collapsed="false">
      <c r="B43722" s="0" t="s">
        <v>7</v>
      </c>
    </row>
    <row r="43723" customFormat="false" ht="12.8" hidden="false" customHeight="false" outlineLevel="0" collapsed="false">
      <c r="B43723" s="0" t="s">
        <v>14</v>
      </c>
      <c r="C43723" s="0" t="s">
        <v>155</v>
      </c>
      <c r="D43723" s="0" t="s">
        <v>155</v>
      </c>
      <c r="E43723" s="0" t="s">
        <v>155</v>
      </c>
      <c r="F43723" s="0" t="s">
        <v>155</v>
      </c>
    </row>
    <row r="43725" customFormat="false" ht="12.8" hidden="false" customHeight="false" outlineLevel="0" collapsed="false">
      <c r="A43725" s="0" t="s">
        <v>15587</v>
      </c>
      <c r="B43725" s="0" t="str">
        <f aca="false">HYPERLINK("https://lindat.mff.cuni.cz/services/teitok/pdtc10/index.php?action=vallex&amp;frame=v-w6029hsa_1176", "shodit (v-w6029hsa_1176) - substituted with v-w6029f3_ZU")</f>
        <v>shodit (v-w6029hsa_1176) - substituted with v-w6029f3_ZU</v>
      </c>
    </row>
    <row r="43726" customFormat="false" ht="12.8" hidden="false" customHeight="false" outlineLevel="0" collapsed="false">
      <c r="B43726" s="0" t="s">
        <v>7</v>
      </c>
    </row>
    <row r="43727" customFormat="false" ht="12.8" hidden="false" customHeight="false" outlineLevel="0" collapsed="false">
      <c r="B43727" s="0" t="s">
        <v>14</v>
      </c>
    </row>
    <row r="43729" customFormat="false" ht="12.8" hidden="false" customHeight="false" outlineLevel="0" collapsed="false">
      <c r="A43729" s="0" t="s">
        <v>15588</v>
      </c>
      <c r="B43729" s="0" t="str">
        <f aca="false">HYPERLINK("https://lindat.mff.cuni.cz/services/teitok/pdtc10/index.php?action=vallex&amp;frame=v-w6031f2_ZU", "shodnout se (v-w6031f2_ZU)")</f>
        <v>shodnout se (v-w6031f2_ZU)</v>
      </c>
    </row>
    <row r="43730" customFormat="false" ht="12.8" hidden="false" customHeight="false" outlineLevel="0" collapsed="false">
      <c r="B43730" s="0" t="s">
        <v>7</v>
      </c>
      <c r="C43730" s="0" t="s">
        <v>1637</v>
      </c>
      <c r="D43730" s="0" t="s">
        <v>14632</v>
      </c>
      <c r="E43730" s="0" t="s">
        <v>14632</v>
      </c>
      <c r="F43730" s="0" t="s">
        <v>14632</v>
      </c>
    </row>
    <row r="43731" customFormat="false" ht="12.8" hidden="false" customHeight="false" outlineLevel="0" collapsed="false">
      <c r="B43731" s="0" t="s">
        <v>207</v>
      </c>
      <c r="C43731" s="0" t="s">
        <v>1165</v>
      </c>
      <c r="D43731" s="0" t="s">
        <v>14636</v>
      </c>
      <c r="E43731" s="0" t="s">
        <v>14636</v>
      </c>
      <c r="F43731" s="0" t="s">
        <v>14636</v>
      </c>
    </row>
    <row r="43732" customFormat="false" ht="12.8" hidden="false" customHeight="false" outlineLevel="0" collapsed="false">
      <c r="B43732" s="0" t="s">
        <v>15589</v>
      </c>
      <c r="C43732" s="0" t="s">
        <v>15590</v>
      </c>
      <c r="D43732" s="0" t="s">
        <v>14634</v>
      </c>
      <c r="E43732" s="0" t="s">
        <v>14634</v>
      </c>
      <c r="F43732" s="0" t="s">
        <v>14634</v>
      </c>
    </row>
    <row r="43734" customFormat="false" ht="12.8" hidden="false" customHeight="false" outlineLevel="0" collapsed="false">
      <c r="A43734" s="0" t="s">
        <v>15588</v>
      </c>
      <c r="B43734" s="0" t="str">
        <f aca="false">HYPERLINK("https://lindat.mff.cuni.cz/services/teitok/pdtc10/index.php?action=vallex&amp;frame=v-w6031f1", "shodnout se (v-w6031f1) - substituted with v-w6031f2_ZU")</f>
        <v>shodnout se (v-w6031f1) - substituted with v-w6031f2_ZU</v>
      </c>
    </row>
    <row r="43735" customFormat="false" ht="12.8" hidden="false" customHeight="false" outlineLevel="0" collapsed="false">
      <c r="B43735" s="0" t="s">
        <v>7</v>
      </c>
      <c r="C43735" s="0" t="s">
        <v>15591</v>
      </c>
    </row>
    <row r="43736" customFormat="false" ht="12.8" hidden="false" customHeight="false" outlineLevel="0" collapsed="false">
      <c r="B43736" s="0" t="s">
        <v>207</v>
      </c>
      <c r="C43736" s="0" t="s">
        <v>15592</v>
      </c>
    </row>
    <row r="43737" customFormat="false" ht="12.8" hidden="false" customHeight="false" outlineLevel="0" collapsed="false">
      <c r="B43737" s="0" t="s">
        <v>15589</v>
      </c>
      <c r="C43737" s="0" t="s">
        <v>15593</v>
      </c>
    </row>
    <row r="43739" customFormat="false" ht="12.8" hidden="false" customHeight="false" outlineLevel="0" collapsed="false">
      <c r="A43739" s="0" t="s">
        <v>15594</v>
      </c>
      <c r="B43739" s="0" t="str">
        <f aca="false">HYPERLINK("https://lindat.mff.cuni.cz/services/teitok/pdtc10/index.php?action=vallex&amp;frame=v-w6033f3_ZU", "shodovat se (v-w6033f3_ZU)")</f>
        <v>shodovat se (v-w6033f3_ZU)</v>
      </c>
    </row>
    <row r="43740" customFormat="false" ht="12.8" hidden="false" customHeight="false" outlineLevel="0" collapsed="false">
      <c r="B43740" s="0" t="s">
        <v>7</v>
      </c>
      <c r="D43740" s="0" t="s">
        <v>14632</v>
      </c>
      <c r="E43740" s="0" t="s">
        <v>14632</v>
      </c>
      <c r="F43740" s="0" t="s">
        <v>14632</v>
      </c>
    </row>
    <row r="43741" customFormat="false" ht="12.8" hidden="false" customHeight="false" outlineLevel="0" collapsed="false">
      <c r="B43741" s="0" t="s">
        <v>15595</v>
      </c>
      <c r="D43741" s="0" t="s">
        <v>14634</v>
      </c>
      <c r="E43741" s="0" t="s">
        <v>14634</v>
      </c>
      <c r="F43741" s="0" t="s">
        <v>14634</v>
      </c>
    </row>
    <row r="43742" customFormat="false" ht="12.8" hidden="false" customHeight="false" outlineLevel="0" collapsed="false">
      <c r="B43742" s="0" t="s">
        <v>207</v>
      </c>
      <c r="D43742" s="0" t="s">
        <v>14636</v>
      </c>
      <c r="E43742" s="0" t="s">
        <v>14636</v>
      </c>
      <c r="F43742" s="0" t="s">
        <v>14636</v>
      </c>
    </row>
    <row r="43744" customFormat="false" ht="12.8" hidden="false" customHeight="false" outlineLevel="0" collapsed="false">
      <c r="A43744" s="0" t="s">
        <v>15594</v>
      </c>
      <c r="B43744" s="0" t="str">
        <f aca="false">HYPERLINK("https://lindat.mff.cuni.cz/services/teitok/pdtc10/index.php?action=vallex&amp;frame=v-w6033f1", "shodovat se (v-w6033f1) - substituted with v-w6033f3_ZU")</f>
        <v>shodovat se (v-w6033f1) - substituted with v-w6033f3_ZU</v>
      </c>
    </row>
    <row r="43745" customFormat="false" ht="12.8" hidden="false" customHeight="false" outlineLevel="0" collapsed="false">
      <c r="B43745" s="0" t="s">
        <v>7</v>
      </c>
      <c r="C43745" s="0" t="s">
        <v>15596</v>
      </c>
    </row>
    <row r="43746" customFormat="false" ht="12.8" hidden="false" customHeight="false" outlineLevel="0" collapsed="false">
      <c r="B43746" s="0" t="s">
        <v>15595</v>
      </c>
      <c r="C43746" s="0" t="s">
        <v>15597</v>
      </c>
    </row>
    <row r="43747" customFormat="false" ht="12.8" hidden="false" customHeight="false" outlineLevel="0" collapsed="false">
      <c r="B43747" s="0" t="s">
        <v>207</v>
      </c>
      <c r="C43747" s="0" t="s">
        <v>7373</v>
      </c>
    </row>
    <row r="43749" customFormat="false" ht="12.8" hidden="false" customHeight="false" outlineLevel="0" collapsed="false">
      <c r="A43749" s="0" t="s">
        <v>15594</v>
      </c>
      <c r="B43749" s="0" t="str">
        <f aca="false">HYPERLINK("https://lindat.mff.cuni.cz/services/teitok/pdtc10/index.php?action=vallex&amp;frame=v-w6033hsa_489", "shodovat se (v-w6033hsa_489) - substituted with v-w6033f3_ZU")</f>
        <v>shodovat se (v-w6033hsa_489) - substituted with v-w6033f3_ZU</v>
      </c>
    </row>
    <row r="43750" customFormat="false" ht="12.8" hidden="false" customHeight="false" outlineLevel="0" collapsed="false">
      <c r="B43750" s="0" t="s">
        <v>7</v>
      </c>
    </row>
    <row r="43751" customFormat="false" ht="12.8" hidden="false" customHeight="false" outlineLevel="0" collapsed="false">
      <c r="B43751" s="0" t="s">
        <v>15595</v>
      </c>
    </row>
    <row r="43752" customFormat="false" ht="12.8" hidden="false" customHeight="false" outlineLevel="0" collapsed="false">
      <c r="B43752" s="0" t="s">
        <v>207</v>
      </c>
    </row>
    <row r="43754" customFormat="false" ht="12.8" hidden="false" customHeight="false" outlineLevel="0" collapsed="false">
      <c r="A43754" s="0" t="s">
        <v>15598</v>
      </c>
      <c r="B43754" s="0" t="str">
        <f aca="false">HYPERLINK("https://lindat.mff.cuni.cz/services/teitok/pdtc10/index.php?action=vallex&amp;frame=v-w6033f2", "shodovat se (v-w6033f2)")</f>
        <v>shodovat se (v-w6033f2)</v>
      </c>
    </row>
    <row r="43755" customFormat="false" ht="12.8" hidden="false" customHeight="false" outlineLevel="0" collapsed="false">
      <c r="B43755" s="0" t="s">
        <v>7</v>
      </c>
      <c r="C43755" s="0" t="s">
        <v>15599</v>
      </c>
      <c r="D43755" s="0" t="s">
        <v>57</v>
      </c>
      <c r="E43755" s="0" t="s">
        <v>57</v>
      </c>
      <c r="F43755" s="0" t="s">
        <v>57</v>
      </c>
    </row>
    <row r="43756" customFormat="false" ht="12.8" hidden="false" customHeight="false" outlineLevel="0" collapsed="false">
      <c r="B43756" s="0" t="s">
        <v>548</v>
      </c>
      <c r="C43756" s="0" t="s">
        <v>15600</v>
      </c>
      <c r="D43756" s="0" t="s">
        <v>60</v>
      </c>
      <c r="E43756" s="0" t="s">
        <v>60</v>
      </c>
      <c r="F43756" s="0" t="s">
        <v>60</v>
      </c>
    </row>
    <row r="43758" customFormat="false" ht="12.8" hidden="false" customHeight="false" outlineLevel="0" collapsed="false">
      <c r="A43758" s="0" t="s">
        <v>15601</v>
      </c>
      <c r="B43758" s="0" t="str">
        <f aca="false">HYPERLINK("https://lindat.mff.cuni.cz/services/teitok/pdtc10/index.php?action=vallex&amp;frame=v-w6034f1", "shořet (v-w6034f1)")</f>
        <v>shořet (v-w6034f1)</v>
      </c>
    </row>
    <row r="43759" customFormat="false" ht="12.8" hidden="false" customHeight="false" outlineLevel="0" collapsed="false">
      <c r="B43759" s="0" t="s">
        <v>7</v>
      </c>
    </row>
    <row r="43761" customFormat="false" ht="12.8" hidden="false" customHeight="false" outlineLevel="0" collapsed="false">
      <c r="A43761" s="0" t="s">
        <v>15602</v>
      </c>
      <c r="B43761" s="0" t="str">
        <f aca="false">HYPERLINK("https://lindat.mff.cuni.cz/services/teitok/pdtc10/index.php?action=vallex&amp;frame=v-w11587_ZUf1_ZU", "shrabat (v-w11587_ZUf1_ZU)")</f>
        <v>shrabat (v-w11587_ZUf1_ZU)</v>
      </c>
    </row>
    <row r="43762" customFormat="false" ht="12.8" hidden="false" customHeight="false" outlineLevel="0" collapsed="false">
      <c r="B43762" s="0" t="s">
        <v>7</v>
      </c>
      <c r="C43762" s="0" t="s">
        <v>31</v>
      </c>
      <c r="F43762" s="0" t="s">
        <v>2523</v>
      </c>
    </row>
    <row r="43763" customFormat="false" ht="12.8" hidden="false" customHeight="false" outlineLevel="0" collapsed="false">
      <c r="B43763" s="0" t="s">
        <v>14</v>
      </c>
      <c r="C43763" s="0" t="s">
        <v>1264</v>
      </c>
      <c r="F43763" s="0" t="s">
        <v>493</v>
      </c>
    </row>
    <row r="43764" customFormat="false" ht="12.8" hidden="false" customHeight="false" outlineLevel="0" collapsed="false">
      <c r="B43764" s="0" t="s">
        <v>3993</v>
      </c>
    </row>
    <row r="43766" customFormat="false" ht="12.8" hidden="false" customHeight="false" outlineLevel="0" collapsed="false">
      <c r="A43766" s="0" t="s">
        <v>15603</v>
      </c>
      <c r="B43766" s="0" t="str">
        <f aca="false">HYPERLINK("https://lindat.mff.cuni.cz/services/teitok/pdtc10/index.php?action=vallex&amp;frame=v-w11587_ZUf2_ZU", "shrabat (v-w11587_ZUf2_ZU)")</f>
        <v>shrabat (v-w11587_ZUf2_ZU)</v>
      </c>
    </row>
    <row r="43767" customFormat="false" ht="12.8" hidden="false" customHeight="false" outlineLevel="0" collapsed="false">
      <c r="B43767" s="0" t="s">
        <v>7</v>
      </c>
      <c r="C43767" s="0" t="s">
        <v>3469</v>
      </c>
      <c r="D43767" s="0" t="s">
        <v>191</v>
      </c>
      <c r="E43767" s="0" t="s">
        <v>191</v>
      </c>
      <c r="F43767" s="0" t="s">
        <v>2857</v>
      </c>
    </row>
    <row r="43768" customFormat="false" ht="12.8" hidden="false" customHeight="false" outlineLevel="0" collapsed="false">
      <c r="B43768" s="0" t="s">
        <v>14</v>
      </c>
      <c r="C43768" s="0" t="s">
        <v>6367</v>
      </c>
      <c r="D43768" s="0" t="s">
        <v>47</v>
      </c>
      <c r="E43768" s="0" t="s">
        <v>47</v>
      </c>
      <c r="F43768" s="0" t="s">
        <v>173</v>
      </c>
    </row>
    <row r="43770" customFormat="false" ht="12.8" hidden="false" customHeight="false" outlineLevel="0" collapsed="false">
      <c r="A43770" s="0" t="s">
        <v>15604</v>
      </c>
      <c r="B43770" s="0" t="str">
        <f aca="false">HYPERLINK("https://lindat.mff.cuni.cz/services/teitok/pdtc10/index.php?action=vallex&amp;frame=v-w10066f2", "shrabovat (v-w10066f2)")</f>
        <v>shrabovat (v-w10066f2)</v>
      </c>
    </row>
    <row r="43771" customFormat="false" ht="12.8" hidden="false" customHeight="false" outlineLevel="0" collapsed="false">
      <c r="B43771" s="0" t="s">
        <v>7</v>
      </c>
    </row>
    <row r="43772" customFormat="false" ht="12.8" hidden="false" customHeight="false" outlineLevel="0" collapsed="false">
      <c r="B43772" s="0" t="s">
        <v>14</v>
      </c>
    </row>
    <row r="43773" customFormat="false" ht="12.8" hidden="false" customHeight="false" outlineLevel="0" collapsed="false">
      <c r="B43773" s="0" t="s">
        <v>3993</v>
      </c>
    </row>
    <row r="43775" customFormat="false" ht="12.8" hidden="false" customHeight="false" outlineLevel="0" collapsed="false">
      <c r="A43775" s="0" t="s">
        <v>15605</v>
      </c>
      <c r="B43775" s="0" t="str">
        <f aca="false">HYPERLINK("https://lindat.mff.cuni.cz/services/teitok/pdtc10/index.php?action=vallex&amp;frame=v-whsa_153f1_ZU", "shrabávat (v-whsa_153f1_ZU)")</f>
        <v>shrabávat (v-whsa_153f1_ZU)</v>
      </c>
    </row>
    <row r="43776" customFormat="false" ht="12.8" hidden="false" customHeight="false" outlineLevel="0" collapsed="false">
      <c r="B43776" s="0" t="s">
        <v>7</v>
      </c>
    </row>
    <row r="43777" customFormat="false" ht="12.8" hidden="false" customHeight="false" outlineLevel="0" collapsed="false">
      <c r="B43777" s="0" t="s">
        <v>14</v>
      </c>
    </row>
    <row r="43779" customFormat="false" ht="12.8" hidden="false" customHeight="false" outlineLevel="0" collapsed="false">
      <c r="A43779" s="0" t="s">
        <v>15605</v>
      </c>
      <c r="B43779" s="0" t="str">
        <f aca="false">HYPERLINK("https://lindat.mff.cuni.cz/services/teitok/pdtc10/index.php?action=vallex&amp;frame=v-whsa_153hsa_154", "shrabávat (v-whsa_153hsa_154) - substituted with v-whsa_153f1_ZU")</f>
        <v>shrabávat (v-whsa_153hsa_154) - substituted with v-whsa_153f1_ZU</v>
      </c>
    </row>
    <row r="43780" customFormat="false" ht="12.8" hidden="false" customHeight="false" outlineLevel="0" collapsed="false">
      <c r="B43780" s="0" t="s">
        <v>7</v>
      </c>
    </row>
    <row r="43781" customFormat="false" ht="12.8" hidden="false" customHeight="false" outlineLevel="0" collapsed="false">
      <c r="B43781" s="0" t="s">
        <v>14</v>
      </c>
    </row>
    <row r="43783" customFormat="false" ht="12.8" hidden="false" customHeight="false" outlineLevel="0" collapsed="false">
      <c r="A43783" s="0" t="s">
        <v>15606</v>
      </c>
      <c r="B43783" s="0" t="str">
        <f aca="false">HYPERLINK("https://lindat.mff.cuni.cz/services/teitok/pdtc10/index.php?action=vallex&amp;frame=v-w6035f1", "shrnout (v-w6035f1)")</f>
        <v>shrnout (v-w6035f1)</v>
      </c>
    </row>
    <row r="43784" customFormat="false" ht="12.8" hidden="false" customHeight="false" outlineLevel="0" collapsed="false">
      <c r="B43784" s="0" t="s">
        <v>7</v>
      </c>
      <c r="C43784" s="0" t="s">
        <v>15607</v>
      </c>
      <c r="D43784" s="0" t="s">
        <v>8453</v>
      </c>
      <c r="E43784" s="0" t="s">
        <v>8453</v>
      </c>
      <c r="F43784" s="0" t="s">
        <v>8453</v>
      </c>
    </row>
    <row r="43785" customFormat="false" ht="12.8" hidden="false" customHeight="false" outlineLevel="0" collapsed="false">
      <c r="B43785" s="0" t="s">
        <v>15608</v>
      </c>
      <c r="C43785" s="0" t="s">
        <v>120</v>
      </c>
      <c r="D43785" s="0" t="s">
        <v>12969</v>
      </c>
      <c r="E43785" s="0" t="s">
        <v>12969</v>
      </c>
      <c r="F43785" s="0" t="s">
        <v>12969</v>
      </c>
    </row>
    <row r="43786" customFormat="false" ht="12.8" hidden="false" customHeight="false" outlineLevel="0" collapsed="false">
      <c r="B43786" s="0" t="s">
        <v>2571</v>
      </c>
      <c r="D43786" s="0" t="s">
        <v>2112</v>
      </c>
      <c r="E43786" s="0" t="s">
        <v>2112</v>
      </c>
      <c r="F43786" s="0" t="s">
        <v>2112</v>
      </c>
    </row>
    <row r="43788" customFormat="false" ht="12.8" hidden="false" customHeight="false" outlineLevel="0" collapsed="false">
      <c r="A43788" s="0" t="s">
        <v>15609</v>
      </c>
      <c r="B43788" s="0" t="str">
        <f aca="false">HYPERLINK("https://lindat.mff.cuni.cz/services/teitok/pdtc10/index.php?action=vallex&amp;frame=v-w6035f2", "shrnout (v-w6035f2)")</f>
        <v>shrnout (v-w6035f2)</v>
      </c>
    </row>
    <row r="43789" customFormat="false" ht="12.8" hidden="false" customHeight="false" outlineLevel="0" collapsed="false">
      <c r="B43789" s="0" t="s">
        <v>7</v>
      </c>
    </row>
    <row r="43790" customFormat="false" ht="12.8" hidden="false" customHeight="false" outlineLevel="0" collapsed="false">
      <c r="B43790" s="0" t="s">
        <v>14</v>
      </c>
    </row>
    <row r="43791" customFormat="false" ht="12.8" hidden="false" customHeight="false" outlineLevel="0" collapsed="false">
      <c r="B43791" s="0" t="s">
        <v>459</v>
      </c>
    </row>
    <row r="43793" customFormat="false" ht="12.8" hidden="false" customHeight="false" outlineLevel="0" collapsed="false">
      <c r="A43793" s="0" t="s">
        <v>15610</v>
      </c>
      <c r="B43793" s="0" t="str">
        <f aca="false">HYPERLINK("https://lindat.mff.cuni.cz/services/teitok/pdtc10/index.php?action=vallex&amp;frame=v-w6036f1", "shrnovat (v-w6036f1)")</f>
        <v>shrnovat (v-w6036f1)</v>
      </c>
    </row>
    <row r="43794" customFormat="false" ht="12.8" hidden="false" customHeight="false" outlineLevel="0" collapsed="false">
      <c r="B43794" s="0" t="s">
        <v>7</v>
      </c>
      <c r="C43794" s="0" t="s">
        <v>15611</v>
      </c>
      <c r="D43794" s="0" t="s">
        <v>8453</v>
      </c>
      <c r="E43794" s="0" t="s">
        <v>8453</v>
      </c>
      <c r="F43794" s="0" t="s">
        <v>8453</v>
      </c>
    </row>
    <row r="43795" customFormat="false" ht="12.8" hidden="false" customHeight="false" outlineLevel="0" collapsed="false">
      <c r="B43795" s="0" t="s">
        <v>15612</v>
      </c>
      <c r="C43795" s="0" t="s">
        <v>15613</v>
      </c>
      <c r="D43795" s="0" t="s">
        <v>12969</v>
      </c>
      <c r="E43795" s="0" t="s">
        <v>12969</v>
      </c>
      <c r="F43795" s="0" t="s">
        <v>12969</v>
      </c>
    </row>
    <row r="43796" customFormat="false" ht="12.8" hidden="false" customHeight="false" outlineLevel="0" collapsed="false">
      <c r="B43796" s="0" t="s">
        <v>2571</v>
      </c>
      <c r="D43796" s="0" t="s">
        <v>2112</v>
      </c>
      <c r="E43796" s="0" t="s">
        <v>2112</v>
      </c>
      <c r="F43796" s="0" t="s">
        <v>2112</v>
      </c>
    </row>
    <row r="43798" customFormat="false" ht="12.8" hidden="false" customHeight="false" outlineLevel="0" collapsed="false">
      <c r="A43798" s="0" t="s">
        <v>15614</v>
      </c>
      <c r="B43798" s="0" t="str">
        <f aca="false">HYPERLINK("https://lindat.mff.cuni.cz/services/teitok/pdtc10/index.php?action=vallex&amp;frame=v-w6036f3", "shrnovat (v-w6036f3)")</f>
        <v>shrnovat (v-w6036f3)</v>
      </c>
    </row>
    <row r="43799" customFormat="false" ht="12.8" hidden="false" customHeight="false" outlineLevel="0" collapsed="false">
      <c r="B43799" s="0" t="s">
        <v>7</v>
      </c>
      <c r="F43799" s="0" t="s">
        <v>2523</v>
      </c>
    </row>
    <row r="43800" customFormat="false" ht="12.8" hidden="false" customHeight="false" outlineLevel="0" collapsed="false">
      <c r="B43800" s="0" t="s">
        <v>14</v>
      </c>
      <c r="F43800" s="0" t="s">
        <v>493</v>
      </c>
    </row>
    <row r="43801" customFormat="false" ht="12.8" hidden="false" customHeight="false" outlineLevel="0" collapsed="false">
      <c r="B43801" s="0" t="s">
        <v>181</v>
      </c>
    </row>
    <row r="43803" customFormat="false" ht="12.8" hidden="false" customHeight="false" outlineLevel="0" collapsed="false">
      <c r="A43803" s="0" t="s">
        <v>15615</v>
      </c>
      <c r="B43803" s="0" t="str">
        <f aca="false">HYPERLINK("https://lindat.mff.cuni.cz/services/teitok/pdtc10/index.php?action=vallex&amp;frame=v-w6036f2", "shrnovat (v-w6036f2)")</f>
        <v>shrnovat (v-w6036f2)</v>
      </c>
    </row>
    <row r="43804" customFormat="false" ht="12.8" hidden="false" customHeight="false" outlineLevel="0" collapsed="false">
      <c r="B43804" s="0" t="s">
        <v>7</v>
      </c>
    </row>
    <row r="43805" customFormat="false" ht="12.8" hidden="false" customHeight="false" outlineLevel="0" collapsed="false">
      <c r="B43805" s="0" t="s">
        <v>14</v>
      </c>
    </row>
    <row r="43806" customFormat="false" ht="12.8" hidden="false" customHeight="false" outlineLevel="0" collapsed="false">
      <c r="B43806" s="0" t="s">
        <v>459</v>
      </c>
    </row>
    <row r="43808" customFormat="false" ht="12.8" hidden="false" customHeight="false" outlineLevel="0" collapsed="false">
      <c r="A43808" s="0" t="s">
        <v>15616</v>
      </c>
      <c r="B43808" s="0" t="str">
        <f aca="false">HYPERLINK("https://lindat.mff.cuni.cz/services/teitok/pdtc10/index.php?action=vallex&amp;frame=v-w6043f1", "shromažďovat (v-w6043f1)")</f>
        <v>shromažďovat (v-w6043f1)</v>
      </c>
    </row>
    <row r="43809" customFormat="false" ht="12.8" hidden="false" customHeight="false" outlineLevel="0" collapsed="false">
      <c r="B43809" s="0" t="s">
        <v>7</v>
      </c>
      <c r="C43809" s="0" t="s">
        <v>7450</v>
      </c>
      <c r="D43809" s="0" t="s">
        <v>77</v>
      </c>
      <c r="E43809" s="0" t="s">
        <v>77</v>
      </c>
      <c r="F43809" s="0" t="s">
        <v>6959</v>
      </c>
    </row>
    <row r="43810" customFormat="false" ht="12.8" hidden="false" customHeight="false" outlineLevel="0" collapsed="false">
      <c r="B43810" s="0" t="s">
        <v>14</v>
      </c>
      <c r="C43810" s="0" t="s">
        <v>452</v>
      </c>
      <c r="D43810" s="0" t="s">
        <v>79</v>
      </c>
      <c r="E43810" s="0" t="s">
        <v>79</v>
      </c>
      <c r="F43810" s="0" t="s">
        <v>1093</v>
      </c>
    </row>
    <row r="43812" customFormat="false" ht="12.8" hidden="false" customHeight="false" outlineLevel="0" collapsed="false">
      <c r="A43812" s="0" t="s">
        <v>15617</v>
      </c>
      <c r="B43812" s="0" t="str">
        <f aca="false">HYPERLINK("https://lindat.mff.cuni.cz/services/teitok/pdtc10/index.php?action=vallex&amp;frame=v-w6044f1", "shromažďovat se (v-w6044f1)")</f>
        <v>shromažďovat se (v-w6044f1)</v>
      </c>
    </row>
    <row r="43813" customFormat="false" ht="12.8" hidden="false" customHeight="false" outlineLevel="0" collapsed="false">
      <c r="B43813" s="0" t="s">
        <v>7</v>
      </c>
      <c r="C43813" s="0" t="s">
        <v>5375</v>
      </c>
      <c r="D43813" s="0" t="s">
        <v>4767</v>
      </c>
      <c r="E43813" s="0" t="s">
        <v>4767</v>
      </c>
      <c r="F43813" s="0" t="s">
        <v>4767</v>
      </c>
    </row>
    <row r="43814" customFormat="false" ht="12.8" hidden="false" customHeight="false" outlineLevel="0" collapsed="false">
      <c r="B43814" s="0" t="s">
        <v>11</v>
      </c>
    </row>
    <row r="43816" customFormat="false" ht="12.8" hidden="false" customHeight="false" outlineLevel="0" collapsed="false">
      <c r="A43816" s="0" t="s">
        <v>15618</v>
      </c>
      <c r="B43816" s="0" t="str">
        <f aca="false">HYPERLINK("https://lindat.mff.cuni.cz/services/teitok/pdtc10/index.php?action=vallex&amp;frame=v-w6040f1", "shromáždit (v-w6040f1)")</f>
        <v>shromáždit (v-w6040f1)</v>
      </c>
    </row>
    <row r="43817" customFormat="false" ht="12.8" hidden="false" customHeight="false" outlineLevel="0" collapsed="false">
      <c r="B43817" s="0" t="s">
        <v>7</v>
      </c>
      <c r="C43817" s="0" t="s">
        <v>15619</v>
      </c>
      <c r="D43817" s="0" t="s">
        <v>77</v>
      </c>
      <c r="E43817" s="0" t="s">
        <v>77</v>
      </c>
      <c r="F43817" s="0" t="s">
        <v>6959</v>
      </c>
    </row>
    <row r="43818" customFormat="false" ht="12.8" hidden="false" customHeight="false" outlineLevel="0" collapsed="false">
      <c r="B43818" s="0" t="s">
        <v>14</v>
      </c>
      <c r="C43818" s="0" t="s">
        <v>11817</v>
      </c>
      <c r="D43818" s="0" t="s">
        <v>79</v>
      </c>
      <c r="E43818" s="0" t="s">
        <v>79</v>
      </c>
      <c r="F43818" s="0" t="s">
        <v>1093</v>
      </c>
    </row>
    <row r="43820" customFormat="false" ht="12.8" hidden="false" customHeight="false" outlineLevel="0" collapsed="false">
      <c r="A43820" s="0" t="s">
        <v>15620</v>
      </c>
      <c r="B43820" s="0" t="str">
        <f aca="false">HYPERLINK("https://lindat.mff.cuni.cz/services/teitok/pdtc10/index.php?action=vallex&amp;frame=v-w6041f1", "shromáždit se (v-w6041f1)")</f>
        <v>shromáždit se (v-w6041f1)</v>
      </c>
    </row>
    <row r="43821" customFormat="false" ht="12.8" hidden="false" customHeight="false" outlineLevel="0" collapsed="false">
      <c r="B43821" s="0" t="s">
        <v>7</v>
      </c>
      <c r="C43821" s="0" t="s">
        <v>15621</v>
      </c>
      <c r="D43821" s="0" t="s">
        <v>4767</v>
      </c>
      <c r="E43821" s="0" t="s">
        <v>4767</v>
      </c>
      <c r="F43821" s="0" t="s">
        <v>4767</v>
      </c>
    </row>
    <row r="43822" customFormat="false" ht="12.8" hidden="false" customHeight="false" outlineLevel="0" collapsed="false">
      <c r="B43822" s="0" t="s">
        <v>11</v>
      </c>
    </row>
    <row r="43824" customFormat="false" ht="12.8" hidden="false" customHeight="false" outlineLevel="0" collapsed="false">
      <c r="A43824" s="0" t="s">
        <v>15622</v>
      </c>
      <c r="B43824" s="0" t="str">
        <f aca="false">HYPERLINK("https://lindat.mff.cuni.cz/services/teitok/pdtc10/index.php?action=vallex&amp;frame=v-w6041f2", "shromáždit se (v-w6041f2)")</f>
        <v>shromáždit se (v-w6041f2)</v>
      </c>
    </row>
    <row r="43825" customFormat="false" ht="12.8" hidden="false" customHeight="false" outlineLevel="0" collapsed="false">
      <c r="B43825" s="0" t="s">
        <v>7</v>
      </c>
    </row>
    <row r="43826" customFormat="false" ht="12.8" hidden="false" customHeight="false" outlineLevel="0" collapsed="false">
      <c r="B43826" s="0" t="s">
        <v>124</v>
      </c>
    </row>
    <row r="43828" customFormat="false" ht="12.8" hidden="false" customHeight="false" outlineLevel="0" collapsed="false">
      <c r="A43828" s="0" t="s">
        <v>15623</v>
      </c>
      <c r="B43828" s="0" t="str">
        <f aca="false">HYPERLINK("https://lindat.mff.cuni.cz/services/teitok/pdtc10/index.php?action=vallex&amp;frame=v-w10084f2", "shrábnout (v-w10084f2)")</f>
        <v>shrábnout (v-w10084f2)</v>
      </c>
    </row>
    <row r="43829" customFormat="false" ht="12.8" hidden="false" customHeight="false" outlineLevel="0" collapsed="false">
      <c r="B43829" s="0" t="s">
        <v>7</v>
      </c>
      <c r="C43829" s="0" t="s">
        <v>1142</v>
      </c>
      <c r="D43829" s="0" t="s">
        <v>126</v>
      </c>
      <c r="E43829" s="0" t="s">
        <v>126</v>
      </c>
      <c r="F43829" s="0" t="s">
        <v>126</v>
      </c>
    </row>
    <row r="43830" customFormat="false" ht="12.8" hidden="false" customHeight="false" outlineLevel="0" collapsed="false">
      <c r="B43830" s="0" t="s">
        <v>14</v>
      </c>
      <c r="C43830" s="0" t="s">
        <v>3249</v>
      </c>
      <c r="D43830" s="0" t="s">
        <v>1571</v>
      </c>
      <c r="E43830" s="0" t="s">
        <v>1571</v>
      </c>
      <c r="F43830" s="0" t="s">
        <v>1571</v>
      </c>
    </row>
    <row r="43831" customFormat="false" ht="12.8" hidden="false" customHeight="false" outlineLevel="0" collapsed="false">
      <c r="B43831" s="0" t="s">
        <v>441</v>
      </c>
      <c r="C43831" s="0" t="s">
        <v>1729</v>
      </c>
      <c r="D43831" s="0" t="s">
        <v>1729</v>
      </c>
      <c r="E43831" s="0" t="s">
        <v>1729</v>
      </c>
      <c r="F43831" s="0" t="s">
        <v>1729</v>
      </c>
    </row>
    <row r="43833" customFormat="false" ht="12.8" hidden="false" customHeight="false" outlineLevel="0" collapsed="false">
      <c r="A43833" s="0" t="s">
        <v>15624</v>
      </c>
      <c r="B43833" s="0" t="str">
        <f aca="false">HYPERLINK("https://lindat.mff.cuni.cz/services/teitok/pdtc10/index.php?action=vallex&amp;frame=v-w6020f2_MM", "shánět (v-w6020f2_MM)")</f>
        <v>shánět (v-w6020f2_MM)</v>
      </c>
    </row>
    <row r="43834" customFormat="false" ht="12.8" hidden="false" customHeight="false" outlineLevel="0" collapsed="false">
      <c r="B43834" s="0" t="s">
        <v>7</v>
      </c>
    </row>
    <row r="43835" customFormat="false" ht="12.8" hidden="false" customHeight="false" outlineLevel="0" collapsed="false">
      <c r="B43835" s="0" t="s">
        <v>232</v>
      </c>
    </row>
    <row r="43837" customFormat="false" ht="12.8" hidden="false" customHeight="false" outlineLevel="0" collapsed="false">
      <c r="A43837" s="0" t="s">
        <v>15624</v>
      </c>
      <c r="B43837" s="0" t="str">
        <f aca="false">HYPERLINK("https://lindat.mff.cuni.cz/services/teitok/pdtc10/index.php?action=vallex&amp;frame=v-w6020f1", "shánět (v-w6020f1) - substituted with v-w6020f2_MM")</f>
        <v>shánět (v-w6020f1) - substituted with v-w6020f2_MM</v>
      </c>
    </row>
    <row r="43838" customFormat="false" ht="12.8" hidden="false" customHeight="false" outlineLevel="0" collapsed="false">
      <c r="B43838" s="0" t="s">
        <v>7</v>
      </c>
      <c r="C43838" s="0" t="s">
        <v>15625</v>
      </c>
      <c r="D43838" s="0" t="s">
        <v>10827</v>
      </c>
      <c r="E43838" s="0" t="s">
        <v>10827</v>
      </c>
      <c r="F43838" s="0" t="s">
        <v>10827</v>
      </c>
    </row>
    <row r="43839" customFormat="false" ht="12.8" hidden="false" customHeight="false" outlineLevel="0" collapsed="false">
      <c r="B43839" s="0" t="s">
        <v>232</v>
      </c>
      <c r="C43839" s="0" t="s">
        <v>15626</v>
      </c>
      <c r="D43839" s="0" t="s">
        <v>13604</v>
      </c>
      <c r="E43839" s="0" t="s">
        <v>13604</v>
      </c>
      <c r="F43839" s="0" t="s">
        <v>13604</v>
      </c>
    </row>
    <row r="43841" customFormat="false" ht="12.8" hidden="false" customHeight="false" outlineLevel="0" collapsed="false">
      <c r="A43841" s="0" t="s">
        <v>15627</v>
      </c>
      <c r="B43841" s="0" t="str">
        <f aca="false">HYPERLINK("https://lindat.mff.cuni.cz/services/teitok/pdtc10/index.php?action=vallex&amp;frame=v-w6021f1", "shánět se (v-w6021f1)")</f>
        <v>shánět se (v-w6021f1)</v>
      </c>
    </row>
    <row r="43842" customFormat="false" ht="12.8" hidden="false" customHeight="false" outlineLevel="0" collapsed="false">
      <c r="B43842" s="0" t="s">
        <v>7</v>
      </c>
    </row>
    <row r="43843" customFormat="false" ht="12.8" hidden="false" customHeight="false" outlineLevel="0" collapsed="false">
      <c r="B43843" s="0" t="s">
        <v>1375</v>
      </c>
    </row>
    <row r="43845" customFormat="false" ht="12.8" hidden="false" customHeight="false" outlineLevel="0" collapsed="false">
      <c r="A43845" s="0" t="s">
        <v>15628</v>
      </c>
      <c r="B43845" s="0" t="str">
        <f aca="false">HYPERLINK("https://lindat.mff.cuni.cz/services/teitok/pdtc10/index.php?action=vallex&amp;frame=v-w12250_ZUf1_ZU", "shýbnout se (v-w12250_ZUf1_ZU)")</f>
        <v>shýbnout se (v-w12250_ZUf1_ZU)</v>
      </c>
    </row>
    <row r="43846" customFormat="false" ht="12.8" hidden="false" customHeight="false" outlineLevel="0" collapsed="false">
      <c r="B43846" s="0" t="s">
        <v>7</v>
      </c>
    </row>
    <row r="43847" customFormat="false" ht="12.8" hidden="false" customHeight="false" outlineLevel="0" collapsed="false">
      <c r="B43847" s="0" t="s">
        <v>15629</v>
      </c>
    </row>
    <row r="43849" customFormat="false" ht="12.8" hidden="false" customHeight="false" outlineLevel="0" collapsed="false">
      <c r="A43849" s="0" t="s">
        <v>15630</v>
      </c>
      <c r="B43849" s="0" t="str">
        <f aca="false">HYPERLINK("https://lindat.mff.cuni.cz/services/teitok/pdtc10/index.php?action=vallex&amp;frame=v-w6063f1", "signalizovat (v-w6063f1)")</f>
        <v>signalizovat (v-w6063f1)</v>
      </c>
    </row>
    <row r="43850" customFormat="false" ht="12.8" hidden="false" customHeight="false" outlineLevel="0" collapsed="false">
      <c r="B43850" s="0" t="s">
        <v>7</v>
      </c>
      <c r="C43850" s="0" t="s">
        <v>410</v>
      </c>
      <c r="D43850" s="0" t="s">
        <v>15631</v>
      </c>
      <c r="E43850" s="0" t="s">
        <v>15632</v>
      </c>
      <c r="F43850" s="0" t="s">
        <v>15632</v>
      </c>
    </row>
    <row r="43851" customFormat="false" ht="12.8" hidden="false" customHeight="false" outlineLevel="0" collapsed="false">
      <c r="B43851" s="0" t="s">
        <v>54</v>
      </c>
      <c r="C43851" s="0" t="s">
        <v>15633</v>
      </c>
      <c r="D43851" s="0" t="s">
        <v>15634</v>
      </c>
      <c r="E43851" s="0" t="s">
        <v>15635</v>
      </c>
      <c r="F43851" s="0" t="s">
        <v>15635</v>
      </c>
    </row>
    <row r="43852" customFormat="false" ht="12.8" hidden="false" customHeight="false" outlineLevel="0" collapsed="false">
      <c r="B43852" s="0" t="s">
        <v>106</v>
      </c>
      <c r="C43852" s="0" t="s">
        <v>15636</v>
      </c>
      <c r="D43852" s="0" t="s">
        <v>15637</v>
      </c>
      <c r="E43852" s="0" t="s">
        <v>3332</v>
      </c>
      <c r="F43852" s="0" t="s">
        <v>3332</v>
      </c>
    </row>
    <row r="43854" customFormat="false" ht="12.8" hidden="false" customHeight="false" outlineLevel="0" collapsed="false">
      <c r="A43854" s="0" t="s">
        <v>15638</v>
      </c>
      <c r="B43854" s="0" t="str">
        <f aca="false">HYPERLINK("https://lindat.mff.cuni.cz/services/teitok/pdtc10/index.php?action=vallex&amp;frame=v-w6063f3_ZU", "signalizovat (v-w6063f3_ZU)")</f>
        <v>signalizovat (v-w6063f3_ZU)</v>
      </c>
    </row>
    <row r="43855" customFormat="false" ht="12.8" hidden="false" customHeight="false" outlineLevel="0" collapsed="false">
      <c r="B43855" s="0" t="s">
        <v>7</v>
      </c>
      <c r="C43855" s="0" t="s">
        <v>410</v>
      </c>
    </row>
    <row r="43856" customFormat="false" ht="12.8" hidden="false" customHeight="false" outlineLevel="0" collapsed="false">
      <c r="B43856" s="0" t="s">
        <v>54</v>
      </c>
      <c r="C43856" s="0" t="s">
        <v>10191</v>
      </c>
    </row>
    <row r="43858" customFormat="false" ht="12.8" hidden="false" customHeight="false" outlineLevel="0" collapsed="false">
      <c r="A43858" s="0" t="s">
        <v>15638</v>
      </c>
      <c r="B43858" s="0" t="str">
        <f aca="false">HYPERLINK("https://lindat.mff.cuni.cz/services/teitok/pdtc10/index.php?action=vallex&amp;frame=v-w6063f2", "signalizovat (v-w6063f2) - substituted with v-w6063f3_ZU")</f>
        <v>signalizovat (v-w6063f2) - substituted with v-w6063f3_ZU</v>
      </c>
    </row>
    <row r="43859" customFormat="false" ht="12.8" hidden="false" customHeight="false" outlineLevel="0" collapsed="false">
      <c r="B43859" s="0" t="s">
        <v>7</v>
      </c>
      <c r="C43859" s="0" t="s">
        <v>410</v>
      </c>
    </row>
    <row r="43860" customFormat="false" ht="12.8" hidden="false" customHeight="false" outlineLevel="0" collapsed="false">
      <c r="B43860" s="0" t="s">
        <v>54</v>
      </c>
      <c r="C43860" s="0" t="s">
        <v>10191</v>
      </c>
    </row>
    <row r="43862" customFormat="false" ht="12.8" hidden="false" customHeight="false" outlineLevel="0" collapsed="false">
      <c r="A43862" s="0" t="s">
        <v>15639</v>
      </c>
      <c r="B43862" s="0" t="str">
        <f aca="false">HYPERLINK("https://lindat.mff.cuni.cz/services/teitok/pdtc10/index.php?action=vallex&amp;frame=v-w6063hsa_200", "signalizovat (v-w6063hsa_200)")</f>
        <v>signalizovat (v-w6063hsa_200)</v>
      </c>
    </row>
    <row r="43863" customFormat="false" ht="12.8" hidden="false" customHeight="false" outlineLevel="0" collapsed="false">
      <c r="B43863" s="0" t="s">
        <v>7</v>
      </c>
    </row>
    <row r="43865" customFormat="false" ht="12.8" hidden="false" customHeight="false" outlineLevel="0" collapsed="false">
      <c r="A43865" s="0" t="s">
        <v>15640</v>
      </c>
      <c r="B43865" s="0" t="str">
        <f aca="false">HYPERLINK("https://lindat.mff.cuni.cz/services/teitok/pdtc10/index.php?action=vallex&amp;frame=v-w6067f1", "signovat (v-w6067f1)")</f>
        <v>signovat (v-w6067f1)</v>
      </c>
    </row>
    <row r="43866" customFormat="false" ht="12.8" hidden="false" customHeight="false" outlineLevel="0" collapsed="false">
      <c r="B43866" s="0" t="s">
        <v>7</v>
      </c>
    </row>
    <row r="43867" customFormat="false" ht="12.8" hidden="false" customHeight="false" outlineLevel="0" collapsed="false">
      <c r="B43867" s="0" t="s">
        <v>14</v>
      </c>
    </row>
    <row r="43869" customFormat="false" ht="12.8" hidden="false" customHeight="false" outlineLevel="0" collapsed="false">
      <c r="A43869" s="0" t="s">
        <v>15641</v>
      </c>
      <c r="B43869" s="0" t="str">
        <f aca="false">HYPERLINK("https://lindat.mff.cuni.cz/services/teitok/pdtc10/index.php?action=vallex&amp;frame=v-w6070f1", "simulovat (v-w6070f1)")</f>
        <v>simulovat (v-w6070f1)</v>
      </c>
    </row>
    <row r="43870" customFormat="false" ht="12.8" hidden="false" customHeight="false" outlineLevel="0" collapsed="false">
      <c r="B43870" s="0" t="s">
        <v>7</v>
      </c>
      <c r="C43870" s="0" t="s">
        <v>184</v>
      </c>
      <c r="D43870" s="0" t="s">
        <v>2736</v>
      </c>
      <c r="E43870" s="0" t="s">
        <v>2736</v>
      </c>
      <c r="F43870" s="0" t="s">
        <v>2736</v>
      </c>
    </row>
    <row r="43871" customFormat="false" ht="12.8" hidden="false" customHeight="false" outlineLevel="0" collapsed="false">
      <c r="B43871" s="0" t="s">
        <v>14583</v>
      </c>
      <c r="C43871" s="0" t="s">
        <v>567</v>
      </c>
      <c r="D43871" s="0" t="s">
        <v>624</v>
      </c>
      <c r="E43871" s="0" t="s">
        <v>624</v>
      </c>
      <c r="F43871" s="0" t="s">
        <v>624</v>
      </c>
    </row>
    <row r="43873" customFormat="false" ht="12.8" hidden="false" customHeight="false" outlineLevel="0" collapsed="false">
      <c r="A43873" s="0" t="s">
        <v>15642</v>
      </c>
      <c r="B43873" s="0" t="str">
        <f aca="false">HYPERLINK("https://lindat.mff.cuni.cz/services/teitok/pdtc10/index.php?action=vallex&amp;frame=v-w6075f1", "situovat (v-w6075f1)")</f>
        <v>situovat (v-w6075f1)</v>
      </c>
    </row>
    <row r="43874" customFormat="false" ht="12.8" hidden="false" customHeight="false" outlineLevel="0" collapsed="false">
      <c r="B43874" s="0" t="s">
        <v>7</v>
      </c>
    </row>
    <row r="43875" customFormat="false" ht="12.8" hidden="false" customHeight="false" outlineLevel="0" collapsed="false">
      <c r="B43875" s="0" t="s">
        <v>14</v>
      </c>
    </row>
    <row r="43876" customFormat="false" ht="12.8" hidden="false" customHeight="false" outlineLevel="0" collapsed="false">
      <c r="B43876" s="0" t="s">
        <v>124</v>
      </c>
    </row>
    <row r="43878" customFormat="false" ht="12.8" hidden="false" customHeight="false" outlineLevel="0" collapsed="false">
      <c r="A43878" s="0" t="s">
        <v>15643</v>
      </c>
      <c r="B43878" s="0" t="str">
        <f aca="false">HYPERLINK("https://lindat.mff.cuni.cz/services/teitok/pdtc10/index.php?action=vallex&amp;frame=v-w6078f1", "sjednat (v-w6078f1)")</f>
        <v>sjednat (v-w6078f1)</v>
      </c>
    </row>
    <row r="43879" customFormat="false" ht="12.8" hidden="false" customHeight="false" outlineLevel="0" collapsed="false">
      <c r="B43879" s="0" t="s">
        <v>7</v>
      </c>
      <c r="C43879" s="0" t="s">
        <v>15644</v>
      </c>
      <c r="D43879" s="0" t="s">
        <v>1801</v>
      </c>
      <c r="E43879" s="0" t="s">
        <v>1801</v>
      </c>
      <c r="F43879" s="0" t="s">
        <v>1801</v>
      </c>
    </row>
    <row r="43880" customFormat="false" ht="12.8" hidden="false" customHeight="false" outlineLevel="0" collapsed="false">
      <c r="B43880" s="0" t="s">
        <v>15645</v>
      </c>
      <c r="C43880" s="0" t="s">
        <v>15646</v>
      </c>
      <c r="D43880" s="0" t="s">
        <v>1804</v>
      </c>
      <c r="E43880" s="0" t="s">
        <v>1804</v>
      </c>
      <c r="F43880" s="0" t="s">
        <v>1804</v>
      </c>
    </row>
    <row r="43881" customFormat="false" ht="12.8" hidden="false" customHeight="false" outlineLevel="0" collapsed="false">
      <c r="B43881" s="0" t="s">
        <v>207</v>
      </c>
      <c r="C43881" s="0" t="s">
        <v>15647</v>
      </c>
      <c r="D43881" s="0" t="s">
        <v>1806</v>
      </c>
      <c r="E43881" s="0" t="s">
        <v>1806</v>
      </c>
      <c r="F43881" s="0" t="s">
        <v>1806</v>
      </c>
    </row>
    <row r="43883" customFormat="false" ht="12.8" hidden="false" customHeight="false" outlineLevel="0" collapsed="false">
      <c r="A43883" s="0" t="s">
        <v>15648</v>
      </c>
      <c r="B43883" s="0" t="str">
        <f aca="false">HYPERLINK("https://lindat.mff.cuni.cz/services/teitok/pdtc10/index.php?action=vallex&amp;frame=v-w6083f1", "sjednocovat (v-w6083f1)")</f>
        <v>sjednocovat (v-w6083f1)</v>
      </c>
    </row>
    <row r="43884" customFormat="false" ht="12.8" hidden="false" customHeight="false" outlineLevel="0" collapsed="false">
      <c r="B43884" s="0" t="s">
        <v>7</v>
      </c>
    </row>
    <row r="43885" customFormat="false" ht="12.8" hidden="false" customHeight="false" outlineLevel="0" collapsed="false">
      <c r="B43885" s="0" t="s">
        <v>14</v>
      </c>
    </row>
    <row r="43886" customFormat="false" ht="12.8" hidden="false" customHeight="false" outlineLevel="0" collapsed="false">
      <c r="B43886" s="0" t="s">
        <v>207</v>
      </c>
    </row>
    <row r="43887" customFormat="false" ht="12.8" hidden="false" customHeight="false" outlineLevel="0" collapsed="false">
      <c r="B43887" s="0" t="s">
        <v>15649</v>
      </c>
    </row>
    <row r="43889" customFormat="false" ht="12.8" hidden="false" customHeight="false" outlineLevel="0" collapsed="false">
      <c r="A43889" s="0" t="s">
        <v>15650</v>
      </c>
      <c r="B43889" s="0" t="str">
        <f aca="false">HYPERLINK("https://lindat.mff.cuni.cz/services/teitok/pdtc10/index.php?action=vallex&amp;frame=v-w6084f2_ZU", "sjednotit (v-w6084f2_ZU)")</f>
        <v>sjednotit (v-w6084f2_ZU)</v>
      </c>
    </row>
    <row r="43890" customFormat="false" ht="12.8" hidden="false" customHeight="false" outlineLevel="0" collapsed="false">
      <c r="B43890" s="0" t="s">
        <v>7</v>
      </c>
      <c r="C43890" s="0" t="s">
        <v>46</v>
      </c>
      <c r="D43890" s="0" t="s">
        <v>88</v>
      </c>
      <c r="E43890" s="0" t="s">
        <v>88</v>
      </c>
      <c r="F43890" s="0" t="s">
        <v>88</v>
      </c>
    </row>
    <row r="43891" customFormat="false" ht="12.8" hidden="false" customHeight="false" outlineLevel="0" collapsed="false">
      <c r="B43891" s="0" t="s">
        <v>14</v>
      </c>
      <c r="C43891" s="0" t="s">
        <v>33</v>
      </c>
      <c r="D43891" s="0" t="s">
        <v>24</v>
      </c>
      <c r="E43891" s="0" t="s">
        <v>24</v>
      </c>
      <c r="F43891" s="0" t="s">
        <v>24</v>
      </c>
    </row>
    <row r="43892" customFormat="false" ht="12.8" hidden="false" customHeight="false" outlineLevel="0" collapsed="false">
      <c r="B43892" s="0" t="s">
        <v>207</v>
      </c>
      <c r="D43892" s="0" t="s">
        <v>4219</v>
      </c>
      <c r="E43892" s="0" t="s">
        <v>4219</v>
      </c>
      <c r="F43892" s="0" t="s">
        <v>4219</v>
      </c>
    </row>
    <row r="43893" customFormat="false" ht="12.8" hidden="false" customHeight="false" outlineLevel="0" collapsed="false">
      <c r="B43893" s="0" t="s">
        <v>15649</v>
      </c>
      <c r="C43893" s="0" t="s">
        <v>1234</v>
      </c>
      <c r="D43893" s="0" t="s">
        <v>4220</v>
      </c>
      <c r="E43893" s="0" t="s">
        <v>4220</v>
      </c>
      <c r="F43893" s="0" t="s">
        <v>4220</v>
      </c>
    </row>
    <row r="43894" customFormat="false" ht="12.8" hidden="false" customHeight="false" outlineLevel="0" collapsed="false">
      <c r="B43894" s="0" t="s">
        <v>35</v>
      </c>
      <c r="C43894" s="0" t="s">
        <v>1526</v>
      </c>
    </row>
    <row r="43896" customFormat="false" ht="12.8" hidden="false" customHeight="false" outlineLevel="0" collapsed="false">
      <c r="A43896" s="0" t="s">
        <v>15650</v>
      </c>
      <c r="B43896" s="0" t="str">
        <f aca="false">HYPERLINK("https://lindat.mff.cuni.cz/services/teitok/pdtc10/index.php?action=vallex&amp;frame=v-w6084f1", "sjednotit (v-w6084f1) - substituted with v-w6084f2_ZU")</f>
        <v>sjednotit (v-w6084f1) - substituted with v-w6084f2_ZU</v>
      </c>
    </row>
    <row r="43897" customFormat="false" ht="12.8" hidden="false" customHeight="false" outlineLevel="0" collapsed="false">
      <c r="B43897" s="0" t="s">
        <v>7</v>
      </c>
      <c r="C43897" s="0" t="s">
        <v>15651</v>
      </c>
    </row>
    <row r="43898" customFormat="false" ht="12.8" hidden="false" customHeight="false" outlineLevel="0" collapsed="false">
      <c r="B43898" s="0" t="s">
        <v>14</v>
      </c>
      <c r="C43898" s="0" t="s">
        <v>15652</v>
      </c>
    </row>
    <row r="43899" customFormat="false" ht="12.8" hidden="false" customHeight="false" outlineLevel="0" collapsed="false">
      <c r="B43899" s="0" t="s">
        <v>207</v>
      </c>
      <c r="C43899" s="0" t="s">
        <v>1843</v>
      </c>
    </row>
    <row r="43900" customFormat="false" ht="12.8" hidden="false" customHeight="false" outlineLevel="0" collapsed="false">
      <c r="B43900" s="0" t="s">
        <v>15649</v>
      </c>
      <c r="C43900" s="0" t="s">
        <v>4220</v>
      </c>
    </row>
    <row r="43901" customFormat="false" ht="12.8" hidden="false" customHeight="false" outlineLevel="0" collapsed="false">
      <c r="B43901" s="0" t="s">
        <v>35</v>
      </c>
    </row>
    <row r="43903" customFormat="false" ht="12.8" hidden="false" customHeight="false" outlineLevel="0" collapsed="false">
      <c r="A43903" s="0" t="s">
        <v>15653</v>
      </c>
      <c r="B43903" s="0" t="str">
        <f aca="false">HYPERLINK("https://lindat.mff.cuni.cz/services/teitok/pdtc10/index.php?action=vallex&amp;frame=v-w6085f1", "sjednotit se (v-w6085f1)")</f>
        <v>sjednotit se (v-w6085f1)</v>
      </c>
    </row>
    <row r="43904" customFormat="false" ht="12.8" hidden="false" customHeight="false" outlineLevel="0" collapsed="false">
      <c r="B43904" s="0" t="s">
        <v>7</v>
      </c>
      <c r="C43904" s="0" t="s">
        <v>200</v>
      </c>
      <c r="D43904" s="0" t="s">
        <v>2780</v>
      </c>
      <c r="E43904" s="0" t="s">
        <v>2780</v>
      </c>
      <c r="F43904" s="0" t="s">
        <v>2780</v>
      </c>
    </row>
    <row r="43905" customFormat="false" ht="12.8" hidden="false" customHeight="false" outlineLevel="0" collapsed="false">
      <c r="B43905" s="0" t="s">
        <v>548</v>
      </c>
      <c r="D43905" s="0" t="s">
        <v>2781</v>
      </c>
      <c r="E43905" s="0" t="s">
        <v>2781</v>
      </c>
      <c r="F43905" s="0" t="s">
        <v>2781</v>
      </c>
    </row>
    <row r="43906" customFormat="false" ht="12.8" hidden="false" customHeight="false" outlineLevel="0" collapsed="false">
      <c r="B43906" s="0" t="s">
        <v>2571</v>
      </c>
      <c r="D43906" s="0" t="s">
        <v>10273</v>
      </c>
      <c r="E43906" s="0" t="s">
        <v>10273</v>
      </c>
      <c r="F43906" s="0" t="s">
        <v>10273</v>
      </c>
    </row>
    <row r="43908" customFormat="false" ht="12.8" hidden="false" customHeight="false" outlineLevel="0" collapsed="false">
      <c r="A43908" s="0" t="s">
        <v>15654</v>
      </c>
      <c r="B43908" s="0" t="str">
        <f aca="false">HYPERLINK("https://lindat.mff.cuni.cz/services/teitok/pdtc10/index.php?action=vallex&amp;frame=v-w6080f1", "sjednávat (v-w6080f1)")</f>
        <v>sjednávat (v-w6080f1)</v>
      </c>
    </row>
    <row r="43909" customFormat="false" ht="12.8" hidden="false" customHeight="false" outlineLevel="0" collapsed="false">
      <c r="B43909" s="0" t="s">
        <v>7</v>
      </c>
      <c r="C43909" s="0" t="s">
        <v>9918</v>
      </c>
      <c r="D43909" s="0" t="s">
        <v>1801</v>
      </c>
      <c r="E43909" s="0" t="s">
        <v>1801</v>
      </c>
      <c r="F43909" s="0" t="s">
        <v>1801</v>
      </c>
    </row>
    <row r="43910" customFormat="false" ht="12.8" hidden="false" customHeight="false" outlineLevel="0" collapsed="false">
      <c r="B43910" s="0" t="s">
        <v>15645</v>
      </c>
      <c r="C43910" s="0" t="s">
        <v>15655</v>
      </c>
      <c r="D43910" s="0" t="s">
        <v>1804</v>
      </c>
      <c r="E43910" s="0" t="s">
        <v>1804</v>
      </c>
      <c r="F43910" s="0" t="s">
        <v>1804</v>
      </c>
    </row>
    <row r="43911" customFormat="false" ht="12.8" hidden="false" customHeight="false" outlineLevel="0" collapsed="false">
      <c r="B43911" s="0" t="s">
        <v>207</v>
      </c>
      <c r="C43911" s="0" t="s">
        <v>1805</v>
      </c>
      <c r="D43911" s="0" t="s">
        <v>1806</v>
      </c>
      <c r="E43911" s="0" t="s">
        <v>1806</v>
      </c>
      <c r="F43911" s="0" t="s">
        <v>1806</v>
      </c>
    </row>
    <row r="43913" customFormat="false" ht="12.8" hidden="false" customHeight="false" outlineLevel="0" collapsed="false">
      <c r="A43913" s="0" t="s">
        <v>15656</v>
      </c>
      <c r="B43913" s="0" t="str">
        <f aca="false">HYPERLINK("https://lindat.mff.cuni.cz/services/teitok/pdtc10/index.php?action=vallex&amp;frame=v-w6080f2", "sjednávat (v-w6080f2)")</f>
        <v>sjednávat (v-w6080f2)</v>
      </c>
    </row>
    <row r="43914" customFormat="false" ht="12.8" hidden="false" customHeight="false" outlineLevel="0" collapsed="false">
      <c r="B43914" s="0" t="s">
        <v>7</v>
      </c>
    </row>
    <row r="43915" customFormat="false" ht="12.8" hidden="false" customHeight="false" outlineLevel="0" collapsed="false">
      <c r="B43915" s="0" t="s">
        <v>15657</v>
      </c>
    </row>
    <row r="43917" customFormat="false" ht="12.8" hidden="false" customHeight="false" outlineLevel="0" collapsed="false">
      <c r="A43917" s="0" t="s">
        <v>15658</v>
      </c>
      <c r="B43917" s="0" t="str">
        <f aca="false">HYPERLINK("https://lindat.mff.cuni.cz/services/teitok/pdtc10/index.php?action=vallex&amp;frame=v-w6086f1", "sjet (v-w6086f1)")</f>
        <v>sjet (v-w6086f1)</v>
      </c>
    </row>
    <row r="43918" customFormat="false" ht="12.8" hidden="false" customHeight="false" outlineLevel="0" collapsed="false">
      <c r="B43918" s="0" t="s">
        <v>7</v>
      </c>
    </row>
    <row r="43919" customFormat="false" ht="12.8" hidden="false" customHeight="false" outlineLevel="0" collapsed="false">
      <c r="B43919" s="0" t="s">
        <v>459</v>
      </c>
    </row>
    <row r="43921" customFormat="false" ht="12.8" hidden="false" customHeight="false" outlineLevel="0" collapsed="false">
      <c r="A43921" s="0" t="s">
        <v>15659</v>
      </c>
      <c r="B43921" s="0" t="str">
        <f aca="false">HYPERLINK("https://lindat.mff.cuni.cz/services/teitok/pdtc10/index.php?action=vallex&amp;frame=v-w6086f3_ZU", "sjet (v-w6086f3_ZU)")</f>
        <v>sjet (v-w6086f3_ZU)</v>
      </c>
    </row>
    <row r="43922" customFormat="false" ht="12.8" hidden="false" customHeight="false" outlineLevel="0" collapsed="false">
      <c r="B43922" s="0" t="s">
        <v>7</v>
      </c>
    </row>
    <row r="43923" customFormat="false" ht="12.8" hidden="false" customHeight="false" outlineLevel="0" collapsed="false">
      <c r="B43923" s="0" t="s">
        <v>124</v>
      </c>
    </row>
    <row r="43925" customFormat="false" ht="12.8" hidden="false" customHeight="false" outlineLevel="0" collapsed="false">
      <c r="A43925" s="0" t="s">
        <v>15659</v>
      </c>
      <c r="B43925" s="0" t="str">
        <f aca="false">HYPERLINK("https://lindat.mff.cuni.cz/services/teitok/pdtc10/index.php?action=vallex&amp;frame=v-w6086f2_ZU", "sjet (v-w6086f2_ZU) - substituted with v-w6086f3_ZU")</f>
        <v>sjet (v-w6086f2_ZU) - substituted with v-w6086f3_ZU</v>
      </c>
    </row>
    <row r="43926" customFormat="false" ht="12.8" hidden="false" customHeight="false" outlineLevel="0" collapsed="false">
      <c r="B43926" s="0" t="s">
        <v>7</v>
      </c>
    </row>
    <row r="43927" customFormat="false" ht="12.8" hidden="false" customHeight="false" outlineLevel="0" collapsed="false">
      <c r="B43927" s="0" t="s">
        <v>124</v>
      </c>
    </row>
    <row r="43929" customFormat="false" ht="12.8" hidden="false" customHeight="false" outlineLevel="0" collapsed="false">
      <c r="A43929" s="0" t="s">
        <v>15659</v>
      </c>
      <c r="B43929" s="0" t="str">
        <f aca="false">HYPERLINK("https://lindat.mff.cuni.cz/services/teitok/pdtc10/index.php?action=vallex&amp;frame=v-w6086hsa_1156", "sjet (v-w6086hsa_1156) - substituted with v-w6086f3_ZU")</f>
        <v>sjet (v-w6086hsa_1156) - substituted with v-w6086f3_ZU</v>
      </c>
    </row>
    <row r="43930" customFormat="false" ht="12.8" hidden="false" customHeight="false" outlineLevel="0" collapsed="false">
      <c r="B43930" s="0" t="s">
        <v>7</v>
      </c>
    </row>
    <row r="43931" customFormat="false" ht="12.8" hidden="false" customHeight="false" outlineLevel="0" collapsed="false">
      <c r="B43931" s="0" t="s">
        <v>124</v>
      </c>
    </row>
    <row r="43933" customFormat="false" ht="12.8" hidden="false" customHeight="false" outlineLevel="0" collapsed="false">
      <c r="A43933" s="0" t="s">
        <v>15660</v>
      </c>
      <c r="B43933" s="0" t="str">
        <f aca="false">HYPERLINK("https://lindat.mff.cuni.cz/services/teitok/pdtc10/index.php?action=vallex&amp;frame=v-w6086hsa_1155", "sjet (v-w6086hsa_1155)")</f>
        <v>sjet (v-w6086hsa_1155)</v>
      </c>
    </row>
    <row r="43934" customFormat="false" ht="12.8" hidden="false" customHeight="false" outlineLevel="0" collapsed="false">
      <c r="B43934" s="0" t="s">
        <v>7</v>
      </c>
    </row>
    <row r="43935" customFormat="false" ht="12.8" hidden="false" customHeight="false" outlineLevel="0" collapsed="false">
      <c r="B43935" s="0" t="s">
        <v>14</v>
      </c>
    </row>
    <row r="43937" customFormat="false" ht="12.8" hidden="false" customHeight="false" outlineLevel="0" collapsed="false">
      <c r="A43937" s="0" t="s">
        <v>15661</v>
      </c>
      <c r="B43937" s="0" t="str">
        <f aca="false">HYPERLINK("https://lindat.mff.cuni.cz/services/teitok/pdtc10/index.php?action=vallex&amp;frame=v-w6086hsa_1157", "sjet (v-w6086hsa_1157)")</f>
        <v>sjet (v-w6086hsa_1157)</v>
      </c>
    </row>
    <row r="43938" customFormat="false" ht="12.8" hidden="false" customHeight="false" outlineLevel="0" collapsed="false">
      <c r="B43938" s="0" t="s">
        <v>7</v>
      </c>
    </row>
    <row r="43939" customFormat="false" ht="12.8" hidden="false" customHeight="false" outlineLevel="0" collapsed="false">
      <c r="B43939" s="0" t="s">
        <v>459</v>
      </c>
    </row>
    <row r="43941" customFormat="false" ht="12.8" hidden="false" customHeight="false" outlineLevel="0" collapsed="false">
      <c r="A43941" s="0" t="s">
        <v>15662</v>
      </c>
      <c r="B43941" s="0" t="str">
        <f aca="false">HYPERLINK("https://lindat.mff.cuni.cz/services/teitok/pdtc10/index.php?action=vallex&amp;frame=v-w6087f2", "sjet se (v-w6087f2)")</f>
        <v>sjet se (v-w6087f2)</v>
      </c>
    </row>
    <row r="43942" customFormat="false" ht="12.8" hidden="false" customHeight="false" outlineLevel="0" collapsed="false">
      <c r="B43942" s="0" t="s">
        <v>7</v>
      </c>
    </row>
    <row r="43943" customFormat="false" ht="12.8" hidden="false" customHeight="false" outlineLevel="0" collapsed="false">
      <c r="B43943" s="0" t="s">
        <v>11</v>
      </c>
    </row>
    <row r="43945" customFormat="false" ht="12.8" hidden="false" customHeight="false" outlineLevel="0" collapsed="false">
      <c r="A43945" s="0" t="s">
        <v>15663</v>
      </c>
      <c r="B43945" s="0" t="str">
        <f aca="false">HYPERLINK("https://lindat.mff.cuni.cz/services/teitok/pdtc10/index.php?action=vallex&amp;frame=v-w6087f1", "sjet se (v-w6087f1)")</f>
        <v>sjet se (v-w6087f1)</v>
      </c>
    </row>
    <row r="43946" customFormat="false" ht="12.8" hidden="false" customHeight="false" outlineLevel="0" collapsed="false">
      <c r="B43946" s="0" t="s">
        <v>7</v>
      </c>
    </row>
    <row r="43947" customFormat="false" ht="12.8" hidden="false" customHeight="false" outlineLevel="0" collapsed="false">
      <c r="B43947" s="0" t="s">
        <v>124</v>
      </c>
    </row>
    <row r="43949" customFormat="false" ht="12.8" hidden="false" customHeight="false" outlineLevel="0" collapsed="false">
      <c r="A43949" s="0" t="s">
        <v>15664</v>
      </c>
      <c r="B43949" s="0" t="str">
        <f aca="false">HYPERLINK("https://lindat.mff.cuni.cz/services/teitok/pdtc10/index.php?action=vallex&amp;frame=v-w6089f1", "sjezdit (v-w6089f1)")</f>
        <v>sjezdit (v-w6089f1)</v>
      </c>
    </row>
    <row r="43950" customFormat="false" ht="12.8" hidden="false" customHeight="false" outlineLevel="0" collapsed="false">
      <c r="B43950" s="0" t="s">
        <v>7</v>
      </c>
    </row>
    <row r="43951" customFormat="false" ht="12.8" hidden="false" customHeight="false" outlineLevel="0" collapsed="false">
      <c r="B43951" s="0" t="s">
        <v>14</v>
      </c>
    </row>
    <row r="43953" customFormat="false" ht="12.8" hidden="false" customHeight="false" outlineLevel="0" collapsed="false">
      <c r="A43953" s="0" t="s">
        <v>15665</v>
      </c>
      <c r="B43953" s="0" t="str">
        <f aca="false">HYPERLINK("https://lindat.mff.cuni.cz/services/teitok/pdtc10/index.php?action=vallex&amp;frame=v-whsa_871hsa_872", "sjezdovat (v-whsa_871hsa_872)")</f>
        <v>sjezdovat (v-whsa_871hsa_872)</v>
      </c>
    </row>
    <row r="43954" customFormat="false" ht="12.8" hidden="false" customHeight="false" outlineLevel="0" collapsed="false">
      <c r="B43954" s="0" t="s">
        <v>7</v>
      </c>
    </row>
    <row r="43956" customFormat="false" ht="12.8" hidden="false" customHeight="false" outlineLevel="0" collapsed="false">
      <c r="A43956" s="0" t="s">
        <v>15666</v>
      </c>
      <c r="B43956" s="0" t="str">
        <f aca="false">HYPERLINK("https://lindat.mff.cuni.cz/services/teitok/pdtc10/index.php?action=vallex&amp;frame=v-w6090f1", "sjíždět (v-w6090f1)")</f>
        <v>sjíždět (v-w6090f1)</v>
      </c>
    </row>
    <row r="43957" customFormat="false" ht="12.8" hidden="false" customHeight="false" outlineLevel="0" collapsed="false">
      <c r="B43957" s="0" t="s">
        <v>7</v>
      </c>
      <c r="C43957" s="0" t="s">
        <v>184</v>
      </c>
    </row>
    <row r="43958" customFormat="false" ht="12.8" hidden="false" customHeight="false" outlineLevel="0" collapsed="false">
      <c r="B43958" s="0" t="s">
        <v>459</v>
      </c>
      <c r="C43958" s="0" t="s">
        <v>15667</v>
      </c>
    </row>
    <row r="43960" customFormat="false" ht="12.8" hidden="false" customHeight="false" outlineLevel="0" collapsed="false">
      <c r="A43960" s="0" t="s">
        <v>15668</v>
      </c>
      <c r="B43960" s="0" t="str">
        <f aca="false">HYPERLINK("https://lindat.mff.cuni.cz/services/teitok/pdtc10/index.php?action=vallex&amp;frame=v-w6090hsa_10", "sjíždět (v-w6090hsa_10)")</f>
        <v>sjíždět (v-w6090hsa_10)</v>
      </c>
    </row>
    <row r="43961" customFormat="false" ht="12.8" hidden="false" customHeight="false" outlineLevel="0" collapsed="false">
      <c r="B43961" s="0" t="s">
        <v>7</v>
      </c>
    </row>
    <row r="43962" customFormat="false" ht="12.8" hidden="false" customHeight="false" outlineLevel="0" collapsed="false">
      <c r="B43962" s="0" t="s">
        <v>14</v>
      </c>
    </row>
    <row r="43964" customFormat="false" ht="12.8" hidden="false" customHeight="false" outlineLevel="0" collapsed="false">
      <c r="A43964" s="0" t="s">
        <v>15669</v>
      </c>
      <c r="B43964" s="0" t="str">
        <f aca="false">HYPERLINK("https://lindat.mff.cuni.cz/services/teitok/pdtc10/index.php?action=vallex&amp;frame=v-w6091f1", "sjíždět se (v-w6091f1)")</f>
        <v>sjíždět se (v-w6091f1)</v>
      </c>
    </row>
    <row r="43965" customFormat="false" ht="12.8" hidden="false" customHeight="false" outlineLevel="0" collapsed="false">
      <c r="B43965" s="0" t="s">
        <v>7</v>
      </c>
    </row>
    <row r="43966" customFormat="false" ht="12.8" hidden="false" customHeight="false" outlineLevel="0" collapsed="false">
      <c r="B43966" s="0" t="s">
        <v>124</v>
      </c>
    </row>
    <row r="43968" customFormat="false" ht="12.8" hidden="false" customHeight="false" outlineLevel="0" collapsed="false">
      <c r="A43968" s="0" t="s">
        <v>15670</v>
      </c>
      <c r="B43968" s="0" t="str">
        <f aca="false">HYPERLINK("https://lindat.mff.cuni.cz/services/teitok/pdtc10/index.php?action=vallex&amp;frame=v-w6091f2", "sjíždět se (v-w6091f2)")</f>
        <v>sjíždět se (v-w6091f2)</v>
      </c>
    </row>
    <row r="43969" customFormat="false" ht="12.8" hidden="false" customHeight="false" outlineLevel="0" collapsed="false">
      <c r="B43969" s="0" t="s">
        <v>7</v>
      </c>
    </row>
    <row r="43971" customFormat="false" ht="12.8" hidden="false" customHeight="false" outlineLevel="0" collapsed="false">
      <c r="A43971" s="0" t="s">
        <v>15671</v>
      </c>
      <c r="B43971" s="0" t="str">
        <f aca="false">HYPERLINK("https://lindat.mff.cuni.cz/services/teitok/pdtc10/index.php?action=vallex&amp;frame=v-w6091hsa_2026", "sjíždět se (v-w6091hsa_2026)")</f>
        <v>sjíždět se (v-w6091hsa_2026)</v>
      </c>
    </row>
    <row r="43972" customFormat="false" ht="12.8" hidden="false" customHeight="false" outlineLevel="0" collapsed="false">
      <c r="B43972" s="0" t="s">
        <v>7</v>
      </c>
    </row>
    <row r="43973" customFormat="false" ht="12.8" hidden="false" customHeight="false" outlineLevel="0" collapsed="false">
      <c r="B43973" s="0" t="s">
        <v>11</v>
      </c>
    </row>
    <row r="43975" customFormat="false" ht="12.8" hidden="false" customHeight="false" outlineLevel="0" collapsed="false">
      <c r="A43975" s="0" t="s">
        <v>15672</v>
      </c>
      <c r="B43975" s="0" t="str">
        <f aca="false">HYPERLINK("https://lindat.mff.cuni.cz/services/teitok/pdtc10/index.php?action=vallex&amp;frame=v-whsa_1217hsa_1218", "skamarádit se (v-whsa_1217hsa_1218)")</f>
        <v>skamarádit se (v-whsa_1217hsa_1218)</v>
      </c>
    </row>
    <row r="43976" customFormat="false" ht="12.8" hidden="false" customHeight="false" outlineLevel="0" collapsed="false">
      <c r="B43976" s="0" t="s">
        <v>7</v>
      </c>
    </row>
    <row r="43977" customFormat="false" ht="12.8" hidden="false" customHeight="false" outlineLevel="0" collapsed="false">
      <c r="B43977" s="0" t="s">
        <v>548</v>
      </c>
    </row>
    <row r="43979" customFormat="false" ht="12.8" hidden="false" customHeight="false" outlineLevel="0" collapsed="false">
      <c r="A43979" s="0" t="s">
        <v>15673</v>
      </c>
      <c r="B43979" s="0" t="str">
        <f aca="false">HYPERLINK("https://lindat.mff.cuni.cz/services/teitok/pdtc10/index.php?action=vallex&amp;frame=v-w6093f1", "skandalizovat (v-w6093f1)")</f>
        <v>skandalizovat (v-w6093f1)</v>
      </c>
    </row>
    <row r="43980" customFormat="false" ht="12.8" hidden="false" customHeight="false" outlineLevel="0" collapsed="false">
      <c r="B43980" s="0" t="s">
        <v>7</v>
      </c>
    </row>
    <row r="43981" customFormat="false" ht="12.8" hidden="false" customHeight="false" outlineLevel="0" collapsed="false">
      <c r="B43981" s="0" t="s">
        <v>14</v>
      </c>
    </row>
    <row r="43983" customFormat="false" ht="12.8" hidden="false" customHeight="false" outlineLevel="0" collapsed="false">
      <c r="A43983" s="0" t="s">
        <v>15674</v>
      </c>
      <c r="B43983" s="0" t="str">
        <f aca="false">HYPERLINK("https://lindat.mff.cuni.cz/services/teitok/pdtc10/index.php?action=vallex&amp;frame=v-w6095hsa_630", "skandovat (v-w6095hsa_630)")</f>
        <v>skandovat (v-w6095hsa_630)</v>
      </c>
    </row>
    <row r="43984" customFormat="false" ht="12.8" hidden="false" customHeight="false" outlineLevel="0" collapsed="false">
      <c r="B43984" s="0" t="s">
        <v>7</v>
      </c>
      <c r="C43984" s="0" t="s">
        <v>335</v>
      </c>
      <c r="D43984" s="0" t="s">
        <v>108</v>
      </c>
      <c r="E43984" s="0" t="s">
        <v>108</v>
      </c>
      <c r="F43984" s="0" t="s">
        <v>108</v>
      </c>
    </row>
    <row r="43985" customFormat="false" ht="12.8" hidden="false" customHeight="false" outlineLevel="0" collapsed="false">
      <c r="B43985" s="0" t="s">
        <v>373</v>
      </c>
      <c r="C43985" s="0" t="s">
        <v>567</v>
      </c>
      <c r="D43985" s="0" t="s">
        <v>1209</v>
      </c>
      <c r="E43985" s="0" t="s">
        <v>1209</v>
      </c>
      <c r="F43985" s="0" t="s">
        <v>1209</v>
      </c>
    </row>
    <row r="43987" customFormat="false" ht="12.8" hidden="false" customHeight="false" outlineLevel="0" collapsed="false">
      <c r="A43987" s="0" t="s">
        <v>15674</v>
      </c>
      <c r="B43987" s="0" t="str">
        <f aca="false">HYPERLINK("https://lindat.mff.cuni.cz/services/teitok/pdtc10/index.php?action=vallex&amp;frame=v-w6095f1", "skandovat (v-w6095f1) - substituted with v-w6095hsa_630")</f>
        <v>skandovat (v-w6095f1) - substituted with v-w6095hsa_630</v>
      </c>
    </row>
    <row r="43988" customFormat="false" ht="12.8" hidden="false" customHeight="false" outlineLevel="0" collapsed="false">
      <c r="B43988" s="0" t="s">
        <v>7</v>
      </c>
      <c r="C43988" s="0" t="s">
        <v>126</v>
      </c>
    </row>
    <row r="43989" customFormat="false" ht="12.8" hidden="false" customHeight="false" outlineLevel="0" collapsed="false">
      <c r="B43989" s="0" t="s">
        <v>373</v>
      </c>
      <c r="C43989" s="0" t="s">
        <v>24</v>
      </c>
    </row>
    <row r="43991" customFormat="false" ht="12.8" hidden="false" customHeight="false" outlineLevel="0" collapsed="false">
      <c r="A43991" s="0" t="s">
        <v>15675</v>
      </c>
      <c r="B43991" s="0" t="str">
        <f aca="false">HYPERLINK("https://lindat.mff.cuni.cz/services/teitok/pdtc10/index.php?action=vallex&amp;frame=v-w6098f1", "skartovat (v-w6098f1)")</f>
        <v>skartovat (v-w6098f1)</v>
      </c>
    </row>
    <row r="43992" customFormat="false" ht="12.8" hidden="false" customHeight="false" outlineLevel="0" collapsed="false">
      <c r="B43992" s="0" t="s">
        <v>7</v>
      </c>
      <c r="C43992" s="0" t="s">
        <v>191</v>
      </c>
      <c r="D43992" s="0" t="s">
        <v>1549</v>
      </c>
      <c r="E43992" s="0" t="s">
        <v>1550</v>
      </c>
      <c r="F43992" s="0" t="s">
        <v>1550</v>
      </c>
    </row>
    <row r="43993" customFormat="false" ht="12.8" hidden="false" customHeight="false" outlineLevel="0" collapsed="false">
      <c r="B43993" s="0" t="s">
        <v>14</v>
      </c>
      <c r="C43993" s="0" t="s">
        <v>155</v>
      </c>
      <c r="D43993" s="0" t="s">
        <v>1164</v>
      </c>
      <c r="E43993" s="0" t="s">
        <v>1551</v>
      </c>
      <c r="F43993" s="0" t="s">
        <v>1551</v>
      </c>
    </row>
    <row r="43995" customFormat="false" ht="12.8" hidden="false" customHeight="false" outlineLevel="0" collapsed="false">
      <c r="A43995" s="0" t="s">
        <v>15676</v>
      </c>
      <c r="B43995" s="0" t="str">
        <f aca="false">HYPERLINK("https://lindat.mff.cuni.cz/services/teitok/pdtc10/index.php?action=vallex&amp;frame=v-whsa_494hsa_495", "skautovat (v-whsa_494hsa_495)")</f>
        <v>skautovat (v-whsa_494hsa_495)</v>
      </c>
    </row>
    <row r="43996" customFormat="false" ht="12.8" hidden="false" customHeight="false" outlineLevel="0" collapsed="false">
      <c r="B43996" s="0" t="s">
        <v>7</v>
      </c>
    </row>
    <row r="43998" customFormat="false" ht="12.8" hidden="false" customHeight="false" outlineLevel="0" collapsed="false">
      <c r="A43998" s="0" t="s">
        <v>15677</v>
      </c>
      <c r="B43998" s="0" t="str">
        <f aca="false">HYPERLINK("https://lindat.mff.cuni.cz/services/teitok/pdtc10/index.php?action=vallex&amp;frame=v-w12245_ZUf1_ZU", "skejsnout (v-w12245_ZUf1_ZU)")</f>
        <v>skejsnout (v-w12245_ZUf1_ZU)</v>
      </c>
    </row>
    <row r="43999" customFormat="false" ht="12.8" hidden="false" customHeight="false" outlineLevel="0" collapsed="false">
      <c r="B43999" s="0" t="s">
        <v>7</v>
      </c>
    </row>
    <row r="44000" customFormat="false" ht="12.8" hidden="false" customHeight="false" outlineLevel="0" collapsed="false">
      <c r="B44000" s="0" t="s">
        <v>1059</v>
      </c>
    </row>
    <row r="44002" customFormat="false" ht="12.8" hidden="false" customHeight="false" outlineLevel="0" collapsed="false">
      <c r="A44002" s="0" t="s">
        <v>15678</v>
      </c>
      <c r="B44002" s="0" t="str">
        <f aca="false">HYPERLINK("https://lindat.mff.cuni.cz/services/teitok/pdtc10/index.php?action=vallex&amp;frame=v-w12084_ZUf1_ZU", "skenovat (v-w12084_ZUf1_ZU)")</f>
        <v>skenovat (v-w12084_ZUf1_ZU)</v>
      </c>
    </row>
    <row r="44003" customFormat="false" ht="12.8" hidden="false" customHeight="false" outlineLevel="0" collapsed="false">
      <c r="B44003" s="0" t="s">
        <v>7</v>
      </c>
    </row>
    <row r="44004" customFormat="false" ht="12.8" hidden="false" customHeight="false" outlineLevel="0" collapsed="false">
      <c r="B44004" s="0" t="s">
        <v>14</v>
      </c>
    </row>
    <row r="44006" customFormat="false" ht="12.8" hidden="false" customHeight="false" outlineLevel="0" collapsed="false">
      <c r="A44006" s="0" t="s">
        <v>15679</v>
      </c>
      <c r="B44006" s="0" t="str">
        <f aca="false">HYPERLINK("https://lindat.mff.cuni.cz/services/teitok/pdtc10/index.php?action=vallex&amp;frame=v-w6108f1", "skladovat (v-w6108f1)")</f>
        <v>skladovat (v-w6108f1)</v>
      </c>
    </row>
    <row r="44007" customFormat="false" ht="12.8" hidden="false" customHeight="false" outlineLevel="0" collapsed="false">
      <c r="B44007" s="0" t="s">
        <v>7</v>
      </c>
      <c r="C44007" s="0" t="s">
        <v>2101</v>
      </c>
      <c r="D44007" s="0" t="s">
        <v>2101</v>
      </c>
      <c r="E44007" s="0" t="s">
        <v>2101</v>
      </c>
      <c r="F44007" s="0" t="s">
        <v>2101</v>
      </c>
    </row>
    <row r="44008" customFormat="false" ht="12.8" hidden="false" customHeight="false" outlineLevel="0" collapsed="false">
      <c r="B44008" s="0" t="s">
        <v>14</v>
      </c>
      <c r="C44008" s="0" t="s">
        <v>624</v>
      </c>
      <c r="D44008" s="0" t="s">
        <v>624</v>
      </c>
      <c r="E44008" s="0" t="s">
        <v>624</v>
      </c>
      <c r="F44008" s="0" t="s">
        <v>624</v>
      </c>
    </row>
    <row r="44010" customFormat="false" ht="12.8" hidden="false" customHeight="false" outlineLevel="0" collapsed="false">
      <c r="A44010" s="0" t="s">
        <v>15680</v>
      </c>
      <c r="B44010" s="0" t="str">
        <f aca="false">HYPERLINK("https://lindat.mff.cuni.cz/services/teitok/pdtc10/index.php?action=vallex&amp;frame=v-w10791f2", "sklapnout (v-w10791f2)")</f>
        <v>sklapnout (v-w10791f2)</v>
      </c>
    </row>
    <row r="44011" customFormat="false" ht="12.8" hidden="false" customHeight="false" outlineLevel="0" collapsed="false">
      <c r="B44011" s="0" t="s">
        <v>603</v>
      </c>
    </row>
    <row r="44013" customFormat="false" ht="12.8" hidden="false" customHeight="false" outlineLevel="0" collapsed="false">
      <c r="A44013" s="0" t="s">
        <v>15681</v>
      </c>
      <c r="B44013" s="0" t="str">
        <f aca="false">HYPERLINK("https://lindat.mff.cuni.cz/services/teitok/pdtc10/index.php?action=vallex&amp;frame=v-w10791f3_MM", "sklapnout (v-w10791f3_MM)")</f>
        <v>sklapnout (v-w10791f3_MM)</v>
      </c>
    </row>
    <row r="44014" customFormat="false" ht="12.8" hidden="false" customHeight="false" outlineLevel="0" collapsed="false">
      <c r="B44014" s="0" t="s">
        <v>7</v>
      </c>
    </row>
    <row r="44015" customFormat="false" ht="12.8" hidden="false" customHeight="false" outlineLevel="0" collapsed="false">
      <c r="B44015" s="0" t="s">
        <v>14</v>
      </c>
    </row>
    <row r="44017" customFormat="false" ht="12.8" hidden="false" customHeight="false" outlineLevel="0" collapsed="false">
      <c r="A44017" s="0" t="s">
        <v>15682</v>
      </c>
      <c r="B44017" s="0" t="str">
        <f aca="false">HYPERLINK("https://lindat.mff.cuni.cz/services/teitok/pdtc10/index.php?action=vallex&amp;frame=v-w10791hsa_740", "sklapnout (v-w10791hsa_740)")</f>
        <v>sklapnout (v-w10791hsa_740)</v>
      </c>
    </row>
    <row r="44018" customFormat="false" ht="12.8" hidden="false" customHeight="false" outlineLevel="0" collapsed="false">
      <c r="B44018" s="0" t="s">
        <v>7</v>
      </c>
    </row>
    <row r="44020" customFormat="false" ht="12.8" hidden="false" customHeight="false" outlineLevel="0" collapsed="false">
      <c r="A44020" s="0" t="s">
        <v>15683</v>
      </c>
      <c r="B44020" s="0" t="str">
        <f aca="false">HYPERLINK("https://lindat.mff.cuni.cz/services/teitok/pdtc10/index.php?action=vallex&amp;frame=v-whsa_1915hsa_1916", "sklepnout (v-whsa_1915hsa_1916)")</f>
        <v>sklepnout (v-whsa_1915hsa_1916)</v>
      </c>
    </row>
    <row r="44021" customFormat="false" ht="12.8" hidden="false" customHeight="false" outlineLevel="0" collapsed="false">
      <c r="B44021" s="0" t="s">
        <v>7</v>
      </c>
    </row>
    <row r="44022" customFormat="false" ht="12.8" hidden="false" customHeight="false" outlineLevel="0" collapsed="false">
      <c r="B44022" s="0" t="s">
        <v>14</v>
      </c>
    </row>
    <row r="44024" customFormat="false" ht="12.8" hidden="false" customHeight="false" outlineLevel="0" collapsed="false">
      <c r="A44024" s="0" t="s">
        <v>15684</v>
      </c>
      <c r="B44024" s="0" t="str">
        <f aca="false">HYPERLINK("https://lindat.mff.cuni.cz/services/teitok/pdtc10/index.php?action=vallex&amp;frame=v-w6109f3_ZU", "sklidit (v-w6109f3_ZU)")</f>
        <v>sklidit (v-w6109f3_ZU)</v>
      </c>
    </row>
    <row r="44025" customFormat="false" ht="12.8" hidden="false" customHeight="false" outlineLevel="0" collapsed="false">
      <c r="B44025" s="0" t="s">
        <v>7</v>
      </c>
      <c r="C44025" s="0" t="s">
        <v>460</v>
      </c>
      <c r="D44025" s="0" t="s">
        <v>126</v>
      </c>
      <c r="E44025" s="0" t="s">
        <v>126</v>
      </c>
      <c r="F44025" s="0" t="s">
        <v>126</v>
      </c>
    </row>
    <row r="44026" customFormat="false" ht="12.8" hidden="false" customHeight="false" outlineLevel="0" collapsed="false">
      <c r="B44026" s="0" t="s">
        <v>14</v>
      </c>
      <c r="C44026" s="0" t="s">
        <v>78</v>
      </c>
      <c r="D44026" s="0" t="s">
        <v>1571</v>
      </c>
      <c r="E44026" s="0" t="s">
        <v>1571</v>
      </c>
      <c r="F44026" s="0" t="s">
        <v>1571</v>
      </c>
    </row>
    <row r="44027" customFormat="false" ht="12.8" hidden="false" customHeight="false" outlineLevel="0" collapsed="false">
      <c r="B44027" s="0" t="s">
        <v>441</v>
      </c>
      <c r="C44027" s="0" t="s">
        <v>1729</v>
      </c>
      <c r="D44027" s="0" t="s">
        <v>1729</v>
      </c>
      <c r="E44027" s="0" t="s">
        <v>1729</v>
      </c>
      <c r="F44027" s="0" t="s">
        <v>1729</v>
      </c>
    </row>
    <row r="44029" customFormat="false" ht="12.8" hidden="false" customHeight="false" outlineLevel="0" collapsed="false">
      <c r="A44029" s="0" t="s">
        <v>15685</v>
      </c>
      <c r="B44029" s="0" t="str">
        <f aca="false">HYPERLINK("https://lindat.mff.cuni.cz/services/teitok/pdtc10/index.php?action=vallex&amp;frame=v-w6109f1", "sklidit (v-w6109f1)")</f>
        <v>sklidit (v-w6109f1)</v>
      </c>
    </row>
    <row r="44030" customFormat="false" ht="12.8" hidden="false" customHeight="false" outlineLevel="0" collapsed="false">
      <c r="B44030" s="0" t="s">
        <v>7</v>
      </c>
      <c r="C44030" s="0" t="s">
        <v>2736</v>
      </c>
      <c r="D44030" s="0" t="s">
        <v>184</v>
      </c>
      <c r="E44030" s="0" t="s">
        <v>184</v>
      </c>
      <c r="F44030" s="0" t="s">
        <v>113</v>
      </c>
    </row>
    <row r="44031" customFormat="false" ht="12.8" hidden="false" customHeight="false" outlineLevel="0" collapsed="false">
      <c r="B44031" s="0" t="s">
        <v>14</v>
      </c>
      <c r="C44031" s="0" t="s">
        <v>11753</v>
      </c>
      <c r="D44031" s="0" t="s">
        <v>9462</v>
      </c>
      <c r="E44031" s="0" t="s">
        <v>9462</v>
      </c>
      <c r="F44031" s="0" t="s">
        <v>9463</v>
      </c>
    </row>
    <row r="44033" customFormat="false" ht="12.8" hidden="false" customHeight="false" outlineLevel="0" collapsed="false">
      <c r="A44033" s="0" t="s">
        <v>15686</v>
      </c>
      <c r="B44033" s="0" t="str">
        <f aca="false">HYPERLINK("https://lindat.mff.cuni.cz/services/teitok/pdtc10/index.php?action=vallex&amp;frame=v-w6109f2", "sklidit (v-w6109f2)")</f>
        <v>sklidit (v-w6109f2)</v>
      </c>
    </row>
    <row r="44034" customFormat="false" ht="12.8" hidden="false" customHeight="false" outlineLevel="0" collapsed="false">
      <c r="B44034" s="0" t="s">
        <v>7</v>
      </c>
    </row>
    <row r="44035" customFormat="false" ht="12.8" hidden="false" customHeight="false" outlineLevel="0" collapsed="false">
      <c r="B44035" s="0" t="s">
        <v>14</v>
      </c>
    </row>
    <row r="44037" customFormat="false" ht="12.8" hidden="false" customHeight="false" outlineLevel="0" collapsed="false">
      <c r="A44037" s="0" t="s">
        <v>15687</v>
      </c>
      <c r="B44037" s="0" t="str">
        <f aca="false">HYPERLINK("https://lindat.mff.cuni.cz/services/teitok/pdtc10/index.php?action=vallex&amp;frame=v-w6113f1", "sklonit (v-w6113f1)")</f>
        <v>sklonit (v-w6113f1)</v>
      </c>
    </row>
    <row r="44038" customFormat="false" ht="12.8" hidden="false" customHeight="false" outlineLevel="0" collapsed="false">
      <c r="B44038" s="0" t="s">
        <v>7</v>
      </c>
      <c r="F44038" s="0" t="s">
        <v>10057</v>
      </c>
    </row>
    <row r="44039" customFormat="false" ht="12.8" hidden="false" customHeight="false" outlineLevel="0" collapsed="false">
      <c r="B44039" s="0" t="s">
        <v>15688</v>
      </c>
    </row>
    <row r="44040" customFormat="false" ht="12.8" hidden="false" customHeight="false" outlineLevel="0" collapsed="false">
      <c r="B44040" s="0" t="s">
        <v>6120</v>
      </c>
      <c r="F44040" s="0" t="s">
        <v>8983</v>
      </c>
    </row>
    <row r="44042" customFormat="false" ht="12.8" hidden="false" customHeight="false" outlineLevel="0" collapsed="false">
      <c r="A44042" s="0" t="s">
        <v>15689</v>
      </c>
      <c r="B44042" s="0" t="str">
        <f aca="false">HYPERLINK("https://lindat.mff.cuni.cz/services/teitok/pdtc10/index.php?action=vallex&amp;frame=v-w6114f1", "sklonit se (v-w6114f1)")</f>
        <v>sklonit se (v-w6114f1)</v>
      </c>
    </row>
    <row r="44043" customFormat="false" ht="12.8" hidden="false" customHeight="false" outlineLevel="0" collapsed="false">
      <c r="B44043" s="0" t="s">
        <v>7</v>
      </c>
      <c r="F44043" s="0" t="s">
        <v>10057</v>
      </c>
    </row>
    <row r="44044" customFormat="false" ht="12.8" hidden="false" customHeight="false" outlineLevel="0" collapsed="false">
      <c r="B44044" s="0" t="s">
        <v>6120</v>
      </c>
      <c r="F44044" s="0" t="s">
        <v>8983</v>
      </c>
    </row>
    <row r="44046" customFormat="false" ht="12.8" hidden="false" customHeight="false" outlineLevel="0" collapsed="false">
      <c r="A44046" s="0" t="s">
        <v>15690</v>
      </c>
      <c r="B44046" s="0" t="str">
        <f aca="false">HYPERLINK("https://lindat.mff.cuni.cz/services/teitok/pdtc10/index.php?action=vallex&amp;frame=v-w6114f2", "sklonit se (v-w6114f2)")</f>
        <v>sklonit se (v-w6114f2)</v>
      </c>
    </row>
    <row r="44047" customFormat="false" ht="12.8" hidden="false" customHeight="false" outlineLevel="0" collapsed="false">
      <c r="B44047" s="0" t="s">
        <v>7</v>
      </c>
    </row>
    <row r="44049" customFormat="false" ht="12.8" hidden="false" customHeight="false" outlineLevel="0" collapsed="false">
      <c r="A44049" s="0" t="s">
        <v>15691</v>
      </c>
      <c r="B44049" s="0" t="str">
        <f aca="false">HYPERLINK("https://lindat.mff.cuni.cz/services/teitok/pdtc10/index.php?action=vallex&amp;frame=v-whsa_1344f1_ZU", "sklopit (v-whsa_1344f1_ZU)")</f>
        <v>sklopit (v-whsa_1344f1_ZU)</v>
      </c>
    </row>
    <row r="44050" customFormat="false" ht="12.8" hidden="false" customHeight="false" outlineLevel="0" collapsed="false">
      <c r="B44050" s="0" t="s">
        <v>7</v>
      </c>
    </row>
    <row r="44051" customFormat="false" ht="12.8" hidden="false" customHeight="false" outlineLevel="0" collapsed="false">
      <c r="B44051" s="0" t="s">
        <v>14</v>
      </c>
    </row>
    <row r="44053" customFormat="false" ht="12.8" hidden="false" customHeight="false" outlineLevel="0" collapsed="false">
      <c r="A44053" s="0" t="s">
        <v>15691</v>
      </c>
      <c r="B44053" s="0" t="str">
        <f aca="false">HYPERLINK("https://lindat.mff.cuni.cz/services/teitok/pdtc10/index.php?action=vallex&amp;frame=v-whsa_1344hsa_1345", "sklopit (v-whsa_1344hsa_1345) - substituted with v-whsa_1344f1_ZU")</f>
        <v>sklopit (v-whsa_1344hsa_1345) - substituted with v-whsa_1344f1_ZU</v>
      </c>
    </row>
    <row r="44054" customFormat="false" ht="12.8" hidden="false" customHeight="false" outlineLevel="0" collapsed="false">
      <c r="B44054" s="0" t="s">
        <v>7</v>
      </c>
    </row>
    <row r="44055" customFormat="false" ht="12.8" hidden="false" customHeight="false" outlineLevel="0" collapsed="false">
      <c r="B44055" s="0" t="s">
        <v>14</v>
      </c>
    </row>
    <row r="44057" customFormat="false" ht="12.8" hidden="false" customHeight="false" outlineLevel="0" collapsed="false">
      <c r="A44057" s="0" t="s">
        <v>15692</v>
      </c>
      <c r="B44057" s="0" t="str">
        <f aca="false">HYPERLINK("https://lindat.mff.cuni.cz/services/teitok/pdtc10/index.php?action=vallex&amp;frame=v-w6117f1", "skloubit (v-w6117f1)")</f>
        <v>skloubit (v-w6117f1)</v>
      </c>
    </row>
    <row r="44058" customFormat="false" ht="12.8" hidden="false" customHeight="false" outlineLevel="0" collapsed="false">
      <c r="B44058" s="0" t="s">
        <v>7</v>
      </c>
    </row>
    <row r="44059" customFormat="false" ht="12.8" hidden="false" customHeight="false" outlineLevel="0" collapsed="false">
      <c r="B44059" s="0" t="s">
        <v>14</v>
      </c>
    </row>
    <row r="44060" customFormat="false" ht="12.8" hidden="false" customHeight="false" outlineLevel="0" collapsed="false">
      <c r="B44060" s="0" t="s">
        <v>207</v>
      </c>
    </row>
    <row r="44061" customFormat="false" ht="12.8" hidden="false" customHeight="false" outlineLevel="0" collapsed="false">
      <c r="B44061" s="0" t="s">
        <v>2571</v>
      </c>
    </row>
    <row r="44063" customFormat="false" ht="12.8" hidden="false" customHeight="false" outlineLevel="0" collapsed="false">
      <c r="A44063" s="0" t="s">
        <v>15693</v>
      </c>
      <c r="B44063" s="0" t="str">
        <f aca="false">HYPERLINK("https://lindat.mff.cuni.cz/services/teitok/pdtc10/index.php?action=vallex&amp;frame=v-w6118f2", "sklouznout (v-w6118f2)")</f>
        <v>sklouznout (v-w6118f2)</v>
      </c>
    </row>
    <row r="44064" customFormat="false" ht="12.8" hidden="false" customHeight="false" outlineLevel="0" collapsed="false">
      <c r="B44064" s="0" t="s">
        <v>7</v>
      </c>
      <c r="C44064" s="0" t="s">
        <v>15694</v>
      </c>
      <c r="D44064" s="0" t="s">
        <v>9114</v>
      </c>
      <c r="E44064" s="0" t="s">
        <v>4615</v>
      </c>
      <c r="F44064" s="0" t="s">
        <v>4615</v>
      </c>
    </row>
    <row r="44065" customFormat="false" ht="12.8" hidden="false" customHeight="false" outlineLevel="0" collapsed="false">
      <c r="B44065" s="0" t="s">
        <v>63</v>
      </c>
      <c r="C44065" s="0" t="s">
        <v>15695</v>
      </c>
      <c r="D44065" s="0" t="s">
        <v>9116</v>
      </c>
      <c r="E44065" s="0" t="s">
        <v>4618</v>
      </c>
      <c r="F44065" s="0" t="s">
        <v>4618</v>
      </c>
    </row>
    <row r="44066" customFormat="false" ht="12.8" hidden="false" customHeight="false" outlineLevel="0" collapsed="false">
      <c r="B44066" s="0" t="s">
        <v>35</v>
      </c>
      <c r="C44066" s="0" t="s">
        <v>15696</v>
      </c>
      <c r="D44066" s="0" t="s">
        <v>9118</v>
      </c>
      <c r="E44066" s="0" t="s">
        <v>4621</v>
      </c>
      <c r="F44066" s="0" t="s">
        <v>4621</v>
      </c>
    </row>
    <row r="44068" customFormat="false" ht="12.8" hidden="false" customHeight="false" outlineLevel="0" collapsed="false">
      <c r="A44068" s="0" t="s">
        <v>15697</v>
      </c>
      <c r="B44068" s="0" t="str">
        <f aca="false">HYPERLINK("https://lindat.mff.cuni.cz/services/teitok/pdtc10/index.php?action=vallex&amp;frame=v-w6118f1", "sklouznout (v-w6118f1)")</f>
        <v>sklouznout (v-w6118f1)</v>
      </c>
    </row>
    <row r="44069" customFormat="false" ht="12.8" hidden="false" customHeight="false" outlineLevel="0" collapsed="false">
      <c r="B44069" s="0" t="s">
        <v>7</v>
      </c>
      <c r="C44069" s="0" t="s">
        <v>4476</v>
      </c>
      <c r="D44069" s="0" t="s">
        <v>272</v>
      </c>
      <c r="E44069" s="0" t="s">
        <v>272</v>
      </c>
      <c r="F44069" s="0" t="s">
        <v>272</v>
      </c>
    </row>
    <row r="44070" customFormat="false" ht="12.8" hidden="false" customHeight="false" outlineLevel="0" collapsed="false">
      <c r="B44070" s="0" t="s">
        <v>279</v>
      </c>
      <c r="C44070" s="0" t="s">
        <v>6364</v>
      </c>
      <c r="D44070" s="0" t="s">
        <v>1337</v>
      </c>
      <c r="E44070" s="0" t="s">
        <v>1337</v>
      </c>
      <c r="F44070" s="0" t="s">
        <v>1337</v>
      </c>
    </row>
    <row r="44072" customFormat="false" ht="12.8" hidden="false" customHeight="false" outlineLevel="0" collapsed="false">
      <c r="A44072" s="0" t="s">
        <v>15698</v>
      </c>
      <c r="B44072" s="0" t="str">
        <f aca="false">HYPERLINK("https://lindat.mff.cuni.cz/services/teitok/pdtc10/index.php?action=vallex&amp;frame=v-whsa_1066hsa_1067", "sklouznout se (v-whsa_1066hsa_1067)")</f>
        <v>sklouznout se (v-whsa_1066hsa_1067)</v>
      </c>
    </row>
    <row r="44073" customFormat="false" ht="12.8" hidden="false" customHeight="false" outlineLevel="0" collapsed="false">
      <c r="B44073" s="0" t="s">
        <v>7</v>
      </c>
      <c r="C44073" s="0" t="s">
        <v>247</v>
      </c>
      <c r="D44073" s="0" t="s">
        <v>247</v>
      </c>
      <c r="E44073" s="0" t="s">
        <v>247</v>
      </c>
      <c r="F44073" s="0" t="s">
        <v>247</v>
      </c>
    </row>
    <row r="44075" customFormat="false" ht="12.8" hidden="false" customHeight="false" outlineLevel="0" collapsed="false">
      <c r="A44075" s="0" t="s">
        <v>15699</v>
      </c>
      <c r="B44075" s="0" t="str">
        <f aca="false">HYPERLINK("https://lindat.mff.cuni.cz/services/teitok/pdtc10/index.php?action=vallex&amp;frame=v-w11024f3", "sklouzávat (v-w11024f3)")</f>
        <v>sklouzávat (v-w11024f3)</v>
      </c>
    </row>
    <row r="44076" customFormat="false" ht="12.8" hidden="false" customHeight="false" outlineLevel="0" collapsed="false">
      <c r="B44076" s="0" t="s">
        <v>7</v>
      </c>
      <c r="C44076" s="0" t="s">
        <v>867</v>
      </c>
      <c r="D44076" s="0" t="s">
        <v>272</v>
      </c>
      <c r="E44076" s="0" t="s">
        <v>15700</v>
      </c>
      <c r="F44076" s="0" t="s">
        <v>15700</v>
      </c>
    </row>
    <row r="44077" customFormat="false" ht="12.8" hidden="false" customHeight="false" outlineLevel="0" collapsed="false">
      <c r="B44077" s="0" t="s">
        <v>124</v>
      </c>
      <c r="C44077" s="0" t="s">
        <v>15701</v>
      </c>
      <c r="D44077" s="0" t="s">
        <v>1337</v>
      </c>
      <c r="E44077" s="0" t="s">
        <v>15702</v>
      </c>
      <c r="F44077" s="0" t="s">
        <v>15702</v>
      </c>
    </row>
    <row r="44079" customFormat="false" ht="12.8" hidden="false" customHeight="false" outlineLevel="0" collapsed="false">
      <c r="A44079" s="0" t="s">
        <v>15703</v>
      </c>
      <c r="B44079" s="0" t="str">
        <f aca="false">HYPERLINK("https://lindat.mff.cuni.cz/services/teitok/pdtc10/index.php?action=vallex&amp;frame=v-w6103f1", "skládat (v-w6103f1)")</f>
        <v>skládat (v-w6103f1)</v>
      </c>
    </row>
    <row r="44080" customFormat="false" ht="12.8" hidden="false" customHeight="false" outlineLevel="0" collapsed="false">
      <c r="B44080" s="0" t="s">
        <v>7</v>
      </c>
    </row>
    <row r="44081" customFormat="false" ht="12.8" hidden="false" customHeight="false" outlineLevel="0" collapsed="false">
      <c r="B44081" s="0" t="s">
        <v>14</v>
      </c>
    </row>
    <row r="44082" customFormat="false" ht="12.8" hidden="false" customHeight="false" outlineLevel="0" collapsed="false">
      <c r="B44082" s="0" t="s">
        <v>106</v>
      </c>
    </row>
    <row r="44084" customFormat="false" ht="12.8" hidden="false" customHeight="false" outlineLevel="0" collapsed="false">
      <c r="A44084" s="0" t="s">
        <v>15704</v>
      </c>
      <c r="B44084" s="0" t="str">
        <f aca="false">HYPERLINK("https://lindat.mff.cuni.cz/services/teitok/pdtc10/index.php?action=vallex&amp;frame=v-w6103f2", "skládat (v-w6103f2)")</f>
        <v>skládat (v-w6103f2)</v>
      </c>
    </row>
    <row r="44085" customFormat="false" ht="12.8" hidden="false" customHeight="false" outlineLevel="0" collapsed="false">
      <c r="B44085" s="0" t="s">
        <v>7</v>
      </c>
    </row>
    <row r="44086" customFormat="false" ht="12.8" hidden="false" customHeight="false" outlineLevel="0" collapsed="false">
      <c r="B44086" s="0" t="s">
        <v>14</v>
      </c>
    </row>
    <row r="44088" customFormat="false" ht="12.8" hidden="false" customHeight="false" outlineLevel="0" collapsed="false">
      <c r="A44088" s="0" t="s">
        <v>15705</v>
      </c>
      <c r="B44088" s="0" t="str">
        <f aca="false">HYPERLINK("https://lindat.mff.cuni.cz/services/teitok/pdtc10/index.php?action=vallex&amp;frame=v-w6103f3", "skládat (v-w6103f3)")</f>
        <v>skládat (v-w6103f3)</v>
      </c>
    </row>
    <row r="44089" customFormat="false" ht="12.8" hidden="false" customHeight="false" outlineLevel="0" collapsed="false">
      <c r="B44089" s="0" t="s">
        <v>7</v>
      </c>
    </row>
    <row r="44090" customFormat="false" ht="12.8" hidden="false" customHeight="false" outlineLevel="0" collapsed="false">
      <c r="B44090" s="0" t="s">
        <v>14</v>
      </c>
    </row>
    <row r="44092" customFormat="false" ht="12.8" hidden="false" customHeight="false" outlineLevel="0" collapsed="false">
      <c r="A44092" s="0" t="s">
        <v>15706</v>
      </c>
      <c r="B44092" s="0" t="str">
        <f aca="false">HYPERLINK("https://lindat.mff.cuni.cz/services/teitok/pdtc10/index.php?action=vallex&amp;frame=v-w6103f5_ZU", "skládat (v-w6103f5_ZU)")</f>
        <v>skládat (v-w6103f5_ZU)</v>
      </c>
    </row>
    <row r="44093" customFormat="false" ht="12.8" hidden="false" customHeight="false" outlineLevel="0" collapsed="false">
      <c r="B44093" s="0" t="s">
        <v>7</v>
      </c>
    </row>
    <row r="44094" customFormat="false" ht="12.8" hidden="false" customHeight="false" outlineLevel="0" collapsed="false">
      <c r="B44094" s="0" t="s">
        <v>14</v>
      </c>
    </row>
    <row r="44096" customFormat="false" ht="12.8" hidden="false" customHeight="false" outlineLevel="0" collapsed="false">
      <c r="A44096" s="0" t="s">
        <v>15707</v>
      </c>
      <c r="B44096" s="0" t="str">
        <f aca="false">HYPERLINK("https://lindat.mff.cuni.cz/services/teitok/pdtc10/index.php?action=vallex&amp;frame=v-w6103f4_ZU", "skládat (v-w6103f4_ZU)")</f>
        <v>skládat (v-w6103f4_ZU)</v>
      </c>
    </row>
    <row r="44097" customFormat="false" ht="12.8" hidden="false" customHeight="false" outlineLevel="0" collapsed="false">
      <c r="B44097" s="0" t="s">
        <v>7</v>
      </c>
    </row>
    <row r="44098" customFormat="false" ht="12.8" hidden="false" customHeight="false" outlineLevel="0" collapsed="false">
      <c r="B44098" s="0" t="s">
        <v>15708</v>
      </c>
    </row>
    <row r="44099" customFormat="false" ht="12.8" hidden="false" customHeight="false" outlineLevel="0" collapsed="false">
      <c r="B44099" s="0" t="s">
        <v>142</v>
      </c>
    </row>
    <row r="44101" customFormat="false" ht="12.8" hidden="false" customHeight="false" outlineLevel="0" collapsed="false">
      <c r="A44101" s="0" t="s">
        <v>15709</v>
      </c>
      <c r="B44101" s="0" t="str">
        <f aca="false">HYPERLINK("https://lindat.mff.cuni.cz/services/teitok/pdtc10/index.php?action=vallex&amp;frame=v-w6103f8_ZU", "skládat (v-w6103f8_ZU)")</f>
        <v>skládat (v-w6103f8_ZU)</v>
      </c>
    </row>
    <row r="44102" customFormat="false" ht="12.8" hidden="false" customHeight="false" outlineLevel="0" collapsed="false">
      <c r="B44102" s="0" t="s">
        <v>7</v>
      </c>
    </row>
    <row r="44103" customFormat="false" ht="12.8" hidden="false" customHeight="false" outlineLevel="0" collapsed="false">
      <c r="B44103" s="0" t="s">
        <v>14</v>
      </c>
    </row>
    <row r="44104" customFormat="false" ht="12.8" hidden="false" customHeight="false" outlineLevel="0" collapsed="false">
      <c r="B44104" s="0" t="s">
        <v>181</v>
      </c>
    </row>
    <row r="44106" customFormat="false" ht="12.8" hidden="false" customHeight="false" outlineLevel="0" collapsed="false">
      <c r="A44106" s="0" t="s">
        <v>15709</v>
      </c>
      <c r="B44106" s="0" t="str">
        <f aca="false">HYPERLINK("https://lindat.mff.cuni.cz/services/teitok/pdtc10/index.php?action=vallex&amp;frame=v-w6103f6_ZU", "skládat (v-w6103f6_ZU) - substituted with v-w6103f8_ZU")</f>
        <v>skládat (v-w6103f6_ZU) - substituted with v-w6103f8_ZU</v>
      </c>
    </row>
    <row r="44107" customFormat="false" ht="12.8" hidden="false" customHeight="false" outlineLevel="0" collapsed="false">
      <c r="B44107" s="0" t="s">
        <v>7</v>
      </c>
      <c r="C44107" s="0" t="s">
        <v>191</v>
      </c>
      <c r="D44107" s="0" t="s">
        <v>191</v>
      </c>
      <c r="E44107" s="0" t="s">
        <v>191</v>
      </c>
      <c r="F44107" s="0" t="s">
        <v>191</v>
      </c>
    </row>
    <row r="44108" customFormat="false" ht="12.8" hidden="false" customHeight="false" outlineLevel="0" collapsed="false">
      <c r="B44108" s="0" t="s">
        <v>14</v>
      </c>
      <c r="C44108" s="0" t="s">
        <v>155</v>
      </c>
      <c r="D44108" s="0" t="s">
        <v>155</v>
      </c>
      <c r="E44108" s="0" t="s">
        <v>155</v>
      </c>
      <c r="F44108" s="0" t="s">
        <v>155</v>
      </c>
    </row>
    <row r="44109" customFormat="false" ht="12.8" hidden="false" customHeight="false" outlineLevel="0" collapsed="false">
      <c r="B44109" s="0" t="s">
        <v>181</v>
      </c>
    </row>
    <row r="44111" customFormat="false" ht="12.8" hidden="false" customHeight="false" outlineLevel="0" collapsed="false">
      <c r="A44111" s="0" t="s">
        <v>15710</v>
      </c>
      <c r="B44111" s="0" t="str">
        <f aca="false">HYPERLINK("https://lindat.mff.cuni.cz/services/teitok/pdtc10/index.php?action=vallex&amp;frame=v-w6103f7_ZU", "skládat (v-w6103f7_ZU)")</f>
        <v>skládat (v-w6103f7_ZU)</v>
      </c>
    </row>
    <row r="44112" customFormat="false" ht="12.8" hidden="false" customHeight="false" outlineLevel="0" collapsed="false">
      <c r="B44112" s="0" t="s">
        <v>7</v>
      </c>
    </row>
    <row r="44113" customFormat="false" ht="12.8" hidden="false" customHeight="false" outlineLevel="0" collapsed="false">
      <c r="B44113" s="0" t="s">
        <v>14</v>
      </c>
    </row>
    <row r="44114" customFormat="false" ht="12.8" hidden="false" customHeight="false" outlineLevel="0" collapsed="false">
      <c r="B44114" s="0" t="s">
        <v>181</v>
      </c>
    </row>
    <row r="44116" customFormat="false" ht="12.8" hidden="false" customHeight="false" outlineLevel="0" collapsed="false">
      <c r="A44116" s="0" t="s">
        <v>15710</v>
      </c>
      <c r="B44116" s="0" t="str">
        <f aca="false">HYPERLINK("https://lindat.mff.cuni.cz/services/teitok/pdtc10/index.php?action=vallex&amp;frame=v-w6103hsa_1197", "skládat (v-w6103hsa_1197) - substituted with v-w6103f7_ZU")</f>
        <v>skládat (v-w6103hsa_1197) - substituted with v-w6103f7_ZU</v>
      </c>
    </row>
    <row r="44117" customFormat="false" ht="12.8" hidden="false" customHeight="false" outlineLevel="0" collapsed="false">
      <c r="B44117" s="0" t="s">
        <v>7</v>
      </c>
    </row>
    <row r="44118" customFormat="false" ht="12.8" hidden="false" customHeight="false" outlineLevel="0" collapsed="false">
      <c r="B44118" s="0" t="s">
        <v>14</v>
      </c>
    </row>
    <row r="44119" customFormat="false" ht="12.8" hidden="false" customHeight="false" outlineLevel="0" collapsed="false">
      <c r="B44119" s="0" t="s">
        <v>181</v>
      </c>
    </row>
    <row r="44121" customFormat="false" ht="12.8" hidden="false" customHeight="false" outlineLevel="0" collapsed="false">
      <c r="A44121" s="0" t="s">
        <v>15711</v>
      </c>
      <c r="B44121" s="0" t="str">
        <f aca="false">HYPERLINK("https://lindat.mff.cuni.cz/services/teitok/pdtc10/index.php?action=vallex&amp;frame=v-w6105f2", "skládat se (v-w6105f2)")</f>
        <v>skládat se (v-w6105f2)</v>
      </c>
    </row>
    <row r="44122" customFormat="false" ht="12.8" hidden="false" customHeight="false" outlineLevel="0" collapsed="false">
      <c r="B44122" s="0" t="s">
        <v>7</v>
      </c>
    </row>
    <row r="44123" customFormat="false" ht="12.8" hidden="false" customHeight="false" outlineLevel="0" collapsed="false">
      <c r="B44123" s="0" t="s">
        <v>2231</v>
      </c>
    </row>
    <row r="44125" customFormat="false" ht="12.8" hidden="false" customHeight="false" outlineLevel="0" collapsed="false">
      <c r="A44125" s="0" t="s">
        <v>15712</v>
      </c>
      <c r="B44125" s="0" t="str">
        <f aca="false">HYPERLINK("https://lindat.mff.cuni.cz/services/teitok/pdtc10/index.php?action=vallex&amp;frame=v-w6105f1", "skládat se (v-w6105f1)")</f>
        <v>skládat se (v-w6105f1)</v>
      </c>
    </row>
    <row r="44126" customFormat="false" ht="12.8" hidden="false" customHeight="false" outlineLevel="0" collapsed="false">
      <c r="B44126" s="0" t="s">
        <v>7</v>
      </c>
      <c r="C44126" s="0" t="s">
        <v>15713</v>
      </c>
      <c r="D44126" s="0" t="s">
        <v>7828</v>
      </c>
      <c r="E44126" s="0" t="s">
        <v>7828</v>
      </c>
      <c r="F44126" s="0" t="s">
        <v>7828</v>
      </c>
    </row>
    <row r="44127" customFormat="false" ht="12.8" hidden="false" customHeight="false" outlineLevel="0" collapsed="false">
      <c r="B44127" s="0" t="s">
        <v>227</v>
      </c>
      <c r="C44127" s="0" t="s">
        <v>15714</v>
      </c>
      <c r="D44127" s="0" t="s">
        <v>7830</v>
      </c>
      <c r="E44127" s="0" t="s">
        <v>7830</v>
      </c>
      <c r="F44127" s="0" t="s">
        <v>7830</v>
      </c>
    </row>
    <row r="44129" customFormat="false" ht="12.8" hidden="false" customHeight="false" outlineLevel="0" collapsed="false">
      <c r="A44129" s="0" t="s">
        <v>15715</v>
      </c>
      <c r="B44129" s="0" t="str">
        <f aca="false">HYPERLINK("https://lindat.mff.cuni.cz/services/teitok/pdtc10/index.php?action=vallex&amp;frame=v-w11354f1", "sklánět se (v-w11354f1)")</f>
        <v>sklánět se (v-w11354f1)</v>
      </c>
    </row>
    <row r="44130" customFormat="false" ht="12.8" hidden="false" customHeight="false" outlineLevel="0" collapsed="false">
      <c r="B44130" s="0" t="s">
        <v>7</v>
      </c>
      <c r="E44130" s="0" t="s">
        <v>4567</v>
      </c>
      <c r="F44130" s="0" t="s">
        <v>4568</v>
      </c>
    </row>
    <row r="44131" customFormat="false" ht="12.8" hidden="false" customHeight="false" outlineLevel="0" collapsed="false">
      <c r="B44131" s="0" t="s">
        <v>6120</v>
      </c>
      <c r="E44131" s="0" t="s">
        <v>4569</v>
      </c>
      <c r="F44131" s="0" t="s">
        <v>4570</v>
      </c>
    </row>
    <row r="44133" customFormat="false" ht="12.8" hidden="false" customHeight="false" outlineLevel="0" collapsed="false">
      <c r="A44133" s="0" t="s">
        <v>15716</v>
      </c>
      <c r="B44133" s="0" t="str">
        <f aca="false">HYPERLINK("https://lindat.mff.cuni.cz/services/teitok/pdtc10/index.php?action=vallex&amp;frame=v-w11354f2", "sklánět se (v-w11354f2)")</f>
        <v>sklánět se (v-w11354f2)</v>
      </c>
    </row>
    <row r="44134" customFormat="false" ht="12.8" hidden="false" customHeight="false" outlineLevel="0" collapsed="false">
      <c r="B44134" s="0" t="s">
        <v>7</v>
      </c>
      <c r="C44134" s="0" t="s">
        <v>176</v>
      </c>
    </row>
    <row r="44136" customFormat="false" ht="12.8" hidden="false" customHeight="false" outlineLevel="0" collapsed="false">
      <c r="A44136" s="0" t="s">
        <v>15717</v>
      </c>
      <c r="B44136" s="0" t="str">
        <f aca="false">HYPERLINK("https://lindat.mff.cuni.cz/services/teitok/pdtc10/index.php?action=vallex&amp;frame=v-whsa_1637hsa_1638", "sklápět (v-whsa_1637hsa_1638)")</f>
        <v>sklápět (v-whsa_1637hsa_1638)</v>
      </c>
    </row>
    <row r="44137" customFormat="false" ht="12.8" hidden="false" customHeight="false" outlineLevel="0" collapsed="false">
      <c r="B44137" s="0" t="s">
        <v>7</v>
      </c>
    </row>
    <row r="44138" customFormat="false" ht="12.8" hidden="false" customHeight="false" outlineLevel="0" collapsed="false">
      <c r="B44138" s="0" t="s">
        <v>14</v>
      </c>
    </row>
    <row r="44140" customFormat="false" ht="12.8" hidden="false" customHeight="false" outlineLevel="0" collapsed="false">
      <c r="A44140" s="0" t="s">
        <v>15718</v>
      </c>
      <c r="B44140" s="0" t="str">
        <f aca="false">HYPERLINK("https://lindat.mff.cuni.cz/services/teitok/pdtc10/index.php?action=vallex&amp;frame=v-w6111f1", "sklízet (v-w6111f1)")</f>
        <v>sklízet (v-w6111f1)</v>
      </c>
    </row>
    <row r="44141" customFormat="false" ht="12.8" hidden="false" customHeight="false" outlineLevel="0" collapsed="false">
      <c r="B44141" s="0" t="s">
        <v>7</v>
      </c>
      <c r="C44141" s="0" t="s">
        <v>460</v>
      </c>
      <c r="D44141" s="0" t="s">
        <v>184</v>
      </c>
      <c r="E44141" s="0" t="s">
        <v>184</v>
      </c>
      <c r="F44141" s="0" t="s">
        <v>184</v>
      </c>
    </row>
    <row r="44142" customFormat="false" ht="12.8" hidden="false" customHeight="false" outlineLevel="0" collapsed="false">
      <c r="B44142" s="0" t="s">
        <v>14</v>
      </c>
      <c r="C44142" s="0" t="s">
        <v>78</v>
      </c>
      <c r="D44142" s="0" t="s">
        <v>9462</v>
      </c>
      <c r="E44142" s="0" t="s">
        <v>9462</v>
      </c>
      <c r="F44142" s="0" t="s">
        <v>9462</v>
      </c>
    </row>
    <row r="44144" customFormat="false" ht="12.8" hidden="false" customHeight="false" outlineLevel="0" collapsed="false">
      <c r="A44144" s="0" t="s">
        <v>15719</v>
      </c>
      <c r="B44144" s="0" t="str">
        <f aca="false">HYPERLINK("https://lindat.mff.cuni.cz/services/teitok/pdtc10/index.php?action=vallex&amp;frame=v-w6111hsa_1341", "sklízet (v-w6111hsa_1341)")</f>
        <v>sklízet (v-w6111hsa_1341)</v>
      </c>
    </row>
    <row r="44145" customFormat="false" ht="12.8" hidden="false" customHeight="false" outlineLevel="0" collapsed="false">
      <c r="B44145" s="0" t="s">
        <v>7</v>
      </c>
    </row>
    <row r="44146" customFormat="false" ht="12.8" hidden="false" customHeight="false" outlineLevel="0" collapsed="false">
      <c r="B44146" s="0" t="s">
        <v>14</v>
      </c>
    </row>
    <row r="44148" customFormat="false" ht="12.8" hidden="false" customHeight="false" outlineLevel="0" collapsed="false">
      <c r="A44148" s="0" t="s">
        <v>15720</v>
      </c>
      <c r="B44148" s="0" t="str">
        <f aca="false">HYPERLINK("https://lindat.mff.cuni.cz/services/teitok/pdtc10/index.php?action=vallex&amp;frame=v-w12044_ZUf2_ZU", "skolit (v-w12044_ZUf2_ZU)")</f>
        <v>skolit (v-w12044_ZUf2_ZU)</v>
      </c>
    </row>
    <row r="44149" customFormat="false" ht="12.8" hidden="false" customHeight="false" outlineLevel="0" collapsed="false">
      <c r="B44149" s="0" t="s">
        <v>7</v>
      </c>
    </row>
    <row r="44150" customFormat="false" ht="12.8" hidden="false" customHeight="false" outlineLevel="0" collapsed="false">
      <c r="B44150" s="0" t="s">
        <v>14</v>
      </c>
    </row>
    <row r="44152" customFormat="false" ht="12.8" hidden="false" customHeight="false" outlineLevel="0" collapsed="false">
      <c r="A44152" s="0" t="s">
        <v>15720</v>
      </c>
      <c r="B44152" s="0" t="str">
        <f aca="false">HYPERLINK("https://lindat.mff.cuni.cz/services/teitok/pdtc10/index.php?action=vallex&amp;frame=v-w12044_ZUf1_ZU", "skolit (v-w12044_ZUf1_ZU) - substituted with v-w12044_ZUf2_ZU")</f>
        <v>skolit (v-w12044_ZUf1_ZU) - substituted with v-w12044_ZUf2_ZU</v>
      </c>
    </row>
    <row r="44153" customFormat="false" ht="12.8" hidden="false" customHeight="false" outlineLevel="0" collapsed="false">
      <c r="B44153" s="0" t="s">
        <v>7</v>
      </c>
    </row>
    <row r="44154" customFormat="false" ht="12.8" hidden="false" customHeight="false" outlineLevel="0" collapsed="false">
      <c r="B44154" s="0" t="s">
        <v>14</v>
      </c>
    </row>
    <row r="44156" customFormat="false" ht="12.8" hidden="false" customHeight="false" outlineLevel="0" collapsed="false">
      <c r="A44156" s="0" t="s">
        <v>15721</v>
      </c>
      <c r="B44156" s="0" t="str">
        <f aca="false">HYPERLINK("https://lindat.mff.cuni.cz/services/teitok/pdtc10/index.php?action=vallex&amp;frame=v-w6121f1", "skoncovat (v-w6121f1)")</f>
        <v>skoncovat (v-w6121f1)</v>
      </c>
    </row>
    <row r="44157" customFormat="false" ht="12.8" hidden="false" customHeight="false" outlineLevel="0" collapsed="false">
      <c r="B44157" s="0" t="s">
        <v>7</v>
      </c>
      <c r="C44157" s="0" t="s">
        <v>184</v>
      </c>
      <c r="E44157" s="0" t="s">
        <v>1944</v>
      </c>
      <c r="F44157" s="0" t="s">
        <v>1944</v>
      </c>
    </row>
    <row r="44158" customFormat="false" ht="12.8" hidden="false" customHeight="false" outlineLevel="0" collapsed="false">
      <c r="B44158" s="0" t="s">
        <v>548</v>
      </c>
      <c r="C44158" s="0" t="s">
        <v>1264</v>
      </c>
      <c r="E44158" s="0" t="s">
        <v>1947</v>
      </c>
      <c r="F44158" s="0" t="s">
        <v>1947</v>
      </c>
    </row>
    <row r="44160" customFormat="false" ht="12.8" hidden="false" customHeight="false" outlineLevel="0" collapsed="false">
      <c r="A44160" s="0" t="s">
        <v>15722</v>
      </c>
      <c r="B44160" s="0" t="str">
        <f aca="false">HYPERLINK("https://lindat.mff.cuni.cz/services/teitok/pdtc10/index.php?action=vallex&amp;frame=v-w6123f3", "skončit (v-w6123f3)")</f>
        <v>skončit (v-w6123f3)</v>
      </c>
    </row>
    <row r="44161" customFormat="false" ht="12.8" hidden="false" customHeight="false" outlineLevel="0" collapsed="false">
      <c r="B44161" s="0" t="s">
        <v>7</v>
      </c>
      <c r="C44161" s="0" t="s">
        <v>15723</v>
      </c>
      <c r="D44161" s="0" t="s">
        <v>1943</v>
      </c>
      <c r="E44161" s="0" t="s">
        <v>1944</v>
      </c>
      <c r="F44161" s="0" t="s">
        <v>1944</v>
      </c>
    </row>
    <row r="44162" customFormat="false" ht="12.8" hidden="false" customHeight="false" outlineLevel="0" collapsed="false">
      <c r="B44162" s="0" t="s">
        <v>11750</v>
      </c>
      <c r="C44162" s="0" t="s">
        <v>15724</v>
      </c>
      <c r="D44162" s="0" t="s">
        <v>1946</v>
      </c>
      <c r="E44162" s="0" t="s">
        <v>1947</v>
      </c>
      <c r="F44162" s="0" t="s">
        <v>1947</v>
      </c>
    </row>
    <row r="44164" customFormat="false" ht="12.8" hidden="false" customHeight="false" outlineLevel="0" collapsed="false">
      <c r="A44164" s="0" t="s">
        <v>15725</v>
      </c>
      <c r="B44164" s="0" t="str">
        <f aca="false">HYPERLINK("https://lindat.mff.cuni.cz/services/teitok/pdtc10/index.php?action=vallex&amp;frame=v-w6123f5", "skončit (v-w6123f5)")</f>
        <v>skončit (v-w6123f5)</v>
      </c>
    </row>
    <row r="44165" customFormat="false" ht="12.8" hidden="false" customHeight="false" outlineLevel="0" collapsed="false">
      <c r="B44165" s="0" t="s">
        <v>7</v>
      </c>
      <c r="C44165" s="0" t="s">
        <v>15726</v>
      </c>
      <c r="D44165" s="0" t="s">
        <v>1943</v>
      </c>
      <c r="E44165" s="0" t="s">
        <v>1944</v>
      </c>
      <c r="F44165" s="0" t="s">
        <v>1944</v>
      </c>
    </row>
    <row r="44166" customFormat="false" ht="12.8" hidden="false" customHeight="false" outlineLevel="0" collapsed="false">
      <c r="B44166" s="0" t="s">
        <v>548</v>
      </c>
      <c r="C44166" s="0" t="s">
        <v>15727</v>
      </c>
      <c r="D44166" s="0" t="s">
        <v>1946</v>
      </c>
      <c r="E44166" s="0" t="s">
        <v>1947</v>
      </c>
      <c r="F44166" s="0" t="s">
        <v>1947</v>
      </c>
    </row>
    <row r="44168" customFormat="false" ht="12.8" hidden="false" customHeight="false" outlineLevel="0" collapsed="false">
      <c r="A44168" s="0" t="s">
        <v>15728</v>
      </c>
      <c r="B44168" s="0" t="str">
        <f aca="false">HYPERLINK("https://lindat.mff.cuni.cz/services/teitok/pdtc10/index.php?action=vallex&amp;frame=v-w6123f11_ZU", "skončit (v-w6123f11_ZU)")</f>
        <v>skončit (v-w6123f11_ZU)</v>
      </c>
    </row>
    <row r="44169" customFormat="false" ht="12.8" hidden="false" customHeight="false" outlineLevel="0" collapsed="false">
      <c r="B44169" s="0" t="s">
        <v>7</v>
      </c>
      <c r="C44169" s="0" t="s">
        <v>4398</v>
      </c>
      <c r="D44169" s="0" t="s">
        <v>1902</v>
      </c>
      <c r="E44169" s="0" t="s">
        <v>1902</v>
      </c>
      <c r="F44169" s="0" t="s">
        <v>1902</v>
      </c>
    </row>
    <row r="44170" customFormat="false" ht="12.8" hidden="false" customHeight="false" outlineLevel="0" collapsed="false">
      <c r="B44170" s="0" t="s">
        <v>2804</v>
      </c>
      <c r="C44170" s="0" t="s">
        <v>15729</v>
      </c>
      <c r="D44170" s="0" t="s">
        <v>15730</v>
      </c>
      <c r="E44170" s="0" t="s">
        <v>15730</v>
      </c>
      <c r="F44170" s="0" t="s">
        <v>15730</v>
      </c>
    </row>
    <row r="44172" customFormat="false" ht="12.8" hidden="false" customHeight="false" outlineLevel="0" collapsed="false">
      <c r="A44172" s="0" t="s">
        <v>15731</v>
      </c>
      <c r="B44172" s="0" t="str">
        <f aca="false">HYPERLINK("https://lindat.mff.cuni.cz/services/teitok/pdtc10/index.php?action=vallex&amp;frame=v-w6123f13_ZU", "skončit (v-w6123f13_ZU)")</f>
        <v>skončit (v-w6123f13_ZU)</v>
      </c>
    </row>
    <row r="44173" customFormat="false" ht="12.8" hidden="false" customHeight="false" outlineLevel="0" collapsed="false">
      <c r="B44173" s="0" t="s">
        <v>7</v>
      </c>
      <c r="C44173" s="0" t="s">
        <v>15732</v>
      </c>
      <c r="D44173" s="0" t="s">
        <v>15733</v>
      </c>
      <c r="E44173" s="0" t="s">
        <v>15733</v>
      </c>
      <c r="F44173" s="0" t="s">
        <v>15733</v>
      </c>
    </row>
    <row r="44174" customFormat="false" ht="12.8" hidden="false" customHeight="false" outlineLevel="0" collapsed="false">
      <c r="B44174" s="0" t="s">
        <v>297</v>
      </c>
    </row>
    <row r="44175" customFormat="false" ht="12.8" hidden="false" customHeight="false" outlineLevel="0" collapsed="false">
      <c r="B44175" s="0" t="s">
        <v>11</v>
      </c>
      <c r="C44175" s="0" t="s">
        <v>15734</v>
      </c>
      <c r="D44175" s="0" t="s">
        <v>15735</v>
      </c>
      <c r="E44175" s="0" t="s">
        <v>15735</v>
      </c>
      <c r="F44175" s="0" t="s">
        <v>15735</v>
      </c>
    </row>
    <row r="44177" customFormat="false" ht="12.8" hidden="false" customHeight="false" outlineLevel="0" collapsed="false">
      <c r="A44177" s="0" t="s">
        <v>15731</v>
      </c>
      <c r="B44177" s="0" t="str">
        <f aca="false">HYPERLINK("https://lindat.mff.cuni.cz/services/teitok/pdtc10/index.php?action=vallex&amp;frame=v-w6123f10_ZU", "skončit (v-w6123f10_ZU) - substituted with v-w6123f13_ZU")</f>
        <v>skončit (v-w6123f10_ZU) - substituted with v-w6123f13_ZU</v>
      </c>
    </row>
    <row r="44178" customFormat="false" ht="12.8" hidden="false" customHeight="false" outlineLevel="0" collapsed="false">
      <c r="B44178" s="0" t="s">
        <v>7</v>
      </c>
      <c r="C44178" s="0" t="s">
        <v>15736</v>
      </c>
    </row>
    <row r="44179" customFormat="false" ht="12.8" hidden="false" customHeight="false" outlineLevel="0" collapsed="false">
      <c r="B44179" s="0" t="s">
        <v>297</v>
      </c>
    </row>
    <row r="44180" customFormat="false" ht="12.8" hidden="false" customHeight="false" outlineLevel="0" collapsed="false">
      <c r="B44180" s="0" t="s">
        <v>11</v>
      </c>
      <c r="C44180" s="0" t="s">
        <v>15737</v>
      </c>
    </row>
    <row r="44182" customFormat="false" ht="12.8" hidden="false" customHeight="false" outlineLevel="0" collapsed="false">
      <c r="A44182" s="0" t="s">
        <v>15731</v>
      </c>
      <c r="B44182" s="0" t="str">
        <f aca="false">HYPERLINK("https://lindat.mff.cuni.cz/services/teitok/pdtc10/index.php?action=vallex&amp;frame=v-w6123f2", "skončit (v-w6123f2) - substituted with v-w6123f13_ZU")</f>
        <v>skončit (v-w6123f2) - substituted with v-w6123f13_ZU</v>
      </c>
    </row>
    <row r="44183" customFormat="false" ht="12.8" hidden="false" customHeight="false" outlineLevel="0" collapsed="false">
      <c r="B44183" s="0" t="s">
        <v>7</v>
      </c>
      <c r="C44183" s="0" t="s">
        <v>15738</v>
      </c>
    </row>
    <row r="44184" customFormat="false" ht="12.8" hidden="false" customHeight="false" outlineLevel="0" collapsed="false">
      <c r="B44184" s="0" t="s">
        <v>297</v>
      </c>
    </row>
    <row r="44185" customFormat="false" ht="12.8" hidden="false" customHeight="false" outlineLevel="0" collapsed="false">
      <c r="B44185" s="0" t="s">
        <v>11</v>
      </c>
      <c r="C44185" s="0" t="s">
        <v>15739</v>
      </c>
    </row>
    <row r="44187" customFormat="false" ht="12.8" hidden="false" customHeight="false" outlineLevel="0" collapsed="false">
      <c r="A44187" s="0" t="s">
        <v>15731</v>
      </c>
      <c r="B44187" s="0" t="str">
        <f aca="false">HYPERLINK("https://lindat.mff.cuni.cz/services/teitok/pdtc10/index.php?action=vallex&amp;frame=v-w6123f9_ZU", "skončit (v-w6123f9_ZU) - substituted with v-w6123f13_ZU")</f>
        <v>skončit (v-w6123f9_ZU) - substituted with v-w6123f13_ZU</v>
      </c>
    </row>
    <row r="44188" customFormat="false" ht="12.8" hidden="false" customHeight="false" outlineLevel="0" collapsed="false">
      <c r="B44188" s="0" t="s">
        <v>7</v>
      </c>
    </row>
    <row r="44189" customFormat="false" ht="12.8" hidden="false" customHeight="false" outlineLevel="0" collapsed="false">
      <c r="B44189" s="0" t="s">
        <v>297</v>
      </c>
    </row>
    <row r="44190" customFormat="false" ht="12.8" hidden="false" customHeight="false" outlineLevel="0" collapsed="false">
      <c r="B44190" s="0" t="s">
        <v>11</v>
      </c>
    </row>
    <row r="44192" customFormat="false" ht="12.8" hidden="false" customHeight="false" outlineLevel="0" collapsed="false">
      <c r="A44192" s="0" t="s">
        <v>15740</v>
      </c>
      <c r="B44192" s="0" t="str">
        <f aca="false">HYPERLINK("https://lindat.mff.cuni.cz/services/teitok/pdtc10/index.php?action=vallex&amp;frame=v-w6123f1", "skončit (v-w6123f1)")</f>
        <v>skončit (v-w6123f1)</v>
      </c>
    </row>
    <row r="44193" customFormat="false" ht="12.8" hidden="false" customHeight="false" outlineLevel="0" collapsed="false">
      <c r="B44193" s="0" t="s">
        <v>7</v>
      </c>
      <c r="C44193" s="0" t="s">
        <v>15741</v>
      </c>
      <c r="D44193" s="0" t="s">
        <v>3676</v>
      </c>
      <c r="E44193" s="0" t="s">
        <v>3676</v>
      </c>
      <c r="F44193" s="0" t="s">
        <v>3676</v>
      </c>
    </row>
    <row r="44195" customFormat="false" ht="12.8" hidden="false" customHeight="false" outlineLevel="0" collapsed="false">
      <c r="A44195" s="0" t="s">
        <v>15742</v>
      </c>
      <c r="B44195" s="0" t="str">
        <f aca="false">HYPERLINK("https://lindat.mff.cuni.cz/services/teitok/pdtc10/index.php?action=vallex&amp;frame=v-w6123f14_ZU", "skončit (v-w6123f14_ZU)")</f>
        <v>skončit (v-w6123f14_ZU)</v>
      </c>
    </row>
    <row r="44196" customFormat="false" ht="12.8" hidden="false" customHeight="false" outlineLevel="0" collapsed="false">
      <c r="B44196" s="0" t="s">
        <v>7</v>
      </c>
    </row>
    <row r="44197" customFormat="false" ht="12.8" hidden="false" customHeight="false" outlineLevel="0" collapsed="false">
      <c r="B44197" s="0" t="s">
        <v>552</v>
      </c>
    </row>
    <row r="44198" customFormat="false" ht="12.8" hidden="false" customHeight="false" outlineLevel="0" collapsed="false">
      <c r="B44198" s="0" t="s">
        <v>474</v>
      </c>
    </row>
    <row r="44199" customFormat="false" ht="12.8" hidden="false" customHeight="false" outlineLevel="0" collapsed="false">
      <c r="B44199" s="0" t="s">
        <v>477</v>
      </c>
    </row>
    <row r="44200" customFormat="false" ht="12.8" hidden="false" customHeight="false" outlineLevel="0" collapsed="false">
      <c r="B44200" s="0" t="s">
        <v>479</v>
      </c>
    </row>
    <row r="44201" customFormat="false" ht="12.8" hidden="false" customHeight="false" outlineLevel="0" collapsed="false">
      <c r="B44201" s="0" t="s">
        <v>481</v>
      </c>
    </row>
    <row r="44203" customFormat="false" ht="12.8" hidden="false" customHeight="false" outlineLevel="0" collapsed="false">
      <c r="A44203" s="0" t="s">
        <v>15742</v>
      </c>
      <c r="B44203" s="0" t="str">
        <f aca="false">HYPERLINK("https://lindat.mff.cuni.cz/services/teitok/pdtc10/index.php?action=vallex&amp;frame=v-w6123f4", "skončit (v-w6123f4) - substituted with v-w6123f14_ZU")</f>
        <v>skončit (v-w6123f4) - substituted with v-w6123f14_ZU</v>
      </c>
    </row>
    <row r="44204" customFormat="false" ht="12.8" hidden="false" customHeight="false" outlineLevel="0" collapsed="false">
      <c r="B44204" s="0" t="s">
        <v>7</v>
      </c>
      <c r="C44204" s="0" t="s">
        <v>15743</v>
      </c>
      <c r="D44204" s="0" t="s">
        <v>2078</v>
      </c>
      <c r="E44204" s="0" t="s">
        <v>2078</v>
      </c>
      <c r="F44204" s="0" t="s">
        <v>2078</v>
      </c>
    </row>
    <row r="44205" customFormat="false" ht="12.8" hidden="false" customHeight="false" outlineLevel="0" collapsed="false">
      <c r="B44205" s="0" t="s">
        <v>552</v>
      </c>
      <c r="D44205" s="0" t="s">
        <v>2079</v>
      </c>
      <c r="E44205" s="0" t="s">
        <v>2079</v>
      </c>
      <c r="F44205" s="0" t="s">
        <v>2079</v>
      </c>
    </row>
    <row r="44206" customFormat="false" ht="12.8" hidden="false" customHeight="false" outlineLevel="0" collapsed="false">
      <c r="B44206" s="0" t="s">
        <v>474</v>
      </c>
      <c r="C44206" s="0" t="s">
        <v>15744</v>
      </c>
      <c r="D44206" s="0" t="s">
        <v>2081</v>
      </c>
      <c r="E44206" s="0" t="s">
        <v>2081</v>
      </c>
      <c r="F44206" s="0" t="s">
        <v>2081</v>
      </c>
    </row>
    <row r="44207" customFormat="false" ht="12.8" hidden="false" customHeight="false" outlineLevel="0" collapsed="false">
      <c r="B44207" s="0" t="s">
        <v>477</v>
      </c>
      <c r="C44207" s="0" t="s">
        <v>15745</v>
      </c>
      <c r="D44207" s="0" t="s">
        <v>15746</v>
      </c>
      <c r="E44207" s="0" t="s">
        <v>15746</v>
      </c>
      <c r="F44207" s="0" t="s">
        <v>15746</v>
      </c>
    </row>
    <row r="44208" customFormat="false" ht="12.8" hidden="false" customHeight="false" outlineLevel="0" collapsed="false">
      <c r="B44208" s="0" t="s">
        <v>479</v>
      </c>
      <c r="C44208" s="0" t="s">
        <v>15747</v>
      </c>
      <c r="D44208" s="0" t="s">
        <v>2083</v>
      </c>
      <c r="E44208" s="0" t="s">
        <v>2083</v>
      </c>
      <c r="F44208" s="0" t="s">
        <v>2083</v>
      </c>
    </row>
    <row r="44209" customFormat="false" ht="12.8" hidden="false" customHeight="false" outlineLevel="0" collapsed="false">
      <c r="B44209" s="0" t="s">
        <v>481</v>
      </c>
      <c r="D44209" s="0" t="s">
        <v>2084</v>
      </c>
      <c r="E44209" s="0" t="s">
        <v>2084</v>
      </c>
      <c r="F44209" s="0" t="s">
        <v>2084</v>
      </c>
    </row>
    <row r="44211" customFormat="false" ht="12.8" hidden="false" customHeight="false" outlineLevel="0" collapsed="false">
      <c r="A44211" s="0" t="s">
        <v>15748</v>
      </c>
      <c r="B44211" s="0" t="str">
        <f aca="false">HYPERLINK("https://lindat.mff.cuni.cz/services/teitok/pdtc10/index.php?action=vallex&amp;frame=v-w6123f6", "skončit (v-w6123f6)")</f>
        <v>skončit (v-w6123f6)</v>
      </c>
    </row>
    <row r="44212" customFormat="false" ht="12.8" hidden="false" customHeight="false" outlineLevel="0" collapsed="false">
      <c r="B44212" s="0" t="s">
        <v>7</v>
      </c>
      <c r="C44212" s="0" t="s">
        <v>277</v>
      </c>
    </row>
    <row r="44213" customFormat="false" ht="12.8" hidden="false" customHeight="false" outlineLevel="0" collapsed="false">
      <c r="B44213" s="0" t="s">
        <v>552</v>
      </c>
    </row>
    <row r="44214" customFormat="false" ht="12.8" hidden="false" customHeight="false" outlineLevel="0" collapsed="false">
      <c r="B44214" s="0" t="s">
        <v>474</v>
      </c>
      <c r="C44214" s="0" t="s">
        <v>15749</v>
      </c>
    </row>
    <row r="44215" customFormat="false" ht="12.8" hidden="false" customHeight="false" outlineLevel="0" collapsed="false">
      <c r="B44215" s="0" t="s">
        <v>477</v>
      </c>
      <c r="C44215" s="0" t="s">
        <v>15750</v>
      </c>
    </row>
    <row r="44216" customFormat="false" ht="12.8" hidden="false" customHeight="false" outlineLevel="0" collapsed="false">
      <c r="B44216" s="0" t="s">
        <v>479</v>
      </c>
      <c r="C44216" s="0" t="s">
        <v>15751</v>
      </c>
    </row>
    <row r="44217" customFormat="false" ht="12.8" hidden="false" customHeight="false" outlineLevel="0" collapsed="false">
      <c r="B44217" s="0" t="s">
        <v>481</v>
      </c>
    </row>
    <row r="44219" customFormat="false" ht="12.8" hidden="false" customHeight="false" outlineLevel="0" collapsed="false">
      <c r="A44219" s="0" t="s">
        <v>15752</v>
      </c>
      <c r="B44219" s="0" t="str">
        <f aca="false">HYPERLINK("https://lindat.mff.cuni.cz/services/teitok/pdtc10/index.php?action=vallex&amp;frame=v-w6123f12_ZU", "skončit (v-w6123f12_ZU)")</f>
        <v>skončit (v-w6123f12_ZU)</v>
      </c>
    </row>
    <row r="44220" customFormat="false" ht="12.8" hidden="false" customHeight="false" outlineLevel="0" collapsed="false">
      <c r="B44220" s="0" t="s">
        <v>7</v>
      </c>
      <c r="C44220" s="0" t="s">
        <v>15753</v>
      </c>
    </row>
    <row r="44221" customFormat="false" ht="12.8" hidden="false" customHeight="false" outlineLevel="0" collapsed="false">
      <c r="B44221" s="0" t="s">
        <v>15754</v>
      </c>
      <c r="C44221" s="0" t="s">
        <v>15755</v>
      </c>
    </row>
    <row r="44223" customFormat="false" ht="12.8" hidden="false" customHeight="false" outlineLevel="0" collapsed="false">
      <c r="A44223" s="0" t="s">
        <v>15752</v>
      </c>
      <c r="B44223" s="0" t="str">
        <f aca="false">HYPERLINK("https://lindat.mff.cuni.cz/services/teitok/pdtc10/index.php?action=vallex&amp;frame=v-w6123hsa_491", "skončit (v-w6123hsa_491) - substituted with v-w6123f12_ZU")</f>
        <v>skončit (v-w6123hsa_491) - substituted with v-w6123f12_ZU</v>
      </c>
    </row>
    <row r="44224" customFormat="false" ht="12.8" hidden="false" customHeight="false" outlineLevel="0" collapsed="false">
      <c r="B44224" s="0" t="s">
        <v>7</v>
      </c>
    </row>
    <row r="44225" customFormat="false" ht="12.8" hidden="false" customHeight="false" outlineLevel="0" collapsed="false">
      <c r="B44225" s="0" t="s">
        <v>15754</v>
      </c>
    </row>
    <row r="44227" customFormat="false" ht="12.8" hidden="false" customHeight="false" outlineLevel="0" collapsed="false">
      <c r="A44227" s="0" t="s">
        <v>15756</v>
      </c>
      <c r="B44227" s="0" t="str">
        <f aca="false">HYPERLINK("https://lindat.mff.cuni.cz/services/teitok/pdtc10/index.php?action=vallex&amp;frame=v-w6123f7_ZU", "skončit (v-w6123f7_ZU)")</f>
        <v>skončit (v-w6123f7_ZU)</v>
      </c>
    </row>
    <row r="44228" customFormat="false" ht="12.8" hidden="false" customHeight="false" outlineLevel="0" collapsed="false">
      <c r="B44228" s="0" t="s">
        <v>7</v>
      </c>
    </row>
    <row r="44229" customFormat="false" ht="12.8" hidden="false" customHeight="false" outlineLevel="0" collapsed="false">
      <c r="B44229" s="0" t="s">
        <v>2804</v>
      </c>
    </row>
    <row r="44231" customFormat="false" ht="12.8" hidden="false" customHeight="false" outlineLevel="0" collapsed="false">
      <c r="A44231" s="0" t="s">
        <v>15757</v>
      </c>
      <c r="B44231" s="0" t="str">
        <f aca="false">HYPERLINK("https://lindat.mff.cuni.cz/services/teitok/pdtc10/index.php?action=vallex&amp;frame=v-w6123f8_ZU", "skončit (v-w6123f8_ZU)")</f>
        <v>skončit (v-w6123f8_ZU)</v>
      </c>
    </row>
    <row r="44232" customFormat="false" ht="12.8" hidden="false" customHeight="false" outlineLevel="0" collapsed="false">
      <c r="B44232" s="0" t="s">
        <v>7</v>
      </c>
    </row>
    <row r="44233" customFormat="false" ht="12.8" hidden="false" customHeight="false" outlineLevel="0" collapsed="false">
      <c r="B44233" s="0" t="s">
        <v>14</v>
      </c>
    </row>
    <row r="44234" customFormat="false" ht="12.8" hidden="false" customHeight="false" outlineLevel="0" collapsed="false">
      <c r="B44234" s="0" t="s">
        <v>1059</v>
      </c>
    </row>
    <row r="44236" customFormat="false" ht="12.8" hidden="false" customHeight="false" outlineLevel="0" collapsed="false">
      <c r="A44236" s="0" t="s">
        <v>15758</v>
      </c>
      <c r="B44236" s="0" t="str">
        <f aca="false">HYPERLINK("https://lindat.mff.cuni.cz/services/teitok/pdtc10/index.php?action=vallex&amp;frame=v-w6124f1", "skončit se (v-w6124f1)")</f>
        <v>skončit se (v-w6124f1)</v>
      </c>
    </row>
    <row r="44237" customFormat="false" ht="12.8" hidden="false" customHeight="false" outlineLevel="0" collapsed="false">
      <c r="B44237" s="0" t="s">
        <v>7</v>
      </c>
    </row>
    <row r="44239" customFormat="false" ht="12.8" hidden="false" customHeight="false" outlineLevel="0" collapsed="false">
      <c r="A44239" s="0" t="s">
        <v>15759</v>
      </c>
      <c r="B44239" s="0" t="str">
        <f aca="false">HYPERLINK("https://lindat.mff.cuni.cz/services/teitok/pdtc10/index.php?action=vallex&amp;frame=v-w10182f2", "skotačit (v-w10182f2)")</f>
        <v>skotačit (v-w10182f2)</v>
      </c>
    </row>
    <row r="44240" customFormat="false" ht="12.8" hidden="false" customHeight="false" outlineLevel="0" collapsed="false">
      <c r="B44240" s="0" t="s">
        <v>7</v>
      </c>
      <c r="C44240" s="0" t="s">
        <v>335</v>
      </c>
      <c r="D44240" s="0" t="s">
        <v>335</v>
      </c>
      <c r="E44240" s="0" t="s">
        <v>335</v>
      </c>
      <c r="F44240" s="0" t="s">
        <v>335</v>
      </c>
    </row>
    <row r="44242" customFormat="false" ht="12.8" hidden="false" customHeight="false" outlineLevel="0" collapsed="false">
      <c r="A44242" s="0" t="s">
        <v>15760</v>
      </c>
      <c r="B44242" s="0" t="str">
        <f aca="false">HYPERLINK("https://lindat.mff.cuni.cz/services/teitok/pdtc10/index.php?action=vallex&amp;frame=v-w11737_ZUf1_ZU", "skoulet (v-w11737_ZUf1_ZU)")</f>
        <v>skoulet (v-w11737_ZUf1_ZU)</v>
      </c>
    </row>
    <row r="44243" customFormat="false" ht="12.8" hidden="false" customHeight="false" outlineLevel="0" collapsed="false">
      <c r="B44243" s="0" t="s">
        <v>7</v>
      </c>
    </row>
    <row r="44244" customFormat="false" ht="12.8" hidden="false" customHeight="false" outlineLevel="0" collapsed="false">
      <c r="B44244" s="0" t="s">
        <v>14</v>
      </c>
    </row>
    <row r="44245" customFormat="false" ht="12.8" hidden="false" customHeight="false" outlineLevel="0" collapsed="false">
      <c r="B44245" s="0" t="s">
        <v>35</v>
      </c>
    </row>
    <row r="44246" customFormat="false" ht="12.8" hidden="false" customHeight="false" outlineLevel="0" collapsed="false">
      <c r="B44246" s="0" t="s">
        <v>84</v>
      </c>
    </row>
    <row r="44248" customFormat="false" ht="12.8" hidden="false" customHeight="false" outlineLevel="0" collapsed="false">
      <c r="A44248" s="0" t="s">
        <v>15761</v>
      </c>
      <c r="B44248" s="0" t="str">
        <f aca="false">HYPERLINK("https://lindat.mff.cuni.cz/services/teitok/pdtc10/index.php?action=vallex&amp;frame=v-w10741f2", "skoupit (v-w10741f2)")</f>
        <v>skoupit (v-w10741f2)</v>
      </c>
    </row>
    <row r="44249" customFormat="false" ht="12.8" hidden="false" customHeight="false" outlineLevel="0" collapsed="false">
      <c r="B44249" s="0" t="s">
        <v>7</v>
      </c>
      <c r="C44249" s="0" t="s">
        <v>15762</v>
      </c>
      <c r="D44249" s="0" t="s">
        <v>4927</v>
      </c>
      <c r="E44249" s="0" t="s">
        <v>4927</v>
      </c>
      <c r="F44249" s="0" t="s">
        <v>4927</v>
      </c>
    </row>
    <row r="44250" customFormat="false" ht="12.8" hidden="false" customHeight="false" outlineLevel="0" collapsed="false">
      <c r="B44250" s="0" t="s">
        <v>14</v>
      </c>
      <c r="C44250" s="0" t="s">
        <v>15763</v>
      </c>
      <c r="D44250" s="0" t="s">
        <v>4929</v>
      </c>
      <c r="E44250" s="0" t="s">
        <v>4929</v>
      </c>
      <c r="F44250" s="0" t="s">
        <v>4929</v>
      </c>
    </row>
    <row r="44251" customFormat="false" ht="12.8" hidden="false" customHeight="false" outlineLevel="0" collapsed="false">
      <c r="B44251" s="0" t="s">
        <v>441</v>
      </c>
      <c r="C44251" s="0" t="s">
        <v>15764</v>
      </c>
      <c r="D44251" s="0" t="s">
        <v>4932</v>
      </c>
      <c r="E44251" s="0" t="s">
        <v>4932</v>
      </c>
      <c r="F44251" s="0" t="s">
        <v>4932</v>
      </c>
    </row>
    <row r="44253" customFormat="false" ht="12.8" hidden="false" customHeight="false" outlineLevel="0" collapsed="false">
      <c r="A44253" s="0" t="s">
        <v>15765</v>
      </c>
      <c r="B44253" s="0" t="str">
        <f aca="false">HYPERLINK("https://lindat.mff.cuni.cz/services/teitok/pdtc10/index.php?action=vallex&amp;frame=v-whsa_1417hsa_1418", "skousnout (v-whsa_1417hsa_1418)")</f>
        <v>skousnout (v-whsa_1417hsa_1418)</v>
      </c>
    </row>
    <row r="44254" customFormat="false" ht="12.8" hidden="false" customHeight="false" outlineLevel="0" collapsed="false">
      <c r="B44254" s="0" t="s">
        <v>7</v>
      </c>
    </row>
    <row r="44255" customFormat="false" ht="12.8" hidden="false" customHeight="false" outlineLevel="0" collapsed="false">
      <c r="B44255" s="0" t="s">
        <v>14</v>
      </c>
    </row>
    <row r="44257" customFormat="false" ht="12.8" hidden="false" customHeight="false" outlineLevel="0" collapsed="false">
      <c r="A44257" s="0" t="s">
        <v>15766</v>
      </c>
      <c r="B44257" s="0" t="str">
        <f aca="false">HYPERLINK("https://lindat.mff.cuni.cz/services/teitok/pdtc10/index.php?action=vallex&amp;frame=v-w6119f4_ZU", "skočit (v-w6119f4_ZU)")</f>
        <v>skočit (v-w6119f4_ZU)</v>
      </c>
    </row>
    <row r="44258" customFormat="false" ht="12.8" hidden="false" customHeight="false" outlineLevel="0" collapsed="false">
      <c r="B44258" s="0" t="s">
        <v>7</v>
      </c>
      <c r="C44258" s="0" t="s">
        <v>247</v>
      </c>
    </row>
    <row r="44259" customFormat="false" ht="12.8" hidden="false" customHeight="false" outlineLevel="0" collapsed="false">
      <c r="B44259" s="0" t="s">
        <v>41</v>
      </c>
      <c r="C44259" s="0" t="s">
        <v>1544</v>
      </c>
    </row>
    <row r="44261" customFormat="false" ht="12.8" hidden="false" customHeight="false" outlineLevel="0" collapsed="false">
      <c r="A44261" s="0" t="s">
        <v>15767</v>
      </c>
      <c r="B44261" s="0" t="str">
        <f aca="false">HYPERLINK("https://lindat.mff.cuni.cz/services/teitok/pdtc10/index.php?action=vallex&amp;frame=v-w6119f3_ZU", "skočit (v-w6119f3_ZU)")</f>
        <v>skočit (v-w6119f3_ZU)</v>
      </c>
    </row>
    <row r="44262" customFormat="false" ht="12.8" hidden="false" customHeight="false" outlineLevel="0" collapsed="false">
      <c r="B44262" s="0" t="s">
        <v>7</v>
      </c>
      <c r="C44262" s="0" t="s">
        <v>118</v>
      </c>
      <c r="D44262" s="0" t="s">
        <v>108</v>
      </c>
      <c r="E44262" s="0" t="s">
        <v>108</v>
      </c>
      <c r="F44262" s="0" t="s">
        <v>108</v>
      </c>
    </row>
    <row r="44263" customFormat="false" ht="12.8" hidden="false" customHeight="false" outlineLevel="0" collapsed="false">
      <c r="B44263" s="0" t="s">
        <v>1375</v>
      </c>
      <c r="C44263" s="0" t="s">
        <v>487</v>
      </c>
      <c r="D44263" s="0" t="s">
        <v>1209</v>
      </c>
      <c r="E44263" s="0" t="s">
        <v>1209</v>
      </c>
      <c r="F44263" s="0" t="s">
        <v>1209</v>
      </c>
    </row>
    <row r="44265" customFormat="false" ht="12.8" hidden="false" customHeight="false" outlineLevel="0" collapsed="false">
      <c r="A44265" s="0" t="s">
        <v>15768</v>
      </c>
      <c r="B44265" s="0" t="str">
        <f aca="false">HYPERLINK("https://lindat.mff.cuni.cz/services/teitok/pdtc10/index.php?action=vallex&amp;frame=v-w6119f1", "skočit (v-w6119f1)")</f>
        <v>skočit (v-w6119f1)</v>
      </c>
    </row>
    <row r="44266" customFormat="false" ht="12.8" hidden="false" customHeight="false" outlineLevel="0" collapsed="false">
      <c r="B44266" s="0" t="s">
        <v>7</v>
      </c>
      <c r="D44266" s="0" t="s">
        <v>184</v>
      </c>
      <c r="E44266" s="0" t="s">
        <v>184</v>
      </c>
      <c r="F44266" s="0" t="s">
        <v>184</v>
      </c>
    </row>
    <row r="44267" customFormat="false" ht="12.8" hidden="false" customHeight="false" outlineLevel="0" collapsed="false">
      <c r="B44267" s="0" t="s">
        <v>297</v>
      </c>
    </row>
    <row r="44269" customFormat="false" ht="12.8" hidden="false" customHeight="false" outlineLevel="0" collapsed="false">
      <c r="A44269" s="0" t="s">
        <v>15769</v>
      </c>
      <c r="B44269" s="0" t="str">
        <f aca="false">HYPERLINK("https://lindat.mff.cuni.cz/services/teitok/pdtc10/index.php?action=vallex&amp;frame=v-w6119f2", "skočit (v-w6119f2)")</f>
        <v>skočit (v-w6119f2)</v>
      </c>
    </row>
    <row r="44270" customFormat="false" ht="12.8" hidden="false" customHeight="false" outlineLevel="0" collapsed="false">
      <c r="B44270" s="0" t="s">
        <v>7</v>
      </c>
      <c r="C44270" s="0" t="s">
        <v>184</v>
      </c>
      <c r="D44270" s="0" t="s">
        <v>113</v>
      </c>
      <c r="E44270" s="0" t="s">
        <v>113</v>
      </c>
      <c r="F44270" s="0" t="s">
        <v>113</v>
      </c>
    </row>
    <row r="44271" customFormat="false" ht="12.8" hidden="false" customHeight="false" outlineLevel="0" collapsed="false">
      <c r="B44271" s="0" t="s">
        <v>124</v>
      </c>
      <c r="D44271" s="0" t="s">
        <v>2162</v>
      </c>
      <c r="E44271" s="0" t="s">
        <v>2162</v>
      </c>
      <c r="F44271" s="0" t="s">
        <v>2162</v>
      </c>
    </row>
    <row r="44273" customFormat="false" ht="12.8" hidden="false" customHeight="false" outlineLevel="0" collapsed="false">
      <c r="A44273" s="0" t="s">
        <v>15770</v>
      </c>
      <c r="B44273" s="0" t="str">
        <f aca="false">HYPERLINK("https://lindat.mff.cuni.cz/services/teitok/pdtc10/index.php?action=vallex&amp;frame=v-w6119hsa_113", "skočit (v-w6119hsa_113)")</f>
        <v>skočit (v-w6119hsa_113)</v>
      </c>
    </row>
    <row r="44274" customFormat="false" ht="12.8" hidden="false" customHeight="false" outlineLevel="0" collapsed="false">
      <c r="B44274" s="0" t="s">
        <v>7</v>
      </c>
      <c r="C44274" s="0" t="s">
        <v>15771</v>
      </c>
      <c r="D44274" s="0" t="s">
        <v>6244</v>
      </c>
      <c r="E44274" s="0" t="s">
        <v>6244</v>
      </c>
      <c r="F44274" s="0" t="s">
        <v>6244</v>
      </c>
    </row>
    <row r="44275" customFormat="false" ht="12.8" hidden="false" customHeight="false" outlineLevel="0" collapsed="false">
      <c r="B44275" s="0" t="s">
        <v>63</v>
      </c>
      <c r="C44275" s="0" t="s">
        <v>15772</v>
      </c>
      <c r="D44275" s="0" t="s">
        <v>4496</v>
      </c>
      <c r="E44275" s="0" t="s">
        <v>4496</v>
      </c>
      <c r="F44275" s="0" t="s">
        <v>4496</v>
      </c>
    </row>
    <row r="44276" customFormat="false" ht="12.8" hidden="false" customHeight="false" outlineLevel="0" collapsed="false">
      <c r="B44276" s="0" t="s">
        <v>35</v>
      </c>
      <c r="C44276" s="0" t="s">
        <v>10752</v>
      </c>
      <c r="D44276" s="0" t="s">
        <v>4497</v>
      </c>
      <c r="E44276" s="0" t="s">
        <v>4497</v>
      </c>
      <c r="F44276" s="0" t="s">
        <v>4497</v>
      </c>
    </row>
    <row r="44278" customFormat="false" ht="12.8" hidden="false" customHeight="false" outlineLevel="0" collapsed="false">
      <c r="A44278" s="0" t="s">
        <v>15773</v>
      </c>
      <c r="B44278" s="0" t="str">
        <f aca="false">HYPERLINK("https://lindat.mff.cuni.cz/services/teitok/pdtc10/index.php?action=vallex&amp;frame=v-w6119f5_ZU", "skočit (v-w6119f5_ZU)")</f>
        <v>skočit (v-w6119f5_ZU)</v>
      </c>
    </row>
    <row r="44279" customFormat="false" ht="12.8" hidden="false" customHeight="false" outlineLevel="0" collapsed="false">
      <c r="B44279" s="0" t="s">
        <v>7</v>
      </c>
    </row>
    <row r="44280" customFormat="false" ht="12.8" hidden="false" customHeight="false" outlineLevel="0" collapsed="false">
      <c r="B44280" s="0" t="s">
        <v>41</v>
      </c>
    </row>
    <row r="44282" customFormat="false" ht="12.8" hidden="false" customHeight="false" outlineLevel="0" collapsed="false">
      <c r="A44282" s="0" t="s">
        <v>15774</v>
      </c>
      <c r="B44282" s="0" t="str">
        <f aca="false">HYPERLINK("https://lindat.mff.cuni.cz/services/teitok/pdtc10/index.php?action=vallex&amp;frame=v-w6119f6_ZU", "skočit (v-w6119f6_ZU)")</f>
        <v>skočit (v-w6119f6_ZU)</v>
      </c>
    </row>
    <row r="44283" customFormat="false" ht="12.8" hidden="false" customHeight="false" outlineLevel="0" collapsed="false">
      <c r="B44283" s="0" t="s">
        <v>7</v>
      </c>
    </row>
    <row r="44284" customFormat="false" ht="12.8" hidden="false" customHeight="false" outlineLevel="0" collapsed="false">
      <c r="B44284" s="0" t="s">
        <v>338</v>
      </c>
    </row>
    <row r="44286" customFormat="false" ht="12.8" hidden="false" customHeight="false" outlineLevel="0" collapsed="false">
      <c r="A44286" s="0" t="s">
        <v>15775</v>
      </c>
      <c r="B44286" s="0" t="str">
        <f aca="false">HYPERLINK("https://lindat.mff.cuni.cz/services/teitok/pdtc10/index.php?action=vallex&amp;frame=v-w6126f1", "skrečovat (v-w6126f1)")</f>
        <v>skrečovat (v-w6126f1)</v>
      </c>
    </row>
    <row r="44287" customFormat="false" ht="12.8" hidden="false" customHeight="false" outlineLevel="0" collapsed="false">
      <c r="B44287" s="0" t="s">
        <v>7</v>
      </c>
    </row>
    <row r="44288" customFormat="false" ht="12.8" hidden="false" customHeight="false" outlineLevel="0" collapsed="false">
      <c r="B44288" s="0" t="s">
        <v>14</v>
      </c>
    </row>
    <row r="44290" customFormat="false" ht="12.8" hidden="false" customHeight="false" outlineLevel="0" collapsed="false">
      <c r="A44290" s="0" t="s">
        <v>15776</v>
      </c>
      <c r="B44290" s="0" t="str">
        <f aca="false">HYPERLINK("https://lindat.mff.cuni.cz/services/teitok/pdtc10/index.php?action=vallex&amp;frame=v-w6128f1", "skrýt (v-w6128f1)")</f>
        <v>skrýt (v-w6128f1)</v>
      </c>
    </row>
    <row r="44291" customFormat="false" ht="12.8" hidden="false" customHeight="false" outlineLevel="0" collapsed="false">
      <c r="B44291" s="0" t="s">
        <v>7</v>
      </c>
      <c r="C44291" s="0" t="s">
        <v>623</v>
      </c>
      <c r="D44291" s="0" t="s">
        <v>4999</v>
      </c>
      <c r="E44291" s="0" t="s">
        <v>4999</v>
      </c>
      <c r="F44291" s="0" t="s">
        <v>4999</v>
      </c>
    </row>
    <row r="44292" customFormat="false" ht="12.8" hidden="false" customHeight="false" outlineLevel="0" collapsed="false">
      <c r="B44292" s="0" t="s">
        <v>3742</v>
      </c>
      <c r="C44292" s="0" t="s">
        <v>15777</v>
      </c>
      <c r="D44292" s="0" t="s">
        <v>5000</v>
      </c>
      <c r="E44292" s="0" t="s">
        <v>5000</v>
      </c>
      <c r="F44292" s="0" t="s">
        <v>5000</v>
      </c>
    </row>
    <row r="44293" customFormat="false" ht="12.8" hidden="false" customHeight="false" outlineLevel="0" collapsed="false">
      <c r="B44293" s="0" t="s">
        <v>3743</v>
      </c>
      <c r="C44293" s="0" t="s">
        <v>5001</v>
      </c>
      <c r="D44293" s="0" t="s">
        <v>5001</v>
      </c>
      <c r="E44293" s="0" t="s">
        <v>5001</v>
      </c>
      <c r="F44293" s="0" t="s">
        <v>5001</v>
      </c>
    </row>
    <row r="44295" customFormat="false" ht="12.8" hidden="false" customHeight="false" outlineLevel="0" collapsed="false">
      <c r="A44295" s="0" t="s">
        <v>15778</v>
      </c>
      <c r="B44295" s="0" t="str">
        <f aca="false">HYPERLINK("https://lindat.mff.cuni.cz/services/teitok/pdtc10/index.php?action=vallex&amp;frame=v-w6128f2", "skrýt (v-w6128f2)")</f>
        <v>skrýt (v-w6128f2)</v>
      </c>
    </row>
    <row r="44296" customFormat="false" ht="12.8" hidden="false" customHeight="false" outlineLevel="0" collapsed="false">
      <c r="B44296" s="0" t="s">
        <v>7</v>
      </c>
    </row>
    <row r="44297" customFormat="false" ht="12.8" hidden="false" customHeight="false" outlineLevel="0" collapsed="false">
      <c r="B44297" s="0" t="s">
        <v>15294</v>
      </c>
    </row>
    <row r="44298" customFormat="false" ht="12.8" hidden="false" customHeight="false" outlineLevel="0" collapsed="false">
      <c r="B44298" s="0" t="s">
        <v>363</v>
      </c>
    </row>
    <row r="44299" customFormat="false" ht="12.8" hidden="false" customHeight="false" outlineLevel="0" collapsed="false">
      <c r="B44299" s="0" t="s">
        <v>3743</v>
      </c>
    </row>
    <row r="44301" customFormat="false" ht="12.8" hidden="false" customHeight="false" outlineLevel="0" collapsed="false">
      <c r="A44301" s="0" t="s">
        <v>15779</v>
      </c>
      <c r="B44301" s="0" t="str">
        <f aca="false">HYPERLINK("https://lindat.mff.cuni.cz/services/teitok/pdtc10/index.php?action=vallex&amp;frame=v-w6130f1", "skrývat (v-w6130f1)")</f>
        <v>skrývat (v-w6130f1)</v>
      </c>
    </row>
    <row r="44302" customFormat="false" ht="12.8" hidden="false" customHeight="false" outlineLevel="0" collapsed="false">
      <c r="B44302" s="0" t="s">
        <v>7</v>
      </c>
      <c r="C44302" s="0" t="s">
        <v>15780</v>
      </c>
      <c r="D44302" s="0" t="s">
        <v>4999</v>
      </c>
      <c r="E44302" s="0" t="s">
        <v>4999</v>
      </c>
      <c r="F44302" s="0" t="s">
        <v>4999</v>
      </c>
    </row>
    <row r="44303" customFormat="false" ht="12.8" hidden="false" customHeight="false" outlineLevel="0" collapsed="false">
      <c r="B44303" s="0" t="s">
        <v>3742</v>
      </c>
      <c r="C44303" s="0" t="s">
        <v>15781</v>
      </c>
      <c r="D44303" s="0" t="s">
        <v>5000</v>
      </c>
      <c r="E44303" s="0" t="s">
        <v>5000</v>
      </c>
      <c r="F44303" s="0" t="s">
        <v>5000</v>
      </c>
    </row>
    <row r="44304" customFormat="false" ht="12.8" hidden="false" customHeight="false" outlineLevel="0" collapsed="false">
      <c r="B44304" s="0" t="s">
        <v>3743</v>
      </c>
      <c r="C44304" s="0" t="s">
        <v>1843</v>
      </c>
      <c r="D44304" s="0" t="s">
        <v>5001</v>
      </c>
      <c r="E44304" s="0" t="s">
        <v>5001</v>
      </c>
      <c r="F44304" s="0" t="s">
        <v>5001</v>
      </c>
    </row>
    <row r="44306" customFormat="false" ht="12.8" hidden="false" customHeight="false" outlineLevel="0" collapsed="false">
      <c r="A44306" s="0" t="s">
        <v>15782</v>
      </c>
      <c r="B44306" s="0" t="str">
        <f aca="false">HYPERLINK("https://lindat.mff.cuni.cz/services/teitok/pdtc10/index.php?action=vallex&amp;frame=v-w6130f2", "skrývat (v-w6130f2)")</f>
        <v>skrývat (v-w6130f2)</v>
      </c>
    </row>
    <row r="44307" customFormat="false" ht="12.8" hidden="false" customHeight="false" outlineLevel="0" collapsed="false">
      <c r="B44307" s="0" t="s">
        <v>7</v>
      </c>
    </row>
    <row r="44308" customFormat="false" ht="12.8" hidden="false" customHeight="false" outlineLevel="0" collapsed="false">
      <c r="B44308" s="0" t="s">
        <v>15294</v>
      </c>
    </row>
    <row r="44309" customFormat="false" ht="12.8" hidden="false" customHeight="false" outlineLevel="0" collapsed="false">
      <c r="B44309" s="0" t="s">
        <v>363</v>
      </c>
    </row>
    <row r="44310" customFormat="false" ht="12.8" hidden="false" customHeight="false" outlineLevel="0" collapsed="false">
      <c r="B44310" s="0" t="s">
        <v>3743</v>
      </c>
    </row>
    <row r="44312" customFormat="false" ht="12.8" hidden="false" customHeight="false" outlineLevel="0" collapsed="false">
      <c r="A44312" s="0" t="s">
        <v>15783</v>
      </c>
      <c r="B44312" s="0" t="str">
        <f aca="false">HYPERLINK("https://lindat.mff.cuni.cz/services/teitok/pdtc10/index.php?action=vallex&amp;frame=v-w6130f3_ZU", "skrývat (v-w6130f3_ZU)")</f>
        <v>skrývat (v-w6130f3_ZU)</v>
      </c>
    </row>
    <row r="44313" customFormat="false" ht="12.8" hidden="false" customHeight="false" outlineLevel="0" collapsed="false">
      <c r="B44313" s="0" t="s">
        <v>7</v>
      </c>
    </row>
    <row r="44314" customFormat="false" ht="12.8" hidden="false" customHeight="false" outlineLevel="0" collapsed="false">
      <c r="B44314" s="0" t="s">
        <v>14</v>
      </c>
    </row>
    <row r="44316" customFormat="false" ht="12.8" hidden="false" customHeight="false" outlineLevel="0" collapsed="false">
      <c r="A44316" s="0" t="s">
        <v>15784</v>
      </c>
      <c r="B44316" s="0" t="str">
        <f aca="false">HYPERLINK("https://lindat.mff.cuni.cz/services/teitok/pdtc10/index.php?action=vallex&amp;frame=v-w6131f1", "skrývat se (v-w6131f1)")</f>
        <v>skrývat se (v-w6131f1)</v>
      </c>
    </row>
    <row r="44317" customFormat="false" ht="12.8" hidden="false" customHeight="false" outlineLevel="0" collapsed="false">
      <c r="B44317" s="0" t="s">
        <v>7</v>
      </c>
      <c r="C44317" s="0" t="s">
        <v>15785</v>
      </c>
      <c r="D44317" s="0" t="s">
        <v>396</v>
      </c>
      <c r="E44317" s="0" t="s">
        <v>396</v>
      </c>
      <c r="F44317" s="0" t="s">
        <v>396</v>
      </c>
    </row>
    <row r="44318" customFormat="false" ht="12.8" hidden="false" customHeight="false" outlineLevel="0" collapsed="false">
      <c r="B44318" s="0" t="s">
        <v>11</v>
      </c>
      <c r="C44318" s="0" t="s">
        <v>15786</v>
      </c>
    </row>
    <row r="44320" customFormat="false" ht="12.8" hidden="false" customHeight="false" outlineLevel="0" collapsed="false">
      <c r="A44320" s="0" t="s">
        <v>15787</v>
      </c>
      <c r="B44320" s="0" t="str">
        <f aca="false">HYPERLINK("https://lindat.mff.cuni.cz/services/teitok/pdtc10/index.php?action=vallex&amp;frame=v-w11910_ZUf1_ZU", "skrčit (v-w11910_ZUf1_ZU)")</f>
        <v>skrčit (v-w11910_ZUf1_ZU)</v>
      </c>
    </row>
    <row r="44321" customFormat="false" ht="12.8" hidden="false" customHeight="false" outlineLevel="0" collapsed="false">
      <c r="B44321" s="0" t="s">
        <v>7</v>
      </c>
    </row>
    <row r="44322" customFormat="false" ht="12.8" hidden="false" customHeight="false" outlineLevel="0" collapsed="false">
      <c r="B44322" s="0" t="s">
        <v>14</v>
      </c>
    </row>
    <row r="44324" customFormat="false" ht="12.8" hidden="false" customHeight="false" outlineLevel="0" collapsed="false">
      <c r="A44324" s="0" t="s">
        <v>15788</v>
      </c>
      <c r="B44324" s="0" t="str">
        <f aca="false">HYPERLINK("https://lindat.mff.cuni.cz/services/teitok/pdtc10/index.php?action=vallex&amp;frame=v-w12054_ZUf1_ZU", "skrčit se (v-w12054_ZUf1_ZU)")</f>
        <v>skrčit se (v-w12054_ZUf1_ZU)</v>
      </c>
    </row>
    <row r="44325" customFormat="false" ht="12.8" hidden="false" customHeight="false" outlineLevel="0" collapsed="false">
      <c r="B44325" s="0" t="s">
        <v>7</v>
      </c>
    </row>
    <row r="44327" customFormat="false" ht="12.8" hidden="false" customHeight="false" outlineLevel="0" collapsed="false">
      <c r="A44327" s="0" t="s">
        <v>15789</v>
      </c>
      <c r="B44327" s="0" t="str">
        <f aca="false">HYPERLINK("https://lindat.mff.cuni.cz/services/teitok/pdtc10/index.php?action=vallex&amp;frame=v-w6135f1", "skupovat (v-w6135f1)")</f>
        <v>skupovat (v-w6135f1)</v>
      </c>
    </row>
    <row r="44328" customFormat="false" ht="12.8" hidden="false" customHeight="false" outlineLevel="0" collapsed="false">
      <c r="B44328" s="0" t="s">
        <v>7</v>
      </c>
      <c r="C44328" s="0" t="s">
        <v>15790</v>
      </c>
      <c r="D44328" s="0" t="s">
        <v>4927</v>
      </c>
      <c r="E44328" s="0" t="s">
        <v>4927</v>
      </c>
      <c r="F44328" s="0" t="s">
        <v>4927</v>
      </c>
    </row>
    <row r="44329" customFormat="false" ht="12.8" hidden="false" customHeight="false" outlineLevel="0" collapsed="false">
      <c r="B44329" s="0" t="s">
        <v>14</v>
      </c>
      <c r="C44329" s="0" t="s">
        <v>13801</v>
      </c>
      <c r="D44329" s="0" t="s">
        <v>4929</v>
      </c>
      <c r="E44329" s="0" t="s">
        <v>4929</v>
      </c>
      <c r="F44329" s="0" t="s">
        <v>4929</v>
      </c>
    </row>
    <row r="44330" customFormat="false" ht="12.8" hidden="false" customHeight="false" outlineLevel="0" collapsed="false">
      <c r="B44330" s="0" t="s">
        <v>441</v>
      </c>
      <c r="C44330" s="0" t="s">
        <v>13802</v>
      </c>
      <c r="D44330" s="0" t="s">
        <v>4932</v>
      </c>
      <c r="E44330" s="0" t="s">
        <v>4932</v>
      </c>
      <c r="F44330" s="0" t="s">
        <v>4932</v>
      </c>
    </row>
    <row r="44332" customFormat="false" ht="12.8" hidden="false" customHeight="false" outlineLevel="0" collapsed="false">
      <c r="A44332" s="0" t="s">
        <v>15791</v>
      </c>
      <c r="B44332" s="0" t="str">
        <f aca="false">HYPERLINK("https://lindat.mff.cuni.cz/services/teitok/pdtc10/index.php?action=vallex&amp;frame=v-w6137f1", "skvět se (v-w6137f1)")</f>
        <v>skvět se (v-w6137f1)</v>
      </c>
    </row>
    <row r="44333" customFormat="false" ht="12.8" hidden="false" customHeight="false" outlineLevel="0" collapsed="false">
      <c r="B44333" s="0" t="s">
        <v>7</v>
      </c>
    </row>
    <row r="44335" customFormat="false" ht="12.8" hidden="false" customHeight="false" outlineLevel="0" collapsed="false">
      <c r="A44335" s="0" t="s">
        <v>15792</v>
      </c>
      <c r="B44335" s="0" t="str">
        <f aca="false">HYPERLINK("https://lindat.mff.cuni.cz/services/teitok/pdtc10/index.php?action=vallex&amp;frame=v-w11283f1", "skácet se (v-w11283f1)")</f>
        <v>skácet se (v-w11283f1)</v>
      </c>
    </row>
    <row r="44336" customFormat="false" ht="12.8" hidden="false" customHeight="false" outlineLevel="0" collapsed="false">
      <c r="B44336" s="0" t="s">
        <v>7</v>
      </c>
      <c r="F44336" s="0" t="s">
        <v>8860</v>
      </c>
    </row>
    <row r="44338" customFormat="false" ht="12.8" hidden="false" customHeight="false" outlineLevel="0" collapsed="false">
      <c r="A44338" s="0" t="s">
        <v>15793</v>
      </c>
      <c r="B44338" s="0" t="str">
        <f aca="false">HYPERLINK("https://lindat.mff.cuni.cz/services/teitok/pdtc10/index.php?action=vallex&amp;frame=v-w11283f2_ZU", "skácet se (v-w11283f2_ZU)")</f>
        <v>skácet se (v-w11283f2_ZU)</v>
      </c>
    </row>
    <row r="44339" customFormat="false" ht="12.8" hidden="false" customHeight="false" outlineLevel="0" collapsed="false">
      <c r="B44339" s="0" t="s">
        <v>7</v>
      </c>
    </row>
    <row r="44341" customFormat="false" ht="12.8" hidden="false" customHeight="false" outlineLevel="0" collapsed="false">
      <c r="A44341" s="0" t="s">
        <v>15794</v>
      </c>
      <c r="B44341" s="0" t="str">
        <f aca="false">HYPERLINK("https://lindat.mff.cuni.cz/services/teitok/pdtc10/index.php?action=vallex&amp;frame=v-w6092f1", "skákat (v-w6092f1)")</f>
        <v>skákat (v-w6092f1)</v>
      </c>
    </row>
    <row r="44342" customFormat="false" ht="12.8" hidden="false" customHeight="false" outlineLevel="0" collapsed="false">
      <c r="B44342" s="0" t="s">
        <v>7</v>
      </c>
      <c r="C44342" s="0" t="s">
        <v>184</v>
      </c>
      <c r="D44342" s="0" t="s">
        <v>184</v>
      </c>
      <c r="E44342" s="0" t="s">
        <v>184</v>
      </c>
      <c r="F44342" s="0" t="s">
        <v>184</v>
      </c>
    </row>
    <row r="44343" customFormat="false" ht="12.8" hidden="false" customHeight="false" outlineLevel="0" collapsed="false">
      <c r="B44343" s="0" t="s">
        <v>297</v>
      </c>
    </row>
    <row r="44345" customFormat="false" ht="12.8" hidden="false" customHeight="false" outlineLevel="0" collapsed="false">
      <c r="A44345" s="0" t="s">
        <v>15795</v>
      </c>
      <c r="B44345" s="0" t="str">
        <f aca="false">HYPERLINK("https://lindat.mff.cuni.cz/services/teitok/pdtc10/index.php?action=vallex&amp;frame=v-w6092f2_ZU", "skákat (v-w6092f2_ZU)")</f>
        <v>skákat (v-w6092f2_ZU)</v>
      </c>
    </row>
    <row r="44346" customFormat="false" ht="12.8" hidden="false" customHeight="false" outlineLevel="0" collapsed="false">
      <c r="B44346" s="0" t="s">
        <v>7</v>
      </c>
    </row>
    <row r="44347" customFormat="false" ht="12.8" hidden="false" customHeight="false" outlineLevel="0" collapsed="false">
      <c r="B44347" s="0" t="s">
        <v>3193</v>
      </c>
    </row>
    <row r="44348" customFormat="false" ht="12.8" hidden="false" customHeight="false" outlineLevel="0" collapsed="false">
      <c r="B44348" s="0" t="s">
        <v>142</v>
      </c>
    </row>
    <row r="44350" customFormat="false" ht="12.8" hidden="false" customHeight="false" outlineLevel="0" collapsed="false">
      <c r="A44350" s="0" t="s">
        <v>15796</v>
      </c>
      <c r="B44350" s="0" t="str">
        <f aca="false">HYPERLINK("https://lindat.mff.cuni.cz/services/teitok/pdtc10/index.php?action=vallex&amp;frame=v-w6092hsa_806", "skákat (v-w6092hsa_806)")</f>
        <v>skákat (v-w6092hsa_806)</v>
      </c>
    </row>
    <row r="44351" customFormat="false" ht="12.8" hidden="false" customHeight="false" outlineLevel="0" collapsed="false">
      <c r="B44351" s="0" t="s">
        <v>7</v>
      </c>
      <c r="C44351" s="0" t="s">
        <v>191</v>
      </c>
    </row>
    <row r="44352" customFormat="false" ht="12.8" hidden="false" customHeight="false" outlineLevel="0" collapsed="false">
      <c r="B44352" s="0" t="s">
        <v>41</v>
      </c>
    </row>
    <row r="44354" customFormat="false" ht="12.8" hidden="false" customHeight="false" outlineLevel="0" collapsed="false">
      <c r="A44354" s="0" t="s">
        <v>15797</v>
      </c>
      <c r="B44354" s="0" t="str">
        <f aca="false">HYPERLINK("https://lindat.mff.cuni.cz/services/teitok/pdtc10/index.php?action=vallex&amp;frame=v-w6092f3_ZU", "skákat (v-w6092f3_ZU)")</f>
        <v>skákat (v-w6092f3_ZU)</v>
      </c>
    </row>
    <row r="44355" customFormat="false" ht="12.8" hidden="false" customHeight="false" outlineLevel="0" collapsed="false">
      <c r="B44355" s="0" t="s">
        <v>7</v>
      </c>
    </row>
    <row r="44356" customFormat="false" ht="12.8" hidden="false" customHeight="false" outlineLevel="0" collapsed="false">
      <c r="B44356" s="0" t="s">
        <v>338</v>
      </c>
    </row>
    <row r="44358" customFormat="false" ht="12.8" hidden="false" customHeight="false" outlineLevel="0" collapsed="false">
      <c r="A44358" s="0" t="s">
        <v>15798</v>
      </c>
      <c r="B44358" s="0" t="str">
        <f aca="false">HYPERLINK("https://lindat.mff.cuni.cz/services/teitok/pdtc10/index.php?action=vallex&amp;frame=v-w6125hsa_545", "skórovat (v-w6125hsa_545)")</f>
        <v>skórovat (v-w6125hsa_545)</v>
      </c>
    </row>
    <row r="44359" customFormat="false" ht="12.8" hidden="false" customHeight="false" outlineLevel="0" collapsed="false">
      <c r="B44359" s="0" t="s">
        <v>7</v>
      </c>
    </row>
    <row r="44360" customFormat="false" ht="12.8" hidden="false" customHeight="false" outlineLevel="0" collapsed="false">
      <c r="B44360" s="0" t="s">
        <v>63</v>
      </c>
    </row>
    <row r="44362" customFormat="false" ht="12.8" hidden="false" customHeight="false" outlineLevel="0" collapsed="false">
      <c r="A44362" s="0" t="s">
        <v>15798</v>
      </c>
      <c r="B44362" s="0" t="str">
        <f aca="false">HYPERLINK("https://lindat.mff.cuni.cz/services/teitok/pdtc10/index.php?action=vallex&amp;frame=v-w6125f1", "skórovat (v-w6125f1) - substituted with v-w6125hsa_545")</f>
        <v>skórovat (v-w6125f1) - substituted with v-w6125hsa_545</v>
      </c>
    </row>
    <row r="44363" customFormat="false" ht="12.8" hidden="false" customHeight="false" outlineLevel="0" collapsed="false">
      <c r="B44363" s="0" t="s">
        <v>7</v>
      </c>
    </row>
    <row r="44364" customFormat="false" ht="12.8" hidden="false" customHeight="false" outlineLevel="0" collapsed="false">
      <c r="B44364" s="0" t="s">
        <v>63</v>
      </c>
    </row>
    <row r="44366" customFormat="false" ht="12.8" hidden="false" customHeight="false" outlineLevel="0" collapsed="false">
      <c r="A44366" s="0" t="s">
        <v>15799</v>
      </c>
      <c r="B44366" s="0" t="str">
        <f aca="false">HYPERLINK("https://lindat.mff.cuni.cz/services/teitok/pdtc10/index.php?action=vallex&amp;frame=v-w6138f1", "skýtat (v-w6138f1)")</f>
        <v>skýtat (v-w6138f1)</v>
      </c>
    </row>
    <row r="44367" customFormat="false" ht="12.8" hidden="false" customHeight="false" outlineLevel="0" collapsed="false">
      <c r="B44367" s="0" t="s">
        <v>7</v>
      </c>
      <c r="C44367" s="0" t="s">
        <v>10798</v>
      </c>
    </row>
    <row r="44368" customFormat="false" ht="12.8" hidden="false" customHeight="false" outlineLevel="0" collapsed="false">
      <c r="B44368" s="0" t="s">
        <v>14</v>
      </c>
      <c r="C44368" s="0" t="s">
        <v>15800</v>
      </c>
    </row>
    <row r="44369" customFormat="false" ht="12.8" hidden="false" customHeight="false" outlineLevel="0" collapsed="false">
      <c r="B44369" s="0" t="s">
        <v>1953</v>
      </c>
      <c r="C44369" s="0" t="s">
        <v>10758</v>
      </c>
    </row>
    <row r="44371" customFormat="false" ht="12.8" hidden="false" customHeight="false" outlineLevel="0" collapsed="false">
      <c r="A44371" s="0" t="s">
        <v>15801</v>
      </c>
      <c r="B44371" s="0" t="str">
        <f aca="false">HYPERLINK("https://lindat.mff.cuni.cz/services/teitok/pdtc10/index.php?action=vallex&amp;frame=v-w6138f2", "skýtat (v-w6138f2)")</f>
        <v>skýtat (v-w6138f2)</v>
      </c>
    </row>
    <row r="44372" customFormat="false" ht="12.8" hidden="false" customHeight="false" outlineLevel="0" collapsed="false">
      <c r="B44372" s="0" t="s">
        <v>7</v>
      </c>
    </row>
    <row r="44373" customFormat="false" ht="12.8" hidden="false" customHeight="false" outlineLevel="0" collapsed="false">
      <c r="B44373" s="0" t="s">
        <v>15802</v>
      </c>
    </row>
    <row r="44374" customFormat="false" ht="12.8" hidden="false" customHeight="false" outlineLevel="0" collapsed="false">
      <c r="B44374" s="0" t="s">
        <v>48</v>
      </c>
    </row>
    <row r="44376" customFormat="false" ht="12.8" hidden="false" customHeight="false" outlineLevel="0" collapsed="false">
      <c r="A44376" s="0" t="s">
        <v>15803</v>
      </c>
      <c r="B44376" s="0" t="str">
        <f aca="false">HYPERLINK("https://lindat.mff.cuni.cz/services/teitok/pdtc10/index.php?action=vallex&amp;frame=v-w6132f1", "skřípat (v-w6132f1)")</f>
        <v>skřípat (v-w6132f1)</v>
      </c>
    </row>
    <row r="44377" customFormat="false" ht="12.8" hidden="false" customHeight="false" outlineLevel="0" collapsed="false">
      <c r="B44377" s="0" t="s">
        <v>7</v>
      </c>
    </row>
    <row r="44378" customFormat="false" ht="12.8" hidden="false" customHeight="false" outlineLevel="0" collapsed="false">
      <c r="B44378" s="0" t="s">
        <v>216</v>
      </c>
    </row>
    <row r="44380" customFormat="false" ht="12.8" hidden="false" customHeight="false" outlineLevel="0" collapsed="false">
      <c r="A44380" s="0" t="s">
        <v>15804</v>
      </c>
      <c r="B44380" s="0" t="str">
        <f aca="false">HYPERLINK("https://lindat.mff.cuni.cz/services/teitok/pdtc10/index.php?action=vallex&amp;frame=v-w6132f2", "skřípat (v-w6132f2)")</f>
        <v>skřípat (v-w6132f2)</v>
      </c>
    </row>
    <row r="44381" customFormat="false" ht="12.8" hidden="false" customHeight="false" outlineLevel="0" collapsed="false">
      <c r="B44381" s="0" t="s">
        <v>7</v>
      </c>
    </row>
    <row r="44383" customFormat="false" ht="12.8" hidden="false" customHeight="false" outlineLevel="0" collapsed="false">
      <c r="A44383" s="0" t="s">
        <v>15805</v>
      </c>
      <c r="B44383" s="0" t="str">
        <f aca="false">HYPERLINK("https://lindat.mff.cuni.cz/services/teitok/pdtc10/index.php?action=vallex&amp;frame=v-w6132f3", "skřípat (v-w6132f3)")</f>
        <v>skřípat (v-w6132f3)</v>
      </c>
    </row>
    <row r="44384" customFormat="false" ht="12.8" hidden="false" customHeight="false" outlineLevel="0" collapsed="false">
      <c r="B44384" s="0" t="s">
        <v>7</v>
      </c>
    </row>
    <row r="44386" customFormat="false" ht="12.8" hidden="false" customHeight="false" outlineLevel="0" collapsed="false">
      <c r="A44386" s="0" t="s">
        <v>15806</v>
      </c>
      <c r="B44386" s="0" t="str">
        <f aca="false">HYPERLINK("https://lindat.mff.cuni.cz/services/teitok/pdtc10/index.php?action=vallex&amp;frame=v-w6142f1", "sladit (v-w6142f1)")</f>
        <v>sladit (v-w6142f1)</v>
      </c>
    </row>
    <row r="44387" customFormat="false" ht="12.8" hidden="false" customHeight="false" outlineLevel="0" collapsed="false">
      <c r="B44387" s="0" t="s">
        <v>7</v>
      </c>
    </row>
    <row r="44388" customFormat="false" ht="12.8" hidden="false" customHeight="false" outlineLevel="0" collapsed="false">
      <c r="B44388" s="0" t="s">
        <v>14</v>
      </c>
    </row>
    <row r="44389" customFormat="false" ht="12.8" hidden="false" customHeight="false" outlineLevel="0" collapsed="false">
      <c r="B44389" s="0" t="s">
        <v>3086</v>
      </c>
    </row>
    <row r="44391" customFormat="false" ht="12.8" hidden="false" customHeight="false" outlineLevel="0" collapsed="false">
      <c r="A44391" s="0" t="s">
        <v>15807</v>
      </c>
      <c r="B44391" s="0" t="str">
        <f aca="false">HYPERLINK("https://lindat.mff.cuni.cz/services/teitok/pdtc10/index.php?action=vallex&amp;frame=v-w6142f2", "sladit (v-w6142f2)")</f>
        <v>sladit (v-w6142f2)</v>
      </c>
    </row>
    <row r="44392" customFormat="false" ht="12.8" hidden="false" customHeight="false" outlineLevel="0" collapsed="false">
      <c r="B44392" s="0" t="s">
        <v>7</v>
      </c>
    </row>
    <row r="44393" customFormat="false" ht="12.8" hidden="false" customHeight="false" outlineLevel="0" collapsed="false">
      <c r="B44393" s="0" t="s">
        <v>14</v>
      </c>
    </row>
    <row r="44395" customFormat="false" ht="12.8" hidden="false" customHeight="false" outlineLevel="0" collapsed="false">
      <c r="A44395" s="0" t="s">
        <v>15808</v>
      </c>
      <c r="B44395" s="0" t="str">
        <f aca="false">HYPERLINK("https://lindat.mff.cuni.cz/services/teitok/pdtc10/index.php?action=vallex&amp;frame=v-w6144f1", "slavit (v-w6144f1)")</f>
        <v>slavit (v-w6144f1)</v>
      </c>
    </row>
    <row r="44396" customFormat="false" ht="12.8" hidden="false" customHeight="false" outlineLevel="0" collapsed="false">
      <c r="B44396" s="0" t="s">
        <v>7</v>
      </c>
      <c r="C44396" s="0" t="s">
        <v>184</v>
      </c>
      <c r="D44396" s="0" t="s">
        <v>1263</v>
      </c>
      <c r="E44396" s="0" t="s">
        <v>1263</v>
      </c>
      <c r="F44396" s="0" t="s">
        <v>1263</v>
      </c>
    </row>
    <row r="44397" customFormat="false" ht="12.8" hidden="false" customHeight="false" outlineLevel="0" collapsed="false">
      <c r="B44397" s="0" t="s">
        <v>54</v>
      </c>
      <c r="C44397" s="0" t="s">
        <v>567</v>
      </c>
      <c r="D44397" s="0" t="s">
        <v>9127</v>
      </c>
      <c r="E44397" s="0" t="s">
        <v>9127</v>
      </c>
      <c r="F44397" s="0" t="s">
        <v>9127</v>
      </c>
    </row>
    <row r="44399" customFormat="false" ht="12.8" hidden="false" customHeight="false" outlineLevel="0" collapsed="false">
      <c r="A44399" s="0" t="s">
        <v>15809</v>
      </c>
      <c r="B44399" s="0" t="str">
        <f aca="false">HYPERLINK("https://lindat.mff.cuni.cz/services/teitok/pdtc10/index.php?action=vallex&amp;frame=v-w6144hsa_276", "slavit (v-w6144hsa_276)")</f>
        <v>slavit (v-w6144hsa_276)</v>
      </c>
    </row>
    <row r="44400" customFormat="false" ht="12.8" hidden="false" customHeight="false" outlineLevel="0" collapsed="false">
      <c r="B44400" s="0" t="s">
        <v>7</v>
      </c>
      <c r="C44400" s="0" t="s">
        <v>1286</v>
      </c>
    </row>
    <row r="44401" customFormat="false" ht="12.8" hidden="false" customHeight="false" outlineLevel="0" collapsed="false">
      <c r="B44401" s="0" t="s">
        <v>14</v>
      </c>
      <c r="C44401" s="0" t="s">
        <v>1288</v>
      </c>
    </row>
    <row r="44403" customFormat="false" ht="12.8" hidden="false" customHeight="false" outlineLevel="0" collapsed="false">
      <c r="A44403" s="0" t="s">
        <v>15810</v>
      </c>
      <c r="B44403" s="0" t="str">
        <f aca="false">HYPERLINK("https://lindat.mff.cuni.cz/services/teitok/pdtc10/index.php?action=vallex&amp;frame=v-w11962_ZUf1_ZU", "slavívat (v-w11962_ZUf1_ZU)")</f>
        <v>slavívat (v-w11962_ZUf1_ZU)</v>
      </c>
    </row>
    <row r="44404" customFormat="false" ht="12.8" hidden="false" customHeight="false" outlineLevel="0" collapsed="false">
      <c r="B44404" s="0" t="s">
        <v>7</v>
      </c>
    </row>
    <row r="44405" customFormat="false" ht="12.8" hidden="false" customHeight="false" outlineLevel="0" collapsed="false">
      <c r="B44405" s="0" t="s">
        <v>54</v>
      </c>
    </row>
    <row r="44407" customFormat="false" ht="12.8" hidden="false" customHeight="false" outlineLevel="0" collapsed="false">
      <c r="A44407" s="0" t="s">
        <v>15811</v>
      </c>
      <c r="B44407" s="0" t="str">
        <f aca="false">HYPERLINK("https://lindat.mff.cuni.cz/services/teitok/pdtc10/index.php?action=vallex&amp;frame=v-w6148f4", "sledovat (v-w6148f4)")</f>
        <v>sledovat (v-w6148f4)</v>
      </c>
    </row>
    <row r="44408" customFormat="false" ht="12.8" hidden="false" customHeight="false" outlineLevel="0" collapsed="false">
      <c r="B44408" s="0" t="s">
        <v>7</v>
      </c>
      <c r="C44408" s="0" t="s">
        <v>15812</v>
      </c>
    </row>
    <row r="44409" customFormat="false" ht="12.8" hidden="false" customHeight="false" outlineLevel="0" collapsed="false">
      <c r="B44409" s="0" t="s">
        <v>2030</v>
      </c>
      <c r="C44409" s="0" t="s">
        <v>15813</v>
      </c>
    </row>
    <row r="44411" customFormat="false" ht="12.8" hidden="false" customHeight="false" outlineLevel="0" collapsed="false">
      <c r="A44411" s="0" t="s">
        <v>15814</v>
      </c>
      <c r="B44411" s="0" t="str">
        <f aca="false">HYPERLINK("https://lindat.mff.cuni.cz/services/teitok/pdtc10/index.php?action=vallex&amp;frame=v-w6148f1", "sledovat (v-w6148f1)")</f>
        <v>sledovat (v-w6148f1)</v>
      </c>
    </row>
    <row r="44412" customFormat="false" ht="12.8" hidden="false" customHeight="false" outlineLevel="0" collapsed="false">
      <c r="B44412" s="0" t="s">
        <v>7</v>
      </c>
      <c r="C44412" s="0" t="s">
        <v>15815</v>
      </c>
      <c r="D44412" s="0" t="s">
        <v>5452</v>
      </c>
      <c r="E44412" s="0" t="s">
        <v>5452</v>
      </c>
      <c r="F44412" s="0" t="s">
        <v>5452</v>
      </c>
    </row>
    <row r="44413" customFormat="false" ht="12.8" hidden="false" customHeight="false" outlineLevel="0" collapsed="false">
      <c r="B44413" s="0" t="s">
        <v>15816</v>
      </c>
      <c r="C44413" s="0" t="s">
        <v>15817</v>
      </c>
      <c r="D44413" s="0" t="s">
        <v>5454</v>
      </c>
      <c r="E44413" s="0" t="s">
        <v>5454</v>
      </c>
      <c r="F44413" s="0" t="s">
        <v>5454</v>
      </c>
    </row>
    <row r="44415" customFormat="false" ht="12.8" hidden="false" customHeight="false" outlineLevel="0" collapsed="false">
      <c r="A44415" s="0" t="s">
        <v>15818</v>
      </c>
      <c r="B44415" s="0" t="str">
        <f aca="false">HYPERLINK("https://lindat.mff.cuni.cz/services/teitok/pdtc10/index.php?action=vallex&amp;frame=v-w6148f2", "sledovat (v-w6148f2)")</f>
        <v>sledovat (v-w6148f2)</v>
      </c>
    </row>
    <row r="44416" customFormat="false" ht="12.8" hidden="false" customHeight="false" outlineLevel="0" collapsed="false">
      <c r="B44416" s="0" t="s">
        <v>7</v>
      </c>
      <c r="C44416" s="0" t="s">
        <v>15819</v>
      </c>
      <c r="D44416" s="0" t="s">
        <v>1448</v>
      </c>
      <c r="E44416" s="0" t="s">
        <v>1448</v>
      </c>
      <c r="F44416" s="0" t="s">
        <v>1448</v>
      </c>
    </row>
    <row r="44417" customFormat="false" ht="12.8" hidden="false" customHeight="false" outlineLevel="0" collapsed="false">
      <c r="B44417" s="0" t="s">
        <v>15816</v>
      </c>
      <c r="C44417" s="0" t="s">
        <v>15820</v>
      </c>
      <c r="D44417" s="0" t="s">
        <v>414</v>
      </c>
      <c r="E44417" s="0" t="s">
        <v>414</v>
      </c>
      <c r="F44417" s="0" t="s">
        <v>414</v>
      </c>
    </row>
    <row r="44419" customFormat="false" ht="12.8" hidden="false" customHeight="false" outlineLevel="0" collapsed="false">
      <c r="A44419" s="0" t="s">
        <v>15821</v>
      </c>
      <c r="B44419" s="0" t="str">
        <f aca="false">HYPERLINK("https://lindat.mff.cuni.cz/services/teitok/pdtc10/index.php?action=vallex&amp;frame=v-w6148f3", "sledovat (v-w6148f3)")</f>
        <v>sledovat (v-w6148f3)</v>
      </c>
    </row>
    <row r="44420" customFormat="false" ht="12.8" hidden="false" customHeight="false" outlineLevel="0" collapsed="false">
      <c r="B44420" s="0" t="s">
        <v>7</v>
      </c>
      <c r="C44420" s="0" t="s">
        <v>15822</v>
      </c>
    </row>
    <row r="44421" customFormat="false" ht="12.8" hidden="false" customHeight="false" outlineLevel="0" collapsed="false">
      <c r="B44421" s="0" t="s">
        <v>14</v>
      </c>
      <c r="C44421" s="0" t="s">
        <v>15823</v>
      </c>
    </row>
    <row r="44423" customFormat="false" ht="12.8" hidden="false" customHeight="false" outlineLevel="0" collapsed="false">
      <c r="A44423" s="0" t="s">
        <v>15824</v>
      </c>
      <c r="B44423" s="0" t="str">
        <f aca="false">HYPERLINK("https://lindat.mff.cuni.cz/services/teitok/pdtc10/index.php?action=vallex&amp;frame=v-w6148hsa_741", "sledovat (v-w6148hsa_741)")</f>
        <v>sledovat (v-w6148hsa_741)</v>
      </c>
    </row>
    <row r="44424" customFormat="false" ht="12.8" hidden="false" customHeight="false" outlineLevel="0" collapsed="false">
      <c r="B44424" s="0" t="s">
        <v>7</v>
      </c>
      <c r="C44424" s="0" t="s">
        <v>1999</v>
      </c>
    </row>
    <row r="44425" customFormat="false" ht="12.8" hidden="false" customHeight="false" outlineLevel="0" collapsed="false">
      <c r="B44425" s="0" t="s">
        <v>14</v>
      </c>
      <c r="C44425" s="0" t="s">
        <v>15825</v>
      </c>
    </row>
    <row r="44427" customFormat="false" ht="12.8" hidden="false" customHeight="false" outlineLevel="0" collapsed="false">
      <c r="A44427" s="0" t="s">
        <v>15826</v>
      </c>
      <c r="B44427" s="0" t="str">
        <f aca="false">HYPERLINK("https://lindat.mff.cuni.cz/services/teitok/pdtc10/index.php?action=vallex&amp;frame=v-w6150f1", "slehnout (v-w6150f1)")</f>
        <v>slehnout (v-w6150f1)</v>
      </c>
    </row>
    <row r="44428" customFormat="false" ht="12.8" hidden="false" customHeight="false" outlineLevel="0" collapsed="false">
      <c r="B44428" s="0" t="s">
        <v>7</v>
      </c>
    </row>
    <row r="44430" customFormat="false" ht="12.8" hidden="false" customHeight="false" outlineLevel="0" collapsed="false">
      <c r="A44430" s="0" t="s">
        <v>15827</v>
      </c>
      <c r="B44430" s="0" t="str">
        <f aca="false">HYPERLINK("https://lindat.mff.cuni.cz/services/teitok/pdtc10/index.php?action=vallex&amp;frame=v-w6150hsa_351", "slehnout (v-w6150hsa_351)")</f>
        <v>slehnout (v-w6150hsa_351)</v>
      </c>
    </row>
    <row r="44431" customFormat="false" ht="12.8" hidden="false" customHeight="false" outlineLevel="0" collapsed="false">
      <c r="B44431" s="0" t="s">
        <v>7</v>
      </c>
    </row>
    <row r="44433" customFormat="false" ht="12.8" hidden="false" customHeight="false" outlineLevel="0" collapsed="false">
      <c r="A44433" s="0" t="s">
        <v>15828</v>
      </c>
      <c r="B44433" s="0" t="str">
        <f aca="false">HYPERLINK("https://lindat.mff.cuni.cz/services/teitok/pdtc10/index.php?action=vallex&amp;frame=v-w6151f1", "slehnout se (v-w6151f1)")</f>
        <v>slehnout se (v-w6151f1)</v>
      </c>
    </row>
    <row r="44434" customFormat="false" ht="12.8" hidden="false" customHeight="false" outlineLevel="0" collapsed="false">
      <c r="B44434" s="0" t="s">
        <v>674</v>
      </c>
    </row>
    <row r="44435" customFormat="false" ht="12.8" hidden="false" customHeight="false" outlineLevel="0" collapsed="false">
      <c r="B44435" s="0" t="s">
        <v>15829</v>
      </c>
    </row>
    <row r="44437" customFormat="false" ht="12.8" hidden="false" customHeight="false" outlineLevel="0" collapsed="false">
      <c r="A44437" s="0" t="s">
        <v>15830</v>
      </c>
      <c r="B44437" s="0" t="str">
        <f aca="false">HYPERLINK("https://lindat.mff.cuni.cz/services/teitok/pdtc10/index.php?action=vallex&amp;frame=v-w11589_ZUf1_ZU", "slepit (v-w11589_ZUf1_ZU)")</f>
        <v>slepit (v-w11589_ZUf1_ZU)</v>
      </c>
    </row>
    <row r="44438" customFormat="false" ht="12.8" hidden="false" customHeight="false" outlineLevel="0" collapsed="false">
      <c r="B44438" s="0" t="s">
        <v>7</v>
      </c>
      <c r="C44438" s="0" t="s">
        <v>191</v>
      </c>
    </row>
    <row r="44439" customFormat="false" ht="12.8" hidden="false" customHeight="false" outlineLevel="0" collapsed="false">
      <c r="B44439" s="0" t="s">
        <v>14</v>
      </c>
      <c r="C44439" s="0" t="s">
        <v>1588</v>
      </c>
    </row>
    <row r="44441" customFormat="false" ht="12.8" hidden="false" customHeight="false" outlineLevel="0" collapsed="false">
      <c r="A44441" s="0" t="s">
        <v>15831</v>
      </c>
      <c r="B44441" s="0" t="str">
        <f aca="false">HYPERLINK("https://lindat.mff.cuni.cz/services/teitok/pdtc10/index.php?action=vallex&amp;frame=v-w10278f2", "sletět (v-w10278f2)")</f>
        <v>sletět (v-w10278f2)</v>
      </c>
    </row>
    <row r="44442" customFormat="false" ht="12.8" hidden="false" customHeight="false" outlineLevel="0" collapsed="false">
      <c r="B44442" s="0" t="s">
        <v>7</v>
      </c>
      <c r="C44442" s="0" t="s">
        <v>1378</v>
      </c>
      <c r="D44442" s="0" t="s">
        <v>9114</v>
      </c>
      <c r="E44442" s="0" t="s">
        <v>9114</v>
      </c>
      <c r="F44442" s="0" t="s">
        <v>9114</v>
      </c>
    </row>
    <row r="44444" customFormat="false" ht="12.8" hidden="false" customHeight="false" outlineLevel="0" collapsed="false">
      <c r="A44444" s="0" t="s">
        <v>15832</v>
      </c>
      <c r="B44444" s="0" t="str">
        <f aca="false">HYPERLINK("https://lindat.mff.cuni.cz/services/teitok/pdtc10/index.php?action=vallex&amp;frame=v-w6154f1", "slevit (v-w6154f1)")</f>
        <v>slevit (v-w6154f1)</v>
      </c>
    </row>
    <row r="44445" customFormat="false" ht="12.8" hidden="false" customHeight="false" outlineLevel="0" collapsed="false">
      <c r="B44445" s="0" t="s">
        <v>7</v>
      </c>
    </row>
    <row r="44446" customFormat="false" ht="12.8" hidden="false" customHeight="false" outlineLevel="0" collapsed="false">
      <c r="B44446" s="0" t="s">
        <v>14</v>
      </c>
    </row>
    <row r="44447" customFormat="false" ht="12.8" hidden="false" customHeight="false" outlineLevel="0" collapsed="false">
      <c r="B44447" s="0" t="s">
        <v>35</v>
      </c>
    </row>
    <row r="44448" customFormat="false" ht="12.8" hidden="false" customHeight="false" outlineLevel="0" collapsed="false">
      <c r="B44448" s="0" t="s">
        <v>84</v>
      </c>
    </row>
    <row r="44450" customFormat="false" ht="12.8" hidden="false" customHeight="false" outlineLevel="0" collapsed="false">
      <c r="A44450" s="0" t="s">
        <v>15833</v>
      </c>
      <c r="B44450" s="0" t="str">
        <f aca="false">HYPERLINK("https://lindat.mff.cuni.cz/services/teitok/pdtc10/index.php?action=vallex&amp;frame=v-w6154f2_ZU", "slevit (v-w6154f2_ZU)")</f>
        <v>slevit (v-w6154f2_ZU)</v>
      </c>
    </row>
    <row r="44451" customFormat="false" ht="12.8" hidden="false" customHeight="false" outlineLevel="0" collapsed="false">
      <c r="B44451" s="0" t="s">
        <v>7</v>
      </c>
      <c r="C44451" s="0" t="s">
        <v>191</v>
      </c>
      <c r="D44451" s="0" t="s">
        <v>1399</v>
      </c>
      <c r="E44451" s="0" t="s">
        <v>1399</v>
      </c>
      <c r="F44451" s="0" t="s">
        <v>1399</v>
      </c>
    </row>
    <row r="44452" customFormat="false" ht="12.8" hidden="false" customHeight="false" outlineLevel="0" collapsed="false">
      <c r="B44452" s="0" t="s">
        <v>227</v>
      </c>
      <c r="D44452" s="0" t="s">
        <v>1401</v>
      </c>
      <c r="E44452" s="0" t="s">
        <v>1401</v>
      </c>
      <c r="F44452" s="0" t="s">
        <v>1401</v>
      </c>
    </row>
    <row r="44454" customFormat="false" ht="12.8" hidden="false" customHeight="false" outlineLevel="0" collapsed="false">
      <c r="A44454" s="0" t="s">
        <v>15834</v>
      </c>
      <c r="B44454" s="0" t="str">
        <f aca="false">HYPERLINK("https://lindat.mff.cuni.cz/services/teitok/pdtc10/index.php?action=vallex&amp;frame=v-w6161f1", "slibovat (v-w6161f1)")</f>
        <v>slibovat (v-w6161f1)</v>
      </c>
    </row>
    <row r="44455" customFormat="false" ht="12.8" hidden="false" customHeight="false" outlineLevel="0" collapsed="false">
      <c r="B44455" s="0" t="s">
        <v>7</v>
      </c>
      <c r="C44455" s="0" t="s">
        <v>15835</v>
      </c>
      <c r="D44455" s="0" t="s">
        <v>14142</v>
      </c>
      <c r="E44455" s="0" t="s">
        <v>14142</v>
      </c>
      <c r="F44455" s="0" t="s">
        <v>14142</v>
      </c>
    </row>
    <row r="44456" customFormat="false" ht="12.8" hidden="false" customHeight="false" outlineLevel="0" collapsed="false">
      <c r="B44456" s="0" t="s">
        <v>14143</v>
      </c>
      <c r="C44456" s="0" t="s">
        <v>15836</v>
      </c>
      <c r="D44456" s="0" t="s">
        <v>14145</v>
      </c>
      <c r="E44456" s="0" t="s">
        <v>14145</v>
      </c>
      <c r="F44456" s="0" t="s">
        <v>14145</v>
      </c>
    </row>
    <row r="44457" customFormat="false" ht="12.8" hidden="false" customHeight="false" outlineLevel="0" collapsed="false">
      <c r="B44457" s="0" t="s">
        <v>48</v>
      </c>
      <c r="C44457" s="0" t="s">
        <v>4214</v>
      </c>
      <c r="D44457" s="0" t="s">
        <v>14146</v>
      </c>
      <c r="E44457" s="0" t="s">
        <v>14146</v>
      </c>
      <c r="F44457" s="0" t="s">
        <v>14146</v>
      </c>
    </row>
    <row r="44459" customFormat="false" ht="12.8" hidden="false" customHeight="false" outlineLevel="0" collapsed="false">
      <c r="A44459" s="0" t="s">
        <v>15837</v>
      </c>
      <c r="B44459" s="0" t="str">
        <f aca="false">HYPERLINK("https://lindat.mff.cuni.cz/services/teitok/pdtc10/index.php?action=vallex&amp;frame=v-w6162f1", "slibovat si (v-w6162f1)")</f>
        <v>slibovat si (v-w6162f1)</v>
      </c>
    </row>
    <row r="44460" customFormat="false" ht="12.8" hidden="false" customHeight="false" outlineLevel="0" collapsed="false">
      <c r="B44460" s="0" t="s">
        <v>7</v>
      </c>
    </row>
    <row r="44461" customFormat="false" ht="12.8" hidden="false" customHeight="false" outlineLevel="0" collapsed="false">
      <c r="B44461" s="0" t="s">
        <v>54</v>
      </c>
    </row>
    <row r="44462" customFormat="false" ht="12.8" hidden="false" customHeight="false" outlineLevel="0" collapsed="false">
      <c r="B44462" s="0" t="s">
        <v>441</v>
      </c>
    </row>
    <row r="44464" customFormat="false" ht="12.8" hidden="false" customHeight="false" outlineLevel="0" collapsed="false">
      <c r="A44464" s="0" t="s">
        <v>15838</v>
      </c>
      <c r="B44464" s="0" t="str">
        <f aca="false">HYPERLINK("https://lindat.mff.cuni.cz/services/teitok/pdtc10/index.php?action=vallex&amp;frame=v-w10969f3_ZU", "slisovat (v-w10969f3_ZU)")</f>
        <v>slisovat (v-w10969f3_ZU)</v>
      </c>
    </row>
    <row r="44465" customFormat="false" ht="12.8" hidden="false" customHeight="false" outlineLevel="0" collapsed="false">
      <c r="B44465" s="0" t="s">
        <v>7</v>
      </c>
    </row>
    <row r="44466" customFormat="false" ht="12.8" hidden="false" customHeight="false" outlineLevel="0" collapsed="false">
      <c r="B44466" s="0" t="s">
        <v>14</v>
      </c>
    </row>
    <row r="44467" customFormat="false" ht="12.8" hidden="false" customHeight="false" outlineLevel="0" collapsed="false">
      <c r="B44467" s="0" t="s">
        <v>37</v>
      </c>
    </row>
    <row r="44469" customFormat="false" ht="12.8" hidden="false" customHeight="false" outlineLevel="0" collapsed="false">
      <c r="A44469" s="0" t="s">
        <v>15838</v>
      </c>
      <c r="B44469" s="0" t="str">
        <f aca="false">HYPERLINK("https://lindat.mff.cuni.cz/services/teitok/pdtc10/index.php?action=vallex&amp;frame=v-w10969f2", "slisovat (v-w10969f2) - substituted with v-w10969f3_ZU")</f>
        <v>slisovat (v-w10969f2) - substituted with v-w10969f3_ZU</v>
      </c>
    </row>
    <row r="44470" customFormat="false" ht="12.8" hidden="false" customHeight="false" outlineLevel="0" collapsed="false">
      <c r="B44470" s="0" t="s">
        <v>7</v>
      </c>
    </row>
    <row r="44471" customFormat="false" ht="12.8" hidden="false" customHeight="false" outlineLevel="0" collapsed="false">
      <c r="B44471" s="0" t="s">
        <v>14</v>
      </c>
    </row>
    <row r="44472" customFormat="false" ht="12.8" hidden="false" customHeight="false" outlineLevel="0" collapsed="false">
      <c r="B44472" s="0" t="s">
        <v>37</v>
      </c>
    </row>
    <row r="44474" customFormat="false" ht="12.8" hidden="false" customHeight="false" outlineLevel="0" collapsed="false">
      <c r="A44474" s="0" t="s">
        <v>15838</v>
      </c>
      <c r="B44474" s="0" t="str">
        <f aca="false">HYPERLINK("https://lindat.mff.cuni.cz/services/teitok/pdtc10/index.php?action=vallex&amp;frame=v-w10969hsa_118", "slisovat (v-w10969hsa_118) - substituted with v-w10969f3_ZU")</f>
        <v>slisovat (v-w10969hsa_118) - substituted with v-w10969f3_ZU</v>
      </c>
    </row>
    <row r="44475" customFormat="false" ht="12.8" hidden="false" customHeight="false" outlineLevel="0" collapsed="false">
      <c r="B44475" s="0" t="s">
        <v>7</v>
      </c>
    </row>
    <row r="44476" customFormat="false" ht="12.8" hidden="false" customHeight="false" outlineLevel="0" collapsed="false">
      <c r="B44476" s="0" t="s">
        <v>14</v>
      </c>
    </row>
    <row r="44477" customFormat="false" ht="12.8" hidden="false" customHeight="false" outlineLevel="0" collapsed="false">
      <c r="B44477" s="0" t="s">
        <v>37</v>
      </c>
    </row>
    <row r="44479" customFormat="false" ht="12.8" hidden="false" customHeight="false" outlineLevel="0" collapsed="false">
      <c r="A44479" s="0" t="s">
        <v>15839</v>
      </c>
      <c r="B44479" s="0" t="str">
        <f aca="false">HYPERLINK("https://lindat.mff.cuni.cz/services/teitok/pdtc10/index.php?action=vallex&amp;frame=v-whsa_1305hsa_1306", "sloupnout (v-whsa_1305hsa_1306)")</f>
        <v>sloupnout (v-whsa_1305hsa_1306)</v>
      </c>
    </row>
    <row r="44480" customFormat="false" ht="12.8" hidden="false" customHeight="false" outlineLevel="0" collapsed="false">
      <c r="B44480" s="0" t="s">
        <v>7</v>
      </c>
    </row>
    <row r="44481" customFormat="false" ht="12.8" hidden="false" customHeight="false" outlineLevel="0" collapsed="false">
      <c r="B44481" s="0" t="s">
        <v>14</v>
      </c>
    </row>
    <row r="44483" customFormat="false" ht="12.8" hidden="false" customHeight="false" outlineLevel="0" collapsed="false">
      <c r="A44483" s="0" t="s">
        <v>15840</v>
      </c>
      <c r="B44483" s="0" t="str">
        <f aca="false">HYPERLINK("https://lindat.mff.cuni.cz/services/teitok/pdtc10/index.php?action=vallex&amp;frame=v-w6169f1", "slout (v-w6169f1)")</f>
        <v>slout (v-w6169f1)</v>
      </c>
    </row>
    <row r="44484" customFormat="false" ht="12.8" hidden="false" customHeight="false" outlineLevel="0" collapsed="false">
      <c r="B44484" s="0" t="s">
        <v>7</v>
      </c>
    </row>
    <row r="44485" customFormat="false" ht="12.8" hidden="false" customHeight="false" outlineLevel="0" collapsed="false">
      <c r="B44485" s="0" t="s">
        <v>7308</v>
      </c>
    </row>
    <row r="44487" customFormat="false" ht="12.8" hidden="false" customHeight="false" outlineLevel="0" collapsed="false">
      <c r="A44487" s="0" t="s">
        <v>15841</v>
      </c>
      <c r="B44487" s="0" t="str">
        <f aca="false">HYPERLINK("https://lindat.mff.cuni.cz/services/teitok/pdtc10/index.php?action=vallex&amp;frame=v-w6169f2_ZU", "slout (v-w6169f2_ZU)")</f>
        <v>slout (v-w6169f2_ZU)</v>
      </c>
    </row>
    <row r="44488" customFormat="false" ht="12.8" hidden="false" customHeight="false" outlineLevel="0" collapsed="false">
      <c r="B44488" s="0" t="s">
        <v>7</v>
      </c>
    </row>
    <row r="44489" customFormat="false" ht="12.8" hidden="false" customHeight="false" outlineLevel="0" collapsed="false">
      <c r="B44489" s="0" t="s">
        <v>15842</v>
      </c>
    </row>
    <row r="44491" customFormat="false" ht="12.8" hidden="false" customHeight="false" outlineLevel="0" collapsed="false">
      <c r="A44491" s="0" t="s">
        <v>15843</v>
      </c>
      <c r="B44491" s="0" t="str">
        <f aca="false">HYPERLINK("https://lindat.mff.cuni.cz/services/teitok/pdtc10/index.php?action=vallex&amp;frame=v-w6167f1", "sloučit (v-w6167f1)")</f>
        <v>sloučit (v-w6167f1)</v>
      </c>
    </row>
    <row r="44492" customFormat="false" ht="12.8" hidden="false" customHeight="false" outlineLevel="0" collapsed="false">
      <c r="B44492" s="0" t="s">
        <v>7</v>
      </c>
      <c r="C44492" s="0" t="s">
        <v>15844</v>
      </c>
      <c r="D44492" s="0" t="s">
        <v>4721</v>
      </c>
      <c r="E44492" s="0" t="s">
        <v>4721</v>
      </c>
      <c r="F44492" s="0" t="s">
        <v>4721</v>
      </c>
    </row>
    <row r="44493" customFormat="false" ht="12.8" hidden="false" customHeight="false" outlineLevel="0" collapsed="false">
      <c r="B44493" s="0" t="s">
        <v>14</v>
      </c>
      <c r="C44493" s="0" t="s">
        <v>15845</v>
      </c>
      <c r="D44493" s="0" t="s">
        <v>4723</v>
      </c>
      <c r="E44493" s="0" t="s">
        <v>4723</v>
      </c>
      <c r="F44493" s="0" t="s">
        <v>4723</v>
      </c>
    </row>
    <row r="44494" customFormat="false" ht="12.8" hidden="false" customHeight="false" outlineLevel="0" collapsed="false">
      <c r="B44494" s="0" t="s">
        <v>207</v>
      </c>
      <c r="C44494" s="0" t="s">
        <v>15846</v>
      </c>
      <c r="D44494" s="0" t="s">
        <v>15327</v>
      </c>
      <c r="E44494" s="0" t="s">
        <v>15327</v>
      </c>
      <c r="F44494" s="0" t="s">
        <v>15327</v>
      </c>
    </row>
    <row r="44495" customFormat="false" ht="12.8" hidden="false" customHeight="false" outlineLevel="0" collapsed="false">
      <c r="B44495" s="0" t="s">
        <v>2571</v>
      </c>
      <c r="C44495" s="0" t="s">
        <v>15847</v>
      </c>
    </row>
    <row r="44497" customFormat="false" ht="12.8" hidden="false" customHeight="false" outlineLevel="0" collapsed="false">
      <c r="A44497" s="0" t="s">
        <v>15848</v>
      </c>
      <c r="B44497" s="0" t="str">
        <f aca="false">HYPERLINK("https://lindat.mff.cuni.cz/services/teitok/pdtc10/index.php?action=vallex&amp;frame=v-w6167f2", "sloučit (v-w6167f2)")</f>
        <v>sloučit (v-w6167f2)</v>
      </c>
    </row>
    <row r="44498" customFormat="false" ht="12.8" hidden="false" customHeight="false" outlineLevel="0" collapsed="false">
      <c r="B44498" s="0" t="s">
        <v>7</v>
      </c>
      <c r="C44498" s="0" t="s">
        <v>15849</v>
      </c>
      <c r="D44498" s="0" t="s">
        <v>4116</v>
      </c>
      <c r="E44498" s="0" t="s">
        <v>4116</v>
      </c>
      <c r="F44498" s="0" t="s">
        <v>4116</v>
      </c>
    </row>
    <row r="44499" customFormat="false" ht="12.8" hidden="false" customHeight="false" outlineLevel="0" collapsed="false">
      <c r="B44499" s="0" t="s">
        <v>14</v>
      </c>
      <c r="C44499" s="0" t="s">
        <v>15850</v>
      </c>
      <c r="D44499" s="0" t="s">
        <v>11631</v>
      </c>
      <c r="E44499" s="0" t="s">
        <v>11631</v>
      </c>
      <c r="F44499" s="0" t="s">
        <v>11631</v>
      </c>
    </row>
    <row r="44500" customFormat="false" ht="12.8" hidden="false" customHeight="false" outlineLevel="0" collapsed="false">
      <c r="B44500" s="0" t="s">
        <v>207</v>
      </c>
      <c r="C44500" s="0" t="s">
        <v>15846</v>
      </c>
      <c r="D44500" s="0" t="s">
        <v>12075</v>
      </c>
      <c r="E44500" s="0" t="s">
        <v>12075</v>
      </c>
      <c r="F44500" s="0" t="s">
        <v>12075</v>
      </c>
    </row>
    <row r="44502" customFormat="false" ht="12.8" hidden="false" customHeight="false" outlineLevel="0" collapsed="false">
      <c r="A44502" s="0" t="s">
        <v>15851</v>
      </c>
      <c r="B44502" s="0" t="str">
        <f aca="false">HYPERLINK("https://lindat.mff.cuni.cz/services/teitok/pdtc10/index.php?action=vallex&amp;frame=v-w6168f1", "sloučit se (v-w6168f1)")</f>
        <v>sloučit se (v-w6168f1)</v>
      </c>
    </row>
    <row r="44503" customFormat="false" ht="12.8" hidden="false" customHeight="false" outlineLevel="0" collapsed="false">
      <c r="B44503" s="0" t="s">
        <v>7</v>
      </c>
      <c r="C44503" s="0" t="s">
        <v>15852</v>
      </c>
      <c r="D44503" s="0" t="s">
        <v>3184</v>
      </c>
      <c r="E44503" s="0" t="s">
        <v>3185</v>
      </c>
      <c r="F44503" s="0" t="s">
        <v>3185</v>
      </c>
    </row>
    <row r="44504" customFormat="false" ht="12.8" hidden="false" customHeight="false" outlineLevel="0" collapsed="false">
      <c r="B44504" s="0" t="s">
        <v>548</v>
      </c>
      <c r="C44504" s="0" t="s">
        <v>15853</v>
      </c>
      <c r="D44504" s="0" t="s">
        <v>3186</v>
      </c>
      <c r="E44504" s="0" t="s">
        <v>3186</v>
      </c>
      <c r="F44504" s="0" t="s">
        <v>3186</v>
      </c>
    </row>
    <row r="44505" customFormat="false" ht="12.8" hidden="false" customHeight="false" outlineLevel="0" collapsed="false">
      <c r="B44505" s="0" t="s">
        <v>2571</v>
      </c>
      <c r="C44505" s="0" t="s">
        <v>4724</v>
      </c>
      <c r="D44505" s="0" t="s">
        <v>10273</v>
      </c>
      <c r="E44505" s="0" t="s">
        <v>10273</v>
      </c>
      <c r="F44505" s="0" t="s">
        <v>10273</v>
      </c>
    </row>
    <row r="44507" customFormat="false" ht="12.8" hidden="false" customHeight="false" outlineLevel="0" collapsed="false">
      <c r="A44507" s="0" t="s">
        <v>15854</v>
      </c>
      <c r="B44507" s="0" t="str">
        <f aca="false">HYPERLINK("https://lindat.mff.cuni.cz/services/teitok/pdtc10/index.php?action=vallex&amp;frame=v-w6171f6_ZU", "sloužit (v-w6171f6_ZU)")</f>
        <v>sloužit (v-w6171f6_ZU)</v>
      </c>
    </row>
    <row r="44508" customFormat="false" ht="12.8" hidden="false" customHeight="false" outlineLevel="0" collapsed="false">
      <c r="B44508" s="0" t="s">
        <v>641</v>
      </c>
      <c r="C44508" s="0" t="s">
        <v>15855</v>
      </c>
      <c r="D44508" s="0" t="s">
        <v>1287</v>
      </c>
      <c r="E44508" s="0" t="s">
        <v>465</v>
      </c>
      <c r="F44508" s="0" t="s">
        <v>465</v>
      </c>
    </row>
    <row r="44509" customFormat="false" ht="12.8" hidden="false" customHeight="false" outlineLevel="0" collapsed="false">
      <c r="B44509" s="0" t="s">
        <v>15856</v>
      </c>
      <c r="C44509" s="0" t="s">
        <v>15857</v>
      </c>
      <c r="D44509" s="0" t="s">
        <v>7836</v>
      </c>
      <c r="E44509" s="0" t="s">
        <v>7837</v>
      </c>
      <c r="F44509" s="0" t="s">
        <v>7837</v>
      </c>
    </row>
    <row r="44511" customFormat="false" ht="12.8" hidden="false" customHeight="false" outlineLevel="0" collapsed="false">
      <c r="A44511" s="0" t="s">
        <v>15854</v>
      </c>
      <c r="B44511" s="0" t="str">
        <f aca="false">HYPERLINK("https://lindat.mff.cuni.cz/services/teitok/pdtc10/index.php?action=vallex&amp;frame=v-w6171f1", "sloužit (v-w6171f1) - substituted with v-w6171f6_ZU")</f>
        <v>sloužit (v-w6171f1) - substituted with v-w6171f6_ZU</v>
      </c>
    </row>
    <row r="44512" customFormat="false" ht="12.8" hidden="false" customHeight="false" outlineLevel="0" collapsed="false">
      <c r="B44512" s="0" t="s">
        <v>641</v>
      </c>
      <c r="C44512" s="0" t="s">
        <v>15858</v>
      </c>
    </row>
    <row r="44513" customFormat="false" ht="12.8" hidden="false" customHeight="false" outlineLevel="0" collapsed="false">
      <c r="B44513" s="0" t="s">
        <v>15856</v>
      </c>
      <c r="C44513" s="0" t="s">
        <v>15859</v>
      </c>
    </row>
    <row r="44515" customFormat="false" ht="12.8" hidden="false" customHeight="false" outlineLevel="0" collapsed="false">
      <c r="A44515" s="0" t="s">
        <v>15860</v>
      </c>
      <c r="B44515" s="0" t="str">
        <f aca="false">HYPERLINK("https://lindat.mff.cuni.cz/services/teitok/pdtc10/index.php?action=vallex&amp;frame=v-w6171f3", "sloužit (v-w6171f3)")</f>
        <v>sloužit (v-w6171f3)</v>
      </c>
    </row>
    <row r="44516" customFormat="false" ht="12.8" hidden="false" customHeight="false" outlineLevel="0" collapsed="false">
      <c r="B44516" s="0" t="s">
        <v>7</v>
      </c>
      <c r="C44516" s="0" t="s">
        <v>1287</v>
      </c>
      <c r="D44516" s="0" t="s">
        <v>1287</v>
      </c>
      <c r="E44516" s="0" t="s">
        <v>465</v>
      </c>
      <c r="F44516" s="0" t="s">
        <v>465</v>
      </c>
    </row>
    <row r="44517" customFormat="false" ht="12.8" hidden="false" customHeight="false" outlineLevel="0" collapsed="false">
      <c r="B44517" s="0" t="s">
        <v>142</v>
      </c>
      <c r="C44517" s="0" t="s">
        <v>7836</v>
      </c>
      <c r="D44517" s="0" t="s">
        <v>7836</v>
      </c>
      <c r="E44517" s="0" t="s">
        <v>7837</v>
      </c>
      <c r="F44517" s="0" t="s">
        <v>7837</v>
      </c>
    </row>
    <row r="44519" customFormat="false" ht="12.8" hidden="false" customHeight="false" outlineLevel="0" collapsed="false">
      <c r="A44519" s="0" t="s">
        <v>15861</v>
      </c>
      <c r="B44519" s="0" t="str">
        <f aca="false">HYPERLINK("https://lindat.mff.cuni.cz/services/teitok/pdtc10/index.php?action=vallex&amp;frame=v-w6171f4", "sloužit (v-w6171f4)")</f>
        <v>sloužit (v-w6171f4)</v>
      </c>
    </row>
    <row r="44520" customFormat="false" ht="12.8" hidden="false" customHeight="false" outlineLevel="0" collapsed="false">
      <c r="B44520" s="0" t="s">
        <v>7</v>
      </c>
    </row>
    <row r="44521" customFormat="false" ht="12.8" hidden="false" customHeight="false" outlineLevel="0" collapsed="false">
      <c r="B44521" s="0" t="s">
        <v>14</v>
      </c>
    </row>
    <row r="44523" customFormat="false" ht="12.8" hidden="false" customHeight="false" outlineLevel="0" collapsed="false">
      <c r="A44523" s="0" t="s">
        <v>15862</v>
      </c>
      <c r="B44523" s="0" t="str">
        <f aca="false">HYPERLINK("https://lindat.mff.cuni.cz/services/teitok/pdtc10/index.php?action=vallex&amp;frame=v-w6171f2", "sloužit (v-w6171f2)")</f>
        <v>sloužit (v-w6171f2)</v>
      </c>
    </row>
    <row r="44524" customFormat="false" ht="12.8" hidden="false" customHeight="false" outlineLevel="0" collapsed="false">
      <c r="B44524" s="0" t="s">
        <v>7</v>
      </c>
      <c r="C44524" s="0" t="s">
        <v>15863</v>
      </c>
      <c r="D44524" s="0" t="s">
        <v>10910</v>
      </c>
      <c r="E44524" s="0" t="s">
        <v>10910</v>
      </c>
      <c r="F44524" s="0" t="s">
        <v>10910</v>
      </c>
    </row>
    <row r="44526" customFormat="false" ht="12.8" hidden="false" customHeight="false" outlineLevel="0" collapsed="false">
      <c r="A44526" s="0" t="s">
        <v>15864</v>
      </c>
      <c r="B44526" s="0" t="str">
        <f aca="false">HYPERLINK("https://lindat.mff.cuni.cz/services/teitok/pdtc10/index.php?action=vallex&amp;frame=v-w6171f5", "sloužit (v-w6171f5)")</f>
        <v>sloužit (v-w6171f5)</v>
      </c>
    </row>
    <row r="44527" customFormat="false" ht="12.8" hidden="false" customHeight="false" outlineLevel="0" collapsed="false">
      <c r="B44527" s="0" t="s">
        <v>7</v>
      </c>
      <c r="C44527" s="0" t="s">
        <v>15865</v>
      </c>
      <c r="D44527" s="0" t="s">
        <v>868</v>
      </c>
      <c r="E44527" s="0" t="s">
        <v>868</v>
      </c>
      <c r="F44527" s="0" t="s">
        <v>868</v>
      </c>
    </row>
    <row r="44529" customFormat="false" ht="12.8" hidden="false" customHeight="false" outlineLevel="0" collapsed="false">
      <c r="A44529" s="0" t="s">
        <v>15866</v>
      </c>
      <c r="B44529" s="0" t="str">
        <f aca="false">HYPERLINK("https://lindat.mff.cuni.cz/services/teitok/pdtc10/index.php?action=vallex&amp;frame=v-w6171f7_ZU", "sloužit (v-w6171f7_ZU)")</f>
        <v>sloužit (v-w6171f7_ZU)</v>
      </c>
    </row>
    <row r="44530" customFormat="false" ht="12.8" hidden="false" customHeight="false" outlineLevel="0" collapsed="false">
      <c r="B44530" s="0" t="s">
        <v>7</v>
      </c>
    </row>
    <row r="44531" customFormat="false" ht="12.8" hidden="false" customHeight="false" outlineLevel="0" collapsed="false">
      <c r="B44531" s="0" t="s">
        <v>14</v>
      </c>
    </row>
    <row r="44533" customFormat="false" ht="12.8" hidden="false" customHeight="false" outlineLevel="0" collapsed="false">
      <c r="A44533" s="0" t="s">
        <v>15867</v>
      </c>
      <c r="B44533" s="0" t="str">
        <f aca="false">HYPERLINK("https://lindat.mff.cuni.cz/services/teitok/pdtc10/index.php?action=vallex&amp;frame=v-w6171f8_MM", "sloužit (v-w6171f8_MM)")</f>
        <v>sloužit (v-w6171f8_MM)</v>
      </c>
    </row>
    <row r="44534" customFormat="false" ht="12.8" hidden="false" customHeight="false" outlineLevel="0" collapsed="false">
      <c r="B44534" s="0" t="s">
        <v>7</v>
      </c>
    </row>
    <row r="44536" customFormat="false" ht="12.8" hidden="false" customHeight="false" outlineLevel="0" collapsed="false">
      <c r="A44536" s="0" t="s">
        <v>15868</v>
      </c>
      <c r="B44536" s="0" t="str">
        <f aca="false">HYPERLINK("https://lindat.mff.cuni.cz/services/teitok/pdtc10/index.php?action=vallex&amp;frame=v-w6177f1", "složit (v-w6177f1)")</f>
        <v>složit (v-w6177f1)</v>
      </c>
    </row>
    <row r="44537" customFormat="false" ht="12.8" hidden="false" customHeight="false" outlineLevel="0" collapsed="false">
      <c r="B44537" s="0" t="s">
        <v>7</v>
      </c>
      <c r="C44537" s="0" t="s">
        <v>4783</v>
      </c>
    </row>
    <row r="44538" customFormat="false" ht="12.8" hidden="false" customHeight="false" outlineLevel="0" collapsed="false">
      <c r="B44538" s="0" t="s">
        <v>14</v>
      </c>
      <c r="C44538" s="0" t="s">
        <v>25</v>
      </c>
    </row>
    <row r="44539" customFormat="false" ht="12.8" hidden="false" customHeight="false" outlineLevel="0" collapsed="false">
      <c r="B44539" s="0" t="s">
        <v>106</v>
      </c>
      <c r="C44539" s="0" t="s">
        <v>1165</v>
      </c>
    </row>
    <row r="44541" customFormat="false" ht="12.8" hidden="false" customHeight="false" outlineLevel="0" collapsed="false">
      <c r="A44541" s="0" t="s">
        <v>15869</v>
      </c>
      <c r="B44541" s="0" t="str">
        <f aca="false">HYPERLINK("https://lindat.mff.cuni.cz/services/teitok/pdtc10/index.php?action=vallex&amp;frame=v-w6177f4", "složit (v-w6177f4)")</f>
        <v>složit (v-w6177f4)</v>
      </c>
    </row>
    <row r="44542" customFormat="false" ht="12.8" hidden="false" customHeight="false" outlineLevel="0" collapsed="false">
      <c r="B44542" s="0" t="s">
        <v>7</v>
      </c>
      <c r="C44542" s="0" t="s">
        <v>354</v>
      </c>
      <c r="D44542" s="0" t="s">
        <v>1399</v>
      </c>
      <c r="E44542" s="0" t="s">
        <v>1399</v>
      </c>
      <c r="F44542" s="0" t="s">
        <v>1399</v>
      </c>
    </row>
    <row r="44543" customFormat="false" ht="12.8" hidden="false" customHeight="false" outlineLevel="0" collapsed="false">
      <c r="B44543" s="0" t="s">
        <v>14</v>
      </c>
      <c r="C44543" s="0" t="s">
        <v>487</v>
      </c>
      <c r="D44543" s="0" t="s">
        <v>1401</v>
      </c>
      <c r="E44543" s="0" t="s">
        <v>1401</v>
      </c>
      <c r="F44543" s="0" t="s">
        <v>1401</v>
      </c>
    </row>
    <row r="44544" customFormat="false" ht="12.8" hidden="false" customHeight="false" outlineLevel="0" collapsed="false">
      <c r="B44544" s="0" t="s">
        <v>3743</v>
      </c>
    </row>
    <row r="44546" customFormat="false" ht="12.8" hidden="false" customHeight="false" outlineLevel="0" collapsed="false">
      <c r="A44546" s="0" t="s">
        <v>15870</v>
      </c>
      <c r="B44546" s="0" t="str">
        <f aca="false">HYPERLINK("https://lindat.mff.cuni.cz/services/teitok/pdtc10/index.php?action=vallex&amp;frame=v-w6177f2", "složit (v-w6177f2)")</f>
        <v>složit (v-w6177f2)</v>
      </c>
    </row>
    <row r="44547" customFormat="false" ht="12.8" hidden="false" customHeight="false" outlineLevel="0" collapsed="false">
      <c r="B44547" s="0" t="s">
        <v>7</v>
      </c>
      <c r="C44547" s="0" t="s">
        <v>7654</v>
      </c>
      <c r="D44547" s="0" t="s">
        <v>191</v>
      </c>
      <c r="E44547" s="0" t="s">
        <v>191</v>
      </c>
      <c r="F44547" s="0" t="s">
        <v>191</v>
      </c>
    </row>
    <row r="44548" customFormat="false" ht="12.8" hidden="false" customHeight="false" outlineLevel="0" collapsed="false">
      <c r="B44548" s="0" t="s">
        <v>14</v>
      </c>
      <c r="C44548" s="0" t="s">
        <v>115</v>
      </c>
      <c r="D44548" s="0" t="s">
        <v>155</v>
      </c>
      <c r="E44548" s="0" t="s">
        <v>155</v>
      </c>
      <c r="F44548" s="0" t="s">
        <v>155</v>
      </c>
    </row>
    <row r="44549" customFormat="false" ht="12.8" hidden="false" customHeight="false" outlineLevel="0" collapsed="false">
      <c r="B44549" s="0" t="s">
        <v>35</v>
      </c>
      <c r="C44549" s="0" t="s">
        <v>15871</v>
      </c>
    </row>
    <row r="44550" customFormat="false" ht="12.8" hidden="false" customHeight="false" outlineLevel="0" collapsed="false">
      <c r="B44550" s="0" t="s">
        <v>181</v>
      </c>
    </row>
    <row r="44552" customFormat="false" ht="12.8" hidden="false" customHeight="false" outlineLevel="0" collapsed="false">
      <c r="A44552" s="0" t="s">
        <v>15872</v>
      </c>
      <c r="B44552" s="0" t="str">
        <f aca="false">HYPERLINK("https://lindat.mff.cuni.cz/services/teitok/pdtc10/index.php?action=vallex&amp;frame=v-w6177f7", "složit (v-w6177f7)")</f>
        <v>složit (v-w6177f7)</v>
      </c>
    </row>
    <row r="44553" customFormat="false" ht="12.8" hidden="false" customHeight="false" outlineLevel="0" collapsed="false">
      <c r="B44553" s="0" t="s">
        <v>7</v>
      </c>
      <c r="C44553" s="0" t="s">
        <v>191</v>
      </c>
      <c r="D44553" s="0" t="s">
        <v>191</v>
      </c>
      <c r="E44553" s="0" t="s">
        <v>191</v>
      </c>
      <c r="F44553" s="0" t="s">
        <v>191</v>
      </c>
    </row>
    <row r="44554" customFormat="false" ht="12.8" hidden="false" customHeight="false" outlineLevel="0" collapsed="false">
      <c r="B44554" s="0" t="s">
        <v>14</v>
      </c>
      <c r="C44554" s="0" t="s">
        <v>115</v>
      </c>
      <c r="D44554" s="0" t="s">
        <v>155</v>
      </c>
      <c r="E44554" s="0" t="s">
        <v>155</v>
      </c>
      <c r="F44554" s="0" t="s">
        <v>155</v>
      </c>
    </row>
    <row r="44555" customFormat="false" ht="12.8" hidden="false" customHeight="false" outlineLevel="0" collapsed="false">
      <c r="B44555" s="0" t="s">
        <v>2571</v>
      </c>
      <c r="C44555" s="0" t="s">
        <v>38</v>
      </c>
    </row>
    <row r="44557" customFormat="false" ht="12.8" hidden="false" customHeight="false" outlineLevel="0" collapsed="false">
      <c r="A44557" s="0" t="s">
        <v>15873</v>
      </c>
      <c r="B44557" s="0" t="str">
        <f aca="false">HYPERLINK("https://lindat.mff.cuni.cz/services/teitok/pdtc10/index.php?action=vallex&amp;frame=v-w6177f3", "složit (v-w6177f3)")</f>
        <v>složit (v-w6177f3)</v>
      </c>
    </row>
    <row r="44558" customFormat="false" ht="12.8" hidden="false" customHeight="false" outlineLevel="0" collapsed="false">
      <c r="B44558" s="0" t="s">
        <v>7</v>
      </c>
    </row>
    <row r="44559" customFormat="false" ht="12.8" hidden="false" customHeight="false" outlineLevel="0" collapsed="false">
      <c r="B44559" s="0" t="s">
        <v>14</v>
      </c>
    </row>
    <row r="44561" customFormat="false" ht="12.8" hidden="false" customHeight="false" outlineLevel="0" collapsed="false">
      <c r="A44561" s="0" t="s">
        <v>15874</v>
      </c>
      <c r="B44561" s="0" t="str">
        <f aca="false">HYPERLINK("https://lindat.mff.cuni.cz/services/teitok/pdtc10/index.php?action=vallex&amp;frame=v-w6177f8", "složit (v-w6177f8)")</f>
        <v>složit (v-w6177f8)</v>
      </c>
    </row>
    <row r="44562" customFormat="false" ht="12.8" hidden="false" customHeight="false" outlineLevel="0" collapsed="false">
      <c r="B44562" s="0" t="s">
        <v>7</v>
      </c>
    </row>
    <row r="44563" customFormat="false" ht="12.8" hidden="false" customHeight="false" outlineLevel="0" collapsed="false">
      <c r="B44563" s="0" t="s">
        <v>14</v>
      </c>
    </row>
    <row r="44565" customFormat="false" ht="12.8" hidden="false" customHeight="false" outlineLevel="0" collapsed="false">
      <c r="A44565" s="0" t="s">
        <v>15875</v>
      </c>
      <c r="B44565" s="0" t="str">
        <f aca="false">HYPERLINK("https://lindat.mff.cuni.cz/services/teitok/pdtc10/index.php?action=vallex&amp;frame=v-w6177f6", "složit (v-w6177f6)")</f>
        <v>složit (v-w6177f6)</v>
      </c>
    </row>
    <row r="44566" customFormat="false" ht="12.8" hidden="false" customHeight="false" outlineLevel="0" collapsed="false">
      <c r="B44566" s="0" t="s">
        <v>7</v>
      </c>
      <c r="C44566" s="0" t="s">
        <v>16</v>
      </c>
      <c r="D44566" s="0" t="s">
        <v>16</v>
      </c>
      <c r="E44566" s="0" t="s">
        <v>16</v>
      </c>
      <c r="F44566" s="0" t="s">
        <v>16</v>
      </c>
    </row>
    <row r="44567" customFormat="false" ht="12.8" hidden="false" customHeight="false" outlineLevel="0" collapsed="false">
      <c r="B44567" s="0" t="s">
        <v>14</v>
      </c>
      <c r="C44567" s="0" t="s">
        <v>18</v>
      </c>
      <c r="D44567" s="0" t="s">
        <v>18</v>
      </c>
      <c r="E44567" s="0" t="s">
        <v>18</v>
      </c>
      <c r="F44567" s="0" t="s">
        <v>18</v>
      </c>
    </row>
    <row r="44569" customFormat="false" ht="12.8" hidden="false" customHeight="false" outlineLevel="0" collapsed="false">
      <c r="A44569" s="0" t="s">
        <v>15876</v>
      </c>
      <c r="B44569" s="0" t="str">
        <f aca="false">HYPERLINK("https://lindat.mff.cuni.cz/services/teitok/pdtc10/index.php?action=vallex&amp;frame=v-w6177f5", "složit (v-w6177f5)")</f>
        <v>složit (v-w6177f5)</v>
      </c>
    </row>
    <row r="44570" customFormat="false" ht="12.8" hidden="false" customHeight="false" outlineLevel="0" collapsed="false">
      <c r="B44570" s="0" t="s">
        <v>7</v>
      </c>
    </row>
    <row r="44571" customFormat="false" ht="12.8" hidden="false" customHeight="false" outlineLevel="0" collapsed="false">
      <c r="B44571" s="0" t="s">
        <v>15877</v>
      </c>
    </row>
    <row r="44573" customFormat="false" ht="12.8" hidden="false" customHeight="false" outlineLevel="0" collapsed="false">
      <c r="A44573" s="0" t="s">
        <v>15878</v>
      </c>
      <c r="B44573" s="0" t="str">
        <f aca="false">HYPERLINK("https://lindat.mff.cuni.cz/services/teitok/pdtc10/index.php?action=vallex&amp;frame=v-w6177f12_ZU", "složit (v-w6177f12_ZU)")</f>
        <v>složit (v-w6177f12_ZU)</v>
      </c>
    </row>
    <row r="44574" customFormat="false" ht="12.8" hidden="false" customHeight="false" outlineLevel="0" collapsed="false">
      <c r="B44574" s="0" t="s">
        <v>7</v>
      </c>
    </row>
    <row r="44575" customFormat="false" ht="12.8" hidden="false" customHeight="false" outlineLevel="0" collapsed="false">
      <c r="B44575" s="0" t="s">
        <v>14</v>
      </c>
    </row>
    <row r="44577" customFormat="false" ht="12.8" hidden="false" customHeight="false" outlineLevel="0" collapsed="false">
      <c r="A44577" s="0" t="s">
        <v>15878</v>
      </c>
      <c r="B44577" s="0" t="str">
        <f aca="false">HYPERLINK("https://lindat.mff.cuni.cz/services/teitok/pdtc10/index.php?action=vallex&amp;frame=v-w6177f10_ZU", "složit (v-w6177f10_ZU) - substituted with v-w6177f12_ZU")</f>
        <v>složit (v-w6177f10_ZU) - substituted with v-w6177f12_ZU</v>
      </c>
    </row>
    <row r="44578" customFormat="false" ht="12.8" hidden="false" customHeight="false" outlineLevel="0" collapsed="false">
      <c r="B44578" s="0" t="s">
        <v>7</v>
      </c>
      <c r="C44578" s="0" t="s">
        <v>1142</v>
      </c>
    </row>
    <row r="44579" customFormat="false" ht="12.8" hidden="false" customHeight="false" outlineLevel="0" collapsed="false">
      <c r="B44579" s="0" t="s">
        <v>14</v>
      </c>
      <c r="C44579" s="0" t="s">
        <v>7007</v>
      </c>
    </row>
    <row r="44581" customFormat="false" ht="12.8" hidden="false" customHeight="false" outlineLevel="0" collapsed="false">
      <c r="A44581" s="0" t="s">
        <v>15878</v>
      </c>
      <c r="B44581" s="0" t="str">
        <f aca="false">HYPERLINK("https://lindat.mff.cuni.cz/services/teitok/pdtc10/index.php?action=vallex&amp;frame=v-w6177hsa_450", "složit (v-w6177hsa_450) - substituted with v-w6177f12_ZU")</f>
        <v>složit (v-w6177hsa_450) - substituted with v-w6177f12_ZU</v>
      </c>
    </row>
    <row r="44582" customFormat="false" ht="12.8" hidden="false" customHeight="false" outlineLevel="0" collapsed="false">
      <c r="B44582" s="0" t="s">
        <v>7</v>
      </c>
    </row>
    <row r="44583" customFormat="false" ht="12.8" hidden="false" customHeight="false" outlineLevel="0" collapsed="false">
      <c r="B44583" s="0" t="s">
        <v>14</v>
      </c>
    </row>
    <row r="44585" customFormat="false" ht="12.8" hidden="false" customHeight="false" outlineLevel="0" collapsed="false">
      <c r="A44585" s="0" t="s">
        <v>15879</v>
      </c>
      <c r="B44585" s="0" t="str">
        <f aca="false">HYPERLINK("https://lindat.mff.cuni.cz/services/teitok/pdtc10/index.php?action=vallex&amp;frame=v-w6177f9_ZU", "složit (v-w6177f9_ZU)")</f>
        <v>složit (v-w6177f9_ZU)</v>
      </c>
    </row>
    <row r="44586" customFormat="false" ht="12.8" hidden="false" customHeight="false" outlineLevel="0" collapsed="false">
      <c r="B44586" s="0" t="s">
        <v>7</v>
      </c>
    </row>
    <row r="44587" customFormat="false" ht="12.8" hidden="false" customHeight="false" outlineLevel="0" collapsed="false">
      <c r="B44587" s="0" t="s">
        <v>15880</v>
      </c>
    </row>
    <row r="44588" customFormat="false" ht="12.8" hidden="false" customHeight="false" outlineLevel="0" collapsed="false">
      <c r="B44588" s="0" t="s">
        <v>142</v>
      </c>
    </row>
    <row r="44590" customFormat="false" ht="12.8" hidden="false" customHeight="false" outlineLevel="0" collapsed="false">
      <c r="A44590" s="0" t="s">
        <v>15879</v>
      </c>
      <c r="B44590" s="0" t="str">
        <f aca="false">HYPERLINK("https://lindat.mff.cuni.cz/services/teitok/pdtc10/index.php?action=vallex&amp;frame=v-w6177hsa_451", "složit (v-w6177hsa_451) - substituted with v-w6177f9_ZU")</f>
        <v>složit (v-w6177hsa_451) - substituted with v-w6177f9_ZU</v>
      </c>
    </row>
    <row r="44591" customFormat="false" ht="12.8" hidden="false" customHeight="false" outlineLevel="0" collapsed="false">
      <c r="B44591" s="0" t="s">
        <v>7</v>
      </c>
    </row>
    <row r="44592" customFormat="false" ht="12.8" hidden="false" customHeight="false" outlineLevel="0" collapsed="false">
      <c r="B44592" s="0" t="s">
        <v>15880</v>
      </c>
    </row>
    <row r="44593" customFormat="false" ht="12.8" hidden="false" customHeight="false" outlineLevel="0" collapsed="false">
      <c r="B44593" s="0" t="s">
        <v>142</v>
      </c>
    </row>
    <row r="44595" customFormat="false" ht="12.8" hidden="false" customHeight="false" outlineLevel="0" collapsed="false">
      <c r="A44595" s="0" t="s">
        <v>15881</v>
      </c>
      <c r="B44595" s="0" t="str">
        <f aca="false">HYPERLINK("https://lindat.mff.cuni.cz/services/teitok/pdtc10/index.php?action=vallex&amp;frame=v-w6177f11_ZU", "složit (v-w6177f11_ZU)")</f>
        <v>složit (v-w6177f11_ZU)</v>
      </c>
    </row>
    <row r="44596" customFormat="false" ht="12.8" hidden="false" customHeight="false" outlineLevel="0" collapsed="false">
      <c r="B44596" s="0" t="s">
        <v>7</v>
      </c>
    </row>
    <row r="44597" customFormat="false" ht="12.8" hidden="false" customHeight="false" outlineLevel="0" collapsed="false">
      <c r="B44597" s="0" t="s">
        <v>10919</v>
      </c>
    </row>
    <row r="44598" customFormat="false" ht="12.8" hidden="false" customHeight="false" outlineLevel="0" collapsed="false">
      <c r="B44598" s="0" t="s">
        <v>11</v>
      </c>
    </row>
    <row r="44600" customFormat="false" ht="12.8" hidden="false" customHeight="false" outlineLevel="0" collapsed="false">
      <c r="A44600" s="0" t="s">
        <v>15881</v>
      </c>
      <c r="B44600" s="0" t="str">
        <f aca="false">HYPERLINK("https://lindat.mff.cuni.cz/services/teitok/pdtc10/index.php?action=vallex&amp;frame=v-w6177hsa_363", "složit (v-w6177hsa_363) - substituted with v-w6177f11_ZU")</f>
        <v>složit (v-w6177hsa_363) - substituted with v-w6177f11_ZU</v>
      </c>
    </row>
    <row r="44601" customFormat="false" ht="12.8" hidden="false" customHeight="false" outlineLevel="0" collapsed="false">
      <c r="B44601" s="0" t="s">
        <v>7</v>
      </c>
    </row>
    <row r="44602" customFormat="false" ht="12.8" hidden="false" customHeight="false" outlineLevel="0" collapsed="false">
      <c r="B44602" s="0" t="s">
        <v>10919</v>
      </c>
    </row>
    <row r="44603" customFormat="false" ht="12.8" hidden="false" customHeight="false" outlineLevel="0" collapsed="false">
      <c r="B44603" s="0" t="s">
        <v>11</v>
      </c>
    </row>
    <row r="44605" customFormat="false" ht="12.8" hidden="false" customHeight="false" outlineLevel="0" collapsed="false">
      <c r="A44605" s="0" t="s">
        <v>15882</v>
      </c>
      <c r="B44605" s="0" t="str">
        <f aca="false">HYPERLINK("https://lindat.mff.cuni.cz/services/teitok/pdtc10/index.php?action=vallex&amp;frame=v-w6177f13_ZU", "složit (v-w6177f13_ZU)")</f>
        <v>složit (v-w6177f13_ZU)</v>
      </c>
    </row>
    <row r="44606" customFormat="false" ht="12.8" hidden="false" customHeight="false" outlineLevel="0" collapsed="false">
      <c r="B44606" s="0" t="s">
        <v>7</v>
      </c>
    </row>
    <row r="44607" customFormat="false" ht="12.8" hidden="false" customHeight="false" outlineLevel="0" collapsed="false">
      <c r="B44607" s="0" t="s">
        <v>14</v>
      </c>
    </row>
    <row r="44609" customFormat="false" ht="12.8" hidden="false" customHeight="false" outlineLevel="0" collapsed="false">
      <c r="A44609" s="0" t="s">
        <v>15883</v>
      </c>
      <c r="B44609" s="0" t="str">
        <f aca="false">HYPERLINK("https://lindat.mff.cuni.cz/services/teitok/pdtc10/index.php?action=vallex&amp;frame=v-w6177hsa_362", "složit (v-w6177hsa_362)")</f>
        <v>složit (v-w6177hsa_362)</v>
      </c>
    </row>
    <row r="44610" customFormat="false" ht="12.8" hidden="false" customHeight="false" outlineLevel="0" collapsed="false">
      <c r="B44610" s="0" t="s">
        <v>7</v>
      </c>
    </row>
    <row r="44611" customFormat="false" ht="12.8" hidden="false" customHeight="false" outlineLevel="0" collapsed="false">
      <c r="B44611" s="0" t="s">
        <v>14</v>
      </c>
    </row>
    <row r="44613" customFormat="false" ht="12.8" hidden="false" customHeight="false" outlineLevel="0" collapsed="false">
      <c r="A44613" s="0" t="s">
        <v>15884</v>
      </c>
      <c r="B44613" s="0" t="str">
        <f aca="false">HYPERLINK("https://lindat.mff.cuni.cz/services/teitok/pdtc10/index.php?action=vallex&amp;frame=v-w6178f1", "složit se (v-w6178f1)")</f>
        <v>složit se (v-w6178f1)</v>
      </c>
    </row>
    <row r="44614" customFormat="false" ht="12.8" hidden="false" customHeight="false" outlineLevel="0" collapsed="false">
      <c r="B44614" s="0" t="s">
        <v>7</v>
      </c>
      <c r="F44614" s="0" t="s">
        <v>15885</v>
      </c>
    </row>
    <row r="44615" customFormat="false" ht="12.8" hidden="false" customHeight="false" outlineLevel="0" collapsed="false">
      <c r="B44615" s="0" t="s">
        <v>220</v>
      </c>
      <c r="F44615" s="0" t="s">
        <v>2182</v>
      </c>
    </row>
    <row r="44616" customFormat="false" ht="12.8" hidden="false" customHeight="false" outlineLevel="0" collapsed="false">
      <c r="B44616" s="0" t="s">
        <v>207</v>
      </c>
    </row>
    <row r="44618" customFormat="false" ht="12.8" hidden="false" customHeight="false" outlineLevel="0" collapsed="false">
      <c r="A44618" s="0" t="s">
        <v>15886</v>
      </c>
      <c r="B44618" s="0" t="str">
        <f aca="false">HYPERLINK("https://lindat.mff.cuni.cz/services/teitok/pdtc10/index.php?action=vallex&amp;frame=v-w6178f2_ZU", "složit se (v-w6178f2_ZU)")</f>
        <v>složit se (v-w6178f2_ZU)</v>
      </c>
    </row>
    <row r="44619" customFormat="false" ht="12.8" hidden="false" customHeight="false" outlineLevel="0" collapsed="false">
      <c r="B44619" s="0" t="s">
        <v>7</v>
      </c>
    </row>
    <row r="44620" customFormat="false" ht="12.8" hidden="false" customHeight="false" outlineLevel="0" collapsed="false">
      <c r="B44620" s="0" t="s">
        <v>41</v>
      </c>
    </row>
    <row r="44622" customFormat="false" ht="12.8" hidden="false" customHeight="false" outlineLevel="0" collapsed="false">
      <c r="A44622" s="0" t="s">
        <v>15887</v>
      </c>
      <c r="B44622" s="0" t="str">
        <f aca="false">HYPERLINK("https://lindat.mff.cuni.cz/services/teitok/pdtc10/index.php?action=vallex&amp;frame=v-w6178hsa_1546", "složit se (v-w6178hsa_1546)")</f>
        <v>složit se (v-w6178hsa_1546)</v>
      </c>
    </row>
    <row r="44623" customFormat="false" ht="12.8" hidden="false" customHeight="false" outlineLevel="0" collapsed="false">
      <c r="B44623" s="0" t="s">
        <v>7</v>
      </c>
    </row>
    <row r="44625" customFormat="false" ht="12.8" hidden="false" customHeight="false" outlineLevel="0" collapsed="false">
      <c r="A44625" s="0" t="s">
        <v>15888</v>
      </c>
      <c r="B44625" s="0" t="str">
        <f aca="false">HYPERLINK("https://lindat.mff.cuni.cz/services/teitok/pdtc10/index.php?action=vallex&amp;frame=v-w6184f1", "slunit se (v-w6184f1)")</f>
        <v>slunit se (v-w6184f1)</v>
      </c>
    </row>
    <row r="44626" customFormat="false" ht="12.8" hidden="false" customHeight="false" outlineLevel="0" collapsed="false">
      <c r="B44626" s="0" t="s">
        <v>7</v>
      </c>
    </row>
    <row r="44628" customFormat="false" ht="12.8" hidden="false" customHeight="false" outlineLevel="0" collapsed="false">
      <c r="A44628" s="0" t="s">
        <v>15889</v>
      </c>
      <c r="B44628" s="0" t="str">
        <f aca="false">HYPERLINK("https://lindat.mff.cuni.cz/services/teitok/pdtc10/index.php?action=vallex&amp;frame=v-w6185f1", "slupnout (v-w6185f1)")</f>
        <v>slupnout (v-w6185f1)</v>
      </c>
    </row>
    <row r="44629" customFormat="false" ht="12.8" hidden="false" customHeight="false" outlineLevel="0" collapsed="false">
      <c r="B44629" s="0" t="s">
        <v>7</v>
      </c>
    </row>
    <row r="44630" customFormat="false" ht="12.8" hidden="false" customHeight="false" outlineLevel="0" collapsed="false">
      <c r="B44630" s="0" t="s">
        <v>14</v>
      </c>
    </row>
    <row r="44632" customFormat="false" ht="12.8" hidden="false" customHeight="false" outlineLevel="0" collapsed="false">
      <c r="A44632" s="0" t="s">
        <v>15890</v>
      </c>
      <c r="B44632" s="0" t="str">
        <f aca="false">HYPERLINK("https://lindat.mff.cuni.cz/services/teitok/pdtc10/index.php?action=vallex&amp;frame=v-w11590_ZUf1_ZU", "slučovat (v-w11590_ZUf1_ZU)")</f>
        <v>slučovat (v-w11590_ZUf1_ZU)</v>
      </c>
    </row>
    <row r="44633" customFormat="false" ht="12.8" hidden="false" customHeight="false" outlineLevel="0" collapsed="false">
      <c r="B44633" s="0" t="s">
        <v>7</v>
      </c>
    </row>
    <row r="44634" customFormat="false" ht="12.8" hidden="false" customHeight="false" outlineLevel="0" collapsed="false">
      <c r="B44634" s="0" t="s">
        <v>14</v>
      </c>
    </row>
    <row r="44635" customFormat="false" ht="12.8" hidden="false" customHeight="false" outlineLevel="0" collapsed="false">
      <c r="B44635" s="0" t="s">
        <v>207</v>
      </c>
    </row>
    <row r="44636" customFormat="false" ht="12.8" hidden="false" customHeight="false" outlineLevel="0" collapsed="false">
      <c r="B44636" s="0" t="s">
        <v>2571</v>
      </c>
    </row>
    <row r="44638" customFormat="false" ht="12.8" hidden="false" customHeight="false" outlineLevel="0" collapsed="false">
      <c r="A44638" s="0" t="s">
        <v>15891</v>
      </c>
      <c r="B44638" s="0" t="str">
        <f aca="false">HYPERLINK("https://lindat.mff.cuni.cz/services/teitok/pdtc10/index.php?action=vallex&amp;frame=v-w6182f2_ZU", "slučovat se (v-w6182f2_ZU)")</f>
        <v>slučovat se (v-w6182f2_ZU)</v>
      </c>
    </row>
    <row r="44639" customFormat="false" ht="12.8" hidden="false" customHeight="false" outlineLevel="0" collapsed="false">
      <c r="B44639" s="0" t="s">
        <v>7</v>
      </c>
      <c r="C44639" s="0" t="s">
        <v>9261</v>
      </c>
      <c r="D44639" s="0" t="s">
        <v>3184</v>
      </c>
      <c r="E44639" s="0" t="s">
        <v>3185</v>
      </c>
      <c r="F44639" s="0" t="s">
        <v>3185</v>
      </c>
    </row>
    <row r="44640" customFormat="false" ht="12.8" hidden="false" customHeight="false" outlineLevel="0" collapsed="false">
      <c r="B44640" s="0" t="s">
        <v>548</v>
      </c>
      <c r="C44640" s="0" t="s">
        <v>15892</v>
      </c>
      <c r="D44640" s="0" t="s">
        <v>3186</v>
      </c>
      <c r="E44640" s="0" t="s">
        <v>3186</v>
      </c>
      <c r="F44640" s="0" t="s">
        <v>3186</v>
      </c>
    </row>
    <row r="44641" customFormat="false" ht="12.8" hidden="false" customHeight="false" outlineLevel="0" collapsed="false">
      <c r="B44641" s="0" t="s">
        <v>2571</v>
      </c>
      <c r="C44641" s="0" t="s">
        <v>4724</v>
      </c>
      <c r="D44641" s="0" t="s">
        <v>10273</v>
      </c>
      <c r="E44641" s="0" t="s">
        <v>10273</v>
      </c>
      <c r="F44641" s="0" t="s">
        <v>10273</v>
      </c>
    </row>
    <row r="44643" customFormat="false" ht="12.8" hidden="false" customHeight="false" outlineLevel="0" collapsed="false">
      <c r="A44643" s="0" t="s">
        <v>15893</v>
      </c>
      <c r="B44643" s="0" t="str">
        <f aca="false">HYPERLINK("https://lindat.mff.cuni.cz/services/teitok/pdtc10/index.php?action=vallex&amp;frame=v-w6182f1", "slučovat se (v-w6182f1)")</f>
        <v>slučovat se (v-w6182f1)</v>
      </c>
    </row>
    <row r="44644" customFormat="false" ht="12.8" hidden="false" customHeight="false" outlineLevel="0" collapsed="false">
      <c r="B44644" s="0" t="s">
        <v>7</v>
      </c>
      <c r="C44644" s="0" t="s">
        <v>1332</v>
      </c>
    </row>
    <row r="44645" customFormat="false" ht="12.8" hidden="false" customHeight="false" outlineLevel="0" collapsed="false">
      <c r="B44645" s="0" t="s">
        <v>548</v>
      </c>
      <c r="C44645" s="0" t="s">
        <v>89</v>
      </c>
    </row>
    <row r="44647" customFormat="false" ht="12.8" hidden="false" customHeight="false" outlineLevel="0" collapsed="false">
      <c r="A44647" s="0" t="s">
        <v>15894</v>
      </c>
      <c r="B44647" s="0" t="str">
        <f aca="false">HYPERLINK("https://lindat.mff.cuni.cz/services/teitok/pdtc10/index.php?action=vallex&amp;frame=v-w6186f1", "slušet (v-w6186f1)")</f>
        <v>slušet (v-w6186f1)</v>
      </c>
    </row>
    <row r="44648" customFormat="false" ht="12.8" hidden="false" customHeight="false" outlineLevel="0" collapsed="false">
      <c r="B44648" s="0" t="s">
        <v>6802</v>
      </c>
      <c r="D44648" s="0" t="s">
        <v>3899</v>
      </c>
      <c r="E44648" s="0" t="s">
        <v>3899</v>
      </c>
      <c r="F44648" s="0" t="s">
        <v>3899</v>
      </c>
    </row>
    <row r="44649" customFormat="false" ht="12.8" hidden="false" customHeight="false" outlineLevel="0" collapsed="false">
      <c r="B44649" s="0" t="s">
        <v>142</v>
      </c>
      <c r="D44649" s="0" t="s">
        <v>5092</v>
      </c>
      <c r="E44649" s="0" t="s">
        <v>5092</v>
      </c>
      <c r="F44649" s="0" t="s">
        <v>5092</v>
      </c>
    </row>
    <row r="44651" customFormat="false" ht="12.8" hidden="false" customHeight="false" outlineLevel="0" collapsed="false">
      <c r="A44651" s="0" t="s">
        <v>15895</v>
      </c>
      <c r="B44651" s="0" t="str">
        <f aca="false">HYPERLINK("https://lindat.mff.cuni.cz/services/teitok/pdtc10/index.php?action=vallex&amp;frame=v-w6187f1", "slušet se (v-w6187f1)")</f>
        <v>slušet se (v-w6187f1)</v>
      </c>
    </row>
    <row r="44652" customFormat="false" ht="12.8" hidden="false" customHeight="false" outlineLevel="0" collapsed="false">
      <c r="B44652" s="0" t="s">
        <v>5651</v>
      </c>
      <c r="D44652" s="0" t="s">
        <v>3899</v>
      </c>
      <c r="E44652" s="0" t="s">
        <v>3899</v>
      </c>
      <c r="F44652" s="0" t="s">
        <v>3899</v>
      </c>
    </row>
    <row r="44653" customFormat="false" ht="12.8" hidden="false" customHeight="false" outlineLevel="0" collapsed="false">
      <c r="B44653" s="0" t="s">
        <v>9633</v>
      </c>
      <c r="D44653" s="0" t="s">
        <v>5092</v>
      </c>
      <c r="E44653" s="0" t="s">
        <v>5092</v>
      </c>
      <c r="F44653" s="0" t="s">
        <v>5092</v>
      </c>
    </row>
    <row r="44655" customFormat="false" ht="12.8" hidden="false" customHeight="false" outlineLevel="0" collapsed="false">
      <c r="A44655" s="0" t="s">
        <v>15896</v>
      </c>
      <c r="B44655" s="0" t="str">
        <f aca="false">HYPERLINK("https://lindat.mff.cuni.cz/services/teitok/pdtc10/index.php?action=vallex&amp;frame=v-w6192f3", "slyšet (v-w6192f3)")</f>
        <v>slyšet (v-w6192f3)</v>
      </c>
    </row>
    <row r="44656" customFormat="false" ht="12.8" hidden="false" customHeight="false" outlineLevel="0" collapsed="false">
      <c r="B44656" s="0" t="s">
        <v>7</v>
      </c>
      <c r="C44656" s="0" t="s">
        <v>4960</v>
      </c>
      <c r="D44656" s="0" t="s">
        <v>2266</v>
      </c>
      <c r="E44656" s="0" t="s">
        <v>2266</v>
      </c>
      <c r="F44656" s="0" t="s">
        <v>2266</v>
      </c>
    </row>
    <row r="44657" customFormat="false" ht="12.8" hidden="false" customHeight="false" outlineLevel="0" collapsed="false">
      <c r="B44657" s="0" t="s">
        <v>15897</v>
      </c>
      <c r="C44657" s="0" t="s">
        <v>15898</v>
      </c>
      <c r="D44657" s="0" t="s">
        <v>2270</v>
      </c>
      <c r="E44657" s="0" t="s">
        <v>2270</v>
      </c>
      <c r="F44657" s="0" t="s">
        <v>2270</v>
      </c>
    </row>
    <row r="44658" customFormat="false" ht="12.8" hidden="false" customHeight="false" outlineLevel="0" collapsed="false">
      <c r="B44658" s="0" t="s">
        <v>441</v>
      </c>
      <c r="C44658" s="0" t="s">
        <v>2272</v>
      </c>
      <c r="D44658" s="0" t="s">
        <v>2273</v>
      </c>
      <c r="E44658" s="0" t="s">
        <v>2273</v>
      </c>
      <c r="F44658" s="0" t="s">
        <v>2273</v>
      </c>
    </row>
    <row r="44660" customFormat="false" ht="12.8" hidden="false" customHeight="false" outlineLevel="0" collapsed="false">
      <c r="A44660" s="0" t="s">
        <v>15899</v>
      </c>
      <c r="B44660" s="0" t="str">
        <f aca="false">HYPERLINK("https://lindat.mff.cuni.cz/services/teitok/pdtc10/index.php?action=vallex&amp;frame=v-w6192f9_ZU", "slyšet (v-w6192f9_ZU)")</f>
        <v>slyšet (v-w6192f9_ZU)</v>
      </c>
    </row>
    <row r="44661" customFormat="false" ht="12.8" hidden="false" customHeight="false" outlineLevel="0" collapsed="false">
      <c r="B44661" s="0" t="s">
        <v>7</v>
      </c>
    </row>
    <row r="44662" customFormat="false" ht="12.8" hidden="false" customHeight="false" outlineLevel="0" collapsed="false">
      <c r="B44662" s="0" t="s">
        <v>14</v>
      </c>
    </row>
    <row r="44663" customFormat="false" ht="12.8" hidden="false" customHeight="false" outlineLevel="0" collapsed="false">
      <c r="B44663" s="0" t="s">
        <v>15900</v>
      </c>
    </row>
    <row r="44665" customFormat="false" ht="12.8" hidden="false" customHeight="false" outlineLevel="0" collapsed="false">
      <c r="A44665" s="0" t="s">
        <v>15899</v>
      </c>
      <c r="B44665" s="0" t="str">
        <f aca="false">HYPERLINK("https://lindat.mff.cuni.cz/services/teitok/pdtc10/index.php?action=vallex&amp;frame=v-w6192f4", "slyšet (v-w6192f4) - substituted with v-w6192f9_ZU")</f>
        <v>slyšet (v-w6192f4) - substituted with v-w6192f9_ZU</v>
      </c>
    </row>
    <row r="44666" customFormat="false" ht="12.8" hidden="false" customHeight="false" outlineLevel="0" collapsed="false">
      <c r="B44666" s="0" t="s">
        <v>7</v>
      </c>
      <c r="C44666" s="0" t="s">
        <v>8626</v>
      </c>
      <c r="D44666" s="0" t="s">
        <v>23</v>
      </c>
      <c r="E44666" s="0" t="s">
        <v>23</v>
      </c>
      <c r="F44666" s="0" t="s">
        <v>23</v>
      </c>
    </row>
    <row r="44667" customFormat="false" ht="12.8" hidden="false" customHeight="false" outlineLevel="0" collapsed="false">
      <c r="B44667" s="0" t="s">
        <v>14</v>
      </c>
      <c r="D44667" s="0" t="s">
        <v>15901</v>
      </c>
      <c r="E44667" s="0" t="s">
        <v>15901</v>
      </c>
      <c r="F44667" s="0" t="s">
        <v>15901</v>
      </c>
    </row>
    <row r="44668" customFormat="false" ht="12.8" hidden="false" customHeight="false" outlineLevel="0" collapsed="false">
      <c r="B44668" s="0" t="s">
        <v>15900</v>
      </c>
      <c r="C44668" s="0" t="s">
        <v>15902</v>
      </c>
      <c r="D44668" s="0" t="s">
        <v>15903</v>
      </c>
      <c r="E44668" s="0" t="s">
        <v>15903</v>
      </c>
      <c r="F44668" s="0" t="s">
        <v>15903</v>
      </c>
    </row>
    <row r="44670" customFormat="false" ht="12.8" hidden="false" customHeight="false" outlineLevel="0" collapsed="false">
      <c r="A44670" s="0" t="s">
        <v>15899</v>
      </c>
      <c r="B44670" s="0" t="str">
        <f aca="false">HYPERLINK("https://lindat.mff.cuni.cz/services/teitok/pdtc10/index.php?action=vallex&amp;frame=v-w6192f6_ZU", "slyšet (v-w6192f6_ZU) - substituted with v-w6192f9_ZU")</f>
        <v>slyšet (v-w6192f6_ZU) - substituted with v-w6192f9_ZU</v>
      </c>
    </row>
    <row r="44671" customFormat="false" ht="12.8" hidden="false" customHeight="false" outlineLevel="0" collapsed="false">
      <c r="B44671" s="0" t="s">
        <v>7</v>
      </c>
    </row>
    <row r="44672" customFormat="false" ht="12.8" hidden="false" customHeight="false" outlineLevel="0" collapsed="false">
      <c r="B44672" s="0" t="s">
        <v>14</v>
      </c>
    </row>
    <row r="44673" customFormat="false" ht="12.8" hidden="false" customHeight="false" outlineLevel="0" collapsed="false">
      <c r="B44673" s="0" t="s">
        <v>15900</v>
      </c>
    </row>
    <row r="44675" customFormat="false" ht="12.8" hidden="false" customHeight="false" outlineLevel="0" collapsed="false">
      <c r="A44675" s="0" t="s">
        <v>15904</v>
      </c>
      <c r="B44675" s="0" t="str">
        <f aca="false">HYPERLINK("https://lindat.mff.cuni.cz/services/teitok/pdtc10/index.php?action=vallex&amp;frame=v-w6192f8_ZU", "slyšet (v-w6192f8_ZU)")</f>
        <v>slyšet (v-w6192f8_ZU)</v>
      </c>
    </row>
    <row r="44676" customFormat="false" ht="12.8" hidden="false" customHeight="false" outlineLevel="0" collapsed="false">
      <c r="B44676" s="0" t="s">
        <v>7</v>
      </c>
    </row>
    <row r="44677" customFormat="false" ht="12.8" hidden="false" customHeight="false" outlineLevel="0" collapsed="false">
      <c r="B44677" s="0" t="s">
        <v>15905</v>
      </c>
    </row>
    <row r="44679" customFormat="false" ht="12.8" hidden="false" customHeight="false" outlineLevel="0" collapsed="false">
      <c r="A44679" s="0" t="s">
        <v>15904</v>
      </c>
      <c r="B44679" s="0" t="str">
        <f aca="false">HYPERLINK("https://lindat.mff.cuni.cz/services/teitok/pdtc10/index.php?action=vallex&amp;frame=v-w6192f1", "slyšet (v-w6192f1) - substituted with v-w6192f8_ZU")</f>
        <v>slyšet (v-w6192f1) - substituted with v-w6192f8_ZU</v>
      </c>
    </row>
    <row r="44680" customFormat="false" ht="12.8" hidden="false" customHeight="false" outlineLevel="0" collapsed="false">
      <c r="B44680" s="0" t="s">
        <v>7</v>
      </c>
      <c r="C44680" s="0" t="s">
        <v>15906</v>
      </c>
      <c r="D44680" s="0" t="s">
        <v>23</v>
      </c>
      <c r="E44680" s="0" t="s">
        <v>23</v>
      </c>
      <c r="F44680" s="0" t="s">
        <v>23</v>
      </c>
    </row>
    <row r="44681" customFormat="false" ht="12.8" hidden="false" customHeight="false" outlineLevel="0" collapsed="false">
      <c r="B44681" s="0" t="s">
        <v>15905</v>
      </c>
      <c r="C44681" s="0" t="s">
        <v>15907</v>
      </c>
      <c r="D44681" s="0" t="s">
        <v>15901</v>
      </c>
      <c r="E44681" s="0" t="s">
        <v>15901</v>
      </c>
      <c r="F44681" s="0" t="s">
        <v>15901</v>
      </c>
    </row>
    <row r="44683" customFormat="false" ht="12.8" hidden="false" customHeight="false" outlineLevel="0" collapsed="false">
      <c r="A44683" s="0" t="s">
        <v>15908</v>
      </c>
      <c r="B44683" s="0" t="str">
        <f aca="false">HYPERLINK("https://lindat.mff.cuni.cz/services/teitok/pdtc10/index.php?action=vallex&amp;frame=v-w6192f5", "slyšet (v-w6192f5)")</f>
        <v>slyšet (v-w6192f5)</v>
      </c>
    </row>
    <row r="44684" customFormat="false" ht="12.8" hidden="false" customHeight="false" outlineLevel="0" collapsed="false">
      <c r="B44684" s="0" t="s">
        <v>7</v>
      </c>
    </row>
    <row r="44685" customFormat="false" ht="12.8" hidden="false" customHeight="false" outlineLevel="0" collapsed="false">
      <c r="B44685" s="0" t="s">
        <v>41</v>
      </c>
    </row>
    <row r="44687" customFormat="false" ht="12.8" hidden="false" customHeight="false" outlineLevel="0" collapsed="false">
      <c r="A44687" s="0" t="s">
        <v>15909</v>
      </c>
      <c r="B44687" s="0" t="str">
        <f aca="false">HYPERLINK("https://lindat.mff.cuni.cz/services/teitok/pdtc10/index.php?action=vallex&amp;frame=v-w6192f2", "slyšet (v-w6192f2)")</f>
        <v>slyšet (v-w6192f2)</v>
      </c>
    </row>
    <row r="44688" customFormat="false" ht="12.8" hidden="false" customHeight="false" outlineLevel="0" collapsed="false">
      <c r="B44688" s="0" t="s">
        <v>7</v>
      </c>
      <c r="C44688" s="0" t="s">
        <v>8626</v>
      </c>
      <c r="D44688" s="0" t="s">
        <v>2266</v>
      </c>
      <c r="E44688" s="0" t="s">
        <v>2266</v>
      </c>
      <c r="F44688" s="0" t="s">
        <v>2266</v>
      </c>
    </row>
    <row r="44689" customFormat="false" ht="12.8" hidden="false" customHeight="false" outlineLevel="0" collapsed="false">
      <c r="B44689" s="0" t="s">
        <v>2267</v>
      </c>
      <c r="C44689" s="0" t="s">
        <v>15902</v>
      </c>
      <c r="D44689" s="0" t="s">
        <v>2269</v>
      </c>
      <c r="E44689" s="0" t="s">
        <v>2269</v>
      </c>
      <c r="F44689" s="0" t="s">
        <v>2269</v>
      </c>
    </row>
    <row r="44690" customFormat="false" ht="12.8" hidden="false" customHeight="false" outlineLevel="0" collapsed="false">
      <c r="B44690" s="0" t="s">
        <v>363</v>
      </c>
      <c r="D44690" s="0" t="s">
        <v>2270</v>
      </c>
      <c r="E44690" s="0" t="s">
        <v>2270</v>
      </c>
      <c r="F44690" s="0" t="s">
        <v>2270</v>
      </c>
    </row>
    <row r="44691" customFormat="false" ht="12.8" hidden="false" customHeight="false" outlineLevel="0" collapsed="false">
      <c r="B44691" s="0" t="s">
        <v>2271</v>
      </c>
      <c r="C44691" s="0" t="s">
        <v>2272</v>
      </c>
      <c r="D44691" s="0" t="s">
        <v>2273</v>
      </c>
      <c r="E44691" s="0" t="s">
        <v>2273</v>
      </c>
      <c r="F44691" s="0" t="s">
        <v>2273</v>
      </c>
    </row>
    <row r="44693" customFormat="false" ht="12.8" hidden="false" customHeight="false" outlineLevel="0" collapsed="false">
      <c r="A44693" s="0" t="s">
        <v>15910</v>
      </c>
      <c r="B44693" s="0" t="str">
        <f aca="false">HYPERLINK("https://lindat.mff.cuni.cz/services/teitok/pdtc10/index.php?action=vallex&amp;frame=v-w6192f7_ZU", "slyšet (v-w6192f7_ZU)")</f>
        <v>slyšet (v-w6192f7_ZU)</v>
      </c>
    </row>
    <row r="44694" customFormat="false" ht="12.8" hidden="false" customHeight="false" outlineLevel="0" collapsed="false">
      <c r="B44694" s="0" t="s">
        <v>7</v>
      </c>
    </row>
    <row r="44695" customFormat="false" ht="12.8" hidden="false" customHeight="false" outlineLevel="0" collapsed="false">
      <c r="B44695" s="0" t="s">
        <v>15911</v>
      </c>
    </row>
    <row r="44697" customFormat="false" ht="12.8" hidden="false" customHeight="false" outlineLevel="0" collapsed="false">
      <c r="A44697" s="0" t="s">
        <v>15910</v>
      </c>
      <c r="B44697" s="0" t="str">
        <f aca="false">HYPERLINK("https://lindat.mff.cuni.cz/services/teitok/pdtc10/index.php?action=vallex&amp;frame=v-w6192hsa_1037", "slyšet (v-w6192hsa_1037) - substituted with v-w6192f7_ZU")</f>
        <v>slyšet (v-w6192hsa_1037) - substituted with v-w6192f7_ZU</v>
      </c>
    </row>
    <row r="44698" customFormat="false" ht="12.8" hidden="false" customHeight="false" outlineLevel="0" collapsed="false">
      <c r="B44698" s="0" t="s">
        <v>7</v>
      </c>
    </row>
    <row r="44699" customFormat="false" ht="12.8" hidden="false" customHeight="false" outlineLevel="0" collapsed="false">
      <c r="B44699" s="0" t="s">
        <v>15911</v>
      </c>
    </row>
    <row r="44701" customFormat="false" ht="12.8" hidden="false" customHeight="false" outlineLevel="0" collapsed="false">
      <c r="A44701" s="0" t="s">
        <v>15912</v>
      </c>
      <c r="B44701" s="0" t="str">
        <f aca="false">HYPERLINK("https://lindat.mff.cuni.cz/services/teitok/pdtc10/index.php?action=vallex&amp;frame=v-whsa_1135hsa_1136", "slyšet se (v-whsa_1135hsa_1136)")</f>
        <v>slyšet se (v-whsa_1135hsa_1136)</v>
      </c>
    </row>
    <row r="44702" customFormat="false" ht="12.8" hidden="false" customHeight="false" outlineLevel="0" collapsed="false">
      <c r="B44702" s="0" t="s">
        <v>7</v>
      </c>
    </row>
    <row r="44703" customFormat="false" ht="12.8" hidden="false" customHeight="false" outlineLevel="0" collapsed="false">
      <c r="B44703" s="0" t="s">
        <v>548</v>
      </c>
    </row>
    <row r="44705" customFormat="false" ht="12.8" hidden="false" customHeight="false" outlineLevel="0" collapsed="false">
      <c r="A44705" s="0" t="s">
        <v>15913</v>
      </c>
      <c r="B44705" s="0" t="str">
        <f aca="false">HYPERLINK("https://lindat.mff.cuni.cz/services/teitok/pdtc10/index.php?action=vallex&amp;frame=v-w6139f1", "slábnout (v-w6139f1)")</f>
        <v>slábnout (v-w6139f1)</v>
      </c>
    </row>
    <row r="44706" customFormat="false" ht="12.8" hidden="false" customHeight="false" outlineLevel="0" collapsed="false">
      <c r="B44706" s="0" t="s">
        <v>7</v>
      </c>
      <c r="C44706" s="0" t="s">
        <v>15914</v>
      </c>
      <c r="D44706" s="0" t="s">
        <v>9110</v>
      </c>
      <c r="E44706" s="0" t="s">
        <v>9111</v>
      </c>
      <c r="F44706" s="0" t="s">
        <v>9111</v>
      </c>
    </row>
    <row r="44708" customFormat="false" ht="12.8" hidden="false" customHeight="false" outlineLevel="0" collapsed="false">
      <c r="A44708" s="0" t="s">
        <v>15915</v>
      </c>
      <c r="B44708" s="0" t="str">
        <f aca="false">HYPERLINK("https://lindat.mff.cuni.cz/services/teitok/pdtc10/index.php?action=vallex&amp;frame=v-w11272f1", "slétat se (v-w11272f1)")</f>
        <v>slétat se (v-w11272f1)</v>
      </c>
    </row>
    <row r="44709" customFormat="false" ht="12.8" hidden="false" customHeight="false" outlineLevel="0" collapsed="false">
      <c r="B44709" s="0" t="s">
        <v>7</v>
      </c>
    </row>
    <row r="44710" customFormat="false" ht="12.8" hidden="false" customHeight="false" outlineLevel="0" collapsed="false">
      <c r="B44710" s="0" t="s">
        <v>124</v>
      </c>
    </row>
    <row r="44712" customFormat="false" ht="12.8" hidden="false" customHeight="false" outlineLevel="0" collapsed="false">
      <c r="A44712" s="0" t="s">
        <v>15916</v>
      </c>
      <c r="B44712" s="0" t="str">
        <f aca="false">HYPERLINK("https://lindat.mff.cuni.cz/services/teitok/pdtc10/index.php?action=vallex&amp;frame=v-w11124f2", "slétnout (v-w11124f2)")</f>
        <v>slétnout (v-w11124f2)</v>
      </c>
    </row>
    <row r="44713" customFormat="false" ht="12.8" hidden="false" customHeight="false" outlineLevel="0" collapsed="false">
      <c r="B44713" s="0" t="s">
        <v>7</v>
      </c>
    </row>
    <row r="44714" customFormat="false" ht="12.8" hidden="false" customHeight="false" outlineLevel="0" collapsed="false">
      <c r="B44714" s="0" t="s">
        <v>63</v>
      </c>
    </row>
    <row r="44715" customFormat="false" ht="12.8" hidden="false" customHeight="false" outlineLevel="0" collapsed="false">
      <c r="B44715" s="0" t="s">
        <v>35</v>
      </c>
    </row>
    <row r="44717" customFormat="false" ht="12.8" hidden="false" customHeight="false" outlineLevel="0" collapsed="false">
      <c r="A44717" s="0" t="s">
        <v>15917</v>
      </c>
      <c r="B44717" s="0" t="str">
        <f aca="false">HYPERLINK("https://lindat.mff.cuni.cz/services/teitok/pdtc10/index.php?action=vallex&amp;frame=v-w6153f1", "slévat se (v-w6153f1)")</f>
        <v>slévat se (v-w6153f1)</v>
      </c>
    </row>
    <row r="44718" customFormat="false" ht="12.8" hidden="false" customHeight="false" outlineLevel="0" collapsed="false">
      <c r="B44718" s="0" t="s">
        <v>7</v>
      </c>
    </row>
    <row r="44719" customFormat="false" ht="12.8" hidden="false" customHeight="false" outlineLevel="0" collapsed="false">
      <c r="B44719" s="0" t="s">
        <v>548</v>
      </c>
    </row>
    <row r="44720" customFormat="false" ht="12.8" hidden="false" customHeight="false" outlineLevel="0" collapsed="false">
      <c r="B44720" s="0" t="s">
        <v>2571</v>
      </c>
    </row>
    <row r="44722" customFormat="false" ht="12.8" hidden="false" customHeight="false" outlineLevel="0" collapsed="false">
      <c r="A44722" s="0" t="s">
        <v>15918</v>
      </c>
      <c r="B44722" s="0" t="str">
        <f aca="false">HYPERLINK("https://lindat.mff.cuni.cz/services/teitok/pdtc10/index.php?action=vallex&amp;frame=v-w6155f1", "slézat (v-w6155f1)")</f>
        <v>slézat (v-w6155f1)</v>
      </c>
    </row>
    <row r="44723" customFormat="false" ht="12.8" hidden="false" customHeight="false" outlineLevel="0" collapsed="false">
      <c r="B44723" s="0" t="s">
        <v>7</v>
      </c>
      <c r="C44723" s="0" t="s">
        <v>113</v>
      </c>
      <c r="D44723" s="0" t="s">
        <v>1894</v>
      </c>
      <c r="E44723" s="0" t="s">
        <v>1894</v>
      </c>
      <c r="F44723" s="0" t="s">
        <v>1894</v>
      </c>
    </row>
    <row r="44724" customFormat="false" ht="12.8" hidden="false" customHeight="false" outlineLevel="0" collapsed="false">
      <c r="B44724" s="0" t="s">
        <v>459</v>
      </c>
    </row>
    <row r="44726" customFormat="false" ht="12.8" hidden="false" customHeight="false" outlineLevel="0" collapsed="false">
      <c r="A44726" s="0" t="s">
        <v>15919</v>
      </c>
      <c r="B44726" s="0" t="str">
        <f aca="false">HYPERLINK("https://lindat.mff.cuni.cz/services/teitok/pdtc10/index.php?action=vallex&amp;frame=v-w6156f1", "slézt (v-w6156f1)")</f>
        <v>slézt (v-w6156f1)</v>
      </c>
    </row>
    <row r="44727" customFormat="false" ht="12.8" hidden="false" customHeight="false" outlineLevel="0" collapsed="false">
      <c r="B44727" s="0" t="s">
        <v>7</v>
      </c>
      <c r="D44727" s="0" t="s">
        <v>1894</v>
      </c>
      <c r="E44727" s="0" t="s">
        <v>1894</v>
      </c>
      <c r="F44727" s="0" t="s">
        <v>1894</v>
      </c>
    </row>
    <row r="44728" customFormat="false" ht="12.8" hidden="false" customHeight="false" outlineLevel="0" collapsed="false">
      <c r="B44728" s="0" t="s">
        <v>459</v>
      </c>
    </row>
    <row r="44730" customFormat="false" ht="12.8" hidden="false" customHeight="false" outlineLevel="0" collapsed="false">
      <c r="A44730" s="0" t="s">
        <v>15920</v>
      </c>
      <c r="B44730" s="0" t="str">
        <f aca="false">HYPERLINK("https://lindat.mff.cuni.cz/services/teitok/pdtc10/index.php?action=vallex&amp;frame=v-w6159f1", "slíbit (v-w6159f1)")</f>
        <v>slíbit (v-w6159f1)</v>
      </c>
    </row>
    <row r="44731" customFormat="false" ht="12.8" hidden="false" customHeight="false" outlineLevel="0" collapsed="false">
      <c r="B44731" s="0" t="s">
        <v>7</v>
      </c>
      <c r="C44731" s="0" t="s">
        <v>15921</v>
      </c>
      <c r="D44731" s="0" t="s">
        <v>14142</v>
      </c>
      <c r="E44731" s="0" t="s">
        <v>14142</v>
      </c>
      <c r="F44731" s="0" t="s">
        <v>14142</v>
      </c>
    </row>
    <row r="44732" customFormat="false" ht="12.8" hidden="false" customHeight="false" outlineLevel="0" collapsed="false">
      <c r="B44732" s="0" t="s">
        <v>14143</v>
      </c>
      <c r="C44732" s="0" t="s">
        <v>15922</v>
      </c>
      <c r="D44732" s="0" t="s">
        <v>14145</v>
      </c>
      <c r="E44732" s="0" t="s">
        <v>14145</v>
      </c>
      <c r="F44732" s="0" t="s">
        <v>14145</v>
      </c>
    </row>
    <row r="44733" customFormat="false" ht="12.8" hidden="false" customHeight="false" outlineLevel="0" collapsed="false">
      <c r="B44733" s="0" t="s">
        <v>48</v>
      </c>
      <c r="C44733" s="0" t="s">
        <v>15923</v>
      </c>
      <c r="D44733" s="0" t="s">
        <v>14146</v>
      </c>
      <c r="E44733" s="0" t="s">
        <v>14146</v>
      </c>
      <c r="F44733" s="0" t="s">
        <v>14146</v>
      </c>
    </row>
    <row r="44735" customFormat="false" ht="12.8" hidden="false" customHeight="false" outlineLevel="0" collapsed="false">
      <c r="A44735" s="0" t="s">
        <v>15924</v>
      </c>
      <c r="B44735" s="0" t="str">
        <f aca="false">HYPERLINK("https://lindat.mff.cuni.cz/services/teitok/pdtc10/index.php?action=vallex&amp;frame=v-whsa_1075hsa_1076", "slídit (v-whsa_1075hsa_1076)")</f>
        <v>slídit (v-whsa_1075hsa_1076)</v>
      </c>
    </row>
    <row r="44736" customFormat="false" ht="12.8" hidden="false" customHeight="false" outlineLevel="0" collapsed="false">
      <c r="B44736" s="0" t="s">
        <v>7</v>
      </c>
    </row>
    <row r="44737" customFormat="false" ht="12.8" hidden="false" customHeight="false" outlineLevel="0" collapsed="false">
      <c r="B44737" s="0" t="s">
        <v>1375</v>
      </c>
    </row>
    <row r="44739" customFormat="false" ht="12.8" hidden="false" customHeight="false" outlineLevel="0" collapsed="false">
      <c r="A44739" s="0" t="s">
        <v>15925</v>
      </c>
      <c r="B44739" s="0" t="str">
        <f aca="false">HYPERLINK("https://lindat.mff.cuni.cz/services/teitok/pdtc10/index.php?action=vallex&amp;frame=v-w12123_ZUf1_ZU", "slít se (v-w12123_ZUf1_ZU)")</f>
        <v>slít se (v-w12123_ZUf1_ZU)</v>
      </c>
    </row>
    <row r="44740" customFormat="false" ht="12.8" hidden="false" customHeight="false" outlineLevel="0" collapsed="false">
      <c r="B44740" s="0" t="s">
        <v>7</v>
      </c>
    </row>
    <row r="44741" customFormat="false" ht="12.8" hidden="false" customHeight="false" outlineLevel="0" collapsed="false">
      <c r="B44741" s="0" t="s">
        <v>5382</v>
      </c>
    </row>
    <row r="44743" customFormat="false" ht="12.8" hidden="false" customHeight="false" outlineLevel="0" collapsed="false">
      <c r="A44743" s="0" t="s">
        <v>15926</v>
      </c>
      <c r="B44743" s="0" t="str">
        <f aca="false">HYPERLINK("https://lindat.mff.cuni.cz/services/teitok/pdtc10/index.php?action=vallex&amp;frame=v-w11155f3", "slýchat (v-w11155f3)")</f>
        <v>slýchat (v-w11155f3)</v>
      </c>
    </row>
    <row r="44744" customFormat="false" ht="12.8" hidden="false" customHeight="false" outlineLevel="0" collapsed="false">
      <c r="B44744" s="0" t="s">
        <v>7</v>
      </c>
      <c r="C44744" s="0" t="s">
        <v>8626</v>
      </c>
      <c r="D44744" s="0" t="s">
        <v>23</v>
      </c>
      <c r="E44744" s="0" t="s">
        <v>23</v>
      </c>
      <c r="F44744" s="0" t="s">
        <v>23</v>
      </c>
    </row>
    <row r="44745" customFormat="false" ht="12.8" hidden="false" customHeight="false" outlineLevel="0" collapsed="false">
      <c r="B44745" s="0" t="s">
        <v>14982</v>
      </c>
      <c r="C44745" s="0" t="s">
        <v>15927</v>
      </c>
      <c r="D44745" s="0" t="s">
        <v>15901</v>
      </c>
      <c r="E44745" s="0" t="s">
        <v>15901</v>
      </c>
      <c r="F44745" s="0" t="s">
        <v>15901</v>
      </c>
    </row>
    <row r="44747" customFormat="false" ht="12.8" hidden="false" customHeight="false" outlineLevel="0" collapsed="false">
      <c r="A44747" s="0" t="s">
        <v>15928</v>
      </c>
      <c r="B44747" s="0" t="str">
        <f aca="false">HYPERLINK("https://lindat.mff.cuni.cz/services/teitok/pdtc10/index.php?action=vallex&amp;frame=v-w11155f2", "slýchat (v-w11155f2)")</f>
        <v>slýchat (v-w11155f2)</v>
      </c>
    </row>
    <row r="44748" customFormat="false" ht="12.8" hidden="false" customHeight="false" outlineLevel="0" collapsed="false">
      <c r="B44748" s="0" t="s">
        <v>7</v>
      </c>
      <c r="D44748" s="0" t="s">
        <v>2256</v>
      </c>
      <c r="E44748" s="0" t="s">
        <v>2256</v>
      </c>
      <c r="F44748" s="0" t="s">
        <v>2256</v>
      </c>
    </row>
    <row r="44749" customFormat="false" ht="12.8" hidden="false" customHeight="false" outlineLevel="0" collapsed="false">
      <c r="B44749" s="0" t="s">
        <v>5527</v>
      </c>
      <c r="D44749" s="0" t="s">
        <v>2258</v>
      </c>
      <c r="E44749" s="0" t="s">
        <v>2258</v>
      </c>
      <c r="F44749" s="0" t="s">
        <v>2258</v>
      </c>
    </row>
    <row r="44750" customFormat="false" ht="12.8" hidden="false" customHeight="false" outlineLevel="0" collapsed="false">
      <c r="B44750" s="0" t="s">
        <v>363</v>
      </c>
      <c r="D44750" s="0" t="s">
        <v>2259</v>
      </c>
      <c r="E44750" s="0" t="s">
        <v>2259</v>
      </c>
      <c r="F44750" s="0" t="s">
        <v>2259</v>
      </c>
    </row>
    <row r="44751" customFormat="false" ht="12.8" hidden="false" customHeight="false" outlineLevel="0" collapsed="false">
      <c r="B44751" s="0" t="s">
        <v>15929</v>
      </c>
      <c r="D44751" s="0" t="s">
        <v>2260</v>
      </c>
      <c r="E44751" s="0" t="s">
        <v>2260</v>
      </c>
      <c r="F44751" s="0" t="s">
        <v>2260</v>
      </c>
    </row>
    <row r="44753" customFormat="false" ht="12.8" hidden="false" customHeight="false" outlineLevel="0" collapsed="false">
      <c r="A44753" s="0" t="s">
        <v>15930</v>
      </c>
      <c r="B44753" s="0" t="str">
        <f aca="false">HYPERLINK("https://lindat.mff.cuni.cz/services/teitok/pdtc10/index.php?action=vallex&amp;frame=v-w6190f2", "slýchávat (v-w6190f2)")</f>
        <v>slýchávat (v-w6190f2)</v>
      </c>
    </row>
    <row r="44754" customFormat="false" ht="12.8" hidden="false" customHeight="false" outlineLevel="0" collapsed="false">
      <c r="B44754" s="0" t="s">
        <v>7</v>
      </c>
      <c r="D44754" s="0" t="s">
        <v>23</v>
      </c>
      <c r="E44754" s="0" t="s">
        <v>23</v>
      </c>
      <c r="F44754" s="0" t="s">
        <v>23</v>
      </c>
    </row>
    <row r="44755" customFormat="false" ht="12.8" hidden="false" customHeight="false" outlineLevel="0" collapsed="false">
      <c r="B44755" s="0" t="s">
        <v>14982</v>
      </c>
      <c r="D44755" s="0" t="s">
        <v>15901</v>
      </c>
      <c r="E44755" s="0" t="s">
        <v>15901</v>
      </c>
      <c r="F44755" s="0" t="s">
        <v>15901</v>
      </c>
    </row>
    <row r="44757" customFormat="false" ht="12.8" hidden="false" customHeight="false" outlineLevel="0" collapsed="false">
      <c r="A44757" s="0" t="s">
        <v>15931</v>
      </c>
      <c r="B44757" s="0" t="str">
        <f aca="false">HYPERLINK("https://lindat.mff.cuni.cz/services/teitok/pdtc10/index.php?action=vallex&amp;frame=v-w6190f1", "slýchávat (v-w6190f1)")</f>
        <v>slýchávat (v-w6190f1)</v>
      </c>
    </row>
    <row r="44758" customFormat="false" ht="12.8" hidden="false" customHeight="false" outlineLevel="0" collapsed="false">
      <c r="B44758" s="0" t="s">
        <v>7</v>
      </c>
      <c r="D44758" s="0" t="s">
        <v>2256</v>
      </c>
      <c r="E44758" s="0" t="s">
        <v>2256</v>
      </c>
      <c r="F44758" s="0" t="s">
        <v>2256</v>
      </c>
    </row>
    <row r="44759" customFormat="false" ht="12.8" hidden="false" customHeight="false" outlineLevel="0" collapsed="false">
      <c r="B44759" s="0" t="s">
        <v>5527</v>
      </c>
      <c r="D44759" s="0" t="s">
        <v>2258</v>
      </c>
      <c r="E44759" s="0" t="s">
        <v>2258</v>
      </c>
      <c r="F44759" s="0" t="s">
        <v>2258</v>
      </c>
    </row>
    <row r="44760" customFormat="false" ht="12.8" hidden="false" customHeight="false" outlineLevel="0" collapsed="false">
      <c r="B44760" s="0" t="s">
        <v>363</v>
      </c>
      <c r="D44760" s="0" t="s">
        <v>2259</v>
      </c>
      <c r="E44760" s="0" t="s">
        <v>2259</v>
      </c>
      <c r="F44760" s="0" t="s">
        <v>2259</v>
      </c>
    </row>
    <row r="44761" customFormat="false" ht="12.8" hidden="false" customHeight="false" outlineLevel="0" collapsed="false">
      <c r="B44761" s="0" t="s">
        <v>15929</v>
      </c>
      <c r="D44761" s="0" t="s">
        <v>2260</v>
      </c>
      <c r="E44761" s="0" t="s">
        <v>2260</v>
      </c>
      <c r="F44761" s="0" t="s">
        <v>2260</v>
      </c>
    </row>
    <row r="44763" customFormat="false" ht="12.8" hidden="false" customHeight="false" outlineLevel="0" collapsed="false">
      <c r="A44763" s="0" t="s">
        <v>15932</v>
      </c>
      <c r="B44763" s="0" t="str">
        <f aca="false">HYPERLINK("https://lindat.mff.cuni.cz/services/teitok/pdtc10/index.php?action=vallex&amp;frame=v-w6194f2", "smazat (v-w6194f2)")</f>
        <v>smazat (v-w6194f2)</v>
      </c>
    </row>
    <row r="44764" customFormat="false" ht="12.8" hidden="false" customHeight="false" outlineLevel="0" collapsed="false">
      <c r="B44764" s="0" t="s">
        <v>7</v>
      </c>
      <c r="C44764" s="0" t="s">
        <v>10277</v>
      </c>
      <c r="D44764" s="0" t="s">
        <v>1263</v>
      </c>
      <c r="E44764" s="0" t="s">
        <v>1263</v>
      </c>
      <c r="F44764" s="0" t="s">
        <v>157</v>
      </c>
    </row>
    <row r="44765" customFormat="false" ht="12.8" hidden="false" customHeight="false" outlineLevel="0" collapsed="false">
      <c r="B44765" s="0" t="s">
        <v>14</v>
      </c>
      <c r="C44765" s="0" t="s">
        <v>79</v>
      </c>
      <c r="D44765" s="0" t="s">
        <v>1146</v>
      </c>
      <c r="E44765" s="0" t="s">
        <v>1146</v>
      </c>
      <c r="F44765" s="0" t="s">
        <v>466</v>
      </c>
    </row>
    <row r="44767" customFormat="false" ht="12.8" hidden="false" customHeight="false" outlineLevel="0" collapsed="false">
      <c r="A44767" s="0" t="s">
        <v>15932</v>
      </c>
      <c r="B44767" s="0" t="str">
        <f aca="false">HYPERLINK("https://lindat.mff.cuni.cz/services/teitok/pdtc10/index.php?action=vallex&amp;frame=v-w6194f1", "smazat (v-w6194f1) - substituted with v-w6194f2")</f>
        <v>smazat (v-w6194f1) - substituted with v-w6194f2</v>
      </c>
    </row>
    <row r="44768" customFormat="false" ht="12.8" hidden="false" customHeight="false" outlineLevel="0" collapsed="false">
      <c r="B44768" s="0" t="s">
        <v>7</v>
      </c>
    </row>
    <row r="44769" customFormat="false" ht="12.8" hidden="false" customHeight="false" outlineLevel="0" collapsed="false">
      <c r="B44769" s="0" t="s">
        <v>14</v>
      </c>
    </row>
    <row r="44771" customFormat="false" ht="12.8" hidden="false" customHeight="false" outlineLevel="0" collapsed="false">
      <c r="A44771" s="0" t="s">
        <v>15933</v>
      </c>
      <c r="B44771" s="0" t="str">
        <f aca="false">HYPERLINK("https://lindat.mff.cuni.cz/services/teitok/pdtc10/index.php?action=vallex&amp;frame=v-w6194hsa_1565", "smazat (v-w6194hsa_1565)")</f>
        <v>smazat (v-w6194hsa_1565)</v>
      </c>
    </row>
    <row r="44772" customFormat="false" ht="12.8" hidden="false" customHeight="false" outlineLevel="0" collapsed="false">
      <c r="B44772" s="0" t="s">
        <v>7</v>
      </c>
    </row>
    <row r="44773" customFormat="false" ht="12.8" hidden="false" customHeight="false" outlineLevel="0" collapsed="false">
      <c r="B44773" s="0" t="s">
        <v>14</v>
      </c>
    </row>
    <row r="44774" customFormat="false" ht="12.8" hidden="false" customHeight="false" outlineLevel="0" collapsed="false">
      <c r="B44774" s="0" t="s">
        <v>459</v>
      </c>
    </row>
    <row r="44776" customFormat="false" ht="12.8" hidden="false" customHeight="false" outlineLevel="0" collapsed="false">
      <c r="A44776" s="0" t="s">
        <v>15934</v>
      </c>
      <c r="B44776" s="0" t="str">
        <f aca="false">HYPERLINK("https://lindat.mff.cuni.cz/services/teitok/pdtc10/index.php?action=vallex&amp;frame=v-w11591_ZUf1_ZU", "smazávat (v-w11591_ZUf1_ZU)")</f>
        <v>smazávat (v-w11591_ZUf1_ZU)</v>
      </c>
    </row>
    <row r="44777" customFormat="false" ht="12.8" hidden="false" customHeight="false" outlineLevel="0" collapsed="false">
      <c r="B44777" s="0" t="s">
        <v>7</v>
      </c>
      <c r="C44777" s="0" t="s">
        <v>184</v>
      </c>
      <c r="D44777" s="0" t="s">
        <v>1263</v>
      </c>
      <c r="E44777" s="0" t="s">
        <v>1263</v>
      </c>
      <c r="F44777" s="0" t="s">
        <v>157</v>
      </c>
    </row>
    <row r="44778" customFormat="false" ht="12.8" hidden="false" customHeight="false" outlineLevel="0" collapsed="false">
      <c r="B44778" s="0" t="s">
        <v>14</v>
      </c>
      <c r="C44778" s="0" t="s">
        <v>33</v>
      </c>
      <c r="D44778" s="0" t="s">
        <v>1146</v>
      </c>
      <c r="E44778" s="0" t="s">
        <v>1146</v>
      </c>
      <c r="F44778" s="0" t="s">
        <v>466</v>
      </c>
    </row>
    <row r="44780" customFormat="false" ht="12.8" hidden="false" customHeight="false" outlineLevel="0" collapsed="false">
      <c r="A44780" s="0" t="s">
        <v>15935</v>
      </c>
      <c r="B44780" s="0" t="str">
        <f aca="false">HYPERLINK("https://lindat.mff.cuni.cz/services/teitok/pdtc10/index.php?action=vallex&amp;frame=v-w11198f2", "smažit (v-w11198f2)")</f>
        <v>smažit (v-w11198f2)</v>
      </c>
    </row>
    <row r="44781" customFormat="false" ht="12.8" hidden="false" customHeight="false" outlineLevel="0" collapsed="false">
      <c r="B44781" s="0" t="s">
        <v>7</v>
      </c>
    </row>
    <row r="44782" customFormat="false" ht="12.8" hidden="false" customHeight="false" outlineLevel="0" collapsed="false">
      <c r="B44782" s="0" t="s">
        <v>14</v>
      </c>
      <c r="D44782" s="0" t="s">
        <v>155</v>
      </c>
      <c r="E44782" s="0" t="s">
        <v>155</v>
      </c>
      <c r="F44782" s="0" t="s">
        <v>155</v>
      </c>
    </row>
    <row r="44784" customFormat="false" ht="12.8" hidden="false" customHeight="false" outlineLevel="0" collapsed="false">
      <c r="A44784" s="0" t="s">
        <v>15936</v>
      </c>
      <c r="B44784" s="0" t="str">
        <f aca="false">HYPERLINK("https://lindat.mff.cuni.cz/services/teitok/pdtc10/index.php?action=vallex&amp;frame=v-whsa_1508hsa_1509", "smekat (v-whsa_1508hsa_1509)")</f>
        <v>smekat (v-whsa_1508hsa_1509)</v>
      </c>
    </row>
    <row r="44785" customFormat="false" ht="12.8" hidden="false" customHeight="false" outlineLevel="0" collapsed="false">
      <c r="B44785" s="0" t="s">
        <v>7</v>
      </c>
    </row>
    <row r="44786" customFormat="false" ht="12.8" hidden="false" customHeight="false" outlineLevel="0" collapsed="false">
      <c r="B44786" s="0" t="s">
        <v>14</v>
      </c>
    </row>
    <row r="44788" customFormat="false" ht="12.8" hidden="false" customHeight="false" outlineLevel="0" collapsed="false">
      <c r="A44788" s="0" t="s">
        <v>15937</v>
      </c>
      <c r="B44788" s="0" t="str">
        <f aca="false">HYPERLINK("https://lindat.mff.cuni.cz/services/teitok/pdtc10/index.php?action=vallex&amp;frame=v-w6196f2", "smeknout (v-w6196f2)")</f>
        <v>smeknout (v-w6196f2)</v>
      </c>
    </row>
    <row r="44789" customFormat="false" ht="12.8" hidden="false" customHeight="false" outlineLevel="0" collapsed="false">
      <c r="B44789" s="0" t="s">
        <v>7</v>
      </c>
    </row>
    <row r="44790" customFormat="false" ht="12.8" hidden="false" customHeight="false" outlineLevel="0" collapsed="false">
      <c r="B44790" s="0" t="s">
        <v>14</v>
      </c>
    </row>
    <row r="44792" customFormat="false" ht="12.8" hidden="false" customHeight="false" outlineLevel="0" collapsed="false">
      <c r="A44792" s="0" t="s">
        <v>15938</v>
      </c>
      <c r="B44792" s="0" t="str">
        <f aca="false">HYPERLINK("https://lindat.mff.cuni.cz/services/teitok/pdtc10/index.php?action=vallex&amp;frame=v-w6196f1", "smeknout (v-w6196f1)")</f>
        <v>smeknout (v-w6196f1)</v>
      </c>
    </row>
    <row r="44793" customFormat="false" ht="12.8" hidden="false" customHeight="false" outlineLevel="0" collapsed="false">
      <c r="B44793" s="0" t="s">
        <v>7</v>
      </c>
    </row>
    <row r="44794" customFormat="false" ht="12.8" hidden="false" customHeight="false" outlineLevel="0" collapsed="false">
      <c r="B44794" s="0" t="s">
        <v>6120</v>
      </c>
    </row>
    <row r="44796" customFormat="false" ht="12.8" hidden="false" customHeight="false" outlineLevel="0" collapsed="false">
      <c r="A44796" s="0" t="s">
        <v>15939</v>
      </c>
      <c r="B44796" s="0" t="str">
        <f aca="false">HYPERLINK("https://lindat.mff.cuni.cz/services/teitok/pdtc10/index.php?action=vallex&amp;frame=v-w12278_ZUf1_ZU", "smeknout se (v-w12278_ZUf1_ZU)")</f>
        <v>smeknout se (v-w12278_ZUf1_ZU)</v>
      </c>
    </row>
    <row r="44797" customFormat="false" ht="12.8" hidden="false" customHeight="false" outlineLevel="0" collapsed="false">
      <c r="B44797" s="0" t="s">
        <v>7</v>
      </c>
    </row>
    <row r="44799" customFormat="false" ht="12.8" hidden="false" customHeight="false" outlineLevel="0" collapsed="false">
      <c r="A44799" s="0" t="s">
        <v>15940</v>
      </c>
      <c r="B44799" s="0" t="str">
        <f aca="false">HYPERLINK("https://lindat.mff.cuni.cz/services/teitok/pdtc10/index.php?action=vallex&amp;frame=v-whsa_1495hsa_1496", "smilovat se (v-whsa_1495hsa_1496)")</f>
        <v>smilovat se (v-whsa_1495hsa_1496)</v>
      </c>
    </row>
    <row r="44800" customFormat="false" ht="12.8" hidden="false" customHeight="false" outlineLevel="0" collapsed="false">
      <c r="B44800" s="0" t="s">
        <v>7</v>
      </c>
    </row>
    <row r="44801" customFormat="false" ht="12.8" hidden="false" customHeight="false" outlineLevel="0" collapsed="false">
      <c r="B44801" s="0" t="s">
        <v>223</v>
      </c>
    </row>
    <row r="44803" customFormat="false" ht="12.8" hidden="false" customHeight="false" outlineLevel="0" collapsed="false">
      <c r="A44803" s="0" t="s">
        <v>15941</v>
      </c>
      <c r="B44803" s="0" t="str">
        <f aca="false">HYPERLINK("https://lindat.mff.cuni.cz/services/teitok/pdtc10/index.php?action=vallex&amp;frame=v-w6215f1", "smiřovat se (v-w6215f1)")</f>
        <v>smiřovat se (v-w6215f1)</v>
      </c>
    </row>
    <row r="44804" customFormat="false" ht="12.8" hidden="false" customHeight="false" outlineLevel="0" collapsed="false">
      <c r="B44804" s="0" t="s">
        <v>7</v>
      </c>
      <c r="D44804" s="0" t="s">
        <v>15942</v>
      </c>
      <c r="E44804" s="0" t="s">
        <v>15942</v>
      </c>
      <c r="F44804" s="0" t="s">
        <v>15943</v>
      </c>
    </row>
    <row r="44805" customFormat="false" ht="12.8" hidden="false" customHeight="false" outlineLevel="0" collapsed="false">
      <c r="B44805" s="0" t="s">
        <v>548</v>
      </c>
      <c r="D44805" s="0" t="s">
        <v>2102</v>
      </c>
      <c r="E44805" s="0" t="s">
        <v>2102</v>
      </c>
      <c r="F44805" s="0" t="s">
        <v>15944</v>
      </c>
    </row>
    <row r="44807" customFormat="false" ht="12.8" hidden="false" customHeight="false" outlineLevel="0" collapsed="false">
      <c r="A44807" s="0" t="s">
        <v>15945</v>
      </c>
      <c r="B44807" s="0" t="str">
        <f aca="false">HYPERLINK("https://lindat.mff.cuni.cz/services/teitok/pdtc10/index.php?action=vallex&amp;frame=v-w6217f1", "smlouvat (v-w6217f1)")</f>
        <v>smlouvat (v-w6217f1)</v>
      </c>
    </row>
    <row r="44808" customFormat="false" ht="12.8" hidden="false" customHeight="false" outlineLevel="0" collapsed="false">
      <c r="B44808" s="0" t="s">
        <v>7</v>
      </c>
    </row>
    <row r="44809" customFormat="false" ht="12.8" hidden="false" customHeight="false" outlineLevel="0" collapsed="false">
      <c r="B44809" s="0" t="s">
        <v>15946</v>
      </c>
    </row>
    <row r="44810" customFormat="false" ht="12.8" hidden="false" customHeight="false" outlineLevel="0" collapsed="false">
      <c r="B44810" s="0" t="s">
        <v>207</v>
      </c>
    </row>
    <row r="44812" customFormat="false" ht="12.8" hidden="false" customHeight="false" outlineLevel="0" collapsed="false">
      <c r="A44812" s="0" t="s">
        <v>15947</v>
      </c>
      <c r="B44812" s="0" t="str">
        <f aca="false">HYPERLINK("https://lindat.mff.cuni.cz/services/teitok/pdtc10/index.php?action=vallex&amp;frame=v-w6217f2", "smlouvat (v-w6217f2)")</f>
        <v>smlouvat (v-w6217f2)</v>
      </c>
    </row>
    <row r="44813" customFormat="false" ht="12.8" hidden="false" customHeight="false" outlineLevel="0" collapsed="false">
      <c r="B44813" s="0" t="s">
        <v>7</v>
      </c>
      <c r="C44813" s="0" t="s">
        <v>46</v>
      </c>
      <c r="D44813" s="0" t="s">
        <v>2256</v>
      </c>
      <c r="E44813" s="0" t="s">
        <v>2256</v>
      </c>
      <c r="F44813" s="0" t="s">
        <v>2256</v>
      </c>
    </row>
    <row r="44814" customFormat="false" ht="12.8" hidden="false" customHeight="false" outlineLevel="0" collapsed="false">
      <c r="B44814" s="0" t="s">
        <v>244</v>
      </c>
      <c r="C44814" s="0" t="s">
        <v>1544</v>
      </c>
      <c r="D44814" s="0" t="s">
        <v>15948</v>
      </c>
      <c r="E44814" s="0" t="s">
        <v>15948</v>
      </c>
      <c r="F44814" s="0" t="s">
        <v>15948</v>
      </c>
    </row>
    <row r="44815" customFormat="false" ht="12.8" hidden="false" customHeight="false" outlineLevel="0" collapsed="false">
      <c r="B44815" s="0" t="s">
        <v>207</v>
      </c>
      <c r="D44815" s="0" t="s">
        <v>1806</v>
      </c>
      <c r="E44815" s="0" t="s">
        <v>1806</v>
      </c>
      <c r="F44815" s="0" t="s">
        <v>1806</v>
      </c>
    </row>
    <row r="44817" customFormat="false" ht="12.8" hidden="false" customHeight="false" outlineLevel="0" collapsed="false">
      <c r="A44817" s="0" t="s">
        <v>15949</v>
      </c>
      <c r="B44817" s="0" t="str">
        <f aca="false">HYPERLINK("https://lindat.mff.cuni.cz/services/teitok/pdtc10/index.php?action=vallex&amp;frame=v-whsa_623f1_ZU", "smluvit (v-whsa_623f1_ZU)")</f>
        <v>smluvit (v-whsa_623f1_ZU)</v>
      </c>
    </row>
    <row r="44818" customFormat="false" ht="12.8" hidden="false" customHeight="false" outlineLevel="0" collapsed="false">
      <c r="B44818" s="0" t="s">
        <v>7</v>
      </c>
    </row>
    <row r="44819" customFormat="false" ht="12.8" hidden="false" customHeight="false" outlineLevel="0" collapsed="false">
      <c r="B44819" s="0" t="s">
        <v>207</v>
      </c>
    </row>
    <row r="44820" customFormat="false" ht="12.8" hidden="false" customHeight="false" outlineLevel="0" collapsed="false">
      <c r="B44820" s="0" t="s">
        <v>6839</v>
      </c>
    </row>
    <row r="44822" customFormat="false" ht="12.8" hidden="false" customHeight="false" outlineLevel="0" collapsed="false">
      <c r="A44822" s="0" t="s">
        <v>15949</v>
      </c>
      <c r="B44822" s="0" t="str">
        <f aca="false">HYPERLINK("https://lindat.mff.cuni.cz/services/teitok/pdtc10/index.php?action=vallex&amp;frame=v-whsa_623hsa_624", "smluvit (v-whsa_623hsa_624) - substituted with v-whsa_623f1_ZU")</f>
        <v>smluvit (v-whsa_623hsa_624) - substituted with v-whsa_623f1_ZU</v>
      </c>
    </row>
    <row r="44823" customFormat="false" ht="12.8" hidden="false" customHeight="false" outlineLevel="0" collapsed="false">
      <c r="B44823" s="0" t="s">
        <v>7</v>
      </c>
    </row>
    <row r="44824" customFormat="false" ht="12.8" hidden="false" customHeight="false" outlineLevel="0" collapsed="false">
      <c r="B44824" s="0" t="s">
        <v>207</v>
      </c>
    </row>
    <row r="44825" customFormat="false" ht="12.8" hidden="false" customHeight="false" outlineLevel="0" collapsed="false">
      <c r="B44825" s="0" t="s">
        <v>6839</v>
      </c>
    </row>
    <row r="44827" customFormat="false" ht="12.8" hidden="false" customHeight="false" outlineLevel="0" collapsed="false">
      <c r="A44827" s="0" t="s">
        <v>15950</v>
      </c>
      <c r="B44827" s="0" t="str">
        <f aca="false">HYPERLINK("https://lindat.mff.cuni.cz/services/teitok/pdtc10/index.php?action=vallex&amp;frame=v-w6218f1", "smolit (v-w6218f1)")</f>
        <v>smolit (v-w6218f1)</v>
      </c>
    </row>
    <row r="44828" customFormat="false" ht="12.8" hidden="false" customHeight="false" outlineLevel="0" collapsed="false">
      <c r="B44828" s="0" t="s">
        <v>7</v>
      </c>
    </row>
    <row r="44829" customFormat="false" ht="12.8" hidden="false" customHeight="false" outlineLevel="0" collapsed="false">
      <c r="B44829" s="0" t="s">
        <v>14</v>
      </c>
    </row>
    <row r="44831" customFormat="false" ht="12.8" hidden="false" customHeight="false" outlineLevel="0" collapsed="false">
      <c r="A44831" s="0" t="s">
        <v>15951</v>
      </c>
      <c r="B44831" s="0" t="str">
        <f aca="false">HYPERLINK("https://lindat.mff.cuni.cz/services/teitok/pdtc10/index.php?action=vallex&amp;frame=v-w11736_ZUf1_ZU", "smontovat (v-w11736_ZUf1_ZU)")</f>
        <v>smontovat (v-w11736_ZUf1_ZU)</v>
      </c>
    </row>
    <row r="44832" customFormat="false" ht="12.8" hidden="false" customHeight="false" outlineLevel="0" collapsed="false">
      <c r="B44832" s="0" t="s">
        <v>7</v>
      </c>
    </row>
    <row r="44833" customFormat="false" ht="12.8" hidden="false" customHeight="false" outlineLevel="0" collapsed="false">
      <c r="B44833" s="0" t="s">
        <v>14</v>
      </c>
    </row>
    <row r="44834" customFormat="false" ht="12.8" hidden="false" customHeight="false" outlineLevel="0" collapsed="false">
      <c r="B44834" s="0" t="s">
        <v>181</v>
      </c>
    </row>
    <row r="44836" customFormat="false" ht="12.8" hidden="false" customHeight="false" outlineLevel="0" collapsed="false">
      <c r="A44836" s="0" t="s">
        <v>15952</v>
      </c>
      <c r="B44836" s="0" t="str">
        <f aca="false">HYPERLINK("https://lindat.mff.cuni.cz/services/teitok/pdtc10/index.php?action=vallex&amp;frame=v-w12157_ZUf1_ZU", "smotat (v-w12157_ZUf1_ZU)")</f>
        <v>smotat (v-w12157_ZUf1_ZU)</v>
      </c>
    </row>
    <row r="44837" customFormat="false" ht="12.8" hidden="false" customHeight="false" outlineLevel="0" collapsed="false">
      <c r="B44837" s="0" t="s">
        <v>7</v>
      </c>
    </row>
    <row r="44838" customFormat="false" ht="12.8" hidden="false" customHeight="false" outlineLevel="0" collapsed="false">
      <c r="B44838" s="0" t="s">
        <v>14</v>
      </c>
    </row>
    <row r="44839" customFormat="false" ht="12.8" hidden="false" customHeight="false" outlineLevel="0" collapsed="false">
      <c r="B44839" s="0" t="s">
        <v>181</v>
      </c>
    </row>
    <row r="44841" customFormat="false" ht="12.8" hidden="false" customHeight="false" outlineLevel="0" collapsed="false">
      <c r="A44841" s="0" t="s">
        <v>15953</v>
      </c>
      <c r="B44841" s="0" t="str">
        <f aca="false">HYPERLINK("https://lindat.mff.cuni.cz/services/teitok/pdtc10/index.php?action=vallex&amp;frame=v-whsb_1013hsa_1014", "smočit se (v-whsb_1013hsa_1014)")</f>
        <v>smočit se (v-whsb_1013hsa_1014)</v>
      </c>
    </row>
    <row r="44842" customFormat="false" ht="12.8" hidden="false" customHeight="false" outlineLevel="0" collapsed="false">
      <c r="B44842" s="0" t="s">
        <v>7</v>
      </c>
    </row>
    <row r="44844" customFormat="false" ht="12.8" hidden="false" customHeight="false" outlineLevel="0" collapsed="false">
      <c r="A44844" s="0" t="s">
        <v>15954</v>
      </c>
      <c r="B44844" s="0" t="str">
        <f aca="false">HYPERLINK("https://lindat.mff.cuni.cz/services/teitok/pdtc10/index.php?action=vallex&amp;frame=v-w6220f1", "smrdět (v-w6220f1)")</f>
        <v>smrdět (v-w6220f1)</v>
      </c>
    </row>
    <row r="44845" customFormat="false" ht="12.8" hidden="false" customHeight="false" outlineLevel="0" collapsed="false">
      <c r="B44845" s="0" t="s">
        <v>7</v>
      </c>
      <c r="C44845" s="0" t="s">
        <v>16</v>
      </c>
      <c r="D44845" s="0" t="s">
        <v>16</v>
      </c>
      <c r="E44845" s="0" t="s">
        <v>16</v>
      </c>
      <c r="F44845" s="0" t="s">
        <v>16</v>
      </c>
    </row>
    <row r="44846" customFormat="false" ht="12.8" hidden="false" customHeight="false" outlineLevel="0" collapsed="false">
      <c r="B44846" s="0" t="s">
        <v>12511</v>
      </c>
    </row>
    <row r="44848" customFormat="false" ht="12.8" hidden="false" customHeight="false" outlineLevel="0" collapsed="false">
      <c r="A44848" s="0" t="s">
        <v>15955</v>
      </c>
      <c r="B44848" s="0" t="str">
        <f aca="false">HYPERLINK("https://lindat.mff.cuni.cz/services/teitok/pdtc10/index.php?action=vallex&amp;frame=v-w12311_MMf1_MM", "smrkat (v-w12311_MMf1_MM)")</f>
        <v>smrkat (v-w12311_MMf1_MM)</v>
      </c>
    </row>
    <row r="44849" customFormat="false" ht="12.8" hidden="false" customHeight="false" outlineLevel="0" collapsed="false">
      <c r="B44849" s="0" t="s">
        <v>7</v>
      </c>
    </row>
    <row r="44851" customFormat="false" ht="12.8" hidden="false" customHeight="false" outlineLevel="0" collapsed="false">
      <c r="A44851" s="0" t="s">
        <v>15956</v>
      </c>
      <c r="B44851" s="0" t="str">
        <f aca="false">HYPERLINK("https://lindat.mff.cuni.cz/services/teitok/pdtc10/index.php?action=vallex&amp;frame=v-w11305f1", "smrsknout se (v-w11305f1)")</f>
        <v>smrsknout se (v-w11305f1)</v>
      </c>
    </row>
    <row r="44852" customFormat="false" ht="12.8" hidden="false" customHeight="false" outlineLevel="0" collapsed="false">
      <c r="B44852" s="0" t="s">
        <v>7</v>
      </c>
      <c r="C44852" s="0" t="s">
        <v>15242</v>
      </c>
      <c r="D44852" s="0" t="s">
        <v>9114</v>
      </c>
      <c r="E44852" s="0" t="s">
        <v>4615</v>
      </c>
      <c r="F44852" s="0" t="s">
        <v>4615</v>
      </c>
    </row>
    <row r="44853" customFormat="false" ht="12.8" hidden="false" customHeight="false" outlineLevel="0" collapsed="false">
      <c r="B44853" s="0" t="s">
        <v>63</v>
      </c>
      <c r="D44853" s="0" t="s">
        <v>9116</v>
      </c>
      <c r="E44853" s="0" t="s">
        <v>4618</v>
      </c>
      <c r="F44853" s="0" t="s">
        <v>4618</v>
      </c>
    </row>
    <row r="44854" customFormat="false" ht="12.8" hidden="false" customHeight="false" outlineLevel="0" collapsed="false">
      <c r="B44854" s="0" t="s">
        <v>35</v>
      </c>
      <c r="D44854" s="0" t="s">
        <v>9118</v>
      </c>
      <c r="E44854" s="0" t="s">
        <v>4621</v>
      </c>
      <c r="F44854" s="0" t="s">
        <v>4621</v>
      </c>
    </row>
    <row r="44856" customFormat="false" ht="12.8" hidden="false" customHeight="false" outlineLevel="0" collapsed="false">
      <c r="A44856" s="0" t="s">
        <v>15957</v>
      </c>
      <c r="B44856" s="0" t="str">
        <f aca="false">HYPERLINK("https://lindat.mff.cuni.cz/services/teitok/pdtc10/index.php?action=vallex&amp;frame=v-w6219f1", "smrákat se (v-w6219f1)")</f>
        <v>smrákat se (v-w6219f1)</v>
      </c>
    </row>
    <row r="44858" customFormat="false" ht="12.8" hidden="false" customHeight="false" outlineLevel="0" collapsed="false">
      <c r="A44858" s="0" t="s">
        <v>15958</v>
      </c>
      <c r="B44858" s="0" t="str">
        <f aca="false">HYPERLINK("https://lindat.mff.cuni.cz/services/teitok/pdtc10/index.php?action=vallex&amp;frame=v-w6221f1", "smrštit se (v-w6221f1)")</f>
        <v>smrštit se (v-w6221f1)</v>
      </c>
    </row>
    <row r="44859" customFormat="false" ht="12.8" hidden="false" customHeight="false" outlineLevel="0" collapsed="false">
      <c r="B44859" s="0" t="s">
        <v>7</v>
      </c>
      <c r="D44859" s="0" t="s">
        <v>9114</v>
      </c>
      <c r="E44859" s="0" t="s">
        <v>9114</v>
      </c>
      <c r="F44859" s="0" t="s">
        <v>9114</v>
      </c>
    </row>
    <row r="44860" customFormat="false" ht="12.8" hidden="false" customHeight="false" outlineLevel="0" collapsed="false">
      <c r="B44860" s="0" t="s">
        <v>3568</v>
      </c>
      <c r="D44860" s="0" t="s">
        <v>9116</v>
      </c>
      <c r="E44860" s="0" t="s">
        <v>9116</v>
      </c>
      <c r="F44860" s="0" t="s">
        <v>9116</v>
      </c>
    </row>
    <row r="44861" customFormat="false" ht="12.8" hidden="false" customHeight="false" outlineLevel="0" collapsed="false">
      <c r="B44861" s="0" t="s">
        <v>35</v>
      </c>
      <c r="D44861" s="0" t="s">
        <v>9118</v>
      </c>
      <c r="E44861" s="0" t="s">
        <v>9118</v>
      </c>
      <c r="F44861" s="0" t="s">
        <v>9118</v>
      </c>
    </row>
    <row r="44863" customFormat="false" ht="12.8" hidden="false" customHeight="false" outlineLevel="0" collapsed="false">
      <c r="A44863" s="0" t="s">
        <v>15959</v>
      </c>
      <c r="B44863" s="0" t="str">
        <f aca="false">HYPERLINK("https://lindat.mff.cuni.cz/services/teitok/pdtc10/index.php?action=vallex&amp;frame=v-w11127f2", "smršťovat (v-w11127f2)")</f>
        <v>smršťovat (v-w11127f2)</v>
      </c>
    </row>
    <row r="44864" customFormat="false" ht="12.8" hidden="false" customHeight="false" outlineLevel="0" collapsed="false">
      <c r="B44864" s="0" t="s">
        <v>7</v>
      </c>
    </row>
    <row r="44865" customFormat="false" ht="12.8" hidden="false" customHeight="false" outlineLevel="0" collapsed="false">
      <c r="B44865" s="0" t="s">
        <v>14</v>
      </c>
    </row>
    <row r="44866" customFormat="false" ht="12.8" hidden="false" customHeight="false" outlineLevel="0" collapsed="false">
      <c r="B44866" s="0" t="s">
        <v>35</v>
      </c>
    </row>
    <row r="44867" customFormat="false" ht="12.8" hidden="false" customHeight="false" outlineLevel="0" collapsed="false">
      <c r="B44867" s="0" t="s">
        <v>84</v>
      </c>
    </row>
    <row r="44869" customFormat="false" ht="12.8" hidden="false" customHeight="false" outlineLevel="0" collapsed="false">
      <c r="A44869" s="0" t="s">
        <v>15960</v>
      </c>
      <c r="B44869" s="0" t="str">
        <f aca="false">HYPERLINK("https://lindat.mff.cuni.cz/services/teitok/pdtc10/index.php?action=vallex&amp;frame=v-w11592_ZUf1_ZU", "smršťovat se (v-w11592_ZUf1_ZU)")</f>
        <v>smršťovat se (v-w11592_ZUf1_ZU)</v>
      </c>
    </row>
    <row r="44870" customFormat="false" ht="12.8" hidden="false" customHeight="false" outlineLevel="0" collapsed="false">
      <c r="B44870" s="0" t="s">
        <v>7</v>
      </c>
      <c r="C44870" s="0" t="s">
        <v>15242</v>
      </c>
      <c r="D44870" s="0" t="s">
        <v>9114</v>
      </c>
      <c r="E44870" s="0" t="s">
        <v>4615</v>
      </c>
      <c r="F44870" s="0" t="s">
        <v>4615</v>
      </c>
    </row>
    <row r="44871" customFormat="false" ht="12.8" hidden="false" customHeight="false" outlineLevel="0" collapsed="false">
      <c r="B44871" s="0" t="s">
        <v>3568</v>
      </c>
      <c r="D44871" s="0" t="s">
        <v>9116</v>
      </c>
      <c r="E44871" s="0" t="s">
        <v>4618</v>
      </c>
      <c r="F44871" s="0" t="s">
        <v>4618</v>
      </c>
    </row>
    <row r="44872" customFormat="false" ht="12.8" hidden="false" customHeight="false" outlineLevel="0" collapsed="false">
      <c r="B44872" s="0" t="s">
        <v>35</v>
      </c>
      <c r="D44872" s="0" t="s">
        <v>9118</v>
      </c>
      <c r="E44872" s="0" t="s">
        <v>4621</v>
      </c>
      <c r="F44872" s="0" t="s">
        <v>4621</v>
      </c>
    </row>
    <row r="44874" customFormat="false" ht="12.8" hidden="false" customHeight="false" outlineLevel="0" collapsed="false">
      <c r="A44874" s="0" t="s">
        <v>15961</v>
      </c>
      <c r="B44874" s="0" t="str">
        <f aca="false">HYPERLINK("https://lindat.mff.cuni.cz/services/teitok/pdtc10/index.php?action=vallex&amp;frame=v-w6193f1", "smát se (v-w6193f1)")</f>
        <v>smát se (v-w6193f1)</v>
      </c>
    </row>
    <row r="44875" customFormat="false" ht="12.8" hidden="false" customHeight="false" outlineLevel="0" collapsed="false">
      <c r="B44875" s="0" t="s">
        <v>7</v>
      </c>
      <c r="C44875" s="0" t="s">
        <v>623</v>
      </c>
      <c r="D44875" s="0" t="s">
        <v>569</v>
      </c>
      <c r="E44875" s="0" t="s">
        <v>569</v>
      </c>
      <c r="F44875" s="0" t="s">
        <v>569</v>
      </c>
    </row>
    <row r="44876" customFormat="false" ht="12.8" hidden="false" customHeight="false" outlineLevel="0" collapsed="false">
      <c r="B44876" s="0" t="s">
        <v>6998</v>
      </c>
      <c r="C44876" s="0" t="s">
        <v>1860</v>
      </c>
      <c r="D44876" s="0" t="s">
        <v>3694</v>
      </c>
      <c r="E44876" s="0" t="s">
        <v>3694</v>
      </c>
      <c r="F44876" s="0" t="s">
        <v>3694</v>
      </c>
    </row>
    <row r="44878" customFormat="false" ht="12.8" hidden="false" customHeight="false" outlineLevel="0" collapsed="false">
      <c r="A44878" s="0" t="s">
        <v>15962</v>
      </c>
      <c r="B44878" s="0" t="str">
        <f aca="false">HYPERLINK("https://lindat.mff.cuni.cz/services/teitok/pdtc10/index.php?action=vallex&amp;frame=v-w6193f2", "smát se (v-w6193f2)")</f>
        <v>smát se (v-w6193f2)</v>
      </c>
    </row>
    <row r="44879" customFormat="false" ht="12.8" hidden="false" customHeight="false" outlineLevel="0" collapsed="false">
      <c r="B44879" s="0" t="s">
        <v>7</v>
      </c>
      <c r="C44879" s="0" t="s">
        <v>113</v>
      </c>
      <c r="D44879" s="0" t="s">
        <v>623</v>
      </c>
      <c r="E44879" s="0" t="s">
        <v>623</v>
      </c>
      <c r="F44879" s="0" t="s">
        <v>623</v>
      </c>
    </row>
    <row r="44880" customFormat="false" ht="12.8" hidden="false" customHeight="false" outlineLevel="0" collapsed="false">
      <c r="B44880" s="0" t="s">
        <v>63</v>
      </c>
    </row>
    <row r="44882" customFormat="false" ht="12.8" hidden="false" customHeight="false" outlineLevel="0" collapsed="false">
      <c r="A44882" s="0" t="s">
        <v>15963</v>
      </c>
      <c r="B44882" s="0" t="str">
        <f aca="false">HYPERLINK("https://lindat.mff.cuni.cz/services/teitok/pdtc10/index.php?action=vallex&amp;frame=v-w6207f1", "smést (v-w6207f1)")</f>
        <v>smést (v-w6207f1)</v>
      </c>
    </row>
    <row r="44883" customFormat="false" ht="12.8" hidden="false" customHeight="false" outlineLevel="0" collapsed="false">
      <c r="B44883" s="0" t="s">
        <v>7</v>
      </c>
      <c r="C44883" s="0" t="s">
        <v>623</v>
      </c>
      <c r="D44883" s="0" t="s">
        <v>191</v>
      </c>
      <c r="E44883" s="0" t="s">
        <v>191</v>
      </c>
      <c r="F44883" s="0" t="s">
        <v>191</v>
      </c>
    </row>
    <row r="44884" customFormat="false" ht="12.8" hidden="false" customHeight="false" outlineLevel="0" collapsed="false">
      <c r="B44884" s="0" t="s">
        <v>14</v>
      </c>
      <c r="C44884" s="0" t="s">
        <v>1315</v>
      </c>
      <c r="D44884" s="0" t="s">
        <v>47</v>
      </c>
      <c r="E44884" s="0" t="s">
        <v>47</v>
      </c>
      <c r="F44884" s="0" t="s">
        <v>47</v>
      </c>
    </row>
    <row r="44885" customFormat="false" ht="12.8" hidden="false" customHeight="false" outlineLevel="0" collapsed="false">
      <c r="B44885" s="0" t="s">
        <v>459</v>
      </c>
      <c r="C44885" s="0" t="s">
        <v>8091</v>
      </c>
    </row>
    <row r="44887" customFormat="false" ht="12.8" hidden="false" customHeight="false" outlineLevel="0" collapsed="false">
      <c r="A44887" s="0" t="s">
        <v>15964</v>
      </c>
      <c r="B44887" s="0" t="str">
        <f aca="false">HYPERLINK("https://lindat.mff.cuni.cz/services/teitok/pdtc10/index.php?action=vallex&amp;frame=v-w6207f3", "smést (v-w6207f3)")</f>
        <v>smést (v-w6207f3)</v>
      </c>
    </row>
    <row r="44888" customFormat="false" ht="12.8" hidden="false" customHeight="false" outlineLevel="0" collapsed="false">
      <c r="B44888" s="0" t="s">
        <v>7</v>
      </c>
      <c r="C44888" s="0" t="s">
        <v>108</v>
      </c>
      <c r="D44888" s="0" t="s">
        <v>2560</v>
      </c>
      <c r="E44888" s="0" t="s">
        <v>2560</v>
      </c>
      <c r="F44888" s="0" t="s">
        <v>2560</v>
      </c>
    </row>
    <row r="44889" customFormat="false" ht="12.8" hidden="false" customHeight="false" outlineLevel="0" collapsed="false">
      <c r="B44889" s="0" t="s">
        <v>14</v>
      </c>
      <c r="C44889" s="0" t="s">
        <v>625</v>
      </c>
      <c r="D44889" s="0" t="s">
        <v>3883</v>
      </c>
      <c r="E44889" s="0" t="s">
        <v>3883</v>
      </c>
      <c r="F44889" s="0" t="s">
        <v>3883</v>
      </c>
    </row>
    <row r="44890" customFormat="false" ht="12.8" hidden="false" customHeight="false" outlineLevel="0" collapsed="false">
      <c r="B44890" s="0" t="s">
        <v>459</v>
      </c>
    </row>
    <row r="44892" customFormat="false" ht="12.8" hidden="false" customHeight="false" outlineLevel="0" collapsed="false">
      <c r="A44892" s="0" t="s">
        <v>15965</v>
      </c>
      <c r="B44892" s="0" t="str">
        <f aca="false">HYPERLINK("https://lindat.mff.cuni.cz/services/teitok/pdtc10/index.php?action=vallex&amp;frame=v-w6207f2", "smést (v-w6207f2)")</f>
        <v>smést (v-w6207f2)</v>
      </c>
    </row>
    <row r="44893" customFormat="false" ht="12.8" hidden="false" customHeight="false" outlineLevel="0" collapsed="false">
      <c r="B44893" s="0" t="s">
        <v>7</v>
      </c>
    </row>
    <row r="44894" customFormat="false" ht="12.8" hidden="false" customHeight="false" outlineLevel="0" collapsed="false">
      <c r="B44894" s="0" t="s">
        <v>14</v>
      </c>
    </row>
    <row r="44896" customFormat="false" ht="12.8" hidden="false" customHeight="false" outlineLevel="0" collapsed="false">
      <c r="A44896" s="0" t="s">
        <v>15966</v>
      </c>
      <c r="B44896" s="0" t="str">
        <f aca="false">HYPERLINK("https://lindat.mff.cuni.cz/services/teitok/pdtc10/index.php?action=vallex&amp;frame=v-w6211f1", "smíchat (v-w6211f1)")</f>
        <v>smíchat (v-w6211f1)</v>
      </c>
    </row>
    <row r="44897" customFormat="false" ht="12.8" hidden="false" customHeight="false" outlineLevel="0" collapsed="false">
      <c r="B44897" s="0" t="s">
        <v>7</v>
      </c>
    </row>
    <row r="44898" customFormat="false" ht="12.8" hidden="false" customHeight="false" outlineLevel="0" collapsed="false">
      <c r="B44898" s="0" t="s">
        <v>14</v>
      </c>
    </row>
    <row r="44899" customFormat="false" ht="12.8" hidden="false" customHeight="false" outlineLevel="0" collapsed="false">
      <c r="B44899" s="0" t="s">
        <v>3086</v>
      </c>
    </row>
    <row r="44901" customFormat="false" ht="12.8" hidden="false" customHeight="false" outlineLevel="0" collapsed="false">
      <c r="A44901" s="0" t="s">
        <v>15967</v>
      </c>
      <c r="B44901" s="0" t="str">
        <f aca="false">HYPERLINK("https://lindat.mff.cuni.cz/services/teitok/pdtc10/index.php?action=vallex&amp;frame=v-w6214f1", "smířit se (v-w6214f1)")</f>
        <v>smířit se (v-w6214f1)</v>
      </c>
    </row>
    <row r="44902" customFormat="false" ht="12.8" hidden="false" customHeight="false" outlineLevel="0" collapsed="false">
      <c r="B44902" s="0" t="s">
        <v>7</v>
      </c>
      <c r="C44902" s="0" t="s">
        <v>149</v>
      </c>
      <c r="D44902" s="0" t="s">
        <v>15942</v>
      </c>
      <c r="E44902" s="0" t="s">
        <v>15942</v>
      </c>
      <c r="F44902" s="0" t="s">
        <v>15943</v>
      </c>
    </row>
    <row r="44903" customFormat="false" ht="12.8" hidden="false" customHeight="false" outlineLevel="0" collapsed="false">
      <c r="B44903" s="0" t="s">
        <v>548</v>
      </c>
      <c r="C44903" s="0" t="s">
        <v>15968</v>
      </c>
      <c r="D44903" s="0" t="s">
        <v>2102</v>
      </c>
      <c r="E44903" s="0" t="s">
        <v>2102</v>
      </c>
      <c r="F44903" s="0" t="s">
        <v>15944</v>
      </c>
    </row>
    <row r="44905" customFormat="false" ht="12.8" hidden="false" customHeight="false" outlineLevel="0" collapsed="false">
      <c r="A44905" s="0" t="s">
        <v>15969</v>
      </c>
      <c r="B44905" s="0" t="str">
        <f aca="false">HYPERLINK("https://lindat.mff.cuni.cz/services/teitok/pdtc10/index.php?action=vallex&amp;frame=v-w6214f2", "smířit se (v-w6214f2)")</f>
        <v>smířit se (v-w6214f2)</v>
      </c>
    </row>
    <row r="44906" customFormat="false" ht="12.8" hidden="false" customHeight="false" outlineLevel="0" collapsed="false">
      <c r="B44906" s="0" t="s">
        <v>7</v>
      </c>
    </row>
    <row r="44907" customFormat="false" ht="12.8" hidden="false" customHeight="false" outlineLevel="0" collapsed="false">
      <c r="B44907" s="0" t="s">
        <v>548</v>
      </c>
    </row>
    <row r="44909" customFormat="false" ht="12.8" hidden="false" customHeight="false" outlineLevel="0" collapsed="false">
      <c r="A44909" s="0" t="s">
        <v>15970</v>
      </c>
      <c r="B44909" s="0" t="str">
        <f aca="false">HYPERLINK("https://lindat.mff.cuni.cz/services/teitok/pdtc10/index.php?action=vallex&amp;frame=v-w6225f1", "smýkat (v-w6225f1)")</f>
        <v>smýkat (v-w6225f1)</v>
      </c>
    </row>
    <row r="44910" customFormat="false" ht="12.8" hidden="false" customHeight="false" outlineLevel="0" collapsed="false">
      <c r="B44910" s="0" t="s">
        <v>7</v>
      </c>
      <c r="C44910" s="0" t="s">
        <v>184</v>
      </c>
      <c r="D44910" s="0" t="s">
        <v>194</v>
      </c>
      <c r="E44910" s="0" t="s">
        <v>194</v>
      </c>
      <c r="F44910" s="0" t="s">
        <v>194</v>
      </c>
    </row>
    <row r="44911" customFormat="false" ht="12.8" hidden="false" customHeight="false" outlineLevel="0" collapsed="false">
      <c r="B44911" s="0" t="s">
        <v>3760</v>
      </c>
      <c r="C44911" s="0" t="s">
        <v>115</v>
      </c>
      <c r="D44911" s="0" t="s">
        <v>110</v>
      </c>
      <c r="E44911" s="0" t="s">
        <v>110</v>
      </c>
      <c r="F44911" s="0" t="s">
        <v>110</v>
      </c>
    </row>
    <row r="44913" customFormat="false" ht="12.8" hidden="false" customHeight="false" outlineLevel="0" collapsed="false">
      <c r="A44913" s="0" t="s">
        <v>15971</v>
      </c>
      <c r="B44913" s="0" t="str">
        <f aca="false">HYPERLINK("https://lindat.mff.cuni.cz/services/teitok/pdtc10/index.php?action=vallex&amp;frame=v-w6225f2_ZU", "smýkat (v-w6225f2_ZU)")</f>
        <v>smýkat (v-w6225f2_ZU)</v>
      </c>
    </row>
    <row r="44914" customFormat="false" ht="12.8" hidden="false" customHeight="false" outlineLevel="0" collapsed="false">
      <c r="B44914" s="0" t="s">
        <v>7</v>
      </c>
      <c r="C44914" s="0" t="s">
        <v>46</v>
      </c>
    </row>
    <row r="44915" customFormat="false" ht="12.8" hidden="false" customHeight="false" outlineLevel="0" collapsed="false">
      <c r="B44915" s="0" t="s">
        <v>14</v>
      </c>
      <c r="C44915" s="0" t="s">
        <v>47</v>
      </c>
    </row>
    <row r="44917" customFormat="false" ht="12.8" hidden="false" customHeight="false" outlineLevel="0" collapsed="false">
      <c r="A44917" s="0" t="s">
        <v>15971</v>
      </c>
      <c r="B44917" s="0" t="str">
        <f aca="false">HYPERLINK("https://lindat.mff.cuni.cz/services/teitok/pdtc10/index.php?action=vallex&amp;frame=v-w6225hsa_199", "smýkat (v-w6225hsa_199) - substituted with v-w6225f2_ZU")</f>
        <v>smýkat (v-w6225hsa_199) - substituted with v-w6225f2_ZU</v>
      </c>
    </row>
    <row r="44918" customFormat="false" ht="12.8" hidden="false" customHeight="false" outlineLevel="0" collapsed="false">
      <c r="B44918" s="0" t="s">
        <v>7</v>
      </c>
    </row>
    <row r="44919" customFormat="false" ht="12.8" hidden="false" customHeight="false" outlineLevel="0" collapsed="false">
      <c r="B44919" s="0" t="s">
        <v>14</v>
      </c>
    </row>
    <row r="44921" customFormat="false" ht="12.8" hidden="false" customHeight="false" outlineLevel="0" collapsed="false">
      <c r="A44921" s="0" t="s">
        <v>15972</v>
      </c>
      <c r="B44921" s="0" t="str">
        <f aca="false">HYPERLINK("https://lindat.mff.cuni.cz/services/teitok/pdtc10/index.php?action=vallex&amp;frame=v-w10146f2", "smýt (v-w10146f2)")</f>
        <v>smýt (v-w10146f2)</v>
      </c>
    </row>
    <row r="44922" customFormat="false" ht="12.8" hidden="false" customHeight="false" outlineLevel="0" collapsed="false">
      <c r="B44922" s="0" t="s">
        <v>7</v>
      </c>
    </row>
    <row r="44923" customFormat="false" ht="12.8" hidden="false" customHeight="false" outlineLevel="0" collapsed="false">
      <c r="B44923" s="0" t="s">
        <v>14</v>
      </c>
    </row>
    <row r="44924" customFormat="false" ht="12.8" hidden="false" customHeight="false" outlineLevel="0" collapsed="false">
      <c r="B44924" s="0" t="s">
        <v>459</v>
      </c>
    </row>
    <row r="44926" customFormat="false" ht="12.8" hidden="false" customHeight="false" outlineLevel="0" collapsed="false">
      <c r="A44926" s="0" t="s">
        <v>15973</v>
      </c>
      <c r="B44926" s="0" t="str">
        <f aca="false">HYPERLINK("https://lindat.mff.cuni.cz/services/teitok/pdtc10/index.php?action=vallex&amp;frame=v-w12226_ZUf1_ZU", "smývat (v-w12226_ZUf1_ZU)")</f>
        <v>smývat (v-w12226_ZUf1_ZU)</v>
      </c>
    </row>
    <row r="44927" customFormat="false" ht="12.8" hidden="false" customHeight="false" outlineLevel="0" collapsed="false">
      <c r="B44927" s="0" t="s">
        <v>7</v>
      </c>
    </row>
    <row r="44928" customFormat="false" ht="12.8" hidden="false" customHeight="false" outlineLevel="0" collapsed="false">
      <c r="B44928" s="0" t="s">
        <v>14</v>
      </c>
    </row>
    <row r="44929" customFormat="false" ht="12.8" hidden="false" customHeight="false" outlineLevel="0" collapsed="false">
      <c r="B44929" s="0" t="s">
        <v>459</v>
      </c>
    </row>
    <row r="44931" customFormat="false" ht="12.8" hidden="false" customHeight="false" outlineLevel="0" collapsed="false">
      <c r="A44931" s="0" t="s">
        <v>15974</v>
      </c>
      <c r="B44931" s="0" t="str">
        <f aca="false">HYPERLINK("https://lindat.mff.cuni.cz/services/teitok/pdtc10/index.php?action=vallex&amp;frame=v-w11004f2", "smýšlet (v-w11004f2)")</f>
        <v>smýšlet (v-w11004f2)</v>
      </c>
    </row>
    <row r="44932" customFormat="false" ht="12.8" hidden="false" customHeight="false" outlineLevel="0" collapsed="false">
      <c r="B44932" s="0" t="s">
        <v>7</v>
      </c>
    </row>
    <row r="44934" customFormat="false" ht="12.8" hidden="false" customHeight="false" outlineLevel="0" collapsed="false">
      <c r="A44934" s="0" t="s">
        <v>15975</v>
      </c>
      <c r="B44934" s="0" t="str">
        <f aca="false">HYPERLINK("https://lindat.mff.cuni.cz/services/teitok/pdtc10/index.php?action=vallex&amp;frame=v-w6198f1", "směnit (v-w6198f1)")</f>
        <v>směnit (v-w6198f1)</v>
      </c>
    </row>
    <row r="44935" customFormat="false" ht="12.8" hidden="false" customHeight="false" outlineLevel="0" collapsed="false">
      <c r="B44935" s="0" t="s">
        <v>7</v>
      </c>
    </row>
    <row r="44936" customFormat="false" ht="12.8" hidden="false" customHeight="false" outlineLevel="0" collapsed="false">
      <c r="B44936" s="0" t="s">
        <v>14</v>
      </c>
    </row>
    <row r="44937" customFormat="false" ht="12.8" hidden="false" customHeight="false" outlineLevel="0" collapsed="false">
      <c r="B44937" s="0" t="s">
        <v>2767</v>
      </c>
    </row>
    <row r="44938" customFormat="false" ht="12.8" hidden="false" customHeight="false" outlineLevel="0" collapsed="false">
      <c r="B44938" s="0" t="s">
        <v>550</v>
      </c>
    </row>
    <row r="44940" customFormat="false" ht="12.8" hidden="false" customHeight="false" outlineLevel="0" collapsed="false">
      <c r="A44940" s="0" t="s">
        <v>15976</v>
      </c>
      <c r="B44940" s="0" t="str">
        <f aca="false">HYPERLINK("https://lindat.mff.cuni.cz/services/teitok/pdtc10/index.php?action=vallex&amp;frame=v-w6198f2", "směnit (v-w6198f2)")</f>
        <v>směnit (v-w6198f2)</v>
      </c>
    </row>
    <row r="44941" customFormat="false" ht="12.8" hidden="false" customHeight="false" outlineLevel="0" collapsed="false">
      <c r="B44941" s="0" t="s">
        <v>7</v>
      </c>
      <c r="C44941" s="0" t="s">
        <v>157</v>
      </c>
      <c r="D44941" s="0" t="s">
        <v>6182</v>
      </c>
      <c r="E44941" s="0" t="s">
        <v>6182</v>
      </c>
      <c r="F44941" s="0" t="s">
        <v>6182</v>
      </c>
    </row>
    <row r="44942" customFormat="false" ht="12.8" hidden="false" customHeight="false" outlineLevel="0" collapsed="false">
      <c r="B44942" s="0" t="s">
        <v>14</v>
      </c>
      <c r="C44942" s="0" t="s">
        <v>4830</v>
      </c>
      <c r="D44942" s="0" t="s">
        <v>15977</v>
      </c>
      <c r="E44942" s="0" t="s">
        <v>15977</v>
      </c>
      <c r="F44942" s="0" t="s">
        <v>15977</v>
      </c>
    </row>
    <row r="44943" customFormat="false" ht="12.8" hidden="false" customHeight="false" outlineLevel="0" collapsed="false">
      <c r="B44943" s="0" t="s">
        <v>35</v>
      </c>
      <c r="D44943" s="0" t="s">
        <v>15978</v>
      </c>
      <c r="E44943" s="0" t="s">
        <v>15978</v>
      </c>
      <c r="F44943" s="0" t="s">
        <v>15978</v>
      </c>
    </row>
    <row r="44944" customFormat="false" ht="12.8" hidden="false" customHeight="false" outlineLevel="0" collapsed="false">
      <c r="B44944" s="0" t="s">
        <v>84</v>
      </c>
      <c r="C44944" s="0" t="s">
        <v>4832</v>
      </c>
      <c r="D44944" s="0" t="s">
        <v>6187</v>
      </c>
      <c r="E44944" s="0" t="s">
        <v>6187</v>
      </c>
      <c r="F44944" s="0" t="s">
        <v>6187</v>
      </c>
    </row>
    <row r="44946" customFormat="false" ht="12.8" hidden="false" customHeight="false" outlineLevel="0" collapsed="false">
      <c r="A44946" s="0" t="s">
        <v>15979</v>
      </c>
      <c r="B44946" s="0" t="str">
        <f aca="false">HYPERLINK("https://lindat.mff.cuni.cz/services/teitok/pdtc10/index.php?action=vallex&amp;frame=v-w6203f1", "směrovat (v-w6203f1)")</f>
        <v>směrovat (v-w6203f1)</v>
      </c>
    </row>
    <row r="44947" customFormat="false" ht="12.8" hidden="false" customHeight="false" outlineLevel="0" collapsed="false">
      <c r="B44947" s="0" t="s">
        <v>7</v>
      </c>
      <c r="C44947" s="0" t="s">
        <v>184</v>
      </c>
      <c r="D44947" s="0" t="s">
        <v>1435</v>
      </c>
      <c r="E44947" s="0" t="s">
        <v>1435</v>
      </c>
      <c r="F44947" s="0" t="s">
        <v>1435</v>
      </c>
    </row>
    <row r="44948" customFormat="false" ht="12.8" hidden="false" customHeight="false" outlineLevel="0" collapsed="false">
      <c r="B44948" s="0" t="s">
        <v>14</v>
      </c>
      <c r="C44948" s="0" t="s">
        <v>115</v>
      </c>
      <c r="D44948" s="0" t="s">
        <v>1437</v>
      </c>
      <c r="E44948" s="0" t="s">
        <v>1437</v>
      </c>
      <c r="F44948" s="0" t="s">
        <v>1437</v>
      </c>
    </row>
    <row r="44949" customFormat="false" ht="12.8" hidden="false" customHeight="false" outlineLevel="0" collapsed="false">
      <c r="B44949" s="0" t="s">
        <v>124</v>
      </c>
      <c r="D44949" s="0" t="s">
        <v>7001</v>
      </c>
      <c r="E44949" s="0" t="s">
        <v>7001</v>
      </c>
      <c r="F44949" s="0" t="s">
        <v>7001</v>
      </c>
    </row>
    <row r="44951" customFormat="false" ht="12.8" hidden="false" customHeight="false" outlineLevel="0" collapsed="false">
      <c r="A44951" s="0" t="s">
        <v>15980</v>
      </c>
      <c r="B44951" s="0" t="str">
        <f aca="false">HYPERLINK("https://lindat.mff.cuni.cz/services/teitok/pdtc10/index.php?action=vallex&amp;frame=v-w6203f2", "směrovat (v-w6203f2)")</f>
        <v>směrovat (v-w6203f2)</v>
      </c>
    </row>
    <row r="44952" customFormat="false" ht="12.8" hidden="false" customHeight="false" outlineLevel="0" collapsed="false">
      <c r="B44952" s="0" t="s">
        <v>7</v>
      </c>
    </row>
    <row r="44953" customFormat="false" ht="12.8" hidden="false" customHeight="false" outlineLevel="0" collapsed="false">
      <c r="B44953" s="0" t="s">
        <v>14</v>
      </c>
    </row>
    <row r="44954" customFormat="false" ht="12.8" hidden="false" customHeight="false" outlineLevel="0" collapsed="false">
      <c r="B44954" s="0" t="s">
        <v>124</v>
      </c>
    </row>
    <row r="44956" customFormat="false" ht="12.8" hidden="false" customHeight="false" outlineLevel="0" collapsed="false">
      <c r="A44956" s="0" t="s">
        <v>15981</v>
      </c>
      <c r="B44956" s="0" t="str">
        <f aca="false">HYPERLINK("https://lindat.mff.cuni.cz/services/teitok/pdtc10/index.php?action=vallex&amp;frame=v-w6208f1", "směstnat (v-w6208f1)")</f>
        <v>směstnat (v-w6208f1)</v>
      </c>
    </row>
    <row r="44957" customFormat="false" ht="12.8" hidden="false" customHeight="false" outlineLevel="0" collapsed="false">
      <c r="B44957" s="0" t="s">
        <v>7</v>
      </c>
    </row>
    <row r="44958" customFormat="false" ht="12.8" hidden="false" customHeight="false" outlineLevel="0" collapsed="false">
      <c r="B44958" s="0" t="s">
        <v>14</v>
      </c>
    </row>
    <row r="44959" customFormat="false" ht="12.8" hidden="false" customHeight="false" outlineLevel="0" collapsed="false">
      <c r="B44959" s="0" t="s">
        <v>11</v>
      </c>
    </row>
    <row r="44961" customFormat="false" ht="12.8" hidden="false" customHeight="false" outlineLevel="0" collapsed="false">
      <c r="A44961" s="0" t="s">
        <v>15982</v>
      </c>
      <c r="B44961" s="0" t="str">
        <f aca="false">HYPERLINK("https://lindat.mff.cuni.cz/services/teitok/pdtc10/index.php?action=vallex&amp;frame=v-w6208f2", "směstnat (v-w6208f2)")</f>
        <v>směstnat (v-w6208f2)</v>
      </c>
    </row>
    <row r="44962" customFormat="false" ht="12.8" hidden="false" customHeight="false" outlineLevel="0" collapsed="false">
      <c r="B44962" s="0" t="s">
        <v>7</v>
      </c>
    </row>
    <row r="44963" customFormat="false" ht="12.8" hidden="false" customHeight="false" outlineLevel="0" collapsed="false">
      <c r="B44963" s="0" t="s">
        <v>14</v>
      </c>
    </row>
    <row r="44964" customFormat="false" ht="12.8" hidden="false" customHeight="false" outlineLevel="0" collapsed="false">
      <c r="B44964" s="0" t="s">
        <v>124</v>
      </c>
    </row>
    <row r="44966" customFormat="false" ht="12.8" hidden="false" customHeight="false" outlineLevel="0" collapsed="false">
      <c r="A44966" s="0" t="s">
        <v>15983</v>
      </c>
      <c r="B44966" s="0" t="str">
        <f aca="false">HYPERLINK("https://lindat.mff.cuni.cz/services/teitok/pdtc10/index.php?action=vallex&amp;frame=v-w11730_ZUf1_ZU", "smět (v-w11730_ZUf1_ZU)")</f>
        <v>smět (v-w11730_ZUf1_ZU)</v>
      </c>
    </row>
    <row r="44967" customFormat="false" ht="12.8" hidden="false" customHeight="false" outlineLevel="0" collapsed="false">
      <c r="B44967" s="0" t="s">
        <v>7</v>
      </c>
    </row>
    <row r="44968" customFormat="false" ht="12.8" hidden="false" customHeight="false" outlineLevel="0" collapsed="false">
      <c r="B44968" s="0" t="s">
        <v>14</v>
      </c>
    </row>
    <row r="44970" customFormat="false" ht="12.8" hidden="false" customHeight="false" outlineLevel="0" collapsed="false">
      <c r="A44970" s="0" t="s">
        <v>15984</v>
      </c>
      <c r="B44970" s="0" t="str">
        <f aca="false">HYPERLINK("https://lindat.mff.cuni.cz/services/teitok/pdtc10/index.php?action=vallex&amp;frame=v-w6200f1", "směňovat (v-w6200f1)")</f>
        <v>směňovat (v-w6200f1)</v>
      </c>
    </row>
    <row r="44971" customFormat="false" ht="12.8" hidden="false" customHeight="false" outlineLevel="0" collapsed="false">
      <c r="B44971" s="0" t="s">
        <v>7</v>
      </c>
    </row>
    <row r="44972" customFormat="false" ht="12.8" hidden="false" customHeight="false" outlineLevel="0" collapsed="false">
      <c r="B44972" s="0" t="s">
        <v>14</v>
      </c>
    </row>
    <row r="44973" customFormat="false" ht="12.8" hidden="false" customHeight="false" outlineLevel="0" collapsed="false">
      <c r="B44973" s="0" t="s">
        <v>2767</v>
      </c>
    </row>
    <row r="44974" customFormat="false" ht="12.8" hidden="false" customHeight="false" outlineLevel="0" collapsed="false">
      <c r="B44974" s="0" t="s">
        <v>550</v>
      </c>
    </row>
    <row r="44976" customFormat="false" ht="12.8" hidden="false" customHeight="false" outlineLevel="0" collapsed="false">
      <c r="A44976" s="0" t="s">
        <v>15985</v>
      </c>
      <c r="B44976" s="0" t="str">
        <f aca="false">HYPERLINK("https://lindat.mff.cuni.cz/services/teitok/pdtc10/index.php?action=vallex&amp;frame=v-w6205f4", "směřovat (v-w6205f4)")</f>
        <v>směřovat (v-w6205f4)</v>
      </c>
    </row>
    <row r="44977" customFormat="false" ht="12.8" hidden="false" customHeight="false" outlineLevel="0" collapsed="false">
      <c r="B44977" s="0" t="s">
        <v>7</v>
      </c>
      <c r="C44977" s="0" t="s">
        <v>46</v>
      </c>
      <c r="D44977" s="0" t="s">
        <v>1435</v>
      </c>
      <c r="E44977" s="0" t="s">
        <v>1435</v>
      </c>
      <c r="F44977" s="0" t="s">
        <v>1435</v>
      </c>
    </row>
    <row r="44978" customFormat="false" ht="12.8" hidden="false" customHeight="false" outlineLevel="0" collapsed="false">
      <c r="B44978" s="0" t="s">
        <v>14</v>
      </c>
      <c r="C44978" s="0" t="s">
        <v>1436</v>
      </c>
      <c r="D44978" s="0" t="s">
        <v>1437</v>
      </c>
      <c r="E44978" s="0" t="s">
        <v>1437</v>
      </c>
      <c r="F44978" s="0" t="s">
        <v>1437</v>
      </c>
    </row>
    <row r="44979" customFormat="false" ht="12.8" hidden="false" customHeight="false" outlineLevel="0" collapsed="false">
      <c r="B44979" s="0" t="s">
        <v>124</v>
      </c>
      <c r="C44979" s="0" t="s">
        <v>10825</v>
      </c>
      <c r="D44979" s="0" t="s">
        <v>7001</v>
      </c>
      <c r="E44979" s="0" t="s">
        <v>7001</v>
      </c>
      <c r="F44979" s="0" t="s">
        <v>7001</v>
      </c>
    </row>
    <row r="44981" customFormat="false" ht="12.8" hidden="false" customHeight="false" outlineLevel="0" collapsed="false">
      <c r="A44981" s="0" t="s">
        <v>15986</v>
      </c>
      <c r="B44981" s="0" t="str">
        <f aca="false">HYPERLINK("https://lindat.mff.cuni.cz/services/teitok/pdtc10/index.php?action=vallex&amp;frame=v-w6205f2", "směřovat (v-w6205f2)")</f>
        <v>směřovat (v-w6205f2)</v>
      </c>
    </row>
    <row r="44982" customFormat="false" ht="12.8" hidden="false" customHeight="false" outlineLevel="0" collapsed="false">
      <c r="B44982" s="0" t="s">
        <v>7</v>
      </c>
      <c r="C44982" s="0" t="s">
        <v>15987</v>
      </c>
      <c r="D44982" s="0" t="s">
        <v>4198</v>
      </c>
      <c r="E44982" s="0" t="s">
        <v>4198</v>
      </c>
      <c r="F44982" s="0" t="s">
        <v>4198</v>
      </c>
    </row>
    <row r="44983" customFormat="false" ht="12.8" hidden="false" customHeight="false" outlineLevel="0" collapsed="false">
      <c r="B44983" s="0" t="s">
        <v>3902</v>
      </c>
      <c r="C44983" s="0" t="s">
        <v>15988</v>
      </c>
      <c r="D44983" s="0" t="s">
        <v>4200</v>
      </c>
      <c r="E44983" s="0" t="s">
        <v>4200</v>
      </c>
      <c r="F44983" s="0" t="s">
        <v>4200</v>
      </c>
    </row>
    <row r="44985" customFormat="false" ht="12.8" hidden="false" customHeight="false" outlineLevel="0" collapsed="false">
      <c r="A44985" s="0" t="s">
        <v>15989</v>
      </c>
      <c r="B44985" s="0" t="str">
        <f aca="false">HYPERLINK("https://lindat.mff.cuni.cz/services/teitok/pdtc10/index.php?action=vallex&amp;frame=v-w6205f1", "směřovat (v-w6205f1)")</f>
        <v>směřovat (v-w6205f1)</v>
      </c>
    </row>
    <row r="44986" customFormat="false" ht="12.8" hidden="false" customHeight="false" outlineLevel="0" collapsed="false">
      <c r="B44986" s="0" t="s">
        <v>7</v>
      </c>
      <c r="C44986" s="0" t="s">
        <v>15990</v>
      </c>
      <c r="D44986" s="0" t="s">
        <v>5366</v>
      </c>
      <c r="E44986" s="0" t="s">
        <v>5366</v>
      </c>
      <c r="F44986" s="0" t="s">
        <v>5366</v>
      </c>
    </row>
    <row r="44987" customFormat="false" ht="12.8" hidden="false" customHeight="false" outlineLevel="0" collapsed="false">
      <c r="B44987" s="0" t="s">
        <v>124</v>
      </c>
      <c r="C44987" s="0" t="s">
        <v>15991</v>
      </c>
      <c r="D44987" s="0" t="s">
        <v>2238</v>
      </c>
      <c r="E44987" s="0" t="s">
        <v>2238</v>
      </c>
      <c r="F44987" s="0" t="s">
        <v>2238</v>
      </c>
    </row>
    <row r="44989" customFormat="false" ht="12.8" hidden="false" customHeight="false" outlineLevel="0" collapsed="false">
      <c r="A44989" s="0" t="s">
        <v>15992</v>
      </c>
      <c r="B44989" s="0" t="str">
        <f aca="false">HYPERLINK("https://lindat.mff.cuni.cz/services/teitok/pdtc10/index.php?action=vallex&amp;frame=v-w6205f3", "směřovat (v-w6205f3)")</f>
        <v>směřovat (v-w6205f3)</v>
      </c>
    </row>
    <row r="44990" customFormat="false" ht="12.8" hidden="false" customHeight="false" outlineLevel="0" collapsed="false">
      <c r="B44990" s="0" t="s">
        <v>7</v>
      </c>
      <c r="C44990" s="0" t="s">
        <v>15993</v>
      </c>
      <c r="D44990" s="0" t="s">
        <v>4208</v>
      </c>
      <c r="E44990" s="0" t="s">
        <v>4208</v>
      </c>
      <c r="F44990" s="0" t="s">
        <v>4208</v>
      </c>
    </row>
    <row r="44991" customFormat="false" ht="12.8" hidden="false" customHeight="false" outlineLevel="0" collapsed="false">
      <c r="B44991" s="0" t="s">
        <v>124</v>
      </c>
      <c r="C44991" s="0" t="s">
        <v>15994</v>
      </c>
    </row>
    <row r="44993" customFormat="false" ht="12.8" hidden="false" customHeight="false" outlineLevel="0" collapsed="false">
      <c r="A44993" s="0" t="s">
        <v>15995</v>
      </c>
      <c r="B44993" s="0" t="str">
        <f aca="false">HYPERLINK("https://lindat.mff.cuni.cz/services/teitok/pdtc10/index.php?action=vallex&amp;frame=v-w6234f1", "snažit se (v-w6234f1)")</f>
        <v>snažit se (v-w6234f1)</v>
      </c>
    </row>
    <row r="44994" customFormat="false" ht="12.8" hidden="false" customHeight="false" outlineLevel="0" collapsed="false">
      <c r="B44994" s="0" t="s">
        <v>7</v>
      </c>
      <c r="C44994" s="0" t="s">
        <v>15996</v>
      </c>
      <c r="D44994" s="0" t="s">
        <v>376</v>
      </c>
      <c r="E44994" s="0" t="s">
        <v>376</v>
      </c>
      <c r="F44994" s="0" t="s">
        <v>15997</v>
      </c>
    </row>
    <row r="44995" customFormat="false" ht="12.8" hidden="false" customHeight="false" outlineLevel="0" collapsed="false">
      <c r="B44995" s="0" t="s">
        <v>10335</v>
      </c>
      <c r="C44995" s="0" t="s">
        <v>15998</v>
      </c>
      <c r="D44995" s="0" t="s">
        <v>379</v>
      </c>
      <c r="E44995" s="0" t="s">
        <v>379</v>
      </c>
      <c r="F44995" s="0" t="s">
        <v>15999</v>
      </c>
    </row>
    <row r="44997" customFormat="false" ht="12.8" hidden="false" customHeight="false" outlineLevel="0" collapsed="false">
      <c r="A44997" s="0" t="s">
        <v>16000</v>
      </c>
      <c r="B44997" s="0" t="str">
        <f aca="false">HYPERLINK("https://lindat.mff.cuni.cz/services/teitok/pdtc10/index.php?action=vallex&amp;frame=v-w6253f1", "snižovat (v-w6253f1)")</f>
        <v>snižovat (v-w6253f1)</v>
      </c>
    </row>
    <row r="44998" customFormat="false" ht="12.8" hidden="false" customHeight="false" outlineLevel="0" collapsed="false">
      <c r="B44998" s="0" t="s">
        <v>7</v>
      </c>
      <c r="C44998" s="0" t="s">
        <v>16001</v>
      </c>
      <c r="D44998" s="0" t="s">
        <v>9101</v>
      </c>
      <c r="E44998" s="0" t="s">
        <v>8863</v>
      </c>
      <c r="F44998" s="0" t="s">
        <v>8863</v>
      </c>
    </row>
    <row r="44999" customFormat="false" ht="12.8" hidden="false" customHeight="false" outlineLevel="0" collapsed="false">
      <c r="B44999" s="0" t="s">
        <v>14</v>
      </c>
      <c r="C44999" s="0" t="s">
        <v>16002</v>
      </c>
      <c r="D44999" s="0" t="s">
        <v>9102</v>
      </c>
      <c r="E44999" s="0" t="s">
        <v>8865</v>
      </c>
      <c r="F44999" s="0" t="s">
        <v>8865</v>
      </c>
    </row>
    <row r="45000" customFormat="false" ht="12.8" hidden="false" customHeight="false" outlineLevel="0" collapsed="false">
      <c r="B45000" s="0" t="s">
        <v>35</v>
      </c>
      <c r="C45000" s="0" t="s">
        <v>16003</v>
      </c>
      <c r="D45000" s="0" t="s">
        <v>9103</v>
      </c>
      <c r="E45000" s="0" t="s">
        <v>8867</v>
      </c>
      <c r="F45000" s="0" t="s">
        <v>8867</v>
      </c>
    </row>
    <row r="45001" customFormat="false" ht="12.8" hidden="false" customHeight="false" outlineLevel="0" collapsed="false">
      <c r="B45001" s="0" t="s">
        <v>84</v>
      </c>
      <c r="C45001" s="0" t="s">
        <v>16004</v>
      </c>
      <c r="D45001" s="0" t="s">
        <v>9104</v>
      </c>
      <c r="E45001" s="0" t="s">
        <v>8869</v>
      </c>
      <c r="F45001" s="0" t="s">
        <v>8869</v>
      </c>
    </row>
    <row r="45003" customFormat="false" ht="12.8" hidden="false" customHeight="false" outlineLevel="0" collapsed="false">
      <c r="A45003" s="0" t="s">
        <v>16005</v>
      </c>
      <c r="B45003" s="0" t="str">
        <f aca="false">HYPERLINK("https://lindat.mff.cuni.cz/services/teitok/pdtc10/index.php?action=vallex&amp;frame=v-w6254f1", "snižovat se (v-w6254f1)")</f>
        <v>snižovat se (v-w6254f1)</v>
      </c>
    </row>
    <row r="45004" customFormat="false" ht="12.8" hidden="false" customHeight="false" outlineLevel="0" collapsed="false">
      <c r="B45004" s="0" t="s">
        <v>7</v>
      </c>
      <c r="C45004" s="0" t="s">
        <v>16006</v>
      </c>
      <c r="D45004" s="0" t="s">
        <v>9114</v>
      </c>
      <c r="E45004" s="0" t="s">
        <v>4615</v>
      </c>
      <c r="F45004" s="0" t="s">
        <v>4615</v>
      </c>
    </row>
    <row r="45005" customFormat="false" ht="12.8" hidden="false" customHeight="false" outlineLevel="0" collapsed="false">
      <c r="B45005" s="0" t="s">
        <v>63</v>
      </c>
      <c r="C45005" s="0" t="s">
        <v>16007</v>
      </c>
      <c r="D45005" s="0" t="s">
        <v>9116</v>
      </c>
      <c r="E45005" s="0" t="s">
        <v>4618</v>
      </c>
      <c r="F45005" s="0" t="s">
        <v>4618</v>
      </c>
    </row>
    <row r="45006" customFormat="false" ht="12.8" hidden="false" customHeight="false" outlineLevel="0" collapsed="false">
      <c r="B45006" s="0" t="s">
        <v>35</v>
      </c>
      <c r="C45006" s="0" t="s">
        <v>16008</v>
      </c>
      <c r="D45006" s="0" t="s">
        <v>9118</v>
      </c>
      <c r="E45006" s="0" t="s">
        <v>4621</v>
      </c>
      <c r="F45006" s="0" t="s">
        <v>4621</v>
      </c>
    </row>
    <row r="45008" customFormat="false" ht="12.8" hidden="false" customHeight="false" outlineLevel="0" collapsed="false">
      <c r="A45008" s="0" t="s">
        <v>16009</v>
      </c>
      <c r="B45008" s="0" t="str">
        <f aca="false">HYPERLINK("https://lindat.mff.cuni.cz/services/teitok/pdtc10/index.php?action=vallex&amp;frame=v-w11593_ZUf1_ZU", "snoubit (v-w11593_ZUf1_ZU)")</f>
        <v>snoubit (v-w11593_ZUf1_ZU)</v>
      </c>
    </row>
    <row r="45009" customFormat="false" ht="12.8" hidden="false" customHeight="false" outlineLevel="0" collapsed="false">
      <c r="B45009" s="0" t="s">
        <v>7</v>
      </c>
    </row>
    <row r="45010" customFormat="false" ht="12.8" hidden="false" customHeight="false" outlineLevel="0" collapsed="false">
      <c r="B45010" s="0" t="s">
        <v>14</v>
      </c>
    </row>
    <row r="45011" customFormat="false" ht="12.8" hidden="false" customHeight="false" outlineLevel="0" collapsed="false">
      <c r="B45011" s="0" t="s">
        <v>207</v>
      </c>
    </row>
    <row r="45012" customFormat="false" ht="12.8" hidden="false" customHeight="false" outlineLevel="0" collapsed="false">
      <c r="B45012" s="0" t="s">
        <v>2571</v>
      </c>
    </row>
    <row r="45014" customFormat="false" ht="12.8" hidden="false" customHeight="false" outlineLevel="0" collapsed="false">
      <c r="A45014" s="0" t="s">
        <v>16010</v>
      </c>
      <c r="B45014" s="0" t="str">
        <f aca="false">HYPERLINK("https://lindat.mff.cuni.cz/services/teitok/pdtc10/index.php?action=vallex&amp;frame=v-w6255f1", "snoubit se (v-w6255f1)")</f>
        <v>snoubit se (v-w6255f1)</v>
      </c>
    </row>
    <row r="45015" customFormat="false" ht="12.8" hidden="false" customHeight="false" outlineLevel="0" collapsed="false">
      <c r="B45015" s="0" t="s">
        <v>7</v>
      </c>
      <c r="D45015" s="0" t="s">
        <v>2780</v>
      </c>
      <c r="E45015" s="0" t="s">
        <v>2780</v>
      </c>
      <c r="F45015" s="0" t="s">
        <v>2780</v>
      </c>
    </row>
    <row r="45016" customFormat="false" ht="12.8" hidden="false" customHeight="false" outlineLevel="0" collapsed="false">
      <c r="B45016" s="0" t="s">
        <v>548</v>
      </c>
      <c r="D45016" s="0" t="s">
        <v>2781</v>
      </c>
      <c r="E45016" s="0" t="s">
        <v>2781</v>
      </c>
      <c r="F45016" s="0" t="s">
        <v>2781</v>
      </c>
    </row>
    <row r="45017" customFormat="false" ht="12.8" hidden="false" customHeight="false" outlineLevel="0" collapsed="false">
      <c r="B45017" s="0" t="s">
        <v>2571</v>
      </c>
      <c r="D45017" s="0" t="s">
        <v>10273</v>
      </c>
      <c r="E45017" s="0" t="s">
        <v>10273</v>
      </c>
      <c r="F45017" s="0" t="s">
        <v>10273</v>
      </c>
    </row>
    <row r="45019" customFormat="false" ht="12.8" hidden="false" customHeight="false" outlineLevel="0" collapsed="false">
      <c r="A45019" s="0" t="s">
        <v>16011</v>
      </c>
      <c r="B45019" s="0" t="str">
        <f aca="false">HYPERLINK("https://lindat.mff.cuni.cz/services/teitok/pdtc10/index.php?action=vallex&amp;frame=v-w11159f2", "snout (v-w11159f2)")</f>
        <v>snout (v-w11159f2)</v>
      </c>
    </row>
    <row r="45020" customFormat="false" ht="12.8" hidden="false" customHeight="false" outlineLevel="0" collapsed="false">
      <c r="B45020" s="0" t="s">
        <v>7</v>
      </c>
    </row>
    <row r="45021" customFormat="false" ht="12.8" hidden="false" customHeight="false" outlineLevel="0" collapsed="false">
      <c r="B45021" s="0" t="s">
        <v>16012</v>
      </c>
    </row>
    <row r="45023" customFormat="false" ht="12.8" hidden="false" customHeight="false" outlineLevel="0" collapsed="false">
      <c r="A45023" s="0" t="s">
        <v>16013</v>
      </c>
      <c r="B45023" s="0" t="str">
        <f aca="false">HYPERLINK("https://lindat.mff.cuni.cz/services/teitok/pdtc10/index.php?action=vallex&amp;frame=v-w6230f5_ZU", "snášet (v-w6230f5_ZU)")</f>
        <v>snášet (v-w6230f5_ZU)</v>
      </c>
    </row>
    <row r="45024" customFormat="false" ht="12.8" hidden="false" customHeight="false" outlineLevel="0" collapsed="false">
      <c r="B45024" s="0" t="s">
        <v>7</v>
      </c>
    </row>
    <row r="45025" customFormat="false" ht="12.8" hidden="false" customHeight="false" outlineLevel="0" collapsed="false">
      <c r="B45025" s="0" t="s">
        <v>1693</v>
      </c>
    </row>
    <row r="45027" customFormat="false" ht="12.8" hidden="false" customHeight="false" outlineLevel="0" collapsed="false">
      <c r="A45027" s="0" t="s">
        <v>16013</v>
      </c>
      <c r="B45027" s="0" t="str">
        <f aca="false">HYPERLINK("https://lindat.mff.cuni.cz/services/teitok/pdtc10/index.php?action=vallex&amp;frame=v-w6230f1", "snášet (v-w6230f1) - substituted with v-w6230f5_ZU")</f>
        <v>snášet (v-w6230f1) - substituted with v-w6230f5_ZU</v>
      </c>
    </row>
    <row r="45028" customFormat="false" ht="12.8" hidden="false" customHeight="false" outlineLevel="0" collapsed="false">
      <c r="B45028" s="0" t="s">
        <v>7</v>
      </c>
      <c r="C45028" s="0" t="s">
        <v>16014</v>
      </c>
    </row>
    <row r="45029" customFormat="false" ht="12.8" hidden="false" customHeight="false" outlineLevel="0" collapsed="false">
      <c r="B45029" s="0" t="s">
        <v>1693</v>
      </c>
      <c r="C45029" s="0" t="s">
        <v>16015</v>
      </c>
    </row>
    <row r="45031" customFormat="false" ht="12.8" hidden="false" customHeight="false" outlineLevel="0" collapsed="false">
      <c r="A45031" s="0" t="s">
        <v>16013</v>
      </c>
      <c r="B45031" s="0" t="str">
        <f aca="false">HYPERLINK("https://lindat.mff.cuni.cz/services/teitok/pdtc10/index.php?action=vallex&amp;frame=v-w6230hsa_47", "snášet (v-w6230hsa_47) - substituted with v-w6230f5_ZU")</f>
        <v>snášet (v-w6230hsa_47) - substituted with v-w6230f5_ZU</v>
      </c>
    </row>
    <row r="45032" customFormat="false" ht="12.8" hidden="false" customHeight="false" outlineLevel="0" collapsed="false">
      <c r="B45032" s="0" t="s">
        <v>7</v>
      </c>
      <c r="C45032" s="0" t="s">
        <v>88</v>
      </c>
      <c r="D45032" s="0" t="s">
        <v>569</v>
      </c>
      <c r="E45032" s="0" t="s">
        <v>569</v>
      </c>
      <c r="F45032" s="0" t="s">
        <v>569</v>
      </c>
    </row>
    <row r="45033" customFormat="false" ht="12.8" hidden="false" customHeight="false" outlineLevel="0" collapsed="false">
      <c r="B45033" s="0" t="s">
        <v>1693</v>
      </c>
      <c r="C45033" s="0" t="s">
        <v>74</v>
      </c>
      <c r="D45033" s="0" t="s">
        <v>384</v>
      </c>
      <c r="E45033" s="0" t="s">
        <v>384</v>
      </c>
      <c r="F45033" s="0" t="s">
        <v>384</v>
      </c>
    </row>
    <row r="45035" customFormat="false" ht="12.8" hidden="false" customHeight="false" outlineLevel="0" collapsed="false">
      <c r="A45035" s="0" t="s">
        <v>16016</v>
      </c>
      <c r="B45035" s="0" t="str">
        <f aca="false">HYPERLINK("https://lindat.mff.cuni.cz/services/teitok/pdtc10/index.php?action=vallex&amp;frame=v-w6230f2", "snášet (v-w6230f2)")</f>
        <v>snášet (v-w6230f2)</v>
      </c>
    </row>
    <row r="45036" customFormat="false" ht="12.8" hidden="false" customHeight="false" outlineLevel="0" collapsed="false">
      <c r="B45036" s="0" t="s">
        <v>7</v>
      </c>
    </row>
    <row r="45037" customFormat="false" ht="12.8" hidden="false" customHeight="false" outlineLevel="0" collapsed="false">
      <c r="B45037" s="0" t="s">
        <v>14</v>
      </c>
    </row>
    <row r="45039" customFormat="false" ht="12.8" hidden="false" customHeight="false" outlineLevel="0" collapsed="false">
      <c r="A45039" s="0" t="s">
        <v>16017</v>
      </c>
      <c r="B45039" s="0" t="str">
        <f aca="false">HYPERLINK("https://lindat.mff.cuni.cz/services/teitok/pdtc10/index.php?action=vallex&amp;frame=v-w6230f4", "snášet (v-w6230f4)")</f>
        <v>snášet (v-w6230f4)</v>
      </c>
    </row>
    <row r="45040" customFormat="false" ht="12.8" hidden="false" customHeight="false" outlineLevel="0" collapsed="false">
      <c r="B45040" s="0" t="s">
        <v>7</v>
      </c>
    </row>
    <row r="45041" customFormat="false" ht="12.8" hidden="false" customHeight="false" outlineLevel="0" collapsed="false">
      <c r="B45041" s="0" t="s">
        <v>14</v>
      </c>
    </row>
    <row r="45042" customFormat="false" ht="12.8" hidden="false" customHeight="false" outlineLevel="0" collapsed="false">
      <c r="B45042" s="0" t="s">
        <v>474</v>
      </c>
    </row>
    <row r="45043" customFormat="false" ht="12.8" hidden="false" customHeight="false" outlineLevel="0" collapsed="false">
      <c r="B45043" s="0" t="s">
        <v>479</v>
      </c>
    </row>
    <row r="45044" customFormat="false" ht="12.8" hidden="false" customHeight="false" outlineLevel="0" collapsed="false">
      <c r="B45044" s="0" t="s">
        <v>483</v>
      </c>
    </row>
    <row r="45046" customFormat="false" ht="12.8" hidden="false" customHeight="false" outlineLevel="0" collapsed="false">
      <c r="A45046" s="0" t="s">
        <v>16018</v>
      </c>
      <c r="B45046" s="0" t="str">
        <f aca="false">HYPERLINK("https://lindat.mff.cuni.cz/services/teitok/pdtc10/index.php?action=vallex&amp;frame=v-w6230f3", "snášet (v-w6230f3)")</f>
        <v>snášet (v-w6230f3)</v>
      </c>
    </row>
    <row r="45047" customFormat="false" ht="12.8" hidden="false" customHeight="false" outlineLevel="0" collapsed="false">
      <c r="B45047" s="0" t="s">
        <v>7</v>
      </c>
    </row>
    <row r="45048" customFormat="false" ht="12.8" hidden="false" customHeight="false" outlineLevel="0" collapsed="false">
      <c r="B45048" s="0" t="s">
        <v>14</v>
      </c>
    </row>
    <row r="45050" customFormat="false" ht="12.8" hidden="false" customHeight="false" outlineLevel="0" collapsed="false">
      <c r="A45050" s="0" t="s">
        <v>16019</v>
      </c>
      <c r="B45050" s="0" t="str">
        <f aca="false">HYPERLINK("https://lindat.mff.cuni.cz/services/teitok/pdtc10/index.php?action=vallex&amp;frame=v-whsa_643hsa_644", "snášet se (v-whsa_643hsa_644)")</f>
        <v>snášet se (v-whsa_643hsa_644)</v>
      </c>
    </row>
    <row r="45051" customFormat="false" ht="12.8" hidden="false" customHeight="false" outlineLevel="0" collapsed="false">
      <c r="B45051" s="0" t="s">
        <v>7</v>
      </c>
    </row>
    <row r="45052" customFormat="false" ht="12.8" hidden="false" customHeight="false" outlineLevel="0" collapsed="false">
      <c r="B45052" s="0" t="s">
        <v>548</v>
      </c>
    </row>
    <row r="45054" customFormat="false" ht="12.8" hidden="false" customHeight="false" outlineLevel="0" collapsed="false">
      <c r="A45054" s="0" t="s">
        <v>16020</v>
      </c>
      <c r="B45054" s="0" t="str">
        <f aca="false">HYPERLINK("https://lindat.mff.cuni.cz/services/teitok/pdtc10/index.php?action=vallex&amp;frame=v-w6238f1", "snést (v-w6238f1)")</f>
        <v>snést (v-w6238f1)</v>
      </c>
    </row>
    <row r="45055" customFormat="false" ht="12.8" hidden="false" customHeight="false" outlineLevel="0" collapsed="false">
      <c r="B45055" s="0" t="s">
        <v>7</v>
      </c>
      <c r="C45055" s="0" t="s">
        <v>16021</v>
      </c>
      <c r="D45055" s="0" t="s">
        <v>569</v>
      </c>
      <c r="E45055" s="0" t="s">
        <v>569</v>
      </c>
      <c r="F45055" s="0" t="s">
        <v>569</v>
      </c>
    </row>
    <row r="45056" customFormat="false" ht="12.8" hidden="false" customHeight="false" outlineLevel="0" collapsed="false">
      <c r="B45056" s="0" t="s">
        <v>4381</v>
      </c>
      <c r="C45056" s="0" t="s">
        <v>16022</v>
      </c>
      <c r="D45056" s="0" t="s">
        <v>384</v>
      </c>
      <c r="E45056" s="0" t="s">
        <v>384</v>
      </c>
      <c r="F45056" s="0" t="s">
        <v>384</v>
      </c>
    </row>
    <row r="45058" customFormat="false" ht="12.8" hidden="false" customHeight="false" outlineLevel="0" collapsed="false">
      <c r="A45058" s="0" t="s">
        <v>16023</v>
      </c>
      <c r="B45058" s="0" t="str">
        <f aca="false">HYPERLINK("https://lindat.mff.cuni.cz/services/teitok/pdtc10/index.php?action=vallex&amp;frame=v-w6238f2", "snést (v-w6238f2)")</f>
        <v>snést (v-w6238f2)</v>
      </c>
    </row>
    <row r="45059" customFormat="false" ht="12.8" hidden="false" customHeight="false" outlineLevel="0" collapsed="false">
      <c r="B45059" s="0" t="s">
        <v>7</v>
      </c>
    </row>
    <row r="45060" customFormat="false" ht="12.8" hidden="false" customHeight="false" outlineLevel="0" collapsed="false">
      <c r="B45060" s="0" t="s">
        <v>14</v>
      </c>
    </row>
    <row r="45062" customFormat="false" ht="12.8" hidden="false" customHeight="false" outlineLevel="0" collapsed="false">
      <c r="A45062" s="0" t="s">
        <v>16024</v>
      </c>
      <c r="B45062" s="0" t="str">
        <f aca="false">HYPERLINK("https://lindat.mff.cuni.cz/services/teitok/pdtc10/index.php?action=vallex&amp;frame=v-w6239f2", "snést se (v-w6239f2)")</f>
        <v>snést se (v-w6239f2)</v>
      </c>
    </row>
    <row r="45063" customFormat="false" ht="12.8" hidden="false" customHeight="false" outlineLevel="0" collapsed="false">
      <c r="B45063" s="0" t="s">
        <v>7</v>
      </c>
    </row>
    <row r="45064" customFormat="false" ht="12.8" hidden="false" customHeight="false" outlineLevel="0" collapsed="false">
      <c r="B45064" s="0" t="s">
        <v>548</v>
      </c>
    </row>
    <row r="45066" customFormat="false" ht="12.8" hidden="false" customHeight="false" outlineLevel="0" collapsed="false">
      <c r="A45066" s="0" t="s">
        <v>16025</v>
      </c>
      <c r="B45066" s="0" t="str">
        <f aca="false">HYPERLINK("https://lindat.mff.cuni.cz/services/teitok/pdtc10/index.php?action=vallex&amp;frame=v-w6239f1", "snést se (v-w6239f1)")</f>
        <v>snést se (v-w6239f1)</v>
      </c>
    </row>
    <row r="45067" customFormat="false" ht="12.8" hidden="false" customHeight="false" outlineLevel="0" collapsed="false">
      <c r="B45067" s="0" t="s">
        <v>7</v>
      </c>
    </row>
    <row r="45068" customFormat="false" ht="12.8" hidden="false" customHeight="false" outlineLevel="0" collapsed="false">
      <c r="B45068" s="0" t="s">
        <v>124</v>
      </c>
    </row>
    <row r="45070" customFormat="false" ht="12.8" hidden="false" customHeight="false" outlineLevel="0" collapsed="false">
      <c r="A45070" s="0" t="s">
        <v>16026</v>
      </c>
      <c r="B45070" s="0" t="str">
        <f aca="false">HYPERLINK("https://lindat.mff.cuni.cz/services/teitok/pdtc10/index.php?action=vallex&amp;frame=v-whsa_1241f1_ZU", "snídat (v-whsa_1241f1_ZU)")</f>
        <v>snídat (v-whsa_1241f1_ZU)</v>
      </c>
    </row>
    <row r="45071" customFormat="false" ht="12.8" hidden="false" customHeight="false" outlineLevel="0" collapsed="false">
      <c r="B45071" s="0" t="s">
        <v>7</v>
      </c>
    </row>
    <row r="45072" customFormat="false" ht="12.8" hidden="false" customHeight="false" outlineLevel="0" collapsed="false">
      <c r="B45072" s="0" t="s">
        <v>297</v>
      </c>
    </row>
    <row r="45074" customFormat="false" ht="12.8" hidden="false" customHeight="false" outlineLevel="0" collapsed="false">
      <c r="A45074" s="0" t="s">
        <v>16026</v>
      </c>
      <c r="B45074" s="0" t="str">
        <f aca="false">HYPERLINK("https://lindat.mff.cuni.cz/services/teitok/pdtc10/index.php?action=vallex&amp;frame=v-whsa_1241hsa_1242", "snídat (v-whsa_1241hsa_1242) - substituted with v-whsa_1241f1_ZU")</f>
        <v>snídat (v-whsa_1241hsa_1242) - substituted with v-whsa_1241f1_ZU</v>
      </c>
    </row>
    <row r="45075" customFormat="false" ht="12.8" hidden="false" customHeight="false" outlineLevel="0" collapsed="false">
      <c r="B45075" s="0" t="s">
        <v>7</v>
      </c>
    </row>
    <row r="45076" customFormat="false" ht="12.8" hidden="false" customHeight="false" outlineLevel="0" collapsed="false">
      <c r="B45076" s="0" t="s">
        <v>297</v>
      </c>
    </row>
    <row r="45078" customFormat="false" ht="12.8" hidden="false" customHeight="false" outlineLevel="0" collapsed="false">
      <c r="A45078" s="0" t="s">
        <v>16027</v>
      </c>
      <c r="B45078" s="0" t="str">
        <f aca="false">HYPERLINK("https://lindat.mff.cuni.cz/services/teitok/pdtc10/index.php?action=vallex&amp;frame=v-w6243f1", "snímat (v-w6243f1)")</f>
        <v>snímat (v-w6243f1)</v>
      </c>
    </row>
    <row r="45079" customFormat="false" ht="12.8" hidden="false" customHeight="false" outlineLevel="0" collapsed="false">
      <c r="B45079" s="0" t="s">
        <v>7</v>
      </c>
    </row>
    <row r="45080" customFormat="false" ht="12.8" hidden="false" customHeight="false" outlineLevel="0" collapsed="false">
      <c r="B45080" s="0" t="s">
        <v>14</v>
      </c>
    </row>
    <row r="45081" customFormat="false" ht="12.8" hidden="false" customHeight="false" outlineLevel="0" collapsed="false">
      <c r="B45081" s="0" t="s">
        <v>459</v>
      </c>
    </row>
    <row r="45083" customFormat="false" ht="12.8" hidden="false" customHeight="false" outlineLevel="0" collapsed="false">
      <c r="A45083" s="0" t="s">
        <v>16028</v>
      </c>
      <c r="B45083" s="0" t="str">
        <f aca="false">HYPERLINK("https://lindat.mff.cuni.cz/services/teitok/pdtc10/index.php?action=vallex&amp;frame=v-w6243f2_ZU", "snímat (v-w6243f2_ZU)")</f>
        <v>snímat (v-w6243f2_ZU)</v>
      </c>
    </row>
    <row r="45084" customFormat="false" ht="12.8" hidden="false" customHeight="false" outlineLevel="0" collapsed="false">
      <c r="B45084" s="0" t="s">
        <v>7</v>
      </c>
      <c r="C45084" s="0" t="s">
        <v>191</v>
      </c>
    </row>
    <row r="45085" customFormat="false" ht="12.8" hidden="false" customHeight="false" outlineLevel="0" collapsed="false">
      <c r="B45085" s="0" t="s">
        <v>14</v>
      </c>
      <c r="C45085" s="0" t="s">
        <v>47</v>
      </c>
    </row>
    <row r="45087" customFormat="false" ht="12.8" hidden="false" customHeight="false" outlineLevel="0" collapsed="false">
      <c r="A45087" s="0" t="s">
        <v>16029</v>
      </c>
      <c r="B45087" s="0" t="str">
        <f aca="false">HYPERLINK("https://lindat.mff.cuni.cz/services/teitok/pdtc10/index.php?action=vallex&amp;frame=v-w6245f1", "sníst (v-w6245f1)")</f>
        <v>sníst (v-w6245f1)</v>
      </c>
    </row>
    <row r="45088" customFormat="false" ht="12.8" hidden="false" customHeight="false" outlineLevel="0" collapsed="false">
      <c r="B45088" s="0" t="s">
        <v>7</v>
      </c>
      <c r="C45088" s="0" t="s">
        <v>4379</v>
      </c>
      <c r="D45088" s="0" t="s">
        <v>4380</v>
      </c>
      <c r="E45088" s="0" t="s">
        <v>4380</v>
      </c>
      <c r="F45088" s="0" t="s">
        <v>4380</v>
      </c>
    </row>
    <row r="45089" customFormat="false" ht="12.8" hidden="false" customHeight="false" outlineLevel="0" collapsed="false">
      <c r="B45089" s="0" t="s">
        <v>14</v>
      </c>
      <c r="C45089" s="0" t="s">
        <v>1315</v>
      </c>
      <c r="D45089" s="0" t="s">
        <v>151</v>
      </c>
      <c r="E45089" s="0" t="s">
        <v>151</v>
      </c>
      <c r="F45089" s="0" t="s">
        <v>151</v>
      </c>
    </row>
    <row r="45091" customFormat="false" ht="12.8" hidden="false" customHeight="false" outlineLevel="0" collapsed="false">
      <c r="A45091" s="0" t="s">
        <v>16030</v>
      </c>
      <c r="B45091" s="0" t="str">
        <f aca="false">HYPERLINK("https://lindat.mff.cuni.cz/services/teitok/pdtc10/index.php?action=vallex&amp;frame=v-w6245f2_ZU", "sníst (v-w6245f2_ZU)")</f>
        <v>sníst (v-w6245f2_ZU)</v>
      </c>
    </row>
    <row r="45092" customFormat="false" ht="12.8" hidden="false" customHeight="false" outlineLevel="0" collapsed="false">
      <c r="B45092" s="0" t="s">
        <v>7</v>
      </c>
    </row>
    <row r="45093" customFormat="false" ht="12.8" hidden="false" customHeight="false" outlineLevel="0" collapsed="false">
      <c r="B45093" s="0" t="s">
        <v>16031</v>
      </c>
    </row>
    <row r="45095" customFormat="false" ht="12.8" hidden="false" customHeight="false" outlineLevel="0" collapsed="false">
      <c r="A45095" s="0" t="s">
        <v>16032</v>
      </c>
      <c r="B45095" s="0" t="str">
        <f aca="false">HYPERLINK("https://lindat.mff.cuni.cz/services/teitok/pdtc10/index.php?action=vallex&amp;frame=v-w6246f1", "snít (v-w6246f1)")</f>
        <v>snít (v-w6246f1)</v>
      </c>
    </row>
    <row r="45096" customFormat="false" ht="12.8" hidden="false" customHeight="false" outlineLevel="0" collapsed="false">
      <c r="B45096" s="0" t="s">
        <v>7</v>
      </c>
      <c r="C45096" s="0" t="s">
        <v>569</v>
      </c>
      <c r="D45096" s="0" t="s">
        <v>88</v>
      </c>
      <c r="E45096" s="0" t="s">
        <v>88</v>
      </c>
      <c r="F45096" s="0" t="s">
        <v>88</v>
      </c>
    </row>
    <row r="45097" customFormat="false" ht="12.8" hidden="false" customHeight="false" outlineLevel="0" collapsed="false">
      <c r="B45097" s="0" t="s">
        <v>2766</v>
      </c>
      <c r="C45097" s="0" t="s">
        <v>1170</v>
      </c>
      <c r="D45097" s="0" t="s">
        <v>74</v>
      </c>
      <c r="E45097" s="0" t="s">
        <v>74</v>
      </c>
      <c r="F45097" s="0" t="s">
        <v>74</v>
      </c>
    </row>
    <row r="45099" customFormat="false" ht="12.8" hidden="false" customHeight="false" outlineLevel="0" collapsed="false">
      <c r="A45099" s="0" t="s">
        <v>16033</v>
      </c>
      <c r="B45099" s="0" t="str">
        <f aca="false">HYPERLINK("https://lindat.mff.cuni.cz/services/teitok/pdtc10/index.php?action=vallex&amp;frame=v-w6246f2", "snít (v-w6246f2)")</f>
        <v>snít (v-w6246f2)</v>
      </c>
    </row>
    <row r="45100" customFormat="false" ht="12.8" hidden="false" customHeight="false" outlineLevel="0" collapsed="false">
      <c r="B45100" s="0" t="s">
        <v>7</v>
      </c>
    </row>
    <row r="45101" customFormat="false" ht="12.8" hidden="false" customHeight="false" outlineLevel="0" collapsed="false">
      <c r="B45101" s="0" t="s">
        <v>297</v>
      </c>
    </row>
    <row r="45103" customFormat="false" ht="12.8" hidden="false" customHeight="false" outlineLevel="0" collapsed="false">
      <c r="A45103" s="0" t="s">
        <v>16034</v>
      </c>
      <c r="B45103" s="0" t="str">
        <f aca="false">HYPERLINK("https://lindat.mff.cuni.cz/services/teitok/pdtc10/index.php?action=vallex&amp;frame=v-w6246f3_ZU", "snít (v-w6246f3_ZU)")</f>
        <v>snít (v-w6246f3_ZU)</v>
      </c>
    </row>
    <row r="45104" customFormat="false" ht="12.8" hidden="false" customHeight="false" outlineLevel="0" collapsed="false">
      <c r="B45104" s="0" t="s">
        <v>7</v>
      </c>
    </row>
    <row r="45105" customFormat="false" ht="12.8" hidden="false" customHeight="false" outlineLevel="0" collapsed="false">
      <c r="B45105" s="0" t="s">
        <v>244</v>
      </c>
    </row>
    <row r="45106" customFormat="false" ht="12.8" hidden="false" customHeight="false" outlineLevel="0" collapsed="false">
      <c r="B45106" s="0" t="s">
        <v>3546</v>
      </c>
    </row>
    <row r="45108" customFormat="false" ht="12.8" hidden="false" customHeight="false" outlineLevel="0" collapsed="false">
      <c r="A45108" s="0" t="s">
        <v>16035</v>
      </c>
      <c r="B45108" s="0" t="str">
        <f aca="false">HYPERLINK("https://lindat.mff.cuni.cz/services/teitok/pdtc10/index.php?action=vallex&amp;frame=v-w6247f1", "snít se (v-w6247f1)")</f>
        <v>snít se (v-w6247f1)</v>
      </c>
    </row>
    <row r="45109" customFormat="false" ht="12.8" hidden="false" customHeight="false" outlineLevel="0" collapsed="false">
      <c r="B45109" s="0" t="s">
        <v>603</v>
      </c>
    </row>
    <row r="45110" customFormat="false" ht="12.8" hidden="false" customHeight="false" outlineLevel="0" collapsed="false">
      <c r="B45110" s="0" t="s">
        <v>13961</v>
      </c>
    </row>
    <row r="45111" customFormat="false" ht="12.8" hidden="false" customHeight="false" outlineLevel="0" collapsed="false">
      <c r="B45111" s="0" t="s">
        <v>16036</v>
      </c>
    </row>
    <row r="45113" customFormat="false" ht="12.8" hidden="false" customHeight="false" outlineLevel="0" collapsed="false">
      <c r="A45113" s="0" t="s">
        <v>16037</v>
      </c>
      <c r="B45113" s="0" t="str">
        <f aca="false">HYPERLINK("https://lindat.mff.cuni.cz/services/teitok/pdtc10/index.php?action=vallex&amp;frame=v-w6248f1", "snít si (v-w6248f1)")</f>
        <v>snít si (v-w6248f1)</v>
      </c>
    </row>
    <row r="45114" customFormat="false" ht="12.8" hidden="false" customHeight="false" outlineLevel="0" collapsed="false">
      <c r="B45114" s="0" t="s">
        <v>7</v>
      </c>
    </row>
    <row r="45115" customFormat="false" ht="12.8" hidden="false" customHeight="false" outlineLevel="0" collapsed="false">
      <c r="B45115" s="0" t="s">
        <v>297</v>
      </c>
    </row>
    <row r="45117" customFormat="false" ht="12.8" hidden="false" customHeight="false" outlineLevel="0" collapsed="false">
      <c r="A45117" s="0" t="s">
        <v>16038</v>
      </c>
      <c r="B45117" s="0" t="str">
        <f aca="false">HYPERLINK("https://lindat.mff.cuni.cz/services/teitok/pdtc10/index.php?action=vallex&amp;frame=v-w6250f1", "snížit (v-w6250f1)")</f>
        <v>snížit (v-w6250f1)</v>
      </c>
    </row>
    <row r="45118" customFormat="false" ht="12.8" hidden="false" customHeight="false" outlineLevel="0" collapsed="false">
      <c r="B45118" s="0" t="s">
        <v>7</v>
      </c>
      <c r="C45118" s="0" t="s">
        <v>16039</v>
      </c>
      <c r="D45118" s="0" t="s">
        <v>9101</v>
      </c>
      <c r="E45118" s="0" t="s">
        <v>8863</v>
      </c>
      <c r="F45118" s="0" t="s">
        <v>8863</v>
      </c>
    </row>
    <row r="45119" customFormat="false" ht="12.8" hidden="false" customHeight="false" outlineLevel="0" collapsed="false">
      <c r="B45119" s="0" t="s">
        <v>14</v>
      </c>
      <c r="C45119" s="0" t="s">
        <v>16040</v>
      </c>
      <c r="D45119" s="0" t="s">
        <v>9102</v>
      </c>
      <c r="E45119" s="0" t="s">
        <v>8865</v>
      </c>
      <c r="F45119" s="0" t="s">
        <v>8865</v>
      </c>
    </row>
    <row r="45120" customFormat="false" ht="12.8" hidden="false" customHeight="false" outlineLevel="0" collapsed="false">
      <c r="B45120" s="0" t="s">
        <v>35</v>
      </c>
      <c r="C45120" s="0" t="s">
        <v>16041</v>
      </c>
      <c r="D45120" s="0" t="s">
        <v>9103</v>
      </c>
      <c r="E45120" s="0" t="s">
        <v>8867</v>
      </c>
      <c r="F45120" s="0" t="s">
        <v>8867</v>
      </c>
    </row>
    <row r="45121" customFormat="false" ht="12.8" hidden="false" customHeight="false" outlineLevel="0" collapsed="false">
      <c r="B45121" s="0" t="s">
        <v>84</v>
      </c>
      <c r="C45121" s="0" t="s">
        <v>16042</v>
      </c>
      <c r="D45121" s="0" t="s">
        <v>9104</v>
      </c>
      <c r="E45121" s="0" t="s">
        <v>8869</v>
      </c>
      <c r="F45121" s="0" t="s">
        <v>8869</v>
      </c>
    </row>
    <row r="45123" customFormat="false" ht="12.8" hidden="false" customHeight="false" outlineLevel="0" collapsed="false">
      <c r="A45123" s="0" t="s">
        <v>16043</v>
      </c>
      <c r="B45123" s="0" t="str">
        <f aca="false">HYPERLINK("https://lindat.mff.cuni.cz/services/teitok/pdtc10/index.php?action=vallex&amp;frame=v-w6250hsa_1031", "snížit (v-w6250hsa_1031)")</f>
        <v>snížit (v-w6250hsa_1031)</v>
      </c>
    </row>
    <row r="45124" customFormat="false" ht="12.8" hidden="false" customHeight="false" outlineLevel="0" collapsed="false">
      <c r="B45124" s="0" t="s">
        <v>7</v>
      </c>
    </row>
    <row r="45125" customFormat="false" ht="12.8" hidden="false" customHeight="false" outlineLevel="0" collapsed="false">
      <c r="B45125" s="0" t="s">
        <v>63</v>
      </c>
    </row>
    <row r="45126" customFormat="false" ht="12.8" hidden="false" customHeight="false" outlineLevel="0" collapsed="false">
      <c r="B45126" s="0" t="s">
        <v>35</v>
      </c>
    </row>
    <row r="45128" customFormat="false" ht="12.8" hidden="false" customHeight="false" outlineLevel="0" collapsed="false">
      <c r="A45128" s="0" t="s">
        <v>16044</v>
      </c>
      <c r="B45128" s="0" t="str">
        <f aca="false">HYPERLINK("https://lindat.mff.cuni.cz/services/teitok/pdtc10/index.php?action=vallex&amp;frame=v-w6251f1", "snížit se (v-w6251f1)")</f>
        <v>snížit se (v-w6251f1)</v>
      </c>
    </row>
    <row r="45129" customFormat="false" ht="12.8" hidden="false" customHeight="false" outlineLevel="0" collapsed="false">
      <c r="B45129" s="0" t="s">
        <v>7</v>
      </c>
      <c r="C45129" s="0" t="s">
        <v>16045</v>
      </c>
      <c r="D45129" s="0" t="s">
        <v>9114</v>
      </c>
      <c r="E45129" s="0" t="s">
        <v>4615</v>
      </c>
      <c r="F45129" s="0" t="s">
        <v>4615</v>
      </c>
    </row>
    <row r="45130" customFormat="false" ht="12.8" hidden="false" customHeight="false" outlineLevel="0" collapsed="false">
      <c r="B45130" s="0" t="s">
        <v>63</v>
      </c>
      <c r="C45130" s="0" t="s">
        <v>16046</v>
      </c>
      <c r="D45130" s="0" t="s">
        <v>9116</v>
      </c>
      <c r="E45130" s="0" t="s">
        <v>4618</v>
      </c>
      <c r="F45130" s="0" t="s">
        <v>4618</v>
      </c>
    </row>
    <row r="45131" customFormat="false" ht="12.8" hidden="false" customHeight="false" outlineLevel="0" collapsed="false">
      <c r="B45131" s="0" t="s">
        <v>35</v>
      </c>
      <c r="C45131" s="0" t="s">
        <v>16047</v>
      </c>
      <c r="D45131" s="0" t="s">
        <v>9118</v>
      </c>
      <c r="E45131" s="0" t="s">
        <v>4621</v>
      </c>
      <c r="F45131" s="0" t="s">
        <v>4621</v>
      </c>
    </row>
    <row r="45133" customFormat="false" ht="12.8" hidden="false" customHeight="false" outlineLevel="0" collapsed="false">
      <c r="A45133" s="0" t="s">
        <v>16048</v>
      </c>
      <c r="B45133" s="0" t="str">
        <f aca="false">HYPERLINK("https://lindat.mff.cuni.cz/services/teitok/pdtc10/index.php?action=vallex&amp;frame=v-w6251f2", "snížit se (v-w6251f2)")</f>
        <v>snížit se (v-w6251f2)</v>
      </c>
    </row>
    <row r="45134" customFormat="false" ht="12.8" hidden="false" customHeight="false" outlineLevel="0" collapsed="false">
      <c r="B45134" s="0" t="s">
        <v>7</v>
      </c>
    </row>
    <row r="45135" customFormat="false" ht="12.8" hidden="false" customHeight="false" outlineLevel="0" collapsed="false">
      <c r="B45135" s="0" t="s">
        <v>237</v>
      </c>
    </row>
    <row r="45137" customFormat="false" ht="12.8" hidden="false" customHeight="false" outlineLevel="0" collapsed="false">
      <c r="A45137" s="0" t="s">
        <v>16049</v>
      </c>
      <c r="B45137" s="0" t="str">
        <f aca="false">HYPERLINK("https://lindat.mff.cuni.cz/services/teitok/pdtc10/index.php?action=vallex&amp;frame=v-w6240f2", "sněžit (v-w6240f2)")</f>
        <v>sněžit (v-w6240f2)</v>
      </c>
    </row>
    <row r="45138" customFormat="false" ht="12.8" hidden="false" customHeight="false" outlineLevel="0" collapsed="false">
      <c r="B45138" s="0" t="s">
        <v>7</v>
      </c>
    </row>
    <row r="45140" customFormat="false" ht="12.8" hidden="false" customHeight="false" outlineLevel="0" collapsed="false">
      <c r="A45140" s="0" t="s">
        <v>16050</v>
      </c>
      <c r="B45140" s="0" t="str">
        <f aca="false">HYPERLINK("https://lindat.mff.cuni.cz/services/teitok/pdtc10/index.php?action=vallex&amp;frame=v-w6240f1", "sněžit (v-w6240f1)")</f>
        <v>sněžit (v-w6240f1)</v>
      </c>
    </row>
    <row r="45142" customFormat="false" ht="12.8" hidden="false" customHeight="false" outlineLevel="0" collapsed="false">
      <c r="A45142" s="0" t="s">
        <v>16051</v>
      </c>
      <c r="B45142" s="0" t="str">
        <f aca="false">HYPERLINK("https://lindat.mff.cuni.cz/services/teitok/pdtc10/index.php?action=vallex&amp;frame=v-whsa_1339hsa_1340", "solit (v-whsa_1339hsa_1340)")</f>
        <v>solit (v-whsa_1339hsa_1340)</v>
      </c>
    </row>
    <row r="45143" customFormat="false" ht="12.8" hidden="false" customHeight="false" outlineLevel="0" collapsed="false">
      <c r="B45143" s="0" t="s">
        <v>7</v>
      </c>
    </row>
    <row r="45144" customFormat="false" ht="12.8" hidden="false" customHeight="false" outlineLevel="0" collapsed="false">
      <c r="B45144" s="0" t="s">
        <v>14</v>
      </c>
    </row>
    <row r="45146" customFormat="false" ht="12.8" hidden="false" customHeight="false" outlineLevel="0" collapsed="false">
      <c r="A45146" s="0" t="s">
        <v>16052</v>
      </c>
      <c r="B45146" s="0" t="str">
        <f aca="false">HYPERLINK("https://lindat.mff.cuni.cz/services/teitok/pdtc10/index.php?action=vallex&amp;frame=v-w6261f1", "sondovat (v-w6261f1)")</f>
        <v>sondovat (v-w6261f1)</v>
      </c>
    </row>
    <row r="45147" customFormat="false" ht="12.8" hidden="false" customHeight="false" outlineLevel="0" collapsed="false">
      <c r="B45147" s="0" t="s">
        <v>7</v>
      </c>
    </row>
    <row r="45148" customFormat="false" ht="12.8" hidden="false" customHeight="false" outlineLevel="0" collapsed="false">
      <c r="B45148" s="0" t="s">
        <v>2030</v>
      </c>
    </row>
    <row r="45150" customFormat="false" ht="12.8" hidden="false" customHeight="false" outlineLevel="0" collapsed="false">
      <c r="A45150" s="0" t="s">
        <v>16053</v>
      </c>
      <c r="B45150" s="0" t="str">
        <f aca="false">HYPERLINK("https://lindat.mff.cuni.cz/services/teitok/pdtc10/index.php?action=vallex&amp;frame=v-w10413f2", "soptit (v-w10413f2)")</f>
        <v>soptit (v-w10413f2)</v>
      </c>
    </row>
    <row r="45151" customFormat="false" ht="12.8" hidden="false" customHeight="false" outlineLevel="0" collapsed="false">
      <c r="B45151" s="0" t="s">
        <v>7</v>
      </c>
    </row>
    <row r="45152" customFormat="false" ht="12.8" hidden="false" customHeight="false" outlineLevel="0" collapsed="false">
      <c r="B45152" s="0" t="s">
        <v>41</v>
      </c>
    </row>
    <row r="45154" customFormat="false" ht="12.8" hidden="false" customHeight="false" outlineLevel="0" collapsed="false">
      <c r="A45154" s="0" t="s">
        <v>16054</v>
      </c>
      <c r="B45154" s="0" t="str">
        <f aca="false">HYPERLINK("https://lindat.mff.cuni.cz/services/teitok/pdtc10/index.php?action=vallex&amp;frame=v-w10413f3", "soptit (v-w10413f3)")</f>
        <v>soptit (v-w10413f3)</v>
      </c>
    </row>
    <row r="45155" customFormat="false" ht="12.8" hidden="false" customHeight="false" outlineLevel="0" collapsed="false">
      <c r="B45155" s="0" t="s">
        <v>7</v>
      </c>
    </row>
    <row r="45157" customFormat="false" ht="12.8" hidden="false" customHeight="false" outlineLevel="0" collapsed="false">
      <c r="A45157" s="0" t="s">
        <v>16055</v>
      </c>
      <c r="B45157" s="0" t="str">
        <f aca="false">HYPERLINK("https://lindat.mff.cuni.cz/services/teitok/pdtc10/index.php?action=vallex&amp;frame=v-w10909f2", "soucítit (v-w10909f2)")</f>
        <v>soucítit (v-w10909f2)</v>
      </c>
    </row>
    <row r="45158" customFormat="false" ht="12.8" hidden="false" customHeight="false" outlineLevel="0" collapsed="false">
      <c r="B45158" s="0" t="s">
        <v>7</v>
      </c>
      <c r="C45158" s="0" t="s">
        <v>46</v>
      </c>
      <c r="D45158" s="0" t="s">
        <v>3803</v>
      </c>
      <c r="E45158" s="0" t="s">
        <v>3803</v>
      </c>
      <c r="F45158" s="0" t="s">
        <v>3803</v>
      </c>
    </row>
    <row r="45159" customFormat="false" ht="12.8" hidden="false" customHeight="false" outlineLevel="0" collapsed="false">
      <c r="B45159" s="0" t="s">
        <v>548</v>
      </c>
      <c r="D45159" s="0" t="s">
        <v>2850</v>
      </c>
      <c r="E45159" s="0" t="s">
        <v>2850</v>
      </c>
      <c r="F45159" s="0" t="s">
        <v>2850</v>
      </c>
    </row>
    <row r="45161" customFormat="false" ht="12.8" hidden="false" customHeight="false" outlineLevel="0" collapsed="false">
      <c r="A45161" s="0" t="s">
        <v>16056</v>
      </c>
      <c r="B45161" s="0" t="str">
        <f aca="false">HYPERLINK("https://lindat.mff.cuni.cz/services/teitok/pdtc10/index.php?action=vallex&amp;frame=v-w6269f2", "soudcovat (v-w6269f2)")</f>
        <v>soudcovat (v-w6269f2)</v>
      </c>
    </row>
    <row r="45162" customFormat="false" ht="12.8" hidden="false" customHeight="false" outlineLevel="0" collapsed="false">
      <c r="B45162" s="0" t="s">
        <v>7</v>
      </c>
    </row>
    <row r="45163" customFormat="false" ht="12.8" hidden="false" customHeight="false" outlineLevel="0" collapsed="false">
      <c r="B45163" s="0" t="s">
        <v>14</v>
      </c>
    </row>
    <row r="45165" customFormat="false" ht="12.8" hidden="false" customHeight="false" outlineLevel="0" collapsed="false">
      <c r="A45165" s="0" t="s">
        <v>16057</v>
      </c>
      <c r="B45165" s="0" t="str">
        <f aca="false">HYPERLINK("https://lindat.mff.cuni.cz/services/teitok/pdtc10/index.php?action=vallex&amp;frame=v-w6269f1", "soudcovat (v-w6269f1)")</f>
        <v>soudcovat (v-w6269f1)</v>
      </c>
    </row>
    <row r="45166" customFormat="false" ht="12.8" hidden="false" customHeight="false" outlineLevel="0" collapsed="false">
      <c r="B45166" s="0" t="s">
        <v>7</v>
      </c>
    </row>
    <row r="45168" customFormat="false" ht="12.8" hidden="false" customHeight="false" outlineLevel="0" collapsed="false">
      <c r="A45168" s="0" t="s">
        <v>16058</v>
      </c>
      <c r="B45168" s="0" t="str">
        <f aca="false">HYPERLINK("https://lindat.mff.cuni.cz/services/teitok/pdtc10/index.php?action=vallex&amp;frame=v-w6270f2", "soudit (v-w6270f2)")</f>
        <v>soudit (v-w6270f2)</v>
      </c>
    </row>
    <row r="45169" customFormat="false" ht="12.8" hidden="false" customHeight="false" outlineLevel="0" collapsed="false">
      <c r="B45169" s="0" t="s">
        <v>7</v>
      </c>
      <c r="C45169" s="0" t="s">
        <v>16059</v>
      </c>
      <c r="D45169" s="0" t="s">
        <v>16060</v>
      </c>
      <c r="E45169" s="0" t="s">
        <v>16060</v>
      </c>
      <c r="F45169" s="0" t="s">
        <v>16060</v>
      </c>
    </row>
    <row r="45170" customFormat="false" ht="12.8" hidden="false" customHeight="false" outlineLevel="0" collapsed="false">
      <c r="B45170" s="0" t="s">
        <v>14</v>
      </c>
      <c r="C45170" s="0" t="s">
        <v>16061</v>
      </c>
      <c r="D45170" s="0" t="s">
        <v>16062</v>
      </c>
      <c r="E45170" s="0" t="s">
        <v>16062</v>
      </c>
      <c r="F45170" s="0" t="s">
        <v>16062</v>
      </c>
    </row>
    <row r="45172" customFormat="false" ht="12.8" hidden="false" customHeight="false" outlineLevel="0" collapsed="false">
      <c r="A45172" s="0" t="s">
        <v>16063</v>
      </c>
      <c r="B45172" s="0" t="str">
        <f aca="false">HYPERLINK("https://lindat.mff.cuni.cz/services/teitok/pdtc10/index.php?action=vallex&amp;frame=v-w6270f1", "soudit (v-w6270f1)")</f>
        <v>soudit (v-w6270f1)</v>
      </c>
    </row>
    <row r="45173" customFormat="false" ht="12.8" hidden="false" customHeight="false" outlineLevel="0" collapsed="false">
      <c r="B45173" s="0" t="s">
        <v>7</v>
      </c>
      <c r="C45173" s="0" t="s">
        <v>16064</v>
      </c>
      <c r="D45173" s="0" t="s">
        <v>16065</v>
      </c>
      <c r="E45173" s="0" t="s">
        <v>16065</v>
      </c>
      <c r="F45173" s="0" t="s">
        <v>16065</v>
      </c>
    </row>
    <row r="45174" customFormat="false" ht="12.8" hidden="false" customHeight="false" outlineLevel="0" collapsed="false">
      <c r="B45174" s="0" t="s">
        <v>5525</v>
      </c>
      <c r="C45174" s="0" t="s">
        <v>16066</v>
      </c>
      <c r="D45174" s="0" t="s">
        <v>16067</v>
      </c>
      <c r="E45174" s="0" t="s">
        <v>16067</v>
      </c>
      <c r="F45174" s="0" t="s">
        <v>16067</v>
      </c>
    </row>
    <row r="45175" customFormat="false" ht="12.8" hidden="false" customHeight="false" outlineLevel="0" collapsed="false">
      <c r="B45175" s="0" t="s">
        <v>363</v>
      </c>
      <c r="C45175" s="0" t="s">
        <v>16068</v>
      </c>
      <c r="D45175" s="0" t="s">
        <v>16069</v>
      </c>
      <c r="E45175" s="0" t="s">
        <v>16069</v>
      </c>
      <c r="F45175" s="0" t="s">
        <v>16069</v>
      </c>
    </row>
    <row r="45177" customFormat="false" ht="12.8" hidden="false" customHeight="false" outlineLevel="0" collapsed="false">
      <c r="A45177" s="0" t="s">
        <v>16070</v>
      </c>
      <c r="B45177" s="0" t="str">
        <f aca="false">HYPERLINK("https://lindat.mff.cuni.cz/services/teitok/pdtc10/index.php?action=vallex&amp;frame=v-w6270f3_ZU", "soudit (v-w6270f3_ZU)")</f>
        <v>soudit (v-w6270f3_ZU)</v>
      </c>
    </row>
    <row r="45178" customFormat="false" ht="12.8" hidden="false" customHeight="false" outlineLevel="0" collapsed="false">
      <c r="B45178" s="0" t="s">
        <v>16071</v>
      </c>
    </row>
    <row r="45179" customFormat="false" ht="12.8" hidden="false" customHeight="false" outlineLevel="0" collapsed="false">
      <c r="B45179" s="0" t="s">
        <v>16072</v>
      </c>
    </row>
    <row r="45181" customFormat="false" ht="12.8" hidden="false" customHeight="false" outlineLevel="0" collapsed="false">
      <c r="A45181" s="0" t="s">
        <v>16073</v>
      </c>
      <c r="B45181" s="0" t="str">
        <f aca="false">HYPERLINK("https://lindat.mff.cuni.cz/services/teitok/pdtc10/index.php?action=vallex&amp;frame=v-w6271f1", "soudit se (v-w6271f1)")</f>
        <v>soudit se (v-w6271f1)</v>
      </c>
    </row>
    <row r="45182" customFormat="false" ht="12.8" hidden="false" customHeight="false" outlineLevel="0" collapsed="false">
      <c r="B45182" s="0" t="s">
        <v>7</v>
      </c>
      <c r="C45182" s="0" t="s">
        <v>1637</v>
      </c>
    </row>
    <row r="45183" customFormat="false" ht="12.8" hidden="false" customHeight="false" outlineLevel="0" collapsed="false">
      <c r="B45183" s="0" t="s">
        <v>615</v>
      </c>
      <c r="C45183" s="0" t="s">
        <v>16074</v>
      </c>
    </row>
    <row r="45184" customFormat="false" ht="12.8" hidden="false" customHeight="false" outlineLevel="0" collapsed="false">
      <c r="B45184" s="0" t="s">
        <v>207</v>
      </c>
      <c r="C45184" s="0" t="s">
        <v>16075</v>
      </c>
    </row>
    <row r="45186" customFormat="false" ht="12.8" hidden="false" customHeight="false" outlineLevel="0" collapsed="false">
      <c r="A45186" s="0" t="s">
        <v>16076</v>
      </c>
      <c r="B45186" s="0" t="str">
        <f aca="false">HYPERLINK("https://lindat.mff.cuni.cz/services/teitok/pdtc10/index.php?action=vallex&amp;frame=v-w6275f5_ZU", "souhlasit (v-w6275f5_ZU)")</f>
        <v>souhlasit (v-w6275f5_ZU)</v>
      </c>
    </row>
    <row r="45187" customFormat="false" ht="12.8" hidden="false" customHeight="false" outlineLevel="0" collapsed="false">
      <c r="B45187" s="0" t="s">
        <v>7</v>
      </c>
      <c r="C45187" s="0" t="s">
        <v>16077</v>
      </c>
      <c r="D45187" s="0" t="s">
        <v>14632</v>
      </c>
      <c r="E45187" s="0" t="s">
        <v>14632</v>
      </c>
      <c r="F45187" s="0" t="s">
        <v>14632</v>
      </c>
    </row>
    <row r="45188" customFormat="false" ht="12.8" hidden="false" customHeight="false" outlineLevel="0" collapsed="false">
      <c r="B45188" s="0" t="s">
        <v>16078</v>
      </c>
      <c r="C45188" s="0" t="s">
        <v>1938</v>
      </c>
      <c r="D45188" s="0" t="s">
        <v>14634</v>
      </c>
      <c r="E45188" s="0" t="s">
        <v>14634</v>
      </c>
      <c r="F45188" s="0" t="s">
        <v>14634</v>
      </c>
    </row>
    <row r="45189" customFormat="false" ht="12.8" hidden="false" customHeight="false" outlineLevel="0" collapsed="false">
      <c r="B45189" s="0" t="s">
        <v>207</v>
      </c>
      <c r="C45189" s="0" t="s">
        <v>16079</v>
      </c>
      <c r="D45189" s="0" t="s">
        <v>14636</v>
      </c>
      <c r="E45189" s="0" t="s">
        <v>14636</v>
      </c>
      <c r="F45189" s="0" t="s">
        <v>14636</v>
      </c>
    </row>
    <row r="45191" customFormat="false" ht="12.8" hidden="false" customHeight="false" outlineLevel="0" collapsed="false">
      <c r="A45191" s="0" t="s">
        <v>16076</v>
      </c>
      <c r="B45191" s="0" t="str">
        <f aca="false">HYPERLINK("https://lindat.mff.cuni.cz/services/teitok/pdtc10/index.php?action=vallex&amp;frame=v-w6275f2", "souhlasit (v-w6275f2) - substituted with v-w6275f5_ZU")</f>
        <v>souhlasit (v-w6275f2) - substituted with v-w6275f5_ZU</v>
      </c>
    </row>
    <row r="45192" customFormat="false" ht="12.8" hidden="false" customHeight="false" outlineLevel="0" collapsed="false">
      <c r="B45192" s="0" t="s">
        <v>7</v>
      </c>
      <c r="C45192" s="0" t="s">
        <v>16080</v>
      </c>
    </row>
    <row r="45193" customFormat="false" ht="12.8" hidden="false" customHeight="false" outlineLevel="0" collapsed="false">
      <c r="B45193" s="0" t="s">
        <v>16078</v>
      </c>
      <c r="C45193" s="0" t="s">
        <v>16081</v>
      </c>
    </row>
    <row r="45194" customFormat="false" ht="12.8" hidden="false" customHeight="false" outlineLevel="0" collapsed="false">
      <c r="B45194" s="0" t="s">
        <v>207</v>
      </c>
      <c r="C45194" s="0" t="s">
        <v>16082</v>
      </c>
    </row>
    <row r="45196" customFormat="false" ht="12.8" hidden="false" customHeight="false" outlineLevel="0" collapsed="false">
      <c r="A45196" s="0" t="s">
        <v>16083</v>
      </c>
      <c r="B45196" s="0" t="str">
        <f aca="false">HYPERLINK("https://lindat.mff.cuni.cz/services/teitok/pdtc10/index.php?action=vallex&amp;frame=v-w6275f3", "souhlasit (v-w6275f3)")</f>
        <v>souhlasit (v-w6275f3)</v>
      </c>
    </row>
    <row r="45197" customFormat="false" ht="12.8" hidden="false" customHeight="false" outlineLevel="0" collapsed="false">
      <c r="B45197" s="0" t="s">
        <v>7</v>
      </c>
      <c r="C45197" s="0" t="s">
        <v>16084</v>
      </c>
      <c r="D45197" s="0" t="s">
        <v>396</v>
      </c>
      <c r="E45197" s="0" t="s">
        <v>396</v>
      </c>
      <c r="F45197" s="0" t="s">
        <v>396</v>
      </c>
    </row>
    <row r="45198" customFormat="false" ht="12.8" hidden="false" customHeight="false" outlineLevel="0" collapsed="false">
      <c r="B45198" s="0" t="s">
        <v>548</v>
      </c>
      <c r="C45198" s="0" t="s">
        <v>8721</v>
      </c>
      <c r="D45198" s="0" t="s">
        <v>3694</v>
      </c>
      <c r="E45198" s="0" t="s">
        <v>3694</v>
      </c>
      <c r="F45198" s="0" t="s">
        <v>3694</v>
      </c>
    </row>
    <row r="45200" customFormat="false" ht="12.8" hidden="false" customHeight="false" outlineLevel="0" collapsed="false">
      <c r="A45200" s="0" t="s">
        <v>16085</v>
      </c>
      <c r="B45200" s="0" t="str">
        <f aca="false">HYPERLINK("https://lindat.mff.cuni.cz/services/teitok/pdtc10/index.php?action=vallex&amp;frame=v-w6275f8_ZU", "souhlasit (v-w6275f8_ZU)")</f>
        <v>souhlasit (v-w6275f8_ZU)</v>
      </c>
    </row>
    <row r="45201" customFormat="false" ht="12.8" hidden="false" customHeight="false" outlineLevel="0" collapsed="false">
      <c r="B45201" s="0" t="s">
        <v>7</v>
      </c>
      <c r="C45201" s="0" t="s">
        <v>16086</v>
      </c>
      <c r="D45201" s="0" t="s">
        <v>57</v>
      </c>
      <c r="E45201" s="0" t="s">
        <v>57</v>
      </c>
      <c r="F45201" s="0" t="s">
        <v>58</v>
      </c>
    </row>
    <row r="45202" customFormat="false" ht="12.8" hidden="false" customHeight="false" outlineLevel="0" collapsed="false">
      <c r="B45202" s="0" t="s">
        <v>16087</v>
      </c>
      <c r="C45202" s="0" t="s">
        <v>16088</v>
      </c>
      <c r="D45202" s="0" t="s">
        <v>60</v>
      </c>
      <c r="E45202" s="0" t="s">
        <v>60</v>
      </c>
      <c r="F45202" s="0" t="s">
        <v>61</v>
      </c>
    </row>
    <row r="45204" customFormat="false" ht="12.8" hidden="false" customHeight="false" outlineLevel="0" collapsed="false">
      <c r="A45204" s="0" t="s">
        <v>16085</v>
      </c>
      <c r="B45204" s="0" t="str">
        <f aca="false">HYPERLINK("https://lindat.mff.cuni.cz/services/teitok/pdtc10/index.php?action=vallex&amp;frame=v-w6275f1", "souhlasit (v-w6275f1) - substituted with v-w6275f8_ZU")</f>
        <v>souhlasit (v-w6275f1) - substituted with v-w6275f8_ZU</v>
      </c>
    </row>
    <row r="45205" customFormat="false" ht="12.8" hidden="false" customHeight="false" outlineLevel="0" collapsed="false">
      <c r="B45205" s="0" t="s">
        <v>7</v>
      </c>
      <c r="C45205" s="0" t="s">
        <v>16089</v>
      </c>
    </row>
    <row r="45206" customFormat="false" ht="12.8" hidden="false" customHeight="false" outlineLevel="0" collapsed="false">
      <c r="B45206" s="0" t="s">
        <v>16087</v>
      </c>
      <c r="C45206" s="0" t="s">
        <v>16090</v>
      </c>
    </row>
    <row r="45208" customFormat="false" ht="12.8" hidden="false" customHeight="false" outlineLevel="0" collapsed="false">
      <c r="A45208" s="0" t="s">
        <v>16085</v>
      </c>
      <c r="B45208" s="0" t="str">
        <f aca="false">HYPERLINK("https://lindat.mff.cuni.cz/services/teitok/pdtc10/index.php?action=vallex&amp;frame=v-w6275f4_ZU", "souhlasit (v-w6275f4_ZU) - substituted with v-w6275f8_ZU")</f>
        <v>souhlasit (v-w6275f4_ZU) - substituted with v-w6275f8_ZU</v>
      </c>
    </row>
    <row r="45209" customFormat="false" ht="12.8" hidden="false" customHeight="false" outlineLevel="0" collapsed="false">
      <c r="B45209" s="0" t="s">
        <v>7</v>
      </c>
      <c r="C45209" s="0" t="s">
        <v>16091</v>
      </c>
    </row>
    <row r="45210" customFormat="false" ht="12.8" hidden="false" customHeight="false" outlineLevel="0" collapsed="false">
      <c r="B45210" s="0" t="s">
        <v>16087</v>
      </c>
      <c r="C45210" s="0" t="s">
        <v>16092</v>
      </c>
    </row>
    <row r="45212" customFormat="false" ht="12.8" hidden="false" customHeight="false" outlineLevel="0" collapsed="false">
      <c r="A45212" s="0" t="s">
        <v>16085</v>
      </c>
      <c r="B45212" s="0" t="str">
        <f aca="false">HYPERLINK("https://lindat.mff.cuni.cz/services/teitok/pdtc10/index.php?action=vallex&amp;frame=v-w6275f6_ZU", "souhlasit (v-w6275f6_ZU) - substituted with v-w6275f8_ZU")</f>
        <v>souhlasit (v-w6275f6_ZU) - substituted with v-w6275f8_ZU</v>
      </c>
    </row>
    <row r="45213" customFormat="false" ht="12.8" hidden="false" customHeight="false" outlineLevel="0" collapsed="false">
      <c r="B45213" s="0" t="s">
        <v>7</v>
      </c>
      <c r="C45213" s="0" t="s">
        <v>12368</v>
      </c>
    </row>
    <row r="45214" customFormat="false" ht="12.8" hidden="false" customHeight="false" outlineLevel="0" collapsed="false">
      <c r="B45214" s="0" t="s">
        <v>16087</v>
      </c>
      <c r="C45214" s="0" t="s">
        <v>1938</v>
      </c>
    </row>
    <row r="45216" customFormat="false" ht="12.8" hidden="false" customHeight="false" outlineLevel="0" collapsed="false">
      <c r="A45216" s="0" t="s">
        <v>16085</v>
      </c>
      <c r="B45216" s="0" t="str">
        <f aca="false">HYPERLINK("https://lindat.mff.cuni.cz/services/teitok/pdtc10/index.php?action=vallex&amp;frame=v-w6275f7_ZU", "souhlasit (v-w6275f7_ZU) - substituted with v-w6275f8_ZU")</f>
        <v>souhlasit (v-w6275f7_ZU) - substituted with v-w6275f8_ZU</v>
      </c>
    </row>
    <row r="45217" customFormat="false" ht="12.8" hidden="false" customHeight="false" outlineLevel="0" collapsed="false">
      <c r="B45217" s="0" t="s">
        <v>7</v>
      </c>
      <c r="C45217" s="0" t="s">
        <v>504</v>
      </c>
    </row>
    <row r="45218" customFormat="false" ht="12.8" hidden="false" customHeight="false" outlineLevel="0" collapsed="false">
      <c r="B45218" s="0" t="s">
        <v>16087</v>
      </c>
      <c r="C45218" s="0" t="s">
        <v>16093</v>
      </c>
    </row>
    <row r="45220" customFormat="false" ht="12.8" hidden="false" customHeight="false" outlineLevel="0" collapsed="false">
      <c r="A45220" s="0" t="s">
        <v>16094</v>
      </c>
      <c r="B45220" s="0" t="str">
        <f aca="false">HYPERLINK("https://lindat.mff.cuni.cz/services/teitok/pdtc10/index.php?action=vallex&amp;frame=v-w6275hsa_743", "souhlasit (v-w6275hsa_743)")</f>
        <v>souhlasit (v-w6275hsa_743)</v>
      </c>
    </row>
    <row r="45221" customFormat="false" ht="12.8" hidden="false" customHeight="false" outlineLevel="0" collapsed="false">
      <c r="B45221" s="0" t="s">
        <v>7</v>
      </c>
    </row>
    <row r="45222" customFormat="false" ht="12.8" hidden="false" customHeight="false" outlineLevel="0" collapsed="false">
      <c r="B45222" s="0" t="s">
        <v>4559</v>
      </c>
    </row>
    <row r="45224" customFormat="false" ht="12.8" hidden="false" customHeight="false" outlineLevel="0" collapsed="false">
      <c r="A45224" s="0" t="s">
        <v>16095</v>
      </c>
      <c r="B45224" s="0" t="str">
        <f aca="false">HYPERLINK("https://lindat.mff.cuni.cz/services/teitok/pdtc10/index.php?action=vallex&amp;frame=v-w10846f2", "souložit (v-w10846f2)")</f>
        <v>souložit (v-w10846f2)</v>
      </c>
    </row>
    <row r="45225" customFormat="false" ht="12.8" hidden="false" customHeight="false" outlineLevel="0" collapsed="false">
      <c r="B45225" s="0" t="s">
        <v>7</v>
      </c>
      <c r="C45225" s="0" t="s">
        <v>1286</v>
      </c>
    </row>
    <row r="45226" customFormat="false" ht="12.8" hidden="false" customHeight="false" outlineLevel="0" collapsed="false">
      <c r="B45226" s="0" t="s">
        <v>548</v>
      </c>
    </row>
    <row r="45228" customFormat="false" ht="12.8" hidden="false" customHeight="false" outlineLevel="0" collapsed="false">
      <c r="A45228" s="0" t="s">
        <v>16096</v>
      </c>
      <c r="B45228" s="0" t="str">
        <f aca="false">HYPERLINK("https://lindat.mff.cuni.cz/services/teitok/pdtc10/index.php?action=vallex&amp;frame=v-w6280hsa_1181", "soupeřit (v-w6280hsa_1181)")</f>
        <v>soupeřit (v-w6280hsa_1181)</v>
      </c>
    </row>
    <row r="45229" customFormat="false" ht="12.8" hidden="false" customHeight="false" outlineLevel="0" collapsed="false">
      <c r="B45229" s="0" t="s">
        <v>7</v>
      </c>
      <c r="D45229" s="0" t="s">
        <v>316</v>
      </c>
      <c r="E45229" s="0" t="s">
        <v>316</v>
      </c>
      <c r="F45229" s="0" t="s">
        <v>316</v>
      </c>
    </row>
    <row r="45230" customFormat="false" ht="12.8" hidden="false" customHeight="false" outlineLevel="0" collapsed="false">
      <c r="B45230" s="0" t="s">
        <v>16097</v>
      </c>
      <c r="D45230" s="0" t="s">
        <v>319</v>
      </c>
      <c r="E45230" s="0" t="s">
        <v>319</v>
      </c>
      <c r="F45230" s="0" t="s">
        <v>319</v>
      </c>
    </row>
    <row r="45231" customFormat="false" ht="12.8" hidden="false" customHeight="false" outlineLevel="0" collapsed="false">
      <c r="B45231" s="0" t="s">
        <v>16098</v>
      </c>
      <c r="D45231" s="0" t="s">
        <v>322</v>
      </c>
      <c r="E45231" s="0" t="s">
        <v>322</v>
      </c>
      <c r="F45231" s="0" t="s">
        <v>322</v>
      </c>
    </row>
    <row r="45233" customFormat="false" ht="12.8" hidden="false" customHeight="false" outlineLevel="0" collapsed="false">
      <c r="A45233" s="0" t="s">
        <v>16096</v>
      </c>
      <c r="B45233" s="0" t="str">
        <f aca="false">HYPERLINK("https://lindat.mff.cuni.cz/services/teitok/pdtc10/index.php?action=vallex&amp;frame=v-w6280f1", "soupeřit (v-w6280f1) - substituted with v-w6280hsa_1181")</f>
        <v>soupeřit (v-w6280f1) - substituted with v-w6280hsa_1181</v>
      </c>
    </row>
    <row r="45234" customFormat="false" ht="12.8" hidden="false" customHeight="false" outlineLevel="0" collapsed="false">
      <c r="B45234" s="0" t="s">
        <v>7</v>
      </c>
      <c r="C45234" s="0" t="s">
        <v>465</v>
      </c>
    </row>
    <row r="45235" customFormat="false" ht="12.8" hidden="false" customHeight="false" outlineLevel="0" collapsed="false">
      <c r="B45235" s="0" t="s">
        <v>16097</v>
      </c>
      <c r="C45235" s="0" t="s">
        <v>16099</v>
      </c>
    </row>
    <row r="45236" customFormat="false" ht="12.8" hidden="false" customHeight="false" outlineLevel="0" collapsed="false">
      <c r="B45236" s="0" t="s">
        <v>16098</v>
      </c>
      <c r="C45236" s="0" t="s">
        <v>16100</v>
      </c>
    </row>
    <row r="45238" customFormat="false" ht="12.8" hidden="false" customHeight="false" outlineLevel="0" collapsed="false">
      <c r="A45238" s="0" t="s">
        <v>16101</v>
      </c>
      <c r="B45238" s="0" t="str">
        <f aca="false">HYPERLINK("https://lindat.mff.cuni.cz/services/teitok/pdtc10/index.php?action=vallex&amp;frame=v-w6282f1", "sousedit (v-w6282f1)")</f>
        <v>sousedit (v-w6282f1)</v>
      </c>
    </row>
    <row r="45239" customFormat="false" ht="12.8" hidden="false" customHeight="false" outlineLevel="0" collapsed="false">
      <c r="B45239" s="0" t="s">
        <v>7</v>
      </c>
    </row>
    <row r="45240" customFormat="false" ht="12.8" hidden="false" customHeight="false" outlineLevel="0" collapsed="false">
      <c r="B45240" s="0" t="s">
        <v>548</v>
      </c>
    </row>
    <row r="45242" customFormat="false" ht="12.8" hidden="false" customHeight="false" outlineLevel="0" collapsed="false">
      <c r="A45242" s="0" t="s">
        <v>16102</v>
      </c>
      <c r="B45242" s="0" t="str">
        <f aca="false">HYPERLINK("https://lindat.mff.cuni.cz/services/teitok/pdtc10/index.php?action=vallex&amp;frame=v-w6287f1", "soustředit (v-w6287f1)")</f>
        <v>soustředit (v-w6287f1)</v>
      </c>
    </row>
    <row r="45243" customFormat="false" ht="12.8" hidden="false" customHeight="false" outlineLevel="0" collapsed="false">
      <c r="B45243" s="0" t="s">
        <v>7</v>
      </c>
      <c r="C45243" s="0" t="s">
        <v>118</v>
      </c>
      <c r="D45243" s="0" t="s">
        <v>1435</v>
      </c>
      <c r="E45243" s="0" t="s">
        <v>1435</v>
      </c>
      <c r="F45243" s="0" t="s">
        <v>1435</v>
      </c>
    </row>
    <row r="45244" customFormat="false" ht="12.8" hidden="false" customHeight="false" outlineLevel="0" collapsed="false">
      <c r="B45244" s="0" t="s">
        <v>14</v>
      </c>
      <c r="C45244" s="0" t="s">
        <v>16103</v>
      </c>
      <c r="D45244" s="0" t="s">
        <v>1437</v>
      </c>
      <c r="E45244" s="0" t="s">
        <v>1437</v>
      </c>
      <c r="F45244" s="0" t="s">
        <v>1437</v>
      </c>
    </row>
    <row r="45245" customFormat="false" ht="12.8" hidden="false" customHeight="false" outlineLevel="0" collapsed="false">
      <c r="B45245" s="0" t="s">
        <v>6881</v>
      </c>
      <c r="C45245" s="0" t="s">
        <v>16104</v>
      </c>
      <c r="D45245" s="0" t="s">
        <v>1440</v>
      </c>
      <c r="E45245" s="0" t="s">
        <v>1440</v>
      </c>
      <c r="F45245" s="0" t="s">
        <v>1440</v>
      </c>
    </row>
    <row r="45247" customFormat="false" ht="12.8" hidden="false" customHeight="false" outlineLevel="0" collapsed="false">
      <c r="A45247" s="0" t="s">
        <v>16105</v>
      </c>
      <c r="B45247" s="0" t="str">
        <f aca="false">HYPERLINK("https://lindat.mff.cuni.cz/services/teitok/pdtc10/index.php?action=vallex&amp;frame=v-w6287f2", "soustředit (v-w6287f2)")</f>
        <v>soustředit (v-w6287f2)</v>
      </c>
    </row>
    <row r="45248" customFormat="false" ht="12.8" hidden="false" customHeight="false" outlineLevel="0" collapsed="false">
      <c r="B45248" s="0" t="s">
        <v>7</v>
      </c>
      <c r="C45248" s="0" t="s">
        <v>46</v>
      </c>
    </row>
    <row r="45249" customFormat="false" ht="12.8" hidden="false" customHeight="false" outlineLevel="0" collapsed="false">
      <c r="B45249" s="0" t="s">
        <v>14</v>
      </c>
      <c r="C45249" s="0" t="s">
        <v>16106</v>
      </c>
    </row>
    <row r="45250" customFormat="false" ht="12.8" hidden="false" customHeight="false" outlineLevel="0" collapsed="false">
      <c r="B45250" s="0" t="s">
        <v>11</v>
      </c>
      <c r="C45250" s="0" t="s">
        <v>4759</v>
      </c>
    </row>
    <row r="45252" customFormat="false" ht="12.8" hidden="false" customHeight="false" outlineLevel="0" collapsed="false">
      <c r="A45252" s="0" t="s">
        <v>16107</v>
      </c>
      <c r="B45252" s="0" t="str">
        <f aca="false">HYPERLINK("https://lindat.mff.cuni.cz/services/teitok/pdtc10/index.php?action=vallex&amp;frame=v-w6287f3", "soustředit (v-w6287f3)")</f>
        <v>soustředit (v-w6287f3)</v>
      </c>
    </row>
    <row r="45253" customFormat="false" ht="12.8" hidden="false" customHeight="false" outlineLevel="0" collapsed="false">
      <c r="B45253" s="0" t="s">
        <v>7</v>
      </c>
      <c r="C45253" s="0" t="s">
        <v>108</v>
      </c>
      <c r="D45253" s="0" t="s">
        <v>2235</v>
      </c>
      <c r="E45253" s="0" t="s">
        <v>2235</v>
      </c>
      <c r="F45253" s="0" t="s">
        <v>2235</v>
      </c>
    </row>
    <row r="45254" customFormat="false" ht="12.8" hidden="false" customHeight="false" outlineLevel="0" collapsed="false">
      <c r="B45254" s="0" t="s">
        <v>14</v>
      </c>
      <c r="C45254" s="0" t="s">
        <v>16108</v>
      </c>
      <c r="D45254" s="0" t="s">
        <v>2237</v>
      </c>
      <c r="E45254" s="0" t="s">
        <v>2237</v>
      </c>
      <c r="F45254" s="0" t="s">
        <v>2237</v>
      </c>
    </row>
    <row r="45255" customFormat="false" ht="12.8" hidden="false" customHeight="false" outlineLevel="0" collapsed="false">
      <c r="B45255" s="0" t="s">
        <v>124</v>
      </c>
      <c r="C45255" s="0" t="s">
        <v>16109</v>
      </c>
      <c r="D45255" s="0" t="s">
        <v>2238</v>
      </c>
      <c r="E45255" s="0" t="s">
        <v>2238</v>
      </c>
      <c r="F45255" s="0" t="s">
        <v>2238</v>
      </c>
    </row>
    <row r="45257" customFormat="false" ht="12.8" hidden="false" customHeight="false" outlineLevel="0" collapsed="false">
      <c r="A45257" s="0" t="s">
        <v>16110</v>
      </c>
      <c r="B45257" s="0" t="str">
        <f aca="false">HYPERLINK("https://lindat.mff.cuni.cz/services/teitok/pdtc10/index.php?action=vallex&amp;frame=v-w6288f1", "soustředit se (v-w6288f1)")</f>
        <v>soustředit se (v-w6288f1)</v>
      </c>
    </row>
    <row r="45258" customFormat="false" ht="12.8" hidden="false" customHeight="false" outlineLevel="0" collapsed="false">
      <c r="B45258" s="0" t="s">
        <v>7</v>
      </c>
      <c r="C45258" s="0" t="s">
        <v>16111</v>
      </c>
      <c r="D45258" s="0" t="s">
        <v>4763</v>
      </c>
      <c r="E45258" s="0" t="s">
        <v>4763</v>
      </c>
      <c r="F45258" s="0" t="s">
        <v>4763</v>
      </c>
    </row>
    <row r="45259" customFormat="false" ht="12.8" hidden="false" customHeight="false" outlineLevel="0" collapsed="false">
      <c r="B45259" s="0" t="s">
        <v>63</v>
      </c>
      <c r="C45259" s="0" t="s">
        <v>16112</v>
      </c>
      <c r="D45259" s="0" t="s">
        <v>4764</v>
      </c>
      <c r="E45259" s="0" t="s">
        <v>4764</v>
      </c>
      <c r="F45259" s="0" t="s">
        <v>4764</v>
      </c>
    </row>
    <row r="45261" customFormat="false" ht="12.8" hidden="false" customHeight="false" outlineLevel="0" collapsed="false">
      <c r="A45261" s="0" t="s">
        <v>16113</v>
      </c>
      <c r="B45261" s="0" t="str">
        <f aca="false">HYPERLINK("https://lindat.mff.cuni.cz/services/teitok/pdtc10/index.php?action=vallex&amp;frame=v-w6288f2", "soustředit se (v-w6288f2)")</f>
        <v>soustředit se (v-w6288f2)</v>
      </c>
    </row>
    <row r="45262" customFormat="false" ht="12.8" hidden="false" customHeight="false" outlineLevel="0" collapsed="false">
      <c r="B45262" s="0" t="s">
        <v>7</v>
      </c>
    </row>
    <row r="45263" customFormat="false" ht="12.8" hidden="false" customHeight="false" outlineLevel="0" collapsed="false">
      <c r="B45263" s="0" t="s">
        <v>11</v>
      </c>
    </row>
    <row r="45265" customFormat="false" ht="12.8" hidden="false" customHeight="false" outlineLevel="0" collapsed="false">
      <c r="A45265" s="0" t="s">
        <v>16114</v>
      </c>
      <c r="B45265" s="0" t="str">
        <f aca="false">HYPERLINK("https://lindat.mff.cuni.cz/services/teitok/pdtc10/index.php?action=vallex&amp;frame=v-w6288f3", "soustředit se (v-w6288f3)")</f>
        <v>soustředit se (v-w6288f3)</v>
      </c>
    </row>
    <row r="45266" customFormat="false" ht="12.8" hidden="false" customHeight="false" outlineLevel="0" collapsed="false">
      <c r="B45266" s="0" t="s">
        <v>7</v>
      </c>
      <c r="C45266" s="0" t="s">
        <v>9077</v>
      </c>
      <c r="D45266" s="0" t="s">
        <v>4767</v>
      </c>
      <c r="E45266" s="0" t="s">
        <v>4767</v>
      </c>
      <c r="F45266" s="0" t="s">
        <v>4767</v>
      </c>
    </row>
    <row r="45267" customFormat="false" ht="12.8" hidden="false" customHeight="false" outlineLevel="0" collapsed="false">
      <c r="B45267" s="0" t="s">
        <v>124</v>
      </c>
    </row>
    <row r="45269" customFormat="false" ht="12.8" hidden="false" customHeight="false" outlineLevel="0" collapsed="false">
      <c r="A45269" s="0" t="s">
        <v>16115</v>
      </c>
      <c r="B45269" s="0" t="str">
        <f aca="false">HYPERLINK("https://lindat.mff.cuni.cz/services/teitok/pdtc10/index.php?action=vallex&amp;frame=v-w6290f1", "soustřeďovat (v-w6290f1)")</f>
        <v>soustřeďovat (v-w6290f1)</v>
      </c>
    </row>
    <row r="45270" customFormat="false" ht="12.8" hidden="false" customHeight="false" outlineLevel="0" collapsed="false">
      <c r="B45270" s="0" t="s">
        <v>7</v>
      </c>
    </row>
    <row r="45271" customFormat="false" ht="12.8" hidden="false" customHeight="false" outlineLevel="0" collapsed="false">
      <c r="B45271" s="0" t="s">
        <v>14</v>
      </c>
    </row>
    <row r="45273" customFormat="false" ht="12.8" hidden="false" customHeight="false" outlineLevel="0" collapsed="false">
      <c r="A45273" s="0" t="s">
        <v>16116</v>
      </c>
      <c r="B45273" s="0" t="str">
        <f aca="false">HYPERLINK("https://lindat.mff.cuni.cz/services/teitok/pdtc10/index.php?action=vallex&amp;frame=v-w6291f1", "soustřeďovat se (v-w6291f1)")</f>
        <v>soustřeďovat se (v-w6291f1)</v>
      </c>
    </row>
    <row r="45274" customFormat="false" ht="12.8" hidden="false" customHeight="false" outlineLevel="0" collapsed="false">
      <c r="B45274" s="0" t="s">
        <v>7</v>
      </c>
      <c r="C45274" s="0" t="s">
        <v>16117</v>
      </c>
      <c r="D45274" s="0" t="s">
        <v>5452</v>
      </c>
      <c r="E45274" s="0" t="s">
        <v>5452</v>
      </c>
      <c r="F45274" s="0" t="s">
        <v>5452</v>
      </c>
    </row>
    <row r="45275" customFormat="false" ht="12.8" hidden="false" customHeight="false" outlineLevel="0" collapsed="false">
      <c r="B45275" s="0" t="s">
        <v>41</v>
      </c>
      <c r="C45275" s="0" t="s">
        <v>16118</v>
      </c>
      <c r="D45275" s="0" t="s">
        <v>5454</v>
      </c>
      <c r="E45275" s="0" t="s">
        <v>5454</v>
      </c>
      <c r="F45275" s="0" t="s">
        <v>5454</v>
      </c>
    </row>
    <row r="45277" customFormat="false" ht="12.8" hidden="false" customHeight="false" outlineLevel="0" collapsed="false">
      <c r="A45277" s="0" t="s">
        <v>16119</v>
      </c>
      <c r="B45277" s="0" t="str">
        <f aca="false">HYPERLINK("https://lindat.mff.cuni.cz/services/teitok/pdtc10/index.php?action=vallex&amp;frame=v-w6291f4_ZU", "soustřeďovat se (v-w6291f4_ZU)")</f>
        <v>soustřeďovat se (v-w6291f4_ZU)</v>
      </c>
    </row>
    <row r="45278" customFormat="false" ht="12.8" hidden="false" customHeight="false" outlineLevel="0" collapsed="false">
      <c r="B45278" s="0" t="s">
        <v>7</v>
      </c>
    </row>
    <row r="45279" customFormat="false" ht="12.8" hidden="false" customHeight="false" outlineLevel="0" collapsed="false">
      <c r="B45279" s="0" t="s">
        <v>11</v>
      </c>
    </row>
    <row r="45281" customFormat="false" ht="12.8" hidden="false" customHeight="false" outlineLevel="0" collapsed="false">
      <c r="A45281" s="0" t="s">
        <v>16119</v>
      </c>
      <c r="B45281" s="0" t="str">
        <f aca="false">HYPERLINK("https://lindat.mff.cuni.cz/services/teitok/pdtc10/index.php?action=vallex&amp;frame=v-w6291f2", "soustřeďovat se (v-w6291f2) - substituted with v-w6291f4_ZU")</f>
        <v>soustřeďovat se (v-w6291f2) - substituted with v-w6291f4_ZU</v>
      </c>
    </row>
    <row r="45282" customFormat="false" ht="12.8" hidden="false" customHeight="false" outlineLevel="0" collapsed="false">
      <c r="B45282" s="0" t="s">
        <v>7</v>
      </c>
      <c r="C45282" s="0" t="s">
        <v>247</v>
      </c>
      <c r="D45282" s="0" t="s">
        <v>4767</v>
      </c>
      <c r="E45282" s="0" t="s">
        <v>4767</v>
      </c>
      <c r="F45282" s="0" t="s">
        <v>4767</v>
      </c>
    </row>
    <row r="45283" customFormat="false" ht="12.8" hidden="false" customHeight="false" outlineLevel="0" collapsed="false">
      <c r="B45283" s="0" t="s">
        <v>11</v>
      </c>
      <c r="C45283" s="0" t="s">
        <v>5336</v>
      </c>
    </row>
    <row r="45285" customFormat="false" ht="12.8" hidden="false" customHeight="false" outlineLevel="0" collapsed="false">
      <c r="A45285" s="0" t="s">
        <v>16120</v>
      </c>
      <c r="B45285" s="0" t="str">
        <f aca="false">HYPERLINK("https://lindat.mff.cuni.cz/services/teitok/pdtc10/index.php?action=vallex&amp;frame=v-w6291f3", "soustřeďovat se (v-w6291f3)")</f>
        <v>soustřeďovat se (v-w6291f3)</v>
      </c>
    </row>
    <row r="45286" customFormat="false" ht="12.8" hidden="false" customHeight="false" outlineLevel="0" collapsed="false">
      <c r="B45286" s="0" t="s">
        <v>7</v>
      </c>
      <c r="D45286" s="0" t="s">
        <v>4767</v>
      </c>
      <c r="E45286" s="0" t="s">
        <v>4767</v>
      </c>
      <c r="F45286" s="0" t="s">
        <v>4767</v>
      </c>
    </row>
    <row r="45287" customFormat="false" ht="12.8" hidden="false" customHeight="false" outlineLevel="0" collapsed="false">
      <c r="B45287" s="0" t="s">
        <v>124</v>
      </c>
    </row>
    <row r="45289" customFormat="false" ht="12.8" hidden="false" customHeight="false" outlineLevel="0" collapsed="false">
      <c r="A45289" s="0" t="s">
        <v>16121</v>
      </c>
      <c r="B45289" s="0" t="str">
        <f aca="false">HYPERLINK("https://lindat.mff.cuni.cz/services/teitok/pdtc10/index.php?action=vallex&amp;frame=v-w6295f1", "soutěžit (v-w6295f1)")</f>
        <v>soutěžit (v-w6295f1)</v>
      </c>
    </row>
    <row r="45290" customFormat="false" ht="12.8" hidden="false" customHeight="false" outlineLevel="0" collapsed="false">
      <c r="B45290" s="0" t="s">
        <v>7</v>
      </c>
      <c r="C45290" s="0" t="s">
        <v>2170</v>
      </c>
      <c r="D45290" s="0" t="s">
        <v>316</v>
      </c>
      <c r="E45290" s="0" t="s">
        <v>316</v>
      </c>
      <c r="F45290" s="0" t="s">
        <v>316</v>
      </c>
    </row>
    <row r="45291" customFormat="false" ht="12.8" hidden="false" customHeight="false" outlineLevel="0" collapsed="false">
      <c r="B45291" s="0" t="s">
        <v>317</v>
      </c>
      <c r="C45291" s="0" t="s">
        <v>16099</v>
      </c>
      <c r="D45291" s="0" t="s">
        <v>319</v>
      </c>
      <c r="E45291" s="0" t="s">
        <v>319</v>
      </c>
      <c r="F45291" s="0" t="s">
        <v>319</v>
      </c>
    </row>
    <row r="45292" customFormat="false" ht="12.8" hidden="false" customHeight="false" outlineLevel="0" collapsed="false">
      <c r="B45292" s="0" t="s">
        <v>2721</v>
      </c>
      <c r="C45292" s="0" t="s">
        <v>8721</v>
      </c>
      <c r="D45292" s="0" t="s">
        <v>322</v>
      </c>
      <c r="E45292" s="0" t="s">
        <v>322</v>
      </c>
      <c r="F45292" s="0" t="s">
        <v>322</v>
      </c>
    </row>
    <row r="45294" customFormat="false" ht="12.8" hidden="false" customHeight="false" outlineLevel="0" collapsed="false">
      <c r="A45294" s="0" t="s">
        <v>16122</v>
      </c>
      <c r="B45294" s="0" t="str">
        <f aca="false">HYPERLINK("https://lindat.mff.cuni.cz/services/teitok/pdtc10/index.php?action=vallex&amp;frame=v-w6297f1", "souviset (v-w6297f1)")</f>
        <v>souviset (v-w6297f1)</v>
      </c>
    </row>
    <row r="45295" customFormat="false" ht="12.8" hidden="false" customHeight="false" outlineLevel="0" collapsed="false">
      <c r="B45295" s="0" t="s">
        <v>7</v>
      </c>
      <c r="C45295" s="0" t="s">
        <v>16123</v>
      </c>
      <c r="D45295" s="0" t="s">
        <v>2592</v>
      </c>
      <c r="E45295" s="0" t="s">
        <v>2592</v>
      </c>
      <c r="F45295" s="0" t="s">
        <v>2592</v>
      </c>
    </row>
    <row r="45296" customFormat="false" ht="12.8" hidden="false" customHeight="false" outlineLevel="0" collapsed="false">
      <c r="B45296" s="0" t="s">
        <v>548</v>
      </c>
      <c r="C45296" s="0" t="s">
        <v>16124</v>
      </c>
      <c r="D45296" s="0" t="s">
        <v>2595</v>
      </c>
      <c r="E45296" s="0" t="s">
        <v>2595</v>
      </c>
      <c r="F45296" s="0" t="s">
        <v>2595</v>
      </c>
    </row>
    <row r="45298" customFormat="false" ht="12.8" hidden="false" customHeight="false" outlineLevel="0" collapsed="false">
      <c r="A45298" s="0" t="s">
        <v>16125</v>
      </c>
      <c r="B45298" s="0" t="str">
        <f aca="false">HYPERLINK("https://lindat.mff.cuni.cz/services/teitok/pdtc10/index.php?action=vallex&amp;frame=v-w10277f2", "souznít (v-w10277f2)")</f>
        <v>souznít (v-w10277f2)</v>
      </c>
    </row>
    <row r="45299" customFormat="false" ht="12.8" hidden="false" customHeight="false" outlineLevel="0" collapsed="false">
      <c r="B45299" s="0" t="s">
        <v>7</v>
      </c>
    </row>
    <row r="45300" customFormat="false" ht="12.8" hidden="false" customHeight="false" outlineLevel="0" collapsed="false">
      <c r="B45300" s="0" t="s">
        <v>548</v>
      </c>
    </row>
    <row r="45302" customFormat="false" ht="12.8" hidden="false" customHeight="false" outlineLevel="0" collapsed="false">
      <c r="A45302" s="0" t="s">
        <v>16126</v>
      </c>
      <c r="B45302" s="0" t="str">
        <f aca="false">HYPERLINK("https://lindat.mff.cuni.cz/services/teitok/pdtc10/index.php?action=vallex&amp;frame=v-w11353f1", "soužit (v-w11353f1)")</f>
        <v>soužit (v-w11353f1)</v>
      </c>
    </row>
    <row r="45303" customFormat="false" ht="12.8" hidden="false" customHeight="false" outlineLevel="0" collapsed="false">
      <c r="B45303" s="0" t="s">
        <v>7</v>
      </c>
    </row>
    <row r="45304" customFormat="false" ht="12.8" hidden="false" customHeight="false" outlineLevel="0" collapsed="false">
      <c r="B45304" s="0" t="s">
        <v>14</v>
      </c>
    </row>
    <row r="45306" customFormat="false" ht="12.8" hidden="false" customHeight="false" outlineLevel="0" collapsed="false">
      <c r="A45306" s="0" t="s">
        <v>16127</v>
      </c>
      <c r="B45306" s="0" t="str">
        <f aca="false">HYPERLINK("https://lindat.mff.cuni.cz/services/teitok/pdtc10/index.php?action=vallex&amp;frame=v-w6303f1", "spadat (v-w6303f1)")</f>
        <v>spadat (v-w6303f1)</v>
      </c>
    </row>
    <row r="45307" customFormat="false" ht="12.8" hidden="false" customHeight="false" outlineLevel="0" collapsed="false">
      <c r="B45307" s="0" t="s">
        <v>768</v>
      </c>
      <c r="C45307" s="0" t="s">
        <v>16128</v>
      </c>
    </row>
    <row r="45308" customFormat="false" ht="12.8" hidden="false" customHeight="false" outlineLevel="0" collapsed="false">
      <c r="B45308" s="0" t="s">
        <v>124</v>
      </c>
      <c r="C45308" s="0" t="s">
        <v>16129</v>
      </c>
    </row>
    <row r="45310" customFormat="false" ht="12.8" hidden="false" customHeight="false" outlineLevel="0" collapsed="false">
      <c r="A45310" s="0" t="s">
        <v>16130</v>
      </c>
      <c r="B45310" s="0" t="str">
        <f aca="false">HYPERLINK("https://lindat.mff.cuni.cz/services/teitok/pdtc10/index.php?action=vallex&amp;frame=v-w6303f2_ZU", "spadat (v-w6303f2_ZU)")</f>
        <v>spadat (v-w6303f2_ZU)</v>
      </c>
    </row>
    <row r="45311" customFormat="false" ht="12.8" hidden="false" customHeight="false" outlineLevel="0" collapsed="false">
      <c r="B45311" s="0" t="s">
        <v>7</v>
      </c>
    </row>
    <row r="45312" customFormat="false" ht="12.8" hidden="false" customHeight="false" outlineLevel="0" collapsed="false">
      <c r="B45312" s="0" t="s">
        <v>279</v>
      </c>
    </row>
    <row r="45314" customFormat="false" ht="12.8" hidden="false" customHeight="false" outlineLevel="0" collapsed="false">
      <c r="A45314" s="0" t="s">
        <v>16131</v>
      </c>
      <c r="B45314" s="0" t="str">
        <f aca="false">HYPERLINK("https://lindat.mff.cuni.cz/services/teitok/pdtc10/index.php?action=vallex&amp;frame=v-w6304f4", "spadnout (v-w6304f4)")</f>
        <v>spadnout (v-w6304f4)</v>
      </c>
    </row>
    <row r="45315" customFormat="false" ht="12.8" hidden="false" customHeight="false" outlineLevel="0" collapsed="false">
      <c r="B45315" s="0" t="s">
        <v>7</v>
      </c>
      <c r="C45315" s="0" t="s">
        <v>16132</v>
      </c>
      <c r="D45315" s="0" t="s">
        <v>9114</v>
      </c>
      <c r="E45315" s="0" t="s">
        <v>4615</v>
      </c>
      <c r="F45315" s="0" t="s">
        <v>4615</v>
      </c>
    </row>
    <row r="45316" customFormat="false" ht="12.8" hidden="false" customHeight="false" outlineLevel="0" collapsed="false">
      <c r="B45316" s="0" t="s">
        <v>63</v>
      </c>
      <c r="C45316" s="0" t="s">
        <v>16133</v>
      </c>
      <c r="D45316" s="0" t="s">
        <v>9116</v>
      </c>
      <c r="E45316" s="0" t="s">
        <v>4618</v>
      </c>
      <c r="F45316" s="0" t="s">
        <v>4618</v>
      </c>
    </row>
    <row r="45317" customFormat="false" ht="12.8" hidden="false" customHeight="false" outlineLevel="0" collapsed="false">
      <c r="B45317" s="0" t="s">
        <v>35</v>
      </c>
      <c r="C45317" s="0" t="s">
        <v>16134</v>
      </c>
      <c r="D45317" s="0" t="s">
        <v>9118</v>
      </c>
      <c r="E45317" s="0" t="s">
        <v>4621</v>
      </c>
      <c r="F45317" s="0" t="s">
        <v>4621</v>
      </c>
    </row>
    <row r="45319" customFormat="false" ht="12.8" hidden="false" customHeight="false" outlineLevel="0" collapsed="false">
      <c r="A45319" s="0" t="s">
        <v>16135</v>
      </c>
      <c r="B45319" s="0" t="str">
        <f aca="false">HYPERLINK("https://lindat.mff.cuni.cz/services/teitok/pdtc10/index.php?action=vallex&amp;frame=v-w6304f2", "spadnout (v-w6304f2)")</f>
        <v>spadnout (v-w6304f2)</v>
      </c>
    </row>
    <row r="45320" customFormat="false" ht="12.8" hidden="false" customHeight="false" outlineLevel="0" collapsed="false">
      <c r="B45320" s="0" t="s">
        <v>7</v>
      </c>
      <c r="C45320" s="0" t="s">
        <v>16136</v>
      </c>
      <c r="D45320" s="0" t="s">
        <v>2074</v>
      </c>
      <c r="E45320" s="0" t="s">
        <v>16137</v>
      </c>
      <c r="F45320" s="0" t="s">
        <v>16137</v>
      </c>
    </row>
    <row r="45322" customFormat="false" ht="12.8" hidden="false" customHeight="false" outlineLevel="0" collapsed="false">
      <c r="A45322" s="0" t="s">
        <v>16138</v>
      </c>
      <c r="B45322" s="0" t="str">
        <f aca="false">HYPERLINK("https://lindat.mff.cuni.cz/services/teitok/pdtc10/index.php?action=vallex&amp;frame=v-w6304f1", "spadnout (v-w6304f1)")</f>
        <v>spadnout (v-w6304f1)</v>
      </c>
    </row>
    <row r="45323" customFormat="false" ht="12.8" hidden="false" customHeight="false" outlineLevel="0" collapsed="false">
      <c r="B45323" s="0" t="s">
        <v>7</v>
      </c>
      <c r="C45323" s="0" t="s">
        <v>723</v>
      </c>
      <c r="D45323" s="0" t="s">
        <v>2074</v>
      </c>
      <c r="E45323" s="0" t="s">
        <v>2074</v>
      </c>
      <c r="F45323" s="0" t="s">
        <v>2074</v>
      </c>
    </row>
    <row r="45325" customFormat="false" ht="12.8" hidden="false" customHeight="false" outlineLevel="0" collapsed="false">
      <c r="A45325" s="0" t="s">
        <v>16139</v>
      </c>
      <c r="B45325" s="0" t="str">
        <f aca="false">HYPERLINK("https://lindat.mff.cuni.cz/services/teitok/pdtc10/index.php?action=vallex&amp;frame=v-w6304f3", "spadnout (v-w6304f3)")</f>
        <v>spadnout (v-w6304f3)</v>
      </c>
    </row>
    <row r="45326" customFormat="false" ht="12.8" hidden="false" customHeight="false" outlineLevel="0" collapsed="false">
      <c r="B45326" s="0" t="s">
        <v>7</v>
      </c>
    </row>
    <row r="45327" customFormat="false" ht="12.8" hidden="false" customHeight="false" outlineLevel="0" collapsed="false">
      <c r="B45327" s="0" t="s">
        <v>16140</v>
      </c>
    </row>
    <row r="45328" customFormat="false" ht="12.8" hidden="false" customHeight="false" outlineLevel="0" collapsed="false">
      <c r="B45328" s="0" t="s">
        <v>142</v>
      </c>
    </row>
    <row r="45330" customFormat="false" ht="12.8" hidden="false" customHeight="false" outlineLevel="0" collapsed="false">
      <c r="A45330" s="0" t="s">
        <v>16141</v>
      </c>
      <c r="B45330" s="0" t="str">
        <f aca="false">HYPERLINK("https://lindat.mff.cuni.cz/services/teitok/pdtc10/index.php?action=vallex&amp;frame=v-w6304f5", "spadnout (v-w6304f5)")</f>
        <v>spadnout (v-w6304f5)</v>
      </c>
    </row>
    <row r="45331" customFormat="false" ht="12.8" hidden="false" customHeight="false" outlineLevel="0" collapsed="false">
      <c r="B45331" s="0" t="s">
        <v>7</v>
      </c>
    </row>
    <row r="45332" customFormat="false" ht="12.8" hidden="false" customHeight="false" outlineLevel="0" collapsed="false">
      <c r="B45332" s="0" t="s">
        <v>16142</v>
      </c>
    </row>
    <row r="45334" customFormat="false" ht="12.8" hidden="false" customHeight="false" outlineLevel="0" collapsed="false">
      <c r="A45334" s="0" t="s">
        <v>16143</v>
      </c>
      <c r="B45334" s="0" t="str">
        <f aca="false">HYPERLINK("https://lindat.mff.cuni.cz/services/teitok/pdtc10/index.php?action=vallex&amp;frame=v-w6304f6", "spadnout (v-w6304f6)")</f>
        <v>spadnout (v-w6304f6)</v>
      </c>
    </row>
    <row r="45335" customFormat="false" ht="12.8" hidden="false" customHeight="false" outlineLevel="0" collapsed="false">
      <c r="B45335" s="0" t="s">
        <v>7</v>
      </c>
    </row>
    <row r="45336" customFormat="false" ht="12.8" hidden="false" customHeight="false" outlineLevel="0" collapsed="false">
      <c r="B45336" s="0" t="s">
        <v>16144</v>
      </c>
    </row>
    <row r="45338" customFormat="false" ht="12.8" hidden="false" customHeight="false" outlineLevel="0" collapsed="false">
      <c r="A45338" s="0" t="s">
        <v>16145</v>
      </c>
      <c r="B45338" s="0" t="str">
        <f aca="false">HYPERLINK("https://lindat.mff.cuni.cz/services/teitok/pdtc10/index.php?action=vallex&amp;frame=v-w6304f8_ZU", "spadnout (v-w6304f8_ZU)")</f>
        <v>spadnout (v-w6304f8_ZU)</v>
      </c>
    </row>
    <row r="45339" customFormat="false" ht="12.8" hidden="false" customHeight="false" outlineLevel="0" collapsed="false">
      <c r="B45339" s="0" t="s">
        <v>7</v>
      </c>
      <c r="C45339" s="0" t="s">
        <v>176</v>
      </c>
      <c r="D45339" s="0" t="s">
        <v>272</v>
      </c>
      <c r="E45339" s="0" t="s">
        <v>272</v>
      </c>
      <c r="F45339" s="0" t="s">
        <v>272</v>
      </c>
    </row>
    <row r="45340" customFormat="false" ht="12.8" hidden="false" customHeight="false" outlineLevel="0" collapsed="false">
      <c r="B45340" s="0" t="s">
        <v>279</v>
      </c>
      <c r="D45340" s="0" t="s">
        <v>1337</v>
      </c>
      <c r="E45340" s="0" t="s">
        <v>1337</v>
      </c>
      <c r="F45340" s="0" t="s">
        <v>1337</v>
      </c>
    </row>
    <row r="45342" customFormat="false" ht="12.8" hidden="false" customHeight="false" outlineLevel="0" collapsed="false">
      <c r="A45342" s="0" t="s">
        <v>16145</v>
      </c>
      <c r="B45342" s="0" t="str">
        <f aca="false">HYPERLINK("https://lindat.mff.cuni.cz/services/teitok/pdtc10/index.php?action=vallex&amp;frame=v-w6304f7_ZU", "spadnout (v-w6304f7_ZU) - substituted with v-w6304f8_ZU")</f>
        <v>spadnout (v-w6304f7_ZU) - substituted with v-w6304f8_ZU</v>
      </c>
    </row>
    <row r="45343" customFormat="false" ht="12.8" hidden="false" customHeight="false" outlineLevel="0" collapsed="false">
      <c r="B45343" s="0" t="s">
        <v>7</v>
      </c>
    </row>
    <row r="45344" customFormat="false" ht="12.8" hidden="false" customHeight="false" outlineLevel="0" collapsed="false">
      <c r="B45344" s="0" t="s">
        <v>279</v>
      </c>
    </row>
    <row r="45346" customFormat="false" ht="12.8" hidden="false" customHeight="false" outlineLevel="0" collapsed="false">
      <c r="A45346" s="0" t="s">
        <v>16145</v>
      </c>
      <c r="B45346" s="0" t="str">
        <f aca="false">HYPERLINK("https://lindat.mff.cuni.cz/services/teitok/pdtc10/index.php?action=vallex&amp;frame=v-w6304hsa_264", "spadnout (v-w6304hsa_264) - substituted with v-w6304f8_ZU")</f>
        <v>spadnout (v-w6304hsa_264) - substituted with v-w6304f8_ZU</v>
      </c>
    </row>
    <row r="45347" customFormat="false" ht="12.8" hidden="false" customHeight="false" outlineLevel="0" collapsed="false">
      <c r="B45347" s="0" t="s">
        <v>7</v>
      </c>
    </row>
    <row r="45348" customFormat="false" ht="12.8" hidden="false" customHeight="false" outlineLevel="0" collapsed="false">
      <c r="B45348" s="0" t="s">
        <v>279</v>
      </c>
    </row>
    <row r="45350" customFormat="false" ht="12.8" hidden="false" customHeight="false" outlineLevel="0" collapsed="false">
      <c r="A45350" s="0" t="s">
        <v>16146</v>
      </c>
      <c r="B45350" s="0" t="str">
        <f aca="false">HYPERLINK("https://lindat.mff.cuni.cz/services/teitok/pdtc10/index.php?action=vallex&amp;frame=v-w6304hsa_1319", "spadnout (v-w6304hsa_1319)")</f>
        <v>spadnout (v-w6304hsa_1319)</v>
      </c>
    </row>
    <row r="45351" customFormat="false" ht="12.8" hidden="false" customHeight="false" outlineLevel="0" collapsed="false">
      <c r="B45351" s="0" t="s">
        <v>7</v>
      </c>
    </row>
    <row r="45352" customFormat="false" ht="12.8" hidden="false" customHeight="false" outlineLevel="0" collapsed="false">
      <c r="B45352" s="0" t="s">
        <v>124</v>
      </c>
    </row>
    <row r="45354" customFormat="false" ht="12.8" hidden="false" customHeight="false" outlineLevel="0" collapsed="false">
      <c r="A45354" s="0" t="s">
        <v>16147</v>
      </c>
      <c r="B45354" s="0" t="str">
        <f aca="false">HYPERLINK("https://lindat.mff.cuni.cz/services/teitok/pdtc10/index.php?action=vallex&amp;frame=v-w12369_MMf1_MM", "spakovat (v-w12369_MMf1_MM)")</f>
        <v>spakovat (v-w12369_MMf1_MM)</v>
      </c>
    </row>
    <row r="45355" customFormat="false" ht="12.8" hidden="false" customHeight="false" outlineLevel="0" collapsed="false">
      <c r="B45355" s="0" t="s">
        <v>7</v>
      </c>
    </row>
    <row r="45356" customFormat="false" ht="12.8" hidden="false" customHeight="false" outlineLevel="0" collapsed="false">
      <c r="B45356" s="0" t="s">
        <v>14</v>
      </c>
    </row>
    <row r="45358" customFormat="false" ht="12.8" hidden="false" customHeight="false" outlineLevel="0" collapsed="false">
      <c r="A45358" s="0" t="s">
        <v>16148</v>
      </c>
      <c r="B45358" s="0" t="str">
        <f aca="false">HYPERLINK("https://lindat.mff.cuni.cz/services/teitok/pdtc10/index.php?action=vallex&amp;frame=v-w6312f1", "spalovat (v-w6312f1)")</f>
        <v>spalovat (v-w6312f1)</v>
      </c>
    </row>
    <row r="45359" customFormat="false" ht="12.8" hidden="false" customHeight="false" outlineLevel="0" collapsed="false">
      <c r="B45359" s="0" t="s">
        <v>7</v>
      </c>
    </row>
    <row r="45360" customFormat="false" ht="12.8" hidden="false" customHeight="false" outlineLevel="0" collapsed="false">
      <c r="B45360" s="0" t="s">
        <v>14</v>
      </c>
    </row>
    <row r="45362" customFormat="false" ht="12.8" hidden="false" customHeight="false" outlineLevel="0" collapsed="false">
      <c r="A45362" s="0" t="s">
        <v>16149</v>
      </c>
      <c r="B45362" s="0" t="str">
        <f aca="false">HYPERLINK("https://lindat.mff.cuni.cz/services/teitok/pdtc10/index.php?action=vallex&amp;frame=v-w6312f2", "spalovat (v-w6312f2)")</f>
        <v>spalovat (v-w6312f2)</v>
      </c>
    </row>
    <row r="45363" customFormat="false" ht="12.8" hidden="false" customHeight="false" outlineLevel="0" collapsed="false">
      <c r="B45363" s="0" t="s">
        <v>7</v>
      </c>
      <c r="C45363" s="0" t="s">
        <v>1332</v>
      </c>
    </row>
    <row r="45364" customFormat="false" ht="12.8" hidden="false" customHeight="false" outlineLevel="0" collapsed="false">
      <c r="B45364" s="0" t="s">
        <v>14</v>
      </c>
      <c r="C45364" s="0" t="s">
        <v>12514</v>
      </c>
    </row>
    <row r="45366" customFormat="false" ht="12.8" hidden="false" customHeight="false" outlineLevel="0" collapsed="false">
      <c r="A45366" s="0" t="s">
        <v>16150</v>
      </c>
      <c r="B45366" s="0" t="str">
        <f aca="false">HYPERLINK("https://lindat.mff.cuni.cz/services/teitok/pdtc10/index.php?action=vallex&amp;frame=v-w12265_ZUf1_ZU", "spapat (v-w12265_ZUf1_ZU)")</f>
        <v>spapat (v-w12265_ZUf1_ZU)</v>
      </c>
    </row>
    <row r="45367" customFormat="false" ht="12.8" hidden="false" customHeight="false" outlineLevel="0" collapsed="false">
      <c r="B45367" s="0" t="s">
        <v>7</v>
      </c>
    </row>
    <row r="45368" customFormat="false" ht="12.8" hidden="false" customHeight="false" outlineLevel="0" collapsed="false">
      <c r="B45368" s="0" t="s">
        <v>14</v>
      </c>
    </row>
    <row r="45370" customFormat="false" ht="12.8" hidden="false" customHeight="false" outlineLevel="0" collapsed="false">
      <c r="A45370" s="0" t="s">
        <v>16151</v>
      </c>
      <c r="B45370" s="0" t="str">
        <f aca="false">HYPERLINK("https://lindat.mff.cuni.cz/services/teitok/pdtc10/index.php?action=vallex&amp;frame=v-w6314f1", "spasit (v-w6314f1)")</f>
        <v>spasit (v-w6314f1)</v>
      </c>
    </row>
    <row r="45371" customFormat="false" ht="12.8" hidden="false" customHeight="false" outlineLevel="0" collapsed="false">
      <c r="B45371" s="0" t="s">
        <v>7</v>
      </c>
      <c r="C45371" s="0" t="s">
        <v>184</v>
      </c>
      <c r="D45371" s="0" t="s">
        <v>4256</v>
      </c>
      <c r="E45371" s="0" t="s">
        <v>4256</v>
      </c>
      <c r="F45371" s="0" t="s">
        <v>4256</v>
      </c>
    </row>
    <row r="45372" customFormat="false" ht="12.8" hidden="false" customHeight="false" outlineLevel="0" collapsed="false">
      <c r="B45372" s="0" t="s">
        <v>14</v>
      </c>
      <c r="C45372" s="0" t="s">
        <v>384</v>
      </c>
      <c r="D45372" s="0" t="s">
        <v>4257</v>
      </c>
      <c r="E45372" s="0" t="s">
        <v>4257</v>
      </c>
      <c r="F45372" s="0" t="s">
        <v>4257</v>
      </c>
    </row>
    <row r="45373" customFormat="false" ht="12.8" hidden="false" customHeight="false" outlineLevel="0" collapsed="false">
      <c r="B45373" s="0" t="s">
        <v>8558</v>
      </c>
      <c r="D45373" s="0" t="s">
        <v>16152</v>
      </c>
      <c r="E45373" s="0" t="s">
        <v>16152</v>
      </c>
      <c r="F45373" s="0" t="s">
        <v>16152</v>
      </c>
    </row>
    <row r="45375" customFormat="false" ht="12.8" hidden="false" customHeight="false" outlineLevel="0" collapsed="false">
      <c r="A45375" s="0" t="s">
        <v>16153</v>
      </c>
      <c r="B45375" s="0" t="str">
        <f aca="false">HYPERLINK("https://lindat.mff.cuni.cz/services/teitok/pdtc10/index.php?action=vallex&amp;frame=v-w6317f4", "spatřit (v-w6317f4)")</f>
        <v>spatřit (v-w6317f4)</v>
      </c>
    </row>
    <row r="45376" customFormat="false" ht="12.8" hidden="false" customHeight="false" outlineLevel="0" collapsed="false">
      <c r="B45376" s="0" t="s">
        <v>7</v>
      </c>
    </row>
    <row r="45377" customFormat="false" ht="12.8" hidden="false" customHeight="false" outlineLevel="0" collapsed="false">
      <c r="B45377" s="0" t="s">
        <v>54</v>
      </c>
    </row>
    <row r="45378" customFormat="false" ht="12.8" hidden="false" customHeight="false" outlineLevel="0" collapsed="false">
      <c r="B45378" s="0" t="s">
        <v>11071</v>
      </c>
    </row>
    <row r="45380" customFormat="false" ht="12.8" hidden="false" customHeight="false" outlineLevel="0" collapsed="false">
      <c r="A45380" s="0" t="s">
        <v>16154</v>
      </c>
      <c r="B45380" s="0" t="str">
        <f aca="false">HYPERLINK("https://lindat.mff.cuni.cz/services/teitok/pdtc10/index.php?action=vallex&amp;frame=v-w6317f3", "spatřit (v-w6317f3)")</f>
        <v>spatřit (v-w6317f3)</v>
      </c>
    </row>
    <row r="45381" customFormat="false" ht="12.8" hidden="false" customHeight="false" outlineLevel="0" collapsed="false">
      <c r="B45381" s="0" t="s">
        <v>7</v>
      </c>
      <c r="C45381" s="0" t="s">
        <v>16155</v>
      </c>
      <c r="D45381" s="0" t="s">
        <v>16156</v>
      </c>
      <c r="E45381" s="0" t="s">
        <v>16156</v>
      </c>
      <c r="F45381" s="0" t="s">
        <v>16156</v>
      </c>
    </row>
    <row r="45382" customFormat="false" ht="12.8" hidden="false" customHeight="false" outlineLevel="0" collapsed="false">
      <c r="B45382" s="0" t="s">
        <v>14</v>
      </c>
      <c r="C45382" s="0" t="s">
        <v>16157</v>
      </c>
      <c r="D45382" s="0" t="s">
        <v>16158</v>
      </c>
      <c r="E45382" s="0" t="s">
        <v>16158</v>
      </c>
      <c r="F45382" s="0" t="s">
        <v>16158</v>
      </c>
    </row>
    <row r="45383" customFormat="false" ht="12.8" hidden="false" customHeight="false" outlineLevel="0" collapsed="false">
      <c r="B45383" s="0" t="s">
        <v>16159</v>
      </c>
      <c r="C45383" s="0" t="s">
        <v>16160</v>
      </c>
    </row>
    <row r="45385" customFormat="false" ht="12.8" hidden="false" customHeight="false" outlineLevel="0" collapsed="false">
      <c r="A45385" s="0" t="s">
        <v>16161</v>
      </c>
      <c r="B45385" s="0" t="str">
        <f aca="false">HYPERLINK("https://lindat.mff.cuni.cz/services/teitok/pdtc10/index.php?action=vallex&amp;frame=v-w6317f1", "spatřit (v-w6317f1)")</f>
        <v>spatřit (v-w6317f1)</v>
      </c>
    </row>
    <row r="45386" customFormat="false" ht="12.8" hidden="false" customHeight="false" outlineLevel="0" collapsed="false">
      <c r="B45386" s="0" t="s">
        <v>7</v>
      </c>
      <c r="C45386" s="0" t="s">
        <v>16162</v>
      </c>
      <c r="D45386" s="0" t="s">
        <v>16156</v>
      </c>
      <c r="E45386" s="0" t="s">
        <v>16156</v>
      </c>
      <c r="F45386" s="0" t="s">
        <v>16156</v>
      </c>
    </row>
    <row r="45387" customFormat="false" ht="12.8" hidden="false" customHeight="false" outlineLevel="0" collapsed="false">
      <c r="B45387" s="0" t="s">
        <v>14982</v>
      </c>
      <c r="C45387" s="0" t="s">
        <v>16163</v>
      </c>
      <c r="D45387" s="0" t="s">
        <v>16158</v>
      </c>
      <c r="E45387" s="0" t="s">
        <v>16158</v>
      </c>
      <c r="F45387" s="0" t="s">
        <v>16158</v>
      </c>
    </row>
    <row r="45389" customFormat="false" ht="12.8" hidden="false" customHeight="false" outlineLevel="0" collapsed="false">
      <c r="A45389" s="0" t="s">
        <v>16164</v>
      </c>
      <c r="B45389" s="0" t="str">
        <f aca="false">HYPERLINK("https://lindat.mff.cuni.cz/services/teitok/pdtc10/index.php?action=vallex&amp;frame=v-w6317f2", "spatřit (v-w6317f2)")</f>
        <v>spatřit (v-w6317f2)</v>
      </c>
    </row>
    <row r="45390" customFormat="false" ht="12.8" hidden="false" customHeight="false" outlineLevel="0" collapsed="false">
      <c r="B45390" s="0" t="s">
        <v>7</v>
      </c>
    </row>
    <row r="45391" customFormat="false" ht="12.8" hidden="false" customHeight="false" outlineLevel="0" collapsed="false">
      <c r="B45391" s="0" t="s">
        <v>16165</v>
      </c>
    </row>
    <row r="45393" customFormat="false" ht="12.8" hidden="false" customHeight="false" outlineLevel="0" collapsed="false">
      <c r="A45393" s="0" t="s">
        <v>16166</v>
      </c>
      <c r="B45393" s="0" t="str">
        <f aca="false">HYPERLINK("https://lindat.mff.cuni.cz/services/teitok/pdtc10/index.php?action=vallex&amp;frame=v-w6318f1", "spatřovat (v-w6318f1)")</f>
        <v>spatřovat (v-w6318f1)</v>
      </c>
    </row>
    <row r="45394" customFormat="false" ht="12.8" hidden="false" customHeight="false" outlineLevel="0" collapsed="false">
      <c r="B45394" s="0" t="s">
        <v>7</v>
      </c>
      <c r="C45394" s="0" t="s">
        <v>16167</v>
      </c>
    </row>
    <row r="45395" customFormat="false" ht="12.8" hidden="false" customHeight="false" outlineLevel="0" collapsed="false">
      <c r="B45395" s="0" t="s">
        <v>54</v>
      </c>
      <c r="C45395" s="0" t="s">
        <v>16168</v>
      </c>
    </row>
    <row r="45396" customFormat="false" ht="12.8" hidden="false" customHeight="false" outlineLevel="0" collapsed="false">
      <c r="B45396" s="0" t="s">
        <v>11071</v>
      </c>
      <c r="C45396" s="0" t="s">
        <v>16169</v>
      </c>
    </row>
    <row r="45398" customFormat="false" ht="12.8" hidden="false" customHeight="false" outlineLevel="0" collapsed="false">
      <c r="A45398" s="0" t="s">
        <v>16170</v>
      </c>
      <c r="B45398" s="0" t="str">
        <f aca="false">HYPERLINK("https://lindat.mff.cuni.cz/services/teitok/pdtc10/index.php?action=vallex&amp;frame=v-w6318f3_ZU", "spatřovat (v-w6318f3_ZU)")</f>
        <v>spatřovat (v-w6318f3_ZU)</v>
      </c>
    </row>
    <row r="45399" customFormat="false" ht="12.8" hidden="false" customHeight="false" outlineLevel="0" collapsed="false">
      <c r="B45399" s="0" t="s">
        <v>7</v>
      </c>
    </row>
    <row r="45400" customFormat="false" ht="12.8" hidden="false" customHeight="false" outlineLevel="0" collapsed="false">
      <c r="B45400" s="0" t="s">
        <v>14</v>
      </c>
    </row>
    <row r="45401" customFormat="false" ht="12.8" hidden="false" customHeight="false" outlineLevel="0" collapsed="false">
      <c r="B45401" s="0" t="s">
        <v>1358</v>
      </c>
    </row>
    <row r="45403" customFormat="false" ht="12.8" hidden="false" customHeight="false" outlineLevel="0" collapsed="false">
      <c r="A45403" s="0" t="s">
        <v>16171</v>
      </c>
      <c r="B45403" s="0" t="str">
        <f aca="false">HYPERLINK("https://lindat.mff.cuni.cz/services/teitok/pdtc10/index.php?action=vallex&amp;frame=v-w6318f2", "spatřovat (v-w6318f2)")</f>
        <v>spatřovat (v-w6318f2)</v>
      </c>
    </row>
    <row r="45404" customFormat="false" ht="12.8" hidden="false" customHeight="false" outlineLevel="0" collapsed="false">
      <c r="B45404" s="0" t="s">
        <v>7</v>
      </c>
      <c r="C45404" s="0" t="s">
        <v>845</v>
      </c>
    </row>
    <row r="45405" customFormat="false" ht="12.8" hidden="false" customHeight="false" outlineLevel="0" collapsed="false">
      <c r="B45405" s="0" t="s">
        <v>14</v>
      </c>
      <c r="C45405" s="0" t="s">
        <v>2726</v>
      </c>
    </row>
    <row r="45406" customFormat="false" ht="12.8" hidden="false" customHeight="false" outlineLevel="0" collapsed="false">
      <c r="B45406" s="0" t="s">
        <v>11</v>
      </c>
    </row>
    <row r="45408" customFormat="false" ht="12.8" hidden="false" customHeight="false" outlineLevel="0" collapsed="false">
      <c r="A45408" s="0" t="s">
        <v>16172</v>
      </c>
      <c r="B45408" s="0" t="str">
        <f aca="false">HYPERLINK("https://lindat.mff.cuni.cz/services/teitok/pdtc10/index.php?action=vallex&amp;frame=v-w6322f1", "specializovat se (v-w6322f1)")</f>
        <v>specializovat se (v-w6322f1)</v>
      </c>
    </row>
    <row r="45409" customFormat="false" ht="12.8" hidden="false" customHeight="false" outlineLevel="0" collapsed="false">
      <c r="B45409" s="0" t="s">
        <v>7</v>
      </c>
      <c r="C45409" s="0" t="s">
        <v>504</v>
      </c>
      <c r="D45409" s="0" t="s">
        <v>16173</v>
      </c>
      <c r="E45409" s="0" t="s">
        <v>16173</v>
      </c>
      <c r="F45409" s="0" t="s">
        <v>16173</v>
      </c>
    </row>
    <row r="45410" customFormat="false" ht="12.8" hidden="false" customHeight="false" outlineLevel="0" collapsed="false">
      <c r="B45410" s="0" t="s">
        <v>41</v>
      </c>
      <c r="C45410" s="0" t="s">
        <v>2642</v>
      </c>
      <c r="D45410" s="0" t="s">
        <v>16174</v>
      </c>
      <c r="E45410" s="0" t="s">
        <v>16174</v>
      </c>
      <c r="F45410" s="0" t="s">
        <v>16174</v>
      </c>
    </row>
    <row r="45412" customFormat="false" ht="12.8" hidden="false" customHeight="false" outlineLevel="0" collapsed="false">
      <c r="A45412" s="0" t="s">
        <v>16175</v>
      </c>
      <c r="B45412" s="0" t="str">
        <f aca="false">HYPERLINK("https://lindat.mff.cuni.cz/services/teitok/pdtc10/index.php?action=vallex&amp;frame=v-w6325f1", "specifikovat (v-w6325f1)")</f>
        <v>specifikovat (v-w6325f1)</v>
      </c>
    </row>
    <row r="45413" customFormat="false" ht="12.8" hidden="false" customHeight="false" outlineLevel="0" collapsed="false">
      <c r="B45413" s="0" t="s">
        <v>7</v>
      </c>
      <c r="C45413" s="0" t="s">
        <v>8111</v>
      </c>
      <c r="D45413" s="0" t="s">
        <v>4783</v>
      </c>
      <c r="E45413" s="0" t="s">
        <v>4783</v>
      </c>
      <c r="F45413" s="0" t="s">
        <v>4783</v>
      </c>
    </row>
    <row r="45414" customFormat="false" ht="12.8" hidden="false" customHeight="false" outlineLevel="0" collapsed="false">
      <c r="B45414" s="0" t="s">
        <v>2738</v>
      </c>
      <c r="C45414" s="0" t="s">
        <v>6840</v>
      </c>
      <c r="D45414" s="0" t="s">
        <v>152</v>
      </c>
      <c r="E45414" s="0" t="s">
        <v>152</v>
      </c>
      <c r="F45414" s="0" t="s">
        <v>152</v>
      </c>
    </row>
    <row r="45416" customFormat="false" ht="12.8" hidden="false" customHeight="false" outlineLevel="0" collapsed="false">
      <c r="A45416" s="0" t="s">
        <v>16176</v>
      </c>
      <c r="B45416" s="0" t="str">
        <f aca="false">HYPERLINK("https://lindat.mff.cuni.cz/services/teitok/pdtc10/index.php?action=vallex&amp;frame=v-w6328f1", "spekulovat (v-w6328f1)")</f>
        <v>spekulovat (v-w6328f1)</v>
      </c>
    </row>
    <row r="45417" customFormat="false" ht="12.8" hidden="false" customHeight="false" outlineLevel="0" collapsed="false">
      <c r="B45417" s="0" t="s">
        <v>7</v>
      </c>
      <c r="C45417" s="0" t="s">
        <v>3051</v>
      </c>
      <c r="D45417" s="0" t="s">
        <v>13022</v>
      </c>
      <c r="E45417" s="0" t="s">
        <v>13022</v>
      </c>
      <c r="F45417" s="0" t="s">
        <v>13022</v>
      </c>
    </row>
    <row r="45418" customFormat="false" ht="12.8" hidden="false" customHeight="false" outlineLevel="0" collapsed="false">
      <c r="B45418" s="0" t="s">
        <v>2922</v>
      </c>
      <c r="C45418" s="0" t="s">
        <v>74</v>
      </c>
      <c r="D45418" s="0" t="s">
        <v>13024</v>
      </c>
      <c r="E45418" s="0" t="s">
        <v>13024</v>
      </c>
      <c r="F45418" s="0" t="s">
        <v>13024</v>
      </c>
    </row>
    <row r="45420" customFormat="false" ht="12.8" hidden="false" customHeight="false" outlineLevel="0" collapsed="false">
      <c r="A45420" s="0" t="s">
        <v>16177</v>
      </c>
      <c r="B45420" s="0" t="str">
        <f aca="false">HYPERLINK("https://lindat.mff.cuni.cz/services/teitok/pdtc10/index.php?action=vallex&amp;frame=v-w6328f2", "spekulovat (v-w6328f2)")</f>
        <v>spekulovat (v-w6328f2)</v>
      </c>
    </row>
    <row r="45421" customFormat="false" ht="12.8" hidden="false" customHeight="false" outlineLevel="0" collapsed="false">
      <c r="B45421" s="0" t="s">
        <v>7</v>
      </c>
      <c r="C45421" s="0" t="s">
        <v>16178</v>
      </c>
    </row>
    <row r="45422" customFormat="false" ht="12.8" hidden="false" customHeight="false" outlineLevel="0" collapsed="false">
      <c r="B45422" s="0" t="s">
        <v>548</v>
      </c>
    </row>
    <row r="45424" customFormat="false" ht="12.8" hidden="false" customHeight="false" outlineLevel="0" collapsed="false">
      <c r="A45424" s="0" t="s">
        <v>16179</v>
      </c>
      <c r="B45424" s="0" t="str">
        <f aca="false">HYPERLINK("https://lindat.mff.cuni.cz/services/teitok/pdtc10/index.php?action=vallex&amp;frame=v-w6329f1", "spelovat (v-w6329f1)")</f>
        <v>spelovat (v-w6329f1)</v>
      </c>
    </row>
    <row r="45425" customFormat="false" ht="12.8" hidden="false" customHeight="false" outlineLevel="0" collapsed="false">
      <c r="B45425" s="0" t="s">
        <v>7</v>
      </c>
    </row>
    <row r="45426" customFormat="false" ht="12.8" hidden="false" customHeight="false" outlineLevel="0" collapsed="false">
      <c r="B45426" s="0" t="s">
        <v>14</v>
      </c>
    </row>
    <row r="45428" customFormat="false" ht="12.8" hidden="false" customHeight="false" outlineLevel="0" collapsed="false">
      <c r="A45428" s="0" t="s">
        <v>16180</v>
      </c>
      <c r="B45428" s="0" t="str">
        <f aca="false">HYPERLINK("https://lindat.mff.cuni.cz/services/teitok/pdtc10/index.php?action=vallex&amp;frame=v-w11441f1", "spiknout se (v-w11441f1)")</f>
        <v>spiknout se (v-w11441f1)</v>
      </c>
    </row>
    <row r="45429" customFormat="false" ht="12.8" hidden="false" customHeight="false" outlineLevel="0" collapsed="false">
      <c r="B45429" s="0" t="s">
        <v>7</v>
      </c>
      <c r="C45429" s="0" t="s">
        <v>108</v>
      </c>
    </row>
    <row r="45430" customFormat="false" ht="12.8" hidden="false" customHeight="false" outlineLevel="0" collapsed="false">
      <c r="B45430" s="0" t="s">
        <v>207</v>
      </c>
    </row>
    <row r="45431" customFormat="false" ht="12.8" hidden="false" customHeight="false" outlineLevel="0" collapsed="false">
      <c r="B45431" s="0" t="s">
        <v>1560</v>
      </c>
    </row>
    <row r="45433" customFormat="false" ht="12.8" hidden="false" customHeight="false" outlineLevel="0" collapsed="false">
      <c r="A45433" s="0" t="s">
        <v>16181</v>
      </c>
      <c r="B45433" s="0" t="str">
        <f aca="false">HYPERLINK("https://lindat.mff.cuni.cz/services/teitok/pdtc10/index.php?action=vallex&amp;frame=v-whsa_203f1_ZU", "splachovat (v-whsa_203f1_ZU)")</f>
        <v>splachovat (v-whsa_203f1_ZU)</v>
      </c>
    </row>
    <row r="45434" customFormat="false" ht="12.8" hidden="false" customHeight="false" outlineLevel="0" collapsed="false">
      <c r="B45434" s="0" t="s">
        <v>7</v>
      </c>
    </row>
    <row r="45435" customFormat="false" ht="12.8" hidden="false" customHeight="false" outlineLevel="0" collapsed="false">
      <c r="B45435" s="0" t="s">
        <v>14</v>
      </c>
    </row>
    <row r="45436" customFormat="false" ht="12.8" hidden="false" customHeight="false" outlineLevel="0" collapsed="false">
      <c r="B45436" s="0" t="s">
        <v>5382</v>
      </c>
    </row>
    <row r="45438" customFormat="false" ht="12.8" hidden="false" customHeight="false" outlineLevel="0" collapsed="false">
      <c r="A45438" s="0" t="s">
        <v>16182</v>
      </c>
      <c r="B45438" s="0" t="str">
        <f aca="false">HYPERLINK("https://lindat.mff.cuni.cz/services/teitok/pdtc10/index.php?action=vallex&amp;frame=v-whsa_203hsa_204", "splachovat (v-whsa_203hsa_204)")</f>
        <v>splachovat (v-whsa_203hsa_204)</v>
      </c>
    </row>
    <row r="45439" customFormat="false" ht="12.8" hidden="false" customHeight="false" outlineLevel="0" collapsed="false">
      <c r="B45439" s="0" t="s">
        <v>7</v>
      </c>
    </row>
    <row r="45440" customFormat="false" ht="12.8" hidden="false" customHeight="false" outlineLevel="0" collapsed="false">
      <c r="B45440" s="0" t="s">
        <v>14</v>
      </c>
    </row>
    <row r="45442" customFormat="false" ht="12.8" hidden="false" customHeight="false" outlineLevel="0" collapsed="false">
      <c r="A45442" s="0" t="s">
        <v>16183</v>
      </c>
      <c r="B45442" s="0" t="str">
        <f aca="false">HYPERLINK("https://lindat.mff.cuni.cz/services/teitok/pdtc10/index.php?action=vallex&amp;frame=v-w6340f1", "splakat (v-w6340f1)")</f>
        <v>splakat (v-w6340f1)</v>
      </c>
    </row>
    <row r="45443" customFormat="false" ht="12.8" hidden="false" customHeight="false" outlineLevel="0" collapsed="false">
      <c r="B45443" s="0" t="s">
        <v>7</v>
      </c>
    </row>
    <row r="45444" customFormat="false" ht="12.8" hidden="false" customHeight="false" outlineLevel="0" collapsed="false">
      <c r="B45444" s="0" t="s">
        <v>223</v>
      </c>
    </row>
    <row r="45446" customFormat="false" ht="12.8" hidden="false" customHeight="false" outlineLevel="0" collapsed="false">
      <c r="A45446" s="0" t="s">
        <v>16184</v>
      </c>
      <c r="B45446" s="0" t="str">
        <f aca="false">HYPERLINK("https://lindat.mff.cuni.cz/services/teitok/pdtc10/index.php?action=vallex&amp;frame=v-w12051_ZUf1_ZU", "splanýrovat (v-w12051_ZUf1_ZU)")</f>
        <v>splanýrovat (v-w12051_ZUf1_ZU)</v>
      </c>
    </row>
    <row r="45447" customFormat="false" ht="12.8" hidden="false" customHeight="false" outlineLevel="0" collapsed="false">
      <c r="B45447" s="0" t="s">
        <v>7</v>
      </c>
    </row>
    <row r="45448" customFormat="false" ht="12.8" hidden="false" customHeight="false" outlineLevel="0" collapsed="false">
      <c r="B45448" s="0" t="s">
        <v>14</v>
      </c>
    </row>
    <row r="45450" customFormat="false" ht="12.8" hidden="false" customHeight="false" outlineLevel="0" collapsed="false">
      <c r="A45450" s="0" t="s">
        <v>16185</v>
      </c>
      <c r="B45450" s="0" t="str">
        <f aca="false">HYPERLINK("https://lindat.mff.cuni.cz/services/teitok/pdtc10/index.php?action=vallex&amp;frame=v-w6341f1", "splasknout (v-w6341f1)")</f>
        <v>splasknout (v-w6341f1)</v>
      </c>
    </row>
    <row r="45451" customFormat="false" ht="12.8" hidden="false" customHeight="false" outlineLevel="0" collapsed="false">
      <c r="B45451" s="0" t="s">
        <v>7</v>
      </c>
    </row>
    <row r="45453" customFormat="false" ht="12.8" hidden="false" customHeight="false" outlineLevel="0" collapsed="false">
      <c r="A45453" s="0" t="s">
        <v>16186</v>
      </c>
      <c r="B45453" s="0" t="str">
        <f aca="false">HYPERLINK("https://lindat.mff.cuni.cz/services/teitok/pdtc10/index.php?action=vallex&amp;frame=v-w6342f1", "splatit (v-w6342f1)")</f>
        <v>splatit (v-w6342f1)</v>
      </c>
    </row>
    <row r="45454" customFormat="false" ht="12.8" hidden="false" customHeight="false" outlineLevel="0" collapsed="false">
      <c r="B45454" s="0" t="s">
        <v>7</v>
      </c>
      <c r="C45454" s="0" t="s">
        <v>16187</v>
      </c>
      <c r="D45454" s="0" t="s">
        <v>2088</v>
      </c>
      <c r="E45454" s="0" t="s">
        <v>2088</v>
      </c>
      <c r="F45454" s="0" t="s">
        <v>2088</v>
      </c>
    </row>
    <row r="45455" customFormat="false" ht="12.8" hidden="false" customHeight="false" outlineLevel="0" collapsed="false">
      <c r="B45455" s="0" t="s">
        <v>14</v>
      </c>
      <c r="C45455" s="0" t="s">
        <v>16188</v>
      </c>
      <c r="D45455" s="0" t="s">
        <v>2089</v>
      </c>
      <c r="E45455" s="0" t="s">
        <v>2089</v>
      </c>
      <c r="F45455" s="0" t="s">
        <v>2089</v>
      </c>
    </row>
    <row r="45456" customFormat="false" ht="12.8" hidden="false" customHeight="false" outlineLevel="0" collapsed="false">
      <c r="B45456" s="0" t="s">
        <v>48</v>
      </c>
      <c r="C45456" s="0" t="s">
        <v>16189</v>
      </c>
      <c r="D45456" s="0" t="s">
        <v>2090</v>
      </c>
      <c r="E45456" s="0" t="s">
        <v>2090</v>
      </c>
      <c r="F45456" s="0" t="s">
        <v>2090</v>
      </c>
    </row>
    <row r="45458" customFormat="false" ht="12.8" hidden="false" customHeight="false" outlineLevel="0" collapsed="false">
      <c r="A45458" s="0" t="s">
        <v>16190</v>
      </c>
      <c r="B45458" s="0" t="str">
        <f aca="false">HYPERLINK("https://lindat.mff.cuni.cz/services/teitok/pdtc10/index.php?action=vallex&amp;frame=v-w6342f2", "splatit (v-w6342f2)")</f>
        <v>splatit (v-w6342f2)</v>
      </c>
    </row>
    <row r="45459" customFormat="false" ht="12.8" hidden="false" customHeight="false" outlineLevel="0" collapsed="false">
      <c r="B45459" s="0" t="s">
        <v>7</v>
      </c>
    </row>
    <row r="45460" customFormat="false" ht="12.8" hidden="false" customHeight="false" outlineLevel="0" collapsed="false">
      <c r="B45460" s="0" t="s">
        <v>14</v>
      </c>
    </row>
    <row r="45461" customFormat="false" ht="12.8" hidden="false" customHeight="false" outlineLevel="0" collapsed="false">
      <c r="B45461" s="0" t="s">
        <v>48</v>
      </c>
    </row>
    <row r="45463" customFormat="false" ht="12.8" hidden="false" customHeight="false" outlineLevel="0" collapsed="false">
      <c r="A45463" s="0" t="s">
        <v>16191</v>
      </c>
      <c r="B45463" s="0" t="str">
        <f aca="false">HYPERLINK("https://lindat.mff.cuni.cz/services/teitok/pdtc10/index.php?action=vallex&amp;frame=v-w12176_ZUf1_ZU", "splavovat (v-w12176_ZUf1_ZU)")</f>
        <v>splavovat (v-w12176_ZUf1_ZU)</v>
      </c>
    </row>
    <row r="45464" customFormat="false" ht="12.8" hidden="false" customHeight="false" outlineLevel="0" collapsed="false">
      <c r="B45464" s="0" t="s">
        <v>7</v>
      </c>
    </row>
    <row r="45465" customFormat="false" ht="12.8" hidden="false" customHeight="false" outlineLevel="0" collapsed="false">
      <c r="B45465" s="0" t="s">
        <v>14</v>
      </c>
    </row>
    <row r="45467" customFormat="false" ht="12.8" hidden="false" customHeight="false" outlineLevel="0" collapsed="false">
      <c r="A45467" s="0" t="s">
        <v>16192</v>
      </c>
      <c r="B45467" s="0" t="str">
        <f aca="false">HYPERLINK("https://lindat.mff.cuni.cz/services/teitok/pdtc10/index.php?action=vallex&amp;frame=v-w12175_ZUf1_ZU", "splašit (v-w12175_ZUf1_ZU)")</f>
        <v>splašit (v-w12175_ZUf1_ZU)</v>
      </c>
    </row>
    <row r="45468" customFormat="false" ht="12.8" hidden="false" customHeight="false" outlineLevel="0" collapsed="false">
      <c r="B45468" s="0" t="s">
        <v>7</v>
      </c>
    </row>
    <row r="45469" customFormat="false" ht="12.8" hidden="false" customHeight="false" outlineLevel="0" collapsed="false">
      <c r="B45469" s="0" t="s">
        <v>14</v>
      </c>
    </row>
    <row r="45471" customFormat="false" ht="12.8" hidden="false" customHeight="false" outlineLevel="0" collapsed="false">
      <c r="A45471" s="0" t="s">
        <v>16193</v>
      </c>
      <c r="B45471" s="0" t="str">
        <f aca="false">HYPERLINK("https://lindat.mff.cuni.cz/services/teitok/pdtc10/index.php?action=vallex&amp;frame=v-whsa_94f1_ZU", "splašit se (v-whsa_94f1_ZU)")</f>
        <v>splašit se (v-whsa_94f1_ZU)</v>
      </c>
    </row>
    <row r="45472" customFormat="false" ht="12.8" hidden="false" customHeight="false" outlineLevel="0" collapsed="false">
      <c r="B45472" s="0" t="s">
        <v>7</v>
      </c>
    </row>
    <row r="45474" customFormat="false" ht="12.8" hidden="false" customHeight="false" outlineLevel="0" collapsed="false">
      <c r="A45474" s="0" t="s">
        <v>16194</v>
      </c>
      <c r="B45474" s="0" t="str">
        <f aca="false">HYPERLINK("https://lindat.mff.cuni.cz/services/teitok/pdtc10/index.php?action=vallex&amp;frame=v-whsa_94hsa_95", "splašit se (v-whsa_94hsa_95)")</f>
        <v>splašit se (v-whsa_94hsa_95)</v>
      </c>
    </row>
    <row r="45475" customFormat="false" ht="12.8" hidden="false" customHeight="false" outlineLevel="0" collapsed="false">
      <c r="B45475" s="0" t="s">
        <v>7</v>
      </c>
    </row>
    <row r="45477" customFormat="false" ht="12.8" hidden="false" customHeight="false" outlineLevel="0" collapsed="false">
      <c r="A45477" s="0" t="s">
        <v>16195</v>
      </c>
      <c r="B45477" s="0" t="str">
        <f aca="false">HYPERLINK("https://lindat.mff.cuni.cz/services/teitok/pdtc10/index.php?action=vallex&amp;frame=v-w6347f1", "splnit (v-w6347f1)")</f>
        <v>splnit (v-w6347f1)</v>
      </c>
    </row>
    <row r="45478" customFormat="false" ht="12.8" hidden="false" customHeight="false" outlineLevel="0" collapsed="false">
      <c r="B45478" s="0" t="s">
        <v>7</v>
      </c>
      <c r="C45478" s="0" t="s">
        <v>16196</v>
      </c>
      <c r="D45478" s="0" t="s">
        <v>16197</v>
      </c>
      <c r="E45478" s="0" t="s">
        <v>16197</v>
      </c>
      <c r="F45478" s="0" t="s">
        <v>16197</v>
      </c>
    </row>
    <row r="45479" customFormat="false" ht="12.8" hidden="false" customHeight="false" outlineLevel="0" collapsed="false">
      <c r="B45479" s="0" t="s">
        <v>232</v>
      </c>
      <c r="C45479" s="0" t="s">
        <v>16198</v>
      </c>
      <c r="D45479" s="0" t="s">
        <v>16199</v>
      </c>
      <c r="E45479" s="0" t="s">
        <v>16199</v>
      </c>
      <c r="F45479" s="0" t="s">
        <v>16199</v>
      </c>
    </row>
    <row r="45481" customFormat="false" ht="12.8" hidden="false" customHeight="false" outlineLevel="0" collapsed="false">
      <c r="A45481" s="0" t="s">
        <v>16200</v>
      </c>
      <c r="B45481" s="0" t="str">
        <f aca="false">HYPERLINK("https://lindat.mff.cuni.cz/services/teitok/pdtc10/index.php?action=vallex&amp;frame=v-w6348f1", "splnit se (v-w6348f1)")</f>
        <v>splnit se (v-w6348f1)</v>
      </c>
    </row>
    <row r="45482" customFormat="false" ht="12.8" hidden="false" customHeight="false" outlineLevel="0" collapsed="false">
      <c r="B45482" s="0" t="s">
        <v>7</v>
      </c>
      <c r="F45482" s="0" t="s">
        <v>6750</v>
      </c>
    </row>
    <row r="45484" customFormat="false" ht="12.8" hidden="false" customHeight="false" outlineLevel="0" collapsed="false">
      <c r="A45484" s="0" t="s">
        <v>16201</v>
      </c>
      <c r="B45484" s="0" t="str">
        <f aca="false">HYPERLINK("https://lindat.mff.cuni.cz/services/teitok/pdtc10/index.php?action=vallex&amp;frame=v-w6351f1", "splynout (v-w6351f1)")</f>
        <v>splynout (v-w6351f1)</v>
      </c>
    </row>
    <row r="45485" customFormat="false" ht="12.8" hidden="false" customHeight="false" outlineLevel="0" collapsed="false">
      <c r="B45485" s="0" t="s">
        <v>7</v>
      </c>
      <c r="C45485" s="0" t="s">
        <v>5013</v>
      </c>
      <c r="D45485" s="0" t="s">
        <v>3184</v>
      </c>
      <c r="E45485" s="0" t="s">
        <v>3185</v>
      </c>
      <c r="F45485" s="0" t="s">
        <v>3185</v>
      </c>
    </row>
    <row r="45486" customFormat="false" ht="12.8" hidden="false" customHeight="false" outlineLevel="0" collapsed="false">
      <c r="B45486" s="0" t="s">
        <v>548</v>
      </c>
      <c r="C45486" s="0" t="s">
        <v>16202</v>
      </c>
      <c r="D45486" s="0" t="s">
        <v>3186</v>
      </c>
      <c r="E45486" s="0" t="s">
        <v>3186</v>
      </c>
      <c r="F45486" s="0" t="s">
        <v>3186</v>
      </c>
    </row>
    <row r="45487" customFormat="false" ht="12.8" hidden="false" customHeight="false" outlineLevel="0" collapsed="false">
      <c r="B45487" s="0" t="s">
        <v>2571</v>
      </c>
      <c r="C45487" s="0" t="s">
        <v>4724</v>
      </c>
      <c r="D45487" s="0" t="s">
        <v>10273</v>
      </c>
      <c r="E45487" s="0" t="s">
        <v>10273</v>
      </c>
      <c r="F45487" s="0" t="s">
        <v>10273</v>
      </c>
    </row>
    <row r="45489" customFormat="false" ht="12.8" hidden="false" customHeight="false" outlineLevel="0" collapsed="false">
      <c r="A45489" s="0" t="s">
        <v>16203</v>
      </c>
      <c r="B45489" s="0" t="str">
        <f aca="false">HYPERLINK("https://lindat.mff.cuni.cz/services/teitok/pdtc10/index.php?action=vallex&amp;frame=v-whsa_966f1_ZU", "splácat (v-whsa_966f1_ZU)")</f>
        <v>splácat (v-whsa_966f1_ZU)</v>
      </c>
    </row>
    <row r="45490" customFormat="false" ht="12.8" hidden="false" customHeight="false" outlineLevel="0" collapsed="false">
      <c r="B45490" s="0" t="s">
        <v>7</v>
      </c>
    </row>
    <row r="45491" customFormat="false" ht="12.8" hidden="false" customHeight="false" outlineLevel="0" collapsed="false">
      <c r="B45491" s="0" t="s">
        <v>14</v>
      </c>
    </row>
    <row r="45492" customFormat="false" ht="12.8" hidden="false" customHeight="false" outlineLevel="0" collapsed="false">
      <c r="B45492" s="0" t="s">
        <v>2571</v>
      </c>
    </row>
    <row r="45493" customFormat="false" ht="12.8" hidden="false" customHeight="false" outlineLevel="0" collapsed="false">
      <c r="B45493" s="0" t="s">
        <v>35</v>
      </c>
    </row>
    <row r="45495" customFormat="false" ht="12.8" hidden="false" customHeight="false" outlineLevel="0" collapsed="false">
      <c r="A45495" s="0" t="s">
        <v>16203</v>
      </c>
      <c r="B45495" s="0" t="str">
        <f aca="false">HYPERLINK("https://lindat.mff.cuni.cz/services/teitok/pdtc10/index.php?action=vallex&amp;frame=v-whsa_966hsa_967", "splácat (v-whsa_966hsa_967) - substituted with v-whsa_966f1_ZU")</f>
        <v>splácat (v-whsa_966hsa_967) - substituted with v-whsa_966f1_ZU</v>
      </c>
    </row>
    <row r="45496" customFormat="false" ht="12.8" hidden="false" customHeight="false" outlineLevel="0" collapsed="false">
      <c r="B45496" s="0" t="s">
        <v>7</v>
      </c>
    </row>
    <row r="45497" customFormat="false" ht="12.8" hidden="false" customHeight="false" outlineLevel="0" collapsed="false">
      <c r="B45497" s="0" t="s">
        <v>14</v>
      </c>
    </row>
    <row r="45498" customFormat="false" ht="12.8" hidden="false" customHeight="false" outlineLevel="0" collapsed="false">
      <c r="B45498" s="0" t="s">
        <v>2571</v>
      </c>
    </row>
    <row r="45499" customFormat="false" ht="12.8" hidden="false" customHeight="false" outlineLevel="0" collapsed="false">
      <c r="B45499" s="0" t="s">
        <v>35</v>
      </c>
    </row>
    <row r="45501" customFormat="false" ht="12.8" hidden="false" customHeight="false" outlineLevel="0" collapsed="false">
      <c r="A45501" s="0" t="s">
        <v>16204</v>
      </c>
      <c r="B45501" s="0" t="str">
        <f aca="false">HYPERLINK("https://lindat.mff.cuni.cz/services/teitok/pdtc10/index.php?action=vallex&amp;frame=v-w6339f1", "splácet (v-w6339f1)")</f>
        <v>splácet (v-w6339f1)</v>
      </c>
    </row>
    <row r="45502" customFormat="false" ht="12.8" hidden="false" customHeight="false" outlineLevel="0" collapsed="false">
      <c r="B45502" s="0" t="s">
        <v>7</v>
      </c>
      <c r="C45502" s="0" t="s">
        <v>16205</v>
      </c>
      <c r="D45502" s="0" t="s">
        <v>2088</v>
      </c>
      <c r="E45502" s="0" t="s">
        <v>2088</v>
      </c>
      <c r="F45502" s="0" t="s">
        <v>2088</v>
      </c>
    </row>
    <row r="45503" customFormat="false" ht="12.8" hidden="false" customHeight="false" outlineLevel="0" collapsed="false">
      <c r="B45503" s="0" t="s">
        <v>14</v>
      </c>
      <c r="C45503" s="0" t="s">
        <v>16206</v>
      </c>
      <c r="D45503" s="0" t="s">
        <v>2089</v>
      </c>
      <c r="E45503" s="0" t="s">
        <v>2089</v>
      </c>
      <c r="F45503" s="0" t="s">
        <v>2089</v>
      </c>
    </row>
    <row r="45504" customFormat="false" ht="12.8" hidden="false" customHeight="false" outlineLevel="0" collapsed="false">
      <c r="B45504" s="0" t="s">
        <v>48</v>
      </c>
      <c r="C45504" s="0" t="s">
        <v>16207</v>
      </c>
      <c r="D45504" s="0" t="s">
        <v>2090</v>
      </c>
      <c r="E45504" s="0" t="s">
        <v>2090</v>
      </c>
      <c r="F45504" s="0" t="s">
        <v>2090</v>
      </c>
    </row>
    <row r="45506" customFormat="false" ht="12.8" hidden="false" customHeight="false" outlineLevel="0" collapsed="false">
      <c r="A45506" s="0" t="s">
        <v>16208</v>
      </c>
      <c r="B45506" s="0" t="str">
        <f aca="false">HYPERLINK("https://lindat.mff.cuni.cz/services/teitok/pdtc10/index.php?action=vallex&amp;frame=v-w6339f2", "splácet (v-w6339f2)")</f>
        <v>splácet (v-w6339f2)</v>
      </c>
    </row>
    <row r="45507" customFormat="false" ht="12.8" hidden="false" customHeight="false" outlineLevel="0" collapsed="false">
      <c r="B45507" s="0" t="s">
        <v>7</v>
      </c>
    </row>
    <row r="45508" customFormat="false" ht="12.8" hidden="false" customHeight="false" outlineLevel="0" collapsed="false">
      <c r="B45508" s="0" t="s">
        <v>14</v>
      </c>
    </row>
    <row r="45509" customFormat="false" ht="12.8" hidden="false" customHeight="false" outlineLevel="0" collapsed="false">
      <c r="B45509" s="0" t="s">
        <v>48</v>
      </c>
    </row>
    <row r="45511" customFormat="false" ht="12.8" hidden="false" customHeight="false" outlineLevel="0" collapsed="false">
      <c r="A45511" s="0" t="s">
        <v>16209</v>
      </c>
      <c r="B45511" s="0" t="str">
        <f aca="false">HYPERLINK("https://lindat.mff.cuni.cz/services/teitok/pdtc10/index.php?action=vallex&amp;frame=v-w6339f3_ZU", "splácet (v-w6339f3_ZU)")</f>
        <v>splácet (v-w6339f3_ZU)</v>
      </c>
    </row>
    <row r="45512" customFormat="false" ht="12.8" hidden="false" customHeight="false" outlineLevel="0" collapsed="false">
      <c r="B45512" s="0" t="s">
        <v>7</v>
      </c>
    </row>
    <row r="45513" customFormat="false" ht="12.8" hidden="false" customHeight="false" outlineLevel="0" collapsed="false">
      <c r="B45513" s="0" t="s">
        <v>14</v>
      </c>
    </row>
    <row r="45515" customFormat="false" ht="12.8" hidden="false" customHeight="false" outlineLevel="0" collapsed="false">
      <c r="A45515" s="0" t="s">
        <v>16210</v>
      </c>
      <c r="B45515" s="0" t="str">
        <f aca="false">HYPERLINK("https://lindat.mff.cuni.cz/services/teitok/pdtc10/index.php?action=vallex&amp;frame=v-w10680f2", "spláchnout (v-w10680f2)")</f>
        <v>spláchnout (v-w10680f2)</v>
      </c>
    </row>
    <row r="45516" customFormat="false" ht="12.8" hidden="false" customHeight="false" outlineLevel="0" collapsed="false">
      <c r="B45516" s="0" t="s">
        <v>7</v>
      </c>
    </row>
    <row r="45517" customFormat="false" ht="12.8" hidden="false" customHeight="false" outlineLevel="0" collapsed="false">
      <c r="B45517" s="0" t="s">
        <v>14</v>
      </c>
    </row>
    <row r="45519" customFormat="false" ht="12.8" hidden="false" customHeight="false" outlineLevel="0" collapsed="false">
      <c r="A45519" s="0" t="s">
        <v>16211</v>
      </c>
      <c r="B45519" s="0" t="str">
        <f aca="false">HYPERLINK("https://lindat.mff.cuni.cz/services/teitok/pdtc10/index.php?action=vallex&amp;frame=v-w10680f3_ZU", "spláchnout (v-w10680f3_ZU)")</f>
        <v>spláchnout (v-w10680f3_ZU)</v>
      </c>
    </row>
    <row r="45520" customFormat="false" ht="12.8" hidden="false" customHeight="false" outlineLevel="0" collapsed="false">
      <c r="B45520" s="0" t="s">
        <v>7</v>
      </c>
    </row>
    <row r="45521" customFormat="false" ht="12.8" hidden="false" customHeight="false" outlineLevel="0" collapsed="false">
      <c r="B45521" s="0" t="s">
        <v>14</v>
      </c>
    </row>
    <row r="45522" customFormat="false" ht="12.8" hidden="false" customHeight="false" outlineLevel="0" collapsed="false">
      <c r="B45522" s="0" t="s">
        <v>459</v>
      </c>
    </row>
    <row r="45524" customFormat="false" ht="12.8" hidden="false" customHeight="false" outlineLevel="0" collapsed="false">
      <c r="A45524" s="0" t="s">
        <v>16212</v>
      </c>
      <c r="B45524" s="0" t="str">
        <f aca="false">HYPERLINK("https://lindat.mff.cuni.cz/services/teitok/pdtc10/index.php?action=vallex&amp;frame=v-whsa_1697f1_ZU", "splést (v-whsa_1697f1_ZU)")</f>
        <v>splést (v-whsa_1697f1_ZU)</v>
      </c>
    </row>
    <row r="45525" customFormat="false" ht="12.8" hidden="false" customHeight="false" outlineLevel="0" collapsed="false">
      <c r="B45525" s="0" t="s">
        <v>7</v>
      </c>
    </row>
    <row r="45526" customFormat="false" ht="12.8" hidden="false" customHeight="false" outlineLevel="0" collapsed="false">
      <c r="B45526" s="0" t="s">
        <v>14</v>
      </c>
    </row>
    <row r="45527" customFormat="false" ht="12.8" hidden="false" customHeight="false" outlineLevel="0" collapsed="false">
      <c r="B45527" s="0" t="s">
        <v>3086</v>
      </c>
    </row>
    <row r="45529" customFormat="false" ht="12.8" hidden="false" customHeight="false" outlineLevel="0" collapsed="false">
      <c r="A45529" s="0" t="s">
        <v>16212</v>
      </c>
      <c r="B45529" s="0" t="str">
        <f aca="false">HYPERLINK("https://lindat.mff.cuni.cz/services/teitok/pdtc10/index.php?action=vallex&amp;frame=v-whsa_1697hsa_1698", "splést (v-whsa_1697hsa_1698) - substituted with v-whsa_1697f1_ZU")</f>
        <v>splést (v-whsa_1697hsa_1698) - substituted with v-whsa_1697f1_ZU</v>
      </c>
    </row>
    <row r="45530" customFormat="false" ht="12.8" hidden="false" customHeight="false" outlineLevel="0" collapsed="false">
      <c r="B45530" s="0" t="s">
        <v>7</v>
      </c>
    </row>
    <row r="45531" customFormat="false" ht="12.8" hidden="false" customHeight="false" outlineLevel="0" collapsed="false">
      <c r="B45531" s="0" t="s">
        <v>14</v>
      </c>
    </row>
    <row r="45532" customFormat="false" ht="12.8" hidden="false" customHeight="false" outlineLevel="0" collapsed="false">
      <c r="B45532" s="0" t="s">
        <v>3086</v>
      </c>
    </row>
    <row r="45534" customFormat="false" ht="12.8" hidden="false" customHeight="false" outlineLevel="0" collapsed="false">
      <c r="A45534" s="0" t="s">
        <v>16213</v>
      </c>
      <c r="B45534" s="0" t="str">
        <f aca="false">HYPERLINK("https://lindat.mff.cuni.cz/services/teitok/pdtc10/index.php?action=vallex&amp;frame=v-w6345f1", "splést se (v-w6345f1)")</f>
        <v>splést se (v-w6345f1)</v>
      </c>
    </row>
    <row r="45535" customFormat="false" ht="12.8" hidden="false" customHeight="false" outlineLevel="0" collapsed="false">
      <c r="B45535" s="0" t="s">
        <v>7</v>
      </c>
    </row>
    <row r="45537" customFormat="false" ht="12.8" hidden="false" customHeight="false" outlineLevel="0" collapsed="false">
      <c r="A45537" s="0" t="s">
        <v>16214</v>
      </c>
      <c r="B45537" s="0" t="str">
        <f aca="false">HYPERLINK("https://lindat.mff.cuni.cz/services/teitok/pdtc10/index.php?action=vallex&amp;frame=v-w12259_ZUf1_ZU", "splétat (v-w12259_ZUf1_ZU)")</f>
        <v>splétat (v-w12259_ZUf1_ZU)</v>
      </c>
    </row>
    <row r="45538" customFormat="false" ht="12.8" hidden="false" customHeight="false" outlineLevel="0" collapsed="false">
      <c r="B45538" s="0" t="s">
        <v>7</v>
      </c>
    </row>
    <row r="45539" customFormat="false" ht="12.8" hidden="false" customHeight="false" outlineLevel="0" collapsed="false">
      <c r="B45539" s="0" t="s">
        <v>14</v>
      </c>
    </row>
    <row r="45540" customFormat="false" ht="12.8" hidden="false" customHeight="false" outlineLevel="0" collapsed="false">
      <c r="B45540" s="0" t="s">
        <v>35</v>
      </c>
    </row>
    <row r="45542" customFormat="false" ht="12.8" hidden="false" customHeight="false" outlineLevel="0" collapsed="false">
      <c r="A45542" s="0" t="s">
        <v>16215</v>
      </c>
      <c r="B45542" s="0" t="str">
        <f aca="false">HYPERLINK("https://lindat.mff.cuni.cz/services/teitok/pdtc10/index.php?action=vallex&amp;frame=v-w6354f1", "splývat (v-w6354f1)")</f>
        <v>splývat (v-w6354f1)</v>
      </c>
    </row>
    <row r="45543" customFormat="false" ht="12.8" hidden="false" customHeight="false" outlineLevel="0" collapsed="false">
      <c r="B45543" s="0" t="s">
        <v>7</v>
      </c>
      <c r="D45543" s="0" t="s">
        <v>2780</v>
      </c>
      <c r="E45543" s="0" t="s">
        <v>2780</v>
      </c>
      <c r="F45543" s="0" t="s">
        <v>2780</v>
      </c>
    </row>
    <row r="45544" customFormat="false" ht="12.8" hidden="false" customHeight="false" outlineLevel="0" collapsed="false">
      <c r="B45544" s="0" t="s">
        <v>548</v>
      </c>
      <c r="D45544" s="0" t="s">
        <v>2781</v>
      </c>
      <c r="E45544" s="0" t="s">
        <v>2781</v>
      </c>
      <c r="F45544" s="0" t="s">
        <v>2781</v>
      </c>
    </row>
    <row r="45545" customFormat="false" ht="12.8" hidden="false" customHeight="false" outlineLevel="0" collapsed="false">
      <c r="B45545" s="0" t="s">
        <v>2571</v>
      </c>
      <c r="D45545" s="0" t="s">
        <v>10273</v>
      </c>
      <c r="E45545" s="0" t="s">
        <v>10273</v>
      </c>
      <c r="F45545" s="0" t="s">
        <v>10273</v>
      </c>
    </row>
    <row r="45547" customFormat="false" ht="12.8" hidden="false" customHeight="false" outlineLevel="0" collapsed="false">
      <c r="A45547" s="0" t="s">
        <v>16216</v>
      </c>
      <c r="B45547" s="0" t="str">
        <f aca="false">HYPERLINK("https://lindat.mff.cuni.cz/services/teitok/pdtc10/index.php?action=vallex&amp;frame=v-w6349f1", "splňovat (v-w6349f1)")</f>
        <v>splňovat (v-w6349f1)</v>
      </c>
    </row>
    <row r="45548" customFormat="false" ht="12.8" hidden="false" customHeight="false" outlineLevel="0" collapsed="false">
      <c r="B45548" s="0" t="s">
        <v>7</v>
      </c>
      <c r="C45548" s="0" t="s">
        <v>2530</v>
      </c>
      <c r="D45548" s="0" t="s">
        <v>1771</v>
      </c>
      <c r="E45548" s="0" t="s">
        <v>1771</v>
      </c>
      <c r="F45548" s="0" t="s">
        <v>1771</v>
      </c>
    </row>
    <row r="45549" customFormat="false" ht="12.8" hidden="false" customHeight="false" outlineLevel="0" collapsed="false">
      <c r="B45549" s="0" t="s">
        <v>232</v>
      </c>
      <c r="C45549" s="0" t="s">
        <v>14697</v>
      </c>
      <c r="D45549" s="0" t="s">
        <v>1773</v>
      </c>
      <c r="E45549" s="0" t="s">
        <v>1773</v>
      </c>
      <c r="F45549" s="0" t="s">
        <v>1773</v>
      </c>
    </row>
    <row r="45551" customFormat="false" ht="12.8" hidden="false" customHeight="false" outlineLevel="0" collapsed="false">
      <c r="A45551" s="0" t="s">
        <v>16217</v>
      </c>
      <c r="B45551" s="0" t="str">
        <f aca="false">HYPERLINK("https://lindat.mff.cuni.cz/services/teitok/pdtc10/index.php?action=vallex&amp;frame=v-w6363f2", "spojit (v-w6363f2)")</f>
        <v>spojit (v-w6363f2)</v>
      </c>
    </row>
    <row r="45552" customFormat="false" ht="12.8" hidden="false" customHeight="false" outlineLevel="0" collapsed="false">
      <c r="B45552" s="0" t="s">
        <v>7</v>
      </c>
      <c r="C45552" s="0" t="s">
        <v>16218</v>
      </c>
      <c r="D45552" s="0" t="s">
        <v>88</v>
      </c>
      <c r="E45552" s="0" t="s">
        <v>88</v>
      </c>
      <c r="F45552" s="0" t="s">
        <v>88</v>
      </c>
    </row>
    <row r="45553" customFormat="false" ht="12.8" hidden="false" customHeight="false" outlineLevel="0" collapsed="false">
      <c r="B45553" s="0" t="s">
        <v>14</v>
      </c>
      <c r="C45553" s="0" t="s">
        <v>16219</v>
      </c>
      <c r="D45553" s="0" t="s">
        <v>24</v>
      </c>
      <c r="E45553" s="0" t="s">
        <v>24</v>
      </c>
      <c r="F45553" s="0" t="s">
        <v>24</v>
      </c>
    </row>
    <row r="45554" customFormat="false" ht="12.8" hidden="false" customHeight="false" outlineLevel="0" collapsed="false">
      <c r="B45554" s="0" t="s">
        <v>207</v>
      </c>
      <c r="C45554" s="0" t="s">
        <v>16220</v>
      </c>
      <c r="D45554" s="0" t="s">
        <v>4219</v>
      </c>
      <c r="E45554" s="0" t="s">
        <v>4219</v>
      </c>
      <c r="F45554" s="0" t="s">
        <v>4219</v>
      </c>
    </row>
    <row r="45555" customFormat="false" ht="12.8" hidden="false" customHeight="false" outlineLevel="0" collapsed="false">
      <c r="B45555" s="0" t="s">
        <v>2571</v>
      </c>
      <c r="C45555" s="0" t="s">
        <v>4724</v>
      </c>
      <c r="D45555" s="0" t="s">
        <v>4220</v>
      </c>
      <c r="E45555" s="0" t="s">
        <v>4220</v>
      </c>
      <c r="F45555" s="0" t="s">
        <v>4220</v>
      </c>
    </row>
    <row r="45557" customFormat="false" ht="12.8" hidden="false" customHeight="false" outlineLevel="0" collapsed="false">
      <c r="A45557" s="0" t="s">
        <v>16221</v>
      </c>
      <c r="B45557" s="0" t="str">
        <f aca="false">HYPERLINK("https://lindat.mff.cuni.cz/services/teitok/pdtc10/index.php?action=vallex&amp;frame=v-w6363f3", "spojit (v-w6363f3)")</f>
        <v>spojit (v-w6363f3)</v>
      </c>
    </row>
    <row r="45558" customFormat="false" ht="12.8" hidden="false" customHeight="false" outlineLevel="0" collapsed="false">
      <c r="B45558" s="0" t="s">
        <v>7</v>
      </c>
      <c r="C45558" s="0" t="s">
        <v>16222</v>
      </c>
      <c r="D45558" s="0" t="s">
        <v>4116</v>
      </c>
      <c r="E45558" s="0" t="s">
        <v>4116</v>
      </c>
      <c r="F45558" s="0" t="s">
        <v>4116</v>
      </c>
    </row>
    <row r="45559" customFormat="false" ht="12.8" hidden="false" customHeight="false" outlineLevel="0" collapsed="false">
      <c r="B45559" s="0" t="s">
        <v>14</v>
      </c>
      <c r="C45559" s="0" t="s">
        <v>16223</v>
      </c>
      <c r="D45559" s="0" t="s">
        <v>11631</v>
      </c>
      <c r="E45559" s="0" t="s">
        <v>11631</v>
      </c>
      <c r="F45559" s="0" t="s">
        <v>11631</v>
      </c>
    </row>
    <row r="45560" customFormat="false" ht="12.8" hidden="false" customHeight="false" outlineLevel="0" collapsed="false">
      <c r="B45560" s="0" t="s">
        <v>207</v>
      </c>
      <c r="C45560" s="0" t="s">
        <v>16224</v>
      </c>
      <c r="D45560" s="0" t="s">
        <v>12075</v>
      </c>
      <c r="E45560" s="0" t="s">
        <v>12075</v>
      </c>
      <c r="F45560" s="0" t="s">
        <v>12075</v>
      </c>
    </row>
    <row r="45562" customFormat="false" ht="12.8" hidden="false" customHeight="false" outlineLevel="0" collapsed="false">
      <c r="A45562" s="0" t="s">
        <v>16225</v>
      </c>
      <c r="B45562" s="0" t="str">
        <f aca="false">HYPERLINK("https://lindat.mff.cuni.cz/services/teitok/pdtc10/index.php?action=vallex&amp;frame=v-w6363f1", "spojit (v-w6363f1)")</f>
        <v>spojit (v-w6363f1)</v>
      </c>
    </row>
    <row r="45563" customFormat="false" ht="12.8" hidden="false" customHeight="false" outlineLevel="0" collapsed="false">
      <c r="B45563" s="0" t="s">
        <v>7</v>
      </c>
      <c r="C45563" s="0" t="s">
        <v>16226</v>
      </c>
      <c r="D45563" s="0" t="s">
        <v>2101</v>
      </c>
      <c r="E45563" s="0" t="s">
        <v>2101</v>
      </c>
      <c r="F45563" s="0" t="s">
        <v>2101</v>
      </c>
    </row>
    <row r="45564" customFormat="false" ht="12.8" hidden="false" customHeight="false" outlineLevel="0" collapsed="false">
      <c r="B45564" s="0" t="s">
        <v>14</v>
      </c>
      <c r="C45564" s="0" t="s">
        <v>16227</v>
      </c>
      <c r="D45564" s="0" t="s">
        <v>2103</v>
      </c>
      <c r="E45564" s="0" t="s">
        <v>2103</v>
      </c>
      <c r="F45564" s="0" t="s">
        <v>2103</v>
      </c>
    </row>
    <row r="45565" customFormat="false" ht="12.8" hidden="false" customHeight="false" outlineLevel="0" collapsed="false">
      <c r="B45565" s="0" t="s">
        <v>3086</v>
      </c>
      <c r="C45565" s="0" t="s">
        <v>16228</v>
      </c>
      <c r="D45565" s="0" t="s">
        <v>2106</v>
      </c>
      <c r="E45565" s="0" t="s">
        <v>2106</v>
      </c>
      <c r="F45565" s="0" t="s">
        <v>2106</v>
      </c>
    </row>
    <row r="45567" customFormat="false" ht="12.8" hidden="false" customHeight="false" outlineLevel="0" collapsed="false">
      <c r="A45567" s="0" t="s">
        <v>16229</v>
      </c>
      <c r="B45567" s="0" t="str">
        <f aca="false">HYPERLINK("https://lindat.mff.cuni.cz/services/teitok/pdtc10/index.php?action=vallex&amp;frame=v-w6363f4", "spojit (v-w6363f4)")</f>
        <v>spojit (v-w6363f4)</v>
      </c>
    </row>
    <row r="45568" customFormat="false" ht="12.8" hidden="false" customHeight="false" outlineLevel="0" collapsed="false">
      <c r="B45568" s="0" t="s">
        <v>7</v>
      </c>
    </row>
    <row r="45569" customFormat="false" ht="12.8" hidden="false" customHeight="false" outlineLevel="0" collapsed="false">
      <c r="B45569" s="0" t="s">
        <v>14</v>
      </c>
    </row>
    <row r="45571" customFormat="false" ht="12.8" hidden="false" customHeight="false" outlineLevel="0" collapsed="false">
      <c r="A45571" s="0" t="s">
        <v>16230</v>
      </c>
      <c r="B45571" s="0" t="str">
        <f aca="false">HYPERLINK("https://lindat.mff.cuni.cz/services/teitok/pdtc10/index.php?action=vallex&amp;frame=v-w6363hsa_908", "spojit (v-w6363hsa_908)")</f>
        <v>spojit (v-w6363hsa_908)</v>
      </c>
    </row>
    <row r="45572" customFormat="false" ht="12.8" hidden="false" customHeight="false" outlineLevel="0" collapsed="false">
      <c r="B45572" s="0" t="s">
        <v>7</v>
      </c>
      <c r="C45572" s="0" t="s">
        <v>2736</v>
      </c>
      <c r="D45572" s="0" t="s">
        <v>4116</v>
      </c>
      <c r="E45572" s="0" t="s">
        <v>4116</v>
      </c>
      <c r="F45572" s="0" t="s">
        <v>4116</v>
      </c>
    </row>
    <row r="45573" customFormat="false" ht="12.8" hidden="false" customHeight="false" outlineLevel="0" collapsed="false">
      <c r="B45573" s="0" t="s">
        <v>14</v>
      </c>
      <c r="C45573" s="0" t="s">
        <v>466</v>
      </c>
      <c r="D45573" s="0" t="s">
        <v>11631</v>
      </c>
      <c r="E45573" s="0" t="s">
        <v>11631</v>
      </c>
      <c r="F45573" s="0" t="s">
        <v>11631</v>
      </c>
    </row>
    <row r="45574" customFormat="false" ht="12.8" hidden="false" customHeight="false" outlineLevel="0" collapsed="false">
      <c r="B45574" s="0" t="s">
        <v>207</v>
      </c>
      <c r="C45574" s="0" t="s">
        <v>12069</v>
      </c>
      <c r="D45574" s="0" t="s">
        <v>12075</v>
      </c>
      <c r="E45574" s="0" t="s">
        <v>12075</v>
      </c>
      <c r="F45574" s="0" t="s">
        <v>12075</v>
      </c>
    </row>
    <row r="45576" customFormat="false" ht="12.8" hidden="false" customHeight="false" outlineLevel="0" collapsed="false">
      <c r="A45576" s="0" t="s">
        <v>16231</v>
      </c>
      <c r="B45576" s="0" t="str">
        <f aca="false">HYPERLINK("https://lindat.mff.cuni.cz/services/teitok/pdtc10/index.php?action=vallex&amp;frame=v-w6365f1", "spojit se (v-w6365f1)")</f>
        <v>spojit se (v-w6365f1)</v>
      </c>
    </row>
    <row r="45577" customFormat="false" ht="12.8" hidden="false" customHeight="false" outlineLevel="0" collapsed="false">
      <c r="B45577" s="0" t="s">
        <v>7</v>
      </c>
      <c r="C45577" s="0" t="s">
        <v>16232</v>
      </c>
      <c r="D45577" s="0" t="s">
        <v>3184</v>
      </c>
      <c r="E45577" s="0" t="s">
        <v>3185</v>
      </c>
      <c r="F45577" s="0" t="s">
        <v>3185</v>
      </c>
    </row>
    <row r="45578" customFormat="false" ht="12.8" hidden="false" customHeight="false" outlineLevel="0" collapsed="false">
      <c r="B45578" s="0" t="s">
        <v>548</v>
      </c>
      <c r="C45578" s="0" t="s">
        <v>16233</v>
      </c>
      <c r="D45578" s="0" t="s">
        <v>3186</v>
      </c>
      <c r="E45578" s="0" t="s">
        <v>3186</v>
      </c>
      <c r="F45578" s="0" t="s">
        <v>3186</v>
      </c>
    </row>
    <row r="45579" customFormat="false" ht="12.8" hidden="false" customHeight="false" outlineLevel="0" collapsed="false">
      <c r="B45579" s="0" t="s">
        <v>2571</v>
      </c>
      <c r="C45579" s="0" t="s">
        <v>16234</v>
      </c>
      <c r="D45579" s="0" t="s">
        <v>10273</v>
      </c>
      <c r="E45579" s="0" t="s">
        <v>10273</v>
      </c>
      <c r="F45579" s="0" t="s">
        <v>10273</v>
      </c>
    </row>
    <row r="45581" customFormat="false" ht="12.8" hidden="false" customHeight="false" outlineLevel="0" collapsed="false">
      <c r="A45581" s="0" t="s">
        <v>16235</v>
      </c>
      <c r="B45581" s="0" t="str">
        <f aca="false">HYPERLINK("https://lindat.mff.cuni.cz/services/teitok/pdtc10/index.php?action=vallex&amp;frame=v-w6365f2", "spojit se (v-w6365f2)")</f>
        <v>spojit se (v-w6365f2)</v>
      </c>
    </row>
    <row r="45582" customFormat="false" ht="12.8" hidden="false" customHeight="false" outlineLevel="0" collapsed="false">
      <c r="B45582" s="0" t="s">
        <v>7</v>
      </c>
    </row>
    <row r="45583" customFormat="false" ht="12.8" hidden="false" customHeight="false" outlineLevel="0" collapsed="false">
      <c r="B45583" s="0" t="s">
        <v>548</v>
      </c>
    </row>
    <row r="45585" customFormat="false" ht="12.8" hidden="false" customHeight="false" outlineLevel="0" collapsed="false">
      <c r="A45585" s="0" t="s">
        <v>16236</v>
      </c>
      <c r="B45585" s="0" t="str">
        <f aca="false">HYPERLINK("https://lindat.mff.cuni.cz/services/teitok/pdtc10/index.php?action=vallex&amp;frame=v-w6369f2", "spojovat (v-w6369f2)")</f>
        <v>spojovat (v-w6369f2)</v>
      </c>
    </row>
    <row r="45586" customFormat="false" ht="12.8" hidden="false" customHeight="false" outlineLevel="0" collapsed="false">
      <c r="B45586" s="0" t="s">
        <v>7</v>
      </c>
      <c r="C45586" s="0" t="s">
        <v>5236</v>
      </c>
      <c r="D45586" s="0" t="s">
        <v>88</v>
      </c>
      <c r="E45586" s="0" t="s">
        <v>88</v>
      </c>
      <c r="F45586" s="0" t="s">
        <v>88</v>
      </c>
    </row>
    <row r="45587" customFormat="false" ht="12.8" hidden="false" customHeight="false" outlineLevel="0" collapsed="false">
      <c r="B45587" s="0" t="s">
        <v>14</v>
      </c>
      <c r="C45587" s="0" t="s">
        <v>135</v>
      </c>
      <c r="D45587" s="0" t="s">
        <v>24</v>
      </c>
      <c r="E45587" s="0" t="s">
        <v>24</v>
      </c>
      <c r="F45587" s="0" t="s">
        <v>24</v>
      </c>
    </row>
    <row r="45588" customFormat="false" ht="12.8" hidden="false" customHeight="false" outlineLevel="0" collapsed="false">
      <c r="B45588" s="0" t="s">
        <v>207</v>
      </c>
      <c r="C45588" s="0" t="s">
        <v>1165</v>
      </c>
      <c r="D45588" s="0" t="s">
        <v>4219</v>
      </c>
      <c r="E45588" s="0" t="s">
        <v>4219</v>
      </c>
      <c r="F45588" s="0" t="s">
        <v>4219</v>
      </c>
    </row>
    <row r="45589" customFormat="false" ht="12.8" hidden="false" customHeight="false" outlineLevel="0" collapsed="false">
      <c r="B45589" s="0" t="s">
        <v>2571</v>
      </c>
      <c r="D45589" s="0" t="s">
        <v>4220</v>
      </c>
      <c r="E45589" s="0" t="s">
        <v>4220</v>
      </c>
      <c r="F45589" s="0" t="s">
        <v>4220</v>
      </c>
    </row>
    <row r="45591" customFormat="false" ht="12.8" hidden="false" customHeight="false" outlineLevel="0" collapsed="false">
      <c r="A45591" s="0" t="s">
        <v>16237</v>
      </c>
      <c r="B45591" s="0" t="str">
        <f aca="false">HYPERLINK("https://lindat.mff.cuni.cz/services/teitok/pdtc10/index.php?action=vallex&amp;frame=v-w6369f1", "spojovat (v-w6369f1)")</f>
        <v>spojovat (v-w6369f1)</v>
      </c>
    </row>
    <row r="45592" customFormat="false" ht="12.8" hidden="false" customHeight="false" outlineLevel="0" collapsed="false">
      <c r="B45592" s="0" t="s">
        <v>7</v>
      </c>
      <c r="C45592" s="0" t="s">
        <v>1226</v>
      </c>
      <c r="D45592" s="0" t="s">
        <v>4116</v>
      </c>
      <c r="E45592" s="0" t="s">
        <v>4116</v>
      </c>
      <c r="F45592" s="0" t="s">
        <v>4116</v>
      </c>
    </row>
    <row r="45593" customFormat="false" ht="12.8" hidden="false" customHeight="false" outlineLevel="0" collapsed="false">
      <c r="B45593" s="0" t="s">
        <v>14</v>
      </c>
      <c r="C45593" s="0" t="s">
        <v>16238</v>
      </c>
      <c r="D45593" s="0" t="s">
        <v>11631</v>
      </c>
      <c r="E45593" s="0" t="s">
        <v>11631</v>
      </c>
      <c r="F45593" s="0" t="s">
        <v>11631</v>
      </c>
    </row>
    <row r="45594" customFormat="false" ht="12.8" hidden="false" customHeight="false" outlineLevel="0" collapsed="false">
      <c r="B45594" s="0" t="s">
        <v>207</v>
      </c>
      <c r="C45594" s="0" t="s">
        <v>16239</v>
      </c>
      <c r="D45594" s="0" t="s">
        <v>12075</v>
      </c>
      <c r="E45594" s="0" t="s">
        <v>12075</v>
      </c>
      <c r="F45594" s="0" t="s">
        <v>12075</v>
      </c>
    </row>
    <row r="45596" customFormat="false" ht="12.8" hidden="false" customHeight="false" outlineLevel="0" collapsed="false">
      <c r="A45596" s="0" t="s">
        <v>16240</v>
      </c>
      <c r="B45596" s="0" t="str">
        <f aca="false">HYPERLINK("https://lindat.mff.cuni.cz/services/teitok/pdtc10/index.php?action=vallex&amp;frame=v-w6369f3", "spojovat (v-w6369f3)")</f>
        <v>spojovat (v-w6369f3)</v>
      </c>
    </row>
    <row r="45597" customFormat="false" ht="12.8" hidden="false" customHeight="false" outlineLevel="0" collapsed="false">
      <c r="B45597" s="0" t="s">
        <v>7</v>
      </c>
      <c r="D45597" s="0" t="s">
        <v>2101</v>
      </c>
      <c r="E45597" s="0" t="s">
        <v>2101</v>
      </c>
      <c r="F45597" s="0" t="s">
        <v>2101</v>
      </c>
    </row>
    <row r="45598" customFormat="false" ht="12.8" hidden="false" customHeight="false" outlineLevel="0" collapsed="false">
      <c r="B45598" s="0" t="s">
        <v>14</v>
      </c>
      <c r="D45598" s="0" t="s">
        <v>2103</v>
      </c>
      <c r="E45598" s="0" t="s">
        <v>2103</v>
      </c>
      <c r="F45598" s="0" t="s">
        <v>2103</v>
      </c>
    </row>
    <row r="45599" customFormat="false" ht="12.8" hidden="false" customHeight="false" outlineLevel="0" collapsed="false">
      <c r="B45599" s="0" t="s">
        <v>3086</v>
      </c>
      <c r="D45599" s="0" t="s">
        <v>2106</v>
      </c>
      <c r="E45599" s="0" t="s">
        <v>2106</v>
      </c>
      <c r="F45599" s="0" t="s">
        <v>2106</v>
      </c>
    </row>
    <row r="45601" customFormat="false" ht="12.8" hidden="false" customHeight="false" outlineLevel="0" collapsed="false">
      <c r="A45601" s="0" t="s">
        <v>16241</v>
      </c>
      <c r="B45601" s="0" t="str">
        <f aca="false">HYPERLINK("https://lindat.mff.cuni.cz/services/teitok/pdtc10/index.php?action=vallex&amp;frame=v-w6369f4", "spojovat (v-w6369f4)")</f>
        <v>spojovat (v-w6369f4)</v>
      </c>
    </row>
    <row r="45602" customFormat="false" ht="12.8" hidden="false" customHeight="false" outlineLevel="0" collapsed="false">
      <c r="B45602" s="0" t="s">
        <v>7</v>
      </c>
    </row>
    <row r="45603" customFormat="false" ht="12.8" hidden="false" customHeight="false" outlineLevel="0" collapsed="false">
      <c r="B45603" s="0" t="s">
        <v>14</v>
      </c>
    </row>
    <row r="45605" customFormat="false" ht="12.8" hidden="false" customHeight="false" outlineLevel="0" collapsed="false">
      <c r="A45605" s="0" t="s">
        <v>16242</v>
      </c>
      <c r="B45605" s="0" t="str">
        <f aca="false">HYPERLINK("https://lindat.mff.cuni.cz/services/teitok/pdtc10/index.php?action=vallex&amp;frame=v-w6369f6_ZU", "spojovat (v-w6369f6_ZU)")</f>
        <v>spojovat (v-w6369f6_ZU)</v>
      </c>
    </row>
    <row r="45606" customFormat="false" ht="12.8" hidden="false" customHeight="false" outlineLevel="0" collapsed="false">
      <c r="B45606" s="0" t="s">
        <v>7</v>
      </c>
      <c r="D45606" s="0" t="s">
        <v>4116</v>
      </c>
      <c r="E45606" s="0" t="s">
        <v>4116</v>
      </c>
      <c r="F45606" s="0" t="s">
        <v>4116</v>
      </c>
    </row>
    <row r="45607" customFormat="false" ht="12.8" hidden="false" customHeight="false" outlineLevel="0" collapsed="false">
      <c r="B45607" s="0" t="s">
        <v>14</v>
      </c>
      <c r="C45607" s="0" t="s">
        <v>384</v>
      </c>
      <c r="D45607" s="0" t="s">
        <v>11631</v>
      </c>
      <c r="E45607" s="0" t="s">
        <v>11631</v>
      </c>
      <c r="F45607" s="0" t="s">
        <v>11631</v>
      </c>
    </row>
    <row r="45608" customFormat="false" ht="12.8" hidden="false" customHeight="false" outlineLevel="0" collapsed="false">
      <c r="B45608" s="0" t="s">
        <v>207</v>
      </c>
      <c r="C45608" s="0" t="s">
        <v>16243</v>
      </c>
      <c r="D45608" s="0" t="s">
        <v>12075</v>
      </c>
      <c r="E45608" s="0" t="s">
        <v>12075</v>
      </c>
      <c r="F45608" s="0" t="s">
        <v>12075</v>
      </c>
    </row>
    <row r="45610" customFormat="false" ht="12.8" hidden="false" customHeight="false" outlineLevel="0" collapsed="false">
      <c r="A45610" s="0" t="s">
        <v>16242</v>
      </c>
      <c r="B45610" s="0" t="str">
        <f aca="false">HYPERLINK("https://lindat.mff.cuni.cz/services/teitok/pdtc10/index.php?action=vallex&amp;frame=v-w6369f5_ZU", "spojovat (v-w6369f5_ZU) - substituted with v-w6369f6_ZU")</f>
        <v>spojovat (v-w6369f5_ZU) - substituted with v-w6369f6_ZU</v>
      </c>
    </row>
    <row r="45611" customFormat="false" ht="12.8" hidden="false" customHeight="false" outlineLevel="0" collapsed="false">
      <c r="B45611" s="0" t="s">
        <v>7</v>
      </c>
      <c r="C45611" s="0" t="s">
        <v>1287</v>
      </c>
    </row>
    <row r="45612" customFormat="false" ht="12.8" hidden="false" customHeight="false" outlineLevel="0" collapsed="false">
      <c r="B45612" s="0" t="s">
        <v>14</v>
      </c>
      <c r="C45612" s="0" t="s">
        <v>16244</v>
      </c>
    </row>
    <row r="45613" customFormat="false" ht="12.8" hidden="false" customHeight="false" outlineLevel="0" collapsed="false">
      <c r="B45613" s="0" t="s">
        <v>207</v>
      </c>
      <c r="C45613" s="0" t="s">
        <v>16245</v>
      </c>
    </row>
    <row r="45615" customFormat="false" ht="12.8" hidden="false" customHeight="false" outlineLevel="0" collapsed="false">
      <c r="A45615" s="0" t="s">
        <v>16242</v>
      </c>
      <c r="B45615" s="0" t="str">
        <f aca="false">HYPERLINK("https://lindat.mff.cuni.cz/services/teitok/pdtc10/index.php?action=vallex&amp;frame=v-w6369hsa_1017", "spojovat (v-w6369hsa_1017) - substituted with v-w6369f6_ZU")</f>
        <v>spojovat (v-w6369hsa_1017) - substituted with v-w6369f6_ZU</v>
      </c>
    </row>
    <row r="45616" customFormat="false" ht="12.8" hidden="false" customHeight="false" outlineLevel="0" collapsed="false">
      <c r="B45616" s="0" t="s">
        <v>7</v>
      </c>
    </row>
    <row r="45617" customFormat="false" ht="12.8" hidden="false" customHeight="false" outlineLevel="0" collapsed="false">
      <c r="B45617" s="0" t="s">
        <v>14</v>
      </c>
    </row>
    <row r="45618" customFormat="false" ht="12.8" hidden="false" customHeight="false" outlineLevel="0" collapsed="false">
      <c r="B45618" s="0" t="s">
        <v>207</v>
      </c>
    </row>
    <row r="45620" customFormat="false" ht="12.8" hidden="false" customHeight="false" outlineLevel="0" collapsed="false">
      <c r="A45620" s="0" t="s">
        <v>16246</v>
      </c>
      <c r="B45620" s="0" t="str">
        <f aca="false">HYPERLINK("https://lindat.mff.cuni.cz/services/teitok/pdtc10/index.php?action=vallex&amp;frame=v-w6370f4_ZU", "spojovat se (v-w6370f4_ZU)")</f>
        <v>spojovat se (v-w6370f4_ZU)</v>
      </c>
    </row>
    <row r="45621" customFormat="false" ht="12.8" hidden="false" customHeight="false" outlineLevel="0" collapsed="false">
      <c r="B45621" s="0" t="s">
        <v>603</v>
      </c>
    </row>
    <row r="45622" customFormat="false" ht="12.8" hidden="false" customHeight="false" outlineLevel="0" collapsed="false">
      <c r="B45622" s="0" t="s">
        <v>328</v>
      </c>
      <c r="C45622" s="0" t="s">
        <v>16247</v>
      </c>
    </row>
    <row r="45623" customFormat="false" ht="12.8" hidden="false" customHeight="false" outlineLevel="0" collapsed="false">
      <c r="B45623" s="0" t="s">
        <v>3086</v>
      </c>
      <c r="C45623" s="0" t="s">
        <v>16248</v>
      </c>
    </row>
    <row r="45625" customFormat="false" ht="12.8" hidden="false" customHeight="false" outlineLevel="0" collapsed="false">
      <c r="A45625" s="0" t="s">
        <v>16246</v>
      </c>
      <c r="B45625" s="0" t="str">
        <f aca="false">HYPERLINK("https://lindat.mff.cuni.cz/services/teitok/pdtc10/index.php?action=vallex&amp;frame=v-w6370f3_ZU", "spojovat se (v-w6370f3_ZU) - substituted with v-w6370f4_ZU")</f>
        <v>spojovat se (v-w6370f3_ZU) - substituted with v-w6370f4_ZU</v>
      </c>
    </row>
    <row r="45626" customFormat="false" ht="12.8" hidden="false" customHeight="false" outlineLevel="0" collapsed="false">
      <c r="B45626" s="0" t="s">
        <v>603</v>
      </c>
    </row>
    <row r="45627" customFormat="false" ht="12.8" hidden="false" customHeight="false" outlineLevel="0" collapsed="false">
      <c r="B45627" s="0" t="s">
        <v>328</v>
      </c>
    </row>
    <row r="45628" customFormat="false" ht="12.8" hidden="false" customHeight="false" outlineLevel="0" collapsed="false">
      <c r="B45628" s="0" t="s">
        <v>3086</v>
      </c>
    </row>
    <row r="45630" customFormat="false" ht="12.8" hidden="false" customHeight="false" outlineLevel="0" collapsed="false">
      <c r="A45630" s="0" t="s">
        <v>16249</v>
      </c>
      <c r="B45630" s="0" t="str">
        <f aca="false">HYPERLINK("https://lindat.mff.cuni.cz/services/teitok/pdtc10/index.php?action=vallex&amp;frame=v-w6370f1", "spojovat se (v-w6370f1)")</f>
        <v>spojovat se (v-w6370f1)</v>
      </c>
    </row>
    <row r="45631" customFormat="false" ht="12.8" hidden="false" customHeight="false" outlineLevel="0" collapsed="false">
      <c r="B45631" s="0" t="s">
        <v>7</v>
      </c>
      <c r="C45631" s="0" t="s">
        <v>12273</v>
      </c>
      <c r="D45631" s="0" t="s">
        <v>2780</v>
      </c>
      <c r="E45631" s="0" t="s">
        <v>2780</v>
      </c>
      <c r="F45631" s="0" t="s">
        <v>2780</v>
      </c>
    </row>
    <row r="45632" customFormat="false" ht="12.8" hidden="false" customHeight="false" outlineLevel="0" collapsed="false">
      <c r="B45632" s="0" t="s">
        <v>548</v>
      </c>
      <c r="C45632" s="0" t="s">
        <v>16250</v>
      </c>
      <c r="D45632" s="0" t="s">
        <v>2781</v>
      </c>
      <c r="E45632" s="0" t="s">
        <v>2781</v>
      </c>
      <c r="F45632" s="0" t="s">
        <v>2781</v>
      </c>
    </row>
    <row r="45633" customFormat="false" ht="12.8" hidden="false" customHeight="false" outlineLevel="0" collapsed="false">
      <c r="B45633" s="0" t="s">
        <v>2571</v>
      </c>
      <c r="C45633" s="0" t="s">
        <v>4724</v>
      </c>
      <c r="D45633" s="0" t="s">
        <v>10273</v>
      </c>
      <c r="E45633" s="0" t="s">
        <v>10273</v>
      </c>
      <c r="F45633" s="0" t="s">
        <v>10273</v>
      </c>
    </row>
    <row r="45635" customFormat="false" ht="12.8" hidden="false" customHeight="false" outlineLevel="0" collapsed="false">
      <c r="A45635" s="0" t="s">
        <v>16251</v>
      </c>
      <c r="B45635" s="0" t="str">
        <f aca="false">HYPERLINK("https://lindat.mff.cuni.cz/services/teitok/pdtc10/index.php?action=vallex&amp;frame=v-w6370f2", "spojovat se (v-w6370f2)")</f>
        <v>spojovat se (v-w6370f2)</v>
      </c>
    </row>
    <row r="45636" customFormat="false" ht="12.8" hidden="false" customHeight="false" outlineLevel="0" collapsed="false">
      <c r="B45636" s="0" t="s">
        <v>7</v>
      </c>
    </row>
    <row r="45637" customFormat="false" ht="12.8" hidden="false" customHeight="false" outlineLevel="0" collapsed="false">
      <c r="B45637" s="0" t="s">
        <v>548</v>
      </c>
    </row>
    <row r="45639" customFormat="false" ht="12.8" hidden="false" customHeight="false" outlineLevel="0" collapsed="false">
      <c r="A45639" s="0" t="s">
        <v>16252</v>
      </c>
      <c r="B45639" s="0" t="str">
        <f aca="false">HYPERLINK("https://lindat.mff.cuni.cz/services/teitok/pdtc10/index.php?action=vallex&amp;frame=v-w6374f1", "spokojit se (v-w6374f1)")</f>
        <v>spokojit se (v-w6374f1)</v>
      </c>
    </row>
    <row r="45640" customFormat="false" ht="12.8" hidden="false" customHeight="false" outlineLevel="0" collapsed="false">
      <c r="B45640" s="0" t="s">
        <v>7</v>
      </c>
      <c r="C45640" s="0" t="s">
        <v>46</v>
      </c>
      <c r="D45640" s="0" t="s">
        <v>184</v>
      </c>
      <c r="E45640" s="0" t="s">
        <v>184</v>
      </c>
      <c r="F45640" s="0" t="s">
        <v>184</v>
      </c>
    </row>
    <row r="45641" customFormat="false" ht="12.8" hidden="false" customHeight="false" outlineLevel="0" collapsed="false">
      <c r="B45641" s="0" t="s">
        <v>548</v>
      </c>
      <c r="C45641" s="0" t="s">
        <v>16253</v>
      </c>
      <c r="D45641" s="0" t="s">
        <v>6832</v>
      </c>
      <c r="E45641" s="0" t="s">
        <v>6832</v>
      </c>
      <c r="F45641" s="0" t="s">
        <v>6832</v>
      </c>
    </row>
    <row r="45643" customFormat="false" ht="12.8" hidden="false" customHeight="false" outlineLevel="0" collapsed="false">
      <c r="A45643" s="0" t="s">
        <v>16254</v>
      </c>
      <c r="B45643" s="0" t="str">
        <f aca="false">HYPERLINK("https://lindat.mff.cuni.cz/services/teitok/pdtc10/index.php?action=vallex&amp;frame=v-w6375f1", "spokojovat se (v-w6375f1)")</f>
        <v>spokojovat se (v-w6375f1)</v>
      </c>
    </row>
    <row r="45644" customFormat="false" ht="12.8" hidden="false" customHeight="false" outlineLevel="0" collapsed="false">
      <c r="B45644" s="0" t="s">
        <v>7</v>
      </c>
      <c r="D45644" s="0" t="s">
        <v>184</v>
      </c>
      <c r="E45644" s="0" t="s">
        <v>184</v>
      </c>
      <c r="F45644" s="0" t="s">
        <v>184</v>
      </c>
    </row>
    <row r="45645" customFormat="false" ht="12.8" hidden="false" customHeight="false" outlineLevel="0" collapsed="false">
      <c r="B45645" s="0" t="s">
        <v>548</v>
      </c>
      <c r="D45645" s="0" t="s">
        <v>6832</v>
      </c>
      <c r="E45645" s="0" t="s">
        <v>6832</v>
      </c>
      <c r="F45645" s="0" t="s">
        <v>6832</v>
      </c>
    </row>
    <row r="45647" customFormat="false" ht="12.8" hidden="false" customHeight="false" outlineLevel="0" collapsed="false">
      <c r="A45647" s="0" t="s">
        <v>16255</v>
      </c>
      <c r="B45647" s="0" t="str">
        <f aca="false">HYPERLINK("https://lindat.mff.cuni.cz/services/teitok/pdtc10/index.php?action=vallex&amp;frame=v-w6384f2_ZU", "spolehnout se (v-w6384f2_ZU)")</f>
        <v>spolehnout se (v-w6384f2_ZU)</v>
      </c>
    </row>
    <row r="45648" customFormat="false" ht="12.8" hidden="false" customHeight="false" outlineLevel="0" collapsed="false">
      <c r="B45648" s="0" t="s">
        <v>7</v>
      </c>
      <c r="D45648" s="0" t="s">
        <v>2431</v>
      </c>
      <c r="E45648" s="0" t="s">
        <v>2431</v>
      </c>
      <c r="F45648" s="0" t="s">
        <v>2431</v>
      </c>
    </row>
    <row r="45649" customFormat="false" ht="12.8" hidden="false" customHeight="false" outlineLevel="0" collapsed="false">
      <c r="B45649" s="0" t="s">
        <v>8188</v>
      </c>
      <c r="D45649" s="0" t="s">
        <v>9050</v>
      </c>
      <c r="E45649" s="0" t="s">
        <v>9050</v>
      </c>
      <c r="F45649" s="0" t="s">
        <v>9050</v>
      </c>
    </row>
    <row r="45651" customFormat="false" ht="12.8" hidden="false" customHeight="false" outlineLevel="0" collapsed="false">
      <c r="A45651" s="0" t="s">
        <v>16255</v>
      </c>
      <c r="B45651" s="0" t="str">
        <f aca="false">HYPERLINK("https://lindat.mff.cuni.cz/services/teitok/pdtc10/index.php?action=vallex&amp;frame=v-w6384f1", "spolehnout se (v-w6384f1) - substituted with v-w6384f2_ZU")</f>
        <v>spolehnout se (v-w6384f1) - substituted with v-w6384f2_ZU</v>
      </c>
    </row>
    <row r="45652" customFormat="false" ht="12.8" hidden="false" customHeight="false" outlineLevel="0" collapsed="false">
      <c r="B45652" s="0" t="s">
        <v>7</v>
      </c>
      <c r="C45652" s="0" t="s">
        <v>391</v>
      </c>
    </row>
    <row r="45653" customFormat="false" ht="12.8" hidden="false" customHeight="false" outlineLevel="0" collapsed="false">
      <c r="B45653" s="0" t="s">
        <v>8188</v>
      </c>
      <c r="C45653" s="0" t="s">
        <v>16256</v>
      </c>
    </row>
    <row r="45655" customFormat="false" ht="12.8" hidden="false" customHeight="false" outlineLevel="0" collapsed="false">
      <c r="A45655" s="0" t="s">
        <v>16257</v>
      </c>
      <c r="B45655" s="0" t="str">
        <f aca="false">HYPERLINK("https://lindat.mff.cuni.cz/services/teitok/pdtc10/index.php?action=vallex&amp;frame=v-w6384hsa_584", "spolehnout se (v-w6384hsa_584)")</f>
        <v>spolehnout se (v-w6384hsa_584)</v>
      </c>
    </row>
    <row r="45656" customFormat="false" ht="12.8" hidden="false" customHeight="false" outlineLevel="0" collapsed="false">
      <c r="B45656" s="0" t="s">
        <v>7</v>
      </c>
    </row>
    <row r="45657" customFormat="false" ht="12.8" hidden="false" customHeight="false" outlineLevel="0" collapsed="false">
      <c r="B45657" s="0" t="s">
        <v>122</v>
      </c>
    </row>
    <row r="45658" customFormat="false" ht="12.8" hidden="false" customHeight="false" outlineLevel="0" collapsed="false">
      <c r="B45658" s="0" t="s">
        <v>2933</v>
      </c>
    </row>
    <row r="45660" customFormat="false" ht="12.8" hidden="false" customHeight="false" outlineLevel="0" collapsed="false">
      <c r="A45660" s="0" t="s">
        <v>16258</v>
      </c>
      <c r="B45660" s="0" t="str">
        <f aca="false">HYPERLINK("https://lindat.mff.cuni.cz/services/teitok/pdtc10/index.php?action=vallex&amp;frame=v-w6385f1", "spolknout (v-w6385f1)")</f>
        <v>spolknout (v-w6385f1)</v>
      </c>
    </row>
    <row r="45661" customFormat="false" ht="12.8" hidden="false" customHeight="false" outlineLevel="0" collapsed="false">
      <c r="B45661" s="0" t="s">
        <v>7</v>
      </c>
      <c r="C45661" s="0" t="s">
        <v>569</v>
      </c>
    </row>
    <row r="45662" customFormat="false" ht="12.8" hidden="false" customHeight="false" outlineLevel="0" collapsed="false">
      <c r="B45662" s="0" t="s">
        <v>14</v>
      </c>
      <c r="C45662" s="0" t="s">
        <v>78</v>
      </c>
    </row>
    <row r="45664" customFormat="false" ht="12.8" hidden="false" customHeight="false" outlineLevel="0" collapsed="false">
      <c r="A45664" s="0" t="s">
        <v>16259</v>
      </c>
      <c r="B45664" s="0" t="str">
        <f aca="false">HYPERLINK("https://lindat.mff.cuni.cz/services/teitok/pdtc10/index.php?action=vallex&amp;frame=v-w6385f2_ZU", "spolknout (v-w6385f2_ZU)")</f>
        <v>spolknout (v-w6385f2_ZU)</v>
      </c>
    </row>
    <row r="45665" customFormat="false" ht="12.8" hidden="false" customHeight="false" outlineLevel="0" collapsed="false">
      <c r="B45665" s="0" t="s">
        <v>7</v>
      </c>
    </row>
    <row r="45666" customFormat="false" ht="12.8" hidden="false" customHeight="false" outlineLevel="0" collapsed="false">
      <c r="B45666" s="0" t="s">
        <v>14</v>
      </c>
    </row>
    <row r="45668" customFormat="false" ht="12.8" hidden="false" customHeight="false" outlineLevel="0" collapsed="false">
      <c r="A45668" s="0" t="s">
        <v>16260</v>
      </c>
      <c r="B45668" s="0" t="str">
        <f aca="false">HYPERLINK("https://lindat.mff.cuni.cz/services/teitok/pdtc10/index.php?action=vallex&amp;frame=v-w6385hsa_1881", "spolknout (v-w6385hsa_1881)")</f>
        <v>spolknout (v-w6385hsa_1881)</v>
      </c>
    </row>
    <row r="45669" customFormat="false" ht="12.8" hidden="false" customHeight="false" outlineLevel="0" collapsed="false">
      <c r="B45669" s="0" t="s">
        <v>7</v>
      </c>
    </row>
    <row r="45670" customFormat="false" ht="12.8" hidden="false" customHeight="false" outlineLevel="0" collapsed="false">
      <c r="B45670" s="0" t="s">
        <v>14</v>
      </c>
    </row>
    <row r="45672" customFormat="false" ht="12.8" hidden="false" customHeight="false" outlineLevel="0" collapsed="false">
      <c r="A45672" s="0" t="s">
        <v>16261</v>
      </c>
      <c r="B45672" s="0" t="str">
        <f aca="false">HYPERLINK("https://lindat.mff.cuni.cz/services/teitok/pdtc10/index.php?action=vallex&amp;frame=v-w6385hsa_1882", "spolknout (v-w6385hsa_1882)")</f>
        <v>spolknout (v-w6385hsa_1882)</v>
      </c>
    </row>
    <row r="45673" customFormat="false" ht="12.8" hidden="false" customHeight="false" outlineLevel="0" collapsed="false">
      <c r="B45673" s="0" t="s">
        <v>7</v>
      </c>
    </row>
    <row r="45674" customFormat="false" ht="12.8" hidden="false" customHeight="false" outlineLevel="0" collapsed="false">
      <c r="B45674" s="0" t="s">
        <v>232</v>
      </c>
    </row>
    <row r="45676" customFormat="false" ht="12.8" hidden="false" customHeight="false" outlineLevel="0" collapsed="false">
      <c r="A45676" s="0" t="s">
        <v>16262</v>
      </c>
      <c r="B45676" s="0" t="str">
        <f aca="false">HYPERLINK("https://lindat.mff.cuni.cz/services/teitok/pdtc10/index.php?action=vallex&amp;frame=v-w6387f1", "spolufinancovat (v-w6387f1)")</f>
        <v>spolufinancovat (v-w6387f1)</v>
      </c>
    </row>
    <row r="45677" customFormat="false" ht="12.8" hidden="false" customHeight="false" outlineLevel="0" collapsed="false">
      <c r="B45677" s="0" t="s">
        <v>7</v>
      </c>
      <c r="F45677" s="0" t="s">
        <v>15885</v>
      </c>
    </row>
    <row r="45678" customFormat="false" ht="12.8" hidden="false" customHeight="false" outlineLevel="0" collapsed="false">
      <c r="B45678" s="0" t="s">
        <v>14</v>
      </c>
      <c r="F45678" s="0" t="s">
        <v>2182</v>
      </c>
    </row>
    <row r="45680" customFormat="false" ht="12.8" hidden="false" customHeight="false" outlineLevel="0" collapsed="false">
      <c r="A45680" s="0" t="s">
        <v>16263</v>
      </c>
      <c r="B45680" s="0" t="str">
        <f aca="false">HYPERLINK("https://lindat.mff.cuni.cz/services/teitok/pdtc10/index.php?action=vallex&amp;frame=v-w6392f1", "spolupodílet se (v-w6392f1)")</f>
        <v>spolupodílet se (v-w6392f1)</v>
      </c>
    </row>
    <row r="45681" customFormat="false" ht="12.8" hidden="false" customHeight="false" outlineLevel="0" collapsed="false">
      <c r="B45681" s="0" t="s">
        <v>7</v>
      </c>
    </row>
    <row r="45682" customFormat="false" ht="12.8" hidden="false" customHeight="false" outlineLevel="0" collapsed="false">
      <c r="B45682" s="0" t="s">
        <v>220</v>
      </c>
    </row>
    <row r="45684" customFormat="false" ht="12.8" hidden="false" customHeight="false" outlineLevel="0" collapsed="false">
      <c r="A45684" s="0" t="s">
        <v>16264</v>
      </c>
      <c r="B45684" s="0" t="str">
        <f aca="false">HYPERLINK("https://lindat.mff.cuni.cz/services/teitok/pdtc10/index.php?action=vallex&amp;frame=v-w6394f1", "spolupracovat (v-w6394f1)")</f>
        <v>spolupracovat (v-w6394f1)</v>
      </c>
    </row>
    <row r="45685" customFormat="false" ht="12.8" hidden="false" customHeight="false" outlineLevel="0" collapsed="false">
      <c r="B45685" s="0" t="s">
        <v>7</v>
      </c>
      <c r="C45685" s="0" t="s">
        <v>16265</v>
      </c>
      <c r="D45685" s="0" t="s">
        <v>4702</v>
      </c>
      <c r="E45685" s="0" t="s">
        <v>4702</v>
      </c>
      <c r="F45685" s="0" t="s">
        <v>4702</v>
      </c>
    </row>
    <row r="45686" customFormat="false" ht="12.8" hidden="false" customHeight="false" outlineLevel="0" collapsed="false">
      <c r="B45686" s="0" t="s">
        <v>4703</v>
      </c>
      <c r="C45686" s="0" t="s">
        <v>16266</v>
      </c>
      <c r="D45686" s="0" t="s">
        <v>4704</v>
      </c>
      <c r="E45686" s="0" t="s">
        <v>4704</v>
      </c>
      <c r="F45686" s="0" t="s">
        <v>4704</v>
      </c>
    </row>
    <row r="45687" customFormat="false" ht="12.8" hidden="false" customHeight="false" outlineLevel="0" collapsed="false">
      <c r="B45687" s="0" t="s">
        <v>4705</v>
      </c>
      <c r="C45687" s="0" t="s">
        <v>4707</v>
      </c>
      <c r="D45687" s="0" t="s">
        <v>4707</v>
      </c>
      <c r="E45687" s="0" t="s">
        <v>4707</v>
      </c>
      <c r="F45687" s="0" t="s">
        <v>4707</v>
      </c>
    </row>
    <row r="45689" customFormat="false" ht="12.8" hidden="false" customHeight="false" outlineLevel="0" collapsed="false">
      <c r="A45689" s="0" t="s">
        <v>16267</v>
      </c>
      <c r="B45689" s="0" t="str">
        <f aca="false">HYPERLINK("https://lindat.mff.cuni.cz/services/teitok/pdtc10/index.php?action=vallex&amp;frame=v-w6397f1", "spolupůsobit (v-w6397f1)")</f>
        <v>spolupůsobit (v-w6397f1)</v>
      </c>
    </row>
    <row r="45690" customFormat="false" ht="12.8" hidden="false" customHeight="false" outlineLevel="0" collapsed="false">
      <c r="B45690" s="0" t="s">
        <v>7</v>
      </c>
    </row>
    <row r="45691" customFormat="false" ht="12.8" hidden="false" customHeight="false" outlineLevel="0" collapsed="false">
      <c r="B45691" s="0" t="s">
        <v>11</v>
      </c>
    </row>
    <row r="45693" customFormat="false" ht="12.8" hidden="false" customHeight="false" outlineLevel="0" collapsed="false">
      <c r="A45693" s="0" t="s">
        <v>16268</v>
      </c>
      <c r="B45693" s="0" t="str">
        <f aca="false">HYPERLINK("https://lindat.mff.cuni.cz/services/teitok/pdtc10/index.php?action=vallex&amp;frame=v-w10495f2", "spolusponzorovat (v-w10495f2)")</f>
        <v>spolusponzorovat (v-w10495f2)</v>
      </c>
    </row>
    <row r="45694" customFormat="false" ht="12.8" hidden="false" customHeight="false" outlineLevel="0" collapsed="false">
      <c r="B45694" s="0" t="s">
        <v>7</v>
      </c>
    </row>
    <row r="45695" customFormat="false" ht="12.8" hidden="false" customHeight="false" outlineLevel="0" collapsed="false">
      <c r="B45695" s="0" t="s">
        <v>14</v>
      </c>
    </row>
    <row r="45697" customFormat="false" ht="12.8" hidden="false" customHeight="false" outlineLevel="0" collapsed="false">
      <c r="A45697" s="0" t="s">
        <v>16269</v>
      </c>
      <c r="B45697" s="0" t="str">
        <f aca="false">HYPERLINK("https://lindat.mff.cuni.cz/services/teitok/pdtc10/index.php?action=vallex&amp;frame=v-whsa_1218hsa_1219", "spoluspravovat (v-whsa_1218hsa_1219)")</f>
        <v>spoluspravovat (v-whsa_1218hsa_1219)</v>
      </c>
    </row>
    <row r="45698" customFormat="false" ht="12.8" hidden="false" customHeight="false" outlineLevel="0" collapsed="false">
      <c r="B45698" s="0" t="s">
        <v>7</v>
      </c>
      <c r="D45698" s="0" t="s">
        <v>15906</v>
      </c>
      <c r="E45698" s="0" t="s">
        <v>15906</v>
      </c>
      <c r="F45698" s="0" t="s">
        <v>15906</v>
      </c>
    </row>
    <row r="45699" customFormat="false" ht="12.8" hidden="false" customHeight="false" outlineLevel="0" collapsed="false">
      <c r="B45699" s="0" t="s">
        <v>14</v>
      </c>
      <c r="D45699" s="0" t="s">
        <v>16270</v>
      </c>
      <c r="E45699" s="0" t="s">
        <v>16270</v>
      </c>
      <c r="F45699" s="0" t="s">
        <v>16270</v>
      </c>
    </row>
    <row r="45700" customFormat="false" ht="12.8" hidden="false" customHeight="false" outlineLevel="0" collapsed="false">
      <c r="B45700" s="0" t="s">
        <v>207</v>
      </c>
      <c r="D45700" s="0" t="s">
        <v>16271</v>
      </c>
      <c r="E45700" s="0" t="s">
        <v>16271</v>
      </c>
      <c r="F45700" s="0" t="s">
        <v>16271</v>
      </c>
    </row>
    <row r="45702" customFormat="false" ht="12.8" hidden="false" customHeight="false" outlineLevel="0" collapsed="false">
      <c r="A45702" s="0" t="s">
        <v>16272</v>
      </c>
      <c r="B45702" s="0" t="str">
        <f aca="false">HYPERLINK("https://lindat.mff.cuni.cz/services/teitok/pdtc10/index.php?action=vallex&amp;frame=v-w6403f1", "spoluvytvářet (v-w6403f1)")</f>
        <v>spoluvytvářet (v-w6403f1)</v>
      </c>
    </row>
    <row r="45703" customFormat="false" ht="12.8" hidden="false" customHeight="false" outlineLevel="0" collapsed="false">
      <c r="B45703" s="0" t="s">
        <v>7</v>
      </c>
    </row>
    <row r="45704" customFormat="false" ht="12.8" hidden="false" customHeight="false" outlineLevel="0" collapsed="false">
      <c r="B45704" s="0" t="s">
        <v>14</v>
      </c>
    </row>
    <row r="45705" customFormat="false" ht="12.8" hidden="false" customHeight="false" outlineLevel="0" collapsed="false">
      <c r="B45705" s="0" t="s">
        <v>35</v>
      </c>
    </row>
    <row r="45707" customFormat="false" ht="12.8" hidden="false" customHeight="false" outlineLevel="0" collapsed="false">
      <c r="A45707" s="0" t="s">
        <v>16273</v>
      </c>
      <c r="B45707" s="0" t="str">
        <f aca="false">HYPERLINK("https://lindat.mff.cuni.cz/services/teitok/pdtc10/index.php?action=vallex&amp;frame=v-w6404f1", "spoluzahájit (v-w6404f1)")</f>
        <v>spoluzahájit (v-w6404f1)</v>
      </c>
    </row>
    <row r="45708" customFormat="false" ht="12.8" hidden="false" customHeight="false" outlineLevel="0" collapsed="false">
      <c r="B45708" s="0" t="s">
        <v>7</v>
      </c>
    </row>
    <row r="45709" customFormat="false" ht="12.8" hidden="false" customHeight="false" outlineLevel="0" collapsed="false">
      <c r="B45709" s="0" t="s">
        <v>14</v>
      </c>
    </row>
    <row r="45711" customFormat="false" ht="12.8" hidden="false" customHeight="false" outlineLevel="0" collapsed="false">
      <c r="A45711" s="0" t="s">
        <v>16274</v>
      </c>
      <c r="B45711" s="0" t="str">
        <f aca="false">HYPERLINK("https://lindat.mff.cuni.cz/services/teitok/pdtc10/index.php?action=vallex&amp;frame=v-w10126f2", "spoluzajišťovat (v-w10126f2)")</f>
        <v>spoluzajišťovat (v-w10126f2)</v>
      </c>
    </row>
    <row r="45712" customFormat="false" ht="12.8" hidden="false" customHeight="false" outlineLevel="0" collapsed="false">
      <c r="B45712" s="0" t="s">
        <v>7</v>
      </c>
      <c r="D45712" s="0" t="s">
        <v>12386</v>
      </c>
      <c r="E45712" s="0" t="s">
        <v>12386</v>
      </c>
      <c r="F45712" s="0" t="s">
        <v>12386</v>
      </c>
    </row>
    <row r="45713" customFormat="false" ht="12.8" hidden="false" customHeight="false" outlineLevel="0" collapsed="false">
      <c r="B45713" s="0" t="s">
        <v>6839</v>
      </c>
      <c r="D45713" s="0" t="s">
        <v>16275</v>
      </c>
      <c r="E45713" s="0" t="s">
        <v>16275</v>
      </c>
      <c r="F45713" s="0" t="s">
        <v>16275</v>
      </c>
    </row>
    <row r="45714" customFormat="false" ht="12.8" hidden="false" customHeight="false" outlineLevel="0" collapsed="false">
      <c r="B45714" s="0" t="s">
        <v>1953</v>
      </c>
      <c r="D45714" s="0" t="s">
        <v>212</v>
      </c>
      <c r="E45714" s="0" t="s">
        <v>212</v>
      </c>
      <c r="F45714" s="0" t="s">
        <v>212</v>
      </c>
    </row>
    <row r="45716" customFormat="false" ht="12.8" hidden="false" customHeight="false" outlineLevel="0" collapsed="false">
      <c r="A45716" s="0" t="s">
        <v>16276</v>
      </c>
      <c r="B45716" s="0" t="str">
        <f aca="false">HYPERLINK("https://lindat.mff.cuni.cz/services/teitok/pdtc10/index.php?action=vallex&amp;frame=v-w10894f2", "spoluzaložit (v-w10894f2)")</f>
        <v>spoluzaložit (v-w10894f2)</v>
      </c>
    </row>
    <row r="45717" customFormat="false" ht="12.8" hidden="false" customHeight="false" outlineLevel="0" collapsed="false">
      <c r="B45717" s="0" t="s">
        <v>7</v>
      </c>
      <c r="D45717" s="0" t="s">
        <v>14491</v>
      </c>
      <c r="E45717" s="0" t="s">
        <v>14491</v>
      </c>
      <c r="F45717" s="0" t="s">
        <v>14491</v>
      </c>
    </row>
    <row r="45718" customFormat="false" ht="12.8" hidden="false" customHeight="false" outlineLevel="0" collapsed="false">
      <c r="B45718" s="0" t="s">
        <v>14</v>
      </c>
      <c r="D45718" s="0" t="s">
        <v>14493</v>
      </c>
      <c r="E45718" s="0" t="s">
        <v>14493</v>
      </c>
      <c r="F45718" s="0" t="s">
        <v>14493</v>
      </c>
    </row>
    <row r="45719" customFormat="false" ht="12.8" hidden="false" customHeight="false" outlineLevel="0" collapsed="false">
      <c r="B45719" s="0" t="s">
        <v>16277</v>
      </c>
      <c r="D45719" s="0" t="s">
        <v>8048</v>
      </c>
      <c r="E45719" s="0" t="s">
        <v>8048</v>
      </c>
      <c r="F45719" s="0" t="s">
        <v>8048</v>
      </c>
    </row>
    <row r="45721" customFormat="false" ht="12.8" hidden="false" customHeight="false" outlineLevel="0" collapsed="false">
      <c r="A45721" s="0" t="s">
        <v>16278</v>
      </c>
      <c r="B45721" s="0" t="str">
        <f aca="false">HYPERLINK("https://lindat.mff.cuni.cz/services/teitok/pdtc10/index.php?action=vallex&amp;frame=v-w6407f1", "spolužít (v-w6407f1)")</f>
        <v>spolužít (v-w6407f1)</v>
      </c>
    </row>
    <row r="45722" customFormat="false" ht="12.8" hidden="false" customHeight="false" outlineLevel="0" collapsed="false">
      <c r="B45722" s="0" t="s">
        <v>7</v>
      </c>
    </row>
    <row r="45723" customFormat="false" ht="12.8" hidden="false" customHeight="false" outlineLevel="0" collapsed="false">
      <c r="B45723" s="0" t="s">
        <v>548</v>
      </c>
    </row>
    <row r="45725" customFormat="false" ht="12.8" hidden="false" customHeight="false" outlineLevel="0" collapsed="false">
      <c r="A45725" s="0" t="s">
        <v>16279</v>
      </c>
      <c r="B45725" s="0" t="str">
        <f aca="false">HYPERLINK("https://lindat.mff.cuni.cz/services/teitok/pdtc10/index.php?action=vallex&amp;frame=v-w6408f1", "spolykat (v-w6408f1)")</f>
        <v>spolykat (v-w6408f1)</v>
      </c>
    </row>
    <row r="45726" customFormat="false" ht="12.8" hidden="false" customHeight="false" outlineLevel="0" collapsed="false">
      <c r="B45726" s="0" t="s">
        <v>7</v>
      </c>
    </row>
    <row r="45727" customFormat="false" ht="12.8" hidden="false" customHeight="false" outlineLevel="0" collapsed="false">
      <c r="B45727" s="0" t="s">
        <v>14</v>
      </c>
    </row>
    <row r="45729" customFormat="false" ht="12.8" hidden="false" customHeight="false" outlineLevel="0" collapsed="false">
      <c r="A45729" s="0" t="s">
        <v>16280</v>
      </c>
      <c r="B45729" s="0" t="str">
        <f aca="false">HYPERLINK("https://lindat.mff.cuni.cz/services/teitok/pdtc10/index.php?action=vallex&amp;frame=v-w6382f2_ZU", "spoléhat (v-w6382f2_ZU)")</f>
        <v>spoléhat (v-w6382f2_ZU)</v>
      </c>
    </row>
    <row r="45730" customFormat="false" ht="12.8" hidden="false" customHeight="false" outlineLevel="0" collapsed="false">
      <c r="B45730" s="0" t="s">
        <v>7</v>
      </c>
      <c r="C45730" s="0" t="s">
        <v>8111</v>
      </c>
      <c r="D45730" s="0" t="s">
        <v>2431</v>
      </c>
      <c r="E45730" s="0" t="s">
        <v>2431</v>
      </c>
      <c r="F45730" s="0" t="s">
        <v>2431</v>
      </c>
    </row>
    <row r="45731" customFormat="false" ht="12.8" hidden="false" customHeight="false" outlineLevel="0" collapsed="false">
      <c r="B45731" s="0" t="s">
        <v>8188</v>
      </c>
      <c r="C45731" s="0" t="s">
        <v>16281</v>
      </c>
      <c r="D45731" s="0" t="s">
        <v>9050</v>
      </c>
      <c r="E45731" s="0" t="s">
        <v>9050</v>
      </c>
      <c r="F45731" s="0" t="s">
        <v>9050</v>
      </c>
    </row>
    <row r="45733" customFormat="false" ht="12.8" hidden="false" customHeight="false" outlineLevel="0" collapsed="false">
      <c r="A45733" s="0" t="s">
        <v>16280</v>
      </c>
      <c r="B45733" s="0" t="str">
        <f aca="false">HYPERLINK("https://lindat.mff.cuni.cz/services/teitok/pdtc10/index.php?action=vallex&amp;frame=v-w6382f1", "spoléhat (v-w6382f1) - substituted with v-w6382f2_ZU")</f>
        <v>spoléhat (v-w6382f1) - substituted with v-w6382f2_ZU</v>
      </c>
    </row>
    <row r="45734" customFormat="false" ht="12.8" hidden="false" customHeight="false" outlineLevel="0" collapsed="false">
      <c r="B45734" s="0" t="s">
        <v>7</v>
      </c>
      <c r="C45734" s="0" t="s">
        <v>8111</v>
      </c>
    </row>
    <row r="45735" customFormat="false" ht="12.8" hidden="false" customHeight="false" outlineLevel="0" collapsed="false">
      <c r="B45735" s="0" t="s">
        <v>8188</v>
      </c>
      <c r="C45735" s="0" t="s">
        <v>16281</v>
      </c>
    </row>
    <row r="45737" customFormat="false" ht="12.8" hidden="false" customHeight="false" outlineLevel="0" collapsed="false">
      <c r="A45737" s="0" t="s">
        <v>16282</v>
      </c>
      <c r="B45737" s="0" t="str">
        <f aca="false">HYPERLINK("https://lindat.mff.cuni.cz/services/teitok/pdtc10/index.php?action=vallex&amp;frame=v-w6383f2_ZU", "spoléhat se (v-w6383f2_ZU)")</f>
        <v>spoléhat se (v-w6383f2_ZU)</v>
      </c>
    </row>
    <row r="45738" customFormat="false" ht="12.8" hidden="false" customHeight="false" outlineLevel="0" collapsed="false">
      <c r="B45738" s="0" t="s">
        <v>7</v>
      </c>
      <c r="D45738" s="0" t="s">
        <v>2431</v>
      </c>
      <c r="E45738" s="0" t="s">
        <v>2431</v>
      </c>
      <c r="F45738" s="0" t="s">
        <v>2431</v>
      </c>
    </row>
    <row r="45739" customFormat="false" ht="12.8" hidden="false" customHeight="false" outlineLevel="0" collapsed="false">
      <c r="B45739" s="0" t="s">
        <v>8188</v>
      </c>
      <c r="D45739" s="0" t="s">
        <v>9050</v>
      </c>
      <c r="E45739" s="0" t="s">
        <v>9050</v>
      </c>
      <c r="F45739" s="0" t="s">
        <v>9050</v>
      </c>
    </row>
    <row r="45741" customFormat="false" ht="12.8" hidden="false" customHeight="false" outlineLevel="0" collapsed="false">
      <c r="A45741" s="0" t="s">
        <v>16282</v>
      </c>
      <c r="B45741" s="0" t="str">
        <f aca="false">HYPERLINK("https://lindat.mff.cuni.cz/services/teitok/pdtc10/index.php?action=vallex&amp;frame=v-w6383f1", "spoléhat se (v-w6383f1) - substituted with v-w6383f2_ZU")</f>
        <v>spoléhat se (v-w6383f1) - substituted with v-w6383f2_ZU</v>
      </c>
    </row>
    <row r="45742" customFormat="false" ht="12.8" hidden="false" customHeight="false" outlineLevel="0" collapsed="false">
      <c r="B45742" s="0" t="s">
        <v>7</v>
      </c>
      <c r="C45742" s="0" t="s">
        <v>16283</v>
      </c>
    </row>
    <row r="45743" customFormat="false" ht="12.8" hidden="false" customHeight="false" outlineLevel="0" collapsed="false">
      <c r="B45743" s="0" t="s">
        <v>8188</v>
      </c>
      <c r="C45743" s="0" t="s">
        <v>16284</v>
      </c>
    </row>
    <row r="45745" customFormat="false" ht="12.8" hidden="false" customHeight="false" outlineLevel="0" collapsed="false">
      <c r="A45745" s="0" t="s">
        <v>16285</v>
      </c>
      <c r="B45745" s="0" t="str">
        <f aca="false">HYPERLINK("https://lindat.mff.cuni.cz/services/teitok/pdtc10/index.php?action=vallex&amp;frame=v-w6383hsa_143", "spoléhat se (v-w6383hsa_143)")</f>
        <v>spoléhat se (v-w6383hsa_143)</v>
      </c>
    </row>
    <row r="45746" customFormat="false" ht="12.8" hidden="false" customHeight="false" outlineLevel="0" collapsed="false">
      <c r="B45746" s="0" t="s">
        <v>7</v>
      </c>
      <c r="C45746" s="0" t="s">
        <v>2431</v>
      </c>
    </row>
    <row r="45747" customFormat="false" ht="12.8" hidden="false" customHeight="false" outlineLevel="0" collapsed="false">
      <c r="B45747" s="0" t="s">
        <v>122</v>
      </c>
      <c r="C45747" s="0" t="s">
        <v>16286</v>
      </c>
    </row>
    <row r="45748" customFormat="false" ht="12.8" hidden="false" customHeight="false" outlineLevel="0" collapsed="false">
      <c r="B45748" s="0" t="s">
        <v>2933</v>
      </c>
      <c r="C45748" s="0" t="s">
        <v>16287</v>
      </c>
    </row>
    <row r="45750" customFormat="false" ht="12.8" hidden="false" customHeight="false" outlineLevel="0" collapsed="false">
      <c r="A45750" s="0" t="s">
        <v>16288</v>
      </c>
      <c r="B45750" s="0" t="str">
        <f aca="false">HYPERLINK("https://lindat.mff.cuni.cz/services/teitok/pdtc10/index.php?action=vallex&amp;frame=v-w6377f1", "spolčit se (v-w6377f1)")</f>
        <v>spolčit se (v-w6377f1)</v>
      </c>
    </row>
    <row r="45751" customFormat="false" ht="12.8" hidden="false" customHeight="false" outlineLevel="0" collapsed="false">
      <c r="B45751" s="0" t="s">
        <v>7</v>
      </c>
    </row>
    <row r="45752" customFormat="false" ht="12.8" hidden="false" customHeight="false" outlineLevel="0" collapsed="false">
      <c r="B45752" s="0" t="s">
        <v>207</v>
      </c>
    </row>
    <row r="45753" customFormat="false" ht="12.8" hidden="false" customHeight="false" outlineLevel="0" collapsed="false">
      <c r="B45753" s="0" t="s">
        <v>1560</v>
      </c>
    </row>
    <row r="45755" customFormat="false" ht="12.8" hidden="false" customHeight="false" outlineLevel="0" collapsed="false">
      <c r="A45755" s="0" t="s">
        <v>16289</v>
      </c>
      <c r="B45755" s="0" t="str">
        <f aca="false">HYPERLINK("https://lindat.mff.cuni.cz/services/teitok/pdtc10/index.php?action=vallex&amp;frame=v-w6411f1", "sponzorovat (v-w6411f1)")</f>
        <v>sponzorovat (v-w6411f1)</v>
      </c>
    </row>
    <row r="45756" customFormat="false" ht="12.8" hidden="false" customHeight="false" outlineLevel="0" collapsed="false">
      <c r="B45756" s="0" t="s">
        <v>7</v>
      </c>
      <c r="C45756" s="0" t="s">
        <v>16290</v>
      </c>
      <c r="D45756" s="0" t="s">
        <v>2566</v>
      </c>
      <c r="E45756" s="0" t="s">
        <v>2566</v>
      </c>
      <c r="F45756" s="0" t="s">
        <v>2567</v>
      </c>
    </row>
    <row r="45757" customFormat="false" ht="12.8" hidden="false" customHeight="false" outlineLevel="0" collapsed="false">
      <c r="B45757" s="0" t="s">
        <v>14</v>
      </c>
      <c r="C45757" s="0" t="s">
        <v>16291</v>
      </c>
      <c r="D45757" s="0" t="s">
        <v>453</v>
      </c>
      <c r="E45757" s="0" t="s">
        <v>453</v>
      </c>
      <c r="F45757" s="0" t="s">
        <v>2569</v>
      </c>
    </row>
    <row r="45759" customFormat="false" ht="12.8" hidden="false" customHeight="false" outlineLevel="0" collapsed="false">
      <c r="A45759" s="0" t="s">
        <v>16292</v>
      </c>
      <c r="B45759" s="0" t="str">
        <f aca="false">HYPERLINK("https://lindat.mff.cuni.cz/services/teitok/pdtc10/index.php?action=vallex&amp;frame=v-whsa_46hsa_47", "sportovat (v-whsa_46hsa_47)")</f>
        <v>sportovat (v-whsa_46hsa_47)</v>
      </c>
    </row>
    <row r="45760" customFormat="false" ht="12.8" hidden="false" customHeight="false" outlineLevel="0" collapsed="false">
      <c r="B45760" s="0" t="s">
        <v>7</v>
      </c>
    </row>
    <row r="45762" customFormat="false" ht="12.8" hidden="false" customHeight="false" outlineLevel="0" collapsed="false">
      <c r="A45762" s="0" t="s">
        <v>16293</v>
      </c>
      <c r="B45762" s="0" t="str">
        <f aca="false">HYPERLINK("https://lindat.mff.cuni.cz/services/teitok/pdtc10/index.php?action=vallex&amp;frame=v-w6419f1", "spotřebovat (v-w6419f1)")</f>
        <v>spotřebovat (v-w6419f1)</v>
      </c>
    </row>
    <row r="45763" customFormat="false" ht="12.8" hidden="false" customHeight="false" outlineLevel="0" collapsed="false">
      <c r="B45763" s="0" t="s">
        <v>7</v>
      </c>
      <c r="C45763" s="0" t="s">
        <v>16294</v>
      </c>
      <c r="D45763" s="0" t="s">
        <v>7194</v>
      </c>
      <c r="E45763" s="0" t="s">
        <v>7194</v>
      </c>
      <c r="F45763" s="0" t="s">
        <v>7194</v>
      </c>
    </row>
    <row r="45764" customFormat="false" ht="12.8" hidden="false" customHeight="false" outlineLevel="0" collapsed="false">
      <c r="B45764" s="0" t="s">
        <v>14</v>
      </c>
      <c r="C45764" s="0" t="s">
        <v>16295</v>
      </c>
      <c r="D45764" s="0" t="s">
        <v>16296</v>
      </c>
      <c r="E45764" s="0" t="s">
        <v>16296</v>
      </c>
      <c r="F45764" s="0" t="s">
        <v>16296</v>
      </c>
    </row>
    <row r="45766" customFormat="false" ht="12.8" hidden="false" customHeight="false" outlineLevel="0" collapsed="false">
      <c r="A45766" s="0" t="s">
        <v>16297</v>
      </c>
      <c r="B45766" s="0" t="str">
        <f aca="false">HYPERLINK("https://lindat.mff.cuni.cz/services/teitok/pdtc10/index.php?action=vallex&amp;frame=v-w6420f1", "spotřebovávat (v-w6420f1)")</f>
        <v>spotřebovávat (v-w6420f1)</v>
      </c>
    </row>
    <row r="45767" customFormat="false" ht="12.8" hidden="false" customHeight="false" outlineLevel="0" collapsed="false">
      <c r="B45767" s="0" t="s">
        <v>7</v>
      </c>
      <c r="C45767" s="0" t="s">
        <v>16294</v>
      </c>
      <c r="D45767" s="0" t="s">
        <v>7194</v>
      </c>
      <c r="E45767" s="0" t="s">
        <v>7194</v>
      </c>
      <c r="F45767" s="0" t="s">
        <v>7194</v>
      </c>
    </row>
    <row r="45768" customFormat="false" ht="12.8" hidden="false" customHeight="false" outlineLevel="0" collapsed="false">
      <c r="B45768" s="0" t="s">
        <v>14</v>
      </c>
      <c r="C45768" s="0" t="s">
        <v>16298</v>
      </c>
      <c r="D45768" s="0" t="s">
        <v>16296</v>
      </c>
      <c r="E45768" s="0" t="s">
        <v>16296</v>
      </c>
      <c r="F45768" s="0" t="s">
        <v>16296</v>
      </c>
    </row>
    <row r="45770" customFormat="false" ht="12.8" hidden="false" customHeight="false" outlineLevel="0" collapsed="false">
      <c r="A45770" s="0" t="s">
        <v>16299</v>
      </c>
      <c r="B45770" s="0" t="str">
        <f aca="false">HYPERLINK("https://lindat.mff.cuni.cz/services/teitok/pdtc10/index.php?action=vallex&amp;frame=v-w6422f1", "spoutat (v-w6422f1)")</f>
        <v>spoutat (v-w6422f1)</v>
      </c>
    </row>
    <row r="45771" customFormat="false" ht="12.8" hidden="false" customHeight="false" outlineLevel="0" collapsed="false">
      <c r="B45771" s="0" t="s">
        <v>7</v>
      </c>
      <c r="C45771" s="0" t="s">
        <v>46</v>
      </c>
      <c r="D45771" s="0" t="s">
        <v>46</v>
      </c>
      <c r="E45771" s="0" t="s">
        <v>46</v>
      </c>
      <c r="F45771" s="0" t="s">
        <v>46</v>
      </c>
    </row>
    <row r="45772" customFormat="false" ht="12.8" hidden="false" customHeight="false" outlineLevel="0" collapsed="false">
      <c r="B45772" s="0" t="s">
        <v>14</v>
      </c>
      <c r="C45772" s="0" t="s">
        <v>78</v>
      </c>
      <c r="D45772" s="0" t="s">
        <v>78</v>
      </c>
      <c r="E45772" s="0" t="s">
        <v>78</v>
      </c>
      <c r="F45772" s="0" t="s">
        <v>78</v>
      </c>
    </row>
    <row r="45774" customFormat="false" ht="12.8" hidden="false" customHeight="false" outlineLevel="0" collapsed="false">
      <c r="A45774" s="0" t="s">
        <v>16300</v>
      </c>
      <c r="B45774" s="0" t="str">
        <f aca="false">HYPERLINK("https://lindat.mff.cuni.cz/services/teitok/pdtc10/index.php?action=vallex&amp;frame=v-w6421f1", "spouštět (v-w6421f1)")</f>
        <v>spouštět (v-w6421f1)</v>
      </c>
    </row>
    <row r="45775" customFormat="false" ht="12.8" hidden="false" customHeight="false" outlineLevel="0" collapsed="false">
      <c r="B45775" s="0" t="s">
        <v>7</v>
      </c>
    </row>
    <row r="45776" customFormat="false" ht="12.8" hidden="false" customHeight="false" outlineLevel="0" collapsed="false">
      <c r="B45776" s="0" t="s">
        <v>14</v>
      </c>
    </row>
    <row r="45778" customFormat="false" ht="12.8" hidden="false" customHeight="false" outlineLevel="0" collapsed="false">
      <c r="A45778" s="0" t="s">
        <v>16301</v>
      </c>
      <c r="B45778" s="0" t="str">
        <f aca="false">HYPERLINK("https://lindat.mff.cuni.cz/services/teitok/pdtc10/index.php?action=vallex&amp;frame=v-w6421f2", "spouštět (v-w6421f2)")</f>
        <v>spouštět (v-w6421f2)</v>
      </c>
    </row>
    <row r="45779" customFormat="false" ht="12.8" hidden="false" customHeight="false" outlineLevel="0" collapsed="false">
      <c r="B45779" s="0" t="s">
        <v>7</v>
      </c>
      <c r="C45779" s="0" t="s">
        <v>16302</v>
      </c>
      <c r="D45779" s="0" t="s">
        <v>69</v>
      </c>
      <c r="E45779" s="0" t="s">
        <v>69</v>
      </c>
      <c r="F45779" s="0" t="s">
        <v>69</v>
      </c>
    </row>
    <row r="45780" customFormat="false" ht="12.8" hidden="false" customHeight="false" outlineLevel="0" collapsed="false">
      <c r="B45780" s="0" t="s">
        <v>14</v>
      </c>
      <c r="C45780" s="0" t="s">
        <v>16303</v>
      </c>
      <c r="D45780" s="0" t="s">
        <v>71</v>
      </c>
      <c r="E45780" s="0" t="s">
        <v>71</v>
      </c>
      <c r="F45780" s="0" t="s">
        <v>71</v>
      </c>
    </row>
    <row r="45782" customFormat="false" ht="12.8" hidden="false" customHeight="false" outlineLevel="0" collapsed="false">
      <c r="A45782" s="0" t="s">
        <v>16304</v>
      </c>
      <c r="B45782" s="0" t="str">
        <f aca="false">HYPERLINK("https://lindat.mff.cuni.cz/services/teitok/pdtc10/index.php?action=vallex&amp;frame=v-w6421f3_ZU", "spouštět (v-w6421f3_ZU)")</f>
        <v>spouštět (v-w6421f3_ZU)</v>
      </c>
    </row>
    <row r="45783" customFormat="false" ht="12.8" hidden="false" customHeight="false" outlineLevel="0" collapsed="false">
      <c r="B45783" s="0" t="s">
        <v>7</v>
      </c>
    </row>
    <row r="45784" customFormat="false" ht="12.8" hidden="false" customHeight="false" outlineLevel="0" collapsed="false">
      <c r="B45784" s="0" t="s">
        <v>14</v>
      </c>
    </row>
    <row r="45786" customFormat="false" ht="12.8" hidden="false" customHeight="false" outlineLevel="0" collapsed="false">
      <c r="A45786" s="0" t="s">
        <v>16304</v>
      </c>
      <c r="B45786" s="0" t="str">
        <f aca="false">HYPERLINK("https://lindat.mff.cuni.cz/services/teitok/pdtc10/index.php?action=vallex&amp;frame=v-w6421hsa_1326", "spouštět (v-w6421hsa_1326) - substituted with v-w6421f3_ZU")</f>
        <v>spouštět (v-w6421hsa_1326) - substituted with v-w6421f3_ZU</v>
      </c>
    </row>
    <row r="45787" customFormat="false" ht="12.8" hidden="false" customHeight="false" outlineLevel="0" collapsed="false">
      <c r="B45787" s="0" t="s">
        <v>7</v>
      </c>
      <c r="C45787" s="0" t="s">
        <v>2012</v>
      </c>
      <c r="D45787" s="0" t="s">
        <v>69</v>
      </c>
      <c r="E45787" s="0" t="s">
        <v>69</v>
      </c>
      <c r="F45787" s="0" t="s">
        <v>69</v>
      </c>
    </row>
    <row r="45788" customFormat="false" ht="12.8" hidden="false" customHeight="false" outlineLevel="0" collapsed="false">
      <c r="B45788" s="0" t="s">
        <v>14</v>
      </c>
      <c r="C45788" s="0" t="s">
        <v>3858</v>
      </c>
      <c r="D45788" s="0" t="s">
        <v>71</v>
      </c>
      <c r="E45788" s="0" t="s">
        <v>71</v>
      </c>
      <c r="F45788" s="0" t="s">
        <v>71</v>
      </c>
    </row>
    <row r="45790" customFormat="false" ht="12.8" hidden="false" customHeight="false" outlineLevel="0" collapsed="false">
      <c r="A45790" s="0" t="s">
        <v>16305</v>
      </c>
      <c r="B45790" s="0" t="str">
        <f aca="false">HYPERLINK("https://lindat.mff.cuni.cz/services/teitok/pdtc10/index.php?action=vallex&amp;frame=v-whsa_207f1_ZU", "spouštět se (v-whsa_207f1_ZU)")</f>
        <v>spouštět se (v-whsa_207f1_ZU)</v>
      </c>
    </row>
    <row r="45791" customFormat="false" ht="12.8" hidden="false" customHeight="false" outlineLevel="0" collapsed="false">
      <c r="B45791" s="0" t="s">
        <v>7</v>
      </c>
    </row>
    <row r="45793" customFormat="false" ht="12.8" hidden="false" customHeight="false" outlineLevel="0" collapsed="false">
      <c r="A45793" s="0" t="s">
        <v>16305</v>
      </c>
      <c r="B45793" s="0" t="str">
        <f aca="false">HYPERLINK("https://lindat.mff.cuni.cz/services/teitok/pdtc10/index.php?action=vallex&amp;frame=v-whsa_207hsa_208", "spouštět se (v-whsa_207hsa_208) - substituted with v-whsa_207f1_ZU")</f>
        <v>spouštět se (v-whsa_207hsa_208) - substituted with v-whsa_207f1_ZU</v>
      </c>
    </row>
    <row r="45794" customFormat="false" ht="12.8" hidden="false" customHeight="false" outlineLevel="0" collapsed="false">
      <c r="B45794" s="0" t="s">
        <v>7</v>
      </c>
    </row>
    <row r="45796" customFormat="false" ht="12.8" hidden="false" customHeight="false" outlineLevel="0" collapsed="false">
      <c r="A45796" s="0" t="s">
        <v>16306</v>
      </c>
      <c r="B45796" s="0" t="str">
        <f aca="false">HYPERLINK("https://lindat.mff.cuni.cz/services/teitok/pdtc10/index.php?action=vallex&amp;frame=v-w10867f3", "spočinout (v-w10867f3)")</f>
        <v>spočinout (v-w10867f3)</v>
      </c>
    </row>
    <row r="45797" customFormat="false" ht="12.8" hidden="false" customHeight="false" outlineLevel="0" collapsed="false">
      <c r="B45797" s="0" t="s">
        <v>7</v>
      </c>
      <c r="E45797" s="0" t="s">
        <v>16307</v>
      </c>
      <c r="F45797" s="0" t="s">
        <v>16307</v>
      </c>
    </row>
    <row r="45798" customFormat="false" ht="12.8" hidden="false" customHeight="false" outlineLevel="0" collapsed="false">
      <c r="B45798" s="0" t="s">
        <v>11</v>
      </c>
      <c r="E45798" s="0" t="s">
        <v>16308</v>
      </c>
      <c r="F45798" s="0" t="s">
        <v>16308</v>
      </c>
    </row>
    <row r="45800" customFormat="false" ht="12.8" hidden="false" customHeight="false" outlineLevel="0" collapsed="false">
      <c r="A45800" s="0" t="s">
        <v>16309</v>
      </c>
      <c r="B45800" s="0" t="str">
        <f aca="false">HYPERLINK("https://lindat.mff.cuni.cz/services/teitok/pdtc10/index.php?action=vallex&amp;frame=v-w10867f2", "spočinout (v-w10867f2)")</f>
        <v>spočinout (v-w10867f2)</v>
      </c>
    </row>
    <row r="45801" customFormat="false" ht="12.8" hidden="false" customHeight="false" outlineLevel="0" collapsed="false">
      <c r="B45801" s="0" t="s">
        <v>7</v>
      </c>
      <c r="C45801" s="0" t="s">
        <v>46</v>
      </c>
      <c r="E45801" s="0" t="s">
        <v>8602</v>
      </c>
      <c r="F45801" s="0" t="s">
        <v>8602</v>
      </c>
    </row>
    <row r="45803" customFormat="false" ht="12.8" hidden="false" customHeight="false" outlineLevel="0" collapsed="false">
      <c r="A45803" s="0" t="s">
        <v>16310</v>
      </c>
      <c r="B45803" s="0" t="str">
        <f aca="false">HYPERLINK("https://lindat.mff.cuni.cz/services/teitok/pdtc10/index.php?action=vallex&amp;frame=v-w6355f1", "spočíst (v-w6355f1)")</f>
        <v>spočíst (v-w6355f1)</v>
      </c>
    </row>
    <row r="45804" customFormat="false" ht="12.8" hidden="false" customHeight="false" outlineLevel="0" collapsed="false">
      <c r="B45804" s="0" t="s">
        <v>7</v>
      </c>
    </row>
    <row r="45805" customFormat="false" ht="12.8" hidden="false" customHeight="false" outlineLevel="0" collapsed="false">
      <c r="B45805" s="0" t="s">
        <v>2738</v>
      </c>
    </row>
    <row r="45807" customFormat="false" ht="12.8" hidden="false" customHeight="false" outlineLevel="0" collapsed="false">
      <c r="A45807" s="0" t="s">
        <v>16311</v>
      </c>
      <c r="B45807" s="0" t="str">
        <f aca="false">HYPERLINK("https://lindat.mff.cuni.cz/services/teitok/pdtc10/index.php?action=vallex&amp;frame=v-w6356f2_ZU", "spočítat (v-w6356f2_ZU)")</f>
        <v>spočítat (v-w6356f2_ZU)</v>
      </c>
    </row>
    <row r="45808" customFormat="false" ht="12.8" hidden="false" customHeight="false" outlineLevel="0" collapsed="false">
      <c r="B45808" s="0" t="s">
        <v>7</v>
      </c>
    </row>
    <row r="45809" customFormat="false" ht="12.8" hidden="false" customHeight="false" outlineLevel="0" collapsed="false">
      <c r="B45809" s="0" t="s">
        <v>16312</v>
      </c>
    </row>
    <row r="45811" customFormat="false" ht="12.8" hidden="false" customHeight="false" outlineLevel="0" collapsed="false">
      <c r="A45811" s="0" t="s">
        <v>16311</v>
      </c>
      <c r="B45811" s="0" t="str">
        <f aca="false">HYPERLINK("https://lindat.mff.cuni.cz/services/teitok/pdtc10/index.php?action=vallex&amp;frame=v-w6356f1", "spočítat (v-w6356f1) - substituted with v-w6356f2_ZU")</f>
        <v>spočítat (v-w6356f1) - substituted with v-w6356f2_ZU</v>
      </c>
    </row>
    <row r="45812" customFormat="false" ht="12.8" hidden="false" customHeight="false" outlineLevel="0" collapsed="false">
      <c r="B45812" s="0" t="s">
        <v>7</v>
      </c>
      <c r="C45812" s="0" t="s">
        <v>16313</v>
      </c>
    </row>
    <row r="45813" customFormat="false" ht="12.8" hidden="false" customHeight="false" outlineLevel="0" collapsed="false">
      <c r="B45813" s="0" t="s">
        <v>16312</v>
      </c>
      <c r="C45813" s="0" t="s">
        <v>356</v>
      </c>
    </row>
    <row r="45815" customFormat="false" ht="12.8" hidden="false" customHeight="false" outlineLevel="0" collapsed="false">
      <c r="A45815" s="0" t="s">
        <v>16311</v>
      </c>
      <c r="B45815" s="0" t="str">
        <f aca="false">HYPERLINK("https://lindat.mff.cuni.cz/services/teitok/pdtc10/index.php?action=vallex&amp;frame=v-w6356hsa_222", "spočítat (v-w6356hsa_222) - substituted with v-w6356f2_ZU")</f>
        <v>spočítat (v-w6356hsa_222) - substituted with v-w6356f2_ZU</v>
      </c>
    </row>
    <row r="45816" customFormat="false" ht="12.8" hidden="false" customHeight="false" outlineLevel="0" collapsed="false">
      <c r="B45816" s="0" t="s">
        <v>7</v>
      </c>
      <c r="C45816" s="0" t="s">
        <v>149</v>
      </c>
      <c r="D45816" s="0" t="s">
        <v>11401</v>
      </c>
      <c r="E45816" s="0" t="s">
        <v>11401</v>
      </c>
      <c r="F45816" s="0" t="s">
        <v>11401</v>
      </c>
    </row>
    <row r="45817" customFormat="false" ht="12.8" hidden="false" customHeight="false" outlineLevel="0" collapsed="false">
      <c r="B45817" s="0" t="s">
        <v>16312</v>
      </c>
      <c r="C45817" s="0" t="s">
        <v>493</v>
      </c>
      <c r="D45817" s="0" t="s">
        <v>128</v>
      </c>
      <c r="E45817" s="0" t="s">
        <v>128</v>
      </c>
      <c r="F45817" s="0" t="s">
        <v>128</v>
      </c>
    </row>
    <row r="45819" customFormat="false" ht="12.8" hidden="false" customHeight="false" outlineLevel="0" collapsed="false">
      <c r="A45819" s="0" t="s">
        <v>16314</v>
      </c>
      <c r="B45819" s="0" t="str">
        <f aca="false">HYPERLINK("https://lindat.mff.cuni.cz/services/teitok/pdtc10/index.php?action=vallex&amp;frame=v-w6357f1", "spočítat si (v-w6357f1)")</f>
        <v>spočítat si (v-w6357f1)</v>
      </c>
    </row>
    <row r="45820" customFormat="false" ht="12.8" hidden="false" customHeight="false" outlineLevel="0" collapsed="false">
      <c r="B45820" s="0" t="s">
        <v>7</v>
      </c>
      <c r="C45820" s="0" t="s">
        <v>16315</v>
      </c>
      <c r="D45820" s="0" t="s">
        <v>11401</v>
      </c>
      <c r="E45820" s="0" t="s">
        <v>11401</v>
      </c>
      <c r="F45820" s="0" t="s">
        <v>11401</v>
      </c>
    </row>
    <row r="45821" customFormat="false" ht="12.8" hidden="false" customHeight="false" outlineLevel="0" collapsed="false">
      <c r="B45821" s="0" t="s">
        <v>8144</v>
      </c>
      <c r="C45821" s="0" t="s">
        <v>16316</v>
      </c>
      <c r="D45821" s="0" t="s">
        <v>128</v>
      </c>
      <c r="E45821" s="0" t="s">
        <v>128</v>
      </c>
      <c r="F45821" s="0" t="s">
        <v>128</v>
      </c>
    </row>
    <row r="45823" customFormat="false" ht="12.8" hidden="false" customHeight="false" outlineLevel="0" collapsed="false">
      <c r="A45823" s="0" t="s">
        <v>16317</v>
      </c>
      <c r="B45823" s="0" t="str">
        <f aca="false">HYPERLINK("https://lindat.mff.cuni.cz/services/teitok/pdtc10/index.php?action=vallex&amp;frame=v-w6359f2", "spočívat (v-w6359f2)")</f>
        <v>spočívat (v-w6359f2)</v>
      </c>
    </row>
    <row r="45824" customFormat="false" ht="12.8" hidden="false" customHeight="false" outlineLevel="0" collapsed="false">
      <c r="B45824" s="0" t="s">
        <v>7</v>
      </c>
    </row>
    <row r="45825" customFormat="false" ht="12.8" hidden="false" customHeight="false" outlineLevel="0" collapsed="false">
      <c r="B45825" s="0" t="s">
        <v>220</v>
      </c>
    </row>
    <row r="45827" customFormat="false" ht="12.8" hidden="false" customHeight="false" outlineLevel="0" collapsed="false">
      <c r="A45827" s="0" t="s">
        <v>16318</v>
      </c>
      <c r="B45827" s="0" t="str">
        <f aca="false">HYPERLINK("https://lindat.mff.cuni.cz/services/teitok/pdtc10/index.php?action=vallex&amp;frame=v-w6359f3", "spočívat (v-w6359f3)")</f>
        <v>spočívat (v-w6359f3)</v>
      </c>
    </row>
    <row r="45828" customFormat="false" ht="12.8" hidden="false" customHeight="false" outlineLevel="0" collapsed="false">
      <c r="B45828" s="0" t="s">
        <v>7</v>
      </c>
    </row>
    <row r="45829" customFormat="false" ht="12.8" hidden="false" customHeight="false" outlineLevel="0" collapsed="false">
      <c r="B45829" s="0" t="s">
        <v>220</v>
      </c>
    </row>
    <row r="45831" customFormat="false" ht="12.8" hidden="false" customHeight="false" outlineLevel="0" collapsed="false">
      <c r="A45831" s="0" t="s">
        <v>16319</v>
      </c>
      <c r="B45831" s="0" t="str">
        <f aca="false">HYPERLINK("https://lindat.mff.cuni.cz/services/teitok/pdtc10/index.php?action=vallex&amp;frame=v-w6359f1", "spočívat (v-w6359f1)")</f>
        <v>spočívat (v-w6359f1)</v>
      </c>
    </row>
    <row r="45832" customFormat="false" ht="12.8" hidden="false" customHeight="false" outlineLevel="0" collapsed="false">
      <c r="B45832" s="0" t="s">
        <v>7</v>
      </c>
      <c r="C45832" s="0" t="s">
        <v>16320</v>
      </c>
      <c r="D45832" s="0" t="s">
        <v>1715</v>
      </c>
      <c r="E45832" s="0" t="s">
        <v>1715</v>
      </c>
      <c r="F45832" s="0" t="s">
        <v>1715</v>
      </c>
    </row>
    <row r="45833" customFormat="false" ht="12.8" hidden="false" customHeight="false" outlineLevel="0" collapsed="false">
      <c r="B45833" s="0" t="s">
        <v>387</v>
      </c>
      <c r="C45833" s="0" t="s">
        <v>16321</v>
      </c>
      <c r="D45833" s="0" t="s">
        <v>5150</v>
      </c>
      <c r="E45833" s="0" t="s">
        <v>5150</v>
      </c>
      <c r="F45833" s="0" t="s">
        <v>5150</v>
      </c>
    </row>
    <row r="45835" customFormat="false" ht="12.8" hidden="false" customHeight="false" outlineLevel="0" collapsed="false">
      <c r="A45835" s="0" t="s">
        <v>16322</v>
      </c>
      <c r="B45835" s="0" t="str">
        <f aca="false">HYPERLINK("https://lindat.mff.cuni.cz/services/teitok/pdtc10/index.php?action=vallex&amp;frame=v-w6359f4", "spočívat (v-w6359f4)")</f>
        <v>spočívat (v-w6359f4)</v>
      </c>
    </row>
    <row r="45836" customFormat="false" ht="12.8" hidden="false" customHeight="false" outlineLevel="0" collapsed="false">
      <c r="B45836" s="0" t="s">
        <v>7</v>
      </c>
    </row>
    <row r="45837" customFormat="false" ht="12.8" hidden="false" customHeight="false" outlineLevel="0" collapsed="false">
      <c r="B45837" s="0" t="s">
        <v>11</v>
      </c>
    </row>
    <row r="45839" customFormat="false" ht="12.8" hidden="false" customHeight="false" outlineLevel="0" collapsed="false">
      <c r="A45839" s="0" t="s">
        <v>16323</v>
      </c>
      <c r="B45839" s="0" t="str">
        <f aca="false">HYPERLINK("https://lindat.mff.cuni.cz/services/teitok/pdtc10/index.php?action=vallex&amp;frame=v-w6416f1", "spořit (v-w6416f1)")</f>
        <v>spořit (v-w6416f1)</v>
      </c>
    </row>
    <row r="45840" customFormat="false" ht="12.8" hidden="false" customHeight="false" outlineLevel="0" collapsed="false">
      <c r="B45840" s="0" t="s">
        <v>7</v>
      </c>
      <c r="C45840" s="0" t="s">
        <v>335</v>
      </c>
      <c r="D45840" s="0" t="s">
        <v>7353</v>
      </c>
      <c r="E45840" s="0" t="s">
        <v>7353</v>
      </c>
      <c r="F45840" s="0" t="s">
        <v>7353</v>
      </c>
    </row>
    <row r="45841" customFormat="false" ht="12.8" hidden="false" customHeight="false" outlineLevel="0" collapsed="false">
      <c r="B45841" s="0" t="s">
        <v>14</v>
      </c>
      <c r="C45841" s="0" t="s">
        <v>33</v>
      </c>
      <c r="D45841" s="0" t="s">
        <v>2666</v>
      </c>
      <c r="E45841" s="0" t="s">
        <v>2666</v>
      </c>
      <c r="F45841" s="0" t="s">
        <v>2666</v>
      </c>
    </row>
    <row r="45843" customFormat="false" ht="12.8" hidden="false" customHeight="false" outlineLevel="0" collapsed="false">
      <c r="A45843" s="0" t="s">
        <v>16324</v>
      </c>
      <c r="B45843" s="0" t="str">
        <f aca="false">HYPERLINK("https://lindat.mff.cuni.cz/services/teitok/pdtc10/index.php?action=vallex&amp;frame=v-w6414f1", "spořádat (v-w6414f1)")</f>
        <v>spořádat (v-w6414f1)</v>
      </c>
    </row>
    <row r="45844" customFormat="false" ht="12.8" hidden="false" customHeight="false" outlineLevel="0" collapsed="false">
      <c r="B45844" s="0" t="s">
        <v>7</v>
      </c>
    </row>
    <row r="45845" customFormat="false" ht="12.8" hidden="false" customHeight="false" outlineLevel="0" collapsed="false">
      <c r="B45845" s="0" t="s">
        <v>14</v>
      </c>
    </row>
    <row r="45847" customFormat="false" ht="12.8" hidden="false" customHeight="false" outlineLevel="0" collapsed="false">
      <c r="A45847" s="0" t="s">
        <v>16325</v>
      </c>
      <c r="B45847" s="0" t="str">
        <f aca="false">HYPERLINK("https://lindat.mff.cuni.cz/services/teitok/pdtc10/index.php?action=vallex&amp;frame=v-w6425f2", "spravit (v-w6425f2)")</f>
        <v>spravit (v-w6425f2)</v>
      </c>
    </row>
    <row r="45848" customFormat="false" ht="12.8" hidden="false" customHeight="false" outlineLevel="0" collapsed="false">
      <c r="B45848" s="0" t="s">
        <v>457</v>
      </c>
    </row>
    <row r="45849" customFormat="false" ht="12.8" hidden="false" customHeight="false" outlineLevel="0" collapsed="false">
      <c r="B45849" s="0" t="s">
        <v>14</v>
      </c>
    </row>
    <row r="45850" customFormat="false" ht="12.8" hidden="false" customHeight="false" outlineLevel="0" collapsed="false">
      <c r="B45850" s="0" t="s">
        <v>48</v>
      </c>
    </row>
    <row r="45852" customFormat="false" ht="12.8" hidden="false" customHeight="false" outlineLevel="0" collapsed="false">
      <c r="A45852" s="0" t="s">
        <v>16326</v>
      </c>
      <c r="B45852" s="0" t="str">
        <f aca="false">HYPERLINK("https://lindat.mff.cuni.cz/services/teitok/pdtc10/index.php?action=vallex&amp;frame=v-w6425f1", "spravit (v-w6425f1)")</f>
        <v>spravit (v-w6425f1)</v>
      </c>
    </row>
    <row r="45853" customFormat="false" ht="12.8" hidden="false" customHeight="false" outlineLevel="0" collapsed="false">
      <c r="B45853" s="0" t="s">
        <v>7</v>
      </c>
      <c r="D45853" s="0" t="s">
        <v>88</v>
      </c>
      <c r="E45853" s="0" t="s">
        <v>88</v>
      </c>
      <c r="F45853" s="0" t="s">
        <v>88</v>
      </c>
    </row>
    <row r="45854" customFormat="false" ht="12.8" hidden="false" customHeight="false" outlineLevel="0" collapsed="false">
      <c r="B45854" s="0" t="s">
        <v>14</v>
      </c>
      <c r="D45854" s="0" t="s">
        <v>466</v>
      </c>
      <c r="E45854" s="0" t="s">
        <v>466</v>
      </c>
      <c r="F45854" s="0" t="s">
        <v>466</v>
      </c>
    </row>
    <row r="45856" customFormat="false" ht="12.8" hidden="false" customHeight="false" outlineLevel="0" collapsed="false">
      <c r="A45856" s="0" t="s">
        <v>16327</v>
      </c>
      <c r="B45856" s="0" t="str">
        <f aca="false">HYPERLINK("https://lindat.mff.cuni.cz/services/teitok/pdtc10/index.php?action=vallex&amp;frame=v-w6425hsa_40", "spravit (v-w6425hsa_40)")</f>
        <v>spravit (v-w6425hsa_40)</v>
      </c>
    </row>
    <row r="45857" customFormat="false" ht="12.8" hidden="false" customHeight="false" outlineLevel="0" collapsed="false">
      <c r="B45857" s="0" t="s">
        <v>7</v>
      </c>
    </row>
    <row r="45858" customFormat="false" ht="12.8" hidden="false" customHeight="false" outlineLevel="0" collapsed="false">
      <c r="B45858" s="0" t="s">
        <v>14</v>
      </c>
    </row>
    <row r="45860" customFormat="false" ht="12.8" hidden="false" customHeight="false" outlineLevel="0" collapsed="false">
      <c r="A45860" s="0" t="s">
        <v>16328</v>
      </c>
      <c r="B45860" s="0" t="str">
        <f aca="false">HYPERLINK("https://lindat.mff.cuni.cz/services/teitok/pdtc10/index.php?action=vallex&amp;frame=v-whsa_1608hsa_1609", "spravit se (v-whsa_1608hsa_1609)")</f>
        <v>spravit se (v-whsa_1608hsa_1609)</v>
      </c>
    </row>
    <row r="45861" customFormat="false" ht="12.8" hidden="false" customHeight="false" outlineLevel="0" collapsed="false">
      <c r="B45861" s="0" t="s">
        <v>7</v>
      </c>
    </row>
    <row r="45862" customFormat="false" ht="12.8" hidden="false" customHeight="false" outlineLevel="0" collapsed="false">
      <c r="B45862" s="0" t="s">
        <v>63</v>
      </c>
    </row>
    <row r="45863" customFormat="false" ht="12.8" hidden="false" customHeight="false" outlineLevel="0" collapsed="false">
      <c r="B45863" s="0" t="s">
        <v>35</v>
      </c>
    </row>
    <row r="45865" customFormat="false" ht="12.8" hidden="false" customHeight="false" outlineLevel="0" collapsed="false">
      <c r="A45865" s="0" t="s">
        <v>16329</v>
      </c>
      <c r="B45865" s="0" t="str">
        <f aca="false">HYPERLINK("https://lindat.mff.cuni.cz/services/teitok/pdtc10/index.php?action=vallex&amp;frame=v-w6429f1", "spravovat (v-w6429f1)")</f>
        <v>spravovat (v-w6429f1)</v>
      </c>
    </row>
    <row r="45866" customFormat="false" ht="12.8" hidden="false" customHeight="false" outlineLevel="0" collapsed="false">
      <c r="B45866" s="0" t="s">
        <v>7</v>
      </c>
      <c r="C45866" s="0" t="s">
        <v>16330</v>
      </c>
      <c r="D45866" s="0" t="s">
        <v>1604</v>
      </c>
      <c r="E45866" s="0" t="s">
        <v>1604</v>
      </c>
      <c r="F45866" s="0" t="s">
        <v>1604</v>
      </c>
    </row>
    <row r="45867" customFormat="false" ht="12.8" hidden="false" customHeight="false" outlineLevel="0" collapsed="false">
      <c r="B45867" s="0" t="s">
        <v>14</v>
      </c>
      <c r="C45867" s="0" t="s">
        <v>16331</v>
      </c>
      <c r="D45867" s="0" t="s">
        <v>1606</v>
      </c>
      <c r="E45867" s="0" t="s">
        <v>1606</v>
      </c>
      <c r="F45867" s="0" t="s">
        <v>1606</v>
      </c>
    </row>
    <row r="45869" customFormat="false" ht="12.8" hidden="false" customHeight="false" outlineLevel="0" collapsed="false">
      <c r="A45869" s="0" t="s">
        <v>16332</v>
      </c>
      <c r="B45869" s="0" t="str">
        <f aca="false">HYPERLINK("https://lindat.mff.cuni.cz/services/teitok/pdtc10/index.php?action=vallex&amp;frame=v-w6429f2", "spravovat (v-w6429f2)")</f>
        <v>spravovat (v-w6429f2)</v>
      </c>
    </row>
    <row r="45870" customFormat="false" ht="12.8" hidden="false" customHeight="false" outlineLevel="0" collapsed="false">
      <c r="B45870" s="0" t="s">
        <v>7</v>
      </c>
    </row>
    <row r="45871" customFormat="false" ht="12.8" hidden="false" customHeight="false" outlineLevel="0" collapsed="false">
      <c r="B45871" s="0" t="s">
        <v>14</v>
      </c>
    </row>
    <row r="45873" customFormat="false" ht="12.8" hidden="false" customHeight="false" outlineLevel="0" collapsed="false">
      <c r="A45873" s="0" t="s">
        <v>16333</v>
      </c>
      <c r="B45873" s="0" t="str">
        <f aca="false">HYPERLINK("https://lindat.mff.cuni.cz/services/teitok/pdtc10/index.php?action=vallex&amp;frame=v-w6429f3", "spravovat (v-w6429f3)")</f>
        <v>spravovat (v-w6429f3)</v>
      </c>
    </row>
    <row r="45874" customFormat="false" ht="12.8" hidden="false" customHeight="false" outlineLevel="0" collapsed="false">
      <c r="B45874" s="0" t="s">
        <v>7</v>
      </c>
      <c r="C45874" s="0" t="s">
        <v>191</v>
      </c>
      <c r="D45874" s="0" t="s">
        <v>88</v>
      </c>
      <c r="E45874" s="0" t="s">
        <v>88</v>
      </c>
      <c r="F45874" s="0" t="s">
        <v>88</v>
      </c>
    </row>
    <row r="45875" customFormat="false" ht="12.8" hidden="false" customHeight="false" outlineLevel="0" collapsed="false">
      <c r="B45875" s="0" t="s">
        <v>14</v>
      </c>
      <c r="C45875" s="0" t="s">
        <v>1170</v>
      </c>
      <c r="D45875" s="0" t="s">
        <v>466</v>
      </c>
      <c r="E45875" s="0" t="s">
        <v>466</v>
      </c>
      <c r="F45875" s="0" t="s">
        <v>466</v>
      </c>
    </row>
    <row r="45877" customFormat="false" ht="12.8" hidden="false" customHeight="false" outlineLevel="0" collapsed="false">
      <c r="A45877" s="0" t="s">
        <v>16334</v>
      </c>
      <c r="B45877" s="0" t="str">
        <f aca="false">HYPERLINK("https://lindat.mff.cuni.cz/services/teitok/pdtc10/index.php?action=vallex&amp;frame=v-w6430f1", "sprchnout (v-w6430f1)")</f>
        <v>sprchnout (v-w6430f1)</v>
      </c>
    </row>
    <row r="45878" customFormat="false" ht="12.8" hidden="false" customHeight="false" outlineLevel="0" collapsed="false">
      <c r="B45878" s="0" t="s">
        <v>7</v>
      </c>
      <c r="D45878" s="0" t="s">
        <v>247</v>
      </c>
      <c r="E45878" s="0" t="s">
        <v>247</v>
      </c>
      <c r="F45878" s="0" t="s">
        <v>247</v>
      </c>
    </row>
    <row r="45880" customFormat="false" ht="12.8" hidden="false" customHeight="false" outlineLevel="0" collapsed="false">
      <c r="A45880" s="0" t="s">
        <v>16335</v>
      </c>
      <c r="B45880" s="0" t="str">
        <f aca="false">HYPERLINK("https://lindat.mff.cuni.cz/services/teitok/pdtc10/index.php?action=vallex&amp;frame=v-w6432f1", "sprchovat (v-w6432f1)")</f>
        <v>sprchovat (v-w6432f1)</v>
      </c>
    </row>
    <row r="45881" customFormat="false" ht="12.8" hidden="false" customHeight="false" outlineLevel="0" collapsed="false">
      <c r="B45881" s="0" t="s">
        <v>7</v>
      </c>
      <c r="C45881" s="0" t="s">
        <v>465</v>
      </c>
      <c r="D45881" s="0" t="s">
        <v>31</v>
      </c>
      <c r="E45881" s="0" t="s">
        <v>31</v>
      </c>
      <c r="F45881" s="0" t="s">
        <v>31</v>
      </c>
    </row>
    <row r="45882" customFormat="false" ht="12.8" hidden="false" customHeight="false" outlineLevel="0" collapsed="false">
      <c r="B45882" s="0" t="s">
        <v>14</v>
      </c>
      <c r="D45882" s="0" t="s">
        <v>4921</v>
      </c>
      <c r="E45882" s="0" t="s">
        <v>4921</v>
      </c>
      <c r="F45882" s="0" t="s">
        <v>4921</v>
      </c>
    </row>
    <row r="45884" customFormat="false" ht="12.8" hidden="false" customHeight="false" outlineLevel="0" collapsed="false">
      <c r="A45884" s="0" t="s">
        <v>16336</v>
      </c>
      <c r="B45884" s="0" t="str">
        <f aca="false">HYPERLINK("https://lindat.mff.cuni.cz/services/teitok/pdtc10/index.php?action=vallex&amp;frame=v-w6433f1", "sprintovat (v-w6433f1)")</f>
        <v>sprintovat (v-w6433f1)</v>
      </c>
    </row>
    <row r="45885" customFormat="false" ht="12.8" hidden="false" customHeight="false" outlineLevel="0" collapsed="false">
      <c r="B45885" s="0" t="s">
        <v>7</v>
      </c>
    </row>
    <row r="45887" customFormat="false" ht="12.8" hidden="false" customHeight="false" outlineLevel="0" collapsed="false">
      <c r="A45887" s="0" t="s">
        <v>16337</v>
      </c>
      <c r="B45887" s="0" t="str">
        <f aca="false">HYPERLINK("https://lindat.mff.cuni.cz/services/teitok/pdtc10/index.php?action=vallex&amp;frame=v-w6434f1", "sprovodit (v-w6434f1)")</f>
        <v>sprovodit (v-w6434f1)</v>
      </c>
    </row>
    <row r="45888" customFormat="false" ht="12.8" hidden="false" customHeight="false" outlineLevel="0" collapsed="false">
      <c r="B45888" s="0" t="s">
        <v>7</v>
      </c>
      <c r="C45888" s="0" t="s">
        <v>1226</v>
      </c>
      <c r="D45888" s="0" t="s">
        <v>1549</v>
      </c>
      <c r="E45888" s="0" t="s">
        <v>1550</v>
      </c>
      <c r="F45888" s="0" t="s">
        <v>1550</v>
      </c>
    </row>
    <row r="45889" customFormat="false" ht="12.8" hidden="false" customHeight="false" outlineLevel="0" collapsed="false">
      <c r="B45889" s="0" t="s">
        <v>14</v>
      </c>
      <c r="C45889" s="0" t="s">
        <v>75</v>
      </c>
      <c r="D45889" s="0" t="s">
        <v>1164</v>
      </c>
      <c r="E45889" s="0" t="s">
        <v>1551</v>
      </c>
      <c r="F45889" s="0" t="s">
        <v>1551</v>
      </c>
    </row>
    <row r="45890" customFormat="false" ht="12.8" hidden="false" customHeight="false" outlineLevel="0" collapsed="false">
      <c r="B45890" s="0" t="s">
        <v>459</v>
      </c>
    </row>
    <row r="45892" customFormat="false" ht="12.8" hidden="false" customHeight="false" outlineLevel="0" collapsed="false">
      <c r="A45892" s="0" t="s">
        <v>16338</v>
      </c>
      <c r="B45892" s="0" t="str">
        <f aca="false">HYPERLINK("https://lindat.mff.cuni.cz/services/teitok/pdtc10/index.php?action=vallex&amp;frame=v-whsa_29f1_ZU", "spráskat (v-whsa_29f1_ZU)")</f>
        <v>spráskat (v-whsa_29f1_ZU)</v>
      </c>
    </row>
    <row r="45893" customFormat="false" ht="12.8" hidden="false" customHeight="false" outlineLevel="0" collapsed="false">
      <c r="B45893" s="0" t="s">
        <v>7</v>
      </c>
    </row>
    <row r="45894" customFormat="false" ht="12.8" hidden="false" customHeight="false" outlineLevel="0" collapsed="false">
      <c r="B45894" s="0" t="s">
        <v>14</v>
      </c>
    </row>
    <row r="45896" customFormat="false" ht="12.8" hidden="false" customHeight="false" outlineLevel="0" collapsed="false">
      <c r="A45896" s="0" t="s">
        <v>16338</v>
      </c>
      <c r="B45896" s="0" t="str">
        <f aca="false">HYPERLINK("https://lindat.mff.cuni.cz/services/teitok/pdtc10/index.php?action=vallex&amp;frame=v-whsa_29hsa_30", "spráskat (v-whsa_29hsa_30) - substituted with v-whsa_29f1_ZU")</f>
        <v>spráskat (v-whsa_29hsa_30) - substituted with v-whsa_29f1_ZU</v>
      </c>
    </row>
    <row r="45897" customFormat="false" ht="12.8" hidden="false" customHeight="false" outlineLevel="0" collapsed="false">
      <c r="B45897" s="0" t="s">
        <v>7</v>
      </c>
    </row>
    <row r="45898" customFormat="false" ht="12.8" hidden="false" customHeight="false" outlineLevel="0" collapsed="false">
      <c r="B45898" s="0" t="s">
        <v>14</v>
      </c>
    </row>
    <row r="45900" customFormat="false" ht="12.8" hidden="false" customHeight="false" outlineLevel="0" collapsed="false">
      <c r="A45900" s="0" t="s">
        <v>16339</v>
      </c>
      <c r="B45900" s="0" t="str">
        <f aca="false">HYPERLINK("https://lindat.mff.cuni.cz/services/teitok/pdtc10/index.php?action=vallex&amp;frame=v-whsa_1201hsa_1202", "správcovat (v-whsa_1201hsa_1202)")</f>
        <v>správcovat (v-whsa_1201hsa_1202)</v>
      </c>
    </row>
    <row r="45901" customFormat="false" ht="12.8" hidden="false" customHeight="false" outlineLevel="0" collapsed="false">
      <c r="B45901" s="0" t="s">
        <v>7</v>
      </c>
    </row>
    <row r="45903" customFormat="false" ht="12.8" hidden="false" customHeight="false" outlineLevel="0" collapsed="false">
      <c r="A45903" s="0" t="s">
        <v>16340</v>
      </c>
      <c r="B45903" s="0" t="str">
        <f aca="false">HYPERLINK("https://lindat.mff.cuni.cz/services/teitok/pdtc10/index.php?action=vallex&amp;frame=v-w6438f2", "spustit (v-w6438f2)")</f>
        <v>spustit (v-w6438f2)</v>
      </c>
    </row>
    <row r="45904" customFormat="false" ht="12.8" hidden="false" customHeight="false" outlineLevel="0" collapsed="false">
      <c r="B45904" s="0" t="s">
        <v>7</v>
      </c>
    </row>
    <row r="45905" customFormat="false" ht="12.8" hidden="false" customHeight="false" outlineLevel="0" collapsed="false">
      <c r="B45905" s="0" t="s">
        <v>14</v>
      </c>
    </row>
    <row r="45906" customFormat="false" ht="12.8" hidden="false" customHeight="false" outlineLevel="0" collapsed="false">
      <c r="B45906" s="0" t="s">
        <v>124</v>
      </c>
    </row>
    <row r="45908" customFormat="false" ht="12.8" hidden="false" customHeight="false" outlineLevel="0" collapsed="false">
      <c r="A45908" s="0" t="s">
        <v>16341</v>
      </c>
      <c r="B45908" s="0" t="str">
        <f aca="false">HYPERLINK("https://lindat.mff.cuni.cz/services/teitok/pdtc10/index.php?action=vallex&amp;frame=v-w6438f1", "spustit (v-w6438f1)")</f>
        <v>spustit (v-w6438f1)</v>
      </c>
    </row>
    <row r="45909" customFormat="false" ht="12.8" hidden="false" customHeight="false" outlineLevel="0" collapsed="false">
      <c r="B45909" s="0" t="s">
        <v>7</v>
      </c>
      <c r="C45909" s="0" t="s">
        <v>16342</v>
      </c>
      <c r="D45909" s="0" t="s">
        <v>69</v>
      </c>
      <c r="E45909" s="0" t="s">
        <v>69</v>
      </c>
      <c r="F45909" s="0" t="s">
        <v>69</v>
      </c>
    </row>
    <row r="45910" customFormat="false" ht="12.8" hidden="false" customHeight="false" outlineLevel="0" collapsed="false">
      <c r="B45910" s="0" t="s">
        <v>14</v>
      </c>
      <c r="C45910" s="0" t="s">
        <v>16343</v>
      </c>
      <c r="D45910" s="0" t="s">
        <v>71</v>
      </c>
      <c r="E45910" s="0" t="s">
        <v>71</v>
      </c>
      <c r="F45910" s="0" t="s">
        <v>71</v>
      </c>
    </row>
    <row r="45912" customFormat="false" ht="12.8" hidden="false" customHeight="false" outlineLevel="0" collapsed="false">
      <c r="A45912" s="0" t="s">
        <v>16344</v>
      </c>
      <c r="B45912" s="0" t="str">
        <f aca="false">HYPERLINK("https://lindat.mff.cuni.cz/services/teitok/pdtc10/index.php?action=vallex&amp;frame=v-w6438hsa_130", "spustit (v-w6438hsa_130)")</f>
        <v>spustit (v-w6438hsa_130)</v>
      </c>
    </row>
    <row r="45913" customFormat="false" ht="12.8" hidden="false" customHeight="false" outlineLevel="0" collapsed="false">
      <c r="B45913" s="0" t="s">
        <v>7</v>
      </c>
      <c r="C45913" s="0" t="s">
        <v>10540</v>
      </c>
    </row>
    <row r="45915" customFormat="false" ht="12.8" hidden="false" customHeight="false" outlineLevel="0" collapsed="false">
      <c r="A45915" s="0" t="s">
        <v>16345</v>
      </c>
      <c r="B45915" s="0" t="str">
        <f aca="false">HYPERLINK("https://lindat.mff.cuni.cz/services/teitok/pdtc10/index.php?action=vallex&amp;frame=v-w6438hsa_131", "spustit (v-w6438hsa_131)")</f>
        <v>spustit (v-w6438hsa_131)</v>
      </c>
    </row>
    <row r="45916" customFormat="false" ht="12.8" hidden="false" customHeight="false" outlineLevel="0" collapsed="false">
      <c r="B45916" s="0" t="s">
        <v>7</v>
      </c>
      <c r="C45916" s="0" t="s">
        <v>391</v>
      </c>
      <c r="D45916" s="0" t="s">
        <v>69</v>
      </c>
      <c r="E45916" s="0" t="s">
        <v>69</v>
      </c>
      <c r="F45916" s="0" t="s">
        <v>69</v>
      </c>
    </row>
    <row r="45917" customFormat="false" ht="12.8" hidden="false" customHeight="false" outlineLevel="0" collapsed="false">
      <c r="B45917" s="0" t="s">
        <v>14</v>
      </c>
      <c r="C45917" s="0" t="s">
        <v>25</v>
      </c>
      <c r="D45917" s="0" t="s">
        <v>71</v>
      </c>
      <c r="E45917" s="0" t="s">
        <v>71</v>
      </c>
      <c r="F45917" s="0" t="s">
        <v>71</v>
      </c>
    </row>
    <row r="45919" customFormat="false" ht="12.8" hidden="false" customHeight="false" outlineLevel="0" collapsed="false">
      <c r="A45919" s="0" t="s">
        <v>16346</v>
      </c>
      <c r="B45919" s="0" t="str">
        <f aca="false">HYPERLINK("https://lindat.mff.cuni.cz/services/teitok/pdtc10/index.php?action=vallex&amp;frame=v-w6438f3_ZU", "spustit (v-w6438f3_ZU)")</f>
        <v>spustit (v-w6438f3_ZU)</v>
      </c>
    </row>
    <row r="45920" customFormat="false" ht="12.8" hidden="false" customHeight="false" outlineLevel="0" collapsed="false">
      <c r="B45920" s="0" t="s">
        <v>7</v>
      </c>
    </row>
    <row r="45921" customFormat="false" ht="12.8" hidden="false" customHeight="false" outlineLevel="0" collapsed="false">
      <c r="B45921" s="0" t="s">
        <v>16347</v>
      </c>
    </row>
    <row r="45922" customFormat="false" ht="12.8" hidden="false" customHeight="false" outlineLevel="0" collapsed="false">
      <c r="B45922" s="0" t="s">
        <v>227</v>
      </c>
    </row>
    <row r="45924" customFormat="false" ht="12.8" hidden="false" customHeight="false" outlineLevel="0" collapsed="false">
      <c r="A45924" s="0" t="s">
        <v>16346</v>
      </c>
      <c r="B45924" s="0" t="str">
        <f aca="false">HYPERLINK("https://lindat.mff.cuni.cz/services/teitok/pdtc10/index.php?action=vallex&amp;frame=v-w6438hsa_132", "spustit (v-w6438hsa_132) - substituted with v-w6438f3_ZU")</f>
        <v>spustit (v-w6438hsa_132) - substituted with v-w6438f3_ZU</v>
      </c>
    </row>
    <row r="45925" customFormat="false" ht="12.8" hidden="false" customHeight="false" outlineLevel="0" collapsed="false">
      <c r="B45925" s="0" t="s">
        <v>7</v>
      </c>
    </row>
    <row r="45926" customFormat="false" ht="12.8" hidden="false" customHeight="false" outlineLevel="0" collapsed="false">
      <c r="B45926" s="0" t="s">
        <v>16347</v>
      </c>
    </row>
    <row r="45927" customFormat="false" ht="12.8" hidden="false" customHeight="false" outlineLevel="0" collapsed="false">
      <c r="B45927" s="0" t="s">
        <v>227</v>
      </c>
    </row>
    <row r="45929" customFormat="false" ht="12.8" hidden="false" customHeight="false" outlineLevel="0" collapsed="false">
      <c r="A45929" s="0" t="s">
        <v>16348</v>
      </c>
      <c r="B45929" s="0" t="str">
        <f aca="false">HYPERLINK("https://lindat.mff.cuni.cz/services/teitok/pdtc10/index.php?action=vallex&amp;frame=v-w6438f4_ZU", "spustit (v-w6438f4_ZU)")</f>
        <v>spustit (v-w6438f4_ZU)</v>
      </c>
    </row>
    <row r="45930" customFormat="false" ht="12.8" hidden="false" customHeight="false" outlineLevel="0" collapsed="false">
      <c r="B45930" s="0" t="s">
        <v>7</v>
      </c>
    </row>
    <row r="45931" customFormat="false" ht="12.8" hidden="false" customHeight="false" outlineLevel="0" collapsed="false">
      <c r="B45931" s="0" t="s">
        <v>54</v>
      </c>
    </row>
    <row r="45932" customFormat="false" ht="12.8" hidden="false" customHeight="false" outlineLevel="0" collapsed="false">
      <c r="B45932" s="0" t="s">
        <v>4101</v>
      </c>
    </row>
    <row r="45934" customFormat="false" ht="12.8" hidden="false" customHeight="false" outlineLevel="0" collapsed="false">
      <c r="A45934" s="0" t="s">
        <v>16349</v>
      </c>
      <c r="B45934" s="0" t="str">
        <f aca="false">HYPERLINK("https://lindat.mff.cuni.cz/services/teitok/pdtc10/index.php?action=vallex&amp;frame=v-w6439f3", "spustit se (v-w6439f3)")</f>
        <v>spustit se (v-w6439f3)</v>
      </c>
    </row>
    <row r="45935" customFormat="false" ht="12.8" hidden="false" customHeight="false" outlineLevel="0" collapsed="false">
      <c r="B45935" s="0" t="s">
        <v>7</v>
      </c>
    </row>
    <row r="45936" customFormat="false" ht="12.8" hidden="false" customHeight="false" outlineLevel="0" collapsed="false">
      <c r="B45936" s="0" t="s">
        <v>548</v>
      </c>
    </row>
    <row r="45938" customFormat="false" ht="12.8" hidden="false" customHeight="false" outlineLevel="0" collapsed="false">
      <c r="A45938" s="0" t="s">
        <v>16350</v>
      </c>
      <c r="B45938" s="0" t="str">
        <f aca="false">HYPERLINK("https://lindat.mff.cuni.cz/services/teitok/pdtc10/index.php?action=vallex&amp;frame=v-w6439f2", "spustit se (v-w6439f2)")</f>
        <v>spustit se (v-w6439f2)</v>
      </c>
    </row>
    <row r="45939" customFormat="false" ht="12.8" hidden="false" customHeight="false" outlineLevel="0" collapsed="false">
      <c r="B45939" s="0" t="s">
        <v>7</v>
      </c>
      <c r="D45939" s="0" t="s">
        <v>1894</v>
      </c>
      <c r="E45939" s="0" t="s">
        <v>1894</v>
      </c>
      <c r="F45939" s="0" t="s">
        <v>1894</v>
      </c>
    </row>
    <row r="45940" customFormat="false" ht="12.8" hidden="false" customHeight="false" outlineLevel="0" collapsed="false">
      <c r="B45940" s="0" t="s">
        <v>124</v>
      </c>
    </row>
    <row r="45942" customFormat="false" ht="12.8" hidden="false" customHeight="false" outlineLevel="0" collapsed="false">
      <c r="A45942" s="0" t="s">
        <v>16351</v>
      </c>
      <c r="B45942" s="0" t="str">
        <f aca="false">HYPERLINK("https://lindat.mff.cuni.cz/services/teitok/pdtc10/index.php?action=vallex&amp;frame=v-w6439f4_ZU", "spustit se (v-w6439f4_ZU)")</f>
        <v>spustit se (v-w6439f4_ZU)</v>
      </c>
    </row>
    <row r="45943" customFormat="false" ht="12.8" hidden="false" customHeight="false" outlineLevel="0" collapsed="false">
      <c r="B45943" s="0" t="s">
        <v>7</v>
      </c>
    </row>
    <row r="45945" customFormat="false" ht="12.8" hidden="false" customHeight="false" outlineLevel="0" collapsed="false">
      <c r="A45945" s="0" t="s">
        <v>16351</v>
      </c>
      <c r="B45945" s="0" t="str">
        <f aca="false">HYPERLINK("https://lindat.mff.cuni.cz/services/teitok/pdtc10/index.php?action=vallex&amp;frame=v-w6439f1", "spustit se (v-w6439f1) - substituted with v-w6439f4_ZU")</f>
        <v>spustit se (v-w6439f1) - substituted with v-w6439f4_ZU</v>
      </c>
    </row>
    <row r="45946" customFormat="false" ht="12.8" hidden="false" customHeight="false" outlineLevel="0" collapsed="false">
      <c r="B45946" s="0" t="s">
        <v>7</v>
      </c>
      <c r="C45946" s="0" t="s">
        <v>247</v>
      </c>
      <c r="D45946" s="0" t="s">
        <v>16352</v>
      </c>
      <c r="E45946" s="0" t="s">
        <v>16352</v>
      </c>
      <c r="F45946" s="0" t="s">
        <v>16352</v>
      </c>
    </row>
    <row r="45948" customFormat="false" ht="12.8" hidden="false" customHeight="false" outlineLevel="0" collapsed="false">
      <c r="A45948" s="0" t="s">
        <v>16353</v>
      </c>
      <c r="B45948" s="0" t="str">
        <f aca="false">HYPERLINK("https://lindat.mff.cuni.cz/services/teitok/pdtc10/index.php?action=vallex&amp;frame=v-w6308f2", "spáchat (v-w6308f2)")</f>
        <v>spáchat (v-w6308f2)</v>
      </c>
    </row>
    <row r="45949" customFormat="false" ht="12.8" hidden="false" customHeight="false" outlineLevel="0" collapsed="false">
      <c r="B45949" s="0" t="s">
        <v>7</v>
      </c>
    </row>
    <row r="45950" customFormat="false" ht="12.8" hidden="false" customHeight="false" outlineLevel="0" collapsed="false">
      <c r="B45950" s="0" t="s">
        <v>14</v>
      </c>
    </row>
    <row r="45951" customFormat="false" ht="12.8" hidden="false" customHeight="false" outlineLevel="0" collapsed="false">
      <c r="B45951" s="0" t="s">
        <v>48</v>
      </c>
    </row>
    <row r="45953" customFormat="false" ht="12.8" hidden="false" customHeight="false" outlineLevel="0" collapsed="false">
      <c r="A45953" s="0" t="s">
        <v>16354</v>
      </c>
      <c r="B45953" s="0" t="str">
        <f aca="false">HYPERLINK("https://lindat.mff.cuni.cz/services/teitok/pdtc10/index.php?action=vallex&amp;frame=v-w6308f1", "spáchat (v-w6308f1)")</f>
        <v>spáchat (v-w6308f1)</v>
      </c>
    </row>
    <row r="45954" customFormat="false" ht="12.8" hidden="false" customHeight="false" outlineLevel="0" collapsed="false">
      <c r="B45954" s="0" t="s">
        <v>7</v>
      </c>
      <c r="C45954" s="0" t="s">
        <v>2323</v>
      </c>
      <c r="D45954" s="0" t="s">
        <v>108</v>
      </c>
      <c r="E45954" s="0" t="s">
        <v>108</v>
      </c>
      <c r="F45954" s="0" t="s">
        <v>108</v>
      </c>
    </row>
    <row r="45955" customFormat="false" ht="12.8" hidden="false" customHeight="false" outlineLevel="0" collapsed="false">
      <c r="B45955" s="0" t="s">
        <v>14</v>
      </c>
      <c r="C45955" s="0" t="s">
        <v>4800</v>
      </c>
      <c r="D45955" s="0" t="s">
        <v>487</v>
      </c>
      <c r="E45955" s="0" t="s">
        <v>487</v>
      </c>
      <c r="F45955" s="0" t="s">
        <v>487</v>
      </c>
    </row>
    <row r="45957" customFormat="false" ht="12.8" hidden="false" customHeight="false" outlineLevel="0" collapsed="false">
      <c r="A45957" s="0" t="s">
        <v>16355</v>
      </c>
      <c r="B45957" s="0" t="str">
        <f aca="false">HYPERLINK("https://lindat.mff.cuni.cz/services/teitok/pdtc10/index.php?action=vallex&amp;frame=v-w6310f1", "spálit (v-w6310f1)")</f>
        <v>spálit (v-w6310f1)</v>
      </c>
    </row>
    <row r="45958" customFormat="false" ht="12.8" hidden="false" customHeight="false" outlineLevel="0" collapsed="false">
      <c r="B45958" s="0" t="s">
        <v>7</v>
      </c>
      <c r="C45958" s="0" t="s">
        <v>1332</v>
      </c>
    </row>
    <row r="45959" customFormat="false" ht="12.8" hidden="false" customHeight="false" outlineLevel="0" collapsed="false">
      <c r="B45959" s="0" t="s">
        <v>14</v>
      </c>
      <c r="C45959" s="0" t="s">
        <v>12514</v>
      </c>
    </row>
    <row r="45961" customFormat="false" ht="12.8" hidden="false" customHeight="false" outlineLevel="0" collapsed="false">
      <c r="A45961" s="0" t="s">
        <v>16356</v>
      </c>
      <c r="B45961" s="0" t="str">
        <f aca="false">HYPERLINK("https://lindat.mff.cuni.cz/services/teitok/pdtc10/index.php?action=vallex&amp;frame=v-w6310f3", "spálit (v-w6310f3)")</f>
        <v>spálit (v-w6310f3)</v>
      </c>
    </row>
    <row r="45962" customFormat="false" ht="12.8" hidden="false" customHeight="false" outlineLevel="0" collapsed="false">
      <c r="B45962" s="0" t="s">
        <v>7</v>
      </c>
      <c r="C45962" s="0" t="s">
        <v>1332</v>
      </c>
    </row>
    <row r="45963" customFormat="false" ht="12.8" hidden="false" customHeight="false" outlineLevel="0" collapsed="false">
      <c r="B45963" s="0" t="s">
        <v>14</v>
      </c>
      <c r="C45963" s="0" t="s">
        <v>12514</v>
      </c>
    </row>
    <row r="45965" customFormat="false" ht="12.8" hidden="false" customHeight="false" outlineLevel="0" collapsed="false">
      <c r="A45965" s="0" t="s">
        <v>16357</v>
      </c>
      <c r="B45965" s="0" t="str">
        <f aca="false">HYPERLINK("https://lindat.mff.cuni.cz/services/teitok/pdtc10/index.php?action=vallex&amp;frame=v-w6310f2", "spálit (v-w6310f2)")</f>
        <v>spálit (v-w6310f2)</v>
      </c>
    </row>
    <row r="45966" customFormat="false" ht="12.8" hidden="false" customHeight="false" outlineLevel="0" collapsed="false">
      <c r="B45966" s="0" t="s">
        <v>7</v>
      </c>
      <c r="C45966" s="0" t="s">
        <v>1332</v>
      </c>
    </row>
    <row r="45967" customFormat="false" ht="12.8" hidden="false" customHeight="false" outlineLevel="0" collapsed="false">
      <c r="B45967" s="0" t="s">
        <v>14</v>
      </c>
      <c r="C45967" s="0" t="s">
        <v>12514</v>
      </c>
    </row>
    <row r="45969" customFormat="false" ht="12.8" hidden="false" customHeight="false" outlineLevel="0" collapsed="false">
      <c r="A45969" s="0" t="s">
        <v>16358</v>
      </c>
      <c r="B45969" s="0" t="str">
        <f aca="false">HYPERLINK("https://lindat.mff.cuni.cz/services/teitok/pdtc10/index.php?action=vallex&amp;frame=v-w6310hsa_398", "spálit (v-w6310hsa_398)")</f>
        <v>spálit (v-w6310hsa_398)</v>
      </c>
    </row>
    <row r="45970" customFormat="false" ht="12.8" hidden="false" customHeight="false" outlineLevel="0" collapsed="false">
      <c r="B45970" s="0" t="s">
        <v>7</v>
      </c>
      <c r="C45970" s="0" t="s">
        <v>1332</v>
      </c>
    </row>
    <row r="45971" customFormat="false" ht="12.8" hidden="false" customHeight="false" outlineLevel="0" collapsed="false">
      <c r="B45971" s="0" t="s">
        <v>14</v>
      </c>
      <c r="C45971" s="0" t="s">
        <v>12514</v>
      </c>
    </row>
    <row r="45973" customFormat="false" ht="12.8" hidden="false" customHeight="false" outlineLevel="0" collapsed="false">
      <c r="A45973" s="0" t="s">
        <v>16359</v>
      </c>
      <c r="B45973" s="0" t="str">
        <f aca="false">HYPERLINK("https://lindat.mff.cuni.cz/services/teitok/pdtc10/index.php?action=vallex&amp;frame=v-w11594_ZUf1_ZU", "spálit se (v-w11594_ZUf1_ZU)")</f>
        <v>spálit se (v-w11594_ZUf1_ZU)</v>
      </c>
    </row>
    <row r="45974" customFormat="false" ht="12.8" hidden="false" customHeight="false" outlineLevel="0" collapsed="false">
      <c r="B45974" s="0" t="s">
        <v>7</v>
      </c>
      <c r="C45974" s="0" t="s">
        <v>5013</v>
      </c>
      <c r="D45974" s="0" t="s">
        <v>11843</v>
      </c>
      <c r="E45974" s="0" t="s">
        <v>11843</v>
      </c>
      <c r="F45974" s="0" t="s">
        <v>11843</v>
      </c>
    </row>
    <row r="45976" customFormat="false" ht="12.8" hidden="false" customHeight="false" outlineLevel="0" collapsed="false">
      <c r="A45976" s="0" t="s">
        <v>16360</v>
      </c>
      <c r="B45976" s="0" t="str">
        <f aca="false">HYPERLINK("https://lindat.mff.cuni.cz/services/teitok/pdtc10/index.php?action=vallex&amp;frame=v-w11594_ZUhsa_294", "spálit se (v-w11594_ZUhsa_294)")</f>
        <v>spálit se (v-w11594_ZUhsa_294)</v>
      </c>
    </row>
    <row r="45977" customFormat="false" ht="12.8" hidden="false" customHeight="false" outlineLevel="0" collapsed="false">
      <c r="B45977" s="0" t="s">
        <v>7</v>
      </c>
    </row>
    <row r="45979" customFormat="false" ht="12.8" hidden="false" customHeight="false" outlineLevel="0" collapsed="false">
      <c r="A45979" s="0" t="s">
        <v>16361</v>
      </c>
      <c r="B45979" s="0" t="str">
        <f aca="false">HYPERLINK("https://lindat.mff.cuni.cz/services/teitok/pdtc10/index.php?action=vallex&amp;frame=v-whsa_414hsa_415", "spást (v-whsa_414hsa_415)")</f>
        <v>spást (v-whsa_414hsa_415)</v>
      </c>
    </row>
    <row r="45980" customFormat="false" ht="12.8" hidden="false" customHeight="false" outlineLevel="0" collapsed="false">
      <c r="B45980" s="0" t="s">
        <v>7</v>
      </c>
    </row>
    <row r="45981" customFormat="false" ht="12.8" hidden="false" customHeight="false" outlineLevel="0" collapsed="false">
      <c r="B45981" s="0" t="s">
        <v>14</v>
      </c>
    </row>
    <row r="45983" customFormat="false" ht="12.8" hidden="false" customHeight="false" outlineLevel="0" collapsed="false">
      <c r="A45983" s="0" t="s">
        <v>16362</v>
      </c>
      <c r="B45983" s="0" t="str">
        <f aca="false">HYPERLINK("https://lindat.mff.cuni.cz/services/teitok/pdtc10/index.php?action=vallex&amp;frame=v-w6315f2_ZU", "spát (v-w6315f2_ZU)")</f>
        <v>spát (v-w6315f2_ZU)</v>
      </c>
    </row>
    <row r="45984" customFormat="false" ht="12.8" hidden="false" customHeight="false" outlineLevel="0" collapsed="false">
      <c r="B45984" s="0" t="s">
        <v>7</v>
      </c>
      <c r="C45984" s="0" t="s">
        <v>191</v>
      </c>
    </row>
    <row r="45985" customFormat="false" ht="12.8" hidden="false" customHeight="false" outlineLevel="0" collapsed="false">
      <c r="B45985" s="0" t="s">
        <v>548</v>
      </c>
    </row>
    <row r="45987" customFormat="false" ht="12.8" hidden="false" customHeight="false" outlineLevel="0" collapsed="false">
      <c r="A45987" s="0" t="s">
        <v>16363</v>
      </c>
      <c r="B45987" s="0" t="str">
        <f aca="false">HYPERLINK("https://lindat.mff.cuni.cz/services/teitok/pdtc10/index.php?action=vallex&amp;frame=v-w6315f1", "spát (v-w6315f1)")</f>
        <v>spát (v-w6315f1)</v>
      </c>
    </row>
    <row r="45988" customFormat="false" ht="12.8" hidden="false" customHeight="false" outlineLevel="0" collapsed="false">
      <c r="B45988" s="0" t="s">
        <v>7</v>
      </c>
      <c r="C45988" s="0" t="s">
        <v>623</v>
      </c>
      <c r="D45988" s="0" t="s">
        <v>88</v>
      </c>
      <c r="E45988" s="0" t="s">
        <v>88</v>
      </c>
      <c r="F45988" s="0" t="s">
        <v>88</v>
      </c>
    </row>
    <row r="45990" customFormat="false" ht="12.8" hidden="false" customHeight="false" outlineLevel="0" collapsed="false">
      <c r="A45990" s="0" t="s">
        <v>16364</v>
      </c>
      <c r="B45990" s="0" t="str">
        <f aca="false">HYPERLINK("https://lindat.mff.cuni.cz/services/teitok/pdtc10/index.php?action=vallex&amp;frame=v-whsa_1818f1_ZU", "spávat (v-whsa_1818f1_ZU)")</f>
        <v>spávat (v-whsa_1818f1_ZU)</v>
      </c>
    </row>
    <row r="45991" customFormat="false" ht="12.8" hidden="false" customHeight="false" outlineLevel="0" collapsed="false">
      <c r="B45991" s="0" t="s">
        <v>7</v>
      </c>
    </row>
    <row r="45993" customFormat="false" ht="12.8" hidden="false" customHeight="false" outlineLevel="0" collapsed="false">
      <c r="A45993" s="0" t="s">
        <v>16364</v>
      </c>
      <c r="B45993" s="0" t="str">
        <f aca="false">HYPERLINK("https://lindat.mff.cuni.cz/services/teitok/pdtc10/index.php?action=vallex&amp;frame=v-whsa_1818hsa_1819", "spávat (v-whsa_1818hsa_1819) - substituted with v-whsa_1818f1_ZU")</f>
        <v>spávat (v-whsa_1818hsa_1819) - substituted with v-whsa_1818f1_ZU</v>
      </c>
    </row>
    <row r="45994" customFormat="false" ht="12.8" hidden="false" customHeight="false" outlineLevel="0" collapsed="false">
      <c r="B45994" s="0" t="s">
        <v>7</v>
      </c>
    </row>
    <row r="45996" customFormat="false" ht="12.8" hidden="false" customHeight="false" outlineLevel="0" collapsed="false">
      <c r="A45996" s="0" t="s">
        <v>16365</v>
      </c>
      <c r="B45996" s="0" t="str">
        <f aca="false">HYPERLINK("https://lindat.mff.cuni.cz/services/teitok/pdtc10/index.php?action=vallex&amp;frame=v-w10379f3", "spářit (v-w10379f3)")</f>
        <v>spářit (v-w10379f3)</v>
      </c>
    </row>
    <row r="45997" customFormat="false" ht="12.8" hidden="false" customHeight="false" outlineLevel="0" collapsed="false">
      <c r="B45997" s="0" t="s">
        <v>7</v>
      </c>
    </row>
    <row r="45998" customFormat="false" ht="12.8" hidden="false" customHeight="false" outlineLevel="0" collapsed="false">
      <c r="B45998" s="0" t="s">
        <v>14</v>
      </c>
      <c r="C45998" s="0" t="s">
        <v>203</v>
      </c>
    </row>
    <row r="46000" customFormat="false" ht="12.8" hidden="false" customHeight="false" outlineLevel="0" collapsed="false">
      <c r="A46000" s="0" t="s">
        <v>16366</v>
      </c>
      <c r="B46000" s="0" t="str">
        <f aca="false">HYPERLINK("https://lindat.mff.cuni.cz/services/teitok/pdtc10/index.php?action=vallex&amp;frame=v-w6331f1", "spíchnout (v-w6331f1)")</f>
        <v>spíchnout (v-w6331f1)</v>
      </c>
    </row>
    <row r="46001" customFormat="false" ht="12.8" hidden="false" customHeight="false" outlineLevel="0" collapsed="false">
      <c r="B46001" s="0" t="s">
        <v>7</v>
      </c>
    </row>
    <row r="46002" customFormat="false" ht="12.8" hidden="false" customHeight="false" outlineLevel="0" collapsed="false">
      <c r="B46002" s="0" t="s">
        <v>14</v>
      </c>
    </row>
    <row r="46003" customFormat="false" ht="12.8" hidden="false" customHeight="false" outlineLevel="0" collapsed="false">
      <c r="B46003" s="0" t="s">
        <v>35</v>
      </c>
    </row>
    <row r="46005" customFormat="false" ht="12.8" hidden="false" customHeight="false" outlineLevel="0" collapsed="false">
      <c r="A46005" s="0" t="s">
        <v>16367</v>
      </c>
      <c r="B46005" s="0" t="str">
        <f aca="false">HYPERLINK("https://lindat.mff.cuni.cz/services/teitok/pdtc10/index.php?action=vallex&amp;frame=v-w6331f2", "spíchnout (v-w6331f2)")</f>
        <v>spíchnout (v-w6331f2)</v>
      </c>
    </row>
    <row r="46006" customFormat="false" ht="12.8" hidden="false" customHeight="false" outlineLevel="0" collapsed="false">
      <c r="B46006" s="0" t="s">
        <v>7</v>
      </c>
    </row>
    <row r="46007" customFormat="false" ht="12.8" hidden="false" customHeight="false" outlineLevel="0" collapsed="false">
      <c r="B46007" s="0" t="s">
        <v>14</v>
      </c>
    </row>
    <row r="46008" customFormat="false" ht="12.8" hidden="false" customHeight="false" outlineLevel="0" collapsed="false">
      <c r="B46008" s="0" t="s">
        <v>35</v>
      </c>
    </row>
    <row r="46010" customFormat="false" ht="12.8" hidden="false" customHeight="false" outlineLevel="0" collapsed="false">
      <c r="A46010" s="0" t="s">
        <v>16368</v>
      </c>
      <c r="B46010" s="0" t="str">
        <f aca="false">HYPERLINK("https://lindat.mff.cuni.cz/services/teitok/pdtc10/index.php?action=vallex&amp;frame=v-w6333f1", "spílat (v-w6333f1)")</f>
        <v>spílat (v-w6333f1)</v>
      </c>
    </row>
    <row r="46011" customFormat="false" ht="12.8" hidden="false" customHeight="false" outlineLevel="0" collapsed="false">
      <c r="B46011" s="0" t="s">
        <v>7</v>
      </c>
      <c r="C46011" s="0" t="s">
        <v>191</v>
      </c>
      <c r="D46011" s="0" t="s">
        <v>21</v>
      </c>
      <c r="E46011" s="0" t="s">
        <v>21</v>
      </c>
      <c r="F46011" s="0" t="s">
        <v>21</v>
      </c>
    </row>
    <row r="46012" customFormat="false" ht="12.8" hidden="false" customHeight="false" outlineLevel="0" collapsed="false">
      <c r="B46012" s="0" t="s">
        <v>48</v>
      </c>
      <c r="C46012" s="0" t="s">
        <v>3323</v>
      </c>
      <c r="D46012" s="0" t="s">
        <v>16369</v>
      </c>
      <c r="E46012" s="0" t="s">
        <v>16369</v>
      </c>
      <c r="F46012" s="0" t="s">
        <v>16369</v>
      </c>
    </row>
    <row r="46013" customFormat="false" ht="12.8" hidden="false" customHeight="false" outlineLevel="0" collapsed="false">
      <c r="B46013" s="0" t="s">
        <v>16370</v>
      </c>
      <c r="D46013" s="0" t="s">
        <v>4813</v>
      </c>
      <c r="E46013" s="0" t="s">
        <v>4813</v>
      </c>
      <c r="F46013" s="0" t="s">
        <v>4813</v>
      </c>
    </row>
    <row r="46015" customFormat="false" ht="12.8" hidden="false" customHeight="false" outlineLevel="0" collapsed="false">
      <c r="A46015" s="0" t="s">
        <v>16371</v>
      </c>
      <c r="B46015" s="0" t="str">
        <f aca="false">HYPERLINK("https://lindat.mff.cuni.cz/services/teitok/pdtc10/index.php?action=vallex&amp;frame=v-w6326f4_MM", "spěchat (v-w6326f4_MM)")</f>
        <v>spěchat (v-w6326f4_MM)</v>
      </c>
    </row>
    <row r="46016" customFormat="false" ht="12.8" hidden="false" customHeight="false" outlineLevel="0" collapsed="false">
      <c r="B46016" s="0" t="s">
        <v>7</v>
      </c>
    </row>
    <row r="46017" customFormat="false" ht="12.8" hidden="false" customHeight="false" outlineLevel="0" collapsed="false">
      <c r="B46017" s="0" t="s">
        <v>16372</v>
      </c>
    </row>
    <row r="46019" customFormat="false" ht="12.8" hidden="false" customHeight="false" outlineLevel="0" collapsed="false">
      <c r="A46019" s="0" t="s">
        <v>16371</v>
      </c>
      <c r="B46019" s="0" t="str">
        <f aca="false">HYPERLINK("https://lindat.mff.cuni.cz/services/teitok/pdtc10/index.php?action=vallex&amp;frame=v-w6326f2", "spěchat (v-w6326f2) - substituted with v-w6326f4_MM")</f>
        <v>spěchat (v-w6326f2) - substituted with v-w6326f4_MM</v>
      </c>
    </row>
    <row r="46020" customFormat="false" ht="12.8" hidden="false" customHeight="false" outlineLevel="0" collapsed="false">
      <c r="B46020" s="0" t="s">
        <v>7</v>
      </c>
      <c r="C46020" s="0" t="s">
        <v>16373</v>
      </c>
    </row>
    <row r="46021" customFormat="false" ht="12.8" hidden="false" customHeight="false" outlineLevel="0" collapsed="false">
      <c r="B46021" s="0" t="s">
        <v>16372</v>
      </c>
      <c r="C46021" s="0" t="s">
        <v>16374</v>
      </c>
    </row>
    <row r="46023" customFormat="false" ht="12.8" hidden="false" customHeight="false" outlineLevel="0" collapsed="false">
      <c r="A46023" s="0" t="s">
        <v>16371</v>
      </c>
      <c r="B46023" s="0" t="str">
        <f aca="false">HYPERLINK("https://lindat.mff.cuni.cz/services/teitok/pdtc10/index.php?action=vallex&amp;frame=v-w6326hsa_1016", "spěchat (v-w6326hsa_1016) - substituted with v-w6326f4_MM")</f>
        <v>spěchat (v-w6326hsa_1016) - substituted with v-w6326f4_MM</v>
      </c>
    </row>
    <row r="46024" customFormat="false" ht="12.8" hidden="false" customHeight="false" outlineLevel="0" collapsed="false">
      <c r="B46024" s="0" t="s">
        <v>7</v>
      </c>
      <c r="C46024" s="0" t="s">
        <v>10862</v>
      </c>
      <c r="D46024" s="0" t="s">
        <v>3867</v>
      </c>
      <c r="E46024" s="0" t="s">
        <v>3867</v>
      </c>
      <c r="F46024" s="0" t="s">
        <v>3867</v>
      </c>
    </row>
    <row r="46025" customFormat="false" ht="12.8" hidden="false" customHeight="false" outlineLevel="0" collapsed="false">
      <c r="B46025" s="0" t="s">
        <v>16372</v>
      </c>
      <c r="D46025" s="0" t="s">
        <v>3872</v>
      </c>
      <c r="E46025" s="0" t="s">
        <v>3872</v>
      </c>
      <c r="F46025" s="0" t="s">
        <v>3872</v>
      </c>
    </row>
    <row r="46027" customFormat="false" ht="12.8" hidden="false" customHeight="false" outlineLevel="0" collapsed="false">
      <c r="A46027" s="0" t="s">
        <v>16375</v>
      </c>
      <c r="B46027" s="0" t="str">
        <f aca="false">HYPERLINK("https://lindat.mff.cuni.cz/services/teitok/pdtc10/index.php?action=vallex&amp;frame=v-w6326f1", "spěchat (v-w6326f1)")</f>
        <v>spěchat (v-w6326f1)</v>
      </c>
    </row>
    <row r="46028" customFormat="false" ht="12.8" hidden="false" customHeight="false" outlineLevel="0" collapsed="false">
      <c r="B46028" s="0" t="s">
        <v>7</v>
      </c>
      <c r="C46028" s="0" t="s">
        <v>16376</v>
      </c>
      <c r="D46028" s="0" t="s">
        <v>200</v>
      </c>
      <c r="E46028" s="0" t="s">
        <v>200</v>
      </c>
      <c r="F46028" s="0" t="s">
        <v>200</v>
      </c>
    </row>
    <row r="46029" customFormat="false" ht="12.8" hidden="false" customHeight="false" outlineLevel="0" collapsed="false">
      <c r="B46029" s="0" t="s">
        <v>124</v>
      </c>
    </row>
    <row r="46031" customFormat="false" ht="12.8" hidden="false" customHeight="false" outlineLevel="0" collapsed="false">
      <c r="A46031" s="0" t="s">
        <v>16377</v>
      </c>
      <c r="B46031" s="0" t="str">
        <f aca="false">HYPERLINK("https://lindat.mff.cuni.cz/services/teitok/pdtc10/index.php?action=vallex&amp;frame=v-w6326f3", "spěchat (v-w6326f3)")</f>
        <v>spěchat (v-w6326f3)</v>
      </c>
    </row>
    <row r="46032" customFormat="false" ht="12.8" hidden="false" customHeight="false" outlineLevel="0" collapsed="false">
      <c r="B46032" s="0" t="s">
        <v>7</v>
      </c>
      <c r="C46032" s="0" t="s">
        <v>10862</v>
      </c>
    </row>
    <row r="46034" customFormat="false" ht="12.8" hidden="false" customHeight="false" outlineLevel="0" collapsed="false">
      <c r="A46034" s="0" t="s">
        <v>16378</v>
      </c>
      <c r="B46034" s="0" t="str">
        <f aca="false">HYPERLINK("https://lindat.mff.cuni.cz/services/teitok/pdtc10/index.php?action=vallex&amp;frame=v-w10264f2", "spěchávat (v-w10264f2)")</f>
        <v>spěchávat (v-w10264f2)</v>
      </c>
    </row>
    <row r="46035" customFormat="false" ht="12.8" hidden="false" customHeight="false" outlineLevel="0" collapsed="false">
      <c r="B46035" s="0" t="s">
        <v>7</v>
      </c>
      <c r="D46035" s="0" t="s">
        <v>200</v>
      </c>
      <c r="E46035" s="0" t="s">
        <v>200</v>
      </c>
      <c r="F46035" s="0" t="s">
        <v>200</v>
      </c>
    </row>
    <row r="46036" customFormat="false" ht="12.8" hidden="false" customHeight="false" outlineLevel="0" collapsed="false">
      <c r="B46036" s="0" t="s">
        <v>124</v>
      </c>
    </row>
    <row r="46038" customFormat="false" ht="12.8" hidden="false" customHeight="false" outlineLevel="0" collapsed="false">
      <c r="A46038" s="0" t="s">
        <v>16379</v>
      </c>
      <c r="B46038" s="0" t="str">
        <f aca="false">HYPERLINK("https://lindat.mff.cuni.cz/services/teitok/pdtc10/index.php?action=vallex&amp;frame=v-w6330f1", "spět (v-w6330f1)")</f>
        <v>spět (v-w6330f1)</v>
      </c>
    </row>
    <row r="46039" customFormat="false" ht="12.8" hidden="false" customHeight="false" outlineLevel="0" collapsed="false">
      <c r="B46039" s="0" t="s">
        <v>7</v>
      </c>
      <c r="C46039" s="0" t="s">
        <v>396</v>
      </c>
      <c r="D46039" s="0" t="s">
        <v>16380</v>
      </c>
      <c r="E46039" s="0" t="s">
        <v>16380</v>
      </c>
      <c r="F46039" s="0" t="s">
        <v>16380</v>
      </c>
    </row>
    <row r="46040" customFormat="false" ht="12.8" hidden="false" customHeight="false" outlineLevel="0" collapsed="false">
      <c r="B46040" s="0" t="s">
        <v>237</v>
      </c>
      <c r="D46040" s="0" t="s">
        <v>16381</v>
      </c>
      <c r="E46040" s="0" t="s">
        <v>16381</v>
      </c>
      <c r="F46040" s="0" t="s">
        <v>16381</v>
      </c>
    </row>
    <row r="46042" customFormat="false" ht="12.8" hidden="false" customHeight="false" outlineLevel="0" collapsed="false">
      <c r="A46042" s="0" t="s">
        <v>16382</v>
      </c>
      <c r="B46042" s="0" t="str">
        <f aca="false">HYPERLINK("https://lindat.mff.cuni.cz/services/teitok/pdtc10/index.php?action=vallex&amp;frame=v-w6330f2", "spět (v-w6330f2)")</f>
        <v>spět (v-w6330f2)</v>
      </c>
    </row>
    <row r="46043" customFormat="false" ht="12.8" hidden="false" customHeight="false" outlineLevel="0" collapsed="false">
      <c r="B46043" s="0" t="s">
        <v>7</v>
      </c>
    </row>
    <row r="46044" customFormat="false" ht="12.8" hidden="false" customHeight="false" outlineLevel="0" collapsed="false">
      <c r="B46044" s="0" t="s">
        <v>124</v>
      </c>
    </row>
    <row r="46046" customFormat="false" ht="12.8" hidden="false" customHeight="false" outlineLevel="0" collapsed="false">
      <c r="A46046" s="0" t="s">
        <v>16383</v>
      </c>
      <c r="B46046" s="0" t="str">
        <f aca="false">HYPERLINK("https://lindat.mff.cuni.cz/services/teitok/pdtc10/index.php?action=vallex&amp;frame=v-w6435f2", "spřádat (v-w6435f2)")</f>
        <v>spřádat (v-w6435f2)</v>
      </c>
    </row>
    <row r="46047" customFormat="false" ht="12.8" hidden="false" customHeight="false" outlineLevel="0" collapsed="false">
      <c r="B46047" s="0" t="s">
        <v>7</v>
      </c>
    </row>
    <row r="46048" customFormat="false" ht="12.8" hidden="false" customHeight="false" outlineLevel="0" collapsed="false">
      <c r="B46048" s="0" t="s">
        <v>14</v>
      </c>
    </row>
    <row r="46050" customFormat="false" ht="12.8" hidden="false" customHeight="false" outlineLevel="0" collapsed="false">
      <c r="A46050" s="0" t="s">
        <v>16384</v>
      </c>
      <c r="B46050" s="0" t="str">
        <f aca="false">HYPERLINK("https://lindat.mff.cuni.cz/services/teitok/pdtc10/index.php?action=vallex&amp;frame=v-w6435f3", "spřádat (v-w6435f3)")</f>
        <v>spřádat (v-w6435f3)</v>
      </c>
    </row>
    <row r="46051" customFormat="false" ht="12.8" hidden="false" customHeight="false" outlineLevel="0" collapsed="false">
      <c r="B46051" s="0" t="s">
        <v>7</v>
      </c>
    </row>
    <row r="46052" customFormat="false" ht="12.8" hidden="false" customHeight="false" outlineLevel="0" collapsed="false">
      <c r="B46052" s="0" t="s">
        <v>16385</v>
      </c>
    </row>
    <row r="46054" customFormat="false" ht="12.8" hidden="false" customHeight="false" outlineLevel="0" collapsed="false">
      <c r="A46054" s="0" t="s">
        <v>16384</v>
      </c>
      <c r="B46054" s="0" t="str">
        <f aca="false">HYPERLINK("https://lindat.mff.cuni.cz/services/teitok/pdtc10/index.php?action=vallex&amp;frame=v-w6435f1", "spřádat (v-w6435f1) - substituted with v-w6435f3")</f>
        <v>spřádat (v-w6435f1) - substituted with v-w6435f3</v>
      </c>
    </row>
    <row r="46055" customFormat="false" ht="12.8" hidden="false" customHeight="false" outlineLevel="0" collapsed="false">
      <c r="B46055" s="0" t="s">
        <v>7</v>
      </c>
    </row>
    <row r="46056" customFormat="false" ht="12.8" hidden="false" customHeight="false" outlineLevel="0" collapsed="false">
      <c r="B46056" s="0" t="s">
        <v>16385</v>
      </c>
    </row>
    <row r="46058" customFormat="false" ht="12.8" hidden="false" customHeight="false" outlineLevel="0" collapsed="false">
      <c r="A46058" s="0" t="s">
        <v>16386</v>
      </c>
      <c r="B46058" s="0" t="str">
        <f aca="false">HYPERLINK("https://lindat.mff.cuni.cz/services/teitok/pdtc10/index.php?action=vallex&amp;frame=v-w11300f1", "spřáhnout se (v-w11300f1)")</f>
        <v>spřáhnout se (v-w11300f1)</v>
      </c>
    </row>
    <row r="46059" customFormat="false" ht="12.8" hidden="false" customHeight="false" outlineLevel="0" collapsed="false">
      <c r="B46059" s="0" t="s">
        <v>7</v>
      </c>
      <c r="C46059" s="0" t="s">
        <v>4651</v>
      </c>
      <c r="D46059" s="0" t="s">
        <v>2780</v>
      </c>
      <c r="E46059" s="0" t="s">
        <v>2780</v>
      </c>
      <c r="F46059" s="0" t="s">
        <v>2780</v>
      </c>
    </row>
    <row r="46060" customFormat="false" ht="12.8" hidden="false" customHeight="false" outlineLevel="0" collapsed="false">
      <c r="B46060" s="0" t="s">
        <v>548</v>
      </c>
      <c r="C46060" s="0" t="s">
        <v>4706</v>
      </c>
      <c r="D46060" s="0" t="s">
        <v>2781</v>
      </c>
      <c r="E46060" s="0" t="s">
        <v>2781</v>
      </c>
      <c r="F46060" s="0" t="s">
        <v>2781</v>
      </c>
    </row>
    <row r="46061" customFormat="false" ht="12.8" hidden="false" customHeight="false" outlineLevel="0" collapsed="false">
      <c r="B46061" s="0" t="s">
        <v>2571</v>
      </c>
      <c r="D46061" s="0" t="s">
        <v>10273</v>
      </c>
      <c r="E46061" s="0" t="s">
        <v>10273</v>
      </c>
      <c r="F46061" s="0" t="s">
        <v>10273</v>
      </c>
    </row>
    <row r="46063" customFormat="false" ht="12.8" hidden="false" customHeight="false" outlineLevel="0" collapsed="false">
      <c r="A46063" s="0" t="s">
        <v>16387</v>
      </c>
      <c r="B46063" s="0" t="str">
        <f aca="false">HYPERLINK("https://lindat.mff.cuni.cz/services/teitok/pdtc10/index.php?action=vallex&amp;frame=v-w6436f1", "spřátelit se (v-w6436f1)")</f>
        <v>spřátelit se (v-w6436f1)</v>
      </c>
    </row>
    <row r="46064" customFormat="false" ht="12.8" hidden="false" customHeight="false" outlineLevel="0" collapsed="false">
      <c r="B46064" s="0" t="s">
        <v>7</v>
      </c>
    </row>
    <row r="46065" customFormat="false" ht="12.8" hidden="false" customHeight="false" outlineLevel="0" collapsed="false">
      <c r="B46065" s="0" t="s">
        <v>548</v>
      </c>
    </row>
    <row r="46067" customFormat="false" ht="12.8" hidden="false" customHeight="false" outlineLevel="0" collapsed="false">
      <c r="A46067" s="0" t="s">
        <v>16388</v>
      </c>
      <c r="B46067" s="0" t="str">
        <f aca="false">HYPERLINK("https://lindat.mff.cuni.cz/services/teitok/pdtc10/index.php?action=vallex&amp;frame=v-w6442f3_ZU", "srazit (v-w6442f3_ZU)")</f>
        <v>srazit (v-w6442f3_ZU)</v>
      </c>
    </row>
    <row r="46068" customFormat="false" ht="12.8" hidden="false" customHeight="false" outlineLevel="0" collapsed="false">
      <c r="B46068" s="0" t="s">
        <v>7</v>
      </c>
      <c r="C46068" s="0" t="s">
        <v>16389</v>
      </c>
      <c r="D46068" s="0" t="s">
        <v>9101</v>
      </c>
      <c r="E46068" s="0" t="s">
        <v>8863</v>
      </c>
      <c r="F46068" s="0" t="s">
        <v>8863</v>
      </c>
    </row>
    <row r="46069" customFormat="false" ht="12.8" hidden="false" customHeight="false" outlineLevel="0" collapsed="false">
      <c r="B46069" s="0" t="s">
        <v>14</v>
      </c>
      <c r="C46069" s="0" t="s">
        <v>433</v>
      </c>
      <c r="D46069" s="0" t="s">
        <v>9102</v>
      </c>
      <c r="E46069" s="0" t="s">
        <v>8865</v>
      </c>
      <c r="F46069" s="0" t="s">
        <v>8865</v>
      </c>
    </row>
    <row r="46070" customFormat="false" ht="12.8" hidden="false" customHeight="false" outlineLevel="0" collapsed="false">
      <c r="B46070" s="0" t="s">
        <v>35</v>
      </c>
      <c r="C46070" s="0" t="s">
        <v>16390</v>
      </c>
      <c r="D46070" s="0" t="s">
        <v>9103</v>
      </c>
      <c r="E46070" s="0" t="s">
        <v>8867</v>
      </c>
      <c r="F46070" s="0" t="s">
        <v>8867</v>
      </c>
    </row>
    <row r="46071" customFormat="false" ht="12.8" hidden="false" customHeight="false" outlineLevel="0" collapsed="false">
      <c r="B46071" s="0" t="s">
        <v>84</v>
      </c>
      <c r="C46071" s="0" t="s">
        <v>16391</v>
      </c>
      <c r="D46071" s="0" t="s">
        <v>9104</v>
      </c>
      <c r="E46071" s="0" t="s">
        <v>8869</v>
      </c>
      <c r="F46071" s="0" t="s">
        <v>8869</v>
      </c>
    </row>
    <row r="46073" customFormat="false" ht="12.8" hidden="false" customHeight="false" outlineLevel="0" collapsed="false">
      <c r="A46073" s="0" t="s">
        <v>16392</v>
      </c>
      <c r="B46073" s="0" t="str">
        <f aca="false">HYPERLINK("https://lindat.mff.cuni.cz/services/teitok/pdtc10/index.php?action=vallex&amp;frame=v-w6442f4_ZU", "srazit (v-w6442f4_ZU)")</f>
        <v>srazit (v-w6442f4_ZU)</v>
      </c>
    </row>
    <row r="46074" customFormat="false" ht="12.8" hidden="false" customHeight="false" outlineLevel="0" collapsed="false">
      <c r="B46074" s="0" t="s">
        <v>7</v>
      </c>
      <c r="C46074" s="0" t="s">
        <v>191</v>
      </c>
      <c r="D46074" s="0" t="s">
        <v>191</v>
      </c>
      <c r="E46074" s="0" t="s">
        <v>191</v>
      </c>
      <c r="F46074" s="0" t="s">
        <v>191</v>
      </c>
    </row>
    <row r="46075" customFormat="false" ht="12.8" hidden="false" customHeight="false" outlineLevel="0" collapsed="false">
      <c r="B46075" s="0" t="s">
        <v>14</v>
      </c>
      <c r="C46075" s="0" t="s">
        <v>155</v>
      </c>
      <c r="D46075" s="0" t="s">
        <v>155</v>
      </c>
      <c r="E46075" s="0" t="s">
        <v>155</v>
      </c>
      <c r="F46075" s="0" t="s">
        <v>155</v>
      </c>
    </row>
    <row r="46076" customFormat="false" ht="12.8" hidden="false" customHeight="false" outlineLevel="0" collapsed="false">
      <c r="B46076" s="0" t="s">
        <v>5382</v>
      </c>
    </row>
    <row r="46078" customFormat="false" ht="12.8" hidden="false" customHeight="false" outlineLevel="0" collapsed="false">
      <c r="A46078" s="0" t="s">
        <v>16393</v>
      </c>
      <c r="B46078" s="0" t="str">
        <f aca="false">HYPERLINK("https://lindat.mff.cuni.cz/services/teitok/pdtc10/index.php?action=vallex&amp;frame=v-w6442f1", "srazit (v-w6442f1)")</f>
        <v>srazit (v-w6442f1)</v>
      </c>
    </row>
    <row r="46079" customFormat="false" ht="12.8" hidden="false" customHeight="false" outlineLevel="0" collapsed="false">
      <c r="B46079" s="0" t="s">
        <v>7</v>
      </c>
      <c r="C46079" s="0" t="s">
        <v>1154</v>
      </c>
    </row>
    <row r="46080" customFormat="false" ht="12.8" hidden="false" customHeight="false" outlineLevel="0" collapsed="false">
      <c r="B46080" s="0" t="s">
        <v>14</v>
      </c>
      <c r="C46080" s="0" t="s">
        <v>26</v>
      </c>
    </row>
    <row r="46082" customFormat="false" ht="12.8" hidden="false" customHeight="false" outlineLevel="0" collapsed="false">
      <c r="A46082" s="0" t="s">
        <v>16394</v>
      </c>
      <c r="B46082" s="0" t="str">
        <f aca="false">HYPERLINK("https://lindat.mff.cuni.cz/services/teitok/pdtc10/index.php?action=vallex&amp;frame=v-w6442f2", "srazit (v-w6442f2)")</f>
        <v>srazit (v-w6442f2)</v>
      </c>
    </row>
    <row r="46083" customFormat="false" ht="12.8" hidden="false" customHeight="false" outlineLevel="0" collapsed="false">
      <c r="B46083" s="0" t="s">
        <v>7</v>
      </c>
    </row>
    <row r="46084" customFormat="false" ht="12.8" hidden="false" customHeight="false" outlineLevel="0" collapsed="false">
      <c r="B46084" s="0" t="s">
        <v>16395</v>
      </c>
    </row>
    <row r="46085" customFormat="false" ht="12.8" hidden="false" customHeight="false" outlineLevel="0" collapsed="false">
      <c r="B46085" s="0" t="s">
        <v>14</v>
      </c>
    </row>
    <row r="46087" customFormat="false" ht="12.8" hidden="false" customHeight="false" outlineLevel="0" collapsed="false">
      <c r="A46087" s="0" t="s">
        <v>16396</v>
      </c>
      <c r="B46087" s="0" t="str">
        <f aca="false">HYPERLINK("https://lindat.mff.cuni.cz/services/teitok/pdtc10/index.php?action=vallex&amp;frame=v-w6442f5_ZU", "srazit (v-w6442f5_ZU)")</f>
        <v>srazit (v-w6442f5_ZU)</v>
      </c>
    </row>
    <row r="46088" customFormat="false" ht="12.8" hidden="false" customHeight="false" outlineLevel="0" collapsed="false">
      <c r="B46088" s="0" t="s">
        <v>7</v>
      </c>
    </row>
    <row r="46089" customFormat="false" ht="12.8" hidden="false" customHeight="false" outlineLevel="0" collapsed="false">
      <c r="B46089" s="0" t="s">
        <v>14</v>
      </c>
    </row>
    <row r="46090" customFormat="false" ht="12.8" hidden="false" customHeight="false" outlineLevel="0" collapsed="false">
      <c r="B46090" s="0" t="s">
        <v>35</v>
      </c>
    </row>
    <row r="46091" customFormat="false" ht="12.8" hidden="false" customHeight="false" outlineLevel="0" collapsed="false">
      <c r="B46091" s="0" t="s">
        <v>84</v>
      </c>
    </row>
    <row r="46093" customFormat="false" ht="12.8" hidden="false" customHeight="false" outlineLevel="0" collapsed="false">
      <c r="A46093" s="0" t="s">
        <v>16396</v>
      </c>
      <c r="B46093" s="0" t="str">
        <f aca="false">HYPERLINK("https://lindat.mff.cuni.cz/services/teitok/pdtc10/index.php?action=vallex&amp;frame=v-w6442hsa_1584", "srazit (v-w6442hsa_1584) - substituted with v-w6442f5_ZU")</f>
        <v>srazit (v-w6442hsa_1584) - substituted with v-w6442f5_ZU</v>
      </c>
    </row>
    <row r="46094" customFormat="false" ht="12.8" hidden="false" customHeight="false" outlineLevel="0" collapsed="false">
      <c r="B46094" s="0" t="s">
        <v>7</v>
      </c>
    </row>
    <row r="46095" customFormat="false" ht="12.8" hidden="false" customHeight="false" outlineLevel="0" collapsed="false">
      <c r="B46095" s="0" t="s">
        <v>14</v>
      </c>
    </row>
    <row r="46096" customFormat="false" ht="12.8" hidden="false" customHeight="false" outlineLevel="0" collapsed="false">
      <c r="B46096" s="0" t="s">
        <v>35</v>
      </c>
    </row>
    <row r="46097" customFormat="false" ht="12.8" hidden="false" customHeight="false" outlineLevel="0" collapsed="false">
      <c r="B46097" s="0" t="s">
        <v>84</v>
      </c>
    </row>
    <row r="46099" customFormat="false" ht="12.8" hidden="false" customHeight="false" outlineLevel="0" collapsed="false">
      <c r="A46099" s="0" t="s">
        <v>16397</v>
      </c>
      <c r="B46099" s="0" t="str">
        <f aca="false">HYPERLINK("https://lindat.mff.cuni.cz/services/teitok/pdtc10/index.php?action=vallex&amp;frame=v-w6443f1", "srazit se (v-w6443f1)")</f>
        <v>srazit se (v-w6443f1)</v>
      </c>
    </row>
    <row r="46100" customFormat="false" ht="12.8" hidden="false" customHeight="false" outlineLevel="0" collapsed="false">
      <c r="B46100" s="0" t="s">
        <v>7</v>
      </c>
      <c r="E46100" s="0" t="s">
        <v>6516</v>
      </c>
      <c r="F46100" s="0" t="s">
        <v>6516</v>
      </c>
    </row>
    <row r="46101" customFormat="false" ht="12.8" hidden="false" customHeight="false" outlineLevel="0" collapsed="false">
      <c r="B46101" s="0" t="s">
        <v>548</v>
      </c>
      <c r="E46101" s="0" t="s">
        <v>2517</v>
      </c>
      <c r="F46101" s="0" t="s">
        <v>2517</v>
      </c>
    </row>
    <row r="46103" customFormat="false" ht="12.8" hidden="false" customHeight="false" outlineLevel="0" collapsed="false">
      <c r="A46103" s="0" t="s">
        <v>16398</v>
      </c>
      <c r="B46103" s="0" t="str">
        <f aca="false">HYPERLINK("https://lindat.mff.cuni.cz/services/teitok/pdtc10/index.php?action=vallex&amp;frame=v-w11121f2", "srkat (v-w11121f2)")</f>
        <v>srkat (v-w11121f2)</v>
      </c>
    </row>
    <row r="46104" customFormat="false" ht="12.8" hidden="false" customHeight="false" outlineLevel="0" collapsed="false">
      <c r="B46104" s="0" t="s">
        <v>7</v>
      </c>
    </row>
    <row r="46105" customFormat="false" ht="12.8" hidden="false" customHeight="false" outlineLevel="0" collapsed="false">
      <c r="B46105" s="0" t="s">
        <v>14</v>
      </c>
    </row>
    <row r="46107" customFormat="false" ht="12.8" hidden="false" customHeight="false" outlineLevel="0" collapsed="false">
      <c r="A46107" s="0" t="s">
        <v>16399</v>
      </c>
      <c r="B46107" s="0" t="str">
        <f aca="false">HYPERLINK("https://lindat.mff.cuni.cz/services/teitok/pdtc10/index.php?action=vallex&amp;frame=v-whsa_808hsa_809", "srocovat se (v-whsa_808hsa_809)")</f>
        <v>srocovat se (v-whsa_808hsa_809)</v>
      </c>
    </row>
    <row r="46108" customFormat="false" ht="12.8" hidden="false" customHeight="false" outlineLevel="0" collapsed="false">
      <c r="B46108" s="0" t="s">
        <v>7</v>
      </c>
    </row>
    <row r="46110" customFormat="false" ht="12.8" hidden="false" customHeight="false" outlineLevel="0" collapsed="false">
      <c r="A46110" s="0" t="s">
        <v>16400</v>
      </c>
      <c r="B46110" s="0" t="str">
        <f aca="false">HYPERLINK("https://lindat.mff.cuni.cz/services/teitok/pdtc10/index.php?action=vallex&amp;frame=v-w6447f2", "srovnat (v-w6447f2)")</f>
        <v>srovnat (v-w6447f2)</v>
      </c>
    </row>
    <row r="46111" customFormat="false" ht="12.8" hidden="false" customHeight="false" outlineLevel="0" collapsed="false">
      <c r="B46111" s="0" t="s">
        <v>7</v>
      </c>
      <c r="C46111" s="0" t="s">
        <v>465</v>
      </c>
    </row>
    <row r="46112" customFormat="false" ht="12.8" hidden="false" customHeight="false" outlineLevel="0" collapsed="false">
      <c r="B46112" s="0" t="s">
        <v>14</v>
      </c>
      <c r="C46112" s="0" t="s">
        <v>1205</v>
      </c>
    </row>
    <row r="46113" customFormat="false" ht="12.8" hidden="false" customHeight="false" outlineLevel="0" collapsed="false">
      <c r="B46113" s="0" t="s">
        <v>35</v>
      </c>
    </row>
    <row r="46114" customFormat="false" ht="12.8" hidden="false" customHeight="false" outlineLevel="0" collapsed="false">
      <c r="B46114" s="0" t="s">
        <v>84</v>
      </c>
      <c r="C46114" s="0" t="s">
        <v>10682</v>
      </c>
    </row>
    <row r="46116" customFormat="false" ht="12.8" hidden="false" customHeight="false" outlineLevel="0" collapsed="false">
      <c r="A46116" s="0" t="s">
        <v>16401</v>
      </c>
      <c r="B46116" s="0" t="str">
        <f aca="false">HYPERLINK("https://lindat.mff.cuni.cz/services/teitok/pdtc10/index.php?action=vallex&amp;frame=v-w6447f1", "srovnat (v-w6447f1)")</f>
        <v>srovnat (v-w6447f1)</v>
      </c>
    </row>
    <row r="46117" customFormat="false" ht="12.8" hidden="false" customHeight="false" outlineLevel="0" collapsed="false">
      <c r="B46117" s="0" t="s">
        <v>7</v>
      </c>
      <c r="C46117" s="0" t="s">
        <v>309</v>
      </c>
      <c r="D46117" s="0" t="s">
        <v>465</v>
      </c>
      <c r="E46117" s="0" t="s">
        <v>465</v>
      </c>
      <c r="F46117" s="0" t="s">
        <v>465</v>
      </c>
    </row>
    <row r="46118" customFormat="false" ht="12.8" hidden="false" customHeight="false" outlineLevel="0" collapsed="false">
      <c r="B46118" s="0" t="s">
        <v>232</v>
      </c>
      <c r="C46118" s="0" t="s">
        <v>1681</v>
      </c>
      <c r="D46118" s="0" t="s">
        <v>1205</v>
      </c>
      <c r="E46118" s="0" t="s">
        <v>1205</v>
      </c>
      <c r="F46118" s="0" t="s">
        <v>1205</v>
      </c>
    </row>
    <row r="46119" customFormat="false" ht="12.8" hidden="false" customHeight="false" outlineLevel="0" collapsed="false">
      <c r="B46119" s="0" t="s">
        <v>3086</v>
      </c>
      <c r="C46119" s="0" t="s">
        <v>10681</v>
      </c>
      <c r="D46119" s="0" t="s">
        <v>10682</v>
      </c>
      <c r="E46119" s="0" t="s">
        <v>10682</v>
      </c>
      <c r="F46119" s="0" t="s">
        <v>10682</v>
      </c>
    </row>
    <row r="46121" customFormat="false" ht="12.8" hidden="false" customHeight="false" outlineLevel="0" collapsed="false">
      <c r="A46121" s="0" t="s">
        <v>16402</v>
      </c>
      <c r="B46121" s="0" t="str">
        <f aca="false">HYPERLINK("https://lindat.mff.cuni.cz/services/teitok/pdtc10/index.php?action=vallex&amp;frame=v-w6447f4", "srovnat (v-w6447f4)")</f>
        <v>srovnat (v-w6447f4)</v>
      </c>
    </row>
    <row r="46122" customFormat="false" ht="12.8" hidden="false" customHeight="false" outlineLevel="0" collapsed="false">
      <c r="B46122" s="0" t="s">
        <v>7</v>
      </c>
    </row>
    <row r="46123" customFormat="false" ht="12.8" hidden="false" customHeight="false" outlineLevel="0" collapsed="false">
      <c r="B46123" s="0" t="s">
        <v>14</v>
      </c>
    </row>
    <row r="46124" customFormat="false" ht="12.8" hidden="false" customHeight="false" outlineLevel="0" collapsed="false">
      <c r="B46124" s="0" t="s">
        <v>37</v>
      </c>
    </row>
    <row r="46126" customFormat="false" ht="12.8" hidden="false" customHeight="false" outlineLevel="0" collapsed="false">
      <c r="A46126" s="0" t="s">
        <v>16403</v>
      </c>
      <c r="B46126" s="0" t="str">
        <f aca="false">HYPERLINK("https://lindat.mff.cuni.cz/services/teitok/pdtc10/index.php?action=vallex&amp;frame=v-w6447f6", "srovnat (v-w6447f6)")</f>
        <v>srovnat (v-w6447f6)</v>
      </c>
    </row>
    <row r="46127" customFormat="false" ht="12.8" hidden="false" customHeight="false" outlineLevel="0" collapsed="false">
      <c r="B46127" s="0" t="s">
        <v>7</v>
      </c>
      <c r="F46127" s="0" t="s">
        <v>6907</v>
      </c>
    </row>
    <row r="46128" customFormat="false" ht="12.8" hidden="false" customHeight="false" outlineLevel="0" collapsed="false">
      <c r="B46128" s="0" t="s">
        <v>14</v>
      </c>
      <c r="F46128" s="0" t="s">
        <v>313</v>
      </c>
    </row>
    <row r="46130" customFormat="false" ht="12.8" hidden="false" customHeight="false" outlineLevel="0" collapsed="false">
      <c r="A46130" s="0" t="s">
        <v>16404</v>
      </c>
      <c r="B46130" s="0" t="str">
        <f aca="false">HYPERLINK("https://lindat.mff.cuni.cz/services/teitok/pdtc10/index.php?action=vallex&amp;frame=v-w6447f5", "srovnat (v-w6447f5)")</f>
        <v>srovnat (v-w6447f5)</v>
      </c>
    </row>
    <row r="46131" customFormat="false" ht="12.8" hidden="false" customHeight="false" outlineLevel="0" collapsed="false">
      <c r="B46131" s="0" t="s">
        <v>7</v>
      </c>
      <c r="D46131" s="0" t="s">
        <v>11779</v>
      </c>
      <c r="E46131" s="0" t="s">
        <v>11779</v>
      </c>
      <c r="F46131" s="0" t="s">
        <v>16405</v>
      </c>
    </row>
    <row r="46132" customFormat="false" ht="12.8" hidden="false" customHeight="false" outlineLevel="0" collapsed="false">
      <c r="B46132" s="0" t="s">
        <v>14</v>
      </c>
      <c r="D46132" s="0" t="s">
        <v>16406</v>
      </c>
      <c r="E46132" s="0" t="s">
        <v>16406</v>
      </c>
      <c r="F46132" s="0" t="s">
        <v>16407</v>
      </c>
    </row>
    <row r="46134" customFormat="false" ht="12.8" hidden="false" customHeight="false" outlineLevel="0" collapsed="false">
      <c r="A46134" s="0" t="s">
        <v>16408</v>
      </c>
      <c r="B46134" s="0" t="str">
        <f aca="false">HYPERLINK("https://lindat.mff.cuni.cz/services/teitok/pdtc10/index.php?action=vallex&amp;frame=v-w6447f3", "srovnat (v-w6447f3)")</f>
        <v>srovnat (v-w6447f3)</v>
      </c>
    </row>
    <row r="46135" customFormat="false" ht="12.8" hidden="false" customHeight="false" outlineLevel="0" collapsed="false">
      <c r="B46135" s="0" t="s">
        <v>7</v>
      </c>
    </row>
    <row r="46136" customFormat="false" ht="12.8" hidden="false" customHeight="false" outlineLevel="0" collapsed="false">
      <c r="B46136" s="0" t="s">
        <v>16409</v>
      </c>
    </row>
    <row r="46137" customFormat="false" ht="12.8" hidden="false" customHeight="false" outlineLevel="0" collapsed="false">
      <c r="B46137" s="0" t="s">
        <v>14</v>
      </c>
      <c r="C46137" s="0" t="s">
        <v>567</v>
      </c>
      <c r="D46137" s="0" t="s">
        <v>567</v>
      </c>
      <c r="E46137" s="0" t="s">
        <v>567</v>
      </c>
      <c r="F46137" s="0" t="s">
        <v>567</v>
      </c>
    </row>
    <row r="46139" customFormat="false" ht="12.8" hidden="false" customHeight="false" outlineLevel="0" collapsed="false">
      <c r="A46139" s="0" t="s">
        <v>16410</v>
      </c>
      <c r="B46139" s="0" t="str">
        <f aca="false">HYPERLINK("https://lindat.mff.cuni.cz/services/teitok/pdtc10/index.php?action=vallex&amp;frame=v-w6447f7_ZU", "srovnat (v-w6447f7_ZU)")</f>
        <v>srovnat (v-w6447f7_ZU)</v>
      </c>
    </row>
    <row r="46140" customFormat="false" ht="12.8" hidden="false" customHeight="false" outlineLevel="0" collapsed="false">
      <c r="B46140" s="0" t="s">
        <v>7</v>
      </c>
    </row>
    <row r="46141" customFormat="false" ht="12.8" hidden="false" customHeight="false" outlineLevel="0" collapsed="false">
      <c r="B46141" s="0" t="s">
        <v>2836</v>
      </c>
    </row>
    <row r="46142" customFormat="false" ht="12.8" hidden="false" customHeight="false" outlineLevel="0" collapsed="false">
      <c r="B46142" s="0" t="s">
        <v>548</v>
      </c>
    </row>
    <row r="46144" customFormat="false" ht="12.8" hidden="false" customHeight="false" outlineLevel="0" collapsed="false">
      <c r="A46144" s="0" t="s">
        <v>16411</v>
      </c>
      <c r="B46144" s="0" t="str">
        <f aca="false">HYPERLINK("https://lindat.mff.cuni.cz/services/teitok/pdtc10/index.php?action=vallex&amp;frame=v-whsa_995hsa_996", "srovnat se (v-whsa_995hsa_996)")</f>
        <v>srovnat se (v-whsa_995hsa_996)</v>
      </c>
    </row>
    <row r="46145" customFormat="false" ht="12.8" hidden="false" customHeight="false" outlineLevel="0" collapsed="false">
      <c r="B46145" s="0" t="s">
        <v>7</v>
      </c>
      <c r="C46145" s="0" t="s">
        <v>184</v>
      </c>
      <c r="D46145" s="0" t="s">
        <v>108</v>
      </c>
      <c r="E46145" s="0" t="s">
        <v>108</v>
      </c>
      <c r="F46145" s="0" t="s">
        <v>108</v>
      </c>
    </row>
    <row r="46146" customFormat="false" ht="12.8" hidden="false" customHeight="false" outlineLevel="0" collapsed="false">
      <c r="B46146" s="0" t="s">
        <v>548</v>
      </c>
      <c r="C46146" s="0" t="s">
        <v>33</v>
      </c>
      <c r="D46146" s="0" t="s">
        <v>1264</v>
      </c>
      <c r="E46146" s="0" t="s">
        <v>1264</v>
      </c>
      <c r="F46146" s="0" t="s">
        <v>1264</v>
      </c>
    </row>
    <row r="46148" customFormat="false" ht="12.8" hidden="false" customHeight="false" outlineLevel="0" collapsed="false">
      <c r="A46148" s="0" t="s">
        <v>16412</v>
      </c>
      <c r="B46148" s="0" t="str">
        <f aca="false">HYPERLINK("https://lindat.mff.cuni.cz/services/teitok/pdtc10/index.php?action=vallex&amp;frame=v-whsa_995f2_ZU", "srovnat se (v-whsa_995f2_ZU)")</f>
        <v>srovnat se (v-whsa_995f2_ZU)</v>
      </c>
    </row>
    <row r="46149" customFormat="false" ht="12.8" hidden="false" customHeight="false" outlineLevel="0" collapsed="false">
      <c r="B46149" s="0" t="s">
        <v>7</v>
      </c>
    </row>
    <row r="46150" customFormat="false" ht="12.8" hidden="false" customHeight="false" outlineLevel="0" collapsed="false">
      <c r="B46150" s="0" t="s">
        <v>63</v>
      </c>
    </row>
    <row r="46152" customFormat="false" ht="12.8" hidden="false" customHeight="false" outlineLevel="0" collapsed="false">
      <c r="A46152" s="0" t="s">
        <v>16412</v>
      </c>
      <c r="B46152" s="0" t="str">
        <f aca="false">HYPERLINK("https://lindat.mff.cuni.cz/services/teitok/pdtc10/index.php?action=vallex&amp;frame=v-whsa_995f1_ZU", "srovnat se (v-whsa_995f1_ZU) - substituted with v-whsa_995f2_ZU")</f>
        <v>srovnat se (v-whsa_995f1_ZU) - substituted with v-whsa_995f2_ZU</v>
      </c>
    </row>
    <row r="46153" customFormat="false" ht="12.8" hidden="false" customHeight="false" outlineLevel="0" collapsed="false">
      <c r="B46153" s="0" t="s">
        <v>7</v>
      </c>
    </row>
    <row r="46154" customFormat="false" ht="12.8" hidden="false" customHeight="false" outlineLevel="0" collapsed="false">
      <c r="B46154" s="0" t="s">
        <v>63</v>
      </c>
    </row>
    <row r="46156" customFormat="false" ht="12.8" hidden="false" customHeight="false" outlineLevel="0" collapsed="false">
      <c r="A46156" s="0" t="s">
        <v>16413</v>
      </c>
      <c r="B46156" s="0" t="str">
        <f aca="false">HYPERLINK("https://lindat.mff.cuni.cz/services/teitok/pdtc10/index.php?action=vallex&amp;frame=v-w6450f1", "srovnat si (v-w6450f1)")</f>
        <v>srovnat si (v-w6450f1)</v>
      </c>
    </row>
    <row r="46157" customFormat="false" ht="12.8" hidden="false" customHeight="false" outlineLevel="0" collapsed="false">
      <c r="B46157" s="0" t="s">
        <v>7</v>
      </c>
    </row>
    <row r="46158" customFormat="false" ht="12.8" hidden="false" customHeight="false" outlineLevel="0" collapsed="false">
      <c r="B46158" s="0" t="s">
        <v>1520</v>
      </c>
    </row>
    <row r="46160" customFormat="false" ht="12.8" hidden="false" customHeight="false" outlineLevel="0" collapsed="false">
      <c r="A46160" s="0" t="s">
        <v>16414</v>
      </c>
      <c r="B46160" s="0" t="str">
        <f aca="false">HYPERLINK("https://lindat.mff.cuni.cz/services/teitok/pdtc10/index.php?action=vallex&amp;frame=v-w6452f4", "srovnávat (v-w6452f4)")</f>
        <v>srovnávat (v-w6452f4)</v>
      </c>
    </row>
    <row r="46161" customFormat="false" ht="12.8" hidden="false" customHeight="false" outlineLevel="0" collapsed="false">
      <c r="B46161" s="0" t="s">
        <v>7</v>
      </c>
    </row>
    <row r="46162" customFormat="false" ht="12.8" hidden="false" customHeight="false" outlineLevel="0" collapsed="false">
      <c r="B46162" s="0" t="s">
        <v>14</v>
      </c>
    </row>
    <row r="46163" customFormat="false" ht="12.8" hidden="false" customHeight="false" outlineLevel="0" collapsed="false">
      <c r="B46163" s="0" t="s">
        <v>35</v>
      </c>
    </row>
    <row r="46164" customFormat="false" ht="12.8" hidden="false" customHeight="false" outlineLevel="0" collapsed="false">
      <c r="B46164" s="0" t="s">
        <v>84</v>
      </c>
    </row>
    <row r="46166" customFormat="false" ht="12.8" hidden="false" customHeight="false" outlineLevel="0" collapsed="false">
      <c r="A46166" s="0" t="s">
        <v>16415</v>
      </c>
      <c r="B46166" s="0" t="str">
        <f aca="false">HYPERLINK("https://lindat.mff.cuni.cz/services/teitok/pdtc10/index.php?action=vallex&amp;frame=v-w6452f1", "srovnávat (v-w6452f1)")</f>
        <v>srovnávat (v-w6452f1)</v>
      </c>
    </row>
    <row r="46167" customFormat="false" ht="12.8" hidden="false" customHeight="false" outlineLevel="0" collapsed="false">
      <c r="B46167" s="0" t="s">
        <v>7</v>
      </c>
      <c r="C46167" s="0" t="s">
        <v>465</v>
      </c>
      <c r="D46167" s="0" t="s">
        <v>465</v>
      </c>
      <c r="E46167" s="0" t="s">
        <v>465</v>
      </c>
      <c r="F46167" s="0" t="s">
        <v>465</v>
      </c>
    </row>
    <row r="46168" customFormat="false" ht="12.8" hidden="false" customHeight="false" outlineLevel="0" collapsed="false">
      <c r="B46168" s="0" t="s">
        <v>14</v>
      </c>
      <c r="C46168" s="0" t="s">
        <v>16416</v>
      </c>
      <c r="D46168" s="0" t="s">
        <v>1205</v>
      </c>
      <c r="E46168" s="0" t="s">
        <v>1205</v>
      </c>
      <c r="F46168" s="0" t="s">
        <v>1205</v>
      </c>
    </row>
    <row r="46169" customFormat="false" ht="12.8" hidden="false" customHeight="false" outlineLevel="0" collapsed="false">
      <c r="B46169" s="0" t="s">
        <v>3086</v>
      </c>
      <c r="C46169" s="0" t="s">
        <v>16417</v>
      </c>
      <c r="D46169" s="0" t="s">
        <v>10682</v>
      </c>
      <c r="E46169" s="0" t="s">
        <v>10682</v>
      </c>
      <c r="F46169" s="0" t="s">
        <v>10682</v>
      </c>
    </row>
    <row r="46171" customFormat="false" ht="12.8" hidden="false" customHeight="false" outlineLevel="0" collapsed="false">
      <c r="A46171" s="0" t="s">
        <v>16418</v>
      </c>
      <c r="B46171" s="0" t="str">
        <f aca="false">HYPERLINK("https://lindat.mff.cuni.cz/services/teitok/pdtc10/index.php?action=vallex&amp;frame=v-w6452f3", "srovnávat (v-w6452f3)")</f>
        <v>srovnávat (v-w6452f3)</v>
      </c>
    </row>
    <row r="46172" customFormat="false" ht="12.8" hidden="false" customHeight="false" outlineLevel="0" collapsed="false">
      <c r="B46172" s="0" t="s">
        <v>7</v>
      </c>
    </row>
    <row r="46173" customFormat="false" ht="12.8" hidden="false" customHeight="false" outlineLevel="0" collapsed="false">
      <c r="B46173" s="0" t="s">
        <v>14</v>
      </c>
    </row>
    <row r="46174" customFormat="false" ht="12.8" hidden="false" customHeight="false" outlineLevel="0" collapsed="false">
      <c r="B46174" s="0" t="s">
        <v>37</v>
      </c>
    </row>
    <row r="46176" customFormat="false" ht="12.8" hidden="false" customHeight="false" outlineLevel="0" collapsed="false">
      <c r="A46176" s="0" t="s">
        <v>16419</v>
      </c>
      <c r="B46176" s="0" t="str">
        <f aca="false">HYPERLINK("https://lindat.mff.cuni.cz/services/teitok/pdtc10/index.php?action=vallex&amp;frame=v-w6452f2", "srovnávat (v-w6452f2)")</f>
        <v>srovnávat (v-w6452f2)</v>
      </c>
    </row>
    <row r="46177" customFormat="false" ht="12.8" hidden="false" customHeight="false" outlineLevel="0" collapsed="false">
      <c r="B46177" s="0" t="s">
        <v>7</v>
      </c>
      <c r="F46177" s="0" t="s">
        <v>6907</v>
      </c>
    </row>
    <row r="46178" customFormat="false" ht="12.8" hidden="false" customHeight="false" outlineLevel="0" collapsed="false">
      <c r="B46178" s="0" t="s">
        <v>14</v>
      </c>
      <c r="F46178" s="0" t="s">
        <v>313</v>
      </c>
    </row>
    <row r="46180" customFormat="false" ht="12.8" hidden="false" customHeight="false" outlineLevel="0" collapsed="false">
      <c r="A46180" s="0" t="s">
        <v>16420</v>
      </c>
      <c r="B46180" s="0" t="str">
        <f aca="false">HYPERLINK("https://lindat.mff.cuni.cz/services/teitok/pdtc10/index.php?action=vallex&amp;frame=v-whsa_904hsa_905", "srát (v-whsa_904hsa_905)")</f>
        <v>srát (v-whsa_904hsa_905)</v>
      </c>
    </row>
    <row r="46181" customFormat="false" ht="12.8" hidden="false" customHeight="false" outlineLevel="0" collapsed="false">
      <c r="B46181" s="0" t="s">
        <v>7</v>
      </c>
    </row>
    <row r="46182" customFormat="false" ht="12.8" hidden="false" customHeight="false" outlineLevel="0" collapsed="false">
      <c r="B46182" s="0" t="s">
        <v>41</v>
      </c>
    </row>
    <row r="46184" customFormat="false" ht="12.8" hidden="false" customHeight="false" outlineLevel="0" collapsed="false">
      <c r="A46184" s="0" t="s">
        <v>16421</v>
      </c>
      <c r="B46184" s="0" t="str">
        <f aca="false">HYPERLINK("https://lindat.mff.cuni.cz/services/teitok/pdtc10/index.php?action=vallex&amp;frame=v-w6444f1", "srážet (v-w6444f1)")</f>
        <v>srážet (v-w6444f1)</v>
      </c>
    </row>
    <row r="46185" customFormat="false" ht="12.8" hidden="false" customHeight="false" outlineLevel="0" collapsed="false">
      <c r="B46185" s="0" t="s">
        <v>7</v>
      </c>
    </row>
    <row r="46186" customFormat="false" ht="12.8" hidden="false" customHeight="false" outlineLevel="0" collapsed="false">
      <c r="B46186" s="0" t="s">
        <v>14</v>
      </c>
    </row>
    <row r="46187" customFormat="false" ht="12.8" hidden="false" customHeight="false" outlineLevel="0" collapsed="false">
      <c r="B46187" s="0" t="s">
        <v>48</v>
      </c>
    </row>
    <row r="46189" customFormat="false" ht="12.8" hidden="false" customHeight="false" outlineLevel="0" collapsed="false">
      <c r="A46189" s="0" t="s">
        <v>16422</v>
      </c>
      <c r="B46189" s="0" t="str">
        <f aca="false">HYPERLINK("https://lindat.mff.cuni.cz/services/teitok/pdtc10/index.php?action=vallex&amp;frame=v-w6444f2", "srážet (v-w6444f2)")</f>
        <v>srážet (v-w6444f2)</v>
      </c>
    </row>
    <row r="46190" customFormat="false" ht="12.8" hidden="false" customHeight="false" outlineLevel="0" collapsed="false">
      <c r="B46190" s="0" t="s">
        <v>7</v>
      </c>
      <c r="C46190" s="0" t="s">
        <v>16423</v>
      </c>
      <c r="D46190" s="0" t="s">
        <v>9101</v>
      </c>
      <c r="E46190" s="0" t="s">
        <v>9101</v>
      </c>
      <c r="F46190" s="0" t="s">
        <v>9101</v>
      </c>
    </row>
    <row r="46191" customFormat="false" ht="12.8" hidden="false" customHeight="false" outlineLevel="0" collapsed="false">
      <c r="B46191" s="0" t="s">
        <v>14</v>
      </c>
      <c r="C46191" s="0" t="s">
        <v>16424</v>
      </c>
      <c r="D46191" s="0" t="s">
        <v>9102</v>
      </c>
      <c r="E46191" s="0" t="s">
        <v>9102</v>
      </c>
      <c r="F46191" s="0" t="s">
        <v>9102</v>
      </c>
    </row>
    <row r="46192" customFormat="false" ht="12.8" hidden="false" customHeight="false" outlineLevel="0" collapsed="false">
      <c r="B46192" s="0" t="s">
        <v>35</v>
      </c>
      <c r="D46192" s="0" t="s">
        <v>9103</v>
      </c>
      <c r="E46192" s="0" t="s">
        <v>9103</v>
      </c>
      <c r="F46192" s="0" t="s">
        <v>9103</v>
      </c>
    </row>
    <row r="46193" customFormat="false" ht="12.8" hidden="false" customHeight="false" outlineLevel="0" collapsed="false">
      <c r="B46193" s="0" t="s">
        <v>84</v>
      </c>
      <c r="D46193" s="0" t="s">
        <v>9104</v>
      </c>
      <c r="E46193" s="0" t="s">
        <v>9104</v>
      </c>
      <c r="F46193" s="0" t="s">
        <v>9104</v>
      </c>
    </row>
    <row r="46195" customFormat="false" ht="12.8" hidden="false" customHeight="false" outlineLevel="0" collapsed="false">
      <c r="A46195" s="0" t="s">
        <v>16425</v>
      </c>
      <c r="B46195" s="0" t="str">
        <f aca="false">HYPERLINK("https://lindat.mff.cuni.cz/services/teitok/pdtc10/index.php?action=vallex&amp;frame=v-whsb_44hsa_45", "srážet se (v-whsb_44hsa_45)")</f>
        <v>srážet se (v-whsb_44hsa_45)</v>
      </c>
    </row>
    <row r="46196" customFormat="false" ht="12.8" hidden="false" customHeight="false" outlineLevel="0" collapsed="false">
      <c r="B46196" s="0" t="s">
        <v>7</v>
      </c>
    </row>
    <row r="46198" customFormat="false" ht="12.8" hidden="false" customHeight="false" outlineLevel="0" collapsed="false">
      <c r="A46198" s="0" t="s">
        <v>16426</v>
      </c>
      <c r="B46198" s="0" t="str">
        <f aca="false">HYPERLINK("https://lindat.mff.cuni.cz/services/teitok/pdtc10/index.php?action=vallex&amp;frame=v-w6455f1", "srůst (v-w6455f1)")</f>
        <v>srůst (v-w6455f1)</v>
      </c>
    </row>
    <row r="46199" customFormat="false" ht="12.8" hidden="false" customHeight="false" outlineLevel="0" collapsed="false">
      <c r="B46199" s="0" t="s">
        <v>7</v>
      </c>
    </row>
    <row r="46200" customFormat="false" ht="12.8" hidden="false" customHeight="false" outlineLevel="0" collapsed="false">
      <c r="B46200" s="0" t="s">
        <v>548</v>
      </c>
    </row>
    <row r="46201" customFormat="false" ht="12.8" hidden="false" customHeight="false" outlineLevel="0" collapsed="false">
      <c r="B46201" s="0" t="s">
        <v>2571</v>
      </c>
    </row>
    <row r="46203" customFormat="false" ht="12.8" hidden="false" customHeight="false" outlineLevel="0" collapsed="false">
      <c r="A46203" s="0" t="s">
        <v>16427</v>
      </c>
      <c r="B46203" s="0" t="str">
        <f aca="false">HYPERLINK("https://lindat.mff.cuni.cz/services/teitok/pdtc10/index.php?action=vallex&amp;frame=v-w6458f1", "stabilizovat (v-w6458f1)")</f>
        <v>stabilizovat (v-w6458f1)</v>
      </c>
    </row>
    <row r="46204" customFormat="false" ht="12.8" hidden="false" customHeight="false" outlineLevel="0" collapsed="false">
      <c r="B46204" s="0" t="s">
        <v>7</v>
      </c>
      <c r="C46204" s="0" t="s">
        <v>5122</v>
      </c>
      <c r="D46204" s="0" t="s">
        <v>113</v>
      </c>
      <c r="E46204" s="0" t="s">
        <v>113</v>
      </c>
      <c r="F46204" s="0" t="s">
        <v>113</v>
      </c>
    </row>
    <row r="46205" customFormat="false" ht="12.8" hidden="false" customHeight="false" outlineLevel="0" collapsed="false">
      <c r="B46205" s="0" t="s">
        <v>14</v>
      </c>
      <c r="C46205" s="0" t="s">
        <v>16428</v>
      </c>
      <c r="D46205" s="0" t="s">
        <v>2666</v>
      </c>
      <c r="E46205" s="0" t="s">
        <v>2666</v>
      </c>
      <c r="F46205" s="0" t="s">
        <v>2666</v>
      </c>
    </row>
    <row r="46207" customFormat="false" ht="12.8" hidden="false" customHeight="false" outlineLevel="0" collapsed="false">
      <c r="A46207" s="0" t="s">
        <v>16429</v>
      </c>
      <c r="B46207" s="0" t="str">
        <f aca="false">HYPERLINK("https://lindat.mff.cuni.cz/services/teitok/pdtc10/index.php?action=vallex&amp;frame=v-w6459f1", "stabilizovat se (v-w6459f1)")</f>
        <v>stabilizovat se (v-w6459f1)</v>
      </c>
    </row>
    <row r="46208" customFormat="false" ht="12.8" hidden="false" customHeight="false" outlineLevel="0" collapsed="false">
      <c r="B46208" s="0" t="s">
        <v>7</v>
      </c>
      <c r="C46208" s="0" t="s">
        <v>6910</v>
      </c>
      <c r="D46208" s="0" t="s">
        <v>16430</v>
      </c>
      <c r="E46208" s="0" t="s">
        <v>16431</v>
      </c>
      <c r="F46208" s="0" t="s">
        <v>16431</v>
      </c>
    </row>
    <row r="46210" customFormat="false" ht="12.8" hidden="false" customHeight="false" outlineLevel="0" collapsed="false">
      <c r="A46210" s="0" t="s">
        <v>16432</v>
      </c>
      <c r="B46210" s="0" t="str">
        <f aca="false">HYPERLINK("https://lindat.mff.cuni.cz/services/teitok/pdtc10/index.php?action=vallex&amp;frame=v-w6465f1", "stagnovat (v-w6465f1)")</f>
        <v>stagnovat (v-w6465f1)</v>
      </c>
    </row>
    <row r="46211" customFormat="false" ht="12.8" hidden="false" customHeight="false" outlineLevel="0" collapsed="false">
      <c r="B46211" s="0" t="s">
        <v>7</v>
      </c>
      <c r="C46211" s="0" t="s">
        <v>16433</v>
      </c>
      <c r="D46211" s="0" t="s">
        <v>16434</v>
      </c>
      <c r="E46211" s="0" t="s">
        <v>16434</v>
      </c>
      <c r="F46211" s="0" t="s">
        <v>16434</v>
      </c>
    </row>
    <row r="46213" customFormat="false" ht="12.8" hidden="false" customHeight="false" outlineLevel="0" collapsed="false">
      <c r="A46213" s="0" t="s">
        <v>16435</v>
      </c>
      <c r="B46213" s="0" t="str">
        <f aca="false">HYPERLINK("https://lindat.mff.cuni.cz/services/teitok/pdtc10/index.php?action=vallex&amp;frame=v-w6471f1", "stahovat (v-w6471f1)")</f>
        <v>stahovat (v-w6471f1)</v>
      </c>
    </row>
    <row r="46214" customFormat="false" ht="12.8" hidden="false" customHeight="false" outlineLevel="0" collapsed="false">
      <c r="B46214" s="0" t="s">
        <v>7</v>
      </c>
      <c r="C46214" s="0" t="s">
        <v>504</v>
      </c>
      <c r="D46214" s="0" t="s">
        <v>3664</v>
      </c>
      <c r="E46214" s="0" t="s">
        <v>3664</v>
      </c>
      <c r="F46214" s="0" t="s">
        <v>3664</v>
      </c>
    </row>
    <row r="46215" customFormat="false" ht="12.8" hidden="false" customHeight="false" outlineLevel="0" collapsed="false">
      <c r="B46215" s="0" t="s">
        <v>14</v>
      </c>
      <c r="C46215" s="0" t="s">
        <v>7007</v>
      </c>
      <c r="D46215" s="0" t="s">
        <v>8571</v>
      </c>
      <c r="E46215" s="0" t="s">
        <v>8571</v>
      </c>
      <c r="F46215" s="0" t="s">
        <v>8571</v>
      </c>
    </row>
    <row r="46216" customFormat="false" ht="12.8" hidden="false" customHeight="false" outlineLevel="0" collapsed="false">
      <c r="B46216" s="0" t="s">
        <v>459</v>
      </c>
      <c r="C46216" s="0" t="s">
        <v>16436</v>
      </c>
    </row>
    <row r="46218" customFormat="false" ht="12.8" hidden="false" customHeight="false" outlineLevel="0" collapsed="false">
      <c r="A46218" s="0" t="s">
        <v>16437</v>
      </c>
      <c r="B46218" s="0" t="str">
        <f aca="false">HYPERLINK("https://lindat.mff.cuni.cz/services/teitok/pdtc10/index.php?action=vallex&amp;frame=v-w6471f2", "stahovat (v-w6471f2)")</f>
        <v>stahovat (v-w6471f2)</v>
      </c>
    </row>
    <row r="46219" customFormat="false" ht="12.8" hidden="false" customHeight="false" outlineLevel="0" collapsed="false">
      <c r="B46219" s="0" t="s">
        <v>7</v>
      </c>
    </row>
    <row r="46220" customFormat="false" ht="12.8" hidden="false" customHeight="false" outlineLevel="0" collapsed="false">
      <c r="B46220" s="0" t="s">
        <v>14</v>
      </c>
      <c r="C46220" s="0" t="s">
        <v>16438</v>
      </c>
    </row>
    <row r="46222" customFormat="false" ht="12.8" hidden="false" customHeight="false" outlineLevel="0" collapsed="false">
      <c r="A46222" s="0" t="s">
        <v>16439</v>
      </c>
      <c r="B46222" s="0" t="str">
        <f aca="false">HYPERLINK("https://lindat.mff.cuni.cz/services/teitok/pdtc10/index.php?action=vallex&amp;frame=v-w6471f3_ZU", "stahovat (v-w6471f3_ZU)")</f>
        <v>stahovat (v-w6471f3_ZU)</v>
      </c>
    </row>
    <row r="46223" customFormat="false" ht="12.8" hidden="false" customHeight="false" outlineLevel="0" collapsed="false">
      <c r="B46223" s="0" t="s">
        <v>7</v>
      </c>
      <c r="C46223" s="0" t="s">
        <v>4783</v>
      </c>
      <c r="D46223" s="0" t="s">
        <v>7397</v>
      </c>
      <c r="E46223" s="0" t="s">
        <v>7397</v>
      </c>
      <c r="F46223" s="0" t="s">
        <v>7397</v>
      </c>
    </row>
    <row r="46224" customFormat="false" ht="12.8" hidden="false" customHeight="false" outlineLevel="0" collapsed="false">
      <c r="B46224" s="0" t="s">
        <v>14</v>
      </c>
      <c r="C46224" s="0" t="s">
        <v>16440</v>
      </c>
      <c r="D46224" s="0" t="s">
        <v>7398</v>
      </c>
      <c r="E46224" s="0" t="s">
        <v>7398</v>
      </c>
      <c r="F46224" s="0" t="s">
        <v>7398</v>
      </c>
    </row>
    <row r="46226" customFormat="false" ht="12.8" hidden="false" customHeight="false" outlineLevel="0" collapsed="false">
      <c r="A46226" s="0" t="s">
        <v>16441</v>
      </c>
      <c r="B46226" s="0" t="str">
        <f aca="false">HYPERLINK("https://lindat.mff.cuni.cz/services/teitok/pdtc10/index.php?action=vallex&amp;frame=v-w6471f4_ZU", "stahovat (v-w6471f4_ZU)")</f>
        <v>stahovat (v-w6471f4_ZU)</v>
      </c>
    </row>
    <row r="46227" customFormat="false" ht="12.8" hidden="false" customHeight="false" outlineLevel="0" collapsed="false">
      <c r="B46227" s="0" t="s">
        <v>7</v>
      </c>
    </row>
    <row r="46228" customFormat="false" ht="12.8" hidden="false" customHeight="false" outlineLevel="0" collapsed="false">
      <c r="B46228" s="0" t="s">
        <v>16442</v>
      </c>
    </row>
    <row r="46230" customFormat="false" ht="12.8" hidden="false" customHeight="false" outlineLevel="0" collapsed="false">
      <c r="A46230" s="0" t="s">
        <v>16441</v>
      </c>
      <c r="B46230" s="0" t="str">
        <f aca="false">HYPERLINK("https://lindat.mff.cuni.cz/services/teitok/pdtc10/index.php?action=vallex&amp;frame=v-w6471hsa_474", "stahovat (v-w6471hsa_474) - substituted with v-w6471f4_ZU")</f>
        <v>stahovat (v-w6471hsa_474) - substituted with v-w6471f4_ZU</v>
      </c>
    </row>
    <row r="46231" customFormat="false" ht="12.8" hidden="false" customHeight="false" outlineLevel="0" collapsed="false">
      <c r="B46231" s="0" t="s">
        <v>7</v>
      </c>
    </row>
    <row r="46232" customFormat="false" ht="12.8" hidden="false" customHeight="false" outlineLevel="0" collapsed="false">
      <c r="B46232" s="0" t="s">
        <v>16442</v>
      </c>
    </row>
    <row r="46234" customFormat="false" ht="12.8" hidden="false" customHeight="false" outlineLevel="0" collapsed="false">
      <c r="A46234" s="0" t="s">
        <v>16443</v>
      </c>
      <c r="B46234" s="0" t="str">
        <f aca="false">HYPERLINK("https://lindat.mff.cuni.cz/services/teitok/pdtc10/index.php?action=vallex&amp;frame=v-w6471f5_ZU", "stahovat (v-w6471f5_ZU)")</f>
        <v>stahovat (v-w6471f5_ZU)</v>
      </c>
    </row>
    <row r="46235" customFormat="false" ht="12.8" hidden="false" customHeight="false" outlineLevel="0" collapsed="false">
      <c r="B46235" s="0" t="s">
        <v>7</v>
      </c>
    </row>
    <row r="46236" customFormat="false" ht="12.8" hidden="false" customHeight="false" outlineLevel="0" collapsed="false">
      <c r="B46236" s="0" t="s">
        <v>14</v>
      </c>
    </row>
    <row r="46238" customFormat="false" ht="12.8" hidden="false" customHeight="false" outlineLevel="0" collapsed="false">
      <c r="A46238" s="0" t="s">
        <v>16444</v>
      </c>
      <c r="B46238" s="0" t="str">
        <f aca="false">HYPERLINK("https://lindat.mff.cuni.cz/services/teitok/pdtc10/index.php?action=vallex&amp;frame=v-w6471f6_MM", "stahovat (v-w6471f6_MM)")</f>
        <v>stahovat (v-w6471f6_MM)</v>
      </c>
    </row>
    <row r="46239" customFormat="false" ht="12.8" hidden="false" customHeight="false" outlineLevel="0" collapsed="false">
      <c r="B46239" s="0" t="s">
        <v>7</v>
      </c>
    </row>
    <row r="46240" customFormat="false" ht="12.8" hidden="false" customHeight="false" outlineLevel="0" collapsed="false">
      <c r="B46240" s="0" t="s">
        <v>14</v>
      </c>
    </row>
    <row r="46242" customFormat="false" ht="12.8" hidden="false" customHeight="false" outlineLevel="0" collapsed="false">
      <c r="A46242" s="0" t="s">
        <v>16445</v>
      </c>
      <c r="B46242" s="0" t="str">
        <f aca="false">HYPERLINK("https://lindat.mff.cuni.cz/services/teitok/pdtc10/index.php?action=vallex&amp;frame=v-w6472f3_ZU", "stahovat se (v-w6472f3_ZU)")</f>
        <v>stahovat se (v-w6472f3_ZU)</v>
      </c>
    </row>
    <row r="46243" customFormat="false" ht="12.8" hidden="false" customHeight="false" outlineLevel="0" collapsed="false">
      <c r="B46243" s="0" t="s">
        <v>7</v>
      </c>
      <c r="C46243" s="0" t="s">
        <v>16446</v>
      </c>
      <c r="D46243" s="0" t="s">
        <v>1582</v>
      </c>
      <c r="E46243" s="0" t="s">
        <v>1582</v>
      </c>
      <c r="F46243" s="0" t="s">
        <v>1582</v>
      </c>
    </row>
    <row r="46244" customFormat="false" ht="12.8" hidden="false" customHeight="false" outlineLevel="0" collapsed="false">
      <c r="B46244" s="0" t="s">
        <v>5382</v>
      </c>
      <c r="D46244" s="0" t="s">
        <v>1583</v>
      </c>
      <c r="E46244" s="0" t="s">
        <v>1583</v>
      </c>
      <c r="F46244" s="0" t="s">
        <v>1583</v>
      </c>
    </row>
    <row r="46246" customFormat="false" ht="12.8" hidden="false" customHeight="false" outlineLevel="0" collapsed="false">
      <c r="A46246" s="0" t="s">
        <v>16447</v>
      </c>
      <c r="B46246" s="0" t="str">
        <f aca="false">HYPERLINK("https://lindat.mff.cuni.cz/services/teitok/pdtc10/index.php?action=vallex&amp;frame=v-w6472f2", "stahovat se (v-w6472f2)")</f>
        <v>stahovat se (v-w6472f2)</v>
      </c>
    </row>
    <row r="46247" customFormat="false" ht="12.8" hidden="false" customHeight="false" outlineLevel="0" collapsed="false">
      <c r="B46247" s="0" t="s">
        <v>7</v>
      </c>
    </row>
    <row r="46248" customFormat="false" ht="12.8" hidden="false" customHeight="false" outlineLevel="0" collapsed="false">
      <c r="B46248" s="0" t="s">
        <v>124</v>
      </c>
    </row>
    <row r="46250" customFormat="false" ht="12.8" hidden="false" customHeight="false" outlineLevel="0" collapsed="false">
      <c r="A46250" s="0" t="s">
        <v>16448</v>
      </c>
      <c r="B46250" s="0" t="str">
        <f aca="false">HYPERLINK("https://lindat.mff.cuni.cz/services/teitok/pdtc10/index.php?action=vallex&amp;frame=v-w6472f1", "stahovat se (v-w6472f1)")</f>
        <v>stahovat se (v-w6472f1)</v>
      </c>
    </row>
    <row r="46251" customFormat="false" ht="12.8" hidden="false" customHeight="false" outlineLevel="0" collapsed="false">
      <c r="B46251" s="0" t="s">
        <v>16449</v>
      </c>
    </row>
    <row r="46252" customFormat="false" ht="12.8" hidden="false" customHeight="false" outlineLevel="0" collapsed="false">
      <c r="B46252" s="0" t="s">
        <v>16450</v>
      </c>
    </row>
    <row r="46254" customFormat="false" ht="12.8" hidden="false" customHeight="false" outlineLevel="0" collapsed="false">
      <c r="A46254" s="0" t="s">
        <v>16451</v>
      </c>
      <c r="B46254" s="0" t="str">
        <f aca="false">HYPERLINK("https://lindat.mff.cuni.cz/services/teitok/pdtc10/index.php?action=vallex&amp;frame=v-w11067f2", "standardizovat (v-w11067f2)")</f>
        <v>standardizovat (v-w11067f2)</v>
      </c>
    </row>
    <row r="46255" customFormat="false" ht="12.8" hidden="false" customHeight="false" outlineLevel="0" collapsed="false">
      <c r="B46255" s="0" t="s">
        <v>7</v>
      </c>
      <c r="C46255" s="0" t="s">
        <v>191</v>
      </c>
      <c r="D46255" s="0" t="s">
        <v>5180</v>
      </c>
      <c r="E46255" s="0" t="s">
        <v>5180</v>
      </c>
      <c r="F46255" s="0" t="s">
        <v>5180</v>
      </c>
    </row>
    <row r="46256" customFormat="false" ht="12.8" hidden="false" customHeight="false" outlineLevel="0" collapsed="false">
      <c r="B46256" s="0" t="s">
        <v>14</v>
      </c>
      <c r="C46256" s="0" t="s">
        <v>155</v>
      </c>
      <c r="D46256" s="0" t="s">
        <v>624</v>
      </c>
      <c r="E46256" s="0" t="s">
        <v>624</v>
      </c>
      <c r="F46256" s="0" t="s">
        <v>624</v>
      </c>
    </row>
    <row r="46258" customFormat="false" ht="12.8" hidden="false" customHeight="false" outlineLevel="0" collapsed="false">
      <c r="A46258" s="0" t="s">
        <v>16452</v>
      </c>
      <c r="B46258" s="0" t="str">
        <f aca="false">HYPERLINK("https://lindat.mff.cuni.cz/services/teitok/pdtc10/index.php?action=vallex&amp;frame=v-w6475f2", "stanout (v-w6475f2)")</f>
        <v>stanout (v-w6475f2)</v>
      </c>
    </row>
    <row r="46259" customFormat="false" ht="12.8" hidden="false" customHeight="false" outlineLevel="0" collapsed="false">
      <c r="B46259" s="0" t="s">
        <v>7</v>
      </c>
    </row>
    <row r="46260" customFormat="false" ht="12.8" hidden="false" customHeight="false" outlineLevel="0" collapsed="false">
      <c r="B46260" s="0" t="s">
        <v>2804</v>
      </c>
    </row>
    <row r="46262" customFormat="false" ht="12.8" hidden="false" customHeight="false" outlineLevel="0" collapsed="false">
      <c r="A46262" s="0" t="s">
        <v>16453</v>
      </c>
      <c r="B46262" s="0" t="str">
        <f aca="false">HYPERLINK("https://lindat.mff.cuni.cz/services/teitok/pdtc10/index.php?action=vallex&amp;frame=v-w6475f1", "stanout (v-w6475f1)")</f>
        <v>stanout (v-w6475f1)</v>
      </c>
    </row>
    <row r="46263" customFormat="false" ht="12.8" hidden="false" customHeight="false" outlineLevel="0" collapsed="false">
      <c r="B46263" s="0" t="s">
        <v>7</v>
      </c>
      <c r="C46263" s="0" t="s">
        <v>310</v>
      </c>
      <c r="D46263" s="0" t="s">
        <v>5274</v>
      </c>
      <c r="E46263" s="0" t="s">
        <v>5274</v>
      </c>
      <c r="F46263" s="0" t="s">
        <v>5274</v>
      </c>
    </row>
    <row r="46264" customFormat="false" ht="12.8" hidden="false" customHeight="false" outlineLevel="0" collapsed="false">
      <c r="B46264" s="0" t="s">
        <v>11</v>
      </c>
      <c r="C46264" s="0" t="s">
        <v>16454</v>
      </c>
      <c r="D46264" s="0" t="s">
        <v>16455</v>
      </c>
      <c r="E46264" s="0" t="s">
        <v>16455</v>
      </c>
      <c r="F46264" s="0" t="s">
        <v>16455</v>
      </c>
    </row>
    <row r="46266" customFormat="false" ht="12.8" hidden="false" customHeight="false" outlineLevel="0" collapsed="false">
      <c r="A46266" s="0" t="s">
        <v>16456</v>
      </c>
      <c r="B46266" s="0" t="str">
        <f aca="false">HYPERLINK("https://lindat.mff.cuni.cz/services/teitok/pdtc10/index.php?action=vallex&amp;frame=v-whsa_1788hsa_1789", "stanovat (v-whsa_1788hsa_1789)")</f>
        <v>stanovat (v-whsa_1788hsa_1789)</v>
      </c>
    </row>
    <row r="46267" customFormat="false" ht="12.8" hidden="false" customHeight="false" outlineLevel="0" collapsed="false">
      <c r="B46267" s="0" t="s">
        <v>7</v>
      </c>
    </row>
    <row r="46268" customFormat="false" ht="12.8" hidden="false" customHeight="false" outlineLevel="0" collapsed="false">
      <c r="B46268" s="0" t="s">
        <v>11</v>
      </c>
    </row>
    <row r="46270" customFormat="false" ht="12.8" hidden="false" customHeight="false" outlineLevel="0" collapsed="false">
      <c r="A46270" s="0" t="s">
        <v>16457</v>
      </c>
      <c r="B46270" s="0" t="str">
        <f aca="false">HYPERLINK("https://lindat.mff.cuni.cz/services/teitok/pdtc10/index.php?action=vallex&amp;frame=v-w6480f2", "stanovit (v-w6480f2)")</f>
        <v>stanovit (v-w6480f2)</v>
      </c>
    </row>
    <row r="46271" customFormat="false" ht="12.8" hidden="false" customHeight="false" outlineLevel="0" collapsed="false">
      <c r="B46271" s="0" t="s">
        <v>7</v>
      </c>
      <c r="C46271" s="0" t="s">
        <v>8314</v>
      </c>
      <c r="D46271" s="0" t="s">
        <v>16458</v>
      </c>
      <c r="E46271" s="0" t="s">
        <v>16458</v>
      </c>
      <c r="F46271" s="0" t="s">
        <v>16458</v>
      </c>
    </row>
    <row r="46272" customFormat="false" ht="12.8" hidden="false" customHeight="false" outlineLevel="0" collapsed="false">
      <c r="B46272" s="0" t="s">
        <v>14</v>
      </c>
      <c r="C46272" s="0" t="s">
        <v>9919</v>
      </c>
      <c r="D46272" s="0" t="s">
        <v>16459</v>
      </c>
      <c r="E46272" s="0" t="s">
        <v>16459</v>
      </c>
      <c r="F46272" s="0" t="s">
        <v>16459</v>
      </c>
    </row>
    <row r="46273" customFormat="false" ht="12.8" hidden="false" customHeight="false" outlineLevel="0" collapsed="false">
      <c r="B46273" s="0" t="s">
        <v>106</v>
      </c>
      <c r="C46273" s="0" t="s">
        <v>3052</v>
      </c>
      <c r="D46273" s="0" t="s">
        <v>16460</v>
      </c>
      <c r="E46273" s="0" t="s">
        <v>16460</v>
      </c>
      <c r="F46273" s="0" t="s">
        <v>16460</v>
      </c>
    </row>
    <row r="46274" customFormat="false" ht="12.8" hidden="false" customHeight="false" outlineLevel="0" collapsed="false">
      <c r="B46274" s="0" t="s">
        <v>2946</v>
      </c>
      <c r="D46274" s="0" t="s">
        <v>2944</v>
      </c>
      <c r="E46274" s="0" t="s">
        <v>2944</v>
      </c>
      <c r="F46274" s="0" t="s">
        <v>2944</v>
      </c>
    </row>
    <row r="46276" customFormat="false" ht="12.8" hidden="false" customHeight="false" outlineLevel="0" collapsed="false">
      <c r="A46276" s="0" t="s">
        <v>16461</v>
      </c>
      <c r="B46276" s="0" t="str">
        <f aca="false">HYPERLINK("https://lindat.mff.cuni.cz/services/teitok/pdtc10/index.php?action=vallex&amp;frame=v-w6480f4", "stanovit (v-w6480f4)")</f>
        <v>stanovit (v-w6480f4)</v>
      </c>
    </row>
    <row r="46277" customFormat="false" ht="12.8" hidden="false" customHeight="false" outlineLevel="0" collapsed="false">
      <c r="B46277" s="0" t="s">
        <v>7</v>
      </c>
    </row>
    <row r="46278" customFormat="false" ht="12.8" hidden="false" customHeight="false" outlineLevel="0" collapsed="false">
      <c r="B46278" s="0" t="s">
        <v>14</v>
      </c>
    </row>
    <row r="46279" customFormat="false" ht="12.8" hidden="false" customHeight="false" outlineLevel="0" collapsed="false">
      <c r="B46279" s="0" t="s">
        <v>16462</v>
      </c>
    </row>
    <row r="46281" customFormat="false" ht="12.8" hidden="false" customHeight="false" outlineLevel="0" collapsed="false">
      <c r="A46281" s="0" t="s">
        <v>16463</v>
      </c>
      <c r="B46281" s="0" t="str">
        <f aca="false">HYPERLINK("https://lindat.mff.cuni.cz/services/teitok/pdtc10/index.php?action=vallex&amp;frame=v-w6480f3", "stanovit (v-w6480f3)")</f>
        <v>stanovit (v-w6480f3)</v>
      </c>
    </row>
    <row r="46282" customFormat="false" ht="12.8" hidden="false" customHeight="false" outlineLevel="0" collapsed="false">
      <c r="B46282" s="0" t="s">
        <v>7</v>
      </c>
      <c r="C46282" s="0" t="s">
        <v>10802</v>
      </c>
      <c r="D46282" s="0" t="s">
        <v>1135</v>
      </c>
      <c r="E46282" s="0" t="s">
        <v>1135</v>
      </c>
      <c r="F46282" s="0" t="s">
        <v>1135</v>
      </c>
    </row>
    <row r="46283" customFormat="false" ht="12.8" hidden="false" customHeight="false" outlineLevel="0" collapsed="false">
      <c r="B46283" s="0" t="s">
        <v>54</v>
      </c>
      <c r="C46283" s="0" t="s">
        <v>16464</v>
      </c>
      <c r="D46283" s="0" t="s">
        <v>1137</v>
      </c>
      <c r="E46283" s="0" t="s">
        <v>1137</v>
      </c>
      <c r="F46283" s="0" t="s">
        <v>1137</v>
      </c>
    </row>
    <row r="46284" customFormat="false" ht="12.8" hidden="false" customHeight="false" outlineLevel="0" collapsed="false">
      <c r="B46284" s="0" t="s">
        <v>84</v>
      </c>
      <c r="C46284" s="0" t="s">
        <v>7941</v>
      </c>
      <c r="D46284" s="0" t="s">
        <v>1139</v>
      </c>
      <c r="E46284" s="0" t="s">
        <v>1139</v>
      </c>
      <c r="F46284" s="0" t="s">
        <v>1139</v>
      </c>
    </row>
    <row r="46286" customFormat="false" ht="12.8" hidden="false" customHeight="false" outlineLevel="0" collapsed="false">
      <c r="A46286" s="0" t="s">
        <v>16465</v>
      </c>
      <c r="B46286" s="0" t="str">
        <f aca="false">HYPERLINK("https://lindat.mff.cuni.cz/services/teitok/pdtc10/index.php?action=vallex&amp;frame=v-w6480f5_ZU", "stanovit (v-w6480f5_ZU)")</f>
        <v>stanovit (v-w6480f5_ZU)</v>
      </c>
    </row>
    <row r="46287" customFormat="false" ht="12.8" hidden="false" customHeight="false" outlineLevel="0" collapsed="false">
      <c r="B46287" s="0" t="s">
        <v>7</v>
      </c>
      <c r="D46287" s="0" t="s">
        <v>11491</v>
      </c>
      <c r="E46287" s="0" t="s">
        <v>11491</v>
      </c>
      <c r="F46287" s="0" t="s">
        <v>11491</v>
      </c>
    </row>
    <row r="46288" customFormat="false" ht="12.8" hidden="false" customHeight="false" outlineLevel="0" collapsed="false">
      <c r="B46288" s="0" t="s">
        <v>8144</v>
      </c>
      <c r="D46288" s="0" t="s">
        <v>16466</v>
      </c>
      <c r="E46288" s="0" t="s">
        <v>16466</v>
      </c>
      <c r="F46288" s="0" t="s">
        <v>16466</v>
      </c>
    </row>
    <row r="46290" customFormat="false" ht="12.8" hidden="false" customHeight="false" outlineLevel="0" collapsed="false">
      <c r="A46290" s="0" t="s">
        <v>16465</v>
      </c>
      <c r="B46290" s="0" t="str">
        <f aca="false">HYPERLINK("https://lindat.mff.cuni.cz/services/teitok/pdtc10/index.php?action=vallex&amp;frame=v-w6480f1", "stanovit (v-w6480f1) - substituted with v-w6480f5_ZU")</f>
        <v>stanovit (v-w6480f1) - substituted with v-w6480f5_ZU</v>
      </c>
    </row>
    <row r="46291" customFormat="false" ht="12.8" hidden="false" customHeight="false" outlineLevel="0" collapsed="false">
      <c r="B46291" s="0" t="s">
        <v>7</v>
      </c>
      <c r="C46291" s="0" t="s">
        <v>16467</v>
      </c>
    </row>
    <row r="46292" customFormat="false" ht="12.8" hidden="false" customHeight="false" outlineLevel="0" collapsed="false">
      <c r="B46292" s="0" t="s">
        <v>8144</v>
      </c>
      <c r="C46292" s="0" t="s">
        <v>16468</v>
      </c>
    </row>
    <row r="46294" customFormat="false" ht="12.8" hidden="false" customHeight="false" outlineLevel="0" collapsed="false">
      <c r="A46294" s="0" t="s">
        <v>16469</v>
      </c>
      <c r="B46294" s="0" t="str">
        <f aca="false">HYPERLINK("https://lindat.mff.cuni.cz/services/teitok/pdtc10/index.php?action=vallex&amp;frame=v-w6482f3", "stanovovat (v-w6482f3)")</f>
        <v>stanovovat (v-w6482f3)</v>
      </c>
    </row>
    <row r="46295" customFormat="false" ht="12.8" hidden="false" customHeight="false" outlineLevel="0" collapsed="false">
      <c r="B46295" s="0" t="s">
        <v>7</v>
      </c>
      <c r="C46295" s="0" t="s">
        <v>2736</v>
      </c>
      <c r="D46295" s="0" t="s">
        <v>10073</v>
      </c>
      <c r="E46295" s="0" t="s">
        <v>10073</v>
      </c>
      <c r="F46295" s="0" t="s">
        <v>10073</v>
      </c>
    </row>
    <row r="46296" customFormat="false" ht="12.8" hidden="false" customHeight="false" outlineLevel="0" collapsed="false">
      <c r="B46296" s="0" t="s">
        <v>5854</v>
      </c>
      <c r="C46296" s="0" t="s">
        <v>173</v>
      </c>
      <c r="D46296" s="0" t="s">
        <v>10074</v>
      </c>
      <c r="E46296" s="0" t="s">
        <v>10074</v>
      </c>
      <c r="F46296" s="0" t="s">
        <v>10074</v>
      </c>
    </row>
    <row r="46297" customFormat="false" ht="12.8" hidden="false" customHeight="false" outlineLevel="0" collapsed="false">
      <c r="B46297" s="0" t="s">
        <v>106</v>
      </c>
      <c r="D46297" s="0" t="s">
        <v>10075</v>
      </c>
      <c r="E46297" s="0" t="s">
        <v>10075</v>
      </c>
      <c r="F46297" s="0" t="s">
        <v>10075</v>
      </c>
    </row>
    <row r="46298" customFormat="false" ht="12.8" hidden="false" customHeight="false" outlineLevel="0" collapsed="false">
      <c r="B46298" s="0" t="s">
        <v>2946</v>
      </c>
    </row>
    <row r="46300" customFormat="false" ht="12.8" hidden="false" customHeight="false" outlineLevel="0" collapsed="false">
      <c r="A46300" s="0" t="s">
        <v>16470</v>
      </c>
      <c r="B46300" s="0" t="str">
        <f aca="false">HYPERLINK("https://lindat.mff.cuni.cz/services/teitok/pdtc10/index.php?action=vallex&amp;frame=v-w6482f2", "stanovovat (v-w6482f2)")</f>
        <v>stanovovat (v-w6482f2)</v>
      </c>
    </row>
    <row r="46301" customFormat="false" ht="12.8" hidden="false" customHeight="false" outlineLevel="0" collapsed="false">
      <c r="B46301" s="0" t="s">
        <v>7</v>
      </c>
      <c r="C46301" s="0" t="s">
        <v>3591</v>
      </c>
      <c r="D46301" s="0" t="s">
        <v>1135</v>
      </c>
      <c r="E46301" s="0" t="s">
        <v>1135</v>
      </c>
      <c r="F46301" s="0" t="s">
        <v>1135</v>
      </c>
    </row>
    <row r="46302" customFormat="false" ht="12.8" hidden="false" customHeight="false" outlineLevel="0" collapsed="false">
      <c r="B46302" s="0" t="s">
        <v>54</v>
      </c>
      <c r="C46302" s="0" t="s">
        <v>16471</v>
      </c>
      <c r="D46302" s="0" t="s">
        <v>1137</v>
      </c>
      <c r="E46302" s="0" t="s">
        <v>1137</v>
      </c>
      <c r="F46302" s="0" t="s">
        <v>1137</v>
      </c>
    </row>
    <row r="46303" customFormat="false" ht="12.8" hidden="false" customHeight="false" outlineLevel="0" collapsed="false">
      <c r="B46303" s="0" t="s">
        <v>84</v>
      </c>
      <c r="D46303" s="0" t="s">
        <v>1139</v>
      </c>
      <c r="E46303" s="0" t="s">
        <v>1139</v>
      </c>
      <c r="F46303" s="0" t="s">
        <v>1139</v>
      </c>
    </row>
    <row r="46305" customFormat="false" ht="12.8" hidden="false" customHeight="false" outlineLevel="0" collapsed="false">
      <c r="A46305" s="0" t="s">
        <v>16472</v>
      </c>
      <c r="B46305" s="0" t="str">
        <f aca="false">HYPERLINK("https://lindat.mff.cuni.cz/services/teitok/pdtc10/index.php?action=vallex&amp;frame=v-w6482f1", "stanovovat (v-w6482f1)")</f>
        <v>stanovovat (v-w6482f1)</v>
      </c>
    </row>
    <row r="46306" customFormat="false" ht="12.8" hidden="false" customHeight="false" outlineLevel="0" collapsed="false">
      <c r="B46306" s="0" t="s">
        <v>7</v>
      </c>
      <c r="C46306" s="0" t="s">
        <v>7173</v>
      </c>
      <c r="D46306" s="0" t="s">
        <v>11491</v>
      </c>
      <c r="E46306" s="0" t="s">
        <v>11491</v>
      </c>
      <c r="F46306" s="0" t="s">
        <v>11491</v>
      </c>
    </row>
    <row r="46307" customFormat="false" ht="12.8" hidden="false" customHeight="false" outlineLevel="0" collapsed="false">
      <c r="B46307" s="0" t="s">
        <v>14</v>
      </c>
      <c r="C46307" s="0" t="s">
        <v>16473</v>
      </c>
      <c r="D46307" s="0" t="s">
        <v>16466</v>
      </c>
      <c r="E46307" s="0" t="s">
        <v>16466</v>
      </c>
      <c r="F46307" s="0" t="s">
        <v>16466</v>
      </c>
    </row>
    <row r="46309" customFormat="false" ht="12.8" hidden="false" customHeight="false" outlineLevel="0" collapsed="false">
      <c r="A46309" s="0" t="s">
        <v>16474</v>
      </c>
      <c r="B46309" s="0" t="str">
        <f aca="false">HYPERLINK("https://lindat.mff.cuni.cz/services/teitok/pdtc10/index.php?action=vallex&amp;frame=v-w6483f1", "starat se (v-w6483f1)")</f>
        <v>starat se (v-w6483f1)</v>
      </c>
    </row>
    <row r="46310" customFormat="false" ht="12.8" hidden="false" customHeight="false" outlineLevel="0" collapsed="false">
      <c r="B46310" s="0" t="s">
        <v>7</v>
      </c>
      <c r="C46310" s="0" t="s">
        <v>16475</v>
      </c>
      <c r="D46310" s="0" t="s">
        <v>4414</v>
      </c>
      <c r="E46310" s="0" t="s">
        <v>4414</v>
      </c>
      <c r="F46310" s="0" t="s">
        <v>4414</v>
      </c>
    </row>
    <row r="46311" customFormat="false" ht="12.8" hidden="false" customHeight="false" outlineLevel="0" collapsed="false">
      <c r="B46311" s="0" t="s">
        <v>10870</v>
      </c>
      <c r="C46311" s="0" t="s">
        <v>16476</v>
      </c>
      <c r="D46311" s="0" t="s">
        <v>2887</v>
      </c>
      <c r="E46311" s="0" t="s">
        <v>2887</v>
      </c>
      <c r="F46311" s="0" t="s">
        <v>2887</v>
      </c>
    </row>
    <row r="46313" customFormat="false" ht="12.8" hidden="false" customHeight="false" outlineLevel="0" collapsed="false">
      <c r="A46313" s="0" t="s">
        <v>16477</v>
      </c>
      <c r="B46313" s="0" t="str">
        <f aca="false">HYPERLINK("https://lindat.mff.cuni.cz/services/teitok/pdtc10/index.php?action=vallex&amp;frame=v-w6490f3", "startovat (v-w6490f3)")</f>
        <v>startovat (v-w6490f3)</v>
      </c>
    </row>
    <row r="46314" customFormat="false" ht="12.8" hidden="false" customHeight="false" outlineLevel="0" collapsed="false">
      <c r="B46314" s="0" t="s">
        <v>7</v>
      </c>
    </row>
    <row r="46315" customFormat="false" ht="12.8" hidden="false" customHeight="false" outlineLevel="0" collapsed="false">
      <c r="B46315" s="0" t="s">
        <v>14</v>
      </c>
    </row>
    <row r="46317" customFormat="false" ht="12.8" hidden="false" customHeight="false" outlineLevel="0" collapsed="false">
      <c r="A46317" s="0" t="s">
        <v>16478</v>
      </c>
      <c r="B46317" s="0" t="str">
        <f aca="false">HYPERLINK("https://lindat.mff.cuni.cz/services/teitok/pdtc10/index.php?action=vallex&amp;frame=v-w6490f1", "startovat (v-w6490f1)")</f>
        <v>startovat (v-w6490f1)</v>
      </c>
    </row>
    <row r="46318" customFormat="false" ht="12.8" hidden="false" customHeight="false" outlineLevel="0" collapsed="false">
      <c r="B46318" s="0" t="s">
        <v>7</v>
      </c>
    </row>
    <row r="46320" customFormat="false" ht="12.8" hidden="false" customHeight="false" outlineLevel="0" collapsed="false">
      <c r="A46320" s="0" t="s">
        <v>16479</v>
      </c>
      <c r="B46320" s="0" t="str">
        <f aca="false">HYPERLINK("https://lindat.mff.cuni.cz/services/teitok/pdtc10/index.php?action=vallex&amp;frame=v-w6490f2", "startovat (v-w6490f2)")</f>
        <v>startovat (v-w6490f2)</v>
      </c>
    </row>
    <row r="46321" customFormat="false" ht="12.8" hidden="false" customHeight="false" outlineLevel="0" collapsed="false">
      <c r="B46321" s="0" t="s">
        <v>7</v>
      </c>
    </row>
    <row r="46323" customFormat="false" ht="12.8" hidden="false" customHeight="false" outlineLevel="0" collapsed="false">
      <c r="A46323" s="0" t="s">
        <v>16480</v>
      </c>
      <c r="B46323" s="0" t="str">
        <f aca="false">HYPERLINK("https://lindat.mff.cuni.cz/services/teitok/pdtc10/index.php?action=vallex&amp;frame=v-w6490hsa_1188", "startovat (v-w6490hsa_1188)")</f>
        <v>startovat (v-w6490hsa_1188)</v>
      </c>
    </row>
    <row r="46324" customFormat="false" ht="12.8" hidden="false" customHeight="false" outlineLevel="0" collapsed="false">
      <c r="B46324" s="0" t="s">
        <v>7</v>
      </c>
    </row>
    <row r="46325" customFormat="false" ht="12.8" hidden="false" customHeight="false" outlineLevel="0" collapsed="false">
      <c r="B46325" s="0" t="s">
        <v>14</v>
      </c>
    </row>
    <row r="46327" customFormat="false" ht="12.8" hidden="false" customHeight="false" outlineLevel="0" collapsed="false">
      <c r="A46327" s="0" t="s">
        <v>16481</v>
      </c>
      <c r="B46327" s="0" t="str">
        <f aca="false">HYPERLINK("https://lindat.mff.cuni.cz/services/teitok/pdtc10/index.php?action=vallex&amp;frame=v-w6507f2", "stavit (v-w6507f2)")</f>
        <v>stavit (v-w6507f2)</v>
      </c>
    </row>
    <row r="46328" customFormat="false" ht="12.8" hidden="false" customHeight="false" outlineLevel="0" collapsed="false">
      <c r="B46328" s="0" t="s">
        <v>7</v>
      </c>
      <c r="C46328" s="0" t="s">
        <v>5572</v>
      </c>
      <c r="D46328" s="0" t="s">
        <v>4799</v>
      </c>
      <c r="E46328" s="0" t="s">
        <v>4799</v>
      </c>
      <c r="F46328" s="0" t="s">
        <v>4799</v>
      </c>
    </row>
    <row r="46329" customFormat="false" ht="12.8" hidden="false" customHeight="false" outlineLevel="0" collapsed="false">
      <c r="B46329" s="0" t="s">
        <v>14</v>
      </c>
      <c r="C46329" s="0" t="s">
        <v>4800</v>
      </c>
      <c r="D46329" s="0" t="s">
        <v>4801</v>
      </c>
      <c r="E46329" s="0" t="s">
        <v>4801</v>
      </c>
      <c r="F46329" s="0" t="s">
        <v>4801</v>
      </c>
    </row>
    <row r="46330" customFormat="false" ht="12.8" hidden="false" customHeight="false" outlineLevel="0" collapsed="false">
      <c r="B46330" s="0" t="s">
        <v>586</v>
      </c>
      <c r="C46330" s="0" t="s">
        <v>16482</v>
      </c>
      <c r="D46330" s="0" t="s">
        <v>5460</v>
      </c>
      <c r="E46330" s="0" t="s">
        <v>5460</v>
      </c>
      <c r="F46330" s="0" t="s">
        <v>5460</v>
      </c>
    </row>
    <row r="46332" customFormat="false" ht="12.8" hidden="false" customHeight="false" outlineLevel="0" collapsed="false">
      <c r="A46332" s="0" t="s">
        <v>16483</v>
      </c>
      <c r="B46332" s="0" t="str">
        <f aca="false">HYPERLINK("https://lindat.mff.cuni.cz/services/teitok/pdtc10/index.php?action=vallex&amp;frame=v-w6507f1", "stavit (v-w6507f1)")</f>
        <v>stavit (v-w6507f1)</v>
      </c>
    </row>
    <row r="46333" customFormat="false" ht="12.8" hidden="false" customHeight="false" outlineLevel="0" collapsed="false">
      <c r="B46333" s="0" t="s">
        <v>7</v>
      </c>
      <c r="C46333" s="0" t="s">
        <v>335</v>
      </c>
    </row>
    <row r="46334" customFormat="false" ht="12.8" hidden="false" customHeight="false" outlineLevel="0" collapsed="false">
      <c r="B46334" s="0" t="s">
        <v>14</v>
      </c>
      <c r="C46334" s="0" t="s">
        <v>33</v>
      </c>
    </row>
    <row r="46335" customFormat="false" ht="12.8" hidden="false" customHeight="false" outlineLevel="0" collapsed="false">
      <c r="B46335" s="0" t="s">
        <v>279</v>
      </c>
      <c r="C46335" s="0" t="s">
        <v>16484</v>
      </c>
    </row>
    <row r="46337" customFormat="false" ht="12.8" hidden="false" customHeight="false" outlineLevel="0" collapsed="false">
      <c r="A46337" s="0" t="s">
        <v>16485</v>
      </c>
      <c r="B46337" s="0" t="str">
        <f aca="false">HYPERLINK("https://lindat.mff.cuni.cz/services/teitok/pdtc10/index.php?action=vallex&amp;frame=v-w6507f3_ZU", "stavit (v-w6507f3_ZU)")</f>
        <v>stavit (v-w6507f3_ZU)</v>
      </c>
    </row>
    <row r="46338" customFormat="false" ht="12.8" hidden="false" customHeight="false" outlineLevel="0" collapsed="false">
      <c r="B46338" s="0" t="s">
        <v>7</v>
      </c>
    </row>
    <row r="46339" customFormat="false" ht="12.8" hidden="false" customHeight="false" outlineLevel="0" collapsed="false">
      <c r="B46339" s="0" t="s">
        <v>14</v>
      </c>
    </row>
    <row r="46340" customFormat="false" ht="12.8" hidden="false" customHeight="false" outlineLevel="0" collapsed="false">
      <c r="B46340" s="0" t="s">
        <v>35</v>
      </c>
    </row>
    <row r="46342" customFormat="false" ht="12.8" hidden="false" customHeight="false" outlineLevel="0" collapsed="false">
      <c r="A46342" s="0" t="s">
        <v>16485</v>
      </c>
      <c r="B46342" s="0" t="str">
        <f aca="false">HYPERLINK("https://lindat.mff.cuni.cz/services/teitok/pdtc10/index.php?action=vallex&amp;frame=v-w6507hsa_564", "stavit (v-w6507hsa_564) - substituted with v-w6507f3_ZU")</f>
        <v>stavit (v-w6507hsa_564) - substituted with v-w6507f3_ZU</v>
      </c>
    </row>
    <row r="46343" customFormat="false" ht="12.8" hidden="false" customHeight="false" outlineLevel="0" collapsed="false">
      <c r="B46343" s="0" t="s">
        <v>7</v>
      </c>
    </row>
    <row r="46344" customFormat="false" ht="12.8" hidden="false" customHeight="false" outlineLevel="0" collapsed="false">
      <c r="B46344" s="0" t="s">
        <v>14</v>
      </c>
    </row>
    <row r="46345" customFormat="false" ht="12.8" hidden="false" customHeight="false" outlineLevel="0" collapsed="false">
      <c r="B46345" s="0" t="s">
        <v>35</v>
      </c>
    </row>
    <row r="46347" customFormat="false" ht="12.8" hidden="false" customHeight="false" outlineLevel="0" collapsed="false">
      <c r="A46347" s="0" t="s">
        <v>16486</v>
      </c>
      <c r="B46347" s="0" t="str">
        <f aca="false">HYPERLINK("https://lindat.mff.cuni.cz/services/teitok/pdtc10/index.php?action=vallex&amp;frame=v-w6509f1", "stavit se (v-w6509f1)")</f>
        <v>stavit se (v-w6509f1)</v>
      </c>
    </row>
    <row r="46348" customFormat="false" ht="12.8" hidden="false" customHeight="false" outlineLevel="0" collapsed="false">
      <c r="B46348" s="0" t="s">
        <v>7</v>
      </c>
      <c r="C46348" s="0" t="s">
        <v>8980</v>
      </c>
      <c r="D46348" s="0" t="s">
        <v>3784</v>
      </c>
      <c r="E46348" s="0" t="s">
        <v>3784</v>
      </c>
      <c r="F46348" s="0" t="s">
        <v>3784</v>
      </c>
    </row>
    <row r="46349" customFormat="false" ht="12.8" hidden="false" customHeight="false" outlineLevel="0" collapsed="false">
      <c r="B46349" s="0" t="s">
        <v>16487</v>
      </c>
      <c r="C46349" s="0" t="s">
        <v>356</v>
      </c>
      <c r="D46349" s="0" t="s">
        <v>3787</v>
      </c>
      <c r="E46349" s="0" t="s">
        <v>3787</v>
      </c>
      <c r="F46349" s="0" t="s">
        <v>3787</v>
      </c>
    </row>
    <row r="46351" customFormat="false" ht="12.8" hidden="false" customHeight="false" outlineLevel="0" collapsed="false">
      <c r="A46351" s="0" t="s">
        <v>16488</v>
      </c>
      <c r="B46351" s="0" t="str">
        <f aca="false">HYPERLINK("https://lindat.mff.cuni.cz/services/teitok/pdtc10/index.php?action=vallex&amp;frame=v-w6509f2", "stavit se (v-w6509f2)")</f>
        <v>stavit se (v-w6509f2)</v>
      </c>
    </row>
    <row r="46352" customFormat="false" ht="12.8" hidden="false" customHeight="false" outlineLevel="0" collapsed="false">
      <c r="B46352" s="0" t="s">
        <v>7</v>
      </c>
    </row>
    <row r="46353" customFormat="false" ht="12.8" hidden="false" customHeight="false" outlineLevel="0" collapsed="false">
      <c r="B46353" s="0" t="s">
        <v>11</v>
      </c>
    </row>
    <row r="46355" customFormat="false" ht="12.8" hidden="false" customHeight="false" outlineLevel="0" collapsed="false">
      <c r="A46355" s="0" t="s">
        <v>16489</v>
      </c>
      <c r="B46355" s="0" t="str">
        <f aca="false">HYPERLINK("https://lindat.mff.cuni.cz/services/teitok/pdtc10/index.php?action=vallex&amp;frame=v-w12385_MMf1_MM", "stavovat se (v-w12385_MMf1_MM)")</f>
        <v>stavovat se (v-w12385_MMf1_MM)</v>
      </c>
    </row>
    <row r="46356" customFormat="false" ht="12.8" hidden="false" customHeight="false" outlineLevel="0" collapsed="false">
      <c r="B46356" s="0" t="s">
        <v>7</v>
      </c>
    </row>
    <row r="46357" customFormat="false" ht="12.8" hidden="false" customHeight="false" outlineLevel="0" collapsed="false">
      <c r="B46357" s="0" t="s">
        <v>11</v>
      </c>
    </row>
    <row r="46359" customFormat="false" ht="12.8" hidden="false" customHeight="false" outlineLevel="0" collapsed="false">
      <c r="A46359" s="0" t="s">
        <v>16490</v>
      </c>
      <c r="B46359" s="0" t="str">
        <f aca="false">HYPERLINK("https://lindat.mff.cuni.cz/services/teitok/pdtc10/index.php?action=vallex&amp;frame=v-whsa_1887hsa_1888", "stavívat se (v-whsa_1887hsa_1888)")</f>
        <v>stavívat se (v-whsa_1887hsa_1888)</v>
      </c>
    </row>
    <row r="46360" customFormat="false" ht="12.8" hidden="false" customHeight="false" outlineLevel="0" collapsed="false">
      <c r="B46360" s="0" t="s">
        <v>7</v>
      </c>
    </row>
    <row r="46361" customFormat="false" ht="12.8" hidden="false" customHeight="false" outlineLevel="0" collapsed="false">
      <c r="B46361" s="0" t="s">
        <v>11</v>
      </c>
    </row>
    <row r="46363" customFormat="false" ht="12.8" hidden="false" customHeight="false" outlineLevel="0" collapsed="false">
      <c r="A46363" s="0" t="s">
        <v>16491</v>
      </c>
      <c r="B46363" s="0" t="str">
        <f aca="false">HYPERLINK("https://lindat.mff.cuni.cz/services/teitok/pdtc10/index.php?action=vallex&amp;frame=v-w6505f2", "stavět (v-w6505f2)")</f>
        <v>stavět (v-w6505f2)</v>
      </c>
    </row>
    <row r="46364" customFormat="false" ht="12.8" hidden="false" customHeight="false" outlineLevel="0" collapsed="false">
      <c r="B46364" s="0" t="s">
        <v>7</v>
      </c>
      <c r="C46364" s="0" t="s">
        <v>5572</v>
      </c>
      <c r="D46364" s="0" t="s">
        <v>460</v>
      </c>
      <c r="E46364" s="0" t="s">
        <v>460</v>
      </c>
      <c r="F46364" s="0" t="s">
        <v>460</v>
      </c>
    </row>
    <row r="46365" customFormat="false" ht="12.8" hidden="false" customHeight="false" outlineLevel="0" collapsed="false">
      <c r="B46365" s="0" t="s">
        <v>14</v>
      </c>
      <c r="C46365" s="0" t="s">
        <v>4800</v>
      </c>
      <c r="D46365" s="0" t="s">
        <v>585</v>
      </c>
      <c r="E46365" s="0" t="s">
        <v>585</v>
      </c>
      <c r="F46365" s="0" t="s">
        <v>585</v>
      </c>
    </row>
    <row r="46366" customFormat="false" ht="12.8" hidden="false" customHeight="false" outlineLevel="0" collapsed="false">
      <c r="B46366" s="0" t="s">
        <v>586</v>
      </c>
      <c r="C46366" s="0" t="s">
        <v>5360</v>
      </c>
      <c r="D46366" s="0" t="s">
        <v>588</v>
      </c>
      <c r="E46366" s="0" t="s">
        <v>588</v>
      </c>
      <c r="F46366" s="0" t="s">
        <v>588</v>
      </c>
    </row>
    <row r="46368" customFormat="false" ht="12.8" hidden="false" customHeight="false" outlineLevel="0" collapsed="false">
      <c r="A46368" s="0" t="s">
        <v>16492</v>
      </c>
      <c r="B46368" s="0" t="str">
        <f aca="false">HYPERLINK("https://lindat.mff.cuni.cz/services/teitok/pdtc10/index.php?action=vallex&amp;frame=v-w6505f1", "stavět (v-w6505f1)")</f>
        <v>stavět (v-w6505f1)</v>
      </c>
    </row>
    <row r="46369" customFormat="false" ht="12.8" hidden="false" customHeight="false" outlineLevel="0" collapsed="false">
      <c r="B46369" s="0" t="s">
        <v>7</v>
      </c>
      <c r="C46369" s="0" t="s">
        <v>1643</v>
      </c>
      <c r="D46369" s="0" t="s">
        <v>4799</v>
      </c>
      <c r="E46369" s="0" t="s">
        <v>4799</v>
      </c>
      <c r="F46369" s="0" t="s">
        <v>4799</v>
      </c>
    </row>
    <row r="46370" customFormat="false" ht="12.8" hidden="false" customHeight="false" outlineLevel="0" collapsed="false">
      <c r="B46370" s="0" t="s">
        <v>14</v>
      </c>
      <c r="C46370" s="0" t="s">
        <v>10883</v>
      </c>
      <c r="D46370" s="0" t="s">
        <v>4801</v>
      </c>
      <c r="E46370" s="0" t="s">
        <v>4801</v>
      </c>
      <c r="F46370" s="0" t="s">
        <v>4801</v>
      </c>
    </row>
    <row r="46371" customFormat="false" ht="12.8" hidden="false" customHeight="false" outlineLevel="0" collapsed="false">
      <c r="B46371" s="0" t="s">
        <v>35</v>
      </c>
      <c r="C46371" s="0" t="s">
        <v>5459</v>
      </c>
      <c r="D46371" s="0" t="s">
        <v>5460</v>
      </c>
      <c r="E46371" s="0" t="s">
        <v>5460</v>
      </c>
      <c r="F46371" s="0" t="s">
        <v>5460</v>
      </c>
    </row>
    <row r="46373" customFormat="false" ht="12.8" hidden="false" customHeight="false" outlineLevel="0" collapsed="false">
      <c r="A46373" s="0" t="s">
        <v>16493</v>
      </c>
      <c r="B46373" s="0" t="str">
        <f aca="false">HYPERLINK("https://lindat.mff.cuni.cz/services/teitok/pdtc10/index.php?action=vallex&amp;frame=v-w6505f7", "stavět (v-w6505f7)")</f>
        <v>stavět (v-w6505f7)</v>
      </c>
    </row>
    <row r="46374" customFormat="false" ht="12.8" hidden="false" customHeight="false" outlineLevel="0" collapsed="false">
      <c r="B46374" s="0" t="s">
        <v>7</v>
      </c>
    </row>
    <row r="46375" customFormat="false" ht="12.8" hidden="false" customHeight="false" outlineLevel="0" collapsed="false">
      <c r="B46375" s="0" t="s">
        <v>14</v>
      </c>
    </row>
    <row r="46376" customFormat="false" ht="12.8" hidden="false" customHeight="false" outlineLevel="0" collapsed="false">
      <c r="B46376" s="0" t="s">
        <v>16494</v>
      </c>
    </row>
    <row r="46378" customFormat="false" ht="12.8" hidden="false" customHeight="false" outlineLevel="0" collapsed="false">
      <c r="A46378" s="0" t="s">
        <v>16495</v>
      </c>
      <c r="B46378" s="0" t="str">
        <f aca="false">HYPERLINK("https://lindat.mff.cuni.cz/services/teitok/pdtc10/index.php?action=vallex&amp;frame=v-w6505f8", "stavět (v-w6505f8)")</f>
        <v>stavět (v-w6505f8)</v>
      </c>
    </row>
    <row r="46379" customFormat="false" ht="12.8" hidden="false" customHeight="false" outlineLevel="0" collapsed="false">
      <c r="B46379" s="0" t="s">
        <v>7</v>
      </c>
      <c r="C46379" s="0" t="s">
        <v>8623</v>
      </c>
    </row>
    <row r="46380" customFormat="false" ht="12.8" hidden="false" customHeight="false" outlineLevel="0" collapsed="false">
      <c r="B46380" s="0" t="s">
        <v>14</v>
      </c>
      <c r="C46380" s="0" t="s">
        <v>899</v>
      </c>
    </row>
    <row r="46381" customFormat="false" ht="12.8" hidden="false" customHeight="false" outlineLevel="0" collapsed="false">
      <c r="B46381" s="0" t="s">
        <v>279</v>
      </c>
      <c r="C46381" s="0" t="s">
        <v>4660</v>
      </c>
    </row>
    <row r="46383" customFormat="false" ht="12.8" hidden="false" customHeight="false" outlineLevel="0" collapsed="false">
      <c r="A46383" s="0" t="s">
        <v>16496</v>
      </c>
      <c r="B46383" s="0" t="str">
        <f aca="false">HYPERLINK("https://lindat.mff.cuni.cz/services/teitok/pdtc10/index.php?action=vallex&amp;frame=v-w6505f3", "stavět (v-w6505f3)")</f>
        <v>stavět (v-w6505f3)</v>
      </c>
    </row>
    <row r="46384" customFormat="false" ht="12.8" hidden="false" customHeight="false" outlineLevel="0" collapsed="false">
      <c r="B46384" s="0" t="s">
        <v>7</v>
      </c>
      <c r="C46384" s="0" t="s">
        <v>16497</v>
      </c>
      <c r="D46384" s="0" t="s">
        <v>16498</v>
      </c>
      <c r="E46384" s="0" t="s">
        <v>16498</v>
      </c>
      <c r="F46384" s="0" t="s">
        <v>16498</v>
      </c>
    </row>
    <row r="46385" customFormat="false" ht="12.8" hidden="false" customHeight="false" outlineLevel="0" collapsed="false">
      <c r="B46385" s="0" t="s">
        <v>14</v>
      </c>
      <c r="C46385" s="0" t="s">
        <v>16499</v>
      </c>
      <c r="D46385" s="0" t="s">
        <v>16500</v>
      </c>
      <c r="E46385" s="0" t="s">
        <v>16500</v>
      </c>
      <c r="F46385" s="0" t="s">
        <v>16500</v>
      </c>
    </row>
    <row r="46386" customFormat="false" ht="12.8" hidden="false" customHeight="false" outlineLevel="0" collapsed="false">
      <c r="B46386" s="0" t="s">
        <v>124</v>
      </c>
      <c r="C46386" s="0" t="s">
        <v>16501</v>
      </c>
      <c r="D46386" s="0" t="s">
        <v>16502</v>
      </c>
      <c r="E46386" s="0" t="s">
        <v>16502</v>
      </c>
      <c r="F46386" s="0" t="s">
        <v>16502</v>
      </c>
    </row>
    <row r="46388" customFormat="false" ht="12.8" hidden="false" customHeight="false" outlineLevel="0" collapsed="false">
      <c r="A46388" s="0" t="s">
        <v>16503</v>
      </c>
      <c r="B46388" s="0" t="str">
        <f aca="false">HYPERLINK("https://lindat.mff.cuni.cz/services/teitok/pdtc10/index.php?action=vallex&amp;frame=v-w6505f4", "stavět (v-w6505f4)")</f>
        <v>stavět (v-w6505f4)</v>
      </c>
    </row>
    <row r="46389" customFormat="false" ht="12.8" hidden="false" customHeight="false" outlineLevel="0" collapsed="false">
      <c r="B46389" s="0" t="s">
        <v>7</v>
      </c>
    </row>
    <row r="46391" customFormat="false" ht="12.8" hidden="false" customHeight="false" outlineLevel="0" collapsed="false">
      <c r="A46391" s="0" t="s">
        <v>16504</v>
      </c>
      <c r="B46391" s="0" t="str">
        <f aca="false">HYPERLINK("https://lindat.mff.cuni.cz/services/teitok/pdtc10/index.php?action=vallex&amp;frame=v-w6505f5", "stavět (v-w6505f5)")</f>
        <v>stavět (v-w6505f5)</v>
      </c>
    </row>
    <row r="46392" customFormat="false" ht="12.8" hidden="false" customHeight="false" outlineLevel="0" collapsed="false">
      <c r="B46392" s="0" t="s">
        <v>7</v>
      </c>
    </row>
    <row r="46393" customFormat="false" ht="12.8" hidden="false" customHeight="false" outlineLevel="0" collapsed="false">
      <c r="B46393" s="0" t="s">
        <v>16505</v>
      </c>
    </row>
    <row r="46394" customFormat="false" ht="12.8" hidden="false" customHeight="false" outlineLevel="0" collapsed="false">
      <c r="B46394" s="0" t="s">
        <v>106</v>
      </c>
    </row>
    <row r="46396" customFormat="false" ht="12.8" hidden="false" customHeight="false" outlineLevel="0" collapsed="false">
      <c r="A46396" s="0" t="s">
        <v>16506</v>
      </c>
      <c r="B46396" s="0" t="str">
        <f aca="false">HYPERLINK("https://lindat.mff.cuni.cz/services/teitok/pdtc10/index.php?action=vallex&amp;frame=v-w6505f6", "stavět (v-w6505f6)")</f>
        <v>stavět (v-w6505f6)</v>
      </c>
    </row>
    <row r="46397" customFormat="false" ht="12.8" hidden="false" customHeight="false" outlineLevel="0" collapsed="false">
      <c r="B46397" s="0" t="s">
        <v>7</v>
      </c>
    </row>
    <row r="46398" customFormat="false" ht="12.8" hidden="false" customHeight="false" outlineLevel="0" collapsed="false">
      <c r="B46398" s="0" t="s">
        <v>16507</v>
      </c>
    </row>
    <row r="46399" customFormat="false" ht="12.8" hidden="false" customHeight="false" outlineLevel="0" collapsed="false">
      <c r="B46399" s="0" t="s">
        <v>106</v>
      </c>
    </row>
    <row r="46401" customFormat="false" ht="12.8" hidden="false" customHeight="false" outlineLevel="0" collapsed="false">
      <c r="A46401" s="0" t="s">
        <v>16508</v>
      </c>
      <c r="B46401" s="0" t="str">
        <f aca="false">HYPERLINK("https://lindat.mff.cuni.cz/services/teitok/pdtc10/index.php?action=vallex&amp;frame=v-w6506hsa_954", "stavět se (v-w6506hsa_954)")</f>
        <v>stavět se (v-w6506hsa_954)</v>
      </c>
    </row>
    <row r="46402" customFormat="false" ht="12.8" hidden="false" customHeight="false" outlineLevel="0" collapsed="false">
      <c r="B46402" s="0" t="s">
        <v>7</v>
      </c>
    </row>
    <row r="46403" customFormat="false" ht="12.8" hidden="false" customHeight="false" outlineLevel="0" collapsed="false">
      <c r="B46403" s="0" t="s">
        <v>16509</v>
      </c>
    </row>
    <row r="46404" customFormat="false" ht="12.8" hidden="false" customHeight="false" outlineLevel="0" collapsed="false">
      <c r="B46404" s="0" t="s">
        <v>474</v>
      </c>
    </row>
    <row r="46405" customFormat="false" ht="12.8" hidden="false" customHeight="false" outlineLevel="0" collapsed="false">
      <c r="B46405" s="0" t="s">
        <v>479</v>
      </c>
    </row>
    <row r="46406" customFormat="false" ht="12.8" hidden="false" customHeight="false" outlineLevel="0" collapsed="false">
      <c r="B46406" s="0" t="s">
        <v>481</v>
      </c>
    </row>
    <row r="46407" customFormat="false" ht="12.8" hidden="false" customHeight="false" outlineLevel="0" collapsed="false">
      <c r="B46407" s="0" t="s">
        <v>483</v>
      </c>
    </row>
    <row r="46409" customFormat="false" ht="12.8" hidden="false" customHeight="false" outlineLevel="0" collapsed="false">
      <c r="A46409" s="0" t="s">
        <v>16508</v>
      </c>
      <c r="B46409" s="0" t="str">
        <f aca="false">HYPERLINK("https://lindat.mff.cuni.cz/services/teitok/pdtc10/index.php?action=vallex&amp;frame=v-w6506f1", "stavět se (v-w6506f1) - substituted with v-w6506hsa_954")</f>
        <v>stavět se (v-w6506f1) - substituted with v-w6506hsa_954</v>
      </c>
    </row>
    <row r="46410" customFormat="false" ht="12.8" hidden="false" customHeight="false" outlineLevel="0" collapsed="false">
      <c r="B46410" s="0" t="s">
        <v>7</v>
      </c>
    </row>
    <row r="46411" customFormat="false" ht="12.8" hidden="false" customHeight="false" outlineLevel="0" collapsed="false">
      <c r="B46411" s="0" t="s">
        <v>16509</v>
      </c>
    </row>
    <row r="46412" customFormat="false" ht="12.8" hidden="false" customHeight="false" outlineLevel="0" collapsed="false">
      <c r="B46412" s="0" t="s">
        <v>474</v>
      </c>
    </row>
    <row r="46413" customFormat="false" ht="12.8" hidden="false" customHeight="false" outlineLevel="0" collapsed="false">
      <c r="B46413" s="0" t="s">
        <v>479</v>
      </c>
    </row>
    <row r="46414" customFormat="false" ht="12.8" hidden="false" customHeight="false" outlineLevel="0" collapsed="false">
      <c r="B46414" s="0" t="s">
        <v>481</v>
      </c>
    </row>
    <row r="46415" customFormat="false" ht="12.8" hidden="false" customHeight="false" outlineLevel="0" collapsed="false">
      <c r="B46415" s="0" t="s">
        <v>483</v>
      </c>
    </row>
    <row r="46417" customFormat="false" ht="12.8" hidden="false" customHeight="false" outlineLevel="0" collapsed="false">
      <c r="A46417" s="0" t="s">
        <v>16510</v>
      </c>
      <c r="B46417" s="0" t="str">
        <f aca="false">HYPERLINK("https://lindat.mff.cuni.cz/services/teitok/pdtc10/index.php?action=vallex&amp;frame=v-w6506f2", "stavět se (v-w6506f2)")</f>
        <v>stavět se (v-w6506f2)</v>
      </c>
    </row>
    <row r="46418" customFormat="false" ht="12.8" hidden="false" customHeight="false" outlineLevel="0" collapsed="false">
      <c r="B46418" s="0" t="s">
        <v>7</v>
      </c>
      <c r="C46418" s="0" t="s">
        <v>16511</v>
      </c>
      <c r="D46418" s="0" t="s">
        <v>3784</v>
      </c>
      <c r="E46418" s="0" t="s">
        <v>3784</v>
      </c>
      <c r="F46418" s="0" t="s">
        <v>3784</v>
      </c>
    </row>
    <row r="46419" customFormat="false" ht="12.8" hidden="false" customHeight="false" outlineLevel="0" collapsed="false">
      <c r="B46419" s="0" t="s">
        <v>16512</v>
      </c>
      <c r="C46419" s="0" t="s">
        <v>10828</v>
      </c>
      <c r="D46419" s="0" t="s">
        <v>3787</v>
      </c>
      <c r="E46419" s="0" t="s">
        <v>3787</v>
      </c>
      <c r="F46419" s="0" t="s">
        <v>3787</v>
      </c>
    </row>
    <row r="46421" customFormat="false" ht="12.8" hidden="false" customHeight="false" outlineLevel="0" collapsed="false">
      <c r="A46421" s="0" t="s">
        <v>16513</v>
      </c>
      <c r="B46421" s="0" t="str">
        <f aca="false">HYPERLINK("https://lindat.mff.cuni.cz/services/teitok/pdtc10/index.php?action=vallex&amp;frame=v-w6506f5", "stavět se (v-w6506f5)")</f>
        <v>stavět se (v-w6506f5)</v>
      </c>
    </row>
    <row r="46422" customFormat="false" ht="12.8" hidden="false" customHeight="false" outlineLevel="0" collapsed="false">
      <c r="B46422" s="0" t="s">
        <v>7</v>
      </c>
    </row>
    <row r="46423" customFormat="false" ht="12.8" hidden="false" customHeight="false" outlineLevel="0" collapsed="false">
      <c r="B46423" s="0" t="s">
        <v>11</v>
      </c>
    </row>
    <row r="46425" customFormat="false" ht="12.8" hidden="false" customHeight="false" outlineLevel="0" collapsed="false">
      <c r="A46425" s="0" t="s">
        <v>16514</v>
      </c>
      <c r="B46425" s="0" t="str">
        <f aca="false">HYPERLINK("https://lindat.mff.cuni.cz/services/teitok/pdtc10/index.php?action=vallex&amp;frame=v-w6506f3", "stavět se (v-w6506f3)")</f>
        <v>stavět se (v-w6506f3)</v>
      </c>
    </row>
    <row r="46426" customFormat="false" ht="12.8" hidden="false" customHeight="false" outlineLevel="0" collapsed="false">
      <c r="B46426" s="0" t="s">
        <v>7</v>
      </c>
    </row>
    <row r="46427" customFormat="false" ht="12.8" hidden="false" customHeight="false" outlineLevel="0" collapsed="false">
      <c r="B46427" s="0" t="s">
        <v>279</v>
      </c>
    </row>
    <row r="46429" customFormat="false" ht="12.8" hidden="false" customHeight="false" outlineLevel="0" collapsed="false">
      <c r="A46429" s="0" t="s">
        <v>16515</v>
      </c>
      <c r="B46429" s="0" t="str">
        <f aca="false">HYPERLINK("https://lindat.mff.cuni.cz/services/teitok/pdtc10/index.php?action=vallex&amp;frame=v-w6506f6_ZU", "stavět se (v-w6506f6_ZU)")</f>
        <v>stavět se (v-w6506f6_ZU)</v>
      </c>
    </row>
    <row r="46430" customFormat="false" ht="12.8" hidden="false" customHeight="false" outlineLevel="0" collapsed="false">
      <c r="B46430" s="0" t="s">
        <v>7</v>
      </c>
    </row>
    <row r="46431" customFormat="false" ht="12.8" hidden="false" customHeight="false" outlineLevel="0" collapsed="false">
      <c r="B46431" s="0" t="s">
        <v>16516</v>
      </c>
    </row>
    <row r="46432" customFormat="false" ht="12.8" hidden="false" customHeight="false" outlineLevel="0" collapsed="false">
      <c r="B46432" s="0" t="s">
        <v>142</v>
      </c>
    </row>
    <row r="46434" customFormat="false" ht="12.8" hidden="false" customHeight="false" outlineLevel="0" collapsed="false">
      <c r="A46434" s="0" t="s">
        <v>16515</v>
      </c>
      <c r="B46434" s="0" t="str">
        <f aca="false">HYPERLINK("https://lindat.mff.cuni.cz/services/teitok/pdtc10/index.php?action=vallex&amp;frame=v-w6506f4", "stavět se (v-w6506f4) - substituted with v-w6506f6_ZU")</f>
        <v>stavět se (v-w6506f4) - substituted with v-w6506f6_ZU</v>
      </c>
    </row>
    <row r="46435" customFormat="false" ht="12.8" hidden="false" customHeight="false" outlineLevel="0" collapsed="false">
      <c r="B46435" s="0" t="s">
        <v>7</v>
      </c>
    </row>
    <row r="46436" customFormat="false" ht="12.8" hidden="false" customHeight="false" outlineLevel="0" collapsed="false">
      <c r="B46436" s="0" t="s">
        <v>16516</v>
      </c>
    </row>
    <row r="46437" customFormat="false" ht="12.8" hidden="false" customHeight="false" outlineLevel="0" collapsed="false">
      <c r="B46437" s="0" t="s">
        <v>142</v>
      </c>
    </row>
    <row r="46439" customFormat="false" ht="12.8" hidden="false" customHeight="false" outlineLevel="0" collapsed="false">
      <c r="A46439" s="0" t="s">
        <v>16517</v>
      </c>
      <c r="B46439" s="0" t="str">
        <f aca="false">HYPERLINK("https://lindat.mff.cuni.cz/services/teitok/pdtc10/index.php?action=vallex&amp;frame=v-w6506f7_ZU", "stavět se (v-w6506f7_ZU)")</f>
        <v>stavět se (v-w6506f7_ZU)</v>
      </c>
    </row>
    <row r="46440" customFormat="false" ht="12.8" hidden="false" customHeight="false" outlineLevel="0" collapsed="false">
      <c r="B46440" s="0" t="s">
        <v>7</v>
      </c>
      <c r="C46440" s="0" t="s">
        <v>4651</v>
      </c>
    </row>
    <row r="46441" customFormat="false" ht="12.8" hidden="false" customHeight="false" outlineLevel="0" collapsed="false">
      <c r="B46441" s="0" t="s">
        <v>10898</v>
      </c>
    </row>
    <row r="46443" customFormat="false" ht="12.8" hidden="false" customHeight="false" outlineLevel="0" collapsed="false">
      <c r="A46443" s="0" t="s">
        <v>16518</v>
      </c>
      <c r="B46443" s="0" t="str">
        <f aca="false">HYPERLINK("https://lindat.mff.cuni.cz/services/teitok/pdtc10/index.php?action=vallex&amp;frame=v-w6506f8_ZU", "stavět se (v-w6506f8_ZU)")</f>
        <v>stavět se (v-w6506f8_ZU)</v>
      </c>
    </row>
    <row r="46444" customFormat="false" ht="12.8" hidden="false" customHeight="false" outlineLevel="0" collapsed="false">
      <c r="B46444" s="0" t="s">
        <v>7</v>
      </c>
      <c r="C46444" s="0" t="s">
        <v>5274</v>
      </c>
    </row>
    <row r="46445" customFormat="false" ht="12.8" hidden="false" customHeight="false" outlineLevel="0" collapsed="false">
      <c r="B46445" s="0" t="s">
        <v>10917</v>
      </c>
      <c r="C46445" s="0" t="s">
        <v>16519</v>
      </c>
    </row>
    <row r="46447" customFormat="false" ht="12.8" hidden="false" customHeight="false" outlineLevel="0" collapsed="false">
      <c r="A46447" s="0" t="s">
        <v>16518</v>
      </c>
      <c r="B46447" s="0" t="str">
        <f aca="false">HYPERLINK("https://lindat.mff.cuni.cz/services/teitok/pdtc10/index.php?action=vallex&amp;frame=v-w6506hsa_955", "stavět se (v-w6506hsa_955) - substituted with v-w6506f8_ZU")</f>
        <v>stavět se (v-w6506hsa_955) - substituted with v-w6506f8_ZU</v>
      </c>
    </row>
    <row r="46448" customFormat="false" ht="12.8" hidden="false" customHeight="false" outlineLevel="0" collapsed="false">
      <c r="B46448" s="0" t="s">
        <v>7</v>
      </c>
    </row>
    <row r="46449" customFormat="false" ht="12.8" hidden="false" customHeight="false" outlineLevel="0" collapsed="false">
      <c r="B46449" s="0" t="s">
        <v>10917</v>
      </c>
    </row>
    <row r="46451" customFormat="false" ht="12.8" hidden="false" customHeight="false" outlineLevel="0" collapsed="false">
      <c r="A46451" s="0" t="s">
        <v>16520</v>
      </c>
      <c r="B46451" s="0" t="str">
        <f aca="false">HYPERLINK("https://lindat.mff.cuni.cz/services/teitok/pdtc10/index.php?action=vallex&amp;frame=v-w6462f4", "stačit (v-w6462f4)")</f>
        <v>stačit (v-w6462f4)</v>
      </c>
    </row>
    <row r="46452" customFormat="false" ht="12.8" hidden="false" customHeight="false" outlineLevel="0" collapsed="false">
      <c r="B46452" s="0" t="s">
        <v>7</v>
      </c>
      <c r="C46452" s="0" t="s">
        <v>113</v>
      </c>
      <c r="D46452" s="0" t="s">
        <v>2736</v>
      </c>
      <c r="E46452" s="0" t="s">
        <v>2736</v>
      </c>
      <c r="F46452" s="0" t="s">
        <v>2736</v>
      </c>
    </row>
    <row r="46453" customFormat="false" ht="12.8" hidden="false" customHeight="false" outlineLevel="0" collapsed="false">
      <c r="B46453" s="0" t="s">
        <v>142</v>
      </c>
      <c r="C46453" s="0" t="s">
        <v>1209</v>
      </c>
      <c r="D46453" s="0" t="s">
        <v>2838</v>
      </c>
      <c r="E46453" s="0" t="s">
        <v>2838</v>
      </c>
      <c r="F46453" s="0" t="s">
        <v>2838</v>
      </c>
    </row>
    <row r="46454" customFormat="false" ht="12.8" hidden="false" customHeight="false" outlineLevel="0" collapsed="false">
      <c r="B46454" s="0" t="s">
        <v>16521</v>
      </c>
    </row>
    <row r="46456" customFormat="false" ht="12.8" hidden="false" customHeight="false" outlineLevel="0" collapsed="false">
      <c r="A46456" s="0" t="s">
        <v>16522</v>
      </c>
      <c r="B46456" s="0" t="str">
        <f aca="false">HYPERLINK("https://lindat.mff.cuni.cz/services/teitok/pdtc10/index.php?action=vallex&amp;frame=v-w6462f7_ZU", "stačit (v-w6462f7_ZU)")</f>
        <v>stačit (v-w6462f7_ZU)</v>
      </c>
    </row>
    <row r="46457" customFormat="false" ht="12.8" hidden="false" customHeight="false" outlineLevel="0" collapsed="false">
      <c r="B46457" s="0" t="s">
        <v>265</v>
      </c>
    </row>
    <row r="46458" customFormat="false" ht="12.8" hidden="false" customHeight="false" outlineLevel="0" collapsed="false">
      <c r="B46458" s="0" t="s">
        <v>16523</v>
      </c>
    </row>
    <row r="46460" customFormat="false" ht="12.8" hidden="false" customHeight="false" outlineLevel="0" collapsed="false">
      <c r="A46460" s="0" t="s">
        <v>16522</v>
      </c>
      <c r="B46460" s="0" t="str">
        <f aca="false">HYPERLINK("https://lindat.mff.cuni.cz/services/teitok/pdtc10/index.php?action=vallex&amp;frame=v-w6462f3", "stačit (v-w6462f3) - substituted with v-w6462f7_ZU")</f>
        <v>stačit (v-w6462f3) - substituted with v-w6462f7_ZU</v>
      </c>
    </row>
    <row r="46461" customFormat="false" ht="12.8" hidden="false" customHeight="false" outlineLevel="0" collapsed="false">
      <c r="B46461" s="0" t="s">
        <v>265</v>
      </c>
    </row>
    <row r="46462" customFormat="false" ht="12.8" hidden="false" customHeight="false" outlineLevel="0" collapsed="false">
      <c r="B46462" s="0" t="s">
        <v>16523</v>
      </c>
    </row>
    <row r="46464" customFormat="false" ht="12.8" hidden="false" customHeight="false" outlineLevel="0" collapsed="false">
      <c r="A46464" s="0" t="s">
        <v>16522</v>
      </c>
      <c r="B46464" s="0" t="str">
        <f aca="false">HYPERLINK("https://lindat.mff.cuni.cz/services/teitok/pdtc10/index.php?action=vallex&amp;frame=v-w6462hsa_1248", "stačit (v-w6462hsa_1248) - substituted with v-w6462f7_ZU")</f>
        <v>stačit (v-w6462hsa_1248) - substituted with v-w6462f7_ZU</v>
      </c>
    </row>
    <row r="46465" customFormat="false" ht="12.8" hidden="false" customHeight="false" outlineLevel="0" collapsed="false">
      <c r="B46465" s="0" t="s">
        <v>265</v>
      </c>
    </row>
    <row r="46466" customFormat="false" ht="12.8" hidden="false" customHeight="false" outlineLevel="0" collapsed="false">
      <c r="B46466" s="0" t="s">
        <v>16523</v>
      </c>
    </row>
    <row r="46468" customFormat="false" ht="12.8" hidden="false" customHeight="false" outlineLevel="0" collapsed="false">
      <c r="A46468" s="0" t="s">
        <v>16522</v>
      </c>
      <c r="B46468" s="0" t="str">
        <f aca="false">HYPERLINK("https://lindat.mff.cuni.cz/services/teitok/pdtc10/index.php?action=vallex&amp;frame=v-w6462hsa_2022", "stačit (v-w6462hsa_2022) - substituted with v-w6462f7_ZU")</f>
        <v>stačit (v-w6462hsa_2022) - substituted with v-w6462f7_ZU</v>
      </c>
    </row>
    <row r="46469" customFormat="false" ht="12.8" hidden="false" customHeight="false" outlineLevel="0" collapsed="false">
      <c r="B46469" s="0" t="s">
        <v>265</v>
      </c>
    </row>
    <row r="46470" customFormat="false" ht="12.8" hidden="false" customHeight="false" outlineLevel="0" collapsed="false">
      <c r="B46470" s="0" t="s">
        <v>16523</v>
      </c>
    </row>
    <row r="46472" customFormat="false" ht="12.8" hidden="false" customHeight="false" outlineLevel="0" collapsed="false">
      <c r="A46472" s="0" t="s">
        <v>16524</v>
      </c>
      <c r="B46472" s="0" t="str">
        <f aca="false">HYPERLINK("https://lindat.mff.cuni.cz/services/teitok/pdtc10/index.php?action=vallex&amp;frame=v-w6462f2", "stačit (v-w6462f2)")</f>
        <v>stačit (v-w6462f2)</v>
      </c>
    </row>
    <row r="46473" customFormat="false" ht="12.8" hidden="false" customHeight="false" outlineLevel="0" collapsed="false">
      <c r="B46473" s="0" t="s">
        <v>7</v>
      </c>
      <c r="C46473" s="0" t="s">
        <v>7960</v>
      </c>
      <c r="D46473" s="0" t="s">
        <v>1874</v>
      </c>
      <c r="E46473" s="0" t="s">
        <v>1874</v>
      </c>
      <c r="F46473" s="0" t="s">
        <v>1874</v>
      </c>
    </row>
    <row r="46474" customFormat="false" ht="12.8" hidden="false" customHeight="false" outlineLevel="0" collapsed="false">
      <c r="B46474" s="0" t="s">
        <v>306</v>
      </c>
      <c r="C46474" s="0" t="s">
        <v>16525</v>
      </c>
      <c r="D46474" s="0" t="s">
        <v>493</v>
      </c>
      <c r="E46474" s="0" t="s">
        <v>493</v>
      </c>
      <c r="F46474" s="0" t="s">
        <v>493</v>
      </c>
    </row>
    <row r="46476" customFormat="false" ht="12.8" hidden="false" customHeight="false" outlineLevel="0" collapsed="false">
      <c r="A46476" s="0" t="s">
        <v>16526</v>
      </c>
      <c r="B46476" s="0" t="str">
        <f aca="false">HYPERLINK("https://lindat.mff.cuni.cz/services/teitok/pdtc10/index.php?action=vallex&amp;frame=v-w6462f6", "stačit (v-w6462f6)")</f>
        <v>stačit (v-w6462f6)</v>
      </c>
    </row>
    <row r="46477" customFormat="false" ht="12.8" hidden="false" customHeight="false" outlineLevel="0" collapsed="false">
      <c r="B46477" s="0" t="s">
        <v>7</v>
      </c>
    </row>
    <row r="46478" customFormat="false" ht="12.8" hidden="false" customHeight="false" outlineLevel="0" collapsed="false">
      <c r="B46478" s="0" t="s">
        <v>548</v>
      </c>
    </row>
    <row r="46480" customFormat="false" ht="12.8" hidden="false" customHeight="false" outlineLevel="0" collapsed="false">
      <c r="A46480" s="0" t="s">
        <v>16527</v>
      </c>
      <c r="B46480" s="0" t="str">
        <f aca="false">HYPERLINK("https://lindat.mff.cuni.cz/services/teitok/pdtc10/index.php?action=vallex&amp;frame=v-w6462f8_ZU", "stačit (v-w6462f8_ZU)")</f>
        <v>stačit (v-w6462f8_ZU)</v>
      </c>
    </row>
    <row r="46481" customFormat="false" ht="12.8" hidden="false" customHeight="false" outlineLevel="0" collapsed="false">
      <c r="B46481" s="0" t="s">
        <v>16528</v>
      </c>
    </row>
    <row r="46482" customFormat="false" ht="12.8" hidden="false" customHeight="false" outlineLevel="0" collapsed="false">
      <c r="B46482" s="0" t="s">
        <v>16529</v>
      </c>
    </row>
    <row r="46484" customFormat="false" ht="12.8" hidden="false" customHeight="false" outlineLevel="0" collapsed="false">
      <c r="A46484" s="0" t="s">
        <v>16527</v>
      </c>
      <c r="B46484" s="0" t="str">
        <f aca="false">HYPERLINK("https://lindat.mff.cuni.cz/services/teitok/pdtc10/index.php?action=vallex&amp;frame=v-w6462f1", "stačit (v-w6462f1) - substituted with v-w6462f8_ZU")</f>
        <v>stačit (v-w6462f1) - substituted with v-w6462f8_ZU</v>
      </c>
    </row>
    <row r="46485" customFormat="false" ht="12.8" hidden="false" customHeight="false" outlineLevel="0" collapsed="false">
      <c r="B46485" s="0" t="s">
        <v>16528</v>
      </c>
      <c r="C46485" s="0" t="s">
        <v>16530</v>
      </c>
    </row>
    <row r="46486" customFormat="false" ht="12.8" hidden="false" customHeight="false" outlineLevel="0" collapsed="false">
      <c r="B46486" s="0" t="s">
        <v>16529</v>
      </c>
      <c r="C46486" s="0" t="s">
        <v>16531</v>
      </c>
    </row>
    <row r="46488" customFormat="false" ht="12.8" hidden="false" customHeight="false" outlineLevel="0" collapsed="false">
      <c r="A46488" s="0" t="s">
        <v>16527</v>
      </c>
      <c r="B46488" s="0" t="str">
        <f aca="false">HYPERLINK("https://lindat.mff.cuni.cz/services/teitok/pdtc10/index.php?action=vallex&amp;frame=v-w6462hsa_1249", "stačit (v-w6462hsa_1249) - substituted with v-w6462f8_ZU")</f>
        <v>stačit (v-w6462hsa_1249) - substituted with v-w6462f8_ZU</v>
      </c>
    </row>
    <row r="46489" customFormat="false" ht="12.8" hidden="false" customHeight="false" outlineLevel="0" collapsed="false">
      <c r="B46489" s="0" t="s">
        <v>16528</v>
      </c>
    </row>
    <row r="46490" customFormat="false" ht="12.8" hidden="false" customHeight="false" outlineLevel="0" collapsed="false">
      <c r="B46490" s="0" t="s">
        <v>16529</v>
      </c>
    </row>
    <row r="46492" customFormat="false" ht="12.8" hidden="false" customHeight="false" outlineLevel="0" collapsed="false">
      <c r="A46492" s="0" t="s">
        <v>16527</v>
      </c>
      <c r="B46492" s="0" t="str">
        <f aca="false">HYPERLINK("https://lindat.mff.cuni.cz/services/teitok/pdtc10/index.php?action=vallex&amp;frame=v-w6462hsa_2021", "stačit (v-w6462hsa_2021) - substituted with v-w6462f8_ZU")</f>
        <v>stačit (v-w6462hsa_2021) - substituted with v-w6462f8_ZU</v>
      </c>
    </row>
    <row r="46493" customFormat="false" ht="12.8" hidden="false" customHeight="false" outlineLevel="0" collapsed="false">
      <c r="B46493" s="0" t="s">
        <v>16528</v>
      </c>
    </row>
    <row r="46494" customFormat="false" ht="12.8" hidden="false" customHeight="false" outlineLevel="0" collapsed="false">
      <c r="B46494" s="0" t="s">
        <v>16529</v>
      </c>
    </row>
    <row r="46496" customFormat="false" ht="12.8" hidden="false" customHeight="false" outlineLevel="0" collapsed="false">
      <c r="A46496" s="0" t="s">
        <v>16532</v>
      </c>
      <c r="B46496" s="0" t="str">
        <f aca="false">HYPERLINK("https://lindat.mff.cuni.cz/services/teitok/pdtc10/index.php?action=vallex&amp;frame=v-w6462f5", "stačit (v-w6462f5)")</f>
        <v>stačit (v-w6462f5)</v>
      </c>
    </row>
    <row r="46497" customFormat="false" ht="12.8" hidden="false" customHeight="false" outlineLevel="0" collapsed="false">
      <c r="B46497" s="0" t="s">
        <v>7</v>
      </c>
    </row>
    <row r="46498" customFormat="false" ht="12.8" hidden="false" customHeight="false" outlineLevel="0" collapsed="false">
      <c r="B46498" s="0" t="s">
        <v>11</v>
      </c>
    </row>
    <row r="46500" customFormat="false" ht="12.8" hidden="false" customHeight="false" outlineLevel="0" collapsed="false">
      <c r="A46500" s="0" t="s">
        <v>16533</v>
      </c>
      <c r="B46500" s="0" t="str">
        <f aca="false">HYPERLINK("https://lindat.mff.cuni.cz/services/teitok/pdtc10/index.php?action=vallex&amp;frame=v-w6462f9_MM", "stačit (v-w6462f9_MM)")</f>
        <v>stačit (v-w6462f9_MM)</v>
      </c>
    </row>
    <row r="46501" customFormat="false" ht="12.8" hidden="false" customHeight="false" outlineLevel="0" collapsed="false">
      <c r="B46501" s="0" t="s">
        <v>603</v>
      </c>
    </row>
    <row r="46502" customFormat="false" ht="12.8" hidden="false" customHeight="false" outlineLevel="0" collapsed="false">
      <c r="B46502" s="0" t="s">
        <v>16534</v>
      </c>
    </row>
    <row r="46504" customFormat="false" ht="12.8" hidden="false" customHeight="false" outlineLevel="0" collapsed="false">
      <c r="A46504" s="0" t="s">
        <v>16535</v>
      </c>
      <c r="B46504" s="0" t="str">
        <f aca="false">HYPERLINK("https://lindat.mff.cuni.cz/services/teitok/pdtc10/index.php?action=vallex&amp;frame=v-whsa_1006hsa_1007", "stepovat (v-whsa_1006hsa_1007)")</f>
        <v>stepovat (v-whsa_1006hsa_1007)</v>
      </c>
    </row>
    <row r="46505" customFormat="false" ht="12.8" hidden="false" customHeight="false" outlineLevel="0" collapsed="false">
      <c r="B46505" s="0" t="s">
        <v>7</v>
      </c>
    </row>
    <row r="46507" customFormat="false" ht="12.8" hidden="false" customHeight="false" outlineLevel="0" collapsed="false">
      <c r="A46507" s="0" t="s">
        <v>16536</v>
      </c>
      <c r="B46507" s="0" t="str">
        <f aca="false">HYPERLINK("https://lindat.mff.cuni.cz/services/teitok/pdtc10/index.php?action=vallex&amp;frame=v-w6519f1", "sterilizovat (v-w6519f1)")</f>
        <v>sterilizovat (v-w6519f1)</v>
      </c>
    </row>
    <row r="46508" customFormat="false" ht="12.8" hidden="false" customHeight="false" outlineLevel="0" collapsed="false">
      <c r="B46508" s="0" t="s">
        <v>7</v>
      </c>
      <c r="C46508" s="0" t="s">
        <v>46</v>
      </c>
      <c r="D46508" s="0" t="s">
        <v>108</v>
      </c>
      <c r="E46508" s="0" t="s">
        <v>108</v>
      </c>
      <c r="F46508" s="0" t="s">
        <v>108</v>
      </c>
    </row>
    <row r="46509" customFormat="false" ht="12.8" hidden="false" customHeight="false" outlineLevel="0" collapsed="false">
      <c r="B46509" s="0" t="s">
        <v>14</v>
      </c>
      <c r="C46509" s="0" t="s">
        <v>155</v>
      </c>
      <c r="D46509" s="0" t="s">
        <v>5146</v>
      </c>
      <c r="E46509" s="0" t="s">
        <v>5146</v>
      </c>
      <c r="F46509" s="0" t="s">
        <v>5146</v>
      </c>
    </row>
    <row r="46511" customFormat="false" ht="12.8" hidden="false" customHeight="false" outlineLevel="0" collapsed="false">
      <c r="A46511" s="0" t="s">
        <v>16537</v>
      </c>
      <c r="B46511" s="0" t="str">
        <f aca="false">HYPERLINK("https://lindat.mff.cuni.cz/services/teitok/pdtc10/index.php?action=vallex&amp;frame=v-w11908_ZUf1_ZU", "sterilovat (v-w11908_ZUf1_ZU)")</f>
        <v>sterilovat (v-w11908_ZUf1_ZU)</v>
      </c>
    </row>
    <row r="46512" customFormat="false" ht="12.8" hidden="false" customHeight="false" outlineLevel="0" collapsed="false">
      <c r="B46512" s="0" t="s">
        <v>7</v>
      </c>
    </row>
    <row r="46513" customFormat="false" ht="12.8" hidden="false" customHeight="false" outlineLevel="0" collapsed="false">
      <c r="B46513" s="0" t="s">
        <v>14</v>
      </c>
    </row>
    <row r="46515" customFormat="false" ht="12.8" hidden="false" customHeight="false" outlineLevel="0" collapsed="false">
      <c r="A46515" s="0" t="s">
        <v>16538</v>
      </c>
      <c r="B46515" s="0" t="str">
        <f aca="false">HYPERLINK("https://lindat.mff.cuni.cz/services/teitok/pdtc10/index.php?action=vallex&amp;frame=v-w6524f1", "stihnout (v-w6524f1)")</f>
        <v>stihnout (v-w6524f1)</v>
      </c>
    </row>
    <row r="46516" customFormat="false" ht="12.8" hidden="false" customHeight="false" outlineLevel="0" collapsed="false">
      <c r="B46516" s="0" t="s">
        <v>7</v>
      </c>
      <c r="C46516" s="0" t="s">
        <v>184</v>
      </c>
      <c r="D46516" s="0" t="s">
        <v>16539</v>
      </c>
      <c r="E46516" s="0" t="s">
        <v>16539</v>
      </c>
      <c r="F46516" s="0" t="s">
        <v>16539</v>
      </c>
    </row>
    <row r="46517" customFormat="false" ht="12.8" hidden="false" customHeight="false" outlineLevel="0" collapsed="false">
      <c r="B46517" s="0" t="s">
        <v>306</v>
      </c>
      <c r="C46517" s="0" t="s">
        <v>567</v>
      </c>
      <c r="D46517" s="0" t="s">
        <v>16540</v>
      </c>
      <c r="E46517" s="0" t="s">
        <v>16540</v>
      </c>
      <c r="F46517" s="0" t="s">
        <v>16540</v>
      </c>
    </row>
    <row r="46519" customFormat="false" ht="12.8" hidden="false" customHeight="false" outlineLevel="0" collapsed="false">
      <c r="A46519" s="0" t="s">
        <v>16541</v>
      </c>
      <c r="B46519" s="0" t="str">
        <f aca="false">HYPERLINK("https://lindat.mff.cuni.cz/services/teitok/pdtc10/index.php?action=vallex&amp;frame=v-w6524f2", "stihnout (v-w6524f2)")</f>
        <v>stihnout (v-w6524f2)</v>
      </c>
    </row>
    <row r="46520" customFormat="false" ht="12.8" hidden="false" customHeight="false" outlineLevel="0" collapsed="false">
      <c r="B46520" s="0" t="s">
        <v>7</v>
      </c>
    </row>
    <row r="46521" customFormat="false" ht="12.8" hidden="false" customHeight="false" outlineLevel="0" collapsed="false">
      <c r="B46521" s="0" t="s">
        <v>14</v>
      </c>
    </row>
    <row r="46523" customFormat="false" ht="12.8" hidden="false" customHeight="false" outlineLevel="0" collapsed="false">
      <c r="A46523" s="0" t="s">
        <v>16542</v>
      </c>
      <c r="B46523" s="0" t="str">
        <f aca="false">HYPERLINK("https://lindat.mff.cuni.cz/services/teitok/pdtc10/index.php?action=vallex&amp;frame=v-w6526f2", "stimulovat (v-w6526f2)")</f>
        <v>stimulovat (v-w6526f2)</v>
      </c>
    </row>
    <row r="46524" customFormat="false" ht="12.8" hidden="false" customHeight="false" outlineLevel="0" collapsed="false">
      <c r="B46524" s="0" t="s">
        <v>7</v>
      </c>
    </row>
    <row r="46525" customFormat="false" ht="12.8" hidden="false" customHeight="false" outlineLevel="0" collapsed="false">
      <c r="B46525" s="0" t="s">
        <v>10005</v>
      </c>
    </row>
    <row r="46526" customFormat="false" ht="12.8" hidden="false" customHeight="false" outlineLevel="0" collapsed="false">
      <c r="B46526" s="0" t="s">
        <v>81</v>
      </c>
    </row>
    <row r="46528" customFormat="false" ht="12.8" hidden="false" customHeight="false" outlineLevel="0" collapsed="false">
      <c r="A46528" s="0" t="s">
        <v>16543</v>
      </c>
      <c r="B46528" s="0" t="str">
        <f aca="false">HYPERLINK("https://lindat.mff.cuni.cz/services/teitok/pdtc10/index.php?action=vallex&amp;frame=v-w6526f1", "stimulovat (v-w6526f1)")</f>
        <v>stimulovat (v-w6526f1)</v>
      </c>
    </row>
    <row r="46529" customFormat="false" ht="12.8" hidden="false" customHeight="false" outlineLevel="0" collapsed="false">
      <c r="B46529" s="0" t="s">
        <v>7</v>
      </c>
      <c r="C46529" s="0" t="s">
        <v>184</v>
      </c>
      <c r="D46529" s="0" t="s">
        <v>6781</v>
      </c>
      <c r="E46529" s="0" t="s">
        <v>6781</v>
      </c>
      <c r="F46529" s="0" t="s">
        <v>6781</v>
      </c>
    </row>
    <row r="46530" customFormat="false" ht="12.8" hidden="false" customHeight="false" outlineLevel="0" collapsed="false">
      <c r="B46530" s="0" t="s">
        <v>14</v>
      </c>
      <c r="C46530" s="0" t="s">
        <v>487</v>
      </c>
      <c r="D46530" s="0" t="s">
        <v>6783</v>
      </c>
      <c r="E46530" s="0" t="s">
        <v>6783</v>
      </c>
      <c r="F46530" s="0" t="s">
        <v>6783</v>
      </c>
    </row>
    <row r="46532" customFormat="false" ht="12.8" hidden="false" customHeight="false" outlineLevel="0" collapsed="false">
      <c r="A46532" s="0" t="s">
        <v>16544</v>
      </c>
      <c r="B46532" s="0" t="str">
        <f aca="false">HYPERLINK("https://lindat.mff.cuni.cz/services/teitok/pdtc10/index.php?action=vallex&amp;frame=v-w10187f2", "stisknout (v-w10187f2)")</f>
        <v>stisknout (v-w10187f2)</v>
      </c>
    </row>
    <row r="46533" customFormat="false" ht="12.8" hidden="false" customHeight="false" outlineLevel="0" collapsed="false">
      <c r="B46533" s="0" t="s">
        <v>7</v>
      </c>
      <c r="C46533" s="0" t="s">
        <v>504</v>
      </c>
      <c r="D46533" s="0" t="s">
        <v>126</v>
      </c>
      <c r="E46533" s="0" t="s">
        <v>126</v>
      </c>
      <c r="F46533" s="0" t="s">
        <v>126</v>
      </c>
    </row>
    <row r="46534" customFormat="false" ht="12.8" hidden="false" customHeight="false" outlineLevel="0" collapsed="false">
      <c r="B46534" s="0" t="s">
        <v>14</v>
      </c>
      <c r="C46534" s="0" t="s">
        <v>2666</v>
      </c>
      <c r="D46534" s="0" t="s">
        <v>3249</v>
      </c>
      <c r="E46534" s="0" t="s">
        <v>3249</v>
      </c>
      <c r="F46534" s="0" t="s">
        <v>3249</v>
      </c>
    </row>
    <row r="46536" customFormat="false" ht="12.8" hidden="false" customHeight="false" outlineLevel="0" collapsed="false">
      <c r="A46536" s="0" t="s">
        <v>16545</v>
      </c>
      <c r="B46536" s="0" t="str">
        <f aca="false">HYPERLINK("https://lindat.mff.cuni.cz/services/teitok/pdtc10/index.php?action=vallex&amp;frame=v-w6534f1", "stlačit (v-w6534f1)")</f>
        <v>stlačit (v-w6534f1)</v>
      </c>
    </row>
    <row r="46537" customFormat="false" ht="12.8" hidden="false" customHeight="false" outlineLevel="0" collapsed="false">
      <c r="B46537" s="0" t="s">
        <v>7</v>
      </c>
      <c r="C46537" s="0" t="s">
        <v>2012</v>
      </c>
      <c r="D46537" s="0" t="s">
        <v>9101</v>
      </c>
      <c r="E46537" s="0" t="s">
        <v>8863</v>
      </c>
      <c r="F46537" s="0" t="s">
        <v>8863</v>
      </c>
    </row>
    <row r="46538" customFormat="false" ht="12.8" hidden="false" customHeight="false" outlineLevel="0" collapsed="false">
      <c r="B46538" s="0" t="s">
        <v>14</v>
      </c>
      <c r="C46538" s="0" t="s">
        <v>2182</v>
      </c>
      <c r="D46538" s="0" t="s">
        <v>9102</v>
      </c>
      <c r="E46538" s="0" t="s">
        <v>8865</v>
      </c>
      <c r="F46538" s="0" t="s">
        <v>8865</v>
      </c>
    </row>
    <row r="46539" customFormat="false" ht="12.8" hidden="false" customHeight="false" outlineLevel="0" collapsed="false">
      <c r="B46539" s="0" t="s">
        <v>35</v>
      </c>
      <c r="C46539" s="0" t="s">
        <v>1526</v>
      </c>
      <c r="D46539" s="0" t="s">
        <v>9103</v>
      </c>
      <c r="E46539" s="0" t="s">
        <v>8867</v>
      </c>
      <c r="F46539" s="0" t="s">
        <v>8867</v>
      </c>
    </row>
    <row r="46540" customFormat="false" ht="12.8" hidden="false" customHeight="false" outlineLevel="0" collapsed="false">
      <c r="B46540" s="0" t="s">
        <v>84</v>
      </c>
      <c r="C46540" s="0" t="s">
        <v>16546</v>
      </c>
      <c r="D46540" s="0" t="s">
        <v>9104</v>
      </c>
      <c r="E46540" s="0" t="s">
        <v>8869</v>
      </c>
      <c r="F46540" s="0" t="s">
        <v>8869</v>
      </c>
    </row>
    <row r="46542" customFormat="false" ht="12.8" hidden="false" customHeight="false" outlineLevel="0" collapsed="false">
      <c r="A46542" s="0" t="s">
        <v>16547</v>
      </c>
      <c r="B46542" s="0" t="str">
        <f aca="false">HYPERLINK("https://lindat.mff.cuni.cz/services/teitok/pdtc10/index.php?action=vallex&amp;frame=v-w6534f2", "stlačit (v-w6534f2)")</f>
        <v>stlačit (v-w6534f2)</v>
      </c>
    </row>
    <row r="46543" customFormat="false" ht="12.8" hidden="false" customHeight="false" outlineLevel="0" collapsed="false">
      <c r="B46543" s="0" t="s">
        <v>7</v>
      </c>
      <c r="C46543" s="0" t="s">
        <v>1226</v>
      </c>
    </row>
    <row r="46544" customFormat="false" ht="12.8" hidden="false" customHeight="false" outlineLevel="0" collapsed="false">
      <c r="B46544" s="0" t="s">
        <v>14</v>
      </c>
      <c r="C46544" s="0" t="s">
        <v>2517</v>
      </c>
    </row>
    <row r="46546" customFormat="false" ht="12.8" hidden="false" customHeight="false" outlineLevel="0" collapsed="false">
      <c r="A46546" s="0" t="s">
        <v>16548</v>
      </c>
      <c r="B46546" s="0" t="str">
        <f aca="false">HYPERLINK("https://lindat.mff.cuni.cz/services/teitok/pdtc10/index.php?action=vallex&amp;frame=v-w6534hsa_60", "stlačit (v-w6534hsa_60)")</f>
        <v>stlačit (v-w6534hsa_60)</v>
      </c>
    </row>
    <row r="46547" customFormat="false" ht="12.8" hidden="false" customHeight="false" outlineLevel="0" collapsed="false">
      <c r="B46547" s="0" t="s">
        <v>7</v>
      </c>
      <c r="C46547" s="0" t="s">
        <v>191</v>
      </c>
    </row>
    <row r="46548" customFormat="false" ht="12.8" hidden="false" customHeight="false" outlineLevel="0" collapsed="false">
      <c r="B46548" s="0" t="s">
        <v>142</v>
      </c>
      <c r="C46548" s="0" t="s">
        <v>47</v>
      </c>
    </row>
    <row r="46549" customFormat="false" ht="12.8" hidden="false" customHeight="false" outlineLevel="0" collapsed="false">
      <c r="B46549" s="0" t="s">
        <v>124</v>
      </c>
    </row>
    <row r="46551" customFormat="false" ht="12.8" hidden="false" customHeight="false" outlineLevel="0" collapsed="false">
      <c r="A46551" s="0" t="s">
        <v>16549</v>
      </c>
      <c r="B46551" s="0" t="str">
        <f aca="false">HYPERLINK("https://lindat.mff.cuni.cz/services/teitok/pdtc10/index.php?action=vallex&amp;frame=v-w6535f1", "stlačovat (v-w6535f1)")</f>
        <v>stlačovat (v-w6535f1)</v>
      </c>
    </row>
    <row r="46552" customFormat="false" ht="12.8" hidden="false" customHeight="false" outlineLevel="0" collapsed="false">
      <c r="B46552" s="0" t="s">
        <v>7</v>
      </c>
      <c r="C46552" s="0" t="s">
        <v>2668</v>
      </c>
      <c r="D46552" s="0" t="s">
        <v>9101</v>
      </c>
      <c r="E46552" s="0" t="s">
        <v>8863</v>
      </c>
      <c r="F46552" s="0" t="s">
        <v>8863</v>
      </c>
    </row>
    <row r="46553" customFormat="false" ht="12.8" hidden="false" customHeight="false" outlineLevel="0" collapsed="false">
      <c r="B46553" s="0" t="s">
        <v>14</v>
      </c>
      <c r="C46553" s="0" t="s">
        <v>44</v>
      </c>
      <c r="D46553" s="0" t="s">
        <v>9102</v>
      </c>
      <c r="E46553" s="0" t="s">
        <v>8865</v>
      </c>
      <c r="F46553" s="0" t="s">
        <v>8865</v>
      </c>
    </row>
    <row r="46554" customFormat="false" ht="12.8" hidden="false" customHeight="false" outlineLevel="0" collapsed="false">
      <c r="B46554" s="0" t="s">
        <v>35</v>
      </c>
      <c r="D46554" s="0" t="s">
        <v>9103</v>
      </c>
      <c r="E46554" s="0" t="s">
        <v>8867</v>
      </c>
      <c r="F46554" s="0" t="s">
        <v>8867</v>
      </c>
    </row>
    <row r="46555" customFormat="false" ht="12.8" hidden="false" customHeight="false" outlineLevel="0" collapsed="false">
      <c r="B46555" s="0" t="s">
        <v>84</v>
      </c>
      <c r="C46555" s="0" t="s">
        <v>4346</v>
      </c>
      <c r="D46555" s="0" t="s">
        <v>9104</v>
      </c>
      <c r="E46555" s="0" t="s">
        <v>8869</v>
      </c>
      <c r="F46555" s="0" t="s">
        <v>8869</v>
      </c>
    </row>
    <row r="46557" customFormat="false" ht="12.8" hidden="false" customHeight="false" outlineLevel="0" collapsed="false">
      <c r="A46557" s="0" t="s">
        <v>16550</v>
      </c>
      <c r="B46557" s="0" t="str">
        <f aca="false">HYPERLINK("https://lindat.mff.cuni.cz/services/teitok/pdtc10/index.php?action=vallex&amp;frame=v-w6535f2", "stlačovat (v-w6535f2)")</f>
        <v>stlačovat (v-w6535f2)</v>
      </c>
    </row>
    <row r="46558" customFormat="false" ht="12.8" hidden="false" customHeight="false" outlineLevel="0" collapsed="false">
      <c r="B46558" s="0" t="s">
        <v>7</v>
      </c>
    </row>
    <row r="46559" customFormat="false" ht="12.8" hidden="false" customHeight="false" outlineLevel="0" collapsed="false">
      <c r="B46559" s="0" t="s">
        <v>14</v>
      </c>
    </row>
    <row r="46561" customFormat="false" ht="12.8" hidden="false" customHeight="false" outlineLevel="0" collapsed="false">
      <c r="A46561" s="0" t="s">
        <v>16551</v>
      </c>
      <c r="B46561" s="0" t="str">
        <f aca="false">HYPERLINK("https://lindat.mff.cuni.cz/services/teitok/pdtc10/index.php?action=vallex&amp;frame=v-whsa_131f1_ZU", "stlouci (v-whsa_131f1_ZU)")</f>
        <v>stlouci (v-whsa_131f1_ZU)</v>
      </c>
    </row>
    <row r="46562" customFormat="false" ht="12.8" hidden="false" customHeight="false" outlineLevel="0" collapsed="false">
      <c r="B46562" s="0" t="s">
        <v>7</v>
      </c>
    </row>
    <row r="46563" customFormat="false" ht="12.8" hidden="false" customHeight="false" outlineLevel="0" collapsed="false">
      <c r="B46563" s="0" t="s">
        <v>14</v>
      </c>
    </row>
    <row r="46564" customFormat="false" ht="12.8" hidden="false" customHeight="false" outlineLevel="0" collapsed="false">
      <c r="B46564" s="0" t="s">
        <v>207</v>
      </c>
    </row>
    <row r="46566" customFormat="false" ht="12.8" hidden="false" customHeight="false" outlineLevel="0" collapsed="false">
      <c r="A46566" s="0" t="s">
        <v>16551</v>
      </c>
      <c r="B46566" s="0" t="str">
        <f aca="false">HYPERLINK("https://lindat.mff.cuni.cz/services/teitok/pdtc10/index.php?action=vallex&amp;frame=v-whsa_131hsa_132", "stlouci (v-whsa_131hsa_132) - substituted with v-whsa_131f1_ZU")</f>
        <v>stlouci (v-whsa_131hsa_132) - substituted with v-whsa_131f1_ZU</v>
      </c>
    </row>
    <row r="46567" customFormat="false" ht="12.8" hidden="false" customHeight="false" outlineLevel="0" collapsed="false">
      <c r="B46567" s="0" t="s">
        <v>7</v>
      </c>
    </row>
    <row r="46568" customFormat="false" ht="12.8" hidden="false" customHeight="false" outlineLevel="0" collapsed="false">
      <c r="B46568" s="0" t="s">
        <v>14</v>
      </c>
    </row>
    <row r="46569" customFormat="false" ht="12.8" hidden="false" customHeight="false" outlineLevel="0" collapsed="false">
      <c r="B46569" s="0" t="s">
        <v>207</v>
      </c>
    </row>
    <row r="46571" customFormat="false" ht="12.8" hidden="false" customHeight="false" outlineLevel="0" collapsed="false">
      <c r="A46571" s="0" t="s">
        <v>16552</v>
      </c>
      <c r="B46571" s="0" t="str">
        <f aca="false">HYPERLINK("https://lindat.mff.cuni.cz/services/teitok/pdtc10/index.php?action=vallex&amp;frame=v-whsa_1547hsa_1548", "stlát (v-whsa_1547hsa_1548)")</f>
        <v>stlát (v-whsa_1547hsa_1548)</v>
      </c>
    </row>
    <row r="46572" customFormat="false" ht="12.8" hidden="false" customHeight="false" outlineLevel="0" collapsed="false">
      <c r="B46572" s="0" t="s">
        <v>7</v>
      </c>
    </row>
    <row r="46573" customFormat="false" ht="12.8" hidden="false" customHeight="false" outlineLevel="0" collapsed="false">
      <c r="B46573" s="0" t="s">
        <v>14</v>
      </c>
    </row>
    <row r="46575" customFormat="false" ht="12.8" hidden="false" customHeight="false" outlineLevel="0" collapsed="false">
      <c r="A46575" s="0" t="s">
        <v>16553</v>
      </c>
      <c r="B46575" s="0" t="str">
        <f aca="false">HYPERLINK("https://lindat.mff.cuni.cz/services/teitok/pdtc10/index.php?action=vallex&amp;frame=v-w6537f2", "stmelit (v-w6537f2)")</f>
        <v>stmelit (v-w6537f2)</v>
      </c>
    </row>
    <row r="46576" customFormat="false" ht="12.8" hidden="false" customHeight="false" outlineLevel="0" collapsed="false">
      <c r="B46576" s="0" t="s">
        <v>7</v>
      </c>
    </row>
    <row r="46577" customFormat="false" ht="12.8" hidden="false" customHeight="false" outlineLevel="0" collapsed="false">
      <c r="B46577" s="0" t="s">
        <v>14</v>
      </c>
    </row>
    <row r="46578" customFormat="false" ht="12.8" hidden="false" customHeight="false" outlineLevel="0" collapsed="false">
      <c r="B46578" s="0" t="s">
        <v>207</v>
      </c>
    </row>
    <row r="46579" customFormat="false" ht="12.8" hidden="false" customHeight="false" outlineLevel="0" collapsed="false">
      <c r="B46579" s="0" t="s">
        <v>2571</v>
      </c>
    </row>
    <row r="46581" customFormat="false" ht="12.8" hidden="false" customHeight="false" outlineLevel="0" collapsed="false">
      <c r="A46581" s="0" t="s">
        <v>16554</v>
      </c>
      <c r="B46581" s="0" t="str">
        <f aca="false">HYPERLINK("https://lindat.mff.cuni.cz/services/teitok/pdtc10/index.php?action=vallex&amp;frame=v-w6537f1", "stmelit (v-w6537f1)")</f>
        <v>stmelit (v-w6537f1)</v>
      </c>
    </row>
    <row r="46582" customFormat="false" ht="12.8" hidden="false" customHeight="false" outlineLevel="0" collapsed="false">
      <c r="B46582" s="0" t="s">
        <v>7</v>
      </c>
      <c r="C46582" s="0" t="s">
        <v>46</v>
      </c>
      <c r="D46582" s="0" t="s">
        <v>88</v>
      </c>
      <c r="E46582" s="0" t="s">
        <v>88</v>
      </c>
      <c r="F46582" s="0" t="s">
        <v>88</v>
      </c>
    </row>
    <row r="46583" customFormat="false" ht="12.8" hidden="false" customHeight="false" outlineLevel="0" collapsed="false">
      <c r="B46583" s="0" t="s">
        <v>14</v>
      </c>
      <c r="C46583" s="0" t="s">
        <v>567</v>
      </c>
      <c r="D46583" s="0" t="s">
        <v>24</v>
      </c>
      <c r="E46583" s="0" t="s">
        <v>24</v>
      </c>
      <c r="F46583" s="0" t="s">
        <v>24</v>
      </c>
    </row>
    <row r="46584" customFormat="false" ht="12.8" hidden="false" customHeight="false" outlineLevel="0" collapsed="false">
      <c r="B46584" s="0" t="s">
        <v>2571</v>
      </c>
      <c r="C46584" s="0" t="s">
        <v>4597</v>
      </c>
      <c r="D46584" s="0" t="s">
        <v>4220</v>
      </c>
      <c r="E46584" s="0" t="s">
        <v>4220</v>
      </c>
      <c r="F46584" s="0" t="s">
        <v>4220</v>
      </c>
    </row>
    <row r="46586" customFormat="false" ht="12.8" hidden="false" customHeight="false" outlineLevel="0" collapsed="false">
      <c r="A46586" s="0" t="s">
        <v>16555</v>
      </c>
      <c r="B46586" s="0" t="str">
        <f aca="false">HYPERLINK("https://lindat.mff.cuni.cz/services/teitok/pdtc10/index.php?action=vallex&amp;frame=v-w11815_ZUf1_ZU", "stmelit se (v-w11815_ZUf1_ZU)")</f>
        <v>stmelit se (v-w11815_ZUf1_ZU)</v>
      </c>
    </row>
    <row r="46587" customFormat="false" ht="12.8" hidden="false" customHeight="false" outlineLevel="0" collapsed="false">
      <c r="B46587" s="0" t="s">
        <v>7</v>
      </c>
    </row>
    <row r="46588" customFormat="false" ht="12.8" hidden="false" customHeight="false" outlineLevel="0" collapsed="false">
      <c r="B46588" s="0" t="s">
        <v>548</v>
      </c>
    </row>
    <row r="46589" customFormat="false" ht="12.8" hidden="false" customHeight="false" outlineLevel="0" collapsed="false">
      <c r="B46589" s="0" t="s">
        <v>2571</v>
      </c>
    </row>
    <row r="46591" customFormat="false" ht="12.8" hidden="false" customHeight="false" outlineLevel="0" collapsed="false">
      <c r="A46591" s="0" t="s">
        <v>16556</v>
      </c>
      <c r="B46591" s="0" t="str">
        <f aca="false">HYPERLINK("https://lindat.mff.cuni.cz/services/teitok/pdtc10/index.php?action=vallex&amp;frame=v-w11815_ZUf2_ZU", "stmelit se (v-w11815_ZUf2_ZU)")</f>
        <v>stmelit se (v-w11815_ZUf2_ZU)</v>
      </c>
    </row>
    <row r="46592" customFormat="false" ht="12.8" hidden="false" customHeight="false" outlineLevel="0" collapsed="false">
      <c r="B46592" s="0" t="s">
        <v>7</v>
      </c>
    </row>
    <row r="46594" customFormat="false" ht="12.8" hidden="false" customHeight="false" outlineLevel="0" collapsed="false">
      <c r="A46594" s="0" t="s">
        <v>16557</v>
      </c>
      <c r="B46594" s="0" t="str">
        <f aca="false">HYPERLINK("https://lindat.mff.cuni.cz/services/teitok/pdtc10/index.php?action=vallex&amp;frame=v-w6538f1", "stmívat se (v-w6538f1)")</f>
        <v>stmívat se (v-w6538f1)</v>
      </c>
    </row>
    <row r="46596" customFormat="false" ht="12.8" hidden="false" customHeight="false" outlineLevel="0" collapsed="false">
      <c r="A46596" s="0" t="s">
        <v>16558</v>
      </c>
      <c r="B46596" s="0" t="str">
        <f aca="false">HYPERLINK("https://lindat.mff.cuni.cz/services/teitok/pdtc10/index.php?action=vallex&amp;frame=v-whsa_1615hsa_1616", "stonat (v-whsa_1615hsa_1616)")</f>
        <v>stonat (v-whsa_1615hsa_1616)</v>
      </c>
    </row>
    <row r="46597" customFormat="false" ht="12.8" hidden="false" customHeight="false" outlineLevel="0" collapsed="false">
      <c r="B46597" s="0" t="s">
        <v>7</v>
      </c>
    </row>
    <row r="46598" customFormat="false" ht="12.8" hidden="false" customHeight="false" outlineLevel="0" collapsed="false">
      <c r="B46598" s="0" t="s">
        <v>2871</v>
      </c>
    </row>
    <row r="46600" customFormat="false" ht="12.8" hidden="false" customHeight="false" outlineLevel="0" collapsed="false">
      <c r="A46600" s="0" t="s">
        <v>16559</v>
      </c>
      <c r="B46600" s="0" t="str">
        <f aca="false">HYPERLINK("https://lindat.mff.cuni.cz/services/teitok/pdtc10/index.php?action=vallex&amp;frame=v-w12389_MMf2_MM", "stopnout (v-w12389_MMf2_MM)")</f>
        <v>stopnout (v-w12389_MMf2_MM)</v>
      </c>
    </row>
    <row r="46601" customFormat="false" ht="12.8" hidden="false" customHeight="false" outlineLevel="0" collapsed="false">
      <c r="B46601" s="0" t="s">
        <v>7</v>
      </c>
    </row>
    <row r="46602" customFormat="false" ht="12.8" hidden="false" customHeight="false" outlineLevel="0" collapsed="false">
      <c r="B46602" s="0" t="s">
        <v>14</v>
      </c>
    </row>
    <row r="46604" customFormat="false" ht="12.8" hidden="false" customHeight="false" outlineLevel="0" collapsed="false">
      <c r="A46604" s="0" t="s">
        <v>16559</v>
      </c>
      <c r="B46604" s="0" t="str">
        <f aca="false">HYPERLINK("https://lindat.mff.cuni.cz/services/teitok/pdtc10/index.php?action=vallex&amp;frame=v-w12389_MMf1_MM", "stopnout (v-w12389_MMf1_MM) - substituted with v-w12389_MMf2_MM")</f>
        <v>stopnout (v-w12389_MMf1_MM) - substituted with v-w12389_MMf2_MM</v>
      </c>
    </row>
    <row r="46605" customFormat="false" ht="12.8" hidden="false" customHeight="false" outlineLevel="0" collapsed="false">
      <c r="B46605" s="0" t="s">
        <v>7</v>
      </c>
    </row>
    <row r="46606" customFormat="false" ht="12.8" hidden="false" customHeight="false" outlineLevel="0" collapsed="false">
      <c r="B46606" s="0" t="s">
        <v>14</v>
      </c>
    </row>
    <row r="46608" customFormat="false" ht="12.8" hidden="false" customHeight="false" outlineLevel="0" collapsed="false">
      <c r="A46608" s="0" t="s">
        <v>16560</v>
      </c>
      <c r="B46608" s="0" t="str">
        <f aca="false">HYPERLINK("https://lindat.mff.cuni.cz/services/teitok/pdtc10/index.php?action=vallex&amp;frame=v-w6544f1", "stopovat (v-w6544f1)")</f>
        <v>stopovat (v-w6544f1)</v>
      </c>
    </row>
    <row r="46609" customFormat="false" ht="12.8" hidden="false" customHeight="false" outlineLevel="0" collapsed="false">
      <c r="B46609" s="0" t="s">
        <v>7</v>
      </c>
    </row>
    <row r="46610" customFormat="false" ht="12.8" hidden="false" customHeight="false" outlineLevel="0" collapsed="false">
      <c r="B46610" s="0" t="s">
        <v>14</v>
      </c>
    </row>
    <row r="46612" customFormat="false" ht="12.8" hidden="false" customHeight="false" outlineLevel="0" collapsed="false">
      <c r="A46612" s="0" t="s">
        <v>16561</v>
      </c>
      <c r="B46612" s="0" t="str">
        <f aca="false">HYPERLINK("https://lindat.mff.cuni.cz/services/teitok/pdtc10/index.php?action=vallex&amp;frame=v-w6545f1", "stornovat (v-w6545f1)")</f>
        <v>stornovat (v-w6545f1)</v>
      </c>
    </row>
    <row r="46613" customFormat="false" ht="12.8" hidden="false" customHeight="false" outlineLevel="0" collapsed="false">
      <c r="B46613" s="0" t="s">
        <v>7</v>
      </c>
      <c r="C46613" s="0" t="s">
        <v>2507</v>
      </c>
      <c r="D46613" s="0" t="s">
        <v>7397</v>
      </c>
      <c r="E46613" s="0" t="s">
        <v>7397</v>
      </c>
      <c r="F46613" s="0" t="s">
        <v>7397</v>
      </c>
    </row>
    <row r="46614" customFormat="false" ht="12.8" hidden="false" customHeight="false" outlineLevel="0" collapsed="false">
      <c r="B46614" s="0" t="s">
        <v>14</v>
      </c>
      <c r="C46614" s="0" t="s">
        <v>3249</v>
      </c>
      <c r="D46614" s="0" t="s">
        <v>7398</v>
      </c>
      <c r="E46614" s="0" t="s">
        <v>7398</v>
      </c>
      <c r="F46614" s="0" t="s">
        <v>7398</v>
      </c>
    </row>
    <row r="46616" customFormat="false" ht="12.8" hidden="false" customHeight="false" outlineLevel="0" collapsed="false">
      <c r="A46616" s="0" t="s">
        <v>16562</v>
      </c>
      <c r="B46616" s="0" t="str">
        <f aca="false">HYPERLINK("https://lindat.mff.cuni.cz/services/teitok/pdtc10/index.php?action=vallex&amp;frame=v-w6548f3_ZU", "stoupat (v-w6548f3_ZU)")</f>
        <v>stoupat (v-w6548f3_ZU)</v>
      </c>
    </row>
    <row r="46617" customFormat="false" ht="12.8" hidden="false" customHeight="false" outlineLevel="0" collapsed="false">
      <c r="B46617" s="0" t="s">
        <v>7</v>
      </c>
      <c r="D46617" s="0" t="s">
        <v>6244</v>
      </c>
      <c r="E46617" s="0" t="s">
        <v>6244</v>
      </c>
      <c r="F46617" s="0" t="s">
        <v>6244</v>
      </c>
    </row>
    <row r="46618" customFormat="false" ht="12.8" hidden="false" customHeight="false" outlineLevel="0" collapsed="false">
      <c r="B46618" s="0" t="s">
        <v>2193</v>
      </c>
      <c r="D46618" s="0" t="s">
        <v>4496</v>
      </c>
      <c r="E46618" s="0" t="s">
        <v>4496</v>
      </c>
      <c r="F46618" s="0" t="s">
        <v>4496</v>
      </c>
    </row>
    <row r="46619" customFormat="false" ht="12.8" hidden="false" customHeight="false" outlineLevel="0" collapsed="false">
      <c r="B46619" s="0" t="s">
        <v>35</v>
      </c>
      <c r="D46619" s="0" t="s">
        <v>4497</v>
      </c>
      <c r="E46619" s="0" t="s">
        <v>4497</v>
      </c>
      <c r="F46619" s="0" t="s">
        <v>4497</v>
      </c>
    </row>
    <row r="46621" customFormat="false" ht="12.8" hidden="false" customHeight="false" outlineLevel="0" collapsed="false">
      <c r="A46621" s="0" t="s">
        <v>16562</v>
      </c>
      <c r="B46621" s="0" t="str">
        <f aca="false">HYPERLINK("https://lindat.mff.cuni.cz/services/teitok/pdtc10/index.php?action=vallex&amp;frame=v-w6548f1", "stoupat (v-w6548f1) - substituted with v-w6548f3_ZU")</f>
        <v>stoupat (v-w6548f1) - substituted with v-w6548f3_ZU</v>
      </c>
    </row>
    <row r="46622" customFormat="false" ht="12.8" hidden="false" customHeight="false" outlineLevel="0" collapsed="false">
      <c r="B46622" s="0" t="s">
        <v>7</v>
      </c>
      <c r="C46622" s="0" t="s">
        <v>16563</v>
      </c>
    </row>
    <row r="46623" customFormat="false" ht="12.8" hidden="false" customHeight="false" outlineLevel="0" collapsed="false">
      <c r="B46623" s="0" t="s">
        <v>2193</v>
      </c>
      <c r="C46623" s="0" t="s">
        <v>16564</v>
      </c>
    </row>
    <row r="46624" customFormat="false" ht="12.8" hidden="false" customHeight="false" outlineLevel="0" collapsed="false">
      <c r="B46624" s="0" t="s">
        <v>35</v>
      </c>
      <c r="C46624" s="0" t="s">
        <v>16565</v>
      </c>
    </row>
    <row r="46626" customFormat="false" ht="12.8" hidden="false" customHeight="false" outlineLevel="0" collapsed="false">
      <c r="A46626" s="0" t="s">
        <v>16566</v>
      </c>
      <c r="B46626" s="0" t="str">
        <f aca="false">HYPERLINK("https://lindat.mff.cuni.cz/services/teitok/pdtc10/index.php?action=vallex&amp;frame=v-w6548f2_ZU", "stoupat (v-w6548f2_ZU)")</f>
        <v>stoupat (v-w6548f2_ZU)</v>
      </c>
    </row>
    <row r="46627" customFormat="false" ht="12.8" hidden="false" customHeight="false" outlineLevel="0" collapsed="false">
      <c r="B46627" s="0" t="s">
        <v>7</v>
      </c>
    </row>
    <row r="46629" customFormat="false" ht="12.8" hidden="false" customHeight="false" outlineLevel="0" collapsed="false">
      <c r="A46629" s="0" t="s">
        <v>16567</v>
      </c>
      <c r="B46629" s="0" t="str">
        <f aca="false">HYPERLINK("https://lindat.mff.cuni.cz/services/teitok/pdtc10/index.php?action=vallex&amp;frame=v-w6548f4_ZU", "stoupat (v-w6548f4_ZU)")</f>
        <v>stoupat (v-w6548f4_ZU)</v>
      </c>
    </row>
    <row r="46630" customFormat="false" ht="12.8" hidden="false" customHeight="false" outlineLevel="0" collapsed="false">
      <c r="B46630" s="0" t="s">
        <v>7</v>
      </c>
    </row>
    <row r="46631" customFormat="false" ht="12.8" hidden="false" customHeight="false" outlineLevel="0" collapsed="false">
      <c r="B46631" s="0" t="s">
        <v>338</v>
      </c>
    </row>
    <row r="46633" customFormat="false" ht="12.8" hidden="false" customHeight="false" outlineLevel="0" collapsed="false">
      <c r="A46633" s="0" t="s">
        <v>16568</v>
      </c>
      <c r="B46633" s="0" t="str">
        <f aca="false">HYPERLINK("https://lindat.mff.cuni.cz/services/teitok/pdtc10/index.php?action=vallex&amp;frame=v-w6548f5_MM", "stoupat (v-w6548f5_MM)")</f>
        <v>stoupat (v-w6548f5_MM)</v>
      </c>
    </row>
    <row r="46634" customFormat="false" ht="12.8" hidden="false" customHeight="false" outlineLevel="0" collapsed="false">
      <c r="B46634" s="0" t="s">
        <v>7</v>
      </c>
    </row>
    <row r="46635" customFormat="false" ht="12.8" hidden="false" customHeight="false" outlineLevel="0" collapsed="false">
      <c r="B46635" s="0" t="s">
        <v>124</v>
      </c>
    </row>
    <row r="46637" customFormat="false" ht="12.8" hidden="false" customHeight="false" outlineLevel="0" collapsed="false">
      <c r="A46637" s="0" t="s">
        <v>16569</v>
      </c>
      <c r="B46637" s="0" t="str">
        <f aca="false">HYPERLINK("https://lindat.mff.cuni.cz/services/teitok/pdtc10/index.php?action=vallex&amp;frame=v-w6551f1", "stoupnout (v-w6551f1)")</f>
        <v>stoupnout (v-w6551f1)</v>
      </c>
    </row>
    <row r="46638" customFormat="false" ht="12.8" hidden="false" customHeight="false" outlineLevel="0" collapsed="false">
      <c r="B46638" s="0" t="s">
        <v>7</v>
      </c>
      <c r="C46638" s="0" t="s">
        <v>16570</v>
      </c>
      <c r="D46638" s="0" t="s">
        <v>6244</v>
      </c>
      <c r="E46638" s="0" t="s">
        <v>6244</v>
      </c>
      <c r="F46638" s="0" t="s">
        <v>6244</v>
      </c>
    </row>
    <row r="46639" customFormat="false" ht="12.8" hidden="false" customHeight="false" outlineLevel="0" collapsed="false">
      <c r="B46639" s="0" t="s">
        <v>63</v>
      </c>
      <c r="C46639" s="0" t="s">
        <v>16571</v>
      </c>
      <c r="D46639" s="0" t="s">
        <v>4496</v>
      </c>
      <c r="E46639" s="0" t="s">
        <v>4496</v>
      </c>
      <c r="F46639" s="0" t="s">
        <v>4496</v>
      </c>
    </row>
    <row r="46640" customFormat="false" ht="12.8" hidden="false" customHeight="false" outlineLevel="0" collapsed="false">
      <c r="B46640" s="0" t="s">
        <v>35</v>
      </c>
      <c r="C46640" s="0" t="s">
        <v>16572</v>
      </c>
      <c r="D46640" s="0" t="s">
        <v>4497</v>
      </c>
      <c r="E46640" s="0" t="s">
        <v>4497</v>
      </c>
      <c r="F46640" s="0" t="s">
        <v>4497</v>
      </c>
    </row>
    <row r="46642" customFormat="false" ht="12.8" hidden="false" customHeight="false" outlineLevel="0" collapsed="false">
      <c r="A46642" s="0" t="s">
        <v>16573</v>
      </c>
      <c r="B46642" s="0" t="str">
        <f aca="false">HYPERLINK("https://lindat.mff.cuni.cz/services/teitok/pdtc10/index.php?action=vallex&amp;frame=v-w6551f2_ZU", "stoupnout (v-w6551f2_ZU)")</f>
        <v>stoupnout (v-w6551f2_ZU)</v>
      </c>
    </row>
    <row r="46643" customFormat="false" ht="12.8" hidden="false" customHeight="false" outlineLevel="0" collapsed="false">
      <c r="B46643" s="0" t="s">
        <v>7</v>
      </c>
    </row>
    <row r="46644" customFormat="false" ht="12.8" hidden="false" customHeight="false" outlineLevel="0" collapsed="false">
      <c r="B46644" s="0" t="s">
        <v>16574</v>
      </c>
    </row>
    <row r="46645" customFormat="false" ht="12.8" hidden="false" customHeight="false" outlineLevel="0" collapsed="false">
      <c r="B46645" s="0" t="s">
        <v>142</v>
      </c>
    </row>
    <row r="46647" customFormat="false" ht="12.8" hidden="false" customHeight="false" outlineLevel="0" collapsed="false">
      <c r="A46647" s="0" t="s">
        <v>16573</v>
      </c>
      <c r="B46647" s="0" t="str">
        <f aca="false">HYPERLINK("https://lindat.mff.cuni.cz/services/teitok/pdtc10/index.php?action=vallex&amp;frame=v-w6551hsa_762", "stoupnout (v-w6551hsa_762) - substituted with v-w6551f2_ZU")</f>
        <v>stoupnout (v-w6551hsa_762) - substituted with v-w6551f2_ZU</v>
      </c>
    </row>
    <row r="46648" customFormat="false" ht="12.8" hidden="false" customHeight="false" outlineLevel="0" collapsed="false">
      <c r="B46648" s="0" t="s">
        <v>7</v>
      </c>
    </row>
    <row r="46649" customFormat="false" ht="12.8" hidden="false" customHeight="false" outlineLevel="0" collapsed="false">
      <c r="B46649" s="0" t="s">
        <v>16574</v>
      </c>
    </row>
    <row r="46650" customFormat="false" ht="12.8" hidden="false" customHeight="false" outlineLevel="0" collapsed="false">
      <c r="B46650" s="0" t="s">
        <v>142</v>
      </c>
    </row>
    <row r="46652" customFormat="false" ht="12.8" hidden="false" customHeight="false" outlineLevel="0" collapsed="false">
      <c r="A46652" s="0" t="s">
        <v>16575</v>
      </c>
      <c r="B46652" s="0" t="str">
        <f aca="false">HYPERLINK("https://lindat.mff.cuni.cz/services/teitok/pdtc10/index.php?action=vallex&amp;frame=v-w6551f3_MM", "stoupnout (v-w6551f3_MM)")</f>
        <v>stoupnout (v-w6551f3_MM)</v>
      </c>
    </row>
    <row r="46653" customFormat="false" ht="12.8" hidden="false" customHeight="false" outlineLevel="0" collapsed="false">
      <c r="B46653" s="0" t="s">
        <v>7</v>
      </c>
    </row>
    <row r="46654" customFormat="false" ht="12.8" hidden="false" customHeight="false" outlineLevel="0" collapsed="false">
      <c r="B46654" s="0" t="s">
        <v>338</v>
      </c>
    </row>
    <row r="46656" customFormat="false" ht="12.8" hidden="false" customHeight="false" outlineLevel="0" collapsed="false">
      <c r="A46656" s="0" t="s">
        <v>16576</v>
      </c>
      <c r="B46656" s="0" t="str">
        <f aca="false">HYPERLINK("https://lindat.mff.cuni.cz/services/teitok/pdtc10/index.php?action=vallex&amp;frame=v-w6551hsa_763", "stoupnout (v-w6551hsa_763)")</f>
        <v>stoupnout (v-w6551hsa_763)</v>
      </c>
    </row>
    <row r="46657" customFormat="false" ht="12.8" hidden="false" customHeight="false" outlineLevel="0" collapsed="false">
      <c r="B46657" s="0" t="s">
        <v>7</v>
      </c>
    </row>
    <row r="46658" customFormat="false" ht="12.8" hidden="false" customHeight="false" outlineLevel="0" collapsed="false">
      <c r="B46658" s="0" t="s">
        <v>142</v>
      </c>
    </row>
    <row r="46659" customFormat="false" ht="12.8" hidden="false" customHeight="false" outlineLevel="0" collapsed="false">
      <c r="B46659" s="0" t="s">
        <v>124</v>
      </c>
    </row>
    <row r="46661" customFormat="false" ht="12.8" hidden="false" customHeight="false" outlineLevel="0" collapsed="false">
      <c r="A46661" s="0" t="s">
        <v>16577</v>
      </c>
      <c r="B46661" s="0" t="str">
        <f aca="false">HYPERLINK("https://lindat.mff.cuni.cz/services/teitok/pdtc10/index.php?action=vallex&amp;frame=v-w11597_ZUf1_ZU", "stoupnout si (v-w11597_ZUf1_ZU)")</f>
        <v>stoupnout si (v-w11597_ZUf1_ZU)</v>
      </c>
    </row>
    <row r="46662" customFormat="false" ht="12.8" hidden="false" customHeight="false" outlineLevel="0" collapsed="false">
      <c r="B46662" s="0" t="s">
        <v>7</v>
      </c>
    </row>
    <row r="46664" customFormat="false" ht="12.8" hidden="false" customHeight="false" outlineLevel="0" collapsed="false">
      <c r="A46664" s="0" t="s">
        <v>16578</v>
      </c>
      <c r="B46664" s="0" t="str">
        <f aca="false">HYPERLINK("https://lindat.mff.cuni.cz/services/teitok/pdtc10/index.php?action=vallex&amp;frame=v-w11597_ZUhsa_768", "stoupnout si (v-w11597_ZUhsa_768)")</f>
        <v>stoupnout si (v-w11597_ZUhsa_768)</v>
      </c>
    </row>
    <row r="46665" customFormat="false" ht="12.8" hidden="false" customHeight="false" outlineLevel="0" collapsed="false">
      <c r="B46665" s="0" t="s">
        <v>7</v>
      </c>
    </row>
    <row r="46666" customFormat="false" ht="12.8" hidden="false" customHeight="false" outlineLevel="0" collapsed="false">
      <c r="B46666" s="0" t="s">
        <v>124</v>
      </c>
    </row>
    <row r="46668" customFormat="false" ht="12.8" hidden="false" customHeight="false" outlineLevel="0" collapsed="false">
      <c r="A46668" s="0" t="s">
        <v>16579</v>
      </c>
      <c r="B46668" s="0" t="str">
        <f aca="false">HYPERLINK("https://lindat.mff.cuni.cz/services/teitok/pdtc10/index.php?action=vallex&amp;frame=v-w6539f1", "stočit (v-w6539f1)")</f>
        <v>stočit (v-w6539f1)</v>
      </c>
    </row>
    <row r="46669" customFormat="false" ht="12.8" hidden="false" customHeight="false" outlineLevel="0" collapsed="false">
      <c r="B46669" s="0" t="s">
        <v>7</v>
      </c>
    </row>
    <row r="46670" customFormat="false" ht="12.8" hidden="false" customHeight="false" outlineLevel="0" collapsed="false">
      <c r="B46670" s="0" t="s">
        <v>14</v>
      </c>
    </row>
    <row r="46672" customFormat="false" ht="12.8" hidden="false" customHeight="false" outlineLevel="0" collapsed="false">
      <c r="A46672" s="0" t="s">
        <v>16580</v>
      </c>
      <c r="B46672" s="0" t="str">
        <f aca="false">HYPERLINK("https://lindat.mff.cuni.cz/services/teitok/pdtc10/index.php?action=vallex&amp;frame=v-w6539f2_ZU", "stočit (v-w6539f2_ZU)")</f>
        <v>stočit (v-w6539f2_ZU)</v>
      </c>
    </row>
    <row r="46673" customFormat="false" ht="12.8" hidden="false" customHeight="false" outlineLevel="0" collapsed="false">
      <c r="B46673" s="0" t="s">
        <v>7</v>
      </c>
    </row>
    <row r="46674" customFormat="false" ht="12.8" hidden="false" customHeight="false" outlineLevel="0" collapsed="false">
      <c r="B46674" s="0" t="s">
        <v>14</v>
      </c>
    </row>
    <row r="46675" customFormat="false" ht="12.8" hidden="false" customHeight="false" outlineLevel="0" collapsed="false">
      <c r="B46675" s="0" t="s">
        <v>181</v>
      </c>
    </row>
    <row r="46677" customFormat="false" ht="12.8" hidden="false" customHeight="false" outlineLevel="0" collapsed="false">
      <c r="A46677" s="0" t="s">
        <v>16580</v>
      </c>
      <c r="B46677" s="0" t="str">
        <f aca="false">HYPERLINK("https://lindat.mff.cuni.cz/services/teitok/pdtc10/index.php?action=vallex&amp;frame=v-w6539hsa_1893", "stočit (v-w6539hsa_1893) - substituted with v-w6539f2_ZU")</f>
        <v>stočit (v-w6539hsa_1893) - substituted with v-w6539f2_ZU</v>
      </c>
    </row>
    <row r="46678" customFormat="false" ht="12.8" hidden="false" customHeight="false" outlineLevel="0" collapsed="false">
      <c r="B46678" s="0" t="s">
        <v>7</v>
      </c>
    </row>
    <row r="46679" customFormat="false" ht="12.8" hidden="false" customHeight="false" outlineLevel="0" collapsed="false">
      <c r="B46679" s="0" t="s">
        <v>14</v>
      </c>
    </row>
    <row r="46680" customFormat="false" ht="12.8" hidden="false" customHeight="false" outlineLevel="0" collapsed="false">
      <c r="B46680" s="0" t="s">
        <v>181</v>
      </c>
    </row>
    <row r="46682" customFormat="false" ht="12.8" hidden="false" customHeight="false" outlineLevel="0" collapsed="false">
      <c r="A46682" s="0" t="s">
        <v>16581</v>
      </c>
      <c r="B46682" s="0" t="str">
        <f aca="false">HYPERLINK("https://lindat.mff.cuni.cz/services/teitok/pdtc10/index.php?action=vallex&amp;frame=v-w11304f2", "stočit se (v-w11304f2)")</f>
        <v>stočit se (v-w11304f2)</v>
      </c>
    </row>
    <row r="46683" customFormat="false" ht="12.8" hidden="false" customHeight="false" outlineLevel="0" collapsed="false">
      <c r="B46683" s="0" t="s">
        <v>7</v>
      </c>
      <c r="C46683" s="0" t="s">
        <v>191</v>
      </c>
      <c r="D46683" s="0" t="s">
        <v>7977</v>
      </c>
      <c r="E46683" s="0" t="s">
        <v>7978</v>
      </c>
      <c r="F46683" s="0" t="s">
        <v>7978</v>
      </c>
    </row>
    <row r="46685" customFormat="false" ht="12.8" hidden="false" customHeight="false" outlineLevel="0" collapsed="false">
      <c r="A46685" s="0" t="s">
        <v>16582</v>
      </c>
      <c r="B46685" s="0" t="str">
        <f aca="false">HYPERLINK("https://lindat.mff.cuni.cz/services/teitok/pdtc10/index.php?action=vallex&amp;frame=v-w6555f2", "strachovat se (v-w6555f2)")</f>
        <v>strachovat se (v-w6555f2)</v>
      </c>
    </row>
    <row r="46686" customFormat="false" ht="12.8" hidden="false" customHeight="false" outlineLevel="0" collapsed="false">
      <c r="B46686" s="0" t="s">
        <v>7</v>
      </c>
      <c r="C46686" s="0" t="s">
        <v>465</v>
      </c>
      <c r="D46686" s="0" t="s">
        <v>618</v>
      </c>
      <c r="E46686" s="0" t="s">
        <v>618</v>
      </c>
      <c r="F46686" s="0" t="s">
        <v>618</v>
      </c>
    </row>
    <row r="46687" customFormat="false" ht="12.8" hidden="false" customHeight="false" outlineLevel="0" collapsed="false">
      <c r="B46687" s="0" t="s">
        <v>16583</v>
      </c>
      <c r="C46687" s="0" t="s">
        <v>2788</v>
      </c>
      <c r="D46687" s="0" t="s">
        <v>621</v>
      </c>
      <c r="E46687" s="0" t="s">
        <v>621</v>
      </c>
      <c r="F46687" s="0" t="s">
        <v>621</v>
      </c>
    </row>
    <row r="46689" customFormat="false" ht="12.8" hidden="false" customHeight="false" outlineLevel="0" collapsed="false">
      <c r="A46689" s="0" t="s">
        <v>16582</v>
      </c>
      <c r="B46689" s="0" t="str">
        <f aca="false">HYPERLINK("https://lindat.mff.cuni.cz/services/teitok/pdtc10/index.php?action=vallex&amp;frame=v-w6555f1", "strachovat se (v-w6555f1) - substituted with v-w6555f2")</f>
        <v>strachovat se (v-w6555f1) - substituted with v-w6555f2</v>
      </c>
    </row>
    <row r="46690" customFormat="false" ht="12.8" hidden="false" customHeight="false" outlineLevel="0" collapsed="false">
      <c r="B46690" s="0" t="s">
        <v>7</v>
      </c>
    </row>
    <row r="46691" customFormat="false" ht="12.8" hidden="false" customHeight="false" outlineLevel="0" collapsed="false">
      <c r="B46691" s="0" t="s">
        <v>16583</v>
      </c>
    </row>
    <row r="46693" customFormat="false" ht="12.8" hidden="false" customHeight="false" outlineLevel="0" collapsed="false">
      <c r="A46693" s="0" t="s">
        <v>16584</v>
      </c>
      <c r="B46693" s="0" t="str">
        <f aca="false">HYPERLINK("https://lindat.mff.cuni.cz/services/teitok/pdtc10/index.php?action=vallex&amp;frame=v-w6556f1", "stranit (v-w6556f1)")</f>
        <v>stranit (v-w6556f1)</v>
      </c>
    </row>
    <row r="46694" customFormat="false" ht="12.8" hidden="false" customHeight="false" outlineLevel="0" collapsed="false">
      <c r="B46694" s="0" t="s">
        <v>7</v>
      </c>
      <c r="C46694" s="0" t="s">
        <v>43</v>
      </c>
      <c r="D46694" s="0" t="s">
        <v>6781</v>
      </c>
      <c r="E46694" s="0" t="s">
        <v>6781</v>
      </c>
      <c r="F46694" s="0" t="s">
        <v>6781</v>
      </c>
    </row>
    <row r="46695" customFormat="false" ht="12.8" hidden="false" customHeight="false" outlineLevel="0" collapsed="false">
      <c r="B46695" s="0" t="s">
        <v>142</v>
      </c>
      <c r="C46695" s="0" t="s">
        <v>6860</v>
      </c>
      <c r="D46695" s="0" t="s">
        <v>6783</v>
      </c>
      <c r="E46695" s="0" t="s">
        <v>6783</v>
      </c>
      <c r="F46695" s="0" t="s">
        <v>6783</v>
      </c>
    </row>
    <row r="46697" customFormat="false" ht="12.8" hidden="false" customHeight="false" outlineLevel="0" collapsed="false">
      <c r="A46697" s="0" t="s">
        <v>16585</v>
      </c>
      <c r="B46697" s="0" t="str">
        <f aca="false">HYPERLINK("https://lindat.mff.cuni.cz/services/teitok/pdtc10/index.php?action=vallex&amp;frame=v-w11307f1", "stranit se (v-w11307f1)")</f>
        <v>stranit se (v-w11307f1)</v>
      </c>
    </row>
    <row r="46698" customFormat="false" ht="12.8" hidden="false" customHeight="false" outlineLevel="0" collapsed="false">
      <c r="B46698" s="0" t="s">
        <v>7</v>
      </c>
    </row>
    <row r="46699" customFormat="false" ht="12.8" hidden="false" customHeight="false" outlineLevel="0" collapsed="false">
      <c r="B46699" s="0" t="s">
        <v>1087</v>
      </c>
    </row>
    <row r="46701" customFormat="false" ht="12.8" hidden="false" customHeight="false" outlineLevel="0" collapsed="false">
      <c r="A46701" s="0" t="s">
        <v>16586</v>
      </c>
      <c r="B46701" s="0" t="str">
        <f aca="false">HYPERLINK("https://lindat.mff.cuni.cz/services/teitok/pdtc10/index.php?action=vallex&amp;frame=v-w6562f1", "stravovat se (v-w6562f1)")</f>
        <v>stravovat se (v-w6562f1)</v>
      </c>
    </row>
    <row r="46702" customFormat="false" ht="12.8" hidden="false" customHeight="false" outlineLevel="0" collapsed="false">
      <c r="B46702" s="0" t="s">
        <v>7</v>
      </c>
    </row>
    <row r="46703" customFormat="false" ht="12.8" hidden="false" customHeight="false" outlineLevel="0" collapsed="false">
      <c r="B46703" s="0" t="s">
        <v>581</v>
      </c>
    </row>
    <row r="46705" customFormat="false" ht="12.8" hidden="false" customHeight="false" outlineLevel="0" collapsed="false">
      <c r="A46705" s="0" t="s">
        <v>16587</v>
      </c>
      <c r="B46705" s="0" t="str">
        <f aca="false">HYPERLINK("https://lindat.mff.cuni.cz/services/teitok/pdtc10/index.php?action=vallex&amp;frame=v-w6558f4_ZU", "strašit (v-w6558f4_ZU)")</f>
        <v>strašit (v-w6558f4_ZU)</v>
      </c>
    </row>
    <row r="46706" customFormat="false" ht="12.8" hidden="false" customHeight="false" outlineLevel="0" collapsed="false">
      <c r="B46706" s="0" t="s">
        <v>7</v>
      </c>
    </row>
    <row r="46707" customFormat="false" ht="12.8" hidden="false" customHeight="false" outlineLevel="0" collapsed="false">
      <c r="B46707" s="0" t="s">
        <v>54</v>
      </c>
    </row>
    <row r="46709" customFormat="false" ht="12.8" hidden="false" customHeight="false" outlineLevel="0" collapsed="false">
      <c r="A46709" s="0" t="s">
        <v>16587</v>
      </c>
      <c r="B46709" s="0" t="str">
        <f aca="false">HYPERLINK("https://lindat.mff.cuni.cz/services/teitok/pdtc10/index.php?action=vallex&amp;frame=v-w6558f1", "strašit (v-w6558f1) - substituted with v-w6558f4_ZU")</f>
        <v>strašit (v-w6558f1) - substituted with v-w6558f4_ZU</v>
      </c>
    </row>
    <row r="46710" customFormat="false" ht="12.8" hidden="false" customHeight="false" outlineLevel="0" collapsed="false">
      <c r="B46710" s="0" t="s">
        <v>7</v>
      </c>
      <c r="C46710" s="0" t="s">
        <v>1702</v>
      </c>
      <c r="D46710" s="0" t="s">
        <v>3576</v>
      </c>
      <c r="E46710" s="0" t="s">
        <v>3576</v>
      </c>
      <c r="F46710" s="0" t="s">
        <v>3576</v>
      </c>
    </row>
    <row r="46711" customFormat="false" ht="12.8" hidden="false" customHeight="false" outlineLevel="0" collapsed="false">
      <c r="B46711" s="0" t="s">
        <v>54</v>
      </c>
      <c r="C46711" s="0" t="s">
        <v>567</v>
      </c>
      <c r="D46711" s="0" t="s">
        <v>2641</v>
      </c>
      <c r="E46711" s="0" t="s">
        <v>2641</v>
      </c>
      <c r="F46711" s="0" t="s">
        <v>2641</v>
      </c>
    </row>
    <row r="46713" customFormat="false" ht="12.8" hidden="false" customHeight="false" outlineLevel="0" collapsed="false">
      <c r="A46713" s="0" t="s">
        <v>16588</v>
      </c>
      <c r="B46713" s="0" t="str">
        <f aca="false">HYPERLINK("https://lindat.mff.cuni.cz/services/teitok/pdtc10/index.php?action=vallex&amp;frame=v-w6558f2", "strašit (v-w6558f2)")</f>
        <v>strašit (v-w6558f2)</v>
      </c>
    </row>
    <row r="46714" customFormat="false" ht="12.8" hidden="false" customHeight="false" outlineLevel="0" collapsed="false">
      <c r="B46714" s="0" t="s">
        <v>11</v>
      </c>
      <c r="C46714" s="0" t="s">
        <v>16589</v>
      </c>
    </row>
    <row r="46716" customFormat="false" ht="12.8" hidden="false" customHeight="false" outlineLevel="0" collapsed="false">
      <c r="A46716" s="0" t="s">
        <v>16590</v>
      </c>
      <c r="B46716" s="0" t="str">
        <f aca="false">HYPERLINK("https://lindat.mff.cuni.cz/services/teitok/pdtc10/index.php?action=vallex&amp;frame=v-w6558f3_ZU", "strašit (v-w6558f3_ZU)")</f>
        <v>strašit (v-w6558f3_ZU)</v>
      </c>
    </row>
    <row r="46717" customFormat="false" ht="12.8" hidden="false" customHeight="false" outlineLevel="0" collapsed="false">
      <c r="B46717" s="0" t="s">
        <v>7</v>
      </c>
    </row>
    <row r="46719" customFormat="false" ht="12.8" hidden="false" customHeight="false" outlineLevel="0" collapsed="false">
      <c r="A46719" s="0" t="s">
        <v>16591</v>
      </c>
      <c r="B46719" s="0" t="str">
        <f aca="false">HYPERLINK("https://lindat.mff.cuni.cz/services/teitok/pdtc10/index.php?action=vallex&amp;frame=v-w11794_ZUf1_ZU", "strefit se (v-w11794_ZUf1_ZU)")</f>
        <v>strefit se (v-w11794_ZUf1_ZU)</v>
      </c>
    </row>
    <row r="46720" customFormat="false" ht="12.8" hidden="false" customHeight="false" outlineLevel="0" collapsed="false">
      <c r="B46720" s="0" t="s">
        <v>7</v>
      </c>
    </row>
    <row r="46721" customFormat="false" ht="12.8" hidden="false" customHeight="false" outlineLevel="0" collapsed="false">
      <c r="B46721" s="0" t="s">
        <v>338</v>
      </c>
    </row>
    <row r="46723" customFormat="false" ht="12.8" hidden="false" customHeight="false" outlineLevel="0" collapsed="false">
      <c r="A46723" s="0" t="s">
        <v>16592</v>
      </c>
      <c r="B46723" s="0" t="str">
        <f aca="false">HYPERLINK("https://lindat.mff.cuni.cz/services/teitok/pdtc10/index.php?action=vallex&amp;frame=v-w11383f1", "strefovat se (v-w11383f1)")</f>
        <v>strefovat se (v-w11383f1)</v>
      </c>
    </row>
    <row r="46724" customFormat="false" ht="12.8" hidden="false" customHeight="false" outlineLevel="0" collapsed="false">
      <c r="B46724" s="0" t="s">
        <v>7</v>
      </c>
    </row>
    <row r="46725" customFormat="false" ht="12.8" hidden="false" customHeight="false" outlineLevel="0" collapsed="false">
      <c r="B46725" s="0" t="s">
        <v>985</v>
      </c>
    </row>
    <row r="46727" customFormat="false" ht="12.8" hidden="false" customHeight="false" outlineLevel="0" collapsed="false">
      <c r="A46727" s="0" t="s">
        <v>16593</v>
      </c>
      <c r="B46727" s="0" t="str">
        <f aca="false">HYPERLINK("https://lindat.mff.cuni.cz/services/teitok/pdtc10/index.php?action=vallex&amp;frame=v-w11383f2", "strefovat se (v-w11383f2)")</f>
        <v>strefovat se (v-w11383f2)</v>
      </c>
    </row>
    <row r="46728" customFormat="false" ht="12.8" hidden="false" customHeight="false" outlineLevel="0" collapsed="false">
      <c r="B46728" s="0" t="s">
        <v>7</v>
      </c>
    </row>
    <row r="46729" customFormat="false" ht="12.8" hidden="false" customHeight="false" outlineLevel="0" collapsed="false">
      <c r="B46729" s="0" t="s">
        <v>16594</v>
      </c>
    </row>
    <row r="46731" customFormat="false" ht="12.8" hidden="false" customHeight="false" outlineLevel="0" collapsed="false">
      <c r="A46731" s="0" t="s">
        <v>16595</v>
      </c>
      <c r="B46731" s="0" t="str">
        <f aca="false">HYPERLINK("https://lindat.mff.cuni.cz/services/teitok/pdtc10/index.php?action=vallex&amp;frame=v-w6567f1", "strhat (v-w6567f1)")</f>
        <v>strhat (v-w6567f1)</v>
      </c>
    </row>
    <row r="46732" customFormat="false" ht="12.8" hidden="false" customHeight="false" outlineLevel="0" collapsed="false">
      <c r="B46732" s="0" t="s">
        <v>7</v>
      </c>
    </row>
    <row r="46733" customFormat="false" ht="12.8" hidden="false" customHeight="false" outlineLevel="0" collapsed="false">
      <c r="B46733" s="0" t="s">
        <v>14</v>
      </c>
    </row>
    <row r="46735" customFormat="false" ht="12.8" hidden="false" customHeight="false" outlineLevel="0" collapsed="false">
      <c r="A46735" s="0" t="s">
        <v>16596</v>
      </c>
      <c r="B46735" s="0" t="str">
        <f aca="false">HYPERLINK("https://lindat.mff.cuni.cz/services/teitok/pdtc10/index.php?action=vallex&amp;frame=v-w6570f5", "strhnout (v-w6570f5)")</f>
        <v>strhnout (v-w6570f5)</v>
      </c>
    </row>
    <row r="46736" customFormat="false" ht="12.8" hidden="false" customHeight="false" outlineLevel="0" collapsed="false">
      <c r="B46736" s="0" t="s">
        <v>7</v>
      </c>
      <c r="C46736" s="0" t="s">
        <v>1263</v>
      </c>
    </row>
    <row r="46737" customFormat="false" ht="12.8" hidden="false" customHeight="false" outlineLevel="0" collapsed="false">
      <c r="B46737" s="0" t="s">
        <v>14</v>
      </c>
      <c r="C46737" s="0" t="s">
        <v>2666</v>
      </c>
    </row>
    <row r="46738" customFormat="false" ht="12.8" hidden="false" customHeight="false" outlineLevel="0" collapsed="false">
      <c r="B46738" s="0" t="s">
        <v>48</v>
      </c>
      <c r="C46738" s="0" t="s">
        <v>16597</v>
      </c>
    </row>
    <row r="46740" customFormat="false" ht="12.8" hidden="false" customHeight="false" outlineLevel="0" collapsed="false">
      <c r="A46740" s="0" t="s">
        <v>16598</v>
      </c>
      <c r="B46740" s="0" t="str">
        <f aca="false">HYPERLINK("https://lindat.mff.cuni.cz/services/teitok/pdtc10/index.php?action=vallex&amp;frame=v-w6570f2", "strhnout (v-w6570f2)")</f>
        <v>strhnout (v-w6570f2)</v>
      </c>
    </row>
    <row r="46741" customFormat="false" ht="12.8" hidden="false" customHeight="false" outlineLevel="0" collapsed="false">
      <c r="B46741" s="0" t="s">
        <v>7</v>
      </c>
      <c r="C46741" s="0" t="s">
        <v>184</v>
      </c>
      <c r="D46741" s="0" t="s">
        <v>2797</v>
      </c>
      <c r="E46741" s="0" t="s">
        <v>2797</v>
      </c>
      <c r="F46741" s="0" t="s">
        <v>2797</v>
      </c>
    </row>
    <row r="46742" customFormat="false" ht="12.8" hidden="false" customHeight="false" outlineLevel="0" collapsed="false">
      <c r="B46742" s="0" t="s">
        <v>14</v>
      </c>
      <c r="C46742" s="0" t="s">
        <v>74</v>
      </c>
      <c r="D46742" s="0" t="s">
        <v>4163</v>
      </c>
      <c r="E46742" s="0" t="s">
        <v>4163</v>
      </c>
      <c r="F46742" s="0" t="s">
        <v>4163</v>
      </c>
    </row>
    <row r="46743" customFormat="false" ht="12.8" hidden="false" customHeight="false" outlineLevel="0" collapsed="false">
      <c r="B46743" s="0" t="s">
        <v>84</v>
      </c>
      <c r="D46743" s="0" t="s">
        <v>13112</v>
      </c>
      <c r="E46743" s="0" t="s">
        <v>13112</v>
      </c>
      <c r="F46743" s="0" t="s">
        <v>13112</v>
      </c>
    </row>
    <row r="46745" customFormat="false" ht="12.8" hidden="false" customHeight="false" outlineLevel="0" collapsed="false">
      <c r="A46745" s="0" t="s">
        <v>16599</v>
      </c>
      <c r="B46745" s="0" t="str">
        <f aca="false">HYPERLINK("https://lindat.mff.cuni.cz/services/teitok/pdtc10/index.php?action=vallex&amp;frame=v-w6570f1", "strhnout (v-w6570f1)")</f>
        <v>strhnout (v-w6570f1)</v>
      </c>
    </row>
    <row r="46746" customFormat="false" ht="12.8" hidden="false" customHeight="false" outlineLevel="0" collapsed="false">
      <c r="B46746" s="0" t="s">
        <v>7</v>
      </c>
      <c r="C46746" s="0" t="s">
        <v>10558</v>
      </c>
      <c r="D46746" s="0" t="s">
        <v>88</v>
      </c>
      <c r="E46746" s="0" t="s">
        <v>88</v>
      </c>
      <c r="F46746" s="0" t="s">
        <v>88</v>
      </c>
    </row>
    <row r="46747" customFormat="false" ht="12.8" hidden="false" customHeight="false" outlineLevel="0" collapsed="false">
      <c r="B46747" s="0" t="s">
        <v>14</v>
      </c>
      <c r="D46747" s="0" t="s">
        <v>33</v>
      </c>
      <c r="E46747" s="0" t="s">
        <v>33</v>
      </c>
      <c r="F46747" s="0" t="s">
        <v>33</v>
      </c>
    </row>
    <row r="46748" customFormat="false" ht="12.8" hidden="false" customHeight="false" outlineLevel="0" collapsed="false">
      <c r="B46748" s="0" t="s">
        <v>124</v>
      </c>
      <c r="C46748" s="0" t="s">
        <v>4440</v>
      </c>
    </row>
    <row r="46750" customFormat="false" ht="12.8" hidden="false" customHeight="false" outlineLevel="0" collapsed="false">
      <c r="A46750" s="0" t="s">
        <v>16600</v>
      </c>
      <c r="B46750" s="0" t="str">
        <f aca="false">HYPERLINK("https://lindat.mff.cuni.cz/services/teitok/pdtc10/index.php?action=vallex&amp;frame=v-w6570f4", "strhnout (v-w6570f4)")</f>
        <v>strhnout (v-w6570f4)</v>
      </c>
    </row>
    <row r="46751" customFormat="false" ht="12.8" hidden="false" customHeight="false" outlineLevel="0" collapsed="false">
      <c r="B46751" s="0" t="s">
        <v>7</v>
      </c>
    </row>
    <row r="46752" customFormat="false" ht="12.8" hidden="false" customHeight="false" outlineLevel="0" collapsed="false">
      <c r="B46752" s="0" t="s">
        <v>14</v>
      </c>
    </row>
    <row r="46754" customFormat="false" ht="12.8" hidden="false" customHeight="false" outlineLevel="0" collapsed="false">
      <c r="A46754" s="0" t="s">
        <v>16601</v>
      </c>
      <c r="B46754" s="0" t="str">
        <f aca="false">HYPERLINK("https://lindat.mff.cuni.cz/services/teitok/pdtc10/index.php?action=vallex&amp;frame=v-w6570f3", "strhnout (v-w6570f3)")</f>
        <v>strhnout (v-w6570f3)</v>
      </c>
    </row>
    <row r="46755" customFormat="false" ht="12.8" hidden="false" customHeight="false" outlineLevel="0" collapsed="false">
      <c r="B46755" s="0" t="s">
        <v>7</v>
      </c>
    </row>
    <row r="46756" customFormat="false" ht="12.8" hidden="false" customHeight="false" outlineLevel="0" collapsed="false">
      <c r="B46756" s="0" t="s">
        <v>81</v>
      </c>
    </row>
    <row r="46757" customFormat="false" ht="12.8" hidden="false" customHeight="false" outlineLevel="0" collapsed="false">
      <c r="B46757" s="0" t="s">
        <v>16602</v>
      </c>
    </row>
    <row r="46759" customFormat="false" ht="12.8" hidden="false" customHeight="false" outlineLevel="0" collapsed="false">
      <c r="A46759" s="0" t="s">
        <v>16603</v>
      </c>
      <c r="B46759" s="0" t="str">
        <f aca="false">HYPERLINK("https://lindat.mff.cuni.cz/services/teitok/pdtc10/index.php?action=vallex&amp;frame=v-w6570f6_ZU", "strhnout (v-w6570f6_ZU)")</f>
        <v>strhnout (v-w6570f6_ZU)</v>
      </c>
    </row>
    <row r="46760" customFormat="false" ht="12.8" hidden="false" customHeight="false" outlineLevel="0" collapsed="false">
      <c r="B46760" s="0" t="s">
        <v>7</v>
      </c>
    </row>
    <row r="46761" customFormat="false" ht="12.8" hidden="false" customHeight="false" outlineLevel="0" collapsed="false">
      <c r="B46761" s="0" t="s">
        <v>14</v>
      </c>
    </row>
    <row r="46763" customFormat="false" ht="12.8" hidden="false" customHeight="false" outlineLevel="0" collapsed="false">
      <c r="A46763" s="0" t="s">
        <v>16604</v>
      </c>
      <c r="B46763" s="0" t="str">
        <f aca="false">HYPERLINK("https://lindat.mff.cuni.cz/services/teitok/pdtc10/index.php?action=vallex&amp;frame=v-w6570f7_MM", "strhnout (v-w6570f7_MM)")</f>
        <v>strhnout (v-w6570f7_MM)</v>
      </c>
    </row>
    <row r="46764" customFormat="false" ht="12.8" hidden="false" customHeight="false" outlineLevel="0" collapsed="false">
      <c r="B46764" s="0" t="s">
        <v>7</v>
      </c>
    </row>
    <row r="46765" customFormat="false" ht="12.8" hidden="false" customHeight="false" outlineLevel="0" collapsed="false">
      <c r="B46765" s="0" t="s">
        <v>14</v>
      </c>
    </row>
    <row r="46767" customFormat="false" ht="12.8" hidden="false" customHeight="false" outlineLevel="0" collapsed="false">
      <c r="A46767" s="0" t="s">
        <v>16605</v>
      </c>
      <c r="B46767" s="0" t="str">
        <f aca="false">HYPERLINK("https://lindat.mff.cuni.cz/services/teitok/pdtc10/index.php?action=vallex&amp;frame=v-w6570f8_MM", "strhnout (v-w6570f8_MM)")</f>
        <v>strhnout (v-w6570f8_MM)</v>
      </c>
    </row>
    <row r="46768" customFormat="false" ht="12.8" hidden="false" customHeight="false" outlineLevel="0" collapsed="false">
      <c r="B46768" s="0" t="s">
        <v>7</v>
      </c>
    </row>
    <row r="46769" customFormat="false" ht="12.8" hidden="false" customHeight="false" outlineLevel="0" collapsed="false">
      <c r="B46769" s="0" t="s">
        <v>14</v>
      </c>
    </row>
    <row r="46770" customFormat="false" ht="12.8" hidden="false" customHeight="false" outlineLevel="0" collapsed="false">
      <c r="B46770" s="0" t="s">
        <v>459</v>
      </c>
    </row>
    <row r="46772" customFormat="false" ht="12.8" hidden="false" customHeight="false" outlineLevel="0" collapsed="false">
      <c r="A46772" s="0" t="s">
        <v>16606</v>
      </c>
      <c r="B46772" s="0" t="str">
        <f aca="false">HYPERLINK("https://lindat.mff.cuni.cz/services/teitok/pdtc10/index.php?action=vallex&amp;frame=v-w6571f1", "strhnout se (v-w6571f1)")</f>
        <v>strhnout se (v-w6571f1)</v>
      </c>
    </row>
    <row r="46773" customFormat="false" ht="12.8" hidden="false" customHeight="false" outlineLevel="0" collapsed="false">
      <c r="B46773" s="0" t="s">
        <v>7</v>
      </c>
    </row>
    <row r="46775" customFormat="false" ht="12.8" hidden="false" customHeight="false" outlineLevel="0" collapsed="false">
      <c r="A46775" s="0" t="s">
        <v>16607</v>
      </c>
      <c r="B46775" s="0" t="str">
        <f aca="false">HYPERLINK("https://lindat.mff.cuni.cz/services/teitok/pdtc10/index.php?action=vallex&amp;frame=v-w11598_ZUf1_ZU", "strhovat (v-w11598_ZUf1_ZU)")</f>
        <v>strhovat (v-w11598_ZUf1_ZU)</v>
      </c>
    </row>
    <row r="46776" customFormat="false" ht="12.8" hidden="false" customHeight="false" outlineLevel="0" collapsed="false">
      <c r="B46776" s="0" t="s">
        <v>7</v>
      </c>
    </row>
    <row r="46777" customFormat="false" ht="12.8" hidden="false" customHeight="false" outlineLevel="0" collapsed="false">
      <c r="B46777" s="0" t="s">
        <v>14</v>
      </c>
    </row>
    <row r="46778" customFormat="false" ht="12.8" hidden="false" customHeight="false" outlineLevel="0" collapsed="false">
      <c r="B46778" s="0" t="s">
        <v>279</v>
      </c>
    </row>
    <row r="46780" customFormat="false" ht="12.8" hidden="false" customHeight="false" outlineLevel="0" collapsed="false">
      <c r="A46780" s="0" t="s">
        <v>16608</v>
      </c>
      <c r="B46780" s="0" t="str">
        <f aca="false">HYPERLINK("https://lindat.mff.cuni.cz/services/teitok/pdtc10/index.php?action=vallex&amp;frame=v-w6568f1", "strhávat (v-w6568f1)")</f>
        <v>strhávat (v-w6568f1)</v>
      </c>
    </row>
    <row r="46781" customFormat="false" ht="12.8" hidden="false" customHeight="false" outlineLevel="0" collapsed="false">
      <c r="B46781" s="0" t="s">
        <v>7</v>
      </c>
    </row>
    <row r="46782" customFormat="false" ht="12.8" hidden="false" customHeight="false" outlineLevel="0" collapsed="false">
      <c r="B46782" s="0" t="s">
        <v>14</v>
      </c>
    </row>
    <row r="46783" customFormat="false" ht="12.8" hidden="false" customHeight="false" outlineLevel="0" collapsed="false">
      <c r="B46783" s="0" t="s">
        <v>48</v>
      </c>
    </row>
    <row r="46785" customFormat="false" ht="12.8" hidden="false" customHeight="false" outlineLevel="0" collapsed="false">
      <c r="A46785" s="0" t="s">
        <v>16609</v>
      </c>
      <c r="B46785" s="0" t="str">
        <f aca="false">HYPERLINK("https://lindat.mff.cuni.cz/services/teitok/pdtc10/index.php?action=vallex&amp;frame=v-w6568f2", "strhávat (v-w6568f2)")</f>
        <v>strhávat (v-w6568f2)</v>
      </c>
    </row>
    <row r="46786" customFormat="false" ht="12.8" hidden="false" customHeight="false" outlineLevel="0" collapsed="false">
      <c r="B46786" s="0" t="s">
        <v>7</v>
      </c>
    </row>
    <row r="46787" customFormat="false" ht="12.8" hidden="false" customHeight="false" outlineLevel="0" collapsed="false">
      <c r="B46787" s="0" t="s">
        <v>232</v>
      </c>
    </row>
    <row r="46788" customFormat="false" ht="12.8" hidden="false" customHeight="false" outlineLevel="0" collapsed="false">
      <c r="B46788" s="0" t="s">
        <v>84</v>
      </c>
    </row>
    <row r="46790" customFormat="false" ht="12.8" hidden="false" customHeight="false" outlineLevel="0" collapsed="false">
      <c r="A46790" s="0" t="s">
        <v>16610</v>
      </c>
      <c r="B46790" s="0" t="str">
        <f aca="false">HYPERLINK("https://lindat.mff.cuni.cz/services/teitok/pdtc10/index.php?action=vallex&amp;frame=v-w6568f3_MM", "strhávat (v-w6568f3_MM)")</f>
        <v>strhávat (v-w6568f3_MM)</v>
      </c>
    </row>
    <row r="46791" customFormat="false" ht="12.8" hidden="false" customHeight="false" outlineLevel="0" collapsed="false">
      <c r="B46791" s="0" t="s">
        <v>7</v>
      </c>
    </row>
    <row r="46792" customFormat="false" ht="12.8" hidden="false" customHeight="false" outlineLevel="0" collapsed="false">
      <c r="B46792" s="0" t="s">
        <v>14</v>
      </c>
    </row>
    <row r="46793" customFormat="false" ht="12.8" hidden="false" customHeight="false" outlineLevel="0" collapsed="false">
      <c r="B46793" s="0" t="s">
        <v>459</v>
      </c>
    </row>
    <row r="46795" customFormat="false" ht="12.8" hidden="false" customHeight="false" outlineLevel="0" collapsed="false">
      <c r="A46795" s="0" t="s">
        <v>16610</v>
      </c>
      <c r="B46795" s="0" t="str">
        <f aca="false">HYPERLINK("https://lindat.mff.cuni.cz/services/teitok/pdtc10/index.php?action=vallex&amp;frame=v-w6568hsa_734", "strhávat (v-w6568hsa_734) - substituted with v-w6568f3_MM")</f>
        <v>strhávat (v-w6568hsa_734) - substituted with v-w6568f3_MM</v>
      </c>
    </row>
    <row r="46796" customFormat="false" ht="12.8" hidden="false" customHeight="false" outlineLevel="0" collapsed="false">
      <c r="B46796" s="0" t="s">
        <v>7</v>
      </c>
      <c r="D46796" s="0" t="s">
        <v>46</v>
      </c>
      <c r="E46796" s="0" t="s">
        <v>46</v>
      </c>
      <c r="F46796" s="0" t="s">
        <v>46</v>
      </c>
    </row>
    <row r="46797" customFormat="false" ht="12.8" hidden="false" customHeight="false" outlineLevel="0" collapsed="false">
      <c r="B46797" s="0" t="s">
        <v>14</v>
      </c>
      <c r="C46797" s="0" t="s">
        <v>155</v>
      </c>
      <c r="D46797" s="0" t="s">
        <v>567</v>
      </c>
      <c r="E46797" s="0" t="s">
        <v>567</v>
      </c>
      <c r="F46797" s="0" t="s">
        <v>567</v>
      </c>
    </row>
    <row r="46798" customFormat="false" ht="12.8" hidden="false" customHeight="false" outlineLevel="0" collapsed="false">
      <c r="B46798" s="0" t="s">
        <v>459</v>
      </c>
    </row>
    <row r="46800" customFormat="false" ht="12.8" hidden="false" customHeight="false" outlineLevel="0" collapsed="false">
      <c r="A46800" s="0" t="s">
        <v>16611</v>
      </c>
      <c r="B46800" s="0" t="str">
        <f aca="false">HYPERLINK("https://lindat.mff.cuni.cz/services/teitok/pdtc10/index.php?action=vallex&amp;frame=v-w6569f1", "strhávat si (v-w6569f1)")</f>
        <v>strhávat si (v-w6569f1)</v>
      </c>
    </row>
    <row r="46801" customFormat="false" ht="12.8" hidden="false" customHeight="false" outlineLevel="0" collapsed="false">
      <c r="B46801" s="0" t="s">
        <v>7</v>
      </c>
    </row>
    <row r="46802" customFormat="false" ht="12.8" hidden="false" customHeight="false" outlineLevel="0" collapsed="false">
      <c r="B46802" s="0" t="s">
        <v>14</v>
      </c>
    </row>
    <row r="46804" customFormat="false" ht="12.8" hidden="false" customHeight="false" outlineLevel="0" collapsed="false">
      <c r="A46804" s="0" t="s">
        <v>16612</v>
      </c>
      <c r="B46804" s="0" t="str">
        <f aca="false">HYPERLINK("https://lindat.mff.cuni.cz/services/teitok/pdtc10/index.php?action=vallex&amp;frame=v-w11483f1", "strkat (v-w11483f1)")</f>
        <v>strkat (v-w11483f1)</v>
      </c>
    </row>
    <row r="46805" customFormat="false" ht="12.8" hidden="false" customHeight="false" outlineLevel="0" collapsed="false">
      <c r="B46805" s="0" t="s">
        <v>7</v>
      </c>
      <c r="D46805" s="0" t="s">
        <v>569</v>
      </c>
      <c r="E46805" s="0" t="s">
        <v>569</v>
      </c>
      <c r="F46805" s="0" t="s">
        <v>569</v>
      </c>
    </row>
    <row r="46806" customFormat="false" ht="12.8" hidden="false" customHeight="false" outlineLevel="0" collapsed="false">
      <c r="B46806" s="0" t="s">
        <v>14</v>
      </c>
      <c r="D46806" s="0" t="s">
        <v>461</v>
      </c>
      <c r="E46806" s="0" t="s">
        <v>461</v>
      </c>
      <c r="F46806" s="0" t="s">
        <v>461</v>
      </c>
    </row>
    <row r="46807" customFormat="false" ht="12.8" hidden="false" customHeight="false" outlineLevel="0" collapsed="false">
      <c r="B46807" s="0" t="s">
        <v>124</v>
      </c>
    </row>
    <row r="46809" customFormat="false" ht="12.8" hidden="false" customHeight="false" outlineLevel="0" collapsed="false">
      <c r="A46809" s="0" t="s">
        <v>16613</v>
      </c>
      <c r="B46809" s="0" t="str">
        <f aca="false">HYPERLINK("https://lindat.mff.cuni.cz/services/teitok/pdtc10/index.php?action=vallex&amp;frame=v-w11483f2", "strkat (v-w11483f2)")</f>
        <v>strkat (v-w11483f2)</v>
      </c>
    </row>
    <row r="46810" customFormat="false" ht="12.8" hidden="false" customHeight="false" outlineLevel="0" collapsed="false">
      <c r="B46810" s="0" t="s">
        <v>7</v>
      </c>
    </row>
    <row r="46811" customFormat="false" ht="12.8" hidden="false" customHeight="false" outlineLevel="0" collapsed="false">
      <c r="B46811" s="0" t="s">
        <v>8789</v>
      </c>
    </row>
    <row r="46812" customFormat="false" ht="12.8" hidden="false" customHeight="false" outlineLevel="0" collapsed="false">
      <c r="B46812" s="0" t="s">
        <v>985</v>
      </c>
    </row>
    <row r="46814" customFormat="false" ht="12.8" hidden="false" customHeight="false" outlineLevel="0" collapsed="false">
      <c r="A46814" s="0" t="s">
        <v>16614</v>
      </c>
      <c r="B46814" s="0" t="str">
        <f aca="false">HYPERLINK("https://lindat.mff.cuni.cz/services/teitok/pdtc10/index.php?action=vallex&amp;frame=v-w11483f3_ZU", "strkat (v-w11483f3_ZU)")</f>
        <v>strkat (v-w11483f3_ZU)</v>
      </c>
    </row>
    <row r="46815" customFormat="false" ht="12.8" hidden="false" customHeight="false" outlineLevel="0" collapsed="false">
      <c r="B46815" s="0" t="s">
        <v>7</v>
      </c>
    </row>
    <row r="46816" customFormat="false" ht="12.8" hidden="false" customHeight="false" outlineLevel="0" collapsed="false">
      <c r="B46816" s="0" t="s">
        <v>14</v>
      </c>
    </row>
    <row r="46817" customFormat="false" ht="12.8" hidden="false" customHeight="false" outlineLevel="0" collapsed="false">
      <c r="B46817" s="0" t="s">
        <v>48</v>
      </c>
    </row>
    <row r="46819" customFormat="false" ht="12.8" hidden="false" customHeight="false" outlineLevel="0" collapsed="false">
      <c r="A46819" s="0" t="s">
        <v>16615</v>
      </c>
      <c r="B46819" s="0" t="str">
        <f aca="false">HYPERLINK("https://lindat.mff.cuni.cz/services/teitok/pdtc10/index.php?action=vallex&amp;frame=v-w6572f1", "strkat se (v-w6572f1)")</f>
        <v>strkat se (v-w6572f1)</v>
      </c>
    </row>
    <row r="46820" customFormat="false" ht="12.8" hidden="false" customHeight="false" outlineLevel="0" collapsed="false">
      <c r="B46820" s="0" t="s">
        <v>7</v>
      </c>
    </row>
    <row r="46821" customFormat="false" ht="12.8" hidden="false" customHeight="false" outlineLevel="0" collapsed="false">
      <c r="B46821" s="0" t="s">
        <v>207</v>
      </c>
    </row>
    <row r="46822" customFormat="false" ht="12.8" hidden="false" customHeight="false" outlineLevel="0" collapsed="false">
      <c r="B46822" s="0" t="s">
        <v>2721</v>
      </c>
    </row>
    <row r="46824" customFormat="false" ht="12.8" hidden="false" customHeight="false" outlineLevel="0" collapsed="false">
      <c r="A46824" s="0" t="s">
        <v>16616</v>
      </c>
      <c r="B46824" s="0" t="str">
        <f aca="false">HYPERLINK("https://lindat.mff.cuni.cz/services/teitok/pdtc10/index.php?action=vallex&amp;frame=v-w6573f1", "strnout (v-w6573f1)")</f>
        <v>strnout (v-w6573f1)</v>
      </c>
    </row>
    <row r="46825" customFormat="false" ht="12.8" hidden="false" customHeight="false" outlineLevel="0" collapsed="false">
      <c r="B46825" s="0" t="s">
        <v>7</v>
      </c>
      <c r="D46825" s="0" t="s">
        <v>16617</v>
      </c>
      <c r="E46825" s="0" t="s">
        <v>16617</v>
      </c>
      <c r="F46825" s="0" t="s">
        <v>16617</v>
      </c>
    </row>
    <row r="46827" customFormat="false" ht="12.8" hidden="false" customHeight="false" outlineLevel="0" collapsed="false">
      <c r="A46827" s="0" t="s">
        <v>16618</v>
      </c>
      <c r="B46827" s="0" t="str">
        <f aca="false">HYPERLINK("https://lindat.mff.cuni.cz/services/teitok/pdtc10/index.php?action=vallex&amp;frame=v-whsa_1487f1_MM", "strojit (v-whsa_1487f1_MM)")</f>
        <v>strojit (v-whsa_1487f1_MM)</v>
      </c>
    </row>
    <row r="46828" customFormat="false" ht="12.8" hidden="false" customHeight="false" outlineLevel="0" collapsed="false">
      <c r="B46828" s="0" t="s">
        <v>7</v>
      </c>
    </row>
    <row r="46829" customFormat="false" ht="12.8" hidden="false" customHeight="false" outlineLevel="0" collapsed="false">
      <c r="B46829" s="0" t="s">
        <v>14</v>
      </c>
    </row>
    <row r="46830" customFormat="false" ht="12.8" hidden="false" customHeight="false" outlineLevel="0" collapsed="false">
      <c r="B46830" s="0" t="s">
        <v>181</v>
      </c>
    </row>
    <row r="46832" customFormat="false" ht="12.8" hidden="false" customHeight="false" outlineLevel="0" collapsed="false">
      <c r="A46832" s="0" t="s">
        <v>16619</v>
      </c>
      <c r="B46832" s="0" t="str">
        <f aca="false">HYPERLINK("https://lindat.mff.cuni.cz/services/teitok/pdtc10/index.php?action=vallex&amp;frame=v-whsa_1487hsa_1488", "strojit (v-whsa_1487hsa_1488)")</f>
        <v>strojit (v-whsa_1487hsa_1488)</v>
      </c>
    </row>
    <row r="46833" customFormat="false" ht="12.8" hidden="false" customHeight="false" outlineLevel="0" collapsed="false">
      <c r="B46833" s="0" t="s">
        <v>7</v>
      </c>
    </row>
    <row r="46834" customFormat="false" ht="12.8" hidden="false" customHeight="false" outlineLevel="0" collapsed="false">
      <c r="B46834" s="0" t="s">
        <v>14</v>
      </c>
    </row>
    <row r="46836" customFormat="false" ht="12.8" hidden="false" customHeight="false" outlineLevel="0" collapsed="false">
      <c r="A46836" s="0" t="s">
        <v>16620</v>
      </c>
      <c r="B46836" s="0" t="str">
        <f aca="false">HYPERLINK("https://lindat.mff.cuni.cz/services/teitok/pdtc10/index.php?action=vallex&amp;frame=v-w6576f2", "strpět (v-w6576f2)")</f>
        <v>strpět (v-w6576f2)</v>
      </c>
    </row>
    <row r="46837" customFormat="false" ht="12.8" hidden="false" customHeight="false" outlineLevel="0" collapsed="false">
      <c r="B46837" s="0" t="s">
        <v>7</v>
      </c>
    </row>
    <row r="46838" customFormat="false" ht="12.8" hidden="false" customHeight="false" outlineLevel="0" collapsed="false">
      <c r="B46838" s="0" t="s">
        <v>172</v>
      </c>
    </row>
    <row r="46839" customFormat="false" ht="12.8" hidden="false" customHeight="false" outlineLevel="0" collapsed="false">
      <c r="B46839" s="0" t="s">
        <v>106</v>
      </c>
    </row>
    <row r="46841" customFormat="false" ht="12.8" hidden="false" customHeight="false" outlineLevel="0" collapsed="false">
      <c r="A46841" s="0" t="s">
        <v>16621</v>
      </c>
      <c r="B46841" s="0" t="str">
        <f aca="false">HYPERLINK("https://lindat.mff.cuni.cz/services/teitok/pdtc10/index.php?action=vallex&amp;frame=v-w6576f1", "strpět (v-w6576f1)")</f>
        <v>strpět (v-w6576f1)</v>
      </c>
    </row>
    <row r="46842" customFormat="false" ht="12.8" hidden="false" customHeight="false" outlineLevel="0" collapsed="false">
      <c r="B46842" s="0" t="s">
        <v>7</v>
      </c>
      <c r="C46842" s="0" t="s">
        <v>176</v>
      </c>
      <c r="D46842" s="0" t="s">
        <v>12251</v>
      </c>
      <c r="E46842" s="0" t="s">
        <v>12251</v>
      </c>
      <c r="F46842" s="0" t="s">
        <v>12251</v>
      </c>
    </row>
    <row r="46843" customFormat="false" ht="12.8" hidden="false" customHeight="false" outlineLevel="0" collapsed="false">
      <c r="B46843" s="0" t="s">
        <v>14</v>
      </c>
      <c r="C46843" s="0" t="s">
        <v>11835</v>
      </c>
      <c r="D46843" s="0" t="s">
        <v>12252</v>
      </c>
      <c r="E46843" s="0" t="s">
        <v>12252</v>
      </c>
      <c r="F46843" s="0" t="s">
        <v>12252</v>
      </c>
    </row>
    <row r="46845" customFormat="false" ht="12.8" hidden="false" customHeight="false" outlineLevel="0" collapsed="false">
      <c r="A46845" s="0" t="s">
        <v>16622</v>
      </c>
      <c r="B46845" s="0" t="str">
        <f aca="false">HYPERLINK("https://lindat.mff.cuni.cz/services/teitok/pdtc10/index.php?action=vallex&amp;frame=v-w6580f1", "strukturovat (v-w6580f1)")</f>
        <v>strukturovat (v-w6580f1)</v>
      </c>
    </row>
    <row r="46846" customFormat="false" ht="12.8" hidden="false" customHeight="false" outlineLevel="0" collapsed="false">
      <c r="B46846" s="0" t="s">
        <v>7</v>
      </c>
      <c r="C46846" s="0" t="s">
        <v>191</v>
      </c>
      <c r="D46846" s="0" t="s">
        <v>191</v>
      </c>
      <c r="E46846" s="0" t="s">
        <v>191</v>
      </c>
      <c r="F46846" s="0" t="s">
        <v>191</v>
      </c>
    </row>
    <row r="46847" customFormat="false" ht="12.8" hidden="false" customHeight="false" outlineLevel="0" collapsed="false">
      <c r="B46847" s="0" t="s">
        <v>14</v>
      </c>
      <c r="C46847" s="0" t="s">
        <v>624</v>
      </c>
      <c r="D46847" s="0" t="s">
        <v>624</v>
      </c>
      <c r="E46847" s="0" t="s">
        <v>624</v>
      </c>
      <c r="F46847" s="0" t="s">
        <v>624</v>
      </c>
    </row>
    <row r="46849" customFormat="false" ht="12.8" hidden="false" customHeight="false" outlineLevel="0" collapsed="false">
      <c r="A46849" s="0" t="s">
        <v>16623</v>
      </c>
      <c r="B46849" s="0" t="str">
        <f aca="false">HYPERLINK("https://lindat.mff.cuni.cz/services/teitok/pdtc10/index.php?action=vallex&amp;frame=v-w6553f1", "strádat (v-w6553f1)")</f>
        <v>strádat (v-w6553f1)</v>
      </c>
    </row>
    <row r="46850" customFormat="false" ht="12.8" hidden="false" customHeight="false" outlineLevel="0" collapsed="false">
      <c r="B46850" s="0" t="s">
        <v>7</v>
      </c>
      <c r="C46850" s="0" t="s">
        <v>16624</v>
      </c>
      <c r="D46850" s="0" t="s">
        <v>2092</v>
      </c>
      <c r="E46850" s="0" t="s">
        <v>2092</v>
      </c>
      <c r="F46850" s="0" t="s">
        <v>2092</v>
      </c>
    </row>
    <row r="46852" customFormat="false" ht="12.8" hidden="false" customHeight="false" outlineLevel="0" collapsed="false">
      <c r="A46852" s="0" t="s">
        <v>16625</v>
      </c>
      <c r="B46852" s="0" t="str">
        <f aca="false">HYPERLINK("https://lindat.mff.cuni.cz/services/teitok/pdtc10/index.php?action=vallex&amp;frame=v-w6560f1", "strávit (v-w6560f1)")</f>
        <v>strávit (v-w6560f1)</v>
      </c>
    </row>
    <row r="46853" customFormat="false" ht="12.8" hidden="false" customHeight="false" outlineLevel="0" collapsed="false">
      <c r="B46853" s="0" t="s">
        <v>7</v>
      </c>
      <c r="C46853" s="0" t="s">
        <v>1680</v>
      </c>
      <c r="D46853" s="0" t="s">
        <v>1680</v>
      </c>
      <c r="E46853" s="0" t="s">
        <v>1680</v>
      </c>
      <c r="F46853" s="0" t="s">
        <v>1680</v>
      </c>
    </row>
    <row r="46854" customFormat="false" ht="12.8" hidden="false" customHeight="false" outlineLevel="0" collapsed="false">
      <c r="B46854" s="0" t="s">
        <v>14</v>
      </c>
      <c r="C46854" s="0" t="s">
        <v>2887</v>
      </c>
      <c r="D46854" s="0" t="s">
        <v>2887</v>
      </c>
      <c r="E46854" s="0" t="s">
        <v>2887</v>
      </c>
      <c r="F46854" s="0" t="s">
        <v>2887</v>
      </c>
    </row>
    <row r="46855" customFormat="false" ht="12.8" hidden="false" customHeight="false" outlineLevel="0" collapsed="false">
      <c r="B46855" s="0" t="s">
        <v>11</v>
      </c>
      <c r="C46855" s="0" t="s">
        <v>16626</v>
      </c>
      <c r="D46855" s="0" t="s">
        <v>16626</v>
      </c>
      <c r="E46855" s="0" t="s">
        <v>16626</v>
      </c>
      <c r="F46855" s="0" t="s">
        <v>16626</v>
      </c>
    </row>
    <row r="46857" customFormat="false" ht="12.8" hidden="false" customHeight="false" outlineLevel="0" collapsed="false">
      <c r="A46857" s="0" t="s">
        <v>16627</v>
      </c>
      <c r="B46857" s="0" t="str">
        <f aca="false">HYPERLINK("https://lindat.mff.cuni.cz/services/teitok/pdtc10/index.php?action=vallex&amp;frame=v-w6560f2", "strávit (v-w6560f2)")</f>
        <v>strávit (v-w6560f2)</v>
      </c>
    </row>
    <row r="46858" customFormat="false" ht="12.8" hidden="false" customHeight="false" outlineLevel="0" collapsed="false">
      <c r="B46858" s="0" t="s">
        <v>7</v>
      </c>
      <c r="C46858" s="0" t="s">
        <v>16628</v>
      </c>
      <c r="D46858" s="0" t="s">
        <v>1680</v>
      </c>
      <c r="E46858" s="0" t="s">
        <v>1680</v>
      </c>
      <c r="F46858" s="0" t="s">
        <v>1680</v>
      </c>
    </row>
    <row r="46859" customFormat="false" ht="12.8" hidden="false" customHeight="false" outlineLevel="0" collapsed="false">
      <c r="B46859" s="0" t="s">
        <v>14</v>
      </c>
      <c r="C46859" s="0" t="s">
        <v>16629</v>
      </c>
      <c r="D46859" s="0" t="s">
        <v>2887</v>
      </c>
      <c r="E46859" s="0" t="s">
        <v>2887</v>
      </c>
      <c r="F46859" s="0" t="s">
        <v>2887</v>
      </c>
    </row>
    <row r="46860" customFormat="false" ht="12.8" hidden="false" customHeight="false" outlineLevel="0" collapsed="false">
      <c r="B46860" s="0" t="s">
        <v>552</v>
      </c>
      <c r="D46860" s="0" t="s">
        <v>16630</v>
      </c>
      <c r="E46860" s="0" t="s">
        <v>16630</v>
      </c>
      <c r="F46860" s="0" t="s">
        <v>16630</v>
      </c>
    </row>
    <row r="46861" customFormat="false" ht="12.8" hidden="false" customHeight="false" outlineLevel="0" collapsed="false">
      <c r="B46861" s="0" t="s">
        <v>5619</v>
      </c>
      <c r="D46861" s="0" t="s">
        <v>16626</v>
      </c>
      <c r="E46861" s="0" t="s">
        <v>16626</v>
      </c>
      <c r="F46861" s="0" t="s">
        <v>16626</v>
      </c>
    </row>
    <row r="46862" customFormat="false" ht="12.8" hidden="false" customHeight="false" outlineLevel="0" collapsed="false">
      <c r="B46862" s="0" t="s">
        <v>474</v>
      </c>
      <c r="D46862" s="0" t="s">
        <v>16631</v>
      </c>
      <c r="E46862" s="0" t="s">
        <v>16631</v>
      </c>
      <c r="F46862" s="0" t="s">
        <v>16631</v>
      </c>
    </row>
    <row r="46863" customFormat="false" ht="12.8" hidden="false" customHeight="false" outlineLevel="0" collapsed="false">
      <c r="B46863" s="0" t="s">
        <v>477</v>
      </c>
      <c r="C46863" s="0" t="s">
        <v>16632</v>
      </c>
      <c r="D46863" s="0" t="s">
        <v>16633</v>
      </c>
      <c r="E46863" s="0" t="s">
        <v>16633</v>
      </c>
      <c r="F46863" s="0" t="s">
        <v>16633</v>
      </c>
    </row>
    <row r="46864" customFormat="false" ht="12.8" hidden="false" customHeight="false" outlineLevel="0" collapsed="false">
      <c r="B46864" s="0" t="s">
        <v>479</v>
      </c>
      <c r="D46864" s="0" t="s">
        <v>16634</v>
      </c>
      <c r="E46864" s="0" t="s">
        <v>16634</v>
      </c>
      <c r="F46864" s="0" t="s">
        <v>16634</v>
      </c>
    </row>
    <row r="46865" customFormat="false" ht="12.8" hidden="false" customHeight="false" outlineLevel="0" collapsed="false">
      <c r="B46865" s="0" t="s">
        <v>481</v>
      </c>
      <c r="D46865" s="0" t="s">
        <v>16635</v>
      </c>
      <c r="E46865" s="0" t="s">
        <v>16635</v>
      </c>
      <c r="F46865" s="0" t="s">
        <v>16635</v>
      </c>
    </row>
    <row r="46866" customFormat="false" ht="12.8" hidden="false" customHeight="false" outlineLevel="0" collapsed="false">
      <c r="B46866" s="0" t="s">
        <v>483</v>
      </c>
      <c r="D46866" s="0" t="s">
        <v>16636</v>
      </c>
      <c r="E46866" s="0" t="s">
        <v>16636</v>
      </c>
      <c r="F46866" s="0" t="s">
        <v>16636</v>
      </c>
    </row>
    <row r="46868" customFormat="false" ht="12.8" hidden="false" customHeight="false" outlineLevel="0" collapsed="false">
      <c r="A46868" s="0" t="s">
        <v>16637</v>
      </c>
      <c r="B46868" s="0" t="str">
        <f aca="false">HYPERLINK("https://lindat.mff.cuni.cz/services/teitok/pdtc10/index.php?action=vallex&amp;frame=v-w6560f3", "strávit (v-w6560f3)")</f>
        <v>strávit (v-w6560f3)</v>
      </c>
    </row>
    <row r="46869" customFormat="false" ht="12.8" hidden="false" customHeight="false" outlineLevel="0" collapsed="false">
      <c r="B46869" s="0" t="s">
        <v>7</v>
      </c>
      <c r="C46869" s="0" t="s">
        <v>118</v>
      </c>
    </row>
    <row r="46870" customFormat="false" ht="12.8" hidden="false" customHeight="false" outlineLevel="0" collapsed="false">
      <c r="B46870" s="0" t="s">
        <v>14</v>
      </c>
      <c r="C46870" s="0" t="s">
        <v>159</v>
      </c>
    </row>
    <row r="46872" customFormat="false" ht="12.8" hidden="false" customHeight="false" outlineLevel="0" collapsed="false">
      <c r="A46872" s="0" t="s">
        <v>16638</v>
      </c>
      <c r="B46872" s="0" t="str">
        <f aca="false">HYPERLINK("https://lindat.mff.cuni.cz/services/teitok/pdtc10/index.php?action=vallex&amp;frame=v-w6566f1", "strčit (v-w6566f1)")</f>
        <v>strčit (v-w6566f1)</v>
      </c>
    </row>
    <row r="46873" customFormat="false" ht="12.8" hidden="false" customHeight="false" outlineLevel="0" collapsed="false">
      <c r="B46873" s="0" t="s">
        <v>7</v>
      </c>
      <c r="C46873" s="0" t="s">
        <v>113</v>
      </c>
      <c r="D46873" s="0" t="s">
        <v>569</v>
      </c>
      <c r="E46873" s="0" t="s">
        <v>569</v>
      </c>
      <c r="F46873" s="0" t="s">
        <v>569</v>
      </c>
    </row>
    <row r="46874" customFormat="false" ht="12.8" hidden="false" customHeight="false" outlineLevel="0" collapsed="false">
      <c r="B46874" s="0" t="s">
        <v>14</v>
      </c>
      <c r="C46874" s="0" t="s">
        <v>120</v>
      </c>
      <c r="D46874" s="0" t="s">
        <v>461</v>
      </c>
      <c r="E46874" s="0" t="s">
        <v>461</v>
      </c>
      <c r="F46874" s="0" t="s">
        <v>461</v>
      </c>
    </row>
    <row r="46875" customFormat="false" ht="12.8" hidden="false" customHeight="false" outlineLevel="0" collapsed="false">
      <c r="B46875" s="0" t="s">
        <v>124</v>
      </c>
    </row>
    <row r="46877" customFormat="false" ht="12.8" hidden="false" customHeight="false" outlineLevel="0" collapsed="false">
      <c r="A46877" s="0" t="s">
        <v>16639</v>
      </c>
      <c r="B46877" s="0" t="str">
        <f aca="false">HYPERLINK("https://lindat.mff.cuni.cz/services/teitok/pdtc10/index.php?action=vallex&amp;frame=v-w6566f3_ZU", "strčit (v-w6566f3_ZU)")</f>
        <v>strčit (v-w6566f3_ZU)</v>
      </c>
    </row>
    <row r="46878" customFormat="false" ht="12.8" hidden="false" customHeight="false" outlineLevel="0" collapsed="false">
      <c r="B46878" s="0" t="s">
        <v>7</v>
      </c>
    </row>
    <row r="46879" customFormat="false" ht="12.8" hidden="false" customHeight="false" outlineLevel="0" collapsed="false">
      <c r="B46879" s="0" t="s">
        <v>81</v>
      </c>
    </row>
    <row r="46880" customFormat="false" ht="12.8" hidden="false" customHeight="false" outlineLevel="0" collapsed="false">
      <c r="B46880" s="0" t="s">
        <v>985</v>
      </c>
    </row>
    <row r="46882" customFormat="false" ht="12.8" hidden="false" customHeight="false" outlineLevel="0" collapsed="false">
      <c r="A46882" s="0" t="s">
        <v>16640</v>
      </c>
      <c r="B46882" s="0" t="str">
        <f aca="false">HYPERLINK("https://lindat.mff.cuni.cz/services/teitok/pdtc10/index.php?action=vallex&amp;frame=v-w6566f4_ZU", "strčit (v-w6566f4_ZU)")</f>
        <v>strčit (v-w6566f4_ZU)</v>
      </c>
    </row>
    <row r="46883" customFormat="false" ht="12.8" hidden="false" customHeight="false" outlineLevel="0" collapsed="false">
      <c r="B46883" s="0" t="s">
        <v>7</v>
      </c>
    </row>
    <row r="46884" customFormat="false" ht="12.8" hidden="false" customHeight="false" outlineLevel="0" collapsed="false">
      <c r="B46884" s="0" t="s">
        <v>48</v>
      </c>
    </row>
    <row r="46885" customFormat="false" ht="12.8" hidden="false" customHeight="false" outlineLevel="0" collapsed="false">
      <c r="B46885" s="0" t="s">
        <v>14</v>
      </c>
    </row>
    <row r="46887" customFormat="false" ht="12.8" hidden="false" customHeight="false" outlineLevel="0" collapsed="false">
      <c r="A46887" s="0" t="s">
        <v>16641</v>
      </c>
      <c r="B46887" s="0" t="str">
        <f aca="false">HYPERLINK("https://lindat.mff.cuni.cz/services/teitok/pdtc10/index.php?action=vallex&amp;frame=v-w6566f5_ZU", "strčit (v-w6566f5_ZU)")</f>
        <v>strčit (v-w6566f5_ZU)</v>
      </c>
    </row>
    <row r="46888" customFormat="false" ht="12.8" hidden="false" customHeight="false" outlineLevel="0" collapsed="false">
      <c r="B46888" s="0" t="s">
        <v>7</v>
      </c>
    </row>
    <row r="46889" customFormat="false" ht="12.8" hidden="false" customHeight="false" outlineLevel="0" collapsed="false">
      <c r="B46889" s="0" t="s">
        <v>14</v>
      </c>
    </row>
    <row r="46890" customFormat="false" ht="12.8" hidden="false" customHeight="false" outlineLevel="0" collapsed="false">
      <c r="B46890" s="0" t="s">
        <v>48</v>
      </c>
    </row>
    <row r="46892" customFormat="false" ht="12.8" hidden="false" customHeight="false" outlineLevel="0" collapsed="false">
      <c r="A46892" s="0" t="s">
        <v>16641</v>
      </c>
      <c r="B46892" s="0" t="str">
        <f aca="false">HYPERLINK("https://lindat.mff.cuni.cz/services/teitok/pdtc10/index.php?action=vallex&amp;frame=v-w6566f2_ZU", "strčit (v-w6566f2_ZU) - substituted with v-w6566f5_ZU")</f>
        <v>strčit (v-w6566f2_ZU) - substituted with v-w6566f5_ZU</v>
      </c>
    </row>
    <row r="46893" customFormat="false" ht="12.8" hidden="false" customHeight="false" outlineLevel="0" collapsed="false">
      <c r="B46893" s="0" t="s">
        <v>7</v>
      </c>
    </row>
    <row r="46894" customFormat="false" ht="12.8" hidden="false" customHeight="false" outlineLevel="0" collapsed="false">
      <c r="B46894" s="0" t="s">
        <v>14</v>
      </c>
    </row>
    <row r="46895" customFormat="false" ht="12.8" hidden="false" customHeight="false" outlineLevel="0" collapsed="false">
      <c r="B46895" s="0" t="s">
        <v>48</v>
      </c>
    </row>
    <row r="46897" customFormat="false" ht="12.8" hidden="false" customHeight="false" outlineLevel="0" collapsed="false">
      <c r="A46897" s="0" t="s">
        <v>16642</v>
      </c>
      <c r="B46897" s="0" t="str">
        <f aca="false">HYPERLINK("https://lindat.mff.cuni.cz/services/teitok/pdtc10/index.php?action=vallex&amp;frame=v-w6566hsa_1505", "strčit (v-w6566hsa_1505)")</f>
        <v>strčit (v-w6566hsa_1505)</v>
      </c>
    </row>
    <row r="46898" customFormat="false" ht="12.8" hidden="false" customHeight="false" outlineLevel="0" collapsed="false">
      <c r="B46898" s="0" t="s">
        <v>7</v>
      </c>
    </row>
    <row r="46899" customFormat="false" ht="12.8" hidden="false" customHeight="false" outlineLevel="0" collapsed="false">
      <c r="B46899" s="0" t="s">
        <v>14</v>
      </c>
    </row>
    <row r="46900" customFormat="false" ht="12.8" hidden="false" customHeight="false" outlineLevel="0" collapsed="false">
      <c r="B46900" s="0" t="s">
        <v>48</v>
      </c>
    </row>
    <row r="46902" customFormat="false" ht="12.8" hidden="false" customHeight="false" outlineLevel="0" collapsed="false">
      <c r="A46902" s="0" t="s">
        <v>16643</v>
      </c>
      <c r="B46902" s="0" t="str">
        <f aca="false">HYPERLINK("https://lindat.mff.cuni.cz/services/teitok/pdtc10/index.php?action=vallex&amp;frame=v-w6606f1", "studovat (v-w6606f1)")</f>
        <v>studovat (v-w6606f1)</v>
      </c>
    </row>
    <row r="46903" customFormat="false" ht="12.8" hidden="false" customHeight="false" outlineLevel="0" collapsed="false">
      <c r="B46903" s="0" t="s">
        <v>7</v>
      </c>
      <c r="C46903" s="0" t="s">
        <v>16644</v>
      </c>
      <c r="D46903" s="0" t="s">
        <v>68</v>
      </c>
      <c r="E46903" s="0" t="s">
        <v>68</v>
      </c>
      <c r="F46903" s="0" t="s">
        <v>68</v>
      </c>
    </row>
    <row r="46904" customFormat="false" ht="12.8" hidden="false" customHeight="false" outlineLevel="0" collapsed="false">
      <c r="B46904" s="0" t="s">
        <v>14</v>
      </c>
      <c r="C46904" s="0" t="s">
        <v>2739</v>
      </c>
      <c r="D46904" s="0" t="s">
        <v>4407</v>
      </c>
      <c r="E46904" s="0" t="s">
        <v>4407</v>
      </c>
      <c r="F46904" s="0" t="s">
        <v>4407</v>
      </c>
    </row>
    <row r="46906" customFormat="false" ht="12.8" hidden="false" customHeight="false" outlineLevel="0" collapsed="false">
      <c r="A46906" s="0" t="s">
        <v>16645</v>
      </c>
      <c r="B46906" s="0" t="str">
        <f aca="false">HYPERLINK("https://lindat.mff.cuni.cz/services/teitok/pdtc10/index.php?action=vallex&amp;frame=v-w6606f3_ZU", "studovat (v-w6606f3_ZU)")</f>
        <v>studovat (v-w6606f3_ZU)</v>
      </c>
    </row>
    <row r="46907" customFormat="false" ht="12.8" hidden="false" customHeight="false" outlineLevel="0" collapsed="false">
      <c r="B46907" s="0" t="s">
        <v>7</v>
      </c>
    </row>
    <row r="46908" customFormat="false" ht="12.8" hidden="false" customHeight="false" outlineLevel="0" collapsed="false">
      <c r="B46908" s="0" t="s">
        <v>232</v>
      </c>
    </row>
    <row r="46910" customFormat="false" ht="12.8" hidden="false" customHeight="false" outlineLevel="0" collapsed="false">
      <c r="A46910" s="0" t="s">
        <v>16645</v>
      </c>
      <c r="B46910" s="0" t="str">
        <f aca="false">HYPERLINK("https://lindat.mff.cuni.cz/services/teitok/pdtc10/index.php?action=vallex&amp;frame=v-w6606f2_ZU", "studovat (v-w6606f2_ZU) - substituted with v-w6606f3_ZU")</f>
        <v>studovat (v-w6606f2_ZU) - substituted with v-w6606f3_ZU</v>
      </c>
    </row>
    <row r="46911" customFormat="false" ht="12.8" hidden="false" customHeight="false" outlineLevel="0" collapsed="false">
      <c r="B46911" s="0" t="s">
        <v>7</v>
      </c>
    </row>
    <row r="46912" customFormat="false" ht="12.8" hidden="false" customHeight="false" outlineLevel="0" collapsed="false">
      <c r="B46912" s="0" t="s">
        <v>232</v>
      </c>
    </row>
    <row r="46914" customFormat="false" ht="12.8" hidden="false" customHeight="false" outlineLevel="0" collapsed="false">
      <c r="A46914" s="0" t="s">
        <v>16645</v>
      </c>
      <c r="B46914" s="0" t="str">
        <f aca="false">HYPERLINK("https://lindat.mff.cuni.cz/services/teitok/pdtc10/index.php?action=vallex&amp;frame=v-w6606hsa_815", "studovat (v-w6606hsa_815) - substituted with v-w6606f3_ZU")</f>
        <v>studovat (v-w6606hsa_815) - substituted with v-w6606f3_ZU</v>
      </c>
    </row>
    <row r="46915" customFormat="false" ht="12.8" hidden="false" customHeight="false" outlineLevel="0" collapsed="false">
      <c r="B46915" s="0" t="s">
        <v>7</v>
      </c>
      <c r="C46915" s="0" t="s">
        <v>68</v>
      </c>
      <c r="D46915" s="0" t="s">
        <v>92</v>
      </c>
      <c r="E46915" s="0" t="s">
        <v>92</v>
      </c>
      <c r="F46915" s="0" t="s">
        <v>92</v>
      </c>
    </row>
    <row r="46916" customFormat="false" ht="12.8" hidden="false" customHeight="false" outlineLevel="0" collapsed="false">
      <c r="B46916" s="0" t="s">
        <v>232</v>
      </c>
      <c r="C46916" s="0" t="s">
        <v>4407</v>
      </c>
      <c r="D46916" s="0" t="s">
        <v>95</v>
      </c>
      <c r="E46916" s="0" t="s">
        <v>95</v>
      </c>
      <c r="F46916" s="0" t="s">
        <v>95</v>
      </c>
    </row>
    <row r="46918" customFormat="false" ht="12.8" hidden="false" customHeight="false" outlineLevel="0" collapsed="false">
      <c r="A46918" s="0" t="s">
        <v>16646</v>
      </c>
      <c r="B46918" s="0" t="str">
        <f aca="false">HYPERLINK("https://lindat.mff.cuni.cz/services/teitok/pdtc10/index.php?action=vallex&amp;frame=v-w6606hsa_1762", "studovat (v-w6606hsa_1762)")</f>
        <v>studovat (v-w6606hsa_1762)</v>
      </c>
    </row>
    <row r="46919" customFormat="false" ht="12.8" hidden="false" customHeight="false" outlineLevel="0" collapsed="false">
      <c r="B46919" s="0" t="s">
        <v>7</v>
      </c>
    </row>
    <row r="46920" customFormat="false" ht="12.8" hidden="false" customHeight="false" outlineLevel="0" collapsed="false">
      <c r="B46920" s="0" t="s">
        <v>41</v>
      </c>
    </row>
    <row r="46922" customFormat="false" ht="12.8" hidden="false" customHeight="false" outlineLevel="0" collapsed="false">
      <c r="A46922" s="0" t="s">
        <v>16647</v>
      </c>
      <c r="B46922" s="0" t="str">
        <f aca="false">HYPERLINK("https://lindat.mff.cuni.cz/services/teitok/pdtc10/index.php?action=vallex&amp;frame=v-w6607f1", "stupňovat (v-w6607f1)")</f>
        <v>stupňovat (v-w6607f1)</v>
      </c>
    </row>
    <row r="46923" customFormat="false" ht="12.8" hidden="false" customHeight="false" outlineLevel="0" collapsed="false">
      <c r="B46923" s="0" t="s">
        <v>7</v>
      </c>
      <c r="C46923" s="0" t="s">
        <v>16648</v>
      </c>
      <c r="D46923" s="0" t="s">
        <v>6436</v>
      </c>
      <c r="E46923" s="0" t="s">
        <v>6436</v>
      </c>
      <c r="F46923" s="0" t="s">
        <v>6436</v>
      </c>
    </row>
    <row r="46924" customFormat="false" ht="12.8" hidden="false" customHeight="false" outlineLevel="0" collapsed="false">
      <c r="B46924" s="0" t="s">
        <v>14</v>
      </c>
      <c r="C46924" s="0" t="s">
        <v>16649</v>
      </c>
      <c r="D46924" s="0" t="s">
        <v>6437</v>
      </c>
      <c r="E46924" s="0" t="s">
        <v>6437</v>
      </c>
      <c r="F46924" s="0" t="s">
        <v>6437</v>
      </c>
    </row>
    <row r="46926" customFormat="false" ht="12.8" hidden="false" customHeight="false" outlineLevel="0" collapsed="false">
      <c r="A46926" s="0" t="s">
        <v>16650</v>
      </c>
      <c r="B46926" s="0" t="str">
        <f aca="false">HYPERLINK("https://lindat.mff.cuni.cz/services/teitok/pdtc10/index.php?action=vallex&amp;frame=v-w6608f1", "stupňovat se (v-w6608f1)")</f>
        <v>stupňovat se (v-w6608f1)</v>
      </c>
    </row>
    <row r="46927" customFormat="false" ht="12.8" hidden="false" customHeight="false" outlineLevel="0" collapsed="false">
      <c r="B46927" s="0" t="s">
        <v>7</v>
      </c>
      <c r="C46927" s="0" t="s">
        <v>3768</v>
      </c>
      <c r="D46927" s="0" t="s">
        <v>13935</v>
      </c>
      <c r="E46927" s="0" t="s">
        <v>13935</v>
      </c>
      <c r="F46927" s="0" t="s">
        <v>13935</v>
      </c>
    </row>
    <row r="46929" customFormat="false" ht="12.8" hidden="false" customHeight="false" outlineLevel="0" collapsed="false">
      <c r="A46929" s="0" t="s">
        <v>16651</v>
      </c>
      <c r="B46929" s="0" t="str">
        <f aca="false">HYPERLINK("https://lindat.mff.cuni.cz/services/teitok/pdtc10/index.php?action=vallex&amp;frame=v-w6610f1", "stvořit (v-w6610f1)")</f>
        <v>stvořit (v-w6610f1)</v>
      </c>
    </row>
    <row r="46930" customFormat="false" ht="12.8" hidden="false" customHeight="false" outlineLevel="0" collapsed="false">
      <c r="B46930" s="0" t="s">
        <v>7</v>
      </c>
      <c r="C46930" s="0" t="s">
        <v>16652</v>
      </c>
      <c r="D46930" s="0" t="s">
        <v>10877</v>
      </c>
      <c r="E46930" s="0" t="s">
        <v>10877</v>
      </c>
      <c r="F46930" s="0" t="s">
        <v>10877</v>
      </c>
    </row>
    <row r="46931" customFormat="false" ht="12.8" hidden="false" customHeight="false" outlineLevel="0" collapsed="false">
      <c r="B46931" s="0" t="s">
        <v>14</v>
      </c>
      <c r="C46931" s="0" t="s">
        <v>7144</v>
      </c>
      <c r="D46931" s="0" t="s">
        <v>10879</v>
      </c>
      <c r="E46931" s="0" t="s">
        <v>10879</v>
      </c>
      <c r="F46931" s="0" t="s">
        <v>10879</v>
      </c>
    </row>
    <row r="46932" customFormat="false" ht="12.8" hidden="false" customHeight="false" outlineLevel="0" collapsed="false">
      <c r="B46932" s="0" t="s">
        <v>35</v>
      </c>
      <c r="C46932" s="0" t="s">
        <v>8048</v>
      </c>
      <c r="D46932" s="0" t="s">
        <v>10746</v>
      </c>
      <c r="E46932" s="0" t="s">
        <v>10746</v>
      </c>
      <c r="F46932" s="0" t="s">
        <v>10746</v>
      </c>
    </row>
    <row r="46934" customFormat="false" ht="12.8" hidden="false" customHeight="false" outlineLevel="0" collapsed="false">
      <c r="A46934" s="0" t="s">
        <v>16653</v>
      </c>
      <c r="B46934" s="0" t="str">
        <f aca="false">HYPERLINK("https://lindat.mff.cuni.cz/services/teitok/pdtc10/index.php?action=vallex&amp;frame=v-w10598f2", "stvrdit (v-w10598f2)")</f>
        <v>stvrdit (v-w10598f2)</v>
      </c>
    </row>
    <row r="46935" customFormat="false" ht="12.8" hidden="false" customHeight="false" outlineLevel="0" collapsed="false">
      <c r="B46935" s="0" t="s">
        <v>7</v>
      </c>
      <c r="C46935" s="0" t="s">
        <v>10888</v>
      </c>
      <c r="D46935" s="0" t="s">
        <v>158</v>
      </c>
      <c r="E46935" s="0" t="s">
        <v>158</v>
      </c>
      <c r="F46935" s="0" t="s">
        <v>158</v>
      </c>
    </row>
    <row r="46936" customFormat="false" ht="12.8" hidden="false" customHeight="false" outlineLevel="0" collapsed="false">
      <c r="B46936" s="0" t="s">
        <v>2573</v>
      </c>
      <c r="C46936" s="0" t="s">
        <v>3965</v>
      </c>
      <c r="D46936" s="0" t="s">
        <v>160</v>
      </c>
      <c r="E46936" s="0" t="s">
        <v>160</v>
      </c>
      <c r="F46936" s="0" t="s">
        <v>160</v>
      </c>
    </row>
    <row r="46937" customFormat="false" ht="12.8" hidden="false" customHeight="false" outlineLevel="0" collapsed="false">
      <c r="B46937" s="0" t="s">
        <v>106</v>
      </c>
      <c r="D46937" s="0" t="s">
        <v>1843</v>
      </c>
      <c r="E46937" s="0" t="s">
        <v>1843</v>
      </c>
      <c r="F46937" s="0" t="s">
        <v>1843</v>
      </c>
    </row>
    <row r="46939" customFormat="false" ht="12.8" hidden="false" customHeight="false" outlineLevel="0" collapsed="false">
      <c r="A46939" s="0" t="s">
        <v>16654</v>
      </c>
      <c r="B46939" s="0" t="str">
        <f aca="false">HYPERLINK("https://lindat.mff.cuni.cz/services/teitok/pdtc10/index.php?action=vallex&amp;frame=v-w6612f1", "stvrzovat (v-w6612f1)")</f>
        <v>stvrzovat (v-w6612f1)</v>
      </c>
    </row>
    <row r="46940" customFormat="false" ht="12.8" hidden="false" customHeight="false" outlineLevel="0" collapsed="false">
      <c r="B46940" s="0" t="s">
        <v>7</v>
      </c>
      <c r="D46940" s="0" t="s">
        <v>158</v>
      </c>
      <c r="E46940" s="0" t="s">
        <v>158</v>
      </c>
      <c r="F46940" s="0" t="s">
        <v>158</v>
      </c>
    </row>
    <row r="46941" customFormat="false" ht="12.8" hidden="false" customHeight="false" outlineLevel="0" collapsed="false">
      <c r="B46941" s="0" t="s">
        <v>2573</v>
      </c>
      <c r="D46941" s="0" t="s">
        <v>160</v>
      </c>
      <c r="E46941" s="0" t="s">
        <v>160</v>
      </c>
      <c r="F46941" s="0" t="s">
        <v>160</v>
      </c>
    </row>
    <row r="46942" customFormat="false" ht="12.8" hidden="false" customHeight="false" outlineLevel="0" collapsed="false">
      <c r="B46942" s="0" t="s">
        <v>106</v>
      </c>
      <c r="D46942" s="0" t="s">
        <v>1843</v>
      </c>
      <c r="E46942" s="0" t="s">
        <v>1843</v>
      </c>
      <c r="F46942" s="0" t="s">
        <v>1843</v>
      </c>
    </row>
    <row r="46944" customFormat="false" ht="12.8" hidden="false" customHeight="false" outlineLevel="0" collapsed="false">
      <c r="A46944" s="0" t="s">
        <v>16655</v>
      </c>
      <c r="B46944" s="0" t="str">
        <f aca="false">HYPERLINK("https://lindat.mff.cuni.cz/services/teitok/pdtc10/index.php?action=vallex&amp;frame=v-w6613f2_ZU", "stydět se (v-w6613f2_ZU)")</f>
        <v>stydět se (v-w6613f2_ZU)</v>
      </c>
    </row>
    <row r="46945" customFormat="false" ht="12.8" hidden="false" customHeight="false" outlineLevel="0" collapsed="false">
      <c r="B46945" s="0" t="s">
        <v>7</v>
      </c>
    </row>
    <row r="46946" customFormat="false" ht="12.8" hidden="false" customHeight="false" outlineLevel="0" collapsed="false">
      <c r="B46946" s="0" t="s">
        <v>16656</v>
      </c>
    </row>
    <row r="46948" customFormat="false" ht="12.8" hidden="false" customHeight="false" outlineLevel="0" collapsed="false">
      <c r="A46948" s="0" t="s">
        <v>16655</v>
      </c>
      <c r="B46948" s="0" t="str">
        <f aca="false">HYPERLINK("https://lindat.mff.cuni.cz/services/teitok/pdtc10/index.php?action=vallex&amp;frame=v-w6613f1", "stydět se (v-w6613f1) - substituted with v-w6613f2_ZU")</f>
        <v>stydět se (v-w6613f1) - substituted with v-w6613f2_ZU</v>
      </c>
    </row>
    <row r="46949" customFormat="false" ht="12.8" hidden="false" customHeight="false" outlineLevel="0" collapsed="false">
      <c r="B46949" s="0" t="s">
        <v>7</v>
      </c>
    </row>
    <row r="46950" customFormat="false" ht="12.8" hidden="false" customHeight="false" outlineLevel="0" collapsed="false">
      <c r="B46950" s="0" t="s">
        <v>16656</v>
      </c>
    </row>
    <row r="46952" customFormat="false" ht="12.8" hidden="false" customHeight="false" outlineLevel="0" collapsed="false">
      <c r="A46952" s="0" t="s">
        <v>16657</v>
      </c>
      <c r="B46952" s="0" t="str">
        <f aca="false">HYPERLINK("https://lindat.mff.cuni.cz/services/teitok/pdtc10/index.php?action=vallex&amp;frame=v-w6466f4_ZU", "stáhnout (v-w6466f4_ZU)")</f>
        <v>stáhnout (v-w6466f4_ZU)</v>
      </c>
    </row>
    <row r="46953" customFormat="false" ht="12.8" hidden="false" customHeight="false" outlineLevel="0" collapsed="false">
      <c r="B46953" s="0" t="s">
        <v>7</v>
      </c>
      <c r="C46953" s="0" t="s">
        <v>113</v>
      </c>
    </row>
    <row r="46954" customFormat="false" ht="12.8" hidden="false" customHeight="false" outlineLevel="0" collapsed="false">
      <c r="B46954" s="0" t="s">
        <v>14</v>
      </c>
      <c r="C46954" s="0" t="s">
        <v>74</v>
      </c>
    </row>
    <row r="46955" customFormat="false" ht="12.8" hidden="false" customHeight="false" outlineLevel="0" collapsed="false">
      <c r="B46955" s="0" t="s">
        <v>35</v>
      </c>
    </row>
    <row r="46956" customFormat="false" ht="12.8" hidden="false" customHeight="false" outlineLevel="0" collapsed="false">
      <c r="B46956" s="0" t="s">
        <v>84</v>
      </c>
    </row>
    <row r="46958" customFormat="false" ht="12.8" hidden="false" customHeight="false" outlineLevel="0" collapsed="false">
      <c r="A46958" s="0" t="s">
        <v>16658</v>
      </c>
      <c r="B46958" s="0" t="str">
        <f aca="false">HYPERLINK("https://lindat.mff.cuni.cz/services/teitok/pdtc10/index.php?action=vallex&amp;frame=v-w6466f1", "stáhnout (v-w6466f1)")</f>
        <v>stáhnout (v-w6466f1)</v>
      </c>
    </row>
    <row r="46959" customFormat="false" ht="12.8" hidden="false" customHeight="false" outlineLevel="0" collapsed="false">
      <c r="B46959" s="0" t="s">
        <v>7</v>
      </c>
      <c r="C46959" s="0" t="s">
        <v>16659</v>
      </c>
      <c r="D46959" s="0" t="s">
        <v>3664</v>
      </c>
      <c r="E46959" s="0" t="s">
        <v>3664</v>
      </c>
      <c r="F46959" s="0" t="s">
        <v>3664</v>
      </c>
    </row>
    <row r="46960" customFormat="false" ht="12.8" hidden="false" customHeight="false" outlineLevel="0" collapsed="false">
      <c r="B46960" s="0" t="s">
        <v>14</v>
      </c>
      <c r="C46960" s="0" t="s">
        <v>16660</v>
      </c>
      <c r="D46960" s="0" t="s">
        <v>8571</v>
      </c>
      <c r="E46960" s="0" t="s">
        <v>8571</v>
      </c>
      <c r="F46960" s="0" t="s">
        <v>8571</v>
      </c>
    </row>
    <row r="46961" customFormat="false" ht="12.8" hidden="false" customHeight="false" outlineLevel="0" collapsed="false">
      <c r="B46961" s="0" t="s">
        <v>459</v>
      </c>
      <c r="C46961" s="0" t="s">
        <v>16661</v>
      </c>
    </row>
    <row r="46963" customFormat="false" ht="12.8" hidden="false" customHeight="false" outlineLevel="0" collapsed="false">
      <c r="A46963" s="0" t="s">
        <v>16662</v>
      </c>
      <c r="B46963" s="0" t="str">
        <f aca="false">HYPERLINK("https://lindat.mff.cuni.cz/services/teitok/pdtc10/index.php?action=vallex&amp;frame=v-w6466f3_ZU", "stáhnout (v-w6466f3_ZU)")</f>
        <v>stáhnout (v-w6466f3_ZU)</v>
      </c>
    </row>
    <row r="46964" customFormat="false" ht="12.8" hidden="false" customHeight="false" outlineLevel="0" collapsed="false">
      <c r="B46964" s="0" t="s">
        <v>7</v>
      </c>
      <c r="C46964" s="0" t="s">
        <v>88</v>
      </c>
    </row>
    <row r="46965" customFormat="false" ht="12.8" hidden="false" customHeight="false" outlineLevel="0" collapsed="false">
      <c r="B46965" s="0" t="s">
        <v>14</v>
      </c>
      <c r="C46965" s="0" t="s">
        <v>1264</v>
      </c>
    </row>
    <row r="46966" customFormat="false" ht="12.8" hidden="false" customHeight="false" outlineLevel="0" collapsed="false">
      <c r="B46966" s="0" t="s">
        <v>279</v>
      </c>
    </row>
    <row r="46968" customFormat="false" ht="12.8" hidden="false" customHeight="false" outlineLevel="0" collapsed="false">
      <c r="A46968" s="0" t="s">
        <v>16663</v>
      </c>
      <c r="B46968" s="0" t="str">
        <f aca="false">HYPERLINK("https://lindat.mff.cuni.cz/services/teitok/pdtc10/index.php?action=vallex&amp;frame=v-w6466f5_ZU", "stáhnout (v-w6466f5_ZU)")</f>
        <v>stáhnout (v-w6466f5_ZU)</v>
      </c>
    </row>
    <row r="46969" customFormat="false" ht="12.8" hidden="false" customHeight="false" outlineLevel="0" collapsed="false">
      <c r="B46969" s="0" t="s">
        <v>7</v>
      </c>
      <c r="C46969" s="0" t="s">
        <v>108</v>
      </c>
    </row>
    <row r="46970" customFormat="false" ht="12.8" hidden="false" customHeight="false" outlineLevel="0" collapsed="false">
      <c r="B46970" s="0" t="s">
        <v>14</v>
      </c>
      <c r="C46970" s="0" t="s">
        <v>625</v>
      </c>
    </row>
    <row r="46971" customFormat="false" ht="12.8" hidden="false" customHeight="false" outlineLevel="0" collapsed="false">
      <c r="B46971" s="0" t="s">
        <v>338</v>
      </c>
      <c r="C46971" s="0" t="s">
        <v>16664</v>
      </c>
    </row>
    <row r="46973" customFormat="false" ht="12.8" hidden="false" customHeight="false" outlineLevel="0" collapsed="false">
      <c r="A46973" s="0" t="s">
        <v>16665</v>
      </c>
      <c r="B46973" s="0" t="str">
        <f aca="false">HYPERLINK("https://lindat.mff.cuni.cz/services/teitok/pdtc10/index.php?action=vallex&amp;frame=v-w6466f6_ZU", "stáhnout (v-w6466f6_ZU)")</f>
        <v>stáhnout (v-w6466f6_ZU)</v>
      </c>
    </row>
    <row r="46974" customFormat="false" ht="12.8" hidden="false" customHeight="false" outlineLevel="0" collapsed="false">
      <c r="B46974" s="0" t="s">
        <v>7</v>
      </c>
      <c r="C46974" s="0" t="s">
        <v>2256</v>
      </c>
      <c r="D46974" s="0" t="s">
        <v>7397</v>
      </c>
      <c r="E46974" s="0" t="s">
        <v>7397</v>
      </c>
      <c r="F46974" s="0" t="s">
        <v>7397</v>
      </c>
    </row>
    <row r="46975" customFormat="false" ht="12.8" hidden="false" customHeight="false" outlineLevel="0" collapsed="false">
      <c r="B46975" s="0" t="s">
        <v>14</v>
      </c>
      <c r="C46975" s="0" t="s">
        <v>16666</v>
      </c>
      <c r="D46975" s="0" t="s">
        <v>7398</v>
      </c>
      <c r="E46975" s="0" t="s">
        <v>7398</v>
      </c>
      <c r="F46975" s="0" t="s">
        <v>7398</v>
      </c>
    </row>
    <row r="46977" customFormat="false" ht="12.8" hidden="false" customHeight="false" outlineLevel="0" collapsed="false">
      <c r="A46977" s="0" t="s">
        <v>16665</v>
      </c>
      <c r="B46977" s="0" t="str">
        <f aca="false">HYPERLINK("https://lindat.mff.cuni.cz/services/teitok/pdtc10/index.php?action=vallex&amp;frame=v-w6466f2_ZU", "stáhnout (v-w6466f2_ZU) - substituted with v-w6466f6_ZU")</f>
        <v>stáhnout (v-w6466f2_ZU) - substituted with v-w6466f6_ZU</v>
      </c>
    </row>
    <row r="46978" customFormat="false" ht="12.8" hidden="false" customHeight="false" outlineLevel="0" collapsed="false">
      <c r="B46978" s="0" t="s">
        <v>7</v>
      </c>
      <c r="C46978" s="0" t="s">
        <v>4783</v>
      </c>
    </row>
    <row r="46979" customFormat="false" ht="12.8" hidden="false" customHeight="false" outlineLevel="0" collapsed="false">
      <c r="B46979" s="0" t="s">
        <v>14</v>
      </c>
      <c r="C46979" s="0" t="s">
        <v>16440</v>
      </c>
    </row>
    <row r="46981" customFormat="false" ht="12.8" hidden="false" customHeight="false" outlineLevel="0" collapsed="false">
      <c r="A46981" s="0" t="s">
        <v>16667</v>
      </c>
      <c r="B46981" s="0" t="str">
        <f aca="false">HYPERLINK("https://lindat.mff.cuni.cz/services/teitok/pdtc10/index.php?action=vallex&amp;frame=v-w6466hsa_496", "stáhnout (v-w6466hsa_496)")</f>
        <v>stáhnout (v-w6466hsa_496)</v>
      </c>
    </row>
    <row r="46982" customFormat="false" ht="12.8" hidden="false" customHeight="false" outlineLevel="0" collapsed="false">
      <c r="B46982" s="0" t="s">
        <v>7</v>
      </c>
      <c r="C46982" s="0" t="s">
        <v>191</v>
      </c>
      <c r="D46982" s="0" t="s">
        <v>191</v>
      </c>
      <c r="E46982" s="0" t="s">
        <v>191</v>
      </c>
      <c r="F46982" s="0" t="s">
        <v>191</v>
      </c>
    </row>
    <row r="46983" customFormat="false" ht="12.8" hidden="false" customHeight="false" outlineLevel="0" collapsed="false">
      <c r="B46983" s="0" t="s">
        <v>14</v>
      </c>
      <c r="C46983" s="0" t="s">
        <v>16668</v>
      </c>
      <c r="D46983" s="0" t="s">
        <v>155</v>
      </c>
      <c r="E46983" s="0" t="s">
        <v>155</v>
      </c>
      <c r="F46983" s="0" t="s">
        <v>155</v>
      </c>
    </row>
    <row r="46985" customFormat="false" ht="12.8" hidden="false" customHeight="false" outlineLevel="0" collapsed="false">
      <c r="A46985" s="0" t="s">
        <v>16669</v>
      </c>
      <c r="B46985" s="0" t="str">
        <f aca="false">HYPERLINK("https://lindat.mff.cuni.cz/services/teitok/pdtc10/index.php?action=vallex&amp;frame=v-w6466f7_ZU", "stáhnout (v-w6466f7_ZU)")</f>
        <v>stáhnout (v-w6466f7_ZU)</v>
      </c>
    </row>
    <row r="46986" customFormat="false" ht="12.8" hidden="false" customHeight="false" outlineLevel="0" collapsed="false">
      <c r="B46986" s="0" t="s">
        <v>7</v>
      </c>
    </row>
    <row r="46987" customFormat="false" ht="12.8" hidden="false" customHeight="false" outlineLevel="0" collapsed="false">
      <c r="B46987" s="0" t="s">
        <v>14</v>
      </c>
    </row>
    <row r="46988" customFormat="false" ht="12.8" hidden="false" customHeight="false" outlineLevel="0" collapsed="false">
      <c r="B46988" s="0" t="s">
        <v>16670</v>
      </c>
    </row>
    <row r="46990" customFormat="false" ht="12.8" hidden="false" customHeight="false" outlineLevel="0" collapsed="false">
      <c r="A46990" s="0" t="s">
        <v>16669</v>
      </c>
      <c r="B46990" s="0" t="str">
        <f aca="false">HYPERLINK("https://lindat.mff.cuni.cz/services/teitok/pdtc10/index.php?action=vallex&amp;frame=v-w6466hsa_497", "stáhnout (v-w6466hsa_497) - substituted with v-w6466f7_ZU")</f>
        <v>stáhnout (v-w6466hsa_497) - substituted with v-w6466f7_ZU</v>
      </c>
    </row>
    <row r="46991" customFormat="false" ht="12.8" hidden="false" customHeight="false" outlineLevel="0" collapsed="false">
      <c r="B46991" s="0" t="s">
        <v>7</v>
      </c>
    </row>
    <row r="46992" customFormat="false" ht="12.8" hidden="false" customHeight="false" outlineLevel="0" collapsed="false">
      <c r="B46992" s="0" t="s">
        <v>14</v>
      </c>
    </row>
    <row r="46993" customFormat="false" ht="12.8" hidden="false" customHeight="false" outlineLevel="0" collapsed="false">
      <c r="B46993" s="0" t="s">
        <v>16670</v>
      </c>
    </row>
    <row r="46995" customFormat="false" ht="12.8" hidden="false" customHeight="false" outlineLevel="0" collapsed="false">
      <c r="A46995" s="0" t="s">
        <v>16671</v>
      </c>
      <c r="B46995" s="0" t="str">
        <f aca="false">HYPERLINK("https://lindat.mff.cuni.cz/services/teitok/pdtc10/index.php?action=vallex&amp;frame=v-w6466f8_ZU", "stáhnout (v-w6466f8_ZU)")</f>
        <v>stáhnout (v-w6466f8_ZU)</v>
      </c>
    </row>
    <row r="46996" customFormat="false" ht="12.8" hidden="false" customHeight="false" outlineLevel="0" collapsed="false">
      <c r="B46996" s="0" t="s">
        <v>7</v>
      </c>
    </row>
    <row r="46997" customFormat="false" ht="12.8" hidden="false" customHeight="false" outlineLevel="0" collapsed="false">
      <c r="B46997" s="0" t="s">
        <v>14</v>
      </c>
    </row>
    <row r="46998" customFormat="false" ht="12.8" hidden="false" customHeight="false" outlineLevel="0" collapsed="false">
      <c r="B46998" s="0" t="s">
        <v>35</v>
      </c>
    </row>
    <row r="47000" customFormat="false" ht="12.8" hidden="false" customHeight="false" outlineLevel="0" collapsed="false">
      <c r="A47000" s="0" t="s">
        <v>16672</v>
      </c>
      <c r="B47000" s="0" t="str">
        <f aca="false">HYPERLINK("https://lindat.mff.cuni.cz/services/teitok/pdtc10/index.php?action=vallex&amp;frame=v-w6466f9_ZU", "stáhnout (v-w6466f9_ZU)")</f>
        <v>stáhnout (v-w6466f9_ZU)</v>
      </c>
    </row>
    <row r="47001" customFormat="false" ht="12.8" hidden="false" customHeight="false" outlineLevel="0" collapsed="false">
      <c r="B47001" s="0" t="s">
        <v>7</v>
      </c>
    </row>
    <row r="47002" customFormat="false" ht="12.8" hidden="false" customHeight="false" outlineLevel="0" collapsed="false">
      <c r="B47002" s="0" t="s">
        <v>14</v>
      </c>
    </row>
    <row r="47003" customFormat="false" ht="12.8" hidden="false" customHeight="false" outlineLevel="0" collapsed="false">
      <c r="B47003" s="0" t="s">
        <v>5382</v>
      </c>
    </row>
    <row r="47005" customFormat="false" ht="12.8" hidden="false" customHeight="false" outlineLevel="0" collapsed="false">
      <c r="A47005" s="0" t="s">
        <v>16673</v>
      </c>
      <c r="B47005" s="0" t="str">
        <f aca="false">HYPERLINK("https://lindat.mff.cuni.cz/services/teitok/pdtc10/index.php?action=vallex&amp;frame=v-w6467f1", "stáhnout se (v-w6467f1)")</f>
        <v>stáhnout se (v-w6467f1)</v>
      </c>
    </row>
    <row r="47006" customFormat="false" ht="12.8" hidden="false" customHeight="false" outlineLevel="0" collapsed="false">
      <c r="B47006" s="0" t="s">
        <v>7</v>
      </c>
      <c r="C47006" s="0" t="s">
        <v>16674</v>
      </c>
      <c r="D47006" s="0" t="s">
        <v>1582</v>
      </c>
      <c r="E47006" s="0" t="s">
        <v>1582</v>
      </c>
      <c r="F47006" s="0" t="s">
        <v>1582</v>
      </c>
    </row>
    <row r="47007" customFormat="false" ht="12.8" hidden="false" customHeight="false" outlineLevel="0" collapsed="false">
      <c r="B47007" s="0" t="s">
        <v>459</v>
      </c>
      <c r="C47007" s="0" t="s">
        <v>16675</v>
      </c>
      <c r="D47007" s="0" t="s">
        <v>1583</v>
      </c>
      <c r="E47007" s="0" t="s">
        <v>1583</v>
      </c>
      <c r="F47007" s="0" t="s">
        <v>1583</v>
      </c>
    </row>
    <row r="47009" customFormat="false" ht="12.8" hidden="false" customHeight="false" outlineLevel="0" collapsed="false">
      <c r="A47009" s="0" t="s">
        <v>16676</v>
      </c>
      <c r="B47009" s="0" t="str">
        <f aca="false">HYPERLINK("https://lindat.mff.cuni.cz/services/teitok/pdtc10/index.php?action=vallex&amp;frame=v-w6467f2", "stáhnout se (v-w6467f2)")</f>
        <v>stáhnout se (v-w6467f2)</v>
      </c>
    </row>
    <row r="47010" customFormat="false" ht="12.8" hidden="false" customHeight="false" outlineLevel="0" collapsed="false">
      <c r="B47010" s="0" t="s">
        <v>7</v>
      </c>
      <c r="C47010" s="0" t="s">
        <v>6767</v>
      </c>
    </row>
    <row r="47011" customFormat="false" ht="12.8" hidden="false" customHeight="false" outlineLevel="0" collapsed="false">
      <c r="B47011" s="0" t="s">
        <v>124</v>
      </c>
      <c r="C47011" s="0" t="s">
        <v>16677</v>
      </c>
    </row>
    <row r="47013" customFormat="false" ht="12.8" hidden="false" customHeight="false" outlineLevel="0" collapsed="false">
      <c r="A47013" s="0" t="s">
        <v>16678</v>
      </c>
      <c r="B47013" s="0" t="str">
        <f aca="false">HYPERLINK("https://lindat.mff.cuni.cz/services/teitok/pdtc10/index.php?action=vallex&amp;frame=v-w6467f3_ZU", "stáhnout se (v-w6467f3_ZU)")</f>
        <v>stáhnout se (v-w6467f3_ZU)</v>
      </c>
    </row>
    <row r="47014" customFormat="false" ht="12.8" hidden="false" customHeight="false" outlineLevel="0" collapsed="false">
      <c r="B47014" s="0" t="s">
        <v>7</v>
      </c>
    </row>
    <row r="47016" customFormat="false" ht="12.8" hidden="false" customHeight="false" outlineLevel="0" collapsed="false">
      <c r="A47016" s="0" t="s">
        <v>16679</v>
      </c>
      <c r="B47016" s="0" t="str">
        <f aca="false">HYPERLINK("https://lindat.mff.cuni.cz/services/teitok/pdtc10/index.php?action=vallex&amp;frame=v-w6484f1", "stárnout (v-w6484f1)")</f>
        <v>stárnout (v-w6484f1)</v>
      </c>
    </row>
    <row r="47017" customFormat="false" ht="12.8" hidden="false" customHeight="false" outlineLevel="0" collapsed="false">
      <c r="B47017" s="0" t="s">
        <v>7</v>
      </c>
      <c r="C47017" s="0" t="s">
        <v>2293</v>
      </c>
      <c r="D47017" s="0" t="s">
        <v>8473</v>
      </c>
      <c r="E47017" s="0" t="s">
        <v>8473</v>
      </c>
      <c r="F47017" s="0" t="s">
        <v>8473</v>
      </c>
    </row>
    <row r="47019" customFormat="false" ht="12.8" hidden="false" customHeight="false" outlineLevel="0" collapsed="false">
      <c r="A47019" s="0" t="s">
        <v>16680</v>
      </c>
      <c r="B47019" s="0" t="str">
        <f aca="false">HYPERLINK("https://lindat.mff.cuni.cz/services/teitok/pdtc10/index.php?action=vallex&amp;frame=v-w6492f3", "stát (v-w6492f3)")</f>
        <v>stát (v-w6492f3)</v>
      </c>
    </row>
    <row r="47020" customFormat="false" ht="12.8" hidden="false" customHeight="false" outlineLevel="0" collapsed="false">
      <c r="B47020" s="0" t="s">
        <v>265</v>
      </c>
      <c r="C47020" s="0" t="s">
        <v>16681</v>
      </c>
      <c r="D47020" s="0" t="s">
        <v>13484</v>
      </c>
      <c r="E47020" s="0" t="s">
        <v>13484</v>
      </c>
      <c r="F47020" s="0" t="s">
        <v>13484</v>
      </c>
    </row>
    <row r="47021" customFormat="false" ht="12.8" hidden="false" customHeight="false" outlineLevel="0" collapsed="false">
      <c r="B47021" s="0" t="s">
        <v>14</v>
      </c>
      <c r="C47021" s="0" t="s">
        <v>16682</v>
      </c>
      <c r="D47021" s="0" t="s">
        <v>13485</v>
      </c>
      <c r="E47021" s="0" t="s">
        <v>13485</v>
      </c>
      <c r="F47021" s="0" t="s">
        <v>13485</v>
      </c>
    </row>
    <row r="47022" customFormat="false" ht="12.8" hidden="false" customHeight="false" outlineLevel="0" collapsed="false">
      <c r="B47022" s="0" t="s">
        <v>2617</v>
      </c>
      <c r="C47022" s="0" t="s">
        <v>16683</v>
      </c>
      <c r="D47022" s="0" t="s">
        <v>13486</v>
      </c>
      <c r="E47022" s="0" t="s">
        <v>13486</v>
      </c>
      <c r="F47022" s="0" t="s">
        <v>13486</v>
      </c>
    </row>
    <row r="47024" customFormat="false" ht="12.8" hidden="false" customHeight="false" outlineLevel="0" collapsed="false">
      <c r="A47024" s="0" t="s">
        <v>16684</v>
      </c>
      <c r="B47024" s="0" t="str">
        <f aca="false">HYPERLINK("https://lindat.mff.cuni.cz/services/teitok/pdtc10/index.php?action=vallex&amp;frame=v-w6492f4", "stát (v-w6492f4)")</f>
        <v>stát (v-w6492f4)</v>
      </c>
    </row>
    <row r="47025" customFormat="false" ht="12.8" hidden="false" customHeight="false" outlineLevel="0" collapsed="false">
      <c r="B47025" s="0" t="s">
        <v>16685</v>
      </c>
      <c r="C47025" s="0" t="s">
        <v>498</v>
      </c>
    </row>
    <row r="47026" customFormat="false" ht="12.8" hidden="false" customHeight="false" outlineLevel="0" collapsed="false">
      <c r="B47026" s="0" t="s">
        <v>491</v>
      </c>
    </row>
    <row r="47027" customFormat="false" ht="12.8" hidden="false" customHeight="false" outlineLevel="0" collapsed="false">
      <c r="B47027" s="0" t="s">
        <v>106</v>
      </c>
    </row>
    <row r="47029" customFormat="false" ht="12.8" hidden="false" customHeight="false" outlineLevel="0" collapsed="false">
      <c r="A47029" s="0" t="s">
        <v>16686</v>
      </c>
      <c r="B47029" s="0" t="str">
        <f aca="false">HYPERLINK("https://lindat.mff.cuni.cz/services/teitok/pdtc10/index.php?action=vallex&amp;frame=v-w6492f15", "stát (v-w6492f15)")</f>
        <v>stát (v-w6492f15)</v>
      </c>
    </row>
    <row r="47030" customFormat="false" ht="12.8" hidden="false" customHeight="false" outlineLevel="0" collapsed="false">
      <c r="B47030" s="0" t="s">
        <v>7</v>
      </c>
    </row>
    <row r="47031" customFormat="false" ht="12.8" hidden="false" customHeight="false" outlineLevel="0" collapsed="false">
      <c r="B47031" s="0" t="s">
        <v>14</v>
      </c>
    </row>
    <row r="47033" customFormat="false" ht="12.8" hidden="false" customHeight="false" outlineLevel="0" collapsed="false">
      <c r="A47033" s="0" t="s">
        <v>16687</v>
      </c>
      <c r="B47033" s="0" t="str">
        <f aca="false">HYPERLINK("https://lindat.mff.cuni.cz/services/teitok/pdtc10/index.php?action=vallex&amp;frame=v-w6492f9", "stát (v-w6492f9)")</f>
        <v>stát (v-w6492f9)</v>
      </c>
    </row>
    <row r="47034" customFormat="false" ht="12.8" hidden="false" customHeight="false" outlineLevel="0" collapsed="false">
      <c r="B47034" s="0" t="s">
        <v>7</v>
      </c>
    </row>
    <row r="47035" customFormat="false" ht="12.8" hidden="false" customHeight="false" outlineLevel="0" collapsed="false">
      <c r="B47035" s="0" t="s">
        <v>220</v>
      </c>
    </row>
    <row r="47037" customFormat="false" ht="12.8" hidden="false" customHeight="false" outlineLevel="0" collapsed="false">
      <c r="A47037" s="0" t="s">
        <v>16688</v>
      </c>
      <c r="B47037" s="0" t="str">
        <f aca="false">HYPERLINK("https://lindat.mff.cuni.cz/services/teitok/pdtc10/index.php?action=vallex&amp;frame=v-w6492f13", "stát (v-w6492f13)")</f>
        <v>stát (v-w6492f13)</v>
      </c>
    </row>
    <row r="47038" customFormat="false" ht="12.8" hidden="false" customHeight="false" outlineLevel="0" collapsed="false">
      <c r="B47038" s="0" t="s">
        <v>7</v>
      </c>
      <c r="C47038" s="0" t="s">
        <v>1715</v>
      </c>
      <c r="D47038" s="0" t="s">
        <v>1715</v>
      </c>
      <c r="E47038" s="0" t="s">
        <v>1715</v>
      </c>
      <c r="F47038" s="0" t="s">
        <v>1715</v>
      </c>
    </row>
    <row r="47039" customFormat="false" ht="12.8" hidden="false" customHeight="false" outlineLevel="0" collapsed="false">
      <c r="B47039" s="0" t="s">
        <v>220</v>
      </c>
      <c r="C47039" s="0" t="s">
        <v>5150</v>
      </c>
      <c r="D47039" s="0" t="s">
        <v>5150</v>
      </c>
      <c r="E47039" s="0" t="s">
        <v>5150</v>
      </c>
      <c r="F47039" s="0" t="s">
        <v>5150</v>
      </c>
    </row>
    <row r="47041" customFormat="false" ht="12.8" hidden="false" customHeight="false" outlineLevel="0" collapsed="false">
      <c r="A47041" s="0" t="s">
        <v>16689</v>
      </c>
      <c r="B47041" s="0" t="str">
        <f aca="false">HYPERLINK("https://lindat.mff.cuni.cz/services/teitok/pdtc10/index.php?action=vallex&amp;frame=v-w6492f8", "stát (v-w6492f8)")</f>
        <v>stát (v-w6492f8)</v>
      </c>
    </row>
    <row r="47042" customFormat="false" ht="12.8" hidden="false" customHeight="false" outlineLevel="0" collapsed="false">
      <c r="B47042" s="0" t="s">
        <v>7</v>
      </c>
      <c r="F47042" s="0" t="s">
        <v>543</v>
      </c>
    </row>
    <row r="47043" customFormat="false" ht="12.8" hidden="false" customHeight="false" outlineLevel="0" collapsed="false">
      <c r="B47043" s="0" t="s">
        <v>615</v>
      </c>
      <c r="F47043" s="0" t="s">
        <v>545</v>
      </c>
    </row>
    <row r="47045" customFormat="false" ht="12.8" hidden="false" customHeight="false" outlineLevel="0" collapsed="false">
      <c r="A47045" s="0" t="s">
        <v>16690</v>
      </c>
      <c r="B47045" s="0" t="str">
        <f aca="false">HYPERLINK("https://lindat.mff.cuni.cz/services/teitok/pdtc10/index.php?action=vallex&amp;frame=v-w6492f12", "stát (v-w6492f12)")</f>
        <v>stát (v-w6492f12)</v>
      </c>
    </row>
    <row r="47046" customFormat="false" ht="12.8" hidden="false" customHeight="false" outlineLevel="0" collapsed="false">
      <c r="B47046" s="0" t="s">
        <v>7</v>
      </c>
      <c r="C47046" s="0" t="s">
        <v>310</v>
      </c>
      <c r="D47046" s="0" t="s">
        <v>310</v>
      </c>
      <c r="E47046" s="0" t="s">
        <v>310</v>
      </c>
      <c r="F47046" s="0" t="s">
        <v>310</v>
      </c>
    </row>
    <row r="47047" customFormat="false" ht="12.8" hidden="false" customHeight="false" outlineLevel="0" collapsed="false">
      <c r="B47047" s="0" t="s">
        <v>6120</v>
      </c>
      <c r="C47047" s="0" t="s">
        <v>313</v>
      </c>
      <c r="D47047" s="0" t="s">
        <v>313</v>
      </c>
      <c r="E47047" s="0" t="s">
        <v>313</v>
      </c>
      <c r="F47047" s="0" t="s">
        <v>313</v>
      </c>
    </row>
    <row r="47049" customFormat="false" ht="12.8" hidden="false" customHeight="false" outlineLevel="0" collapsed="false">
      <c r="A47049" s="0" t="s">
        <v>16691</v>
      </c>
      <c r="B47049" s="0" t="str">
        <f aca="false">HYPERLINK("https://lindat.mff.cuni.cz/services/teitok/pdtc10/index.php?action=vallex&amp;frame=v-w6492f14", "stát (v-w6492f14)")</f>
        <v>stát (v-w6492f14)</v>
      </c>
    </row>
    <row r="47050" customFormat="false" ht="12.8" hidden="false" customHeight="false" outlineLevel="0" collapsed="false">
      <c r="B47050" s="0" t="s">
        <v>7</v>
      </c>
    </row>
    <row r="47051" customFormat="false" ht="12.8" hidden="false" customHeight="false" outlineLevel="0" collapsed="false">
      <c r="B47051" s="0" t="s">
        <v>548</v>
      </c>
    </row>
    <row r="47053" customFormat="false" ht="12.8" hidden="false" customHeight="false" outlineLevel="0" collapsed="false">
      <c r="A47053" s="0" t="s">
        <v>16692</v>
      </c>
      <c r="B47053" s="0" t="str">
        <f aca="false">HYPERLINK("https://lindat.mff.cuni.cz/services/teitok/pdtc10/index.php?action=vallex&amp;frame=v-w6492hsa_77", "stát (v-w6492hsa_77)")</f>
        <v>stát (v-w6492hsa_77)</v>
      </c>
    </row>
    <row r="47054" customFormat="false" ht="12.8" hidden="false" customHeight="false" outlineLevel="0" collapsed="false">
      <c r="B47054" s="0" t="s">
        <v>7</v>
      </c>
      <c r="C47054" s="0" t="s">
        <v>5274</v>
      </c>
      <c r="D47054" s="0" t="s">
        <v>16693</v>
      </c>
      <c r="E47054" s="0" t="s">
        <v>16693</v>
      </c>
      <c r="F47054" s="0" t="s">
        <v>16694</v>
      </c>
    </row>
    <row r="47055" customFormat="false" ht="12.8" hidden="false" customHeight="false" outlineLevel="0" collapsed="false">
      <c r="B47055" s="0" t="s">
        <v>16695</v>
      </c>
      <c r="C47055" s="0" t="s">
        <v>16696</v>
      </c>
      <c r="D47055" s="0" t="s">
        <v>16697</v>
      </c>
      <c r="E47055" s="0" t="s">
        <v>16697</v>
      </c>
      <c r="F47055" s="0" t="s">
        <v>16698</v>
      </c>
    </row>
    <row r="47057" customFormat="false" ht="12.8" hidden="false" customHeight="false" outlineLevel="0" collapsed="false">
      <c r="A47057" s="0" t="s">
        <v>16692</v>
      </c>
      <c r="B47057" s="0" t="str">
        <f aca="false">HYPERLINK("https://lindat.mff.cuni.cz/services/teitok/pdtc10/index.php?action=vallex&amp;frame=v-w6492f7", "stát (v-w6492f7) - substituted with v-w6492hsa_77")</f>
        <v>stát (v-w6492f7) - substituted with v-w6492hsa_77</v>
      </c>
    </row>
    <row r="47058" customFormat="false" ht="12.8" hidden="false" customHeight="false" outlineLevel="0" collapsed="false">
      <c r="B47058" s="0" t="s">
        <v>7</v>
      </c>
      <c r="C47058" s="0" t="s">
        <v>16699</v>
      </c>
    </row>
    <row r="47059" customFormat="false" ht="12.8" hidden="false" customHeight="false" outlineLevel="0" collapsed="false">
      <c r="B47059" s="0" t="s">
        <v>16695</v>
      </c>
      <c r="C47059" s="0" t="s">
        <v>16700</v>
      </c>
    </row>
    <row r="47061" customFormat="false" ht="12.8" hidden="false" customHeight="false" outlineLevel="0" collapsed="false">
      <c r="A47061" s="0" t="s">
        <v>16701</v>
      </c>
      <c r="B47061" s="0" t="str">
        <f aca="false">HYPERLINK("https://lindat.mff.cuni.cz/services/teitok/pdtc10/index.php?action=vallex&amp;frame=v-w6492f17_ZU", "stát (v-w6492f17_ZU)")</f>
        <v>stát (v-w6492f17_ZU)</v>
      </c>
    </row>
    <row r="47062" customFormat="false" ht="12.8" hidden="false" customHeight="false" outlineLevel="0" collapsed="false">
      <c r="B47062" s="0" t="s">
        <v>7</v>
      </c>
      <c r="C47062" s="0" t="s">
        <v>16702</v>
      </c>
    </row>
    <row r="47063" customFormat="false" ht="12.8" hidden="false" customHeight="false" outlineLevel="0" collapsed="false">
      <c r="B47063" s="0" t="s">
        <v>3928</v>
      </c>
      <c r="C47063" s="0" t="s">
        <v>16703</v>
      </c>
    </row>
    <row r="47065" customFormat="false" ht="12.8" hidden="false" customHeight="false" outlineLevel="0" collapsed="false">
      <c r="A47065" s="0" t="s">
        <v>16704</v>
      </c>
      <c r="B47065" s="0" t="str">
        <f aca="false">HYPERLINK("https://lindat.mff.cuni.cz/services/teitok/pdtc10/index.php?action=vallex&amp;frame=v-w6492f6", "stát (v-w6492f6)")</f>
        <v>stát (v-w6492f6)</v>
      </c>
    </row>
    <row r="47066" customFormat="false" ht="12.8" hidden="false" customHeight="false" outlineLevel="0" collapsed="false">
      <c r="B47066" s="0" t="s">
        <v>16705</v>
      </c>
      <c r="C47066" s="0" t="s">
        <v>16706</v>
      </c>
      <c r="D47066" s="0" t="s">
        <v>5274</v>
      </c>
      <c r="E47066" s="0" t="s">
        <v>5274</v>
      </c>
      <c r="F47066" s="0" t="s">
        <v>5274</v>
      </c>
    </row>
    <row r="47067" customFormat="false" ht="12.8" hidden="false" customHeight="false" outlineLevel="0" collapsed="false">
      <c r="B47067" s="0" t="s">
        <v>11</v>
      </c>
      <c r="C47067" s="0" t="s">
        <v>16707</v>
      </c>
      <c r="D47067" s="0" t="s">
        <v>16455</v>
      </c>
      <c r="E47067" s="0" t="s">
        <v>16455</v>
      </c>
      <c r="F47067" s="0" t="s">
        <v>16455</v>
      </c>
    </row>
    <row r="47069" customFormat="false" ht="12.8" hidden="false" customHeight="false" outlineLevel="0" collapsed="false">
      <c r="A47069" s="0" t="s">
        <v>16708</v>
      </c>
      <c r="B47069" s="0" t="str">
        <f aca="false">HYPERLINK("https://lindat.mff.cuni.cz/services/teitok/pdtc10/index.php?action=vallex&amp;frame=v-w6492f11", "stát (v-w6492f11)")</f>
        <v>stát (v-w6492f11)</v>
      </c>
    </row>
    <row r="47070" customFormat="false" ht="12.8" hidden="false" customHeight="false" outlineLevel="0" collapsed="false">
      <c r="B47070" s="0" t="s">
        <v>7</v>
      </c>
      <c r="C47070" s="0" t="s">
        <v>16709</v>
      </c>
      <c r="D47070" s="0" t="s">
        <v>5274</v>
      </c>
      <c r="E47070" s="0" t="s">
        <v>5274</v>
      </c>
      <c r="F47070" s="0" t="s">
        <v>5274</v>
      </c>
    </row>
    <row r="47071" customFormat="false" ht="12.8" hidden="false" customHeight="false" outlineLevel="0" collapsed="false">
      <c r="B47071" s="0" t="s">
        <v>2804</v>
      </c>
      <c r="C47071" s="0" t="s">
        <v>16710</v>
      </c>
      <c r="D47071" s="0" t="s">
        <v>16455</v>
      </c>
      <c r="E47071" s="0" t="s">
        <v>16455</v>
      </c>
      <c r="F47071" s="0" t="s">
        <v>16455</v>
      </c>
    </row>
    <row r="47073" customFormat="false" ht="12.8" hidden="false" customHeight="false" outlineLevel="0" collapsed="false">
      <c r="A47073" s="0" t="s">
        <v>16711</v>
      </c>
      <c r="B47073" s="0" t="str">
        <f aca="false">HYPERLINK("https://lindat.mff.cuni.cz/services/teitok/pdtc10/index.php?action=vallex&amp;frame=v-w6492f10", "stát (v-w6492f10)")</f>
        <v>stát (v-w6492f10)</v>
      </c>
    </row>
    <row r="47074" customFormat="false" ht="12.8" hidden="false" customHeight="false" outlineLevel="0" collapsed="false">
      <c r="B47074" s="0" t="s">
        <v>7</v>
      </c>
      <c r="C47074" s="0" t="s">
        <v>16712</v>
      </c>
      <c r="D47074" s="0" t="s">
        <v>5274</v>
      </c>
      <c r="E47074" s="0" t="s">
        <v>5274</v>
      </c>
      <c r="F47074" s="0" t="s">
        <v>5274</v>
      </c>
    </row>
    <row r="47075" customFormat="false" ht="12.8" hidden="false" customHeight="false" outlineLevel="0" collapsed="false">
      <c r="B47075" s="0" t="s">
        <v>11</v>
      </c>
      <c r="C47075" s="0" t="s">
        <v>16713</v>
      </c>
      <c r="D47075" s="0" t="s">
        <v>16455</v>
      </c>
      <c r="E47075" s="0" t="s">
        <v>16455</v>
      </c>
      <c r="F47075" s="0" t="s">
        <v>16455</v>
      </c>
    </row>
    <row r="47077" customFormat="false" ht="12.8" hidden="false" customHeight="false" outlineLevel="0" collapsed="false">
      <c r="A47077" s="0" t="s">
        <v>16714</v>
      </c>
      <c r="B47077" s="0" t="str">
        <f aca="false">HYPERLINK("https://lindat.mff.cuni.cz/services/teitok/pdtc10/index.php?action=vallex&amp;frame=v-w6492f1", "stát (v-w6492f1)")</f>
        <v>stát (v-w6492f1)</v>
      </c>
    </row>
    <row r="47078" customFormat="false" ht="12.8" hidden="false" customHeight="false" outlineLevel="0" collapsed="false">
      <c r="B47078" s="0" t="s">
        <v>7</v>
      </c>
      <c r="C47078" s="0" t="s">
        <v>16715</v>
      </c>
      <c r="D47078" s="0" t="s">
        <v>16716</v>
      </c>
      <c r="E47078" s="0" t="s">
        <v>16716</v>
      </c>
      <c r="F47078" s="0" t="s">
        <v>16716</v>
      </c>
    </row>
    <row r="47079" customFormat="false" ht="12.8" hidden="false" customHeight="false" outlineLevel="0" collapsed="false">
      <c r="B47079" s="0" t="s">
        <v>679</v>
      </c>
      <c r="C47079" s="0" t="s">
        <v>16717</v>
      </c>
      <c r="D47079" s="0" t="s">
        <v>16718</v>
      </c>
      <c r="E47079" s="0" t="s">
        <v>16718</v>
      </c>
      <c r="F47079" s="0" t="s">
        <v>16718</v>
      </c>
    </row>
    <row r="47080" customFormat="false" ht="12.8" hidden="false" customHeight="false" outlineLevel="0" collapsed="false">
      <c r="B47080" s="0" t="s">
        <v>297</v>
      </c>
      <c r="C47080" s="0" t="s">
        <v>16719</v>
      </c>
      <c r="D47080" s="0" t="s">
        <v>16719</v>
      </c>
      <c r="E47080" s="0" t="s">
        <v>16719</v>
      </c>
      <c r="F47080" s="0" t="s">
        <v>16719</v>
      </c>
    </row>
    <row r="47082" customFormat="false" ht="12.8" hidden="false" customHeight="false" outlineLevel="0" collapsed="false">
      <c r="A47082" s="0" t="s">
        <v>16720</v>
      </c>
      <c r="B47082" s="0" t="str">
        <f aca="false">HYPERLINK("https://lindat.mff.cuni.cz/services/teitok/pdtc10/index.php?action=vallex&amp;frame=v-w6492f2", "stát (v-w6492f2)")</f>
        <v>stát (v-w6492f2)</v>
      </c>
    </row>
    <row r="47083" customFormat="false" ht="12.8" hidden="false" customHeight="false" outlineLevel="0" collapsed="false">
      <c r="B47083" s="0" t="s">
        <v>7</v>
      </c>
      <c r="C47083" s="0" t="s">
        <v>16721</v>
      </c>
    </row>
    <row r="47085" customFormat="false" ht="12.8" hidden="false" customHeight="false" outlineLevel="0" collapsed="false">
      <c r="A47085" s="0" t="s">
        <v>16722</v>
      </c>
      <c r="B47085" s="0" t="str">
        <f aca="false">HYPERLINK("https://lindat.mff.cuni.cz/services/teitok/pdtc10/index.php?action=vallex&amp;frame=v-w6492f5", "stát (v-w6492f5)")</f>
        <v>stát (v-w6492f5)</v>
      </c>
    </row>
    <row r="47086" customFormat="false" ht="12.8" hidden="false" customHeight="false" outlineLevel="0" collapsed="false">
      <c r="B47086" s="0" t="s">
        <v>7</v>
      </c>
    </row>
    <row r="47088" customFormat="false" ht="12.8" hidden="false" customHeight="false" outlineLevel="0" collapsed="false">
      <c r="A47088" s="0" t="s">
        <v>16723</v>
      </c>
      <c r="B47088" s="0" t="str">
        <f aca="false">HYPERLINK("https://lindat.mff.cuni.cz/services/teitok/pdtc10/index.php?action=vallex&amp;frame=v-w6492f16", "stát (v-w6492f16)")</f>
        <v>stát (v-w6492f16)</v>
      </c>
    </row>
    <row r="47089" customFormat="false" ht="12.8" hidden="false" customHeight="false" outlineLevel="0" collapsed="false">
      <c r="B47089" s="0" t="s">
        <v>16724</v>
      </c>
    </row>
    <row r="47091" customFormat="false" ht="12.8" hidden="false" customHeight="false" outlineLevel="0" collapsed="false">
      <c r="A47091" s="0" t="s">
        <v>16725</v>
      </c>
      <c r="B47091" s="0" t="str">
        <f aca="false">HYPERLINK("https://lindat.mff.cuni.cz/services/teitok/pdtc10/index.php?action=vallex&amp;frame=v-w6492f18_ZU", "stát (v-w6492f18_ZU)")</f>
        <v>stát (v-w6492f18_ZU)</v>
      </c>
    </row>
    <row r="47092" customFormat="false" ht="12.8" hidden="false" customHeight="false" outlineLevel="0" collapsed="false">
      <c r="B47092" s="0" t="s">
        <v>7</v>
      </c>
      <c r="C47092" s="0" t="s">
        <v>272</v>
      </c>
    </row>
    <row r="47093" customFormat="false" ht="12.8" hidden="false" customHeight="false" outlineLevel="0" collapsed="false">
      <c r="B47093" s="0" t="s">
        <v>16726</v>
      </c>
      <c r="C47093" s="0" t="s">
        <v>508</v>
      </c>
    </row>
    <row r="47095" customFormat="false" ht="12.8" hidden="false" customHeight="false" outlineLevel="0" collapsed="false">
      <c r="A47095" s="0" t="s">
        <v>16725</v>
      </c>
      <c r="B47095" s="0" t="str">
        <f aca="false">HYPERLINK("https://lindat.mff.cuni.cz/services/teitok/pdtc10/index.php?action=vallex&amp;frame=v-w6492hsa_78", "stát (v-w6492hsa_78) - substituted with v-w6492f18_ZU")</f>
        <v>stát (v-w6492hsa_78) - substituted with v-w6492f18_ZU</v>
      </c>
    </row>
    <row r="47096" customFormat="false" ht="12.8" hidden="false" customHeight="false" outlineLevel="0" collapsed="false">
      <c r="B47096" s="0" t="s">
        <v>7</v>
      </c>
    </row>
    <row r="47097" customFormat="false" ht="12.8" hidden="false" customHeight="false" outlineLevel="0" collapsed="false">
      <c r="B47097" s="0" t="s">
        <v>16726</v>
      </c>
    </row>
    <row r="47099" customFormat="false" ht="12.8" hidden="false" customHeight="false" outlineLevel="0" collapsed="false">
      <c r="A47099" s="0" t="s">
        <v>16727</v>
      </c>
      <c r="B47099" s="0" t="str">
        <f aca="false">HYPERLINK("https://lindat.mff.cuni.cz/services/teitok/pdtc10/index.php?action=vallex&amp;frame=v-w6492f20_ZU", "stát (v-w6492f20_ZU)")</f>
        <v>stát (v-w6492f20_ZU)</v>
      </c>
    </row>
    <row r="47100" customFormat="false" ht="12.8" hidden="false" customHeight="false" outlineLevel="0" collapsed="false">
      <c r="B47100" s="0" t="s">
        <v>7</v>
      </c>
    </row>
    <row r="47101" customFormat="false" ht="12.8" hidden="false" customHeight="false" outlineLevel="0" collapsed="false">
      <c r="B47101" s="0" t="s">
        <v>16728</v>
      </c>
    </row>
    <row r="47102" customFormat="false" ht="12.8" hidden="false" customHeight="false" outlineLevel="0" collapsed="false">
      <c r="B47102" s="0" t="s">
        <v>48</v>
      </c>
    </row>
    <row r="47103" customFormat="false" ht="12.8" hidden="false" customHeight="false" outlineLevel="0" collapsed="false">
      <c r="B47103" s="0" t="s">
        <v>1767</v>
      </c>
    </row>
    <row r="47105" customFormat="false" ht="12.8" hidden="false" customHeight="false" outlineLevel="0" collapsed="false">
      <c r="A47105" s="0" t="s">
        <v>16727</v>
      </c>
      <c r="B47105" s="0" t="str">
        <f aca="false">HYPERLINK("https://lindat.mff.cuni.cz/services/teitok/pdtc10/index.php?action=vallex&amp;frame=v-w6492f19_ZU", "stát (v-w6492f19_ZU) - substituted with v-w6492f20_ZU")</f>
        <v>stát (v-w6492f19_ZU) - substituted with v-w6492f20_ZU</v>
      </c>
    </row>
    <row r="47106" customFormat="false" ht="12.8" hidden="false" customHeight="false" outlineLevel="0" collapsed="false">
      <c r="B47106" s="0" t="s">
        <v>7</v>
      </c>
      <c r="C47106" s="0" t="s">
        <v>5274</v>
      </c>
    </row>
    <row r="47107" customFormat="false" ht="12.8" hidden="false" customHeight="false" outlineLevel="0" collapsed="false">
      <c r="B47107" s="0" t="s">
        <v>16728</v>
      </c>
      <c r="C47107" s="0" t="s">
        <v>16519</v>
      </c>
    </row>
    <row r="47108" customFormat="false" ht="12.8" hidden="false" customHeight="false" outlineLevel="0" collapsed="false">
      <c r="B47108" s="0" t="s">
        <v>48</v>
      </c>
    </row>
    <row r="47109" customFormat="false" ht="12.8" hidden="false" customHeight="false" outlineLevel="0" collapsed="false">
      <c r="B47109" s="0" t="s">
        <v>1767</v>
      </c>
    </row>
    <row r="47111" customFormat="false" ht="12.8" hidden="false" customHeight="false" outlineLevel="0" collapsed="false">
      <c r="A47111" s="0" t="s">
        <v>16727</v>
      </c>
      <c r="B47111" s="0" t="str">
        <f aca="false">HYPERLINK("https://lindat.mff.cuni.cz/services/teitok/pdtc10/index.php?action=vallex&amp;frame=v-w6492hsa_79", "stát (v-w6492hsa_79) - substituted with v-w6492f20_ZU")</f>
        <v>stát (v-w6492hsa_79) - substituted with v-w6492f20_ZU</v>
      </c>
    </row>
    <row r="47112" customFormat="false" ht="12.8" hidden="false" customHeight="false" outlineLevel="0" collapsed="false">
      <c r="B47112" s="0" t="s">
        <v>7</v>
      </c>
    </row>
    <row r="47113" customFormat="false" ht="12.8" hidden="false" customHeight="false" outlineLevel="0" collapsed="false">
      <c r="B47113" s="0" t="s">
        <v>16728</v>
      </c>
    </row>
    <row r="47114" customFormat="false" ht="12.8" hidden="false" customHeight="false" outlineLevel="0" collapsed="false">
      <c r="B47114" s="0" t="s">
        <v>48</v>
      </c>
    </row>
    <row r="47115" customFormat="false" ht="12.8" hidden="false" customHeight="false" outlineLevel="0" collapsed="false">
      <c r="B47115" s="0" t="s">
        <v>1767</v>
      </c>
    </row>
    <row r="47117" customFormat="false" ht="12.8" hidden="false" customHeight="false" outlineLevel="0" collapsed="false">
      <c r="A47117" s="0" t="s">
        <v>16729</v>
      </c>
      <c r="B47117" s="0" t="str">
        <f aca="false">HYPERLINK("https://lindat.mff.cuni.cz/services/teitok/pdtc10/index.php?action=vallex&amp;frame=v-w6492f21_ZU", "stát (v-w6492f21_ZU)")</f>
        <v>stát (v-w6492f21_ZU)</v>
      </c>
    </row>
    <row r="47118" customFormat="false" ht="12.8" hidden="false" customHeight="false" outlineLevel="0" collapsed="false">
      <c r="B47118" s="0" t="s">
        <v>7</v>
      </c>
    </row>
    <row r="47119" customFormat="false" ht="12.8" hidden="false" customHeight="false" outlineLevel="0" collapsed="false">
      <c r="B47119" s="0" t="s">
        <v>16728</v>
      </c>
    </row>
    <row r="47120" customFormat="false" ht="12.8" hidden="false" customHeight="false" outlineLevel="0" collapsed="false">
      <c r="B47120" s="0" t="s">
        <v>142</v>
      </c>
    </row>
    <row r="47122" customFormat="false" ht="12.8" hidden="false" customHeight="false" outlineLevel="0" collapsed="false">
      <c r="A47122" s="0" t="s">
        <v>16730</v>
      </c>
      <c r="B47122" s="0" t="str">
        <f aca="false">HYPERLINK("https://lindat.mff.cuni.cz/services/teitok/pdtc10/index.php?action=vallex&amp;frame=v-w6492f22_ZU", "stát (v-w6492f22_ZU)")</f>
        <v>stát (v-w6492f22_ZU)</v>
      </c>
    </row>
    <row r="47123" customFormat="false" ht="12.8" hidden="false" customHeight="false" outlineLevel="0" collapsed="false">
      <c r="B47123" s="0" t="s">
        <v>7</v>
      </c>
    </row>
    <row r="47125" customFormat="false" ht="12.8" hidden="false" customHeight="false" outlineLevel="0" collapsed="false">
      <c r="A47125" s="0" t="s">
        <v>16731</v>
      </c>
      <c r="B47125" s="0" t="str">
        <f aca="false">HYPERLINK("https://lindat.mff.cuni.cz/services/teitok/pdtc10/index.php?action=vallex&amp;frame=v-w6492f23_ZU", "stát (v-w6492f23_ZU)")</f>
        <v>stát (v-w6492f23_ZU)</v>
      </c>
    </row>
    <row r="47126" customFormat="false" ht="12.8" hidden="false" customHeight="false" outlineLevel="0" collapsed="false">
      <c r="B47126" s="0" t="s">
        <v>7</v>
      </c>
    </row>
    <row r="47128" customFormat="false" ht="12.8" hidden="false" customHeight="false" outlineLevel="0" collapsed="false">
      <c r="A47128" s="0" t="s">
        <v>16732</v>
      </c>
      <c r="B47128" s="0" t="str">
        <f aca="false">HYPERLINK("https://lindat.mff.cuni.cz/services/teitok/pdtc10/index.php?action=vallex&amp;frame=v-w6496f1", "stát se (v-w6496f1)")</f>
        <v>stát se (v-w6496f1)</v>
      </c>
    </row>
    <row r="47129" customFormat="false" ht="12.8" hidden="false" customHeight="false" outlineLevel="0" collapsed="false">
      <c r="B47129" s="0" t="s">
        <v>7</v>
      </c>
      <c r="C47129" s="0" t="s">
        <v>16733</v>
      </c>
      <c r="D47129" s="0" t="s">
        <v>6207</v>
      </c>
      <c r="E47129" s="0" t="s">
        <v>6207</v>
      </c>
      <c r="F47129" s="0" t="s">
        <v>6208</v>
      </c>
    </row>
    <row r="47130" customFormat="false" ht="12.8" hidden="false" customHeight="false" outlineLevel="0" collapsed="false">
      <c r="B47130" s="0" t="s">
        <v>16734</v>
      </c>
      <c r="C47130" s="0" t="s">
        <v>16735</v>
      </c>
      <c r="D47130" s="0" t="s">
        <v>6211</v>
      </c>
      <c r="E47130" s="0" t="s">
        <v>6211</v>
      </c>
      <c r="F47130" s="0" t="s">
        <v>6212</v>
      </c>
    </row>
    <row r="47131" customFormat="false" ht="12.8" hidden="false" customHeight="false" outlineLevel="0" collapsed="false">
      <c r="B47131" s="0" t="s">
        <v>35</v>
      </c>
      <c r="D47131" s="0" t="s">
        <v>6214</v>
      </c>
      <c r="E47131" s="0" t="s">
        <v>6214</v>
      </c>
      <c r="F47131" s="0" t="s">
        <v>6215</v>
      </c>
    </row>
    <row r="47133" customFormat="false" ht="12.8" hidden="false" customHeight="false" outlineLevel="0" collapsed="false">
      <c r="A47133" s="0" t="s">
        <v>16736</v>
      </c>
      <c r="B47133" s="0" t="str">
        <f aca="false">HYPERLINK("https://lindat.mff.cuni.cz/services/teitok/pdtc10/index.php?action=vallex&amp;frame=v-w6496f6_ZU", "stát se (v-w6496f6_ZU)")</f>
        <v>stát se (v-w6496f6_ZU)</v>
      </c>
    </row>
    <row r="47134" customFormat="false" ht="12.8" hidden="false" customHeight="false" outlineLevel="0" collapsed="false">
      <c r="B47134" s="0" t="s">
        <v>16737</v>
      </c>
    </row>
    <row r="47135" customFormat="false" ht="12.8" hidden="false" customHeight="false" outlineLevel="0" collapsed="false">
      <c r="B47135" s="0" t="s">
        <v>548</v>
      </c>
    </row>
    <row r="47137" customFormat="false" ht="12.8" hidden="false" customHeight="false" outlineLevel="0" collapsed="false">
      <c r="A47137" s="0" t="s">
        <v>16736</v>
      </c>
      <c r="B47137" s="0" t="str">
        <f aca="false">HYPERLINK("https://lindat.mff.cuni.cz/services/teitok/pdtc10/index.php?action=vallex&amp;frame=v-w6496f5", "stát se (v-w6496f5) - substituted with v-w6496f6_ZU")</f>
        <v>stát se (v-w6496f5) - substituted with v-w6496f6_ZU</v>
      </c>
    </row>
    <row r="47138" customFormat="false" ht="12.8" hidden="false" customHeight="false" outlineLevel="0" collapsed="false">
      <c r="B47138" s="0" t="s">
        <v>16737</v>
      </c>
      <c r="C47138" s="0" t="s">
        <v>16738</v>
      </c>
      <c r="D47138" s="0" t="s">
        <v>3385</v>
      </c>
      <c r="E47138" s="0" t="s">
        <v>3385</v>
      </c>
      <c r="F47138" s="0" t="s">
        <v>3385</v>
      </c>
    </row>
    <row r="47139" customFormat="false" ht="12.8" hidden="false" customHeight="false" outlineLevel="0" collapsed="false">
      <c r="B47139" s="0" t="s">
        <v>548</v>
      </c>
      <c r="C47139" s="0" t="s">
        <v>16739</v>
      </c>
      <c r="D47139" s="0" t="s">
        <v>3386</v>
      </c>
      <c r="E47139" s="0" t="s">
        <v>3386</v>
      </c>
      <c r="F47139" s="0" t="s">
        <v>3386</v>
      </c>
    </row>
    <row r="47141" customFormat="false" ht="12.8" hidden="false" customHeight="false" outlineLevel="0" collapsed="false">
      <c r="A47141" s="0" t="s">
        <v>16740</v>
      </c>
      <c r="B47141" s="0" t="str">
        <f aca="false">HYPERLINK("https://lindat.mff.cuni.cz/services/teitok/pdtc10/index.php?action=vallex&amp;frame=v-w6496f4", "stát se (v-w6496f4)")</f>
        <v>stát se (v-w6496f4)</v>
      </c>
    </row>
    <row r="47142" customFormat="false" ht="12.8" hidden="false" customHeight="false" outlineLevel="0" collapsed="false">
      <c r="B47142" s="0" t="s">
        <v>7</v>
      </c>
      <c r="C47142" s="0" t="s">
        <v>16741</v>
      </c>
      <c r="D47142" s="0" t="s">
        <v>16742</v>
      </c>
      <c r="E47142" s="0" t="s">
        <v>16742</v>
      </c>
      <c r="F47142" s="0" t="s">
        <v>16742</v>
      </c>
    </row>
    <row r="47143" customFormat="false" ht="12.8" hidden="false" customHeight="false" outlineLevel="0" collapsed="false">
      <c r="B47143" s="0" t="s">
        <v>227</v>
      </c>
      <c r="C47143" s="0" t="s">
        <v>16743</v>
      </c>
      <c r="D47143" s="0" t="s">
        <v>16744</v>
      </c>
      <c r="E47143" s="0" t="s">
        <v>16744</v>
      </c>
      <c r="F47143" s="0" t="s">
        <v>16744</v>
      </c>
    </row>
    <row r="47145" customFormat="false" ht="12.8" hidden="false" customHeight="false" outlineLevel="0" collapsed="false">
      <c r="A47145" s="0" t="s">
        <v>16745</v>
      </c>
      <c r="B47145" s="0" t="str">
        <f aca="false">HYPERLINK("https://lindat.mff.cuni.cz/services/teitok/pdtc10/index.php?action=vallex&amp;frame=v-w6496f2", "stát se (v-w6496f2)")</f>
        <v>stát se (v-w6496f2)</v>
      </c>
    </row>
    <row r="47146" customFormat="false" ht="12.8" hidden="false" customHeight="false" outlineLevel="0" collapsed="false">
      <c r="B47146" s="0" t="s">
        <v>16746</v>
      </c>
      <c r="C47146" s="0" t="s">
        <v>16747</v>
      </c>
      <c r="D47146" s="0" t="s">
        <v>3385</v>
      </c>
      <c r="E47146" s="0" t="s">
        <v>3385</v>
      </c>
      <c r="F47146" s="0" t="s">
        <v>3385</v>
      </c>
    </row>
    <row r="47147" customFormat="false" ht="12.8" hidden="false" customHeight="false" outlineLevel="0" collapsed="false">
      <c r="B47147" s="0" t="s">
        <v>119</v>
      </c>
      <c r="C47147" s="0" t="s">
        <v>16748</v>
      </c>
      <c r="D47147" s="0" t="s">
        <v>3386</v>
      </c>
      <c r="E47147" s="0" t="s">
        <v>3386</v>
      </c>
      <c r="F47147" s="0" t="s">
        <v>3386</v>
      </c>
    </row>
    <row r="47149" customFormat="false" ht="12.8" hidden="false" customHeight="false" outlineLevel="0" collapsed="false">
      <c r="A47149" s="0" t="s">
        <v>16749</v>
      </c>
      <c r="B47149" s="0" t="str">
        <f aca="false">HYPERLINK("https://lindat.mff.cuni.cz/services/teitok/pdtc10/index.php?action=vallex&amp;frame=v-w6496f7_ZU", "stát se (v-w6496f7_ZU)")</f>
        <v>stát se (v-w6496f7_ZU)</v>
      </c>
    </row>
    <row r="47150" customFormat="false" ht="12.8" hidden="false" customHeight="false" outlineLevel="0" collapsed="false">
      <c r="B47150" s="0" t="s">
        <v>16750</v>
      </c>
    </row>
    <row r="47152" customFormat="false" ht="12.8" hidden="false" customHeight="false" outlineLevel="0" collapsed="false">
      <c r="A47152" s="0" t="s">
        <v>16749</v>
      </c>
      <c r="B47152" s="0" t="str">
        <f aca="false">HYPERLINK("https://lindat.mff.cuni.cz/services/teitok/pdtc10/index.php?action=vallex&amp;frame=v-w6496f3", "stát se (v-w6496f3) - substituted with v-w6496f7_ZU")</f>
        <v>stát se (v-w6496f3) - substituted with v-w6496f7_ZU</v>
      </c>
    </row>
    <row r="47153" customFormat="false" ht="12.8" hidden="false" customHeight="false" outlineLevel="0" collapsed="false">
      <c r="B47153" s="0" t="s">
        <v>16750</v>
      </c>
      <c r="C47153" s="0" t="s">
        <v>16751</v>
      </c>
      <c r="D47153" s="0" t="s">
        <v>288</v>
      </c>
      <c r="E47153" s="0" t="s">
        <v>288</v>
      </c>
      <c r="F47153" s="0" t="s">
        <v>288</v>
      </c>
    </row>
    <row r="47155" customFormat="false" ht="12.8" hidden="false" customHeight="false" outlineLevel="0" collapsed="false">
      <c r="A47155" s="0" t="s">
        <v>16752</v>
      </c>
      <c r="B47155" s="0" t="str">
        <f aca="false">HYPERLINK("https://lindat.mff.cuni.cz/services/teitok/pdtc10/index.php?action=vallex&amp;frame=v-w6496f8_ZU", "stát se (v-w6496f8_ZU)")</f>
        <v>stát se (v-w6496f8_ZU)</v>
      </c>
    </row>
    <row r="47156" customFormat="false" ht="12.8" hidden="false" customHeight="false" outlineLevel="0" collapsed="false">
      <c r="B47156" s="0" t="s">
        <v>7</v>
      </c>
    </row>
    <row r="47157" customFormat="false" ht="12.8" hidden="false" customHeight="false" outlineLevel="0" collapsed="false">
      <c r="B47157" s="0" t="s">
        <v>16753</v>
      </c>
    </row>
    <row r="47159" customFormat="false" ht="12.8" hidden="false" customHeight="false" outlineLevel="0" collapsed="false">
      <c r="A47159" s="0" t="s">
        <v>16752</v>
      </c>
      <c r="B47159" s="0" t="str">
        <f aca="false">HYPERLINK("https://lindat.mff.cuni.cz/services/teitok/pdtc10/index.php?action=vallex&amp;frame=v-w6496hsa_681", "stát se (v-w6496hsa_681) - substituted with v-w6496f8_ZU")</f>
        <v>stát se (v-w6496hsa_681) - substituted with v-w6496f8_ZU</v>
      </c>
    </row>
    <row r="47160" customFormat="false" ht="12.8" hidden="false" customHeight="false" outlineLevel="0" collapsed="false">
      <c r="B47160" s="0" t="s">
        <v>7</v>
      </c>
    </row>
    <row r="47161" customFormat="false" ht="12.8" hidden="false" customHeight="false" outlineLevel="0" collapsed="false">
      <c r="B47161" s="0" t="s">
        <v>16753</v>
      </c>
    </row>
    <row r="47163" customFormat="false" ht="12.8" hidden="false" customHeight="false" outlineLevel="0" collapsed="false">
      <c r="A47163" s="0" t="s">
        <v>16754</v>
      </c>
      <c r="B47163" s="0" t="str">
        <f aca="false">HYPERLINK("https://lindat.mff.cuni.cz/services/teitok/pdtc10/index.php?action=vallex&amp;frame=v-w6497f2", "stát si (v-w6497f2)")</f>
        <v>stát si (v-w6497f2)</v>
      </c>
    </row>
    <row r="47164" customFormat="false" ht="12.8" hidden="false" customHeight="false" outlineLevel="0" collapsed="false">
      <c r="B47164" s="0" t="s">
        <v>7</v>
      </c>
      <c r="C47164" s="0" t="s">
        <v>15560</v>
      </c>
      <c r="D47164" s="0" t="s">
        <v>16755</v>
      </c>
      <c r="E47164" s="0" t="s">
        <v>16755</v>
      </c>
      <c r="F47164" s="0" t="s">
        <v>16756</v>
      </c>
    </row>
    <row r="47165" customFormat="false" ht="12.8" hidden="false" customHeight="false" outlineLevel="0" collapsed="false">
      <c r="B47165" s="0" t="s">
        <v>16757</v>
      </c>
      <c r="C47165" s="0" t="s">
        <v>16758</v>
      </c>
      <c r="D47165" s="0" t="s">
        <v>1164</v>
      </c>
      <c r="E47165" s="0" t="s">
        <v>1164</v>
      </c>
      <c r="F47165" s="0" t="s">
        <v>16759</v>
      </c>
    </row>
    <row r="47167" customFormat="false" ht="12.8" hidden="false" customHeight="false" outlineLevel="0" collapsed="false">
      <c r="A47167" s="0" t="s">
        <v>16760</v>
      </c>
      <c r="B47167" s="0" t="str">
        <f aca="false">HYPERLINK("https://lindat.mff.cuni.cz/services/teitok/pdtc10/index.php?action=vallex&amp;frame=v-w6497f1", "stát si (v-w6497f1)")</f>
        <v>stát si (v-w6497f1)</v>
      </c>
    </row>
    <row r="47168" customFormat="false" ht="12.8" hidden="false" customHeight="false" outlineLevel="0" collapsed="false">
      <c r="B47168" s="0" t="s">
        <v>7</v>
      </c>
      <c r="C47168" s="0" t="s">
        <v>16761</v>
      </c>
      <c r="D47168" s="0" t="s">
        <v>749</v>
      </c>
      <c r="E47168" s="0" t="s">
        <v>749</v>
      </c>
      <c r="F47168" s="0" t="s">
        <v>749</v>
      </c>
    </row>
    <row r="47169" customFormat="false" ht="12.8" hidden="false" customHeight="false" outlineLevel="0" collapsed="false">
      <c r="B47169" s="0" t="s">
        <v>662</v>
      </c>
      <c r="C47169" s="0" t="s">
        <v>3452</v>
      </c>
      <c r="D47169" s="0" t="s">
        <v>752</v>
      </c>
      <c r="E47169" s="0" t="s">
        <v>752</v>
      </c>
      <c r="F47169" s="0" t="s">
        <v>752</v>
      </c>
    </row>
    <row r="47171" customFormat="false" ht="12.8" hidden="false" customHeight="false" outlineLevel="0" collapsed="false">
      <c r="A47171" s="0" t="s">
        <v>16762</v>
      </c>
      <c r="B47171" s="0" t="str">
        <f aca="false">HYPERLINK("https://lindat.mff.cuni.cz/services/teitok/pdtc10/index.php?action=vallex&amp;frame=v-w6499f1", "stávat (v-w6499f1)")</f>
        <v>stávat (v-w6499f1)</v>
      </c>
    </row>
    <row r="47172" customFormat="false" ht="12.8" hidden="false" customHeight="false" outlineLevel="0" collapsed="false">
      <c r="B47172" s="0" t="s">
        <v>7</v>
      </c>
      <c r="D47172" s="0" t="s">
        <v>5274</v>
      </c>
      <c r="E47172" s="0" t="s">
        <v>5274</v>
      </c>
      <c r="F47172" s="0" t="s">
        <v>5274</v>
      </c>
    </row>
    <row r="47173" customFormat="false" ht="12.8" hidden="false" customHeight="false" outlineLevel="0" collapsed="false">
      <c r="B47173" s="0" t="s">
        <v>11</v>
      </c>
      <c r="D47173" s="0" t="s">
        <v>16455</v>
      </c>
      <c r="E47173" s="0" t="s">
        <v>16455</v>
      </c>
      <c r="F47173" s="0" t="s">
        <v>16455</v>
      </c>
    </row>
    <row r="47175" customFormat="false" ht="12.8" hidden="false" customHeight="false" outlineLevel="0" collapsed="false">
      <c r="A47175" s="0" t="s">
        <v>16763</v>
      </c>
      <c r="B47175" s="0" t="str">
        <f aca="false">HYPERLINK("https://lindat.mff.cuni.cz/services/teitok/pdtc10/index.php?action=vallex&amp;frame=v-w6499f2_ZU", "stávat (v-w6499f2_ZU)")</f>
        <v>stávat (v-w6499f2_ZU)</v>
      </c>
    </row>
    <row r="47176" customFormat="false" ht="12.8" hidden="false" customHeight="false" outlineLevel="0" collapsed="false">
      <c r="B47176" s="0" t="s">
        <v>7</v>
      </c>
      <c r="C47176" s="0" t="s">
        <v>1067</v>
      </c>
      <c r="D47176" s="0" t="s">
        <v>16716</v>
      </c>
      <c r="E47176" s="0" t="s">
        <v>16716</v>
      </c>
      <c r="F47176" s="0" t="s">
        <v>16716</v>
      </c>
    </row>
    <row r="47177" customFormat="false" ht="12.8" hidden="false" customHeight="false" outlineLevel="0" collapsed="false">
      <c r="B47177" s="0" t="s">
        <v>679</v>
      </c>
      <c r="C47177" s="0" t="s">
        <v>16764</v>
      </c>
      <c r="D47177" s="0" t="s">
        <v>16718</v>
      </c>
      <c r="E47177" s="0" t="s">
        <v>16718</v>
      </c>
      <c r="F47177" s="0" t="s">
        <v>16718</v>
      </c>
    </row>
    <row r="47178" customFormat="false" ht="12.8" hidden="false" customHeight="false" outlineLevel="0" collapsed="false">
      <c r="B47178" s="0" t="s">
        <v>297</v>
      </c>
      <c r="D47178" s="0" t="s">
        <v>16719</v>
      </c>
      <c r="E47178" s="0" t="s">
        <v>16719</v>
      </c>
      <c r="F47178" s="0" t="s">
        <v>16719</v>
      </c>
    </row>
    <row r="47180" customFormat="false" ht="12.8" hidden="false" customHeight="false" outlineLevel="0" collapsed="false">
      <c r="A47180" s="0" t="s">
        <v>16765</v>
      </c>
      <c r="B47180" s="0" t="str">
        <f aca="false">HYPERLINK("https://lindat.mff.cuni.cz/services/teitok/pdtc10/index.php?action=vallex&amp;frame=v-w6500f1", "stávat se (v-w6500f1)")</f>
        <v>stávat se (v-w6500f1)</v>
      </c>
    </row>
    <row r="47181" customFormat="false" ht="12.8" hidden="false" customHeight="false" outlineLevel="0" collapsed="false">
      <c r="B47181" s="0" t="s">
        <v>7</v>
      </c>
      <c r="C47181" s="0" t="s">
        <v>16766</v>
      </c>
      <c r="D47181" s="0" t="s">
        <v>6207</v>
      </c>
      <c r="E47181" s="0" t="s">
        <v>6207</v>
      </c>
      <c r="F47181" s="0" t="s">
        <v>6208</v>
      </c>
    </row>
    <row r="47182" customFormat="false" ht="12.8" hidden="false" customHeight="false" outlineLevel="0" collapsed="false">
      <c r="B47182" s="0" t="s">
        <v>16734</v>
      </c>
      <c r="C47182" s="0" t="s">
        <v>16767</v>
      </c>
      <c r="D47182" s="0" t="s">
        <v>6211</v>
      </c>
      <c r="E47182" s="0" t="s">
        <v>6211</v>
      </c>
      <c r="F47182" s="0" t="s">
        <v>6212</v>
      </c>
    </row>
    <row r="47183" customFormat="false" ht="12.8" hidden="false" customHeight="false" outlineLevel="0" collapsed="false">
      <c r="B47183" s="0" t="s">
        <v>35</v>
      </c>
      <c r="D47183" s="0" t="s">
        <v>6214</v>
      </c>
      <c r="E47183" s="0" t="s">
        <v>6214</v>
      </c>
      <c r="F47183" s="0" t="s">
        <v>6215</v>
      </c>
    </row>
    <row r="47185" customFormat="false" ht="12.8" hidden="false" customHeight="false" outlineLevel="0" collapsed="false">
      <c r="A47185" s="0" t="s">
        <v>16768</v>
      </c>
      <c r="B47185" s="0" t="str">
        <f aca="false">HYPERLINK("https://lindat.mff.cuni.cz/services/teitok/pdtc10/index.php?action=vallex&amp;frame=v-w6500f3", "stávat se (v-w6500f3)")</f>
        <v>stávat se (v-w6500f3)</v>
      </c>
    </row>
    <row r="47186" customFormat="false" ht="12.8" hidden="false" customHeight="false" outlineLevel="0" collapsed="false">
      <c r="B47186" s="0" t="s">
        <v>7</v>
      </c>
      <c r="C47186" s="0" t="s">
        <v>16769</v>
      </c>
      <c r="D47186" s="0" t="s">
        <v>16742</v>
      </c>
      <c r="E47186" s="0" t="s">
        <v>16742</v>
      </c>
      <c r="F47186" s="0" t="s">
        <v>16742</v>
      </c>
    </row>
    <row r="47187" customFormat="false" ht="12.8" hidden="false" customHeight="false" outlineLevel="0" collapsed="false">
      <c r="B47187" s="0" t="s">
        <v>227</v>
      </c>
      <c r="C47187" s="0" t="s">
        <v>16770</v>
      </c>
      <c r="D47187" s="0" t="s">
        <v>16744</v>
      </c>
      <c r="E47187" s="0" t="s">
        <v>16744</v>
      </c>
      <c r="F47187" s="0" t="s">
        <v>16744</v>
      </c>
    </row>
    <row r="47189" customFormat="false" ht="12.8" hidden="false" customHeight="false" outlineLevel="0" collapsed="false">
      <c r="A47189" s="0" t="s">
        <v>16771</v>
      </c>
      <c r="B47189" s="0" t="str">
        <f aca="false">HYPERLINK("https://lindat.mff.cuni.cz/services/teitok/pdtc10/index.php?action=vallex&amp;frame=v-w6500f4_ZU", "stávat se (v-w6500f4_ZU)")</f>
        <v>stávat se (v-w6500f4_ZU)</v>
      </c>
    </row>
    <row r="47190" customFormat="false" ht="12.8" hidden="false" customHeight="false" outlineLevel="0" collapsed="false">
      <c r="B47190" s="0" t="s">
        <v>641</v>
      </c>
      <c r="C47190" s="0" t="s">
        <v>4397</v>
      </c>
      <c r="D47190" s="0" t="s">
        <v>3385</v>
      </c>
      <c r="E47190" s="0" t="s">
        <v>3385</v>
      </c>
      <c r="F47190" s="0" t="s">
        <v>3385</v>
      </c>
    </row>
    <row r="47191" customFormat="false" ht="12.8" hidden="false" customHeight="false" outlineLevel="0" collapsed="false">
      <c r="B47191" s="0" t="s">
        <v>119</v>
      </c>
      <c r="C47191" s="0" t="s">
        <v>3386</v>
      </c>
      <c r="D47191" s="0" t="s">
        <v>3386</v>
      </c>
      <c r="E47191" s="0" t="s">
        <v>3386</v>
      </c>
      <c r="F47191" s="0" t="s">
        <v>3386</v>
      </c>
    </row>
    <row r="47193" customFormat="false" ht="12.8" hidden="false" customHeight="false" outlineLevel="0" collapsed="false">
      <c r="A47193" s="0" t="s">
        <v>16771</v>
      </c>
      <c r="B47193" s="0" t="str">
        <f aca="false">HYPERLINK("https://lindat.mff.cuni.cz/services/teitok/pdtc10/index.php?action=vallex&amp;frame=v-w6500f2", "stávat se (v-w6500f2) - substituted with v-w6500f4_ZU")</f>
        <v>stávat se (v-w6500f2) - substituted with v-w6500f4_ZU</v>
      </c>
    </row>
    <row r="47194" customFormat="false" ht="12.8" hidden="false" customHeight="false" outlineLevel="0" collapsed="false">
      <c r="B47194" s="0" t="s">
        <v>641</v>
      </c>
      <c r="C47194" s="0" t="s">
        <v>10943</v>
      </c>
    </row>
    <row r="47195" customFormat="false" ht="12.8" hidden="false" customHeight="false" outlineLevel="0" collapsed="false">
      <c r="B47195" s="0" t="s">
        <v>119</v>
      </c>
    </row>
    <row r="47197" customFormat="false" ht="12.8" hidden="false" customHeight="false" outlineLevel="0" collapsed="false">
      <c r="A47197" s="0" t="s">
        <v>16772</v>
      </c>
      <c r="B47197" s="0" t="str">
        <f aca="false">HYPERLINK("https://lindat.mff.cuni.cz/services/teitok/pdtc10/index.php?action=vallex&amp;frame=v-w6511f1", "stávkovat (v-w6511f1)")</f>
        <v>stávkovat (v-w6511f1)</v>
      </c>
    </row>
    <row r="47198" customFormat="false" ht="12.8" hidden="false" customHeight="false" outlineLevel="0" collapsed="false">
      <c r="B47198" s="0" t="s">
        <v>7</v>
      </c>
      <c r="C47198" s="0" t="s">
        <v>46</v>
      </c>
      <c r="D47198" s="0" t="s">
        <v>1559</v>
      </c>
      <c r="E47198" s="0" t="s">
        <v>1559</v>
      </c>
      <c r="F47198" s="0" t="s">
        <v>1559</v>
      </c>
    </row>
    <row r="47200" customFormat="false" ht="12.8" hidden="false" customHeight="false" outlineLevel="0" collapsed="false">
      <c r="A47200" s="0" t="s">
        <v>16773</v>
      </c>
      <c r="B47200" s="0" t="str">
        <f aca="false">HYPERLINK("https://lindat.mff.cuni.cz/services/teitok/pdtc10/index.php?action=vallex&amp;frame=v-w6461f1", "stáčet (v-w6461f1)")</f>
        <v>stáčet (v-w6461f1)</v>
      </c>
    </row>
    <row r="47201" customFormat="false" ht="12.8" hidden="false" customHeight="false" outlineLevel="0" collapsed="false">
      <c r="B47201" s="0" t="s">
        <v>7</v>
      </c>
    </row>
    <row r="47202" customFormat="false" ht="12.8" hidden="false" customHeight="false" outlineLevel="0" collapsed="false">
      <c r="B47202" s="0" t="s">
        <v>14</v>
      </c>
    </row>
    <row r="47204" customFormat="false" ht="12.8" hidden="false" customHeight="false" outlineLevel="0" collapsed="false">
      <c r="A47204" s="0" t="s">
        <v>16774</v>
      </c>
      <c r="B47204" s="0" t="str">
        <f aca="false">HYPERLINK("https://lindat.mff.cuni.cz/services/teitok/pdtc10/index.php?action=vallex&amp;frame=v-w6461hsa_475", "stáčet (v-w6461hsa_475)")</f>
        <v>stáčet (v-w6461hsa_475)</v>
      </c>
    </row>
    <row r="47205" customFormat="false" ht="12.8" hidden="false" customHeight="false" outlineLevel="0" collapsed="false">
      <c r="B47205" s="0" t="s">
        <v>7</v>
      </c>
      <c r="C47205" s="0" t="s">
        <v>191</v>
      </c>
    </row>
    <row r="47206" customFormat="false" ht="12.8" hidden="false" customHeight="false" outlineLevel="0" collapsed="false">
      <c r="B47206" s="0" t="s">
        <v>14</v>
      </c>
      <c r="C47206" s="0" t="s">
        <v>1544</v>
      </c>
    </row>
    <row r="47207" customFormat="false" ht="12.8" hidden="false" customHeight="false" outlineLevel="0" collapsed="false">
      <c r="B47207" s="0" t="s">
        <v>639</v>
      </c>
      <c r="C47207" s="0" t="s">
        <v>361</v>
      </c>
    </row>
    <row r="47209" customFormat="false" ht="12.8" hidden="false" customHeight="false" outlineLevel="0" collapsed="false">
      <c r="A47209" s="0" t="s">
        <v>16775</v>
      </c>
      <c r="B47209" s="0" t="str">
        <f aca="false">HYPERLINK("https://lindat.mff.cuni.cz/services/teitok/pdtc10/index.php?action=vallex&amp;frame=v-whsa_279hsa_280", "stáčet se (v-whsa_279hsa_280)")</f>
        <v>stáčet se (v-whsa_279hsa_280)</v>
      </c>
    </row>
    <row r="47210" customFormat="false" ht="12.8" hidden="false" customHeight="false" outlineLevel="0" collapsed="false">
      <c r="B47210" s="0" t="s">
        <v>7</v>
      </c>
      <c r="C47210" s="0" t="s">
        <v>247</v>
      </c>
      <c r="D47210" s="0" t="s">
        <v>7977</v>
      </c>
      <c r="E47210" s="0" t="s">
        <v>7978</v>
      </c>
      <c r="F47210" s="0" t="s">
        <v>7978</v>
      </c>
    </row>
    <row r="47211" customFormat="false" ht="12.8" hidden="false" customHeight="false" outlineLevel="0" collapsed="false">
      <c r="B47211" s="0" t="s">
        <v>124</v>
      </c>
    </row>
    <row r="47213" customFormat="false" ht="12.8" hidden="false" customHeight="false" outlineLevel="0" collapsed="false">
      <c r="A47213" s="0" t="s">
        <v>16776</v>
      </c>
      <c r="B47213" s="0" t="str">
        <f aca="false">HYPERLINK("https://lindat.mff.cuni.cz/services/teitok/pdtc10/index.php?action=vallex&amp;frame=v-whsa_277hsa_278", "stáčet se (v-whsa_277hsa_278)")</f>
        <v>stáčet se (v-whsa_277hsa_278)</v>
      </c>
    </row>
    <row r="47214" customFormat="false" ht="12.8" hidden="false" customHeight="false" outlineLevel="0" collapsed="false">
      <c r="B47214" s="0" t="s">
        <v>7</v>
      </c>
    </row>
    <row r="47215" customFormat="false" ht="12.8" hidden="false" customHeight="false" outlineLevel="0" collapsed="false">
      <c r="B47215" s="0" t="s">
        <v>11</v>
      </c>
    </row>
    <row r="47217" customFormat="false" ht="12.8" hidden="false" customHeight="false" outlineLevel="0" collapsed="false">
      <c r="A47217" s="0" t="s">
        <v>16777</v>
      </c>
      <c r="B47217" s="0" t="str">
        <f aca="false">HYPERLINK("https://lindat.mff.cuni.cz/services/teitok/pdtc10/index.php?action=vallex&amp;frame=v-whsa_279f1_ZU", "stáčet se (v-whsa_279f1_ZU)")</f>
        <v>stáčet se (v-whsa_279f1_ZU)</v>
      </c>
    </row>
    <row r="47218" customFormat="false" ht="12.8" hidden="false" customHeight="false" outlineLevel="0" collapsed="false">
      <c r="B47218" s="0" t="s">
        <v>7</v>
      </c>
    </row>
    <row r="47219" customFormat="false" ht="12.8" hidden="false" customHeight="false" outlineLevel="0" collapsed="false">
      <c r="B47219" s="0" t="s">
        <v>11</v>
      </c>
    </row>
    <row r="47221" customFormat="false" ht="12.8" hidden="false" customHeight="false" outlineLevel="0" collapsed="false">
      <c r="A47221" s="0" t="s">
        <v>16778</v>
      </c>
      <c r="B47221" s="0" t="str">
        <f aca="false">HYPERLINK("https://lindat.mff.cuni.cz/services/teitok/pdtc10/index.php?action=vallex&amp;frame=v-whsa_1890hsa_1891", "stékat (v-whsa_1890hsa_1891)")</f>
        <v>stékat (v-whsa_1890hsa_1891)</v>
      </c>
    </row>
    <row r="47222" customFormat="false" ht="12.8" hidden="false" customHeight="false" outlineLevel="0" collapsed="false">
      <c r="B47222" s="0" t="s">
        <v>7</v>
      </c>
    </row>
    <row r="47223" customFormat="false" ht="12.8" hidden="false" customHeight="false" outlineLevel="0" collapsed="false">
      <c r="B47223" s="0" t="s">
        <v>459</v>
      </c>
    </row>
    <row r="47225" customFormat="false" ht="12.8" hidden="false" customHeight="false" outlineLevel="0" collapsed="false">
      <c r="A47225" s="0" t="s">
        <v>16779</v>
      </c>
      <c r="B47225" s="0" t="str">
        <f aca="false">HYPERLINK("https://lindat.mff.cuni.cz/services/teitok/pdtc10/index.php?action=vallex&amp;frame=v-w10285f2", "sténat (v-w10285f2)")</f>
        <v>sténat (v-w10285f2)</v>
      </c>
    </row>
    <row r="47226" customFormat="false" ht="12.8" hidden="false" customHeight="false" outlineLevel="0" collapsed="false">
      <c r="B47226" s="0" t="s">
        <v>7</v>
      </c>
      <c r="C47226" s="0" t="s">
        <v>184</v>
      </c>
      <c r="D47226" s="0" t="s">
        <v>8962</v>
      </c>
      <c r="E47226" s="0" t="s">
        <v>8962</v>
      </c>
      <c r="F47226" s="0" t="s">
        <v>8962</v>
      </c>
    </row>
    <row r="47228" customFormat="false" ht="12.8" hidden="false" customHeight="false" outlineLevel="0" collapsed="false">
      <c r="A47228" s="0" t="s">
        <v>16780</v>
      </c>
      <c r="B47228" s="0" t="str">
        <f aca="false">HYPERLINK("https://lindat.mff.cuni.cz/services/teitok/pdtc10/index.php?action=vallex&amp;frame=v-w6523f1", "stíhat (v-w6523f1)")</f>
        <v>stíhat (v-w6523f1)</v>
      </c>
    </row>
    <row r="47229" customFormat="false" ht="12.8" hidden="false" customHeight="false" outlineLevel="0" collapsed="false">
      <c r="B47229" s="0" t="s">
        <v>7</v>
      </c>
      <c r="C47229" s="0" t="s">
        <v>335</v>
      </c>
      <c r="D47229" s="0" t="s">
        <v>113</v>
      </c>
      <c r="E47229" s="0" t="s">
        <v>113</v>
      </c>
      <c r="F47229" s="0" t="s">
        <v>113</v>
      </c>
    </row>
    <row r="47230" customFormat="false" ht="12.8" hidden="false" customHeight="false" outlineLevel="0" collapsed="false">
      <c r="B47230" s="0" t="s">
        <v>14</v>
      </c>
      <c r="C47230" s="0" t="s">
        <v>1209</v>
      </c>
      <c r="D47230" s="0" t="s">
        <v>1405</v>
      </c>
      <c r="E47230" s="0" t="s">
        <v>1405</v>
      </c>
      <c r="F47230" s="0" t="s">
        <v>1405</v>
      </c>
    </row>
    <row r="47232" customFormat="false" ht="12.8" hidden="false" customHeight="false" outlineLevel="0" collapsed="false">
      <c r="A47232" s="0" t="s">
        <v>16781</v>
      </c>
      <c r="B47232" s="0" t="str">
        <f aca="false">HYPERLINK("https://lindat.mff.cuni.cz/services/teitok/pdtc10/index.php?action=vallex&amp;frame=v-w6523hsa_1293", "stíhat (v-w6523hsa_1293)")</f>
        <v>stíhat (v-w6523hsa_1293)</v>
      </c>
    </row>
    <row r="47233" customFormat="false" ht="12.8" hidden="false" customHeight="false" outlineLevel="0" collapsed="false">
      <c r="B47233" s="0" t="s">
        <v>7</v>
      </c>
    </row>
    <row r="47234" customFormat="false" ht="12.8" hidden="false" customHeight="false" outlineLevel="0" collapsed="false">
      <c r="B47234" s="0" t="s">
        <v>14</v>
      </c>
    </row>
    <row r="47236" customFormat="false" ht="12.8" hidden="false" customHeight="false" outlineLevel="0" collapsed="false">
      <c r="A47236" s="0" t="s">
        <v>16782</v>
      </c>
      <c r="B47236" s="0" t="str">
        <f aca="false">HYPERLINK("https://lindat.mff.cuni.cz/services/teitok/pdtc10/index.php?action=vallex&amp;frame=v-w6523hsa_1294", "stíhat (v-w6523hsa_1294)")</f>
        <v>stíhat (v-w6523hsa_1294)</v>
      </c>
    </row>
    <row r="47237" customFormat="false" ht="12.8" hidden="false" customHeight="false" outlineLevel="0" collapsed="false">
      <c r="B47237" s="0" t="s">
        <v>7</v>
      </c>
    </row>
    <row r="47238" customFormat="false" ht="12.8" hidden="false" customHeight="false" outlineLevel="0" collapsed="false">
      <c r="B47238" s="0" t="s">
        <v>306</v>
      </c>
    </row>
    <row r="47240" customFormat="false" ht="12.8" hidden="false" customHeight="false" outlineLevel="0" collapsed="false">
      <c r="A47240" s="0" t="s">
        <v>16783</v>
      </c>
      <c r="B47240" s="0" t="str">
        <f aca="false">HYPERLINK("https://lindat.mff.cuni.cz/services/teitok/pdtc10/index.php?action=vallex&amp;frame=v-w10086f3_ZU", "stínit (v-w10086f3_ZU)")</f>
        <v>stínit (v-w10086f3_ZU)</v>
      </c>
    </row>
    <row r="47241" customFormat="false" ht="12.8" hidden="false" customHeight="false" outlineLevel="0" collapsed="false">
      <c r="B47241" s="0" t="s">
        <v>7</v>
      </c>
    </row>
    <row r="47242" customFormat="false" ht="12.8" hidden="false" customHeight="false" outlineLevel="0" collapsed="false">
      <c r="B47242" s="0" t="s">
        <v>142</v>
      </c>
    </row>
    <row r="47244" customFormat="false" ht="12.8" hidden="false" customHeight="false" outlineLevel="0" collapsed="false">
      <c r="A47244" s="0" t="s">
        <v>16783</v>
      </c>
      <c r="B47244" s="0" t="str">
        <f aca="false">HYPERLINK("https://lindat.mff.cuni.cz/services/teitok/pdtc10/index.php?action=vallex&amp;frame=v-w10086f2", "stínit (v-w10086f2) - substituted with v-w10086f3_ZU")</f>
        <v>stínit (v-w10086f2) - substituted with v-w10086f3_ZU</v>
      </c>
    </row>
    <row r="47245" customFormat="false" ht="12.8" hidden="false" customHeight="false" outlineLevel="0" collapsed="false">
      <c r="B47245" s="0" t="s">
        <v>7</v>
      </c>
      <c r="C47245" s="0" t="s">
        <v>184</v>
      </c>
    </row>
    <row r="47246" customFormat="false" ht="12.8" hidden="false" customHeight="false" outlineLevel="0" collapsed="false">
      <c r="B47246" s="0" t="s">
        <v>142</v>
      </c>
      <c r="C47246" s="0" t="s">
        <v>47</v>
      </c>
    </row>
    <row r="47248" customFormat="false" ht="12.8" hidden="false" customHeight="false" outlineLevel="0" collapsed="false">
      <c r="A47248" s="0" t="s">
        <v>16784</v>
      </c>
      <c r="B47248" s="0" t="str">
        <f aca="false">HYPERLINK("https://lindat.mff.cuni.cz/services/teitok/pdtc10/index.php?action=vallex&amp;frame=v-w10403f2", "stínovat (v-w10403f2)")</f>
        <v>stínovat (v-w10403f2)</v>
      </c>
    </row>
    <row r="47249" customFormat="false" ht="12.8" hidden="false" customHeight="false" outlineLevel="0" collapsed="false">
      <c r="B47249" s="0" t="s">
        <v>7</v>
      </c>
    </row>
    <row r="47250" customFormat="false" ht="12.8" hidden="false" customHeight="false" outlineLevel="0" collapsed="false">
      <c r="B47250" s="0" t="s">
        <v>14</v>
      </c>
    </row>
    <row r="47252" customFormat="false" ht="12.8" hidden="false" customHeight="false" outlineLevel="0" collapsed="false">
      <c r="A47252" s="0" t="s">
        <v>16785</v>
      </c>
      <c r="B47252" s="0" t="str">
        <f aca="false">HYPERLINK("https://lindat.mff.cuni.cz/services/teitok/pdtc10/index.php?action=vallex&amp;frame=v-w11596_ZUf1_ZU", "stírat (v-w11596_ZUf1_ZU)")</f>
        <v>stírat (v-w11596_ZUf1_ZU)</v>
      </c>
    </row>
    <row r="47253" customFormat="false" ht="12.8" hidden="false" customHeight="false" outlineLevel="0" collapsed="false">
      <c r="B47253" s="0" t="s">
        <v>7</v>
      </c>
      <c r="D47253" s="0" t="s">
        <v>46</v>
      </c>
      <c r="E47253" s="0" t="s">
        <v>46</v>
      </c>
      <c r="F47253" s="0" t="s">
        <v>335</v>
      </c>
    </row>
    <row r="47254" customFormat="false" ht="12.8" hidden="false" customHeight="false" outlineLevel="0" collapsed="false">
      <c r="B47254" s="0" t="s">
        <v>14</v>
      </c>
      <c r="D47254" s="0" t="s">
        <v>1170</v>
      </c>
      <c r="E47254" s="0" t="s">
        <v>1170</v>
      </c>
      <c r="F47254" s="0" t="s">
        <v>1405</v>
      </c>
    </row>
    <row r="47256" customFormat="false" ht="12.8" hidden="false" customHeight="false" outlineLevel="0" collapsed="false">
      <c r="A47256" s="0" t="s">
        <v>16786</v>
      </c>
      <c r="B47256" s="0" t="str">
        <f aca="false">HYPERLINK("https://lindat.mff.cuni.cz/services/teitok/pdtc10/index.php?action=vallex&amp;frame=v-w6531f1", "stísnit se (v-w6531f1)")</f>
        <v>stísnit se (v-w6531f1)</v>
      </c>
    </row>
    <row r="47257" customFormat="false" ht="12.8" hidden="false" customHeight="false" outlineLevel="0" collapsed="false">
      <c r="B47257" s="0" t="s">
        <v>7</v>
      </c>
    </row>
    <row r="47258" customFormat="false" ht="12.8" hidden="false" customHeight="false" outlineLevel="0" collapsed="false">
      <c r="B47258" s="0" t="s">
        <v>11</v>
      </c>
    </row>
    <row r="47260" customFormat="false" ht="12.8" hidden="false" customHeight="false" outlineLevel="0" collapsed="false">
      <c r="A47260" s="0" t="s">
        <v>16787</v>
      </c>
      <c r="B47260" s="0" t="str">
        <f aca="false">HYPERLINK("https://lindat.mff.cuni.cz/services/teitok/pdtc10/index.php?action=vallex&amp;frame=v-w6531f2", "stísnit se (v-w6531f2)")</f>
        <v>stísnit se (v-w6531f2)</v>
      </c>
    </row>
    <row r="47261" customFormat="false" ht="12.8" hidden="false" customHeight="false" outlineLevel="0" collapsed="false">
      <c r="B47261" s="0" t="s">
        <v>7</v>
      </c>
    </row>
    <row r="47262" customFormat="false" ht="12.8" hidden="false" customHeight="false" outlineLevel="0" collapsed="false">
      <c r="B47262" s="0" t="s">
        <v>124</v>
      </c>
    </row>
    <row r="47264" customFormat="false" ht="12.8" hidden="false" customHeight="false" outlineLevel="0" collapsed="false">
      <c r="A47264" s="0" t="s">
        <v>16788</v>
      </c>
      <c r="B47264" s="0" t="str">
        <f aca="false">HYPERLINK("https://lindat.mff.cuni.cz/services/teitok/pdtc10/index.php?action=vallex&amp;frame=v-w6615f1", "stýkat se (v-w6615f1)")</f>
        <v>stýkat se (v-w6615f1)</v>
      </c>
    </row>
    <row r="47265" customFormat="false" ht="12.8" hidden="false" customHeight="false" outlineLevel="0" collapsed="false">
      <c r="B47265" s="0" t="s">
        <v>7</v>
      </c>
      <c r="D47265" s="0" t="s">
        <v>11037</v>
      </c>
      <c r="E47265" s="0" t="s">
        <v>11037</v>
      </c>
      <c r="F47265" s="0" t="s">
        <v>11037</v>
      </c>
    </row>
    <row r="47266" customFormat="false" ht="12.8" hidden="false" customHeight="false" outlineLevel="0" collapsed="false">
      <c r="B47266" s="0" t="s">
        <v>548</v>
      </c>
      <c r="C47266" s="0" t="s">
        <v>155</v>
      </c>
      <c r="D47266" s="0" t="s">
        <v>4163</v>
      </c>
      <c r="E47266" s="0" t="s">
        <v>4163</v>
      </c>
      <c r="F47266" s="0" t="s">
        <v>4163</v>
      </c>
    </row>
    <row r="47268" customFormat="false" ht="12.8" hidden="false" customHeight="false" outlineLevel="0" collapsed="false">
      <c r="A47268" s="0" t="s">
        <v>16789</v>
      </c>
      <c r="B47268" s="0" t="str">
        <f aca="false">HYPERLINK("https://lindat.mff.cuni.cz/services/teitok/pdtc10/index.php?action=vallex&amp;frame=v-w6615hsa_352", "stýkat se (v-w6615hsa_352)")</f>
        <v>stýkat se (v-w6615hsa_352)</v>
      </c>
    </row>
    <row r="47269" customFormat="false" ht="12.8" hidden="false" customHeight="false" outlineLevel="0" collapsed="false">
      <c r="B47269" s="0" t="s">
        <v>7</v>
      </c>
    </row>
    <row r="47270" customFormat="false" ht="12.8" hidden="false" customHeight="false" outlineLevel="0" collapsed="false">
      <c r="B47270" s="0" t="s">
        <v>548</v>
      </c>
    </row>
    <row r="47272" customFormat="false" ht="12.8" hidden="false" customHeight="false" outlineLevel="0" collapsed="false">
      <c r="A47272" s="0" t="s">
        <v>16790</v>
      </c>
      <c r="B47272" s="0" t="str">
        <f aca="false">HYPERLINK("https://lindat.mff.cuni.cz/services/teitok/pdtc10/index.php?action=vallex&amp;frame=v-w6618f1", "stýskat se (v-w6618f1)")</f>
        <v>stýskat se (v-w6618f1)</v>
      </c>
    </row>
    <row r="47273" customFormat="false" ht="12.8" hidden="false" customHeight="false" outlineLevel="0" collapsed="false">
      <c r="B47273" s="0" t="s">
        <v>603</v>
      </c>
      <c r="E47273" s="0" t="s">
        <v>468</v>
      </c>
      <c r="F47273" s="0" t="s">
        <v>468</v>
      </c>
    </row>
    <row r="47274" customFormat="false" ht="12.8" hidden="false" customHeight="false" outlineLevel="0" collapsed="false">
      <c r="B47274" s="0" t="s">
        <v>1258</v>
      </c>
      <c r="E47274" s="0" t="s">
        <v>16791</v>
      </c>
      <c r="F47274" s="0" t="s">
        <v>16791</v>
      </c>
    </row>
    <row r="47276" customFormat="false" ht="12.8" hidden="false" customHeight="false" outlineLevel="0" collapsed="false">
      <c r="A47276" s="0" t="s">
        <v>16792</v>
      </c>
      <c r="B47276" s="0" t="str">
        <f aca="false">HYPERLINK("https://lindat.mff.cuni.cz/services/teitok/pdtc10/index.php?action=vallex&amp;frame=v-w6516f1", "stěhovat (v-w6516f1)")</f>
        <v>stěhovat (v-w6516f1)</v>
      </c>
    </row>
    <row r="47277" customFormat="false" ht="12.8" hidden="false" customHeight="false" outlineLevel="0" collapsed="false">
      <c r="B47277" s="0" t="s">
        <v>7</v>
      </c>
      <c r="C47277" s="0" t="s">
        <v>4136</v>
      </c>
      <c r="D47277" s="0" t="s">
        <v>4161</v>
      </c>
      <c r="E47277" s="0" t="s">
        <v>4161</v>
      </c>
      <c r="F47277" s="0" t="s">
        <v>16793</v>
      </c>
    </row>
    <row r="47278" customFormat="false" ht="12.8" hidden="false" customHeight="false" outlineLevel="0" collapsed="false">
      <c r="B47278" s="0" t="s">
        <v>14</v>
      </c>
      <c r="C47278" s="0" t="s">
        <v>469</v>
      </c>
      <c r="D47278" s="0" t="s">
        <v>8195</v>
      </c>
      <c r="E47278" s="0" t="s">
        <v>8195</v>
      </c>
      <c r="F47278" s="0" t="s">
        <v>16794</v>
      </c>
    </row>
    <row r="47280" customFormat="false" ht="12.8" hidden="false" customHeight="false" outlineLevel="0" collapsed="false">
      <c r="A47280" s="0" t="s">
        <v>16795</v>
      </c>
      <c r="B47280" s="0" t="str">
        <f aca="false">HYPERLINK("https://lindat.mff.cuni.cz/services/teitok/pdtc10/index.php?action=vallex&amp;frame=v-w6516f2", "stěhovat (v-w6516f2)")</f>
        <v>stěhovat (v-w6516f2)</v>
      </c>
    </row>
    <row r="47281" customFormat="false" ht="12.8" hidden="false" customHeight="false" outlineLevel="0" collapsed="false">
      <c r="B47281" s="0" t="s">
        <v>7</v>
      </c>
      <c r="F47281" s="0" t="s">
        <v>16796</v>
      </c>
    </row>
    <row r="47282" customFormat="false" ht="12.8" hidden="false" customHeight="false" outlineLevel="0" collapsed="false">
      <c r="B47282" s="0" t="s">
        <v>14</v>
      </c>
      <c r="F47282" s="0" t="s">
        <v>16797</v>
      </c>
    </row>
    <row r="47284" customFormat="false" ht="12.8" hidden="false" customHeight="false" outlineLevel="0" collapsed="false">
      <c r="A47284" s="0" t="s">
        <v>16798</v>
      </c>
      <c r="B47284" s="0" t="str">
        <f aca="false">HYPERLINK("https://lindat.mff.cuni.cz/services/teitok/pdtc10/index.php?action=vallex&amp;frame=v-w6517f1", "stěhovat se (v-w6517f1)")</f>
        <v>stěhovat se (v-w6517f1)</v>
      </c>
    </row>
    <row r="47285" customFormat="false" ht="12.8" hidden="false" customHeight="false" outlineLevel="0" collapsed="false">
      <c r="B47285" s="0" t="s">
        <v>7</v>
      </c>
      <c r="C47285" s="0" t="s">
        <v>7068</v>
      </c>
      <c r="D47285" s="0" t="s">
        <v>1582</v>
      </c>
      <c r="E47285" s="0" t="s">
        <v>1582</v>
      </c>
      <c r="F47285" s="0" t="s">
        <v>16799</v>
      </c>
    </row>
    <row r="47286" customFormat="false" ht="12.8" hidden="false" customHeight="false" outlineLevel="0" collapsed="false">
      <c r="B47286" s="0" t="s">
        <v>124</v>
      </c>
      <c r="F47286" s="0" t="s">
        <v>16800</v>
      </c>
    </row>
    <row r="47288" customFormat="false" ht="12.8" hidden="false" customHeight="false" outlineLevel="0" collapsed="false">
      <c r="A47288" s="0" t="s">
        <v>16801</v>
      </c>
      <c r="B47288" s="0" t="str">
        <f aca="false">HYPERLINK("https://lindat.mff.cuni.cz/services/teitok/pdtc10/index.php?action=vallex&amp;frame=v-w12312_MMf1_MM", "stěsnat (v-w12312_MMf1_MM)")</f>
        <v>stěsnat (v-w12312_MMf1_MM)</v>
      </c>
    </row>
    <row r="47289" customFormat="false" ht="12.8" hidden="false" customHeight="false" outlineLevel="0" collapsed="false">
      <c r="B47289" s="0" t="s">
        <v>7</v>
      </c>
    </row>
    <row r="47290" customFormat="false" ht="12.8" hidden="false" customHeight="false" outlineLevel="0" collapsed="false">
      <c r="B47290" s="0" t="s">
        <v>14</v>
      </c>
    </row>
    <row r="47291" customFormat="false" ht="12.8" hidden="false" customHeight="false" outlineLevel="0" collapsed="false">
      <c r="B47291" s="0" t="s">
        <v>124</v>
      </c>
    </row>
    <row r="47293" customFormat="false" ht="12.8" hidden="false" customHeight="false" outlineLevel="0" collapsed="false">
      <c r="A47293" s="0" t="s">
        <v>16802</v>
      </c>
      <c r="B47293" s="0" t="str">
        <f aca="false">HYPERLINK("https://lindat.mff.cuni.cz/services/teitok/pdtc10/index.php?action=vallex&amp;frame=v-w6521f1", "stěžovat si (v-w6521f1)")</f>
        <v>stěžovat si (v-w6521f1)</v>
      </c>
    </row>
    <row r="47294" customFormat="false" ht="12.8" hidden="false" customHeight="false" outlineLevel="0" collapsed="false">
      <c r="B47294" s="0" t="s">
        <v>7</v>
      </c>
      <c r="C47294" s="0" t="s">
        <v>3243</v>
      </c>
      <c r="D47294" s="0" t="s">
        <v>5057</v>
      </c>
      <c r="E47294" s="0" t="s">
        <v>5057</v>
      </c>
      <c r="F47294" s="0" t="s">
        <v>5057</v>
      </c>
    </row>
    <row r="47295" customFormat="false" ht="12.8" hidden="false" customHeight="false" outlineLevel="0" collapsed="false">
      <c r="B47295" s="0" t="s">
        <v>16803</v>
      </c>
      <c r="C47295" s="0" t="s">
        <v>414</v>
      </c>
      <c r="D47295" s="0" t="s">
        <v>7481</v>
      </c>
      <c r="E47295" s="0" t="s">
        <v>7481</v>
      </c>
      <c r="F47295" s="0" t="s">
        <v>7481</v>
      </c>
    </row>
    <row r="47296" customFormat="false" ht="12.8" hidden="false" customHeight="false" outlineLevel="0" collapsed="false">
      <c r="B47296" s="0" t="s">
        <v>106</v>
      </c>
      <c r="C47296" s="0" t="s">
        <v>7572</v>
      </c>
      <c r="D47296" s="0" t="s">
        <v>7572</v>
      </c>
      <c r="E47296" s="0" t="s">
        <v>7572</v>
      </c>
      <c r="F47296" s="0" t="s">
        <v>7572</v>
      </c>
    </row>
    <row r="47298" customFormat="false" ht="12.8" hidden="false" customHeight="false" outlineLevel="0" collapsed="false">
      <c r="A47298" s="0" t="s">
        <v>16804</v>
      </c>
      <c r="B47298" s="0" t="str">
        <f aca="false">HYPERLINK("https://lindat.mff.cuni.cz/services/teitok/pdtc10/index.php?action=vallex&amp;frame=v-w6521f2", "stěžovat si (v-w6521f2)")</f>
        <v>stěžovat si (v-w6521f2)</v>
      </c>
    </row>
    <row r="47299" customFormat="false" ht="12.8" hidden="false" customHeight="false" outlineLevel="0" collapsed="false">
      <c r="B47299" s="0" t="s">
        <v>7</v>
      </c>
      <c r="C47299" s="0" t="s">
        <v>4171</v>
      </c>
      <c r="D47299" s="0" t="s">
        <v>5057</v>
      </c>
      <c r="E47299" s="0" t="s">
        <v>5057</v>
      </c>
      <c r="F47299" s="0" t="s">
        <v>5057</v>
      </c>
    </row>
    <row r="47300" customFormat="false" ht="12.8" hidden="false" customHeight="false" outlineLevel="0" collapsed="false">
      <c r="B47300" s="0" t="s">
        <v>48</v>
      </c>
      <c r="C47300" s="0" t="s">
        <v>7572</v>
      </c>
      <c r="D47300" s="0" t="s">
        <v>7572</v>
      </c>
      <c r="E47300" s="0" t="s">
        <v>7572</v>
      </c>
      <c r="F47300" s="0" t="s">
        <v>7572</v>
      </c>
    </row>
    <row r="47301" customFormat="false" ht="12.8" hidden="false" customHeight="false" outlineLevel="0" collapsed="false">
      <c r="B47301" s="0" t="s">
        <v>16805</v>
      </c>
      <c r="C47301" s="0" t="s">
        <v>16806</v>
      </c>
      <c r="D47301" s="0" t="s">
        <v>11232</v>
      </c>
      <c r="E47301" s="0" t="s">
        <v>11232</v>
      </c>
      <c r="F47301" s="0" t="s">
        <v>11232</v>
      </c>
    </row>
    <row r="47302" customFormat="false" ht="12.8" hidden="false" customHeight="false" outlineLevel="0" collapsed="false">
      <c r="B47302" s="0" t="s">
        <v>63</v>
      </c>
      <c r="D47302" s="0" t="s">
        <v>7481</v>
      </c>
      <c r="E47302" s="0" t="s">
        <v>7481</v>
      </c>
      <c r="F47302" s="0" t="s">
        <v>7481</v>
      </c>
    </row>
    <row r="47304" customFormat="false" ht="12.8" hidden="false" customHeight="false" outlineLevel="0" collapsed="false">
      <c r="A47304" s="0" t="s">
        <v>16807</v>
      </c>
      <c r="B47304" s="0" t="str">
        <f aca="false">HYPERLINK("https://lindat.mff.cuni.cz/services/teitok/pdtc10/index.php?action=vallex&amp;frame=v-w11595_ZUf1_ZU", "stěžovávat si (v-w11595_ZUf1_ZU)")</f>
        <v>stěžovávat si (v-w11595_ZUf1_ZU)</v>
      </c>
    </row>
    <row r="47305" customFormat="false" ht="12.8" hidden="false" customHeight="false" outlineLevel="0" collapsed="false">
      <c r="B47305" s="0" t="s">
        <v>7</v>
      </c>
      <c r="D47305" s="0" t="s">
        <v>5057</v>
      </c>
      <c r="E47305" s="0" t="s">
        <v>5057</v>
      </c>
      <c r="F47305" s="0" t="s">
        <v>5057</v>
      </c>
    </row>
    <row r="47306" customFormat="false" ht="12.8" hidden="false" customHeight="false" outlineLevel="0" collapsed="false">
      <c r="B47306" s="0" t="s">
        <v>16803</v>
      </c>
      <c r="D47306" s="0" t="s">
        <v>7481</v>
      </c>
      <c r="E47306" s="0" t="s">
        <v>7481</v>
      </c>
      <c r="F47306" s="0" t="s">
        <v>7481</v>
      </c>
    </row>
    <row r="47307" customFormat="false" ht="12.8" hidden="false" customHeight="false" outlineLevel="0" collapsed="false">
      <c r="B47307" s="0" t="s">
        <v>106</v>
      </c>
      <c r="D47307" s="0" t="s">
        <v>7572</v>
      </c>
      <c r="E47307" s="0" t="s">
        <v>7572</v>
      </c>
      <c r="F47307" s="0" t="s">
        <v>7572</v>
      </c>
    </row>
    <row r="47309" customFormat="false" ht="12.8" hidden="false" customHeight="false" outlineLevel="0" collapsed="false">
      <c r="A47309" s="0" t="s">
        <v>16808</v>
      </c>
      <c r="B47309" s="0" t="str">
        <f aca="false">HYPERLINK("https://lindat.mff.cuni.cz/services/teitok/pdtc10/index.php?action=vallex&amp;frame=v-w6587f4", "střelit (v-w6587f4)")</f>
        <v>střelit (v-w6587f4)</v>
      </c>
    </row>
    <row r="47310" customFormat="false" ht="12.8" hidden="false" customHeight="false" outlineLevel="0" collapsed="false">
      <c r="B47310" s="0" t="s">
        <v>7</v>
      </c>
    </row>
    <row r="47311" customFormat="false" ht="12.8" hidden="false" customHeight="false" outlineLevel="0" collapsed="false">
      <c r="B47311" s="0" t="s">
        <v>14</v>
      </c>
    </row>
    <row r="47312" customFormat="false" ht="12.8" hidden="false" customHeight="false" outlineLevel="0" collapsed="false">
      <c r="B47312" s="0" t="s">
        <v>106</v>
      </c>
    </row>
    <row r="47314" customFormat="false" ht="12.8" hidden="false" customHeight="false" outlineLevel="0" collapsed="false">
      <c r="A47314" s="0" t="s">
        <v>16809</v>
      </c>
      <c r="B47314" s="0" t="str">
        <f aca="false">HYPERLINK("https://lindat.mff.cuni.cz/services/teitok/pdtc10/index.php?action=vallex&amp;frame=v-w6587f5", "střelit (v-w6587f5)")</f>
        <v>střelit (v-w6587f5)</v>
      </c>
    </row>
    <row r="47315" customFormat="false" ht="12.8" hidden="false" customHeight="false" outlineLevel="0" collapsed="false">
      <c r="B47315" s="0" t="s">
        <v>7</v>
      </c>
    </row>
    <row r="47316" customFormat="false" ht="12.8" hidden="false" customHeight="false" outlineLevel="0" collapsed="false">
      <c r="B47316" s="0" t="s">
        <v>14</v>
      </c>
    </row>
    <row r="47317" customFormat="false" ht="12.8" hidden="false" customHeight="false" outlineLevel="0" collapsed="false">
      <c r="B47317" s="0" t="s">
        <v>124</v>
      </c>
    </row>
    <row r="47319" customFormat="false" ht="12.8" hidden="false" customHeight="false" outlineLevel="0" collapsed="false">
      <c r="A47319" s="0" t="s">
        <v>16810</v>
      </c>
      <c r="B47319" s="0" t="str">
        <f aca="false">HYPERLINK("https://lindat.mff.cuni.cz/services/teitok/pdtc10/index.php?action=vallex&amp;frame=v-w6587f3", "střelit (v-w6587f3)")</f>
        <v>střelit (v-w6587f3)</v>
      </c>
    </row>
    <row r="47320" customFormat="false" ht="12.8" hidden="false" customHeight="false" outlineLevel="0" collapsed="false">
      <c r="B47320" s="0" t="s">
        <v>7</v>
      </c>
      <c r="C47320" s="0" t="s">
        <v>335</v>
      </c>
      <c r="D47320" s="0" t="s">
        <v>5057</v>
      </c>
      <c r="E47320" s="0" t="s">
        <v>5057</v>
      </c>
      <c r="F47320" s="0" t="s">
        <v>5057</v>
      </c>
    </row>
    <row r="47321" customFormat="false" ht="12.8" hidden="false" customHeight="false" outlineLevel="0" collapsed="false">
      <c r="B47321" s="0" t="s">
        <v>14</v>
      </c>
      <c r="D47321" s="0" t="s">
        <v>8042</v>
      </c>
      <c r="E47321" s="0" t="s">
        <v>8042</v>
      </c>
      <c r="F47321" s="0" t="s">
        <v>8042</v>
      </c>
    </row>
    <row r="47323" customFormat="false" ht="12.8" hidden="false" customHeight="false" outlineLevel="0" collapsed="false">
      <c r="A47323" s="0" t="s">
        <v>16811</v>
      </c>
      <c r="B47323" s="0" t="str">
        <f aca="false">HYPERLINK("https://lindat.mff.cuni.cz/services/teitok/pdtc10/index.php?action=vallex&amp;frame=v-w6587f2", "střelit (v-w6587f2)")</f>
        <v>střelit (v-w6587f2)</v>
      </c>
    </row>
    <row r="47324" customFormat="false" ht="12.8" hidden="false" customHeight="false" outlineLevel="0" collapsed="false">
      <c r="B47324" s="0" t="s">
        <v>7</v>
      </c>
      <c r="D47324" s="0" t="s">
        <v>184</v>
      </c>
      <c r="E47324" s="0" t="s">
        <v>184</v>
      </c>
      <c r="F47324" s="0" t="s">
        <v>184</v>
      </c>
    </row>
    <row r="47325" customFormat="false" ht="12.8" hidden="false" customHeight="false" outlineLevel="0" collapsed="false">
      <c r="B47325" s="0" t="s">
        <v>14</v>
      </c>
      <c r="D47325" s="0" t="s">
        <v>47</v>
      </c>
      <c r="E47325" s="0" t="s">
        <v>47</v>
      </c>
      <c r="F47325" s="0" t="s">
        <v>47</v>
      </c>
    </row>
    <row r="47327" customFormat="false" ht="12.8" hidden="false" customHeight="false" outlineLevel="0" collapsed="false">
      <c r="A47327" s="0" t="s">
        <v>16812</v>
      </c>
      <c r="B47327" s="0" t="str">
        <f aca="false">HYPERLINK("https://lindat.mff.cuni.cz/services/teitok/pdtc10/index.php?action=vallex&amp;frame=v-w6587f1", "střelit (v-w6587f1)")</f>
        <v>střelit (v-w6587f1)</v>
      </c>
    </row>
    <row r="47328" customFormat="false" ht="12.8" hidden="false" customHeight="false" outlineLevel="0" collapsed="false">
      <c r="B47328" s="0" t="s">
        <v>7</v>
      </c>
      <c r="C47328" s="0" t="s">
        <v>184</v>
      </c>
      <c r="D47328" s="0" t="s">
        <v>184</v>
      </c>
      <c r="E47328" s="0" t="s">
        <v>184</v>
      </c>
      <c r="F47328" s="0" t="s">
        <v>184</v>
      </c>
    </row>
    <row r="47329" customFormat="false" ht="12.8" hidden="false" customHeight="false" outlineLevel="0" collapsed="false">
      <c r="B47329" s="0" t="s">
        <v>297</v>
      </c>
      <c r="C47329" s="0" t="s">
        <v>115</v>
      </c>
      <c r="D47329" s="0" t="s">
        <v>47</v>
      </c>
      <c r="E47329" s="0" t="s">
        <v>47</v>
      </c>
      <c r="F47329" s="0" t="s">
        <v>47</v>
      </c>
    </row>
    <row r="47331" customFormat="false" ht="12.8" hidden="false" customHeight="false" outlineLevel="0" collapsed="false">
      <c r="A47331" s="0" t="s">
        <v>16813</v>
      </c>
      <c r="B47331" s="0" t="str">
        <f aca="false">HYPERLINK("https://lindat.mff.cuni.cz/services/teitok/pdtc10/index.php?action=vallex&amp;frame=v-w6587f6", "střelit (v-w6587f6)")</f>
        <v>střelit (v-w6587f6)</v>
      </c>
    </row>
    <row r="47332" customFormat="false" ht="12.8" hidden="false" customHeight="false" outlineLevel="0" collapsed="false">
      <c r="B47332" s="0" t="s">
        <v>7</v>
      </c>
      <c r="C47332" s="0" t="s">
        <v>46</v>
      </c>
    </row>
    <row r="47333" customFormat="false" ht="12.8" hidden="false" customHeight="false" outlineLevel="0" collapsed="false">
      <c r="B47333" s="0" t="s">
        <v>16814</v>
      </c>
      <c r="C47333" s="0" t="s">
        <v>3589</v>
      </c>
    </row>
    <row r="47334" customFormat="false" ht="12.8" hidden="false" customHeight="false" outlineLevel="0" collapsed="false">
      <c r="B47334" s="0" t="s">
        <v>1375</v>
      </c>
    </row>
    <row r="47336" customFormat="false" ht="12.8" hidden="false" customHeight="false" outlineLevel="0" collapsed="false">
      <c r="A47336" s="0" t="s">
        <v>16815</v>
      </c>
      <c r="B47336" s="0" t="str">
        <f aca="false">HYPERLINK("https://lindat.mff.cuni.cz/services/teitok/pdtc10/index.php?action=vallex&amp;frame=v-w6591f1", "střetnout (v-w6591f1)")</f>
        <v>střetnout (v-w6591f1)</v>
      </c>
    </row>
    <row r="47337" customFormat="false" ht="12.8" hidden="false" customHeight="false" outlineLevel="0" collapsed="false">
      <c r="B47337" s="0" t="s">
        <v>7</v>
      </c>
      <c r="E47337" s="0" t="s">
        <v>11037</v>
      </c>
      <c r="F47337" s="0" t="s">
        <v>11037</v>
      </c>
    </row>
    <row r="47338" customFormat="false" ht="12.8" hidden="false" customHeight="false" outlineLevel="0" collapsed="false">
      <c r="B47338" s="0" t="s">
        <v>548</v>
      </c>
      <c r="E47338" s="0" t="s">
        <v>4163</v>
      </c>
      <c r="F47338" s="0" t="s">
        <v>4163</v>
      </c>
    </row>
    <row r="47339" customFormat="false" ht="12.8" hidden="false" customHeight="false" outlineLevel="0" collapsed="false">
      <c r="B47339" s="0" t="s">
        <v>1252</v>
      </c>
    </row>
    <row r="47341" customFormat="false" ht="12.8" hidden="false" customHeight="false" outlineLevel="0" collapsed="false">
      <c r="A47341" s="0" t="s">
        <v>16816</v>
      </c>
      <c r="B47341" s="0" t="str">
        <f aca="false">HYPERLINK("https://lindat.mff.cuni.cz/services/teitok/pdtc10/index.php?action=vallex&amp;frame=v-w6591f2", "střetnout (v-w6591f2)")</f>
        <v>střetnout (v-w6591f2)</v>
      </c>
    </row>
    <row r="47342" customFormat="false" ht="12.8" hidden="false" customHeight="false" outlineLevel="0" collapsed="false">
      <c r="B47342" s="0" t="s">
        <v>7</v>
      </c>
      <c r="E47342" s="0" t="s">
        <v>11037</v>
      </c>
      <c r="F47342" s="0" t="s">
        <v>11037</v>
      </c>
    </row>
    <row r="47343" customFormat="false" ht="12.8" hidden="false" customHeight="false" outlineLevel="0" collapsed="false">
      <c r="B47343" s="0" t="s">
        <v>14</v>
      </c>
      <c r="E47343" s="0" t="s">
        <v>4163</v>
      </c>
      <c r="F47343" s="0" t="s">
        <v>4163</v>
      </c>
    </row>
    <row r="47345" customFormat="false" ht="12.8" hidden="false" customHeight="false" outlineLevel="0" collapsed="false">
      <c r="A47345" s="0" t="s">
        <v>16817</v>
      </c>
      <c r="B47345" s="0" t="str">
        <f aca="false">HYPERLINK("https://lindat.mff.cuni.cz/services/teitok/pdtc10/index.php?action=vallex&amp;frame=v-w6592f1", "střetnout se (v-w6592f1)")</f>
        <v>střetnout se (v-w6592f1)</v>
      </c>
    </row>
    <row r="47346" customFormat="false" ht="12.8" hidden="false" customHeight="false" outlineLevel="0" collapsed="false">
      <c r="B47346" s="0" t="s">
        <v>7</v>
      </c>
      <c r="C47346" s="0" t="s">
        <v>16818</v>
      </c>
      <c r="D47346" s="0" t="s">
        <v>316</v>
      </c>
      <c r="E47346" s="0" t="s">
        <v>316</v>
      </c>
      <c r="F47346" s="0" t="s">
        <v>316</v>
      </c>
    </row>
    <row r="47347" customFormat="false" ht="12.8" hidden="false" customHeight="false" outlineLevel="0" collapsed="false">
      <c r="B47347" s="0" t="s">
        <v>207</v>
      </c>
      <c r="C47347" s="0" t="s">
        <v>16819</v>
      </c>
      <c r="D47347" s="0" t="s">
        <v>319</v>
      </c>
      <c r="E47347" s="0" t="s">
        <v>319</v>
      </c>
      <c r="F47347" s="0" t="s">
        <v>319</v>
      </c>
    </row>
    <row r="47348" customFormat="false" ht="12.8" hidden="false" customHeight="false" outlineLevel="0" collapsed="false">
      <c r="B47348" s="0" t="s">
        <v>2721</v>
      </c>
      <c r="C47348" s="0" t="s">
        <v>1544</v>
      </c>
      <c r="D47348" s="0" t="s">
        <v>322</v>
      </c>
      <c r="E47348" s="0" t="s">
        <v>322</v>
      </c>
      <c r="F47348" s="0" t="s">
        <v>322</v>
      </c>
    </row>
    <row r="47350" customFormat="false" ht="12.8" hidden="false" customHeight="false" outlineLevel="0" collapsed="false">
      <c r="A47350" s="0" t="s">
        <v>16820</v>
      </c>
      <c r="B47350" s="0" t="str">
        <f aca="false">HYPERLINK("https://lindat.mff.cuni.cz/services/teitok/pdtc10/index.php?action=vallex&amp;frame=v-w6592f2_ZU", "střetnout se (v-w6592f2_ZU)")</f>
        <v>střetnout se (v-w6592f2_ZU)</v>
      </c>
    </row>
    <row r="47351" customFormat="false" ht="12.8" hidden="false" customHeight="false" outlineLevel="0" collapsed="false">
      <c r="B47351" s="0" t="s">
        <v>7</v>
      </c>
    </row>
    <row r="47352" customFormat="false" ht="12.8" hidden="false" customHeight="false" outlineLevel="0" collapsed="false">
      <c r="B47352" s="0" t="s">
        <v>548</v>
      </c>
    </row>
    <row r="47354" customFormat="false" ht="12.8" hidden="false" customHeight="false" outlineLevel="0" collapsed="false">
      <c r="A47354" s="0" t="s">
        <v>16821</v>
      </c>
      <c r="B47354" s="0" t="str">
        <f aca="false">HYPERLINK("https://lindat.mff.cuni.cz/services/teitok/pdtc10/index.php?action=vallex&amp;frame=v-w6589f1", "střetávat (v-w6589f1)")</f>
        <v>střetávat (v-w6589f1)</v>
      </c>
    </row>
    <row r="47355" customFormat="false" ht="12.8" hidden="false" customHeight="false" outlineLevel="0" collapsed="false">
      <c r="B47355" s="0" t="s">
        <v>7</v>
      </c>
    </row>
    <row r="47356" customFormat="false" ht="12.8" hidden="false" customHeight="false" outlineLevel="0" collapsed="false">
      <c r="B47356" s="0" t="s">
        <v>548</v>
      </c>
    </row>
    <row r="47357" customFormat="false" ht="12.8" hidden="false" customHeight="false" outlineLevel="0" collapsed="false">
      <c r="B47357" s="0" t="s">
        <v>1252</v>
      </c>
    </row>
    <row r="47359" customFormat="false" ht="12.8" hidden="false" customHeight="false" outlineLevel="0" collapsed="false">
      <c r="A47359" s="0" t="s">
        <v>16822</v>
      </c>
      <c r="B47359" s="0" t="str">
        <f aca="false">HYPERLINK("https://lindat.mff.cuni.cz/services/teitok/pdtc10/index.php?action=vallex&amp;frame=v-w6589f2", "střetávat (v-w6589f2)")</f>
        <v>střetávat (v-w6589f2)</v>
      </c>
    </row>
    <row r="47360" customFormat="false" ht="12.8" hidden="false" customHeight="false" outlineLevel="0" collapsed="false">
      <c r="B47360" s="0" t="s">
        <v>7</v>
      </c>
    </row>
    <row r="47361" customFormat="false" ht="12.8" hidden="false" customHeight="false" outlineLevel="0" collapsed="false">
      <c r="B47361" s="0" t="s">
        <v>14</v>
      </c>
    </row>
    <row r="47363" customFormat="false" ht="12.8" hidden="false" customHeight="false" outlineLevel="0" collapsed="false">
      <c r="A47363" s="0" t="s">
        <v>16823</v>
      </c>
      <c r="B47363" s="0" t="str">
        <f aca="false">HYPERLINK("https://lindat.mff.cuni.cz/services/teitok/pdtc10/index.php?action=vallex&amp;frame=v-w6590f1", "střetávat se (v-w6590f1)")</f>
        <v>střetávat se (v-w6590f1)</v>
      </c>
    </row>
    <row r="47364" customFormat="false" ht="12.8" hidden="false" customHeight="false" outlineLevel="0" collapsed="false">
      <c r="B47364" s="0" t="s">
        <v>7</v>
      </c>
    </row>
    <row r="47365" customFormat="false" ht="12.8" hidden="false" customHeight="false" outlineLevel="0" collapsed="false">
      <c r="B47365" s="0" t="s">
        <v>548</v>
      </c>
    </row>
    <row r="47367" customFormat="false" ht="12.8" hidden="false" customHeight="false" outlineLevel="0" collapsed="false">
      <c r="A47367" s="0" t="s">
        <v>16824</v>
      </c>
      <c r="B47367" s="0" t="str">
        <f aca="false">HYPERLINK("https://lindat.mff.cuni.cz/services/teitok/pdtc10/index.php?action=vallex&amp;frame=v-w6590f2", "střetávat se (v-w6590f2)")</f>
        <v>střetávat se (v-w6590f2)</v>
      </c>
    </row>
    <row r="47368" customFormat="false" ht="12.8" hidden="false" customHeight="false" outlineLevel="0" collapsed="false">
      <c r="B47368" s="0" t="s">
        <v>7</v>
      </c>
    </row>
    <row r="47369" customFormat="false" ht="12.8" hidden="false" customHeight="false" outlineLevel="0" collapsed="false">
      <c r="B47369" s="0" t="s">
        <v>207</v>
      </c>
    </row>
    <row r="47370" customFormat="false" ht="12.8" hidden="false" customHeight="false" outlineLevel="0" collapsed="false">
      <c r="B47370" s="0" t="s">
        <v>2721</v>
      </c>
    </row>
    <row r="47372" customFormat="false" ht="12.8" hidden="false" customHeight="false" outlineLevel="0" collapsed="false">
      <c r="A47372" s="0" t="s">
        <v>16825</v>
      </c>
      <c r="B47372" s="0" t="str">
        <f aca="false">HYPERLINK("https://lindat.mff.cuni.cz/services/teitok/pdtc10/index.php?action=vallex&amp;frame=v-w6595f1", "střežit (v-w6595f1)")</f>
        <v>střežit (v-w6595f1)</v>
      </c>
    </row>
    <row r="47373" customFormat="false" ht="12.8" hidden="false" customHeight="false" outlineLevel="0" collapsed="false">
      <c r="B47373" s="0" t="s">
        <v>7</v>
      </c>
      <c r="C47373" s="0" t="s">
        <v>569</v>
      </c>
      <c r="D47373" s="0" t="s">
        <v>569</v>
      </c>
      <c r="E47373" s="0" t="s">
        <v>569</v>
      </c>
      <c r="F47373" s="0" t="s">
        <v>569</v>
      </c>
    </row>
    <row r="47374" customFormat="false" ht="12.8" hidden="false" customHeight="false" outlineLevel="0" collapsed="false">
      <c r="B47374" s="0" t="s">
        <v>2030</v>
      </c>
      <c r="C47374" s="0" t="s">
        <v>33</v>
      </c>
      <c r="D47374" s="0" t="s">
        <v>33</v>
      </c>
      <c r="E47374" s="0" t="s">
        <v>33</v>
      </c>
      <c r="F47374" s="0" t="s">
        <v>33</v>
      </c>
    </row>
    <row r="47376" customFormat="false" ht="12.8" hidden="false" customHeight="false" outlineLevel="0" collapsed="false">
      <c r="A47376" s="0" t="s">
        <v>16826</v>
      </c>
      <c r="B47376" s="0" t="str">
        <f aca="false">HYPERLINK("https://lindat.mff.cuni.cz/services/teitok/pdtc10/index.php?action=vallex&amp;frame=v-w11599_ZUf1_ZU", "střihnout si (v-w11599_ZUf1_ZU)")</f>
        <v>střihnout si (v-w11599_ZUf1_ZU)</v>
      </c>
    </row>
    <row r="47377" customFormat="false" ht="12.8" hidden="false" customHeight="false" outlineLevel="0" collapsed="false">
      <c r="B47377" s="0" t="s">
        <v>7</v>
      </c>
    </row>
    <row r="47378" customFormat="false" ht="12.8" hidden="false" customHeight="false" outlineLevel="0" collapsed="false">
      <c r="B47378" s="0" t="s">
        <v>14</v>
      </c>
    </row>
    <row r="47380" customFormat="false" ht="12.8" hidden="false" customHeight="false" outlineLevel="0" collapsed="false">
      <c r="A47380" s="0" t="s">
        <v>16827</v>
      </c>
      <c r="B47380" s="0" t="str">
        <f aca="false">HYPERLINK("https://lindat.mff.cuni.cz/services/teitok/pdtc10/index.php?action=vallex&amp;frame=v-w6582f1", "střádat (v-w6582f1)")</f>
        <v>střádat (v-w6582f1)</v>
      </c>
    </row>
    <row r="47381" customFormat="false" ht="12.8" hidden="false" customHeight="false" outlineLevel="0" collapsed="false">
      <c r="B47381" s="0" t="s">
        <v>7</v>
      </c>
    </row>
    <row r="47382" customFormat="false" ht="12.8" hidden="false" customHeight="false" outlineLevel="0" collapsed="false">
      <c r="B47382" s="0" t="s">
        <v>14</v>
      </c>
    </row>
    <row r="47384" customFormat="false" ht="12.8" hidden="false" customHeight="false" outlineLevel="0" collapsed="false">
      <c r="A47384" s="0" t="s">
        <v>16828</v>
      </c>
      <c r="B47384" s="0" t="str">
        <f aca="false">HYPERLINK("https://lindat.mff.cuni.cz/services/teitok/pdtc10/index.php?action=vallex&amp;frame=v-w6598f1", "střídat (v-w6598f1)")</f>
        <v>střídat (v-w6598f1)</v>
      </c>
    </row>
    <row r="47385" customFormat="false" ht="12.8" hidden="false" customHeight="false" outlineLevel="0" collapsed="false">
      <c r="B47385" s="0" t="s">
        <v>7</v>
      </c>
      <c r="C47385" s="0" t="s">
        <v>16829</v>
      </c>
      <c r="D47385" s="0" t="s">
        <v>6200</v>
      </c>
      <c r="E47385" s="0" t="s">
        <v>6200</v>
      </c>
      <c r="F47385" s="0" t="s">
        <v>6200</v>
      </c>
    </row>
    <row r="47386" customFormat="false" ht="12.8" hidden="false" customHeight="false" outlineLevel="0" collapsed="false">
      <c r="B47386" s="0" t="s">
        <v>14</v>
      </c>
      <c r="C47386" s="0" t="s">
        <v>2064</v>
      </c>
      <c r="D47386" s="0" t="s">
        <v>6202</v>
      </c>
      <c r="E47386" s="0" t="s">
        <v>6202</v>
      </c>
      <c r="F47386" s="0" t="s">
        <v>6202</v>
      </c>
    </row>
    <row r="47387" customFormat="false" ht="12.8" hidden="false" customHeight="false" outlineLevel="0" collapsed="false">
      <c r="B47387" s="0" t="s">
        <v>16830</v>
      </c>
      <c r="C47387" s="0" t="s">
        <v>7941</v>
      </c>
      <c r="D47387" s="0" t="s">
        <v>6204</v>
      </c>
      <c r="E47387" s="0" t="s">
        <v>6204</v>
      </c>
      <c r="F47387" s="0" t="s">
        <v>6204</v>
      </c>
    </row>
    <row r="47389" customFormat="false" ht="12.8" hidden="false" customHeight="false" outlineLevel="0" collapsed="false">
      <c r="A47389" s="0" t="s">
        <v>16831</v>
      </c>
      <c r="B47389" s="0" t="str">
        <f aca="false">HYPERLINK("https://lindat.mff.cuni.cz/services/teitok/pdtc10/index.php?action=vallex&amp;frame=v-w6598f2", "střídat (v-w6598f2)")</f>
        <v>střídat (v-w6598f2)</v>
      </c>
    </row>
    <row r="47390" customFormat="false" ht="12.8" hidden="false" customHeight="false" outlineLevel="0" collapsed="false">
      <c r="B47390" s="0" t="s">
        <v>7</v>
      </c>
      <c r="C47390" s="0" t="s">
        <v>1364</v>
      </c>
      <c r="D47390" s="0" t="s">
        <v>6477</v>
      </c>
      <c r="E47390" s="0" t="s">
        <v>6477</v>
      </c>
      <c r="F47390" s="0" t="s">
        <v>6477</v>
      </c>
    </row>
    <row r="47391" customFormat="false" ht="12.8" hidden="false" customHeight="false" outlineLevel="0" collapsed="false">
      <c r="B47391" s="0" t="s">
        <v>14</v>
      </c>
      <c r="C47391" s="0" t="s">
        <v>16832</v>
      </c>
      <c r="D47391" s="0" t="s">
        <v>6479</v>
      </c>
      <c r="E47391" s="0" t="s">
        <v>6479</v>
      </c>
      <c r="F47391" s="0" t="s">
        <v>6479</v>
      </c>
    </row>
    <row r="47393" customFormat="false" ht="12.8" hidden="false" customHeight="false" outlineLevel="0" collapsed="false">
      <c r="A47393" s="0" t="s">
        <v>16833</v>
      </c>
      <c r="B47393" s="0" t="str">
        <f aca="false">HYPERLINK("https://lindat.mff.cuni.cz/services/teitok/pdtc10/index.php?action=vallex&amp;frame=v-w6599f2_ZU", "střídat se (v-w6599f2_ZU)")</f>
        <v>střídat se (v-w6599f2_ZU)</v>
      </c>
    </row>
    <row r="47394" customFormat="false" ht="12.8" hidden="false" customHeight="false" outlineLevel="0" collapsed="false">
      <c r="B47394" s="0" t="s">
        <v>7</v>
      </c>
    </row>
    <row r="47395" customFormat="false" ht="12.8" hidden="false" customHeight="false" outlineLevel="0" collapsed="false">
      <c r="B47395" s="0" t="s">
        <v>548</v>
      </c>
    </row>
    <row r="47397" customFormat="false" ht="12.8" hidden="false" customHeight="false" outlineLevel="0" collapsed="false">
      <c r="A47397" s="0" t="s">
        <v>16833</v>
      </c>
      <c r="B47397" s="0" t="str">
        <f aca="false">HYPERLINK("https://lindat.mff.cuni.cz/services/teitok/pdtc10/index.php?action=vallex&amp;frame=v-w6599f1", "střídat se (v-w6599f1) - substituted with v-w6599f2_ZU")</f>
        <v>střídat se (v-w6599f1) - substituted with v-w6599f2_ZU</v>
      </c>
    </row>
    <row r="47398" customFormat="false" ht="12.8" hidden="false" customHeight="false" outlineLevel="0" collapsed="false">
      <c r="B47398" s="0" t="s">
        <v>7</v>
      </c>
      <c r="C47398" s="0" t="s">
        <v>3205</v>
      </c>
    </row>
    <row r="47399" customFormat="false" ht="12.8" hidden="false" customHeight="false" outlineLevel="0" collapsed="false">
      <c r="B47399" s="0" t="s">
        <v>548</v>
      </c>
    </row>
    <row r="47401" customFormat="false" ht="12.8" hidden="false" customHeight="false" outlineLevel="0" collapsed="false">
      <c r="A47401" s="0" t="s">
        <v>16834</v>
      </c>
      <c r="B47401" s="0" t="str">
        <f aca="false">HYPERLINK("https://lindat.mff.cuni.cz/services/teitok/pdtc10/index.php?action=vallex&amp;frame=v-w10231f2", "stříhat (v-w10231f2)")</f>
        <v>stříhat (v-w10231f2)</v>
      </c>
    </row>
    <row r="47402" customFormat="false" ht="12.8" hidden="false" customHeight="false" outlineLevel="0" collapsed="false">
      <c r="B47402" s="0" t="s">
        <v>7</v>
      </c>
      <c r="C47402" s="0" t="s">
        <v>184</v>
      </c>
      <c r="D47402" s="0" t="s">
        <v>4939</v>
      </c>
      <c r="E47402" s="0" t="s">
        <v>4939</v>
      </c>
      <c r="F47402" s="0" t="s">
        <v>4939</v>
      </c>
    </row>
    <row r="47403" customFormat="false" ht="12.8" hidden="false" customHeight="false" outlineLevel="0" collapsed="false">
      <c r="B47403" s="0" t="s">
        <v>14</v>
      </c>
      <c r="C47403" s="0" t="s">
        <v>384</v>
      </c>
      <c r="D47403" s="0" t="s">
        <v>4940</v>
      </c>
      <c r="E47403" s="0" t="s">
        <v>4940</v>
      </c>
      <c r="F47403" s="0" t="s">
        <v>4940</v>
      </c>
    </row>
    <row r="47404" customFormat="false" ht="12.8" hidden="false" customHeight="false" outlineLevel="0" collapsed="false">
      <c r="B47404" s="0" t="s">
        <v>4978</v>
      </c>
      <c r="D47404" s="0" t="s">
        <v>4941</v>
      </c>
      <c r="E47404" s="0" t="s">
        <v>4941</v>
      </c>
      <c r="F47404" s="0" t="s">
        <v>4941</v>
      </c>
    </row>
    <row r="47406" customFormat="false" ht="12.8" hidden="false" customHeight="false" outlineLevel="0" collapsed="false">
      <c r="A47406" s="0" t="s">
        <v>16835</v>
      </c>
      <c r="B47406" s="0" t="str">
        <f aca="false">HYPERLINK("https://lindat.mff.cuni.cz/services/teitok/pdtc10/index.php?action=vallex&amp;frame=v-w6600f1", "stříkat (v-w6600f1)")</f>
        <v>stříkat (v-w6600f1)</v>
      </c>
    </row>
    <row r="47407" customFormat="false" ht="12.8" hidden="false" customHeight="false" outlineLevel="0" collapsed="false">
      <c r="B47407" s="0" t="s">
        <v>7</v>
      </c>
    </row>
    <row r="47408" customFormat="false" ht="12.8" hidden="false" customHeight="false" outlineLevel="0" collapsed="false">
      <c r="B47408" s="0" t="s">
        <v>14</v>
      </c>
    </row>
    <row r="47410" customFormat="false" ht="12.8" hidden="false" customHeight="false" outlineLevel="0" collapsed="false">
      <c r="A47410" s="0" t="s">
        <v>16836</v>
      </c>
      <c r="B47410" s="0" t="str">
        <f aca="false">HYPERLINK("https://lindat.mff.cuni.cz/services/teitok/pdtc10/index.php?action=vallex&amp;frame=v-w6600f2", "stříkat (v-w6600f2)")</f>
        <v>stříkat (v-w6600f2)</v>
      </c>
    </row>
    <row r="47412" customFormat="false" ht="12.8" hidden="false" customHeight="false" outlineLevel="0" collapsed="false">
      <c r="A47412" s="0" t="s">
        <v>16837</v>
      </c>
      <c r="B47412" s="0" t="str">
        <f aca="false">HYPERLINK("https://lindat.mff.cuni.cz/services/teitok/pdtc10/index.php?action=vallex&amp;frame=v-w6600f3_ZU", "stříkat (v-w6600f3_ZU)")</f>
        <v>stříkat (v-w6600f3_ZU)</v>
      </c>
    </row>
    <row r="47413" customFormat="false" ht="12.8" hidden="false" customHeight="false" outlineLevel="0" collapsed="false">
      <c r="B47413" s="0" t="s">
        <v>7</v>
      </c>
    </row>
    <row r="47414" customFormat="false" ht="12.8" hidden="false" customHeight="false" outlineLevel="0" collapsed="false">
      <c r="B47414" s="0" t="s">
        <v>14</v>
      </c>
    </row>
    <row r="47416" customFormat="false" ht="12.8" hidden="false" customHeight="false" outlineLevel="0" collapsed="false">
      <c r="A47416" s="0" t="s">
        <v>16838</v>
      </c>
      <c r="B47416" s="0" t="str">
        <f aca="false">HYPERLINK("https://lindat.mff.cuni.cz/services/teitok/pdtc10/index.php?action=vallex&amp;frame=v-w6600f4_ZU", "stříkat (v-w6600f4_ZU)")</f>
        <v>stříkat (v-w6600f4_ZU)</v>
      </c>
    </row>
    <row r="47417" customFormat="false" ht="12.8" hidden="false" customHeight="false" outlineLevel="0" collapsed="false">
      <c r="B47417" s="0" t="s">
        <v>7</v>
      </c>
    </row>
    <row r="47419" customFormat="false" ht="12.8" hidden="false" customHeight="false" outlineLevel="0" collapsed="false">
      <c r="A47419" s="0" t="s">
        <v>16839</v>
      </c>
      <c r="B47419" s="0" t="str">
        <f aca="false">HYPERLINK("https://lindat.mff.cuni.cz/services/teitok/pdtc10/index.php?action=vallex&amp;frame=v-w6602f2", "střílet (v-w6602f2)")</f>
        <v>střílet (v-w6602f2)</v>
      </c>
    </row>
    <row r="47420" customFormat="false" ht="12.8" hidden="false" customHeight="false" outlineLevel="0" collapsed="false">
      <c r="B47420" s="0" t="s">
        <v>7</v>
      </c>
      <c r="C47420" s="0" t="s">
        <v>335</v>
      </c>
    </row>
    <row r="47421" customFormat="false" ht="12.8" hidden="false" customHeight="false" outlineLevel="0" collapsed="false">
      <c r="B47421" s="0" t="s">
        <v>14</v>
      </c>
    </row>
    <row r="47423" customFormat="false" ht="12.8" hidden="false" customHeight="false" outlineLevel="0" collapsed="false">
      <c r="A47423" s="0" t="s">
        <v>16840</v>
      </c>
      <c r="B47423" s="0" t="str">
        <f aca="false">HYPERLINK("https://lindat.mff.cuni.cz/services/teitok/pdtc10/index.php?action=vallex&amp;frame=v-w6602f3", "střílet (v-w6602f3)")</f>
        <v>střílet (v-w6602f3)</v>
      </c>
    </row>
    <row r="47424" customFormat="false" ht="12.8" hidden="false" customHeight="false" outlineLevel="0" collapsed="false">
      <c r="B47424" s="0" t="s">
        <v>7</v>
      </c>
      <c r="C47424" s="0" t="s">
        <v>191</v>
      </c>
      <c r="D47424" s="0" t="s">
        <v>184</v>
      </c>
      <c r="E47424" s="0" t="s">
        <v>184</v>
      </c>
      <c r="F47424" s="0" t="s">
        <v>184</v>
      </c>
    </row>
    <row r="47425" customFormat="false" ht="12.8" hidden="false" customHeight="false" outlineLevel="0" collapsed="false">
      <c r="B47425" s="0" t="s">
        <v>14</v>
      </c>
      <c r="C47425" s="0" t="s">
        <v>155</v>
      </c>
      <c r="D47425" s="0" t="s">
        <v>47</v>
      </c>
      <c r="E47425" s="0" t="s">
        <v>47</v>
      </c>
      <c r="F47425" s="0" t="s">
        <v>47</v>
      </c>
    </row>
    <row r="47427" customFormat="false" ht="12.8" hidden="false" customHeight="false" outlineLevel="0" collapsed="false">
      <c r="A47427" s="0" t="s">
        <v>16841</v>
      </c>
      <c r="B47427" s="0" t="str">
        <f aca="false">HYPERLINK("https://lindat.mff.cuni.cz/services/teitok/pdtc10/index.php?action=vallex&amp;frame=v-w6602f1", "střílet (v-w6602f1)")</f>
        <v>střílet (v-w6602f1)</v>
      </c>
    </row>
    <row r="47428" customFormat="false" ht="12.8" hidden="false" customHeight="false" outlineLevel="0" collapsed="false">
      <c r="B47428" s="0" t="s">
        <v>7</v>
      </c>
      <c r="C47428" s="0" t="s">
        <v>31</v>
      </c>
      <c r="D47428" s="0" t="s">
        <v>184</v>
      </c>
      <c r="E47428" s="0" t="s">
        <v>184</v>
      </c>
      <c r="F47428" s="0" t="s">
        <v>184</v>
      </c>
    </row>
    <row r="47429" customFormat="false" ht="12.8" hidden="false" customHeight="false" outlineLevel="0" collapsed="false">
      <c r="B47429" s="0" t="s">
        <v>297</v>
      </c>
      <c r="D47429" s="0" t="s">
        <v>47</v>
      </c>
      <c r="E47429" s="0" t="s">
        <v>47</v>
      </c>
      <c r="F47429" s="0" t="s">
        <v>47</v>
      </c>
    </row>
    <row r="47431" customFormat="false" ht="12.8" hidden="false" customHeight="false" outlineLevel="0" collapsed="false">
      <c r="A47431" s="0" t="s">
        <v>16842</v>
      </c>
      <c r="B47431" s="0" t="str">
        <f aca="false">HYPERLINK("https://lindat.mff.cuni.cz/services/teitok/pdtc10/index.php?action=vallex&amp;frame=v-w6620f1", "subvencovat (v-w6620f1)")</f>
        <v>subvencovat (v-w6620f1)</v>
      </c>
    </row>
    <row r="47432" customFormat="false" ht="12.8" hidden="false" customHeight="false" outlineLevel="0" collapsed="false">
      <c r="B47432" s="0" t="s">
        <v>7</v>
      </c>
      <c r="C47432" s="0" t="s">
        <v>569</v>
      </c>
      <c r="D47432" s="0" t="s">
        <v>2566</v>
      </c>
      <c r="E47432" s="0" t="s">
        <v>2566</v>
      </c>
      <c r="F47432" s="0" t="s">
        <v>2566</v>
      </c>
    </row>
    <row r="47433" customFormat="false" ht="12.8" hidden="false" customHeight="false" outlineLevel="0" collapsed="false">
      <c r="B47433" s="0" t="s">
        <v>14</v>
      </c>
      <c r="C47433" s="0" t="s">
        <v>493</v>
      </c>
      <c r="D47433" s="0" t="s">
        <v>453</v>
      </c>
      <c r="E47433" s="0" t="s">
        <v>453</v>
      </c>
      <c r="F47433" s="0" t="s">
        <v>453</v>
      </c>
    </row>
    <row r="47435" customFormat="false" ht="12.8" hidden="false" customHeight="false" outlineLevel="0" collapsed="false">
      <c r="A47435" s="0" t="s">
        <v>16843</v>
      </c>
      <c r="B47435" s="0" t="str">
        <f aca="false">HYPERLINK("https://lindat.mff.cuni.cz/services/teitok/pdtc10/index.php?action=vallex&amp;frame=v-w6621f1", "sugerovat (v-w6621f1)")</f>
        <v>sugerovat (v-w6621f1)</v>
      </c>
    </row>
    <row r="47436" customFormat="false" ht="12.8" hidden="false" customHeight="false" outlineLevel="0" collapsed="false">
      <c r="B47436" s="0" t="s">
        <v>7</v>
      </c>
    </row>
    <row r="47437" customFormat="false" ht="12.8" hidden="false" customHeight="false" outlineLevel="0" collapsed="false">
      <c r="B47437" s="0" t="s">
        <v>172</v>
      </c>
    </row>
    <row r="47438" customFormat="false" ht="12.8" hidden="false" customHeight="false" outlineLevel="0" collapsed="false">
      <c r="B47438" s="0" t="s">
        <v>48</v>
      </c>
    </row>
    <row r="47440" customFormat="false" ht="12.8" hidden="false" customHeight="false" outlineLevel="0" collapsed="false">
      <c r="A47440" s="0" t="s">
        <v>16844</v>
      </c>
      <c r="B47440" s="0" t="str">
        <f aca="false">HYPERLINK("https://lindat.mff.cuni.cz/services/teitok/pdtc10/index.php?action=vallex&amp;frame=v-w6622f1", "sumarizovat (v-w6622f1)")</f>
        <v>sumarizovat (v-w6622f1)</v>
      </c>
    </row>
    <row r="47441" customFormat="false" ht="12.8" hidden="false" customHeight="false" outlineLevel="0" collapsed="false">
      <c r="B47441" s="0" t="s">
        <v>7</v>
      </c>
      <c r="C47441" s="0" t="s">
        <v>1702</v>
      </c>
      <c r="D47441" s="0" t="s">
        <v>8453</v>
      </c>
      <c r="E47441" s="0" t="s">
        <v>8453</v>
      </c>
      <c r="F47441" s="0" t="s">
        <v>8453</v>
      </c>
    </row>
    <row r="47442" customFormat="false" ht="12.8" hidden="false" customHeight="false" outlineLevel="0" collapsed="false">
      <c r="B47442" s="0" t="s">
        <v>15608</v>
      </c>
      <c r="C47442" s="0" t="s">
        <v>567</v>
      </c>
      <c r="D47442" s="0" t="s">
        <v>12969</v>
      </c>
      <c r="E47442" s="0" t="s">
        <v>12969</v>
      </c>
      <c r="F47442" s="0" t="s">
        <v>12969</v>
      </c>
    </row>
    <row r="47443" customFormat="false" ht="12.8" hidden="false" customHeight="false" outlineLevel="0" collapsed="false">
      <c r="B47443" s="0" t="s">
        <v>2571</v>
      </c>
      <c r="D47443" s="0" t="s">
        <v>2112</v>
      </c>
      <c r="E47443" s="0" t="s">
        <v>2112</v>
      </c>
      <c r="F47443" s="0" t="s">
        <v>2112</v>
      </c>
    </row>
    <row r="47445" customFormat="false" ht="12.8" hidden="false" customHeight="false" outlineLevel="0" collapsed="false">
      <c r="A47445" s="0" t="s">
        <v>16845</v>
      </c>
      <c r="B47445" s="0" t="str">
        <f aca="false">HYPERLINK("https://lindat.mff.cuni.cz/services/teitok/pdtc10/index.php?action=vallex&amp;frame=v-w6624f1", "sundat (v-w6624f1)")</f>
        <v>sundat (v-w6624f1)</v>
      </c>
    </row>
    <row r="47446" customFormat="false" ht="12.8" hidden="false" customHeight="false" outlineLevel="0" collapsed="false">
      <c r="B47446" s="0" t="s">
        <v>7</v>
      </c>
      <c r="E47446" s="0" t="s">
        <v>46</v>
      </c>
      <c r="F47446" s="0" t="s">
        <v>46</v>
      </c>
    </row>
    <row r="47447" customFormat="false" ht="12.8" hidden="false" customHeight="false" outlineLevel="0" collapsed="false">
      <c r="B47447" s="0" t="s">
        <v>14</v>
      </c>
      <c r="E47447" s="0" t="s">
        <v>567</v>
      </c>
      <c r="F47447" s="0" t="s">
        <v>567</v>
      </c>
    </row>
    <row r="47448" customFormat="false" ht="12.8" hidden="false" customHeight="false" outlineLevel="0" collapsed="false">
      <c r="B47448" s="0" t="s">
        <v>459</v>
      </c>
    </row>
    <row r="47450" customFormat="false" ht="12.8" hidden="false" customHeight="false" outlineLevel="0" collapsed="false">
      <c r="A47450" s="0" t="s">
        <v>16846</v>
      </c>
      <c r="B47450" s="0" t="str">
        <f aca="false">HYPERLINK("https://lindat.mff.cuni.cz/services/teitok/pdtc10/index.php?action=vallex&amp;frame=v-w6624f2", "sundat (v-w6624f2)")</f>
        <v>sundat (v-w6624f2)</v>
      </c>
    </row>
    <row r="47451" customFormat="false" ht="12.8" hidden="false" customHeight="false" outlineLevel="0" collapsed="false">
      <c r="B47451" s="0" t="s">
        <v>7</v>
      </c>
    </row>
    <row r="47452" customFormat="false" ht="12.8" hidden="false" customHeight="false" outlineLevel="0" collapsed="false">
      <c r="B47452" s="0" t="s">
        <v>14</v>
      </c>
    </row>
    <row r="47454" customFormat="false" ht="12.8" hidden="false" customHeight="false" outlineLevel="0" collapsed="false">
      <c r="A47454" s="0" t="s">
        <v>16847</v>
      </c>
      <c r="B47454" s="0" t="str">
        <f aca="false">HYPERLINK("https://lindat.mff.cuni.cz/services/teitok/pdtc10/index.php?action=vallex&amp;frame=v-w6625f1", "sundávat (v-w6625f1)")</f>
        <v>sundávat (v-w6625f1)</v>
      </c>
    </row>
    <row r="47455" customFormat="false" ht="12.8" hidden="false" customHeight="false" outlineLevel="0" collapsed="false">
      <c r="B47455" s="0" t="s">
        <v>7</v>
      </c>
    </row>
    <row r="47456" customFormat="false" ht="12.8" hidden="false" customHeight="false" outlineLevel="0" collapsed="false">
      <c r="B47456" s="0" t="s">
        <v>14</v>
      </c>
    </row>
    <row r="47458" customFormat="false" ht="12.8" hidden="false" customHeight="false" outlineLevel="0" collapsed="false">
      <c r="A47458" s="0" t="s">
        <v>16848</v>
      </c>
      <c r="B47458" s="0" t="str">
        <f aca="false">HYPERLINK("https://lindat.mff.cuni.cz/services/teitok/pdtc10/index.php?action=vallex&amp;frame=v-w6626f2", "sunout se (v-w6626f2)")</f>
        <v>sunout se (v-w6626f2)</v>
      </c>
    </row>
    <row r="47459" customFormat="false" ht="12.8" hidden="false" customHeight="false" outlineLevel="0" collapsed="false">
      <c r="B47459" s="0" t="s">
        <v>7</v>
      </c>
    </row>
    <row r="47460" customFormat="false" ht="12.8" hidden="false" customHeight="false" outlineLevel="0" collapsed="false">
      <c r="B47460" s="0" t="s">
        <v>279</v>
      </c>
    </row>
    <row r="47462" customFormat="false" ht="12.8" hidden="false" customHeight="false" outlineLevel="0" collapsed="false">
      <c r="A47462" s="0" t="s">
        <v>16849</v>
      </c>
      <c r="B47462" s="0" t="str">
        <f aca="false">HYPERLINK("https://lindat.mff.cuni.cz/services/teitok/pdtc10/index.php?action=vallex&amp;frame=v-w6626f1", "sunout se (v-w6626f1)")</f>
        <v>sunout se (v-w6626f1)</v>
      </c>
    </row>
    <row r="47463" customFormat="false" ht="12.8" hidden="false" customHeight="false" outlineLevel="0" collapsed="false">
      <c r="B47463" s="0" t="s">
        <v>7</v>
      </c>
    </row>
    <row r="47464" customFormat="false" ht="12.8" hidden="false" customHeight="false" outlineLevel="0" collapsed="false">
      <c r="B47464" s="0" t="s">
        <v>124</v>
      </c>
    </row>
    <row r="47466" customFormat="false" ht="12.8" hidden="false" customHeight="false" outlineLevel="0" collapsed="false">
      <c r="A47466" s="0" t="s">
        <v>16850</v>
      </c>
      <c r="B47466" s="0" t="str">
        <f aca="false">HYPERLINK("https://lindat.mff.cuni.cz/services/teitok/pdtc10/index.php?action=vallex&amp;frame=v-w10750f2", "supervidovat (v-w10750f2)")</f>
        <v>supervidovat (v-w10750f2)</v>
      </c>
    </row>
    <row r="47467" customFormat="false" ht="12.8" hidden="false" customHeight="false" outlineLevel="0" collapsed="false">
      <c r="B47467" s="0" t="s">
        <v>7</v>
      </c>
    </row>
    <row r="47468" customFormat="false" ht="12.8" hidden="false" customHeight="false" outlineLevel="0" collapsed="false">
      <c r="B47468" s="0" t="s">
        <v>14</v>
      </c>
    </row>
    <row r="47470" customFormat="false" ht="12.8" hidden="false" customHeight="false" outlineLevel="0" collapsed="false">
      <c r="A47470" s="0" t="s">
        <v>16851</v>
      </c>
      <c r="B47470" s="0" t="str">
        <f aca="false">HYPERLINK("https://lindat.mff.cuni.cz/services/teitok/pdtc10/index.php?action=vallex&amp;frame=v-whsa_488f1_ZU", "suplovat (v-whsa_488f1_ZU)")</f>
        <v>suplovat (v-whsa_488f1_ZU)</v>
      </c>
    </row>
    <row r="47471" customFormat="false" ht="12.8" hidden="false" customHeight="false" outlineLevel="0" collapsed="false">
      <c r="B47471" s="0" t="s">
        <v>7</v>
      </c>
    </row>
    <row r="47472" customFormat="false" ht="12.8" hidden="false" customHeight="false" outlineLevel="0" collapsed="false">
      <c r="B47472" s="0" t="s">
        <v>14</v>
      </c>
    </row>
    <row r="47473" customFormat="false" ht="12.8" hidden="false" customHeight="false" outlineLevel="0" collapsed="false">
      <c r="B47473" s="0" t="s">
        <v>550</v>
      </c>
    </row>
    <row r="47475" customFormat="false" ht="12.8" hidden="false" customHeight="false" outlineLevel="0" collapsed="false">
      <c r="A47475" s="0" t="s">
        <v>16851</v>
      </c>
      <c r="B47475" s="0" t="str">
        <f aca="false">HYPERLINK("https://lindat.mff.cuni.cz/services/teitok/pdtc10/index.php?action=vallex&amp;frame=v-whsa_488hsa_489", "suplovat (v-whsa_488hsa_489) - substituted with v-whsa_488f1_ZU")</f>
        <v>suplovat (v-whsa_488hsa_489) - substituted with v-whsa_488f1_ZU</v>
      </c>
    </row>
    <row r="47476" customFormat="false" ht="12.8" hidden="false" customHeight="false" outlineLevel="0" collapsed="false">
      <c r="B47476" s="0" t="s">
        <v>7</v>
      </c>
    </row>
    <row r="47477" customFormat="false" ht="12.8" hidden="false" customHeight="false" outlineLevel="0" collapsed="false">
      <c r="B47477" s="0" t="s">
        <v>14</v>
      </c>
    </row>
    <row r="47478" customFormat="false" ht="12.8" hidden="false" customHeight="false" outlineLevel="0" collapsed="false">
      <c r="B47478" s="0" t="s">
        <v>550</v>
      </c>
    </row>
    <row r="47480" customFormat="false" ht="12.8" hidden="false" customHeight="false" outlineLevel="0" collapsed="false">
      <c r="A47480" s="0" t="s">
        <v>16852</v>
      </c>
      <c r="B47480" s="0" t="str">
        <f aca="false">HYPERLINK("https://lindat.mff.cuni.cz/services/teitok/pdtc10/index.php?action=vallex&amp;frame=v-whsa_488f2_ZU", "suplovat (v-whsa_488f2_ZU)")</f>
        <v>suplovat (v-whsa_488f2_ZU)</v>
      </c>
    </row>
    <row r="47481" customFormat="false" ht="12.8" hidden="false" customHeight="false" outlineLevel="0" collapsed="false">
      <c r="B47481" s="0" t="s">
        <v>7</v>
      </c>
    </row>
    <row r="47482" customFormat="false" ht="12.8" hidden="false" customHeight="false" outlineLevel="0" collapsed="false">
      <c r="B47482" s="0" t="s">
        <v>14</v>
      </c>
    </row>
    <row r="47484" customFormat="false" ht="12.8" hidden="false" customHeight="false" outlineLevel="0" collapsed="false">
      <c r="A47484" s="0" t="s">
        <v>16853</v>
      </c>
      <c r="B47484" s="0" t="str">
        <f aca="false">HYPERLINK("https://lindat.mff.cuni.cz/services/teitok/pdtc10/index.php?action=vallex&amp;frame=v-w6628f1", "surfovat (v-w6628f1)")</f>
        <v>surfovat (v-w6628f1)</v>
      </c>
    </row>
    <row r="47485" customFormat="false" ht="12.8" hidden="false" customHeight="false" outlineLevel="0" collapsed="false">
      <c r="B47485" s="0" t="s">
        <v>7</v>
      </c>
    </row>
    <row r="47487" customFormat="false" ht="12.8" hidden="false" customHeight="false" outlineLevel="0" collapsed="false">
      <c r="A47487" s="0" t="s">
        <v>16854</v>
      </c>
      <c r="B47487" s="0" t="str">
        <f aca="false">HYPERLINK("https://lindat.mff.cuni.cz/services/teitok/pdtc10/index.php?action=vallex&amp;frame=v-w6628f2_ZU", "surfovat (v-w6628f2_ZU)")</f>
        <v>surfovat (v-w6628f2_ZU)</v>
      </c>
    </row>
    <row r="47488" customFormat="false" ht="12.8" hidden="false" customHeight="false" outlineLevel="0" collapsed="false">
      <c r="B47488" s="0" t="s">
        <v>7</v>
      </c>
    </row>
    <row r="47490" customFormat="false" ht="12.8" hidden="false" customHeight="false" outlineLevel="0" collapsed="false">
      <c r="A47490" s="0" t="s">
        <v>16855</v>
      </c>
      <c r="B47490" s="0" t="str">
        <f aca="false">HYPERLINK("https://lindat.mff.cuni.cz/services/teitok/pdtc10/index.php?action=vallex&amp;frame=v-w6629f1", "suspendovat (v-w6629f1)")</f>
        <v>suspendovat (v-w6629f1)</v>
      </c>
    </row>
    <row r="47491" customFormat="false" ht="12.8" hidden="false" customHeight="false" outlineLevel="0" collapsed="false">
      <c r="B47491" s="0" t="s">
        <v>7</v>
      </c>
    </row>
    <row r="47492" customFormat="false" ht="12.8" hidden="false" customHeight="false" outlineLevel="0" collapsed="false">
      <c r="B47492" s="0" t="s">
        <v>14</v>
      </c>
    </row>
    <row r="47494" customFormat="false" ht="12.8" hidden="false" customHeight="false" outlineLevel="0" collapsed="false">
      <c r="A47494" s="0" t="s">
        <v>16856</v>
      </c>
      <c r="B47494" s="0" t="str">
        <f aca="false">HYPERLINK("https://lindat.mff.cuni.cz/services/teitok/pdtc10/index.php?action=vallex&amp;frame=v-whsa_819hsa_820", "sušit (v-whsa_819hsa_820)")</f>
        <v>sušit (v-whsa_819hsa_820)</v>
      </c>
    </row>
    <row r="47495" customFormat="false" ht="12.8" hidden="false" customHeight="false" outlineLevel="0" collapsed="false">
      <c r="B47495" s="0" t="s">
        <v>7</v>
      </c>
    </row>
    <row r="47496" customFormat="false" ht="12.8" hidden="false" customHeight="false" outlineLevel="0" collapsed="false">
      <c r="B47496" s="0" t="s">
        <v>14</v>
      </c>
    </row>
    <row r="47498" customFormat="false" ht="12.8" hidden="false" customHeight="false" outlineLevel="0" collapsed="false">
      <c r="A47498" s="0" t="s">
        <v>16857</v>
      </c>
      <c r="B47498" s="0" t="str">
        <f aca="false">HYPERLINK("https://lindat.mff.cuni.cz/services/teitok/pdtc10/index.php?action=vallex&amp;frame=v-w6632f1", "sužovat (v-w6632f1)")</f>
        <v>sužovat (v-w6632f1)</v>
      </c>
    </row>
    <row r="47499" customFormat="false" ht="12.8" hidden="false" customHeight="false" outlineLevel="0" collapsed="false">
      <c r="B47499" s="0" t="s">
        <v>7</v>
      </c>
      <c r="C47499" s="0" t="s">
        <v>1263</v>
      </c>
      <c r="D47499" s="0" t="s">
        <v>16858</v>
      </c>
      <c r="E47499" s="0" t="s">
        <v>16858</v>
      </c>
      <c r="F47499" s="0" t="s">
        <v>16858</v>
      </c>
    </row>
    <row r="47500" customFormat="false" ht="12.8" hidden="false" customHeight="false" outlineLevel="0" collapsed="false">
      <c r="B47500" s="0" t="s">
        <v>14</v>
      </c>
      <c r="C47500" s="0" t="s">
        <v>625</v>
      </c>
      <c r="D47500" s="0" t="s">
        <v>6843</v>
      </c>
      <c r="E47500" s="0" t="s">
        <v>6843</v>
      </c>
      <c r="F47500" s="0" t="s">
        <v>6843</v>
      </c>
    </row>
    <row r="47502" customFormat="false" ht="12.8" hidden="false" customHeight="false" outlineLevel="0" collapsed="false">
      <c r="A47502" s="0" t="s">
        <v>16859</v>
      </c>
      <c r="B47502" s="0" t="str">
        <f aca="false">HYPERLINK("https://lindat.mff.cuni.cz/services/teitok/pdtc10/index.php?action=vallex&amp;frame=v-w11220f3", "svalit (v-w11220f3)")</f>
        <v>svalit (v-w11220f3)</v>
      </c>
    </row>
    <row r="47503" customFormat="false" ht="12.8" hidden="false" customHeight="false" outlineLevel="0" collapsed="false">
      <c r="B47503" s="0" t="s">
        <v>7</v>
      </c>
    </row>
    <row r="47504" customFormat="false" ht="12.8" hidden="false" customHeight="false" outlineLevel="0" collapsed="false">
      <c r="B47504" s="0" t="s">
        <v>14</v>
      </c>
    </row>
    <row r="47505" customFormat="false" ht="12.8" hidden="false" customHeight="false" outlineLevel="0" collapsed="false">
      <c r="B47505" s="0" t="s">
        <v>122</v>
      </c>
    </row>
    <row r="47507" customFormat="false" ht="12.8" hidden="false" customHeight="false" outlineLevel="0" collapsed="false">
      <c r="A47507" s="0" t="s">
        <v>16860</v>
      </c>
      <c r="B47507" s="0" t="str">
        <f aca="false">HYPERLINK("https://lindat.mff.cuni.cz/services/teitok/pdtc10/index.php?action=vallex&amp;frame=v-w11501f1", "svalit se (v-w11501f1)")</f>
        <v>svalit se (v-w11501f1)</v>
      </c>
    </row>
    <row r="47508" customFormat="false" ht="12.8" hidden="false" customHeight="false" outlineLevel="0" collapsed="false">
      <c r="B47508" s="0" t="s">
        <v>7</v>
      </c>
      <c r="F47508" s="0" t="s">
        <v>5026</v>
      </c>
    </row>
    <row r="47509" customFormat="false" ht="12.8" hidden="false" customHeight="false" outlineLevel="0" collapsed="false">
      <c r="B47509" s="0" t="s">
        <v>124</v>
      </c>
    </row>
    <row r="47511" customFormat="false" ht="12.8" hidden="false" customHeight="false" outlineLevel="0" collapsed="false">
      <c r="A47511" s="0" t="s">
        <v>16861</v>
      </c>
      <c r="B47511" s="0" t="str">
        <f aca="false">HYPERLINK("https://lindat.mff.cuni.cz/services/teitok/pdtc10/index.php?action=vallex&amp;frame=v-w11223f2", "svalovat (v-w11223f2)")</f>
        <v>svalovat (v-w11223f2)</v>
      </c>
    </row>
    <row r="47512" customFormat="false" ht="12.8" hidden="false" customHeight="false" outlineLevel="0" collapsed="false">
      <c r="B47512" s="0" t="s">
        <v>7</v>
      </c>
      <c r="C47512" s="0" t="s">
        <v>1700</v>
      </c>
      <c r="D47512" s="0" t="s">
        <v>16862</v>
      </c>
      <c r="E47512" s="0" t="s">
        <v>16862</v>
      </c>
      <c r="F47512" s="0" t="s">
        <v>16862</v>
      </c>
    </row>
    <row r="47513" customFormat="false" ht="12.8" hidden="false" customHeight="false" outlineLevel="0" collapsed="false">
      <c r="B47513" s="0" t="s">
        <v>14</v>
      </c>
      <c r="C47513" s="0" t="s">
        <v>16863</v>
      </c>
      <c r="D47513" s="0" t="s">
        <v>16864</v>
      </c>
      <c r="E47513" s="0" t="s">
        <v>16864</v>
      </c>
      <c r="F47513" s="0" t="s">
        <v>16864</v>
      </c>
    </row>
    <row r="47514" customFormat="false" ht="12.8" hidden="false" customHeight="false" outlineLevel="0" collapsed="false">
      <c r="B47514" s="0" t="s">
        <v>122</v>
      </c>
      <c r="C47514" s="0" t="s">
        <v>16865</v>
      </c>
      <c r="D47514" s="0" t="s">
        <v>16866</v>
      </c>
      <c r="E47514" s="0" t="s">
        <v>16866</v>
      </c>
      <c r="F47514" s="0" t="s">
        <v>16866</v>
      </c>
    </row>
    <row r="47516" customFormat="false" ht="12.8" hidden="false" customHeight="false" outlineLevel="0" collapsed="false">
      <c r="A47516" s="0" t="s">
        <v>16867</v>
      </c>
      <c r="B47516" s="0" t="str">
        <f aca="false">HYPERLINK("https://lindat.mff.cuni.cz/services/teitok/pdtc10/index.php?action=vallex&amp;frame=v-w6642f1", "svatořečit (v-w6642f1)")</f>
        <v>svatořečit (v-w6642f1)</v>
      </c>
    </row>
    <row r="47517" customFormat="false" ht="12.8" hidden="false" customHeight="false" outlineLevel="0" collapsed="false">
      <c r="B47517" s="0" t="s">
        <v>7</v>
      </c>
      <c r="D47517" s="0" t="s">
        <v>623</v>
      </c>
      <c r="E47517" s="0" t="s">
        <v>623</v>
      </c>
      <c r="F47517" s="0" t="s">
        <v>623</v>
      </c>
    </row>
    <row r="47518" customFormat="false" ht="12.8" hidden="false" customHeight="false" outlineLevel="0" collapsed="false">
      <c r="B47518" s="0" t="s">
        <v>14</v>
      </c>
      <c r="D47518" s="0" t="s">
        <v>151</v>
      </c>
      <c r="E47518" s="0" t="s">
        <v>151</v>
      </c>
      <c r="F47518" s="0" t="s">
        <v>151</v>
      </c>
    </row>
    <row r="47520" customFormat="false" ht="12.8" hidden="false" customHeight="false" outlineLevel="0" collapsed="false">
      <c r="A47520" s="0" t="s">
        <v>16868</v>
      </c>
      <c r="B47520" s="0" t="str">
        <f aca="false">HYPERLINK("https://lindat.mff.cuni.cz/services/teitok/pdtc10/index.php?action=vallex&amp;frame=v-w6647f1", "svazovat (v-w6647f1)")</f>
        <v>svazovat (v-w6647f1)</v>
      </c>
    </row>
    <row r="47521" customFormat="false" ht="12.8" hidden="false" customHeight="false" outlineLevel="0" collapsed="false">
      <c r="B47521" s="0" t="s">
        <v>7</v>
      </c>
      <c r="D47521" s="0" t="s">
        <v>4116</v>
      </c>
      <c r="E47521" s="0" t="s">
        <v>4116</v>
      </c>
      <c r="F47521" s="0" t="s">
        <v>4116</v>
      </c>
    </row>
    <row r="47522" customFormat="false" ht="12.8" hidden="false" customHeight="false" outlineLevel="0" collapsed="false">
      <c r="B47522" s="0" t="s">
        <v>14</v>
      </c>
      <c r="D47522" s="0" t="s">
        <v>11631</v>
      </c>
      <c r="E47522" s="0" t="s">
        <v>11631</v>
      </c>
      <c r="F47522" s="0" t="s">
        <v>11631</v>
      </c>
    </row>
    <row r="47523" customFormat="false" ht="12.8" hidden="false" customHeight="false" outlineLevel="0" collapsed="false">
      <c r="B47523" s="0" t="s">
        <v>207</v>
      </c>
      <c r="D47523" s="0" t="s">
        <v>12075</v>
      </c>
      <c r="E47523" s="0" t="s">
        <v>12075</v>
      </c>
      <c r="F47523" s="0" t="s">
        <v>12075</v>
      </c>
    </row>
    <row r="47525" customFormat="false" ht="12.8" hidden="false" customHeight="false" outlineLevel="0" collapsed="false">
      <c r="A47525" s="0" t="s">
        <v>16869</v>
      </c>
      <c r="B47525" s="0" t="str">
        <f aca="false">HYPERLINK("https://lindat.mff.cuni.cz/services/teitok/pdtc10/index.php?action=vallex&amp;frame=v-w6647f2", "svazovat (v-w6647f2)")</f>
        <v>svazovat (v-w6647f2)</v>
      </c>
    </row>
    <row r="47526" customFormat="false" ht="12.8" hidden="false" customHeight="false" outlineLevel="0" collapsed="false">
      <c r="B47526" s="0" t="s">
        <v>7</v>
      </c>
      <c r="C47526" s="0" t="s">
        <v>108</v>
      </c>
    </row>
    <row r="47527" customFormat="false" ht="12.8" hidden="false" customHeight="false" outlineLevel="0" collapsed="false">
      <c r="B47527" s="0" t="s">
        <v>14</v>
      </c>
      <c r="C47527" s="0" t="s">
        <v>487</v>
      </c>
    </row>
    <row r="47529" customFormat="false" ht="12.8" hidden="false" customHeight="false" outlineLevel="0" collapsed="false">
      <c r="A47529" s="0" t="s">
        <v>16870</v>
      </c>
      <c r="B47529" s="0" t="str">
        <f aca="false">HYPERLINK("https://lindat.mff.cuni.cz/services/teitok/pdtc10/index.php?action=vallex&amp;frame=v-w6647f3_ZU", "svazovat (v-w6647f3_ZU)")</f>
        <v>svazovat (v-w6647f3_ZU)</v>
      </c>
    </row>
    <row r="47530" customFormat="false" ht="12.8" hidden="false" customHeight="false" outlineLevel="0" collapsed="false">
      <c r="B47530" s="0" t="s">
        <v>7</v>
      </c>
    </row>
    <row r="47531" customFormat="false" ht="12.8" hidden="false" customHeight="false" outlineLevel="0" collapsed="false">
      <c r="B47531" s="0" t="s">
        <v>14</v>
      </c>
    </row>
    <row r="47532" customFormat="false" ht="12.8" hidden="false" customHeight="false" outlineLevel="0" collapsed="false">
      <c r="B47532" s="0" t="s">
        <v>35</v>
      </c>
    </row>
    <row r="47533" customFormat="false" ht="12.8" hidden="false" customHeight="false" outlineLevel="0" collapsed="false">
      <c r="B47533" s="0" t="s">
        <v>181</v>
      </c>
    </row>
    <row r="47535" customFormat="false" ht="12.8" hidden="false" customHeight="false" outlineLevel="0" collapsed="false">
      <c r="A47535" s="0" t="s">
        <v>16870</v>
      </c>
      <c r="B47535" s="0" t="str">
        <f aca="false">HYPERLINK("https://lindat.mff.cuni.cz/services/teitok/pdtc10/index.php?action=vallex&amp;frame=v-w6647hsa_1824", "svazovat (v-w6647hsa_1824) - substituted with v-w6647f3_ZU")</f>
        <v>svazovat (v-w6647hsa_1824) - substituted with v-w6647f3_ZU</v>
      </c>
    </row>
    <row r="47536" customFormat="false" ht="12.8" hidden="false" customHeight="false" outlineLevel="0" collapsed="false">
      <c r="B47536" s="0" t="s">
        <v>7</v>
      </c>
    </row>
    <row r="47537" customFormat="false" ht="12.8" hidden="false" customHeight="false" outlineLevel="0" collapsed="false">
      <c r="B47537" s="0" t="s">
        <v>14</v>
      </c>
    </row>
    <row r="47538" customFormat="false" ht="12.8" hidden="false" customHeight="false" outlineLevel="0" collapsed="false">
      <c r="B47538" s="0" t="s">
        <v>35</v>
      </c>
    </row>
    <row r="47539" customFormat="false" ht="12.8" hidden="false" customHeight="false" outlineLevel="0" collapsed="false">
      <c r="B47539" s="0" t="s">
        <v>181</v>
      </c>
    </row>
    <row r="47541" customFormat="false" ht="12.8" hidden="false" customHeight="false" outlineLevel="0" collapsed="false">
      <c r="A47541" s="0" t="s">
        <v>16871</v>
      </c>
      <c r="B47541" s="0" t="str">
        <f aca="false">HYPERLINK("https://lindat.mff.cuni.cz/services/teitok/pdtc10/index.php?action=vallex&amp;frame=v-w11882_ZUf1_ZU", "svačit (v-w11882_ZUf1_ZU)")</f>
        <v>svačit (v-w11882_ZUf1_ZU)</v>
      </c>
    </row>
    <row r="47542" customFormat="false" ht="12.8" hidden="false" customHeight="false" outlineLevel="0" collapsed="false">
      <c r="B47542" s="0" t="s">
        <v>7</v>
      </c>
    </row>
    <row r="47543" customFormat="false" ht="12.8" hidden="false" customHeight="false" outlineLevel="0" collapsed="false">
      <c r="B47543" s="0" t="s">
        <v>14</v>
      </c>
    </row>
    <row r="47545" customFormat="false" ht="12.8" hidden="false" customHeight="false" outlineLevel="0" collapsed="false">
      <c r="A47545" s="0" t="s">
        <v>16872</v>
      </c>
      <c r="B47545" s="0" t="str">
        <f aca="false">HYPERLINK("https://lindat.mff.cuni.cz/services/teitok/pdtc10/index.php?action=vallex&amp;frame=v-whsa_1909f1_ZU", "svařit (v-whsa_1909f1_ZU)")</f>
        <v>svařit (v-whsa_1909f1_ZU)</v>
      </c>
    </row>
    <row r="47546" customFormat="false" ht="12.8" hidden="false" customHeight="false" outlineLevel="0" collapsed="false">
      <c r="B47546" s="0" t="s">
        <v>7</v>
      </c>
    </row>
    <row r="47547" customFormat="false" ht="12.8" hidden="false" customHeight="false" outlineLevel="0" collapsed="false">
      <c r="B47547" s="0" t="s">
        <v>14</v>
      </c>
    </row>
    <row r="47549" customFormat="false" ht="12.8" hidden="false" customHeight="false" outlineLevel="0" collapsed="false">
      <c r="A47549" s="0" t="s">
        <v>16872</v>
      </c>
      <c r="B47549" s="0" t="str">
        <f aca="false">HYPERLINK("https://lindat.mff.cuni.cz/services/teitok/pdtc10/index.php?action=vallex&amp;frame=v-whsa_1909hsa_1910", "svařit (v-whsa_1909hsa_1910) - substituted with v-whsa_1909f1_ZU")</f>
        <v>svařit (v-whsa_1909hsa_1910) - substituted with v-whsa_1909f1_ZU</v>
      </c>
    </row>
    <row r="47550" customFormat="false" ht="12.8" hidden="false" customHeight="false" outlineLevel="0" collapsed="false">
      <c r="B47550" s="0" t="s">
        <v>7</v>
      </c>
    </row>
    <row r="47551" customFormat="false" ht="12.8" hidden="false" customHeight="false" outlineLevel="0" collapsed="false">
      <c r="B47551" s="0" t="s">
        <v>14</v>
      </c>
    </row>
    <row r="47553" customFormat="false" ht="12.8" hidden="false" customHeight="false" outlineLevel="0" collapsed="false">
      <c r="A47553" s="0" t="s">
        <v>16873</v>
      </c>
      <c r="B47553" s="0" t="str">
        <f aca="false">HYPERLINK("https://lindat.mff.cuni.cz/services/teitok/pdtc10/index.php?action=vallex&amp;frame=v-w6639f1", "svařovat (v-w6639f1)")</f>
        <v>svařovat (v-w6639f1)</v>
      </c>
    </row>
    <row r="47554" customFormat="false" ht="12.8" hidden="false" customHeight="false" outlineLevel="0" collapsed="false">
      <c r="B47554" s="0" t="s">
        <v>7</v>
      </c>
    </row>
    <row r="47555" customFormat="false" ht="12.8" hidden="false" customHeight="false" outlineLevel="0" collapsed="false">
      <c r="B47555" s="0" t="s">
        <v>14</v>
      </c>
    </row>
    <row r="47557" customFormat="false" ht="12.8" hidden="false" customHeight="false" outlineLevel="0" collapsed="false">
      <c r="A47557" s="0" t="s">
        <v>16874</v>
      </c>
      <c r="B47557" s="0" t="str">
        <f aca="false">HYPERLINK("https://lindat.mff.cuni.cz/services/teitok/pdtc10/index.php?action=vallex&amp;frame=v-w6650f1", "svažovat se (v-w6650f1)")</f>
        <v>svažovat se (v-w6650f1)</v>
      </c>
    </row>
    <row r="47558" customFormat="false" ht="12.8" hidden="false" customHeight="false" outlineLevel="0" collapsed="false">
      <c r="B47558" s="0" t="s">
        <v>7</v>
      </c>
    </row>
    <row r="47559" customFormat="false" ht="12.8" hidden="false" customHeight="false" outlineLevel="0" collapsed="false">
      <c r="B47559" s="0" t="s">
        <v>124</v>
      </c>
    </row>
    <row r="47561" customFormat="false" ht="12.8" hidden="false" customHeight="false" outlineLevel="0" collapsed="false">
      <c r="A47561" s="0" t="s">
        <v>16875</v>
      </c>
      <c r="B47561" s="0" t="str">
        <f aca="false">HYPERLINK("https://lindat.mff.cuni.cz/services/teitok/pdtc10/index.php?action=vallex&amp;frame=v-w6671f2", "svitnout (v-w6671f2)")</f>
        <v>svitnout (v-w6671f2)</v>
      </c>
    </row>
    <row r="47562" customFormat="false" ht="12.8" hidden="false" customHeight="false" outlineLevel="0" collapsed="false">
      <c r="B47562" s="0" t="s">
        <v>603</v>
      </c>
    </row>
    <row r="47563" customFormat="false" ht="12.8" hidden="false" customHeight="false" outlineLevel="0" collapsed="false">
      <c r="B47563" s="0" t="s">
        <v>1703</v>
      </c>
    </row>
    <row r="47565" customFormat="false" ht="12.8" hidden="false" customHeight="false" outlineLevel="0" collapsed="false">
      <c r="A47565" s="0" t="s">
        <v>16876</v>
      </c>
      <c r="B47565" s="0" t="str">
        <f aca="false">HYPERLINK("https://lindat.mff.cuni.cz/services/teitok/pdtc10/index.php?action=vallex&amp;frame=v-w6671f1", "svitnout (v-w6671f1)")</f>
        <v>svitnout (v-w6671f1)</v>
      </c>
    </row>
    <row r="47566" customFormat="false" ht="12.8" hidden="false" customHeight="false" outlineLevel="0" collapsed="false">
      <c r="B47566" s="0" t="s">
        <v>7</v>
      </c>
    </row>
    <row r="47568" customFormat="false" ht="12.8" hidden="false" customHeight="false" outlineLevel="0" collapsed="false">
      <c r="A47568" s="0" t="s">
        <v>16877</v>
      </c>
      <c r="B47568" s="0" t="str">
        <f aca="false">HYPERLINK("https://lindat.mff.cuni.cz/services/teitok/pdtc10/index.php?action=vallex&amp;frame=v-w6668f1", "svištět (v-w6668f1)")</f>
        <v>svištět (v-w6668f1)</v>
      </c>
    </row>
    <row r="47569" customFormat="false" ht="12.8" hidden="false" customHeight="false" outlineLevel="0" collapsed="false">
      <c r="B47569" s="0" t="s">
        <v>7</v>
      </c>
      <c r="C47569" s="0" t="s">
        <v>46</v>
      </c>
      <c r="D47569" s="0" t="s">
        <v>708</v>
      </c>
      <c r="E47569" s="0" t="s">
        <v>708</v>
      </c>
      <c r="F47569" s="0" t="s">
        <v>708</v>
      </c>
    </row>
    <row r="47571" customFormat="false" ht="12.8" hidden="false" customHeight="false" outlineLevel="0" collapsed="false">
      <c r="A47571" s="0" t="s">
        <v>16878</v>
      </c>
      <c r="B47571" s="0" t="str">
        <f aca="false">HYPERLINK("https://lindat.mff.cuni.cz/services/teitok/pdtc10/index.php?action=vallex&amp;frame=v-w6668hsa_1072", "svištět (v-w6668hsa_1072)")</f>
        <v>svištět (v-w6668hsa_1072)</v>
      </c>
    </row>
    <row r="47572" customFormat="false" ht="12.8" hidden="false" customHeight="false" outlineLevel="0" collapsed="false">
      <c r="B47572" s="0" t="s">
        <v>7</v>
      </c>
    </row>
    <row r="47574" customFormat="false" ht="12.8" hidden="false" customHeight="false" outlineLevel="0" collapsed="false">
      <c r="A47574" s="0" t="s">
        <v>16879</v>
      </c>
      <c r="B47574" s="0" t="str">
        <f aca="false">HYPERLINK("https://lindat.mff.cuni.cz/services/teitok/pdtc10/index.php?action=vallex&amp;frame=v-w6672f1", "svlékat (v-w6672f1)")</f>
        <v>svlékat (v-w6672f1)</v>
      </c>
    </row>
    <row r="47575" customFormat="false" ht="12.8" hidden="false" customHeight="false" outlineLevel="0" collapsed="false">
      <c r="B47575" s="0" t="s">
        <v>7</v>
      </c>
    </row>
    <row r="47576" customFormat="false" ht="12.8" hidden="false" customHeight="false" outlineLevel="0" collapsed="false">
      <c r="B47576" s="0" t="s">
        <v>14</v>
      </c>
    </row>
    <row r="47578" customFormat="false" ht="12.8" hidden="false" customHeight="false" outlineLevel="0" collapsed="false">
      <c r="A47578" s="0" t="s">
        <v>16880</v>
      </c>
      <c r="B47578" s="0" t="str">
        <f aca="false">HYPERLINK("https://lindat.mff.cuni.cz/services/teitok/pdtc10/index.php?action=vallex&amp;frame=v-w6672f3", "svlékat (v-w6672f3)")</f>
        <v>svlékat (v-w6672f3)</v>
      </c>
    </row>
    <row r="47579" customFormat="false" ht="12.8" hidden="false" customHeight="false" outlineLevel="0" collapsed="false">
      <c r="B47579" s="0" t="s">
        <v>7</v>
      </c>
      <c r="C47579" s="0" t="s">
        <v>2857</v>
      </c>
    </row>
    <row r="47580" customFormat="false" ht="12.8" hidden="false" customHeight="false" outlineLevel="0" collapsed="false">
      <c r="B47580" s="0" t="s">
        <v>14</v>
      </c>
      <c r="C47580" s="0" t="s">
        <v>1146</v>
      </c>
    </row>
    <row r="47582" customFormat="false" ht="12.8" hidden="false" customHeight="false" outlineLevel="0" collapsed="false">
      <c r="A47582" s="0" t="s">
        <v>16881</v>
      </c>
      <c r="B47582" s="0" t="str">
        <f aca="false">HYPERLINK("https://lindat.mff.cuni.cz/services/teitok/pdtc10/index.php?action=vallex&amp;frame=v-w6673f3_ZU", "svléknout (v-w6673f3_ZU)")</f>
        <v>svléknout (v-w6673f3_ZU)</v>
      </c>
    </row>
    <row r="47583" customFormat="false" ht="12.8" hidden="false" customHeight="false" outlineLevel="0" collapsed="false">
      <c r="B47583" s="0" t="s">
        <v>7</v>
      </c>
    </row>
    <row r="47584" customFormat="false" ht="12.8" hidden="false" customHeight="false" outlineLevel="0" collapsed="false">
      <c r="B47584" s="0" t="s">
        <v>14</v>
      </c>
    </row>
    <row r="47586" customFormat="false" ht="12.8" hidden="false" customHeight="false" outlineLevel="0" collapsed="false">
      <c r="A47586" s="0" t="s">
        <v>16881</v>
      </c>
      <c r="B47586" s="0" t="str">
        <f aca="false">HYPERLINK("https://lindat.mff.cuni.cz/services/teitok/pdtc10/index.php?action=vallex&amp;frame=v-w6673f1", "svléknout (v-w6673f1) - substituted with v-w6673f3_ZU")</f>
        <v>svléknout (v-w6673f1) - substituted with v-w6673f3_ZU</v>
      </c>
    </row>
    <row r="47587" customFormat="false" ht="12.8" hidden="false" customHeight="false" outlineLevel="0" collapsed="false">
      <c r="B47587" s="0" t="s">
        <v>7</v>
      </c>
    </row>
    <row r="47588" customFormat="false" ht="12.8" hidden="false" customHeight="false" outlineLevel="0" collapsed="false">
      <c r="B47588" s="0" t="s">
        <v>14</v>
      </c>
    </row>
    <row r="47590" customFormat="false" ht="12.8" hidden="false" customHeight="false" outlineLevel="0" collapsed="false">
      <c r="A47590" s="0" t="s">
        <v>16881</v>
      </c>
      <c r="B47590" s="0" t="str">
        <f aca="false">HYPERLINK("https://lindat.mff.cuni.cz/services/teitok/pdtc10/index.php?action=vallex&amp;frame=v-w6673f2", "svléknout (v-w6673f2) - substituted with v-w6673f3_ZU")</f>
        <v>svléknout (v-w6673f2) - substituted with v-w6673f3_ZU</v>
      </c>
    </row>
    <row r="47591" customFormat="false" ht="12.8" hidden="false" customHeight="false" outlineLevel="0" collapsed="false">
      <c r="B47591" s="0" t="s">
        <v>7</v>
      </c>
    </row>
    <row r="47592" customFormat="false" ht="12.8" hidden="false" customHeight="false" outlineLevel="0" collapsed="false">
      <c r="B47592" s="0" t="s">
        <v>14</v>
      </c>
    </row>
    <row r="47594" customFormat="false" ht="12.8" hidden="false" customHeight="false" outlineLevel="0" collapsed="false">
      <c r="A47594" s="0" t="s">
        <v>16882</v>
      </c>
      <c r="B47594" s="0" t="str">
        <f aca="false">HYPERLINK("https://lindat.mff.cuni.cz/services/teitok/pdtc10/index.php?action=vallex&amp;frame=v-w6673f4_ZU", "svléknout (v-w6673f4_ZU)")</f>
        <v>svléknout (v-w6673f4_ZU)</v>
      </c>
    </row>
    <row r="47595" customFormat="false" ht="12.8" hidden="false" customHeight="false" outlineLevel="0" collapsed="false">
      <c r="B47595" s="0" t="s">
        <v>7</v>
      </c>
    </row>
    <row r="47596" customFormat="false" ht="12.8" hidden="false" customHeight="false" outlineLevel="0" collapsed="false">
      <c r="B47596" s="0" t="s">
        <v>14</v>
      </c>
    </row>
    <row r="47597" customFormat="false" ht="12.8" hidden="false" customHeight="false" outlineLevel="0" collapsed="false">
      <c r="B47597" s="0" t="s">
        <v>181</v>
      </c>
    </row>
    <row r="47599" customFormat="false" ht="12.8" hidden="false" customHeight="false" outlineLevel="0" collapsed="false">
      <c r="A47599" s="0" t="s">
        <v>16883</v>
      </c>
      <c r="B47599" s="0" t="str">
        <f aca="false">HYPERLINK("https://lindat.mff.cuni.cz/services/teitok/pdtc10/index.php?action=vallex&amp;frame=v-whsb_1251hsa_1252", "svlíkat se (v-whsb_1251hsa_1252)")</f>
        <v>svlíkat se (v-whsb_1251hsa_1252)</v>
      </c>
    </row>
    <row r="47600" customFormat="false" ht="12.8" hidden="false" customHeight="false" outlineLevel="0" collapsed="false">
      <c r="B47600" s="0" t="s">
        <v>7</v>
      </c>
    </row>
    <row r="47601" customFormat="false" ht="12.8" hidden="false" customHeight="false" outlineLevel="0" collapsed="false">
      <c r="B47601" s="0" t="s">
        <v>3745</v>
      </c>
    </row>
    <row r="47603" customFormat="false" ht="12.8" hidden="false" customHeight="false" outlineLevel="0" collapsed="false">
      <c r="A47603" s="0" t="s">
        <v>16884</v>
      </c>
      <c r="B47603" s="0" t="str">
        <f aca="false">HYPERLINK("https://lindat.mff.cuni.cz/services/teitok/pdtc10/index.php?action=vallex&amp;frame=v-w6677f1", "svolat (v-w6677f1)")</f>
        <v>svolat (v-w6677f1)</v>
      </c>
    </row>
    <row r="47604" customFormat="false" ht="12.8" hidden="false" customHeight="false" outlineLevel="0" collapsed="false">
      <c r="B47604" s="0" t="s">
        <v>7</v>
      </c>
      <c r="C47604" s="0" t="s">
        <v>132</v>
      </c>
      <c r="D47604" s="0" t="s">
        <v>16885</v>
      </c>
      <c r="E47604" s="0" t="s">
        <v>16885</v>
      </c>
      <c r="F47604" s="0" t="s">
        <v>16885</v>
      </c>
    </row>
    <row r="47605" customFormat="false" ht="12.8" hidden="false" customHeight="false" outlineLevel="0" collapsed="false">
      <c r="B47605" s="0" t="s">
        <v>14</v>
      </c>
      <c r="C47605" s="0" t="s">
        <v>16886</v>
      </c>
      <c r="D47605" s="0" t="s">
        <v>16887</v>
      </c>
      <c r="E47605" s="0" t="s">
        <v>16887</v>
      </c>
      <c r="F47605" s="0" t="s">
        <v>16887</v>
      </c>
    </row>
    <row r="47607" customFormat="false" ht="12.8" hidden="false" customHeight="false" outlineLevel="0" collapsed="false">
      <c r="A47607" s="0" t="s">
        <v>16888</v>
      </c>
      <c r="B47607" s="0" t="str">
        <f aca="false">HYPERLINK("https://lindat.mff.cuni.cz/services/teitok/pdtc10/index.php?action=vallex&amp;frame=v-w6679f1", "svolit (v-w6679f1)")</f>
        <v>svolit (v-w6679f1)</v>
      </c>
    </row>
    <row r="47608" customFormat="false" ht="12.8" hidden="false" customHeight="false" outlineLevel="0" collapsed="false">
      <c r="B47608" s="0" t="s">
        <v>7</v>
      </c>
    </row>
    <row r="47609" customFormat="false" ht="12.8" hidden="false" customHeight="false" outlineLevel="0" collapsed="false">
      <c r="B47609" s="0" t="s">
        <v>9005</v>
      </c>
    </row>
    <row r="47611" customFormat="false" ht="12.8" hidden="false" customHeight="false" outlineLevel="0" collapsed="false">
      <c r="A47611" s="0" t="s">
        <v>16889</v>
      </c>
      <c r="B47611" s="0" t="str">
        <f aca="false">HYPERLINK("https://lindat.mff.cuni.cz/services/teitok/pdtc10/index.php?action=vallex&amp;frame=v-w10320f2", "svolovat (v-w10320f2)")</f>
        <v>svolovat (v-w10320f2)</v>
      </c>
    </row>
    <row r="47612" customFormat="false" ht="12.8" hidden="false" customHeight="false" outlineLevel="0" collapsed="false">
      <c r="B47612" s="0" t="s">
        <v>7</v>
      </c>
    </row>
    <row r="47613" customFormat="false" ht="12.8" hidden="false" customHeight="false" outlineLevel="0" collapsed="false">
      <c r="B47613" s="0" t="s">
        <v>9005</v>
      </c>
    </row>
    <row r="47615" customFormat="false" ht="12.8" hidden="false" customHeight="false" outlineLevel="0" collapsed="false">
      <c r="A47615" s="0" t="s">
        <v>16890</v>
      </c>
      <c r="B47615" s="0" t="str">
        <f aca="false">HYPERLINK("https://lindat.mff.cuni.cz/services/teitok/pdtc10/index.php?action=vallex&amp;frame=v-w6678f1", "svolávat (v-w6678f1)")</f>
        <v>svolávat (v-w6678f1)</v>
      </c>
    </row>
    <row r="47616" customFormat="false" ht="12.8" hidden="false" customHeight="false" outlineLevel="0" collapsed="false">
      <c r="B47616" s="0" t="s">
        <v>7</v>
      </c>
      <c r="D47616" s="0" t="s">
        <v>16885</v>
      </c>
      <c r="E47616" s="0" t="s">
        <v>16885</v>
      </c>
      <c r="F47616" s="0" t="s">
        <v>16885</v>
      </c>
    </row>
    <row r="47617" customFormat="false" ht="12.8" hidden="false" customHeight="false" outlineLevel="0" collapsed="false">
      <c r="B47617" s="0" t="s">
        <v>14</v>
      </c>
      <c r="D47617" s="0" t="s">
        <v>16887</v>
      </c>
      <c r="E47617" s="0" t="s">
        <v>16887</v>
      </c>
      <c r="F47617" s="0" t="s">
        <v>16887</v>
      </c>
    </row>
    <row r="47619" customFormat="false" ht="12.8" hidden="false" customHeight="false" outlineLevel="0" collapsed="false">
      <c r="A47619" s="0" t="s">
        <v>16891</v>
      </c>
      <c r="B47619" s="0" t="str">
        <f aca="false">HYPERLINK("https://lindat.mff.cuni.cz/services/teitok/pdtc10/index.php?action=vallex&amp;frame=v-w6678f2", "svolávat (v-w6678f2)")</f>
        <v>svolávat (v-w6678f2)</v>
      </c>
    </row>
    <row r="47620" customFormat="false" ht="12.8" hidden="false" customHeight="false" outlineLevel="0" collapsed="false">
      <c r="B47620" s="0" t="s">
        <v>7</v>
      </c>
      <c r="D47620" s="0" t="s">
        <v>504</v>
      </c>
      <c r="E47620" s="0" t="s">
        <v>504</v>
      </c>
      <c r="F47620" s="0" t="s">
        <v>504</v>
      </c>
    </row>
    <row r="47621" customFormat="false" ht="12.8" hidden="false" customHeight="false" outlineLevel="0" collapsed="false">
      <c r="B47621" s="0" t="s">
        <v>14</v>
      </c>
      <c r="D47621" s="0" t="s">
        <v>1146</v>
      </c>
      <c r="E47621" s="0" t="s">
        <v>1146</v>
      </c>
      <c r="F47621" s="0" t="s">
        <v>1146</v>
      </c>
    </row>
    <row r="47623" customFormat="false" ht="12.8" hidden="false" customHeight="false" outlineLevel="0" collapsed="false">
      <c r="A47623" s="0" t="s">
        <v>16892</v>
      </c>
      <c r="B47623" s="0" t="str">
        <f aca="false">HYPERLINK("https://lindat.mff.cuni.cz/services/teitok/pdtc10/index.php?action=vallex&amp;frame=v-w10290f2", "svraštět (v-w10290f2)")</f>
        <v>svraštět (v-w10290f2)</v>
      </c>
    </row>
    <row r="47624" customFormat="false" ht="12.8" hidden="false" customHeight="false" outlineLevel="0" collapsed="false">
      <c r="B47624" s="0" t="s">
        <v>7</v>
      </c>
    </row>
    <row r="47625" customFormat="false" ht="12.8" hidden="false" customHeight="false" outlineLevel="0" collapsed="false">
      <c r="B47625" s="0" t="s">
        <v>14</v>
      </c>
    </row>
    <row r="47627" customFormat="false" ht="12.8" hidden="false" customHeight="false" outlineLevel="0" collapsed="false">
      <c r="A47627" s="0" t="s">
        <v>16893</v>
      </c>
      <c r="B47627" s="0" t="str">
        <f aca="false">HYPERLINK("https://lindat.mff.cuni.cz/services/teitok/pdtc10/index.php?action=vallex&amp;frame=v-w6681f1", "svrbit (v-w6681f1)")</f>
        <v>svrbit (v-w6681f1)</v>
      </c>
    </row>
    <row r="47628" customFormat="false" ht="12.8" hidden="false" customHeight="false" outlineLevel="0" collapsed="false">
      <c r="B47628" s="0" t="s">
        <v>199</v>
      </c>
    </row>
    <row r="47629" customFormat="false" ht="12.8" hidden="false" customHeight="false" outlineLevel="0" collapsed="false">
      <c r="B47629" s="0" t="s">
        <v>328</v>
      </c>
    </row>
    <row r="47631" customFormat="false" ht="12.8" hidden="false" customHeight="false" outlineLevel="0" collapsed="false">
      <c r="A47631" s="0" t="s">
        <v>16894</v>
      </c>
      <c r="B47631" s="0" t="str">
        <f aca="false">HYPERLINK("https://lindat.mff.cuni.cz/services/teitok/pdtc10/index.php?action=vallex&amp;frame=v-w6681f2", "svrbit (v-w6681f2)")</f>
        <v>svrbit (v-w6681f2)</v>
      </c>
    </row>
    <row r="47632" customFormat="false" ht="12.8" hidden="false" customHeight="false" outlineLevel="0" collapsed="false">
      <c r="B47632" s="0" t="s">
        <v>199</v>
      </c>
    </row>
    <row r="47633" customFormat="false" ht="12.8" hidden="false" customHeight="false" outlineLevel="0" collapsed="false">
      <c r="B47633" s="0" t="s">
        <v>11</v>
      </c>
    </row>
    <row r="47635" customFormat="false" ht="12.8" hidden="false" customHeight="false" outlineLevel="0" collapsed="false">
      <c r="A47635" s="0" t="s">
        <v>16895</v>
      </c>
      <c r="B47635" s="0" t="str">
        <f aca="false">HYPERLINK("https://lindat.mff.cuni.cz/services/teitok/pdtc10/index.php?action=vallex&amp;frame=v-w6680f1", "svrbět (v-w6680f1)")</f>
        <v>svrbět (v-w6680f1)</v>
      </c>
    </row>
    <row r="47636" customFormat="false" ht="12.8" hidden="false" customHeight="false" outlineLevel="0" collapsed="false">
      <c r="B47636" s="0" t="s">
        <v>199</v>
      </c>
    </row>
    <row r="47637" customFormat="false" ht="12.8" hidden="false" customHeight="false" outlineLevel="0" collapsed="false">
      <c r="B47637" s="0" t="s">
        <v>328</v>
      </c>
    </row>
    <row r="47639" customFormat="false" ht="12.8" hidden="false" customHeight="false" outlineLevel="0" collapsed="false">
      <c r="A47639" s="0" t="s">
        <v>16896</v>
      </c>
      <c r="B47639" s="0" t="str">
        <f aca="false">HYPERLINK("https://lindat.mff.cuni.cz/services/teitok/pdtc10/index.php?action=vallex&amp;frame=v-w6680f2", "svrbět (v-w6680f2)")</f>
        <v>svrbět (v-w6680f2)</v>
      </c>
    </row>
    <row r="47640" customFormat="false" ht="12.8" hidden="false" customHeight="false" outlineLevel="0" collapsed="false">
      <c r="B47640" s="0" t="s">
        <v>199</v>
      </c>
    </row>
    <row r="47641" customFormat="false" ht="12.8" hidden="false" customHeight="false" outlineLevel="0" collapsed="false">
      <c r="B47641" s="0" t="s">
        <v>11</v>
      </c>
    </row>
    <row r="47643" customFormat="false" ht="12.8" hidden="false" customHeight="false" outlineLevel="0" collapsed="false">
      <c r="A47643" s="0" t="s">
        <v>16897</v>
      </c>
      <c r="B47643" s="0" t="str">
        <f aca="false">HYPERLINK("https://lindat.mff.cuni.cz/services/teitok/pdtc10/index.php?action=vallex&amp;frame=v-w6682f1", "svrhnout (v-w6682f1)")</f>
        <v>svrhnout (v-w6682f1)</v>
      </c>
    </row>
    <row r="47644" customFormat="false" ht="12.8" hidden="false" customHeight="false" outlineLevel="0" collapsed="false">
      <c r="B47644" s="0" t="s">
        <v>7</v>
      </c>
      <c r="C47644" s="0" t="s">
        <v>184</v>
      </c>
      <c r="D47644" s="0" t="s">
        <v>2560</v>
      </c>
      <c r="E47644" s="0" t="s">
        <v>2560</v>
      </c>
      <c r="F47644" s="0" t="s">
        <v>2560</v>
      </c>
    </row>
    <row r="47645" customFormat="false" ht="12.8" hidden="false" customHeight="false" outlineLevel="0" collapsed="false">
      <c r="B47645" s="0" t="s">
        <v>14</v>
      </c>
      <c r="C47645" s="0" t="s">
        <v>1264</v>
      </c>
      <c r="D47645" s="0" t="s">
        <v>3883</v>
      </c>
      <c r="E47645" s="0" t="s">
        <v>3883</v>
      </c>
      <c r="F47645" s="0" t="s">
        <v>3883</v>
      </c>
    </row>
    <row r="47647" customFormat="false" ht="12.8" hidden="false" customHeight="false" outlineLevel="0" collapsed="false">
      <c r="A47647" s="0" t="s">
        <v>16898</v>
      </c>
      <c r="B47647" s="0" t="str">
        <f aca="false">HYPERLINK("https://lindat.mff.cuni.cz/services/teitok/pdtc10/index.php?action=vallex&amp;frame=v-w6634f3", "svádět (v-w6634f3)")</f>
        <v>svádět (v-w6634f3)</v>
      </c>
    </row>
    <row r="47648" customFormat="false" ht="12.8" hidden="false" customHeight="false" outlineLevel="0" collapsed="false">
      <c r="B47648" s="0" t="s">
        <v>7</v>
      </c>
    </row>
    <row r="47649" customFormat="false" ht="12.8" hidden="false" customHeight="false" outlineLevel="0" collapsed="false">
      <c r="B47649" s="0" t="s">
        <v>14</v>
      </c>
    </row>
    <row r="47650" customFormat="false" ht="12.8" hidden="false" customHeight="false" outlineLevel="0" collapsed="false">
      <c r="B47650" s="0" t="s">
        <v>207</v>
      </c>
    </row>
    <row r="47652" customFormat="false" ht="12.8" hidden="false" customHeight="false" outlineLevel="0" collapsed="false">
      <c r="A47652" s="0" t="s">
        <v>16899</v>
      </c>
      <c r="B47652" s="0" t="str">
        <f aca="false">HYPERLINK("https://lindat.mff.cuni.cz/services/teitok/pdtc10/index.php?action=vallex&amp;frame=v-w6634f2", "svádět (v-w6634f2)")</f>
        <v>svádět (v-w6634f2)</v>
      </c>
    </row>
    <row r="47653" customFormat="false" ht="12.8" hidden="false" customHeight="false" outlineLevel="0" collapsed="false">
      <c r="B47653" s="0" t="s">
        <v>7</v>
      </c>
      <c r="C47653" s="0" t="s">
        <v>3664</v>
      </c>
      <c r="D47653" s="0" t="s">
        <v>16862</v>
      </c>
      <c r="E47653" s="0" t="s">
        <v>16862</v>
      </c>
      <c r="F47653" s="0" t="s">
        <v>16862</v>
      </c>
    </row>
    <row r="47654" customFormat="false" ht="12.8" hidden="false" customHeight="false" outlineLevel="0" collapsed="false">
      <c r="B47654" s="0" t="s">
        <v>14</v>
      </c>
      <c r="C47654" s="0" t="s">
        <v>16900</v>
      </c>
      <c r="D47654" s="0" t="s">
        <v>16864</v>
      </c>
      <c r="E47654" s="0" t="s">
        <v>16864</v>
      </c>
      <c r="F47654" s="0" t="s">
        <v>16864</v>
      </c>
    </row>
    <row r="47655" customFormat="false" ht="12.8" hidden="false" customHeight="false" outlineLevel="0" collapsed="false">
      <c r="B47655" s="0" t="s">
        <v>1755</v>
      </c>
      <c r="C47655" s="0" t="s">
        <v>16901</v>
      </c>
      <c r="D47655" s="0" t="s">
        <v>16902</v>
      </c>
      <c r="E47655" s="0" t="s">
        <v>16902</v>
      </c>
      <c r="F47655" s="0" t="s">
        <v>16902</v>
      </c>
    </row>
    <row r="47657" customFormat="false" ht="12.8" hidden="false" customHeight="false" outlineLevel="0" collapsed="false">
      <c r="A47657" s="0" t="s">
        <v>16903</v>
      </c>
      <c r="B47657" s="0" t="str">
        <f aca="false">HYPERLINK("https://lindat.mff.cuni.cz/services/teitok/pdtc10/index.php?action=vallex&amp;frame=v-w6634hsa_1316", "svádět (v-w6634hsa_1316)")</f>
        <v>svádět (v-w6634hsa_1316)</v>
      </c>
    </row>
    <row r="47658" customFormat="false" ht="12.8" hidden="false" customHeight="false" outlineLevel="0" collapsed="false">
      <c r="B47658" s="0" t="s">
        <v>7</v>
      </c>
    </row>
    <row r="47659" customFormat="false" ht="12.8" hidden="false" customHeight="false" outlineLevel="0" collapsed="false">
      <c r="B47659" s="0" t="s">
        <v>81</v>
      </c>
    </row>
    <row r="47660" customFormat="false" ht="12.8" hidden="false" customHeight="false" outlineLevel="0" collapsed="false">
      <c r="B47660" s="0" t="s">
        <v>16904</v>
      </c>
    </row>
    <row r="47662" customFormat="false" ht="12.8" hidden="false" customHeight="false" outlineLevel="0" collapsed="false">
      <c r="A47662" s="0" t="s">
        <v>16903</v>
      </c>
      <c r="B47662" s="0" t="str">
        <f aca="false">HYPERLINK("https://lindat.mff.cuni.cz/services/teitok/pdtc10/index.php?action=vallex&amp;frame=v-w6634f1", "svádět (v-w6634f1) - substituted with v-w6634hsa_1316")</f>
        <v>svádět (v-w6634f1) - substituted with v-w6634hsa_1316</v>
      </c>
    </row>
    <row r="47663" customFormat="false" ht="12.8" hidden="false" customHeight="false" outlineLevel="0" collapsed="false">
      <c r="B47663" s="0" t="s">
        <v>7</v>
      </c>
      <c r="C47663" s="0" t="s">
        <v>46</v>
      </c>
    </row>
    <row r="47664" customFormat="false" ht="12.8" hidden="false" customHeight="false" outlineLevel="0" collapsed="false">
      <c r="B47664" s="0" t="s">
        <v>81</v>
      </c>
      <c r="C47664" s="0" t="s">
        <v>4967</v>
      </c>
    </row>
    <row r="47665" customFormat="false" ht="12.8" hidden="false" customHeight="false" outlineLevel="0" collapsed="false">
      <c r="B47665" s="0" t="s">
        <v>16904</v>
      </c>
      <c r="C47665" s="0" t="s">
        <v>1544</v>
      </c>
    </row>
    <row r="47667" customFormat="false" ht="12.8" hidden="false" customHeight="false" outlineLevel="0" collapsed="false">
      <c r="A47667" s="0" t="s">
        <v>16905</v>
      </c>
      <c r="B47667" s="0" t="str">
        <f aca="false">HYPERLINK("https://lindat.mff.cuni.cz/services/teitok/pdtc10/index.php?action=vallex&amp;frame=v-w6645f2", "svázat (v-w6645f2)")</f>
        <v>svázat (v-w6645f2)</v>
      </c>
    </row>
    <row r="47668" customFormat="false" ht="12.8" hidden="false" customHeight="false" outlineLevel="0" collapsed="false">
      <c r="B47668" s="0" t="s">
        <v>7</v>
      </c>
      <c r="C47668" s="0" t="s">
        <v>31</v>
      </c>
      <c r="D47668" s="0" t="s">
        <v>4116</v>
      </c>
      <c r="E47668" s="0" t="s">
        <v>4116</v>
      </c>
      <c r="F47668" s="0" t="s">
        <v>4116</v>
      </c>
    </row>
    <row r="47669" customFormat="false" ht="12.8" hidden="false" customHeight="false" outlineLevel="0" collapsed="false">
      <c r="B47669" s="0" t="s">
        <v>14</v>
      </c>
      <c r="C47669" s="0" t="s">
        <v>16906</v>
      </c>
      <c r="D47669" s="0" t="s">
        <v>11631</v>
      </c>
      <c r="E47669" s="0" t="s">
        <v>11631</v>
      </c>
      <c r="F47669" s="0" t="s">
        <v>11631</v>
      </c>
    </row>
    <row r="47670" customFormat="false" ht="12.8" hidden="false" customHeight="false" outlineLevel="0" collapsed="false">
      <c r="B47670" s="0" t="s">
        <v>207</v>
      </c>
      <c r="C47670" s="0" t="s">
        <v>16907</v>
      </c>
      <c r="D47670" s="0" t="s">
        <v>12075</v>
      </c>
      <c r="E47670" s="0" t="s">
        <v>12075</v>
      </c>
      <c r="F47670" s="0" t="s">
        <v>12075</v>
      </c>
    </row>
    <row r="47672" customFormat="false" ht="12.8" hidden="false" customHeight="false" outlineLevel="0" collapsed="false">
      <c r="A47672" s="0" t="s">
        <v>16908</v>
      </c>
      <c r="B47672" s="0" t="str">
        <f aca="false">HYPERLINK("https://lindat.mff.cuni.cz/services/teitok/pdtc10/index.php?action=vallex&amp;frame=v-w6645f1", "svázat (v-w6645f1)")</f>
        <v>svázat (v-w6645f1)</v>
      </c>
    </row>
    <row r="47673" customFormat="false" ht="12.8" hidden="false" customHeight="false" outlineLevel="0" collapsed="false">
      <c r="B47673" s="0" t="s">
        <v>7</v>
      </c>
    </row>
    <row r="47674" customFormat="false" ht="12.8" hidden="false" customHeight="false" outlineLevel="0" collapsed="false">
      <c r="B47674" s="0" t="s">
        <v>14</v>
      </c>
    </row>
    <row r="47676" customFormat="false" ht="12.8" hidden="false" customHeight="false" outlineLevel="0" collapsed="false">
      <c r="A47676" s="0" t="s">
        <v>16909</v>
      </c>
      <c r="B47676" s="0" t="str">
        <f aca="false">HYPERLINK("https://lindat.mff.cuni.cz/services/teitok/pdtc10/index.php?action=vallex&amp;frame=v-w6645f3", "svázat (v-w6645f3)")</f>
        <v>svázat (v-w6645f3)</v>
      </c>
    </row>
    <row r="47677" customFormat="false" ht="12.8" hidden="false" customHeight="false" outlineLevel="0" collapsed="false">
      <c r="B47677" s="0" t="s">
        <v>7</v>
      </c>
      <c r="C47677" s="0" t="s">
        <v>46</v>
      </c>
      <c r="D47677" s="0" t="s">
        <v>4116</v>
      </c>
      <c r="E47677" s="0" t="s">
        <v>4116</v>
      </c>
      <c r="F47677" s="0" t="s">
        <v>4116</v>
      </c>
    </row>
    <row r="47678" customFormat="false" ht="12.8" hidden="false" customHeight="false" outlineLevel="0" collapsed="false">
      <c r="B47678" s="0" t="s">
        <v>14</v>
      </c>
      <c r="C47678" s="0" t="s">
        <v>567</v>
      </c>
      <c r="D47678" s="0" t="s">
        <v>11631</v>
      </c>
      <c r="E47678" s="0" t="s">
        <v>11631</v>
      </c>
      <c r="F47678" s="0" t="s">
        <v>11631</v>
      </c>
    </row>
    <row r="47680" customFormat="false" ht="12.8" hidden="false" customHeight="false" outlineLevel="0" collapsed="false">
      <c r="A47680" s="0" t="s">
        <v>16910</v>
      </c>
      <c r="B47680" s="0" t="str">
        <f aca="false">HYPERLINK("https://lindat.mff.cuni.cz/services/teitok/pdtc10/index.php?action=vallex&amp;frame=v-w6645f4_MM", "svázat (v-w6645f4_MM)")</f>
        <v>svázat (v-w6645f4_MM)</v>
      </c>
    </row>
    <row r="47681" customFormat="false" ht="12.8" hidden="false" customHeight="false" outlineLevel="0" collapsed="false">
      <c r="B47681" s="0" t="s">
        <v>7</v>
      </c>
    </row>
    <row r="47682" customFormat="false" ht="12.8" hidden="false" customHeight="false" outlineLevel="0" collapsed="false">
      <c r="B47682" s="0" t="s">
        <v>14</v>
      </c>
    </row>
    <row r="47683" customFormat="false" ht="12.8" hidden="false" customHeight="false" outlineLevel="0" collapsed="false">
      <c r="B47683" s="0" t="s">
        <v>35</v>
      </c>
    </row>
    <row r="47685" customFormat="false" ht="12.8" hidden="false" customHeight="false" outlineLevel="0" collapsed="false">
      <c r="A47685" s="0" t="s">
        <v>16911</v>
      </c>
      <c r="B47685" s="0" t="str">
        <f aca="false">HYPERLINK("https://lindat.mff.cuni.cz/services/teitok/pdtc10/index.php?action=vallex&amp;frame=v-w6638f1", "svářet (v-w6638f1)")</f>
        <v>svářet (v-w6638f1)</v>
      </c>
    </row>
    <row r="47686" customFormat="false" ht="12.8" hidden="false" customHeight="false" outlineLevel="0" collapsed="false">
      <c r="B47686" s="0" t="s">
        <v>7</v>
      </c>
    </row>
    <row r="47687" customFormat="false" ht="12.8" hidden="false" customHeight="false" outlineLevel="0" collapsed="false">
      <c r="B47687" s="0" t="s">
        <v>14</v>
      </c>
    </row>
    <row r="47689" customFormat="false" ht="12.8" hidden="false" customHeight="false" outlineLevel="0" collapsed="false">
      <c r="A47689" s="0" t="s">
        <v>16912</v>
      </c>
      <c r="B47689" s="0" t="str">
        <f aca="false">HYPERLINK("https://lindat.mff.cuni.cz/services/teitok/pdtc10/index.php?action=vallex&amp;frame=v-w6649f1", "svážet (v-w6649f1)")</f>
        <v>svážet (v-w6649f1)</v>
      </c>
    </row>
    <row r="47690" customFormat="false" ht="12.8" hidden="false" customHeight="false" outlineLevel="0" collapsed="false">
      <c r="B47690" s="0" t="s">
        <v>7</v>
      </c>
    </row>
    <row r="47691" customFormat="false" ht="12.8" hidden="false" customHeight="false" outlineLevel="0" collapsed="false">
      <c r="B47691" s="0" t="s">
        <v>14</v>
      </c>
    </row>
    <row r="47692" customFormat="false" ht="12.8" hidden="false" customHeight="false" outlineLevel="0" collapsed="false">
      <c r="B47692" s="0" t="s">
        <v>124</v>
      </c>
    </row>
    <row r="47694" customFormat="false" ht="12.8" hidden="false" customHeight="false" outlineLevel="0" collapsed="false">
      <c r="A47694" s="0" t="s">
        <v>16913</v>
      </c>
      <c r="B47694" s="0" t="str">
        <f aca="false">HYPERLINK("https://lindat.mff.cuni.cz/services/teitok/pdtc10/index.php?action=vallex&amp;frame=v-w6663f2", "svést (v-w6663f2)")</f>
        <v>svést (v-w6663f2)</v>
      </c>
    </row>
    <row r="47695" customFormat="false" ht="12.8" hidden="false" customHeight="false" outlineLevel="0" collapsed="false">
      <c r="B47695" s="0" t="s">
        <v>7</v>
      </c>
      <c r="C47695" s="0" t="s">
        <v>1874</v>
      </c>
    </row>
    <row r="47696" customFormat="false" ht="12.8" hidden="false" customHeight="false" outlineLevel="0" collapsed="false">
      <c r="B47696" s="0" t="s">
        <v>14</v>
      </c>
      <c r="C47696" s="0" t="s">
        <v>3305</v>
      </c>
    </row>
    <row r="47697" customFormat="false" ht="12.8" hidden="false" customHeight="false" outlineLevel="0" collapsed="false">
      <c r="B47697" s="0" t="s">
        <v>122</v>
      </c>
      <c r="C47697" s="0" t="s">
        <v>3307</v>
      </c>
    </row>
    <row r="47699" customFormat="false" ht="12.8" hidden="false" customHeight="false" outlineLevel="0" collapsed="false">
      <c r="A47699" s="0" t="s">
        <v>16914</v>
      </c>
      <c r="B47699" s="0" t="str">
        <f aca="false">HYPERLINK("https://lindat.mff.cuni.cz/services/teitok/pdtc10/index.php?action=vallex&amp;frame=v-w6663f4", "svést (v-w6663f4)")</f>
        <v>svést (v-w6663f4)</v>
      </c>
    </row>
    <row r="47700" customFormat="false" ht="12.8" hidden="false" customHeight="false" outlineLevel="0" collapsed="false">
      <c r="B47700" s="0" t="s">
        <v>7</v>
      </c>
    </row>
    <row r="47701" customFormat="false" ht="12.8" hidden="false" customHeight="false" outlineLevel="0" collapsed="false">
      <c r="B47701" s="0" t="s">
        <v>14</v>
      </c>
    </row>
    <row r="47702" customFormat="false" ht="12.8" hidden="false" customHeight="false" outlineLevel="0" collapsed="false">
      <c r="B47702" s="0" t="s">
        <v>207</v>
      </c>
    </row>
    <row r="47704" customFormat="false" ht="12.8" hidden="false" customHeight="false" outlineLevel="0" collapsed="false">
      <c r="A47704" s="0" t="s">
        <v>16915</v>
      </c>
      <c r="B47704" s="0" t="str">
        <f aca="false">HYPERLINK("https://lindat.mff.cuni.cz/services/teitok/pdtc10/index.php?action=vallex&amp;frame=v-w6663f1", "svést (v-w6663f1)")</f>
        <v>svést (v-w6663f1)</v>
      </c>
    </row>
    <row r="47705" customFormat="false" ht="12.8" hidden="false" customHeight="false" outlineLevel="0" collapsed="false">
      <c r="B47705" s="0" t="s">
        <v>7</v>
      </c>
    </row>
    <row r="47706" customFormat="false" ht="12.8" hidden="false" customHeight="false" outlineLevel="0" collapsed="false">
      <c r="B47706" s="0" t="s">
        <v>1251</v>
      </c>
    </row>
    <row r="47708" customFormat="false" ht="12.8" hidden="false" customHeight="false" outlineLevel="0" collapsed="false">
      <c r="A47708" s="0" t="s">
        <v>16916</v>
      </c>
      <c r="B47708" s="0" t="str">
        <f aca="false">HYPERLINK("https://lindat.mff.cuni.cz/services/teitok/pdtc10/index.php?action=vallex&amp;frame=v-w6663f3", "svést (v-w6663f3)")</f>
        <v>svést (v-w6663f3)</v>
      </c>
    </row>
    <row r="47709" customFormat="false" ht="12.8" hidden="false" customHeight="false" outlineLevel="0" collapsed="false">
      <c r="B47709" s="0" t="s">
        <v>7</v>
      </c>
      <c r="C47709" s="0" t="s">
        <v>46</v>
      </c>
      <c r="D47709" s="0" t="s">
        <v>5251</v>
      </c>
      <c r="E47709" s="0" t="s">
        <v>5251</v>
      </c>
      <c r="F47709" s="0" t="s">
        <v>5251</v>
      </c>
    </row>
    <row r="47710" customFormat="false" ht="12.8" hidden="false" customHeight="false" outlineLevel="0" collapsed="false">
      <c r="B47710" s="0" t="s">
        <v>81</v>
      </c>
      <c r="C47710" s="0" t="s">
        <v>4967</v>
      </c>
      <c r="D47710" s="0" t="s">
        <v>5253</v>
      </c>
      <c r="E47710" s="0" t="s">
        <v>5253</v>
      </c>
      <c r="F47710" s="0" t="s">
        <v>5253</v>
      </c>
    </row>
    <row r="47711" customFormat="false" ht="12.8" hidden="false" customHeight="false" outlineLevel="0" collapsed="false">
      <c r="B47711" s="0" t="s">
        <v>82</v>
      </c>
      <c r="C47711" s="0" t="s">
        <v>1544</v>
      </c>
      <c r="D47711" s="0" t="s">
        <v>5254</v>
      </c>
      <c r="E47711" s="0" t="s">
        <v>5254</v>
      </c>
      <c r="F47711" s="0" t="s">
        <v>5254</v>
      </c>
    </row>
    <row r="47713" customFormat="false" ht="12.8" hidden="false" customHeight="false" outlineLevel="0" collapsed="false">
      <c r="A47713" s="0" t="s">
        <v>16917</v>
      </c>
      <c r="B47713" s="0" t="str">
        <f aca="false">HYPERLINK("https://lindat.mff.cuni.cz/services/teitok/pdtc10/index.php?action=vallex&amp;frame=v-w6663hsa_770", "svést (v-w6663hsa_770)")</f>
        <v>svést (v-w6663hsa_770)</v>
      </c>
    </row>
    <row r="47714" customFormat="false" ht="12.8" hidden="false" customHeight="false" outlineLevel="0" collapsed="false">
      <c r="B47714" s="0" t="s">
        <v>7</v>
      </c>
    </row>
    <row r="47715" customFormat="false" ht="12.8" hidden="false" customHeight="false" outlineLevel="0" collapsed="false">
      <c r="B47715" s="0" t="s">
        <v>14</v>
      </c>
    </row>
    <row r="47716" customFormat="false" ht="12.8" hidden="false" customHeight="false" outlineLevel="0" collapsed="false">
      <c r="B47716" s="0" t="s">
        <v>124</v>
      </c>
    </row>
    <row r="47718" customFormat="false" ht="12.8" hidden="false" customHeight="false" outlineLevel="0" collapsed="false">
      <c r="A47718" s="0" t="s">
        <v>16918</v>
      </c>
      <c r="B47718" s="0" t="str">
        <f aca="false">HYPERLINK("https://lindat.mff.cuni.cz/services/teitok/pdtc10/index.php?action=vallex&amp;frame=v-w6665f1", "svézt (v-w6665f1)")</f>
        <v>svézt (v-w6665f1)</v>
      </c>
    </row>
    <row r="47719" customFormat="false" ht="12.8" hidden="false" customHeight="false" outlineLevel="0" collapsed="false">
      <c r="B47719" s="0" t="s">
        <v>7</v>
      </c>
    </row>
    <row r="47720" customFormat="false" ht="12.8" hidden="false" customHeight="false" outlineLevel="0" collapsed="false">
      <c r="B47720" s="0" t="s">
        <v>14</v>
      </c>
    </row>
    <row r="47721" customFormat="false" ht="12.8" hidden="false" customHeight="false" outlineLevel="0" collapsed="false">
      <c r="B47721" s="0" t="s">
        <v>124</v>
      </c>
    </row>
    <row r="47723" customFormat="false" ht="12.8" hidden="false" customHeight="false" outlineLevel="0" collapsed="false">
      <c r="A47723" s="0" t="s">
        <v>16919</v>
      </c>
      <c r="B47723" s="0" t="str">
        <f aca="false">HYPERLINK("https://lindat.mff.cuni.cz/services/teitok/pdtc10/index.php?action=vallex&amp;frame=v-w6665hsa_421", "svézt (v-w6665hsa_421)")</f>
        <v>svézt (v-w6665hsa_421)</v>
      </c>
    </row>
    <row r="47724" customFormat="false" ht="12.8" hidden="false" customHeight="false" outlineLevel="0" collapsed="false">
      <c r="B47724" s="0" t="s">
        <v>7</v>
      </c>
    </row>
    <row r="47725" customFormat="false" ht="12.8" hidden="false" customHeight="false" outlineLevel="0" collapsed="false">
      <c r="B47725" s="0" t="s">
        <v>14</v>
      </c>
    </row>
    <row r="47727" customFormat="false" ht="12.8" hidden="false" customHeight="false" outlineLevel="0" collapsed="false">
      <c r="A47727" s="0" t="s">
        <v>16920</v>
      </c>
      <c r="B47727" s="0" t="str">
        <f aca="false">HYPERLINK("https://lindat.mff.cuni.cz/services/teitok/pdtc10/index.php?action=vallex&amp;frame=v-w6665hsa_422", "svézt (v-w6665hsa_422)")</f>
        <v>svézt (v-w6665hsa_422)</v>
      </c>
    </row>
    <row r="47728" customFormat="false" ht="12.8" hidden="false" customHeight="false" outlineLevel="0" collapsed="false">
      <c r="B47728" s="0" t="s">
        <v>7</v>
      </c>
    </row>
    <row r="47729" customFormat="false" ht="12.8" hidden="false" customHeight="false" outlineLevel="0" collapsed="false">
      <c r="B47729" s="0" t="s">
        <v>14</v>
      </c>
    </row>
    <row r="47730" customFormat="false" ht="12.8" hidden="false" customHeight="false" outlineLevel="0" collapsed="false">
      <c r="B47730" s="0" t="s">
        <v>122</v>
      </c>
    </row>
    <row r="47732" customFormat="false" ht="12.8" hidden="false" customHeight="false" outlineLevel="0" collapsed="false">
      <c r="A47732" s="0" t="s">
        <v>16921</v>
      </c>
      <c r="B47732" s="0" t="str">
        <f aca="false">HYPERLINK("https://lindat.mff.cuni.cz/services/teitok/pdtc10/index.php?action=vallex&amp;frame=v-w6666f2", "svézt se (v-w6666f2)")</f>
        <v>svézt se (v-w6666f2)</v>
      </c>
    </row>
    <row r="47733" customFormat="false" ht="12.8" hidden="false" customHeight="false" outlineLevel="0" collapsed="false">
      <c r="B47733" s="0" t="s">
        <v>7</v>
      </c>
    </row>
    <row r="47734" customFormat="false" ht="12.8" hidden="false" customHeight="false" outlineLevel="0" collapsed="false">
      <c r="B47734" s="0" t="s">
        <v>548</v>
      </c>
    </row>
    <row r="47736" customFormat="false" ht="12.8" hidden="false" customHeight="false" outlineLevel="0" collapsed="false">
      <c r="A47736" s="0" t="s">
        <v>16922</v>
      </c>
      <c r="B47736" s="0" t="str">
        <f aca="false">HYPERLINK("https://lindat.mff.cuni.cz/services/teitok/pdtc10/index.php?action=vallex&amp;frame=v-w6666f1", "svézt se (v-w6666f1)")</f>
        <v>svézt se (v-w6666f1)</v>
      </c>
    </row>
    <row r="47737" customFormat="false" ht="12.8" hidden="false" customHeight="false" outlineLevel="0" collapsed="false">
      <c r="B47737" s="0" t="s">
        <v>7</v>
      </c>
    </row>
    <row r="47739" customFormat="false" ht="12.8" hidden="false" customHeight="false" outlineLevel="0" collapsed="false">
      <c r="A47739" s="0" t="s">
        <v>16923</v>
      </c>
      <c r="B47739" s="0" t="str">
        <f aca="false">HYPERLINK("https://lindat.mff.cuni.cz/services/teitok/pdtc10/index.php?action=vallex&amp;frame=v-w11348f1", "svíjet se (v-w11348f1)")</f>
        <v>svíjet se (v-w11348f1)</v>
      </c>
    </row>
    <row r="47740" customFormat="false" ht="12.8" hidden="false" customHeight="false" outlineLevel="0" collapsed="false">
      <c r="B47740" s="0" t="s">
        <v>7</v>
      </c>
      <c r="C47740" s="0" t="s">
        <v>200</v>
      </c>
      <c r="F47740" s="0" t="s">
        <v>200</v>
      </c>
    </row>
    <row r="47742" customFormat="false" ht="12.8" hidden="false" customHeight="false" outlineLevel="0" collapsed="false">
      <c r="A47742" s="0" t="s">
        <v>16924</v>
      </c>
      <c r="B47742" s="0" t="str">
        <f aca="false">HYPERLINK("https://lindat.mff.cuni.cz/services/teitok/pdtc10/index.php?action=vallex&amp;frame=v-w6667f2", "svírat (v-w6667f2)")</f>
        <v>svírat (v-w6667f2)</v>
      </c>
    </row>
    <row r="47743" customFormat="false" ht="12.8" hidden="false" customHeight="false" outlineLevel="0" collapsed="false">
      <c r="B47743" s="0" t="s">
        <v>7</v>
      </c>
    </row>
    <row r="47744" customFormat="false" ht="12.8" hidden="false" customHeight="false" outlineLevel="0" collapsed="false">
      <c r="B47744" s="0" t="s">
        <v>14</v>
      </c>
    </row>
    <row r="47746" customFormat="false" ht="12.8" hidden="false" customHeight="false" outlineLevel="0" collapsed="false">
      <c r="A47746" s="0" t="s">
        <v>16925</v>
      </c>
      <c r="B47746" s="0" t="str">
        <f aca="false">HYPERLINK("https://lindat.mff.cuni.cz/services/teitok/pdtc10/index.php?action=vallex&amp;frame=v-w6667f1", "svírat (v-w6667f1)")</f>
        <v>svírat (v-w6667f1)</v>
      </c>
    </row>
    <row r="47747" customFormat="false" ht="12.8" hidden="false" customHeight="false" outlineLevel="0" collapsed="false">
      <c r="B47747" s="0" t="s">
        <v>7</v>
      </c>
      <c r="D47747" s="0" t="s">
        <v>2812</v>
      </c>
      <c r="E47747" s="0" t="s">
        <v>2812</v>
      </c>
      <c r="F47747" s="0" t="s">
        <v>2812</v>
      </c>
    </row>
    <row r="47748" customFormat="false" ht="12.8" hidden="false" customHeight="false" outlineLevel="0" collapsed="false">
      <c r="B47748" s="0" t="s">
        <v>14</v>
      </c>
      <c r="D47748" s="0" t="s">
        <v>15516</v>
      </c>
      <c r="E47748" s="0" t="s">
        <v>15516</v>
      </c>
      <c r="F47748" s="0" t="s">
        <v>15516</v>
      </c>
    </row>
    <row r="47750" customFormat="false" ht="12.8" hidden="false" customHeight="false" outlineLevel="0" collapsed="false">
      <c r="A47750" s="0" t="s">
        <v>16926</v>
      </c>
      <c r="B47750" s="0" t="str">
        <f aca="false">HYPERLINK("https://lindat.mff.cuni.cz/services/teitok/pdtc10/index.php?action=vallex&amp;frame=v-w6667f3_ZU", "svírat (v-w6667f3_ZU)")</f>
        <v>svírat (v-w6667f3_ZU)</v>
      </c>
    </row>
    <row r="47751" customFormat="false" ht="12.8" hidden="false" customHeight="false" outlineLevel="0" collapsed="false">
      <c r="B47751" s="0" t="s">
        <v>7</v>
      </c>
      <c r="C47751" s="0" t="s">
        <v>108</v>
      </c>
    </row>
    <row r="47752" customFormat="false" ht="12.8" hidden="false" customHeight="false" outlineLevel="0" collapsed="false">
      <c r="B47752" s="0" t="s">
        <v>14</v>
      </c>
      <c r="C47752" s="0" t="s">
        <v>1264</v>
      </c>
    </row>
    <row r="47754" customFormat="false" ht="12.8" hidden="false" customHeight="false" outlineLevel="0" collapsed="false">
      <c r="A47754" s="0" t="s">
        <v>16926</v>
      </c>
      <c r="B47754" s="0" t="str">
        <f aca="false">HYPERLINK("https://lindat.mff.cuni.cz/services/teitok/pdtc10/index.php?action=vallex&amp;frame=v-w6667hsa_431", "svírat (v-w6667hsa_431) - substituted with v-w6667f3_ZU")</f>
        <v>svírat (v-w6667hsa_431) - substituted with v-w6667f3_ZU</v>
      </c>
    </row>
    <row r="47755" customFormat="false" ht="12.8" hidden="false" customHeight="false" outlineLevel="0" collapsed="false">
      <c r="B47755" s="0" t="s">
        <v>7</v>
      </c>
    </row>
    <row r="47756" customFormat="false" ht="12.8" hidden="false" customHeight="false" outlineLevel="0" collapsed="false">
      <c r="B47756" s="0" t="s">
        <v>14</v>
      </c>
    </row>
    <row r="47758" customFormat="false" ht="12.8" hidden="false" customHeight="false" outlineLevel="0" collapsed="false">
      <c r="A47758" s="0" t="s">
        <v>16927</v>
      </c>
      <c r="B47758" s="0" t="str">
        <f aca="false">HYPERLINK("https://lindat.mff.cuni.cz/services/teitok/pdtc10/index.php?action=vallex&amp;frame=v-w6669f2", "svítat (v-w6669f2)")</f>
        <v>svítat (v-w6669f2)</v>
      </c>
    </row>
    <row r="47759" customFormat="false" ht="12.8" hidden="false" customHeight="false" outlineLevel="0" collapsed="false">
      <c r="B47759" s="0" t="s">
        <v>7</v>
      </c>
    </row>
    <row r="47761" customFormat="false" ht="12.8" hidden="false" customHeight="false" outlineLevel="0" collapsed="false">
      <c r="A47761" s="0" t="s">
        <v>16928</v>
      </c>
      <c r="B47761" s="0" t="str">
        <f aca="false">HYPERLINK("https://lindat.mff.cuni.cz/services/teitok/pdtc10/index.php?action=vallex&amp;frame=v-w6669f1", "svítat (v-w6669f1)")</f>
        <v>svítat (v-w6669f1)</v>
      </c>
    </row>
    <row r="47763" customFormat="false" ht="12.8" hidden="false" customHeight="false" outlineLevel="0" collapsed="false">
      <c r="A47763" s="0" t="s">
        <v>16929</v>
      </c>
      <c r="B47763" s="0" t="str">
        <f aca="false">HYPERLINK("https://lindat.mff.cuni.cz/services/teitok/pdtc10/index.php?action=vallex&amp;frame=v-w6670f1", "svítit (v-w6670f1)")</f>
        <v>svítit (v-w6670f1)</v>
      </c>
    </row>
    <row r="47764" customFormat="false" ht="12.8" hidden="false" customHeight="false" outlineLevel="0" collapsed="false">
      <c r="B47764" s="0" t="s">
        <v>7</v>
      </c>
      <c r="C47764" s="0" t="s">
        <v>16930</v>
      </c>
      <c r="F47764" s="0" t="s">
        <v>16931</v>
      </c>
    </row>
    <row r="47766" customFormat="false" ht="12.8" hidden="false" customHeight="false" outlineLevel="0" collapsed="false">
      <c r="A47766" s="0" t="s">
        <v>16932</v>
      </c>
      <c r="B47766" s="0" t="str">
        <f aca="false">HYPERLINK("https://lindat.mff.cuni.cz/services/teitok/pdtc10/index.php?action=vallex&amp;frame=v-w6670hsa_129", "svítit (v-w6670hsa_129)")</f>
        <v>svítit (v-w6670hsa_129)</v>
      </c>
    </row>
    <row r="47767" customFormat="false" ht="12.8" hidden="false" customHeight="false" outlineLevel="0" collapsed="false">
      <c r="B47767" s="0" t="s">
        <v>7</v>
      </c>
    </row>
    <row r="47769" customFormat="false" ht="12.8" hidden="false" customHeight="false" outlineLevel="0" collapsed="false">
      <c r="A47769" s="0" t="s">
        <v>16933</v>
      </c>
      <c r="B47769" s="0" t="str">
        <f aca="false">HYPERLINK("https://lindat.mff.cuni.cz/services/teitok/pdtc10/index.php?action=vallex&amp;frame=v-w11758_ZUf2_MM", "svědit (v-w11758_ZUf2_MM)")</f>
        <v>svědit (v-w11758_ZUf2_MM)</v>
      </c>
    </row>
    <row r="47770" customFormat="false" ht="12.8" hidden="false" customHeight="false" outlineLevel="0" collapsed="false">
      <c r="B47770" s="0" t="s">
        <v>199</v>
      </c>
    </row>
    <row r="47771" customFormat="false" ht="12.8" hidden="false" customHeight="false" outlineLevel="0" collapsed="false">
      <c r="B47771" s="0" t="s">
        <v>11</v>
      </c>
    </row>
    <row r="47772" customFormat="false" ht="12.8" hidden="false" customHeight="false" outlineLevel="0" collapsed="false">
      <c r="B47772" s="0" t="s">
        <v>16934</v>
      </c>
    </row>
    <row r="47774" customFormat="false" ht="12.8" hidden="false" customHeight="false" outlineLevel="0" collapsed="false">
      <c r="A47774" s="0" t="s">
        <v>16933</v>
      </c>
      <c r="B47774" s="0" t="str">
        <f aca="false">HYPERLINK("https://lindat.mff.cuni.cz/services/teitok/pdtc10/index.php?action=vallex&amp;frame=v-w11758_ZUf1_ZU", "svědit (v-w11758_ZUf1_ZU) - substituted with v-w11758_ZUf2_MM")</f>
        <v>svědit (v-w11758_ZUf1_ZU) - substituted with v-w11758_ZUf2_MM</v>
      </c>
    </row>
    <row r="47775" customFormat="false" ht="12.8" hidden="false" customHeight="false" outlineLevel="0" collapsed="false">
      <c r="B47775" s="0" t="s">
        <v>199</v>
      </c>
    </row>
    <row r="47776" customFormat="false" ht="12.8" hidden="false" customHeight="false" outlineLevel="0" collapsed="false">
      <c r="B47776" s="0" t="s">
        <v>11</v>
      </c>
    </row>
    <row r="47777" customFormat="false" ht="12.8" hidden="false" customHeight="false" outlineLevel="0" collapsed="false">
      <c r="B47777" s="0" t="s">
        <v>16934</v>
      </c>
    </row>
    <row r="47779" customFormat="false" ht="12.8" hidden="false" customHeight="false" outlineLevel="0" collapsed="false">
      <c r="A47779" s="0" t="s">
        <v>16935</v>
      </c>
      <c r="B47779" s="0" t="str">
        <f aca="false">HYPERLINK("https://lindat.mff.cuni.cz/services/teitok/pdtc10/index.php?action=vallex&amp;frame=v-w6652f2", "svědčit (v-w6652f2)")</f>
        <v>svědčit (v-w6652f2)</v>
      </c>
    </row>
    <row r="47780" customFormat="false" ht="12.8" hidden="false" customHeight="false" outlineLevel="0" collapsed="false">
      <c r="B47780" s="0" t="s">
        <v>979</v>
      </c>
    </row>
    <row r="47781" customFormat="false" ht="12.8" hidden="false" customHeight="false" outlineLevel="0" collapsed="false">
      <c r="B47781" s="0" t="s">
        <v>142</v>
      </c>
      <c r="C47781" s="0" t="s">
        <v>16936</v>
      </c>
    </row>
    <row r="47783" customFormat="false" ht="12.8" hidden="false" customHeight="false" outlineLevel="0" collapsed="false">
      <c r="A47783" s="0" t="s">
        <v>16937</v>
      </c>
      <c r="B47783" s="0" t="str">
        <f aca="false">HYPERLINK("https://lindat.mff.cuni.cz/services/teitok/pdtc10/index.php?action=vallex&amp;frame=v-w6652f1", "svědčit (v-w6652f1)")</f>
        <v>svědčit (v-w6652f1)</v>
      </c>
    </row>
    <row r="47784" customFormat="false" ht="12.8" hidden="false" customHeight="false" outlineLevel="0" collapsed="false">
      <c r="B47784" s="0" t="s">
        <v>7</v>
      </c>
      <c r="C47784" s="0" t="s">
        <v>1998</v>
      </c>
    </row>
    <row r="47785" customFormat="false" ht="12.8" hidden="false" customHeight="false" outlineLevel="0" collapsed="false">
      <c r="B47785" s="0" t="s">
        <v>244</v>
      </c>
      <c r="C47785" s="0" t="s">
        <v>16938</v>
      </c>
    </row>
    <row r="47787" customFormat="false" ht="12.8" hidden="false" customHeight="false" outlineLevel="0" collapsed="false">
      <c r="A47787" s="0" t="s">
        <v>16939</v>
      </c>
      <c r="B47787" s="0" t="str">
        <f aca="false">HYPERLINK("https://lindat.mff.cuni.cz/services/teitok/pdtc10/index.php?action=vallex&amp;frame=v-w6652f4_ZU", "svědčit (v-w6652f4_ZU)")</f>
        <v>svědčit (v-w6652f4_ZU)</v>
      </c>
    </row>
    <row r="47788" customFormat="false" ht="12.8" hidden="false" customHeight="false" outlineLevel="0" collapsed="false">
      <c r="B47788" s="0" t="s">
        <v>7</v>
      </c>
      <c r="C47788" s="0" t="s">
        <v>118</v>
      </c>
      <c r="D47788" s="0" t="s">
        <v>149</v>
      </c>
      <c r="E47788" s="0" t="s">
        <v>149</v>
      </c>
      <c r="F47788" s="0" t="s">
        <v>149</v>
      </c>
    </row>
    <row r="47789" customFormat="false" ht="12.8" hidden="false" customHeight="false" outlineLevel="0" collapsed="false">
      <c r="B47789" s="0" t="s">
        <v>16940</v>
      </c>
      <c r="C47789" s="0" t="s">
        <v>1170</v>
      </c>
      <c r="D47789" s="0" t="s">
        <v>3974</v>
      </c>
      <c r="E47789" s="0" t="s">
        <v>3974</v>
      </c>
      <c r="F47789" s="0" t="s">
        <v>3974</v>
      </c>
    </row>
    <row r="47791" customFormat="false" ht="12.8" hidden="false" customHeight="false" outlineLevel="0" collapsed="false">
      <c r="A47791" s="0" t="s">
        <v>16939</v>
      </c>
      <c r="B47791" s="0" t="str">
        <f aca="false">HYPERLINK("https://lindat.mff.cuni.cz/services/teitok/pdtc10/index.php?action=vallex&amp;frame=v-w6652f3", "svědčit (v-w6652f3) - substituted with v-w6652f4_ZU")</f>
        <v>svědčit (v-w6652f3) - substituted with v-w6652f4_ZU</v>
      </c>
    </row>
    <row r="47792" customFormat="false" ht="12.8" hidden="false" customHeight="false" outlineLevel="0" collapsed="false">
      <c r="B47792" s="0" t="s">
        <v>7</v>
      </c>
      <c r="C47792" s="0" t="s">
        <v>149</v>
      </c>
    </row>
    <row r="47793" customFormat="false" ht="12.8" hidden="false" customHeight="false" outlineLevel="0" collapsed="false">
      <c r="B47793" s="0" t="s">
        <v>16940</v>
      </c>
      <c r="C47793" s="0" t="s">
        <v>16941</v>
      </c>
    </row>
    <row r="47795" customFormat="false" ht="12.8" hidden="false" customHeight="false" outlineLevel="0" collapsed="false">
      <c r="A47795" s="0" t="s">
        <v>16942</v>
      </c>
      <c r="B47795" s="0" t="str">
        <f aca="false">HYPERLINK("https://lindat.mff.cuni.cz/services/teitok/pdtc10/index.php?action=vallex&amp;frame=v-w6652f5_ZU", "svědčit (v-w6652f5_ZU)")</f>
        <v>svědčit (v-w6652f5_ZU)</v>
      </c>
    </row>
    <row r="47796" customFormat="false" ht="12.8" hidden="false" customHeight="false" outlineLevel="0" collapsed="false">
      <c r="B47796" s="0" t="s">
        <v>7</v>
      </c>
    </row>
    <row r="47797" customFormat="false" ht="12.8" hidden="false" customHeight="false" outlineLevel="0" collapsed="false">
      <c r="B47797" s="0" t="s">
        <v>119</v>
      </c>
    </row>
    <row r="47799" customFormat="false" ht="12.8" hidden="false" customHeight="false" outlineLevel="0" collapsed="false">
      <c r="A47799" s="0" t="s">
        <v>16943</v>
      </c>
      <c r="B47799" s="0" t="str">
        <f aca="false">HYPERLINK("https://lindat.mff.cuni.cz/services/teitok/pdtc10/index.php?action=vallex&amp;frame=v-w6656f1", "svědět (v-w6656f1)")</f>
        <v>svědět (v-w6656f1)</v>
      </c>
    </row>
    <row r="47800" customFormat="false" ht="12.8" hidden="false" customHeight="false" outlineLevel="0" collapsed="false">
      <c r="B47800" s="0" t="s">
        <v>199</v>
      </c>
    </row>
    <row r="47801" customFormat="false" ht="12.8" hidden="false" customHeight="false" outlineLevel="0" collapsed="false">
      <c r="B47801" s="0" t="s">
        <v>328</v>
      </c>
    </row>
    <row r="47803" customFormat="false" ht="12.8" hidden="false" customHeight="false" outlineLevel="0" collapsed="false">
      <c r="A47803" s="0" t="s">
        <v>16944</v>
      </c>
      <c r="B47803" s="0" t="str">
        <f aca="false">HYPERLINK("https://lindat.mff.cuni.cz/services/teitok/pdtc10/index.php?action=vallex&amp;frame=v-w6656f2", "svědět (v-w6656f2)")</f>
        <v>svědět (v-w6656f2)</v>
      </c>
    </row>
    <row r="47804" customFormat="false" ht="12.8" hidden="false" customHeight="false" outlineLevel="0" collapsed="false">
      <c r="B47804" s="0" t="s">
        <v>199</v>
      </c>
    </row>
    <row r="47805" customFormat="false" ht="12.8" hidden="false" customHeight="false" outlineLevel="0" collapsed="false">
      <c r="B47805" s="0" t="s">
        <v>11</v>
      </c>
    </row>
    <row r="47807" customFormat="false" ht="12.8" hidden="false" customHeight="false" outlineLevel="0" collapsed="false">
      <c r="A47807" s="0" t="s">
        <v>16945</v>
      </c>
      <c r="B47807" s="0" t="str">
        <f aca="false">HYPERLINK("https://lindat.mff.cuni.cz/services/teitok/pdtc10/index.php?action=vallex&amp;frame=v-whsa_925f1_ZU", "světit (v-whsa_925f1_ZU)")</f>
        <v>světit (v-whsa_925f1_ZU)</v>
      </c>
    </row>
    <row r="47808" customFormat="false" ht="12.8" hidden="false" customHeight="false" outlineLevel="0" collapsed="false">
      <c r="B47808" s="0" t="s">
        <v>7</v>
      </c>
    </row>
    <row r="47809" customFormat="false" ht="12.8" hidden="false" customHeight="false" outlineLevel="0" collapsed="false">
      <c r="B47809" s="0" t="s">
        <v>14</v>
      </c>
    </row>
    <row r="47811" customFormat="false" ht="12.8" hidden="false" customHeight="false" outlineLevel="0" collapsed="false">
      <c r="A47811" s="0" t="s">
        <v>16945</v>
      </c>
      <c r="B47811" s="0" t="str">
        <f aca="false">HYPERLINK("https://lindat.mff.cuni.cz/services/teitok/pdtc10/index.php?action=vallex&amp;frame=v-whsb_925hsa_926", "světit (v-whsb_925hsa_926) - substituted with v-whsa_925f1_ZU")</f>
        <v>světit (v-whsb_925hsa_926) - substituted with v-whsa_925f1_ZU</v>
      </c>
    </row>
    <row r="47812" customFormat="false" ht="12.8" hidden="false" customHeight="false" outlineLevel="0" collapsed="false">
      <c r="B47812" s="0" t="s">
        <v>7</v>
      </c>
    </row>
    <row r="47813" customFormat="false" ht="12.8" hidden="false" customHeight="false" outlineLevel="0" collapsed="false">
      <c r="B47813" s="0" t="s">
        <v>14</v>
      </c>
    </row>
    <row r="47815" customFormat="false" ht="12.8" hidden="false" customHeight="false" outlineLevel="0" collapsed="false">
      <c r="A47815" s="0" t="s">
        <v>16946</v>
      </c>
      <c r="B47815" s="0" t="str">
        <f aca="false">HYPERLINK("https://lindat.mff.cuni.cz/services/teitok/pdtc10/index.php?action=vallex&amp;frame=v-whsa_925f2_ZU", "světit (v-whsa_925f2_ZU)")</f>
        <v>světit (v-whsa_925f2_ZU)</v>
      </c>
    </row>
    <row r="47816" customFormat="false" ht="12.8" hidden="false" customHeight="false" outlineLevel="0" collapsed="false">
      <c r="B47816" s="0" t="s">
        <v>7</v>
      </c>
    </row>
    <row r="47817" customFormat="false" ht="12.8" hidden="false" customHeight="false" outlineLevel="0" collapsed="false">
      <c r="B47817" s="0" t="s">
        <v>14</v>
      </c>
    </row>
    <row r="47819" customFormat="false" ht="12.8" hidden="false" customHeight="false" outlineLevel="0" collapsed="false">
      <c r="A47819" s="0" t="s">
        <v>16946</v>
      </c>
      <c r="B47819" s="0" t="str">
        <f aca="false">HYPERLINK("https://lindat.mff.cuni.cz/services/teitok/pdtc10/index.php?action=vallex&amp;frame=v-whsa_925hsa_927", "světit (v-whsa_925hsa_927) - substituted with v-whsa_925f2_ZU")</f>
        <v>světit (v-whsa_925hsa_927) - substituted with v-whsa_925f2_ZU</v>
      </c>
    </row>
    <row r="47820" customFormat="false" ht="12.8" hidden="false" customHeight="false" outlineLevel="0" collapsed="false">
      <c r="B47820" s="0" t="s">
        <v>7</v>
      </c>
    </row>
    <row r="47821" customFormat="false" ht="12.8" hidden="false" customHeight="false" outlineLevel="0" collapsed="false">
      <c r="B47821" s="0" t="s">
        <v>14</v>
      </c>
    </row>
    <row r="47823" customFormat="false" ht="12.8" hidden="false" customHeight="false" outlineLevel="0" collapsed="false">
      <c r="A47823" s="0" t="s">
        <v>16947</v>
      </c>
      <c r="B47823" s="0" t="str">
        <f aca="false">HYPERLINK("https://lindat.mff.cuni.cz/services/teitok/pdtc10/index.php?action=vallex&amp;frame=v-w6658f3", "svěřit (v-w6658f3)")</f>
        <v>svěřit (v-w6658f3)</v>
      </c>
    </row>
    <row r="47824" customFormat="false" ht="12.8" hidden="false" customHeight="false" outlineLevel="0" collapsed="false">
      <c r="B47824" s="0" t="s">
        <v>7</v>
      </c>
      <c r="D47824" s="0" t="s">
        <v>1826</v>
      </c>
      <c r="E47824" s="0" t="s">
        <v>1826</v>
      </c>
      <c r="F47824" s="0" t="s">
        <v>1826</v>
      </c>
    </row>
    <row r="47825" customFormat="false" ht="12.8" hidden="false" customHeight="false" outlineLevel="0" collapsed="false">
      <c r="B47825" s="0" t="s">
        <v>172</v>
      </c>
      <c r="D47825" s="0" t="s">
        <v>488</v>
      </c>
      <c r="E47825" s="0" t="s">
        <v>488</v>
      </c>
      <c r="F47825" s="0" t="s">
        <v>488</v>
      </c>
    </row>
    <row r="47826" customFormat="false" ht="12.8" hidden="false" customHeight="false" outlineLevel="0" collapsed="false">
      <c r="B47826" s="0" t="s">
        <v>48</v>
      </c>
      <c r="D47826" s="0" t="s">
        <v>9927</v>
      </c>
      <c r="E47826" s="0" t="s">
        <v>9927</v>
      </c>
      <c r="F47826" s="0" t="s">
        <v>9927</v>
      </c>
    </row>
    <row r="47828" customFormat="false" ht="12.8" hidden="false" customHeight="false" outlineLevel="0" collapsed="false">
      <c r="A47828" s="0" t="s">
        <v>16948</v>
      </c>
      <c r="B47828" s="0" t="str">
        <f aca="false">HYPERLINK("https://lindat.mff.cuni.cz/services/teitok/pdtc10/index.php?action=vallex&amp;frame=v-w6658f1", "svěřit (v-w6658f1)")</f>
        <v>svěřit (v-w6658f1)</v>
      </c>
    </row>
    <row r="47829" customFormat="false" ht="12.8" hidden="false" customHeight="false" outlineLevel="0" collapsed="false">
      <c r="B47829" s="0" t="s">
        <v>7</v>
      </c>
      <c r="C47829" s="0" t="s">
        <v>16949</v>
      </c>
      <c r="D47829" s="0" t="s">
        <v>13577</v>
      </c>
      <c r="E47829" s="0" t="s">
        <v>13577</v>
      </c>
      <c r="F47829" s="0" t="s">
        <v>13577</v>
      </c>
    </row>
    <row r="47830" customFormat="false" ht="12.8" hidden="false" customHeight="false" outlineLevel="0" collapsed="false">
      <c r="B47830" s="0" t="s">
        <v>54</v>
      </c>
      <c r="C47830" s="0" t="s">
        <v>16950</v>
      </c>
      <c r="D47830" s="0" t="s">
        <v>13579</v>
      </c>
      <c r="E47830" s="0" t="s">
        <v>13579</v>
      </c>
      <c r="F47830" s="0" t="s">
        <v>13579</v>
      </c>
    </row>
    <row r="47831" customFormat="false" ht="12.8" hidden="false" customHeight="false" outlineLevel="0" collapsed="false">
      <c r="B47831" s="0" t="s">
        <v>48</v>
      </c>
      <c r="C47831" s="0" t="s">
        <v>16951</v>
      </c>
      <c r="D47831" s="0" t="s">
        <v>13581</v>
      </c>
      <c r="E47831" s="0" t="s">
        <v>13581</v>
      </c>
      <c r="F47831" s="0" t="s">
        <v>13581</v>
      </c>
    </row>
    <row r="47833" customFormat="false" ht="12.8" hidden="false" customHeight="false" outlineLevel="0" collapsed="false">
      <c r="A47833" s="0" t="s">
        <v>16952</v>
      </c>
      <c r="B47833" s="0" t="str">
        <f aca="false">HYPERLINK("https://lindat.mff.cuni.cz/services/teitok/pdtc10/index.php?action=vallex&amp;frame=v-w6658f2", "svěřit (v-w6658f2)")</f>
        <v>svěřit (v-w6658f2)</v>
      </c>
    </row>
    <row r="47834" customFormat="false" ht="12.8" hidden="false" customHeight="false" outlineLevel="0" collapsed="false">
      <c r="B47834" s="0" t="s">
        <v>7</v>
      </c>
      <c r="C47834" s="0" t="s">
        <v>2797</v>
      </c>
      <c r="D47834" s="0" t="s">
        <v>1484</v>
      </c>
      <c r="E47834" s="0" t="s">
        <v>1484</v>
      </c>
      <c r="F47834" s="0" t="s">
        <v>1484</v>
      </c>
    </row>
    <row r="47835" customFormat="false" ht="12.8" hidden="false" customHeight="false" outlineLevel="0" collapsed="false">
      <c r="B47835" s="0" t="s">
        <v>14</v>
      </c>
      <c r="C47835" s="0" t="s">
        <v>1278</v>
      </c>
      <c r="D47835" s="0" t="s">
        <v>1485</v>
      </c>
      <c r="E47835" s="0" t="s">
        <v>1485</v>
      </c>
      <c r="F47835" s="0" t="s">
        <v>1485</v>
      </c>
    </row>
    <row r="47836" customFormat="false" ht="12.8" hidden="false" customHeight="false" outlineLevel="0" collapsed="false">
      <c r="B47836" s="0" t="s">
        <v>48</v>
      </c>
      <c r="C47836" s="0" t="s">
        <v>16953</v>
      </c>
      <c r="D47836" s="0" t="s">
        <v>1487</v>
      </c>
      <c r="E47836" s="0" t="s">
        <v>1487</v>
      </c>
      <c r="F47836" s="0" t="s">
        <v>1487</v>
      </c>
    </row>
    <row r="47838" customFormat="false" ht="12.8" hidden="false" customHeight="false" outlineLevel="0" collapsed="false">
      <c r="A47838" s="0" t="s">
        <v>16954</v>
      </c>
      <c r="B47838" s="0" t="str">
        <f aca="false">HYPERLINK("https://lindat.mff.cuni.cz/services/teitok/pdtc10/index.php?action=vallex&amp;frame=v-w6658f4_ZU", "svěřit (v-w6658f4_ZU)")</f>
        <v>svěřit (v-w6658f4_ZU)</v>
      </c>
    </row>
    <row r="47839" customFormat="false" ht="12.8" hidden="false" customHeight="false" outlineLevel="0" collapsed="false">
      <c r="B47839" s="0" t="s">
        <v>7</v>
      </c>
      <c r="C47839" s="0" t="s">
        <v>3028</v>
      </c>
    </row>
    <row r="47840" customFormat="false" ht="12.8" hidden="false" customHeight="false" outlineLevel="0" collapsed="false">
      <c r="B47840" s="0" t="s">
        <v>14</v>
      </c>
      <c r="C47840" s="0" t="s">
        <v>1168</v>
      </c>
    </row>
    <row r="47841" customFormat="false" ht="12.8" hidden="false" customHeight="false" outlineLevel="0" collapsed="false">
      <c r="B47841" s="0" t="s">
        <v>279</v>
      </c>
    </row>
    <row r="47843" customFormat="false" ht="12.8" hidden="false" customHeight="false" outlineLevel="0" collapsed="false">
      <c r="A47843" s="0" t="s">
        <v>16955</v>
      </c>
      <c r="B47843" s="0" t="str">
        <f aca="false">HYPERLINK("https://lindat.mff.cuni.cz/services/teitok/pdtc10/index.php?action=vallex&amp;frame=v-w6659f1", "svěřit se (v-w6659f1)")</f>
        <v>svěřit se (v-w6659f1)</v>
      </c>
    </row>
    <row r="47844" customFormat="false" ht="12.8" hidden="false" customHeight="false" outlineLevel="0" collapsed="false">
      <c r="B47844" s="0" t="s">
        <v>7</v>
      </c>
      <c r="C47844" s="0" t="s">
        <v>157</v>
      </c>
      <c r="D47844" s="0" t="s">
        <v>1826</v>
      </c>
      <c r="E47844" s="0" t="s">
        <v>1826</v>
      </c>
      <c r="F47844" s="0" t="s">
        <v>1826</v>
      </c>
    </row>
    <row r="47845" customFormat="false" ht="12.8" hidden="false" customHeight="false" outlineLevel="0" collapsed="false">
      <c r="B47845" s="0" t="s">
        <v>16956</v>
      </c>
      <c r="C47845" s="0" t="s">
        <v>1289</v>
      </c>
      <c r="D47845" s="0" t="s">
        <v>488</v>
      </c>
      <c r="E47845" s="0" t="s">
        <v>488</v>
      </c>
      <c r="F47845" s="0" t="s">
        <v>488</v>
      </c>
    </row>
    <row r="47846" customFormat="false" ht="12.8" hidden="false" customHeight="false" outlineLevel="0" collapsed="false">
      <c r="B47846" s="0" t="s">
        <v>48</v>
      </c>
      <c r="C47846" s="0" t="s">
        <v>1843</v>
      </c>
      <c r="D47846" s="0" t="s">
        <v>9927</v>
      </c>
      <c r="E47846" s="0" t="s">
        <v>9927</v>
      </c>
      <c r="F47846" s="0" t="s">
        <v>9927</v>
      </c>
    </row>
    <row r="47848" customFormat="false" ht="12.8" hidden="false" customHeight="false" outlineLevel="0" collapsed="false">
      <c r="A47848" s="0" t="s">
        <v>16957</v>
      </c>
      <c r="B47848" s="0" t="str">
        <f aca="false">HYPERLINK("https://lindat.mff.cuni.cz/services/teitok/pdtc10/index.php?action=vallex&amp;frame=v-w6661f1", "svěřovat (v-w6661f1)")</f>
        <v>svěřovat (v-w6661f1)</v>
      </c>
    </row>
    <row r="47849" customFormat="false" ht="12.8" hidden="false" customHeight="false" outlineLevel="0" collapsed="false">
      <c r="B47849" s="0" t="s">
        <v>7</v>
      </c>
      <c r="D47849" s="0" t="s">
        <v>1826</v>
      </c>
      <c r="E47849" s="0" t="s">
        <v>1826</v>
      </c>
      <c r="F47849" s="0" t="s">
        <v>1826</v>
      </c>
    </row>
    <row r="47850" customFormat="false" ht="12.8" hidden="false" customHeight="false" outlineLevel="0" collapsed="false">
      <c r="B47850" s="0" t="s">
        <v>172</v>
      </c>
      <c r="D47850" s="0" t="s">
        <v>488</v>
      </c>
      <c r="E47850" s="0" t="s">
        <v>488</v>
      </c>
      <c r="F47850" s="0" t="s">
        <v>488</v>
      </c>
    </row>
    <row r="47851" customFormat="false" ht="12.8" hidden="false" customHeight="false" outlineLevel="0" collapsed="false">
      <c r="B47851" s="0" t="s">
        <v>48</v>
      </c>
      <c r="D47851" s="0" t="s">
        <v>9927</v>
      </c>
      <c r="E47851" s="0" t="s">
        <v>9927</v>
      </c>
      <c r="F47851" s="0" t="s">
        <v>9927</v>
      </c>
    </row>
    <row r="47853" customFormat="false" ht="12.8" hidden="false" customHeight="false" outlineLevel="0" collapsed="false">
      <c r="A47853" s="0" t="s">
        <v>16958</v>
      </c>
      <c r="B47853" s="0" t="str">
        <f aca="false">HYPERLINK("https://lindat.mff.cuni.cz/services/teitok/pdtc10/index.php?action=vallex&amp;frame=v-w6661f2", "svěřovat (v-w6661f2)")</f>
        <v>svěřovat (v-w6661f2)</v>
      </c>
    </row>
    <row r="47854" customFormat="false" ht="12.8" hidden="false" customHeight="false" outlineLevel="0" collapsed="false">
      <c r="B47854" s="0" t="s">
        <v>7</v>
      </c>
      <c r="D47854" s="0" t="s">
        <v>4171</v>
      </c>
      <c r="E47854" s="0" t="s">
        <v>4171</v>
      </c>
      <c r="F47854" s="0" t="s">
        <v>4171</v>
      </c>
    </row>
    <row r="47855" customFormat="false" ht="12.8" hidden="false" customHeight="false" outlineLevel="0" collapsed="false">
      <c r="B47855" s="0" t="s">
        <v>54</v>
      </c>
      <c r="D47855" s="0" t="s">
        <v>1631</v>
      </c>
      <c r="E47855" s="0" t="s">
        <v>1631</v>
      </c>
      <c r="F47855" s="0" t="s">
        <v>1631</v>
      </c>
    </row>
    <row r="47856" customFormat="false" ht="12.8" hidden="false" customHeight="false" outlineLevel="0" collapsed="false">
      <c r="B47856" s="0" t="s">
        <v>48</v>
      </c>
      <c r="D47856" s="0" t="s">
        <v>11275</v>
      </c>
      <c r="E47856" s="0" t="s">
        <v>11275</v>
      </c>
      <c r="F47856" s="0" t="s">
        <v>11275</v>
      </c>
    </row>
    <row r="47858" customFormat="false" ht="12.8" hidden="false" customHeight="false" outlineLevel="0" collapsed="false">
      <c r="A47858" s="0" t="s">
        <v>16959</v>
      </c>
      <c r="B47858" s="0" t="str">
        <f aca="false">HYPERLINK("https://lindat.mff.cuni.cz/services/teitok/pdtc10/index.php?action=vallex&amp;frame=v-w6661f3", "svěřovat (v-w6661f3)")</f>
        <v>svěřovat (v-w6661f3)</v>
      </c>
    </row>
    <row r="47859" customFormat="false" ht="12.8" hidden="false" customHeight="false" outlineLevel="0" collapsed="false">
      <c r="B47859" s="0" t="s">
        <v>7</v>
      </c>
      <c r="C47859" s="0" t="s">
        <v>191</v>
      </c>
    </row>
    <row r="47860" customFormat="false" ht="12.8" hidden="false" customHeight="false" outlineLevel="0" collapsed="false">
      <c r="B47860" s="0" t="s">
        <v>14</v>
      </c>
      <c r="C47860" s="0" t="s">
        <v>47</v>
      </c>
    </row>
    <row r="47861" customFormat="false" ht="12.8" hidden="false" customHeight="false" outlineLevel="0" collapsed="false">
      <c r="B47861" s="0" t="s">
        <v>48</v>
      </c>
      <c r="C47861" s="0" t="s">
        <v>9927</v>
      </c>
    </row>
    <row r="47863" customFormat="false" ht="12.8" hidden="false" customHeight="false" outlineLevel="0" collapsed="false">
      <c r="A47863" s="0" t="s">
        <v>16960</v>
      </c>
      <c r="B47863" s="0" t="str">
        <f aca="false">HYPERLINK("https://lindat.mff.cuni.cz/services/teitok/pdtc10/index.php?action=vallex&amp;frame=v-w6662f1", "svěřovat se (v-w6662f1)")</f>
        <v>svěřovat se (v-w6662f1)</v>
      </c>
    </row>
    <row r="47864" customFormat="false" ht="12.8" hidden="false" customHeight="false" outlineLevel="0" collapsed="false">
      <c r="B47864" s="0" t="s">
        <v>7</v>
      </c>
      <c r="D47864" s="0" t="s">
        <v>16961</v>
      </c>
      <c r="E47864" s="0" t="s">
        <v>16962</v>
      </c>
      <c r="F47864" s="0" t="s">
        <v>16962</v>
      </c>
    </row>
    <row r="47865" customFormat="false" ht="12.8" hidden="false" customHeight="false" outlineLevel="0" collapsed="false">
      <c r="B47865" s="0" t="s">
        <v>16956</v>
      </c>
      <c r="D47865" s="0" t="s">
        <v>16963</v>
      </c>
      <c r="E47865" s="0" t="s">
        <v>16964</v>
      </c>
      <c r="F47865" s="0" t="s">
        <v>16964</v>
      </c>
    </row>
    <row r="47866" customFormat="false" ht="12.8" hidden="false" customHeight="false" outlineLevel="0" collapsed="false">
      <c r="B47866" s="0" t="s">
        <v>48</v>
      </c>
      <c r="D47866" s="0" t="s">
        <v>7276</v>
      </c>
      <c r="E47866" s="0" t="s">
        <v>7276</v>
      </c>
      <c r="F47866" s="0" t="s">
        <v>7276</v>
      </c>
    </row>
    <row r="47868" customFormat="false" ht="12.8" hidden="false" customHeight="false" outlineLevel="0" collapsed="false">
      <c r="A47868" s="0" t="s">
        <v>16965</v>
      </c>
      <c r="B47868" s="0" t="str">
        <f aca="false">HYPERLINK("https://lindat.mff.cuni.cz/services/teitok/pdtc10/index.php?action=vallex&amp;frame=v-w6688f1", "symbolizovat (v-w6688f1)")</f>
        <v>symbolizovat (v-w6688f1)</v>
      </c>
    </row>
    <row r="47869" customFormat="false" ht="12.8" hidden="false" customHeight="false" outlineLevel="0" collapsed="false">
      <c r="B47869" s="0" t="s">
        <v>632</v>
      </c>
      <c r="C47869" s="0" t="s">
        <v>200</v>
      </c>
      <c r="D47869" s="0" t="s">
        <v>200</v>
      </c>
      <c r="E47869" s="0" t="s">
        <v>200</v>
      </c>
      <c r="F47869" s="0" t="s">
        <v>200</v>
      </c>
    </row>
    <row r="47870" customFormat="false" ht="12.8" hidden="false" customHeight="false" outlineLevel="0" collapsed="false">
      <c r="B47870" s="0" t="s">
        <v>54</v>
      </c>
      <c r="C47870" s="0" t="s">
        <v>400</v>
      </c>
      <c r="D47870" s="0" t="s">
        <v>400</v>
      </c>
      <c r="E47870" s="0" t="s">
        <v>400</v>
      </c>
      <c r="F47870" s="0" t="s">
        <v>400</v>
      </c>
    </row>
    <row r="47872" customFormat="false" ht="12.8" hidden="false" customHeight="false" outlineLevel="0" collapsed="false">
      <c r="A47872" s="0" t="s">
        <v>16966</v>
      </c>
      <c r="B47872" s="0" t="str">
        <f aca="false">HYPERLINK("https://lindat.mff.cuni.cz/services/teitok/pdtc10/index.php?action=vallex&amp;frame=v-w6693f1", "sympatizovat (v-w6693f1)")</f>
        <v>sympatizovat (v-w6693f1)</v>
      </c>
    </row>
    <row r="47873" customFormat="false" ht="12.8" hidden="false" customHeight="false" outlineLevel="0" collapsed="false">
      <c r="B47873" s="0" t="s">
        <v>7</v>
      </c>
    </row>
    <row r="47874" customFormat="false" ht="12.8" hidden="false" customHeight="false" outlineLevel="0" collapsed="false">
      <c r="B47874" s="0" t="s">
        <v>548</v>
      </c>
    </row>
    <row r="47876" customFormat="false" ht="12.8" hidden="false" customHeight="false" outlineLevel="0" collapsed="false">
      <c r="A47876" s="0" t="s">
        <v>16967</v>
      </c>
      <c r="B47876" s="0" t="str">
        <f aca="false">HYPERLINK("https://lindat.mff.cuni.cz/services/teitok/pdtc10/index.php?action=vallex&amp;frame=v-w11600_ZUf1_ZU", "synchronizovat (v-w11600_ZUf1_ZU)")</f>
        <v>synchronizovat (v-w11600_ZUf1_ZU)</v>
      </c>
    </row>
    <row r="47877" customFormat="false" ht="12.8" hidden="false" customHeight="false" outlineLevel="0" collapsed="false">
      <c r="B47877" s="0" t="s">
        <v>7</v>
      </c>
      <c r="C47877" s="0" t="s">
        <v>191</v>
      </c>
      <c r="D47877" s="0" t="s">
        <v>460</v>
      </c>
      <c r="E47877" s="0" t="s">
        <v>460</v>
      </c>
      <c r="F47877" s="0" t="s">
        <v>460</v>
      </c>
    </row>
    <row r="47878" customFormat="false" ht="12.8" hidden="false" customHeight="false" outlineLevel="0" collapsed="false">
      <c r="B47878" s="0" t="s">
        <v>14</v>
      </c>
      <c r="C47878" s="0" t="s">
        <v>155</v>
      </c>
      <c r="D47878" s="0" t="s">
        <v>6373</v>
      </c>
      <c r="E47878" s="0" t="s">
        <v>6373</v>
      </c>
      <c r="F47878" s="0" t="s">
        <v>6373</v>
      </c>
    </row>
    <row r="47880" customFormat="false" ht="12.8" hidden="false" customHeight="false" outlineLevel="0" collapsed="false">
      <c r="A47880" s="0" t="s">
        <v>16968</v>
      </c>
      <c r="B47880" s="0" t="str">
        <f aca="false">HYPERLINK("https://lindat.mff.cuni.cz/services/teitok/pdtc10/index.php?action=vallex&amp;frame=v-w6698f4", "sypat (v-w6698f4)")</f>
        <v>sypat (v-w6698f4)</v>
      </c>
    </row>
    <row r="47881" customFormat="false" ht="12.8" hidden="false" customHeight="false" outlineLevel="0" collapsed="false">
      <c r="B47881" s="0" t="s">
        <v>7</v>
      </c>
    </row>
    <row r="47882" customFormat="false" ht="12.8" hidden="false" customHeight="false" outlineLevel="0" collapsed="false">
      <c r="B47882" s="0" t="s">
        <v>14</v>
      </c>
    </row>
    <row r="47883" customFormat="false" ht="12.8" hidden="false" customHeight="false" outlineLevel="0" collapsed="false">
      <c r="B47883" s="0" t="s">
        <v>48</v>
      </c>
    </row>
    <row r="47885" customFormat="false" ht="12.8" hidden="false" customHeight="false" outlineLevel="0" collapsed="false">
      <c r="A47885" s="0" t="s">
        <v>16969</v>
      </c>
      <c r="B47885" s="0" t="str">
        <f aca="false">HYPERLINK("https://lindat.mff.cuni.cz/services/teitok/pdtc10/index.php?action=vallex&amp;frame=v-w6698f6_ZU", "sypat (v-w6698f6_ZU)")</f>
        <v>sypat (v-w6698f6_ZU)</v>
      </c>
    </row>
    <row r="47886" customFormat="false" ht="12.8" hidden="false" customHeight="false" outlineLevel="0" collapsed="false">
      <c r="B47886" s="0" t="s">
        <v>7</v>
      </c>
    </row>
    <row r="47887" customFormat="false" ht="12.8" hidden="false" customHeight="false" outlineLevel="0" collapsed="false">
      <c r="B47887" s="0" t="s">
        <v>14</v>
      </c>
    </row>
    <row r="47888" customFormat="false" ht="12.8" hidden="false" customHeight="false" outlineLevel="0" collapsed="false">
      <c r="B47888" s="0" t="s">
        <v>5382</v>
      </c>
    </row>
    <row r="47890" customFormat="false" ht="12.8" hidden="false" customHeight="false" outlineLevel="0" collapsed="false">
      <c r="A47890" s="0" t="s">
        <v>16970</v>
      </c>
      <c r="B47890" s="0" t="str">
        <f aca="false">HYPERLINK("https://lindat.mff.cuni.cz/services/teitok/pdtc10/index.php?action=vallex&amp;frame=v-w6698f1", "sypat (v-w6698f1)")</f>
        <v>sypat (v-w6698f1)</v>
      </c>
    </row>
    <row r="47891" customFormat="false" ht="12.8" hidden="false" customHeight="false" outlineLevel="0" collapsed="false">
      <c r="B47891" s="0" t="s">
        <v>7</v>
      </c>
      <c r="D47891" s="0" t="s">
        <v>1226</v>
      </c>
      <c r="E47891" s="0" t="s">
        <v>1226</v>
      </c>
      <c r="F47891" s="0" t="s">
        <v>1226</v>
      </c>
    </row>
    <row r="47892" customFormat="false" ht="12.8" hidden="false" customHeight="false" outlineLevel="0" collapsed="false">
      <c r="B47892" s="0" t="s">
        <v>14</v>
      </c>
      <c r="D47892" s="0" t="s">
        <v>26</v>
      </c>
      <c r="E47892" s="0" t="s">
        <v>26</v>
      </c>
      <c r="F47892" s="0" t="s">
        <v>26</v>
      </c>
    </row>
    <row r="47893" customFormat="false" ht="12.8" hidden="false" customHeight="false" outlineLevel="0" collapsed="false">
      <c r="B47893" s="0" t="s">
        <v>124</v>
      </c>
    </row>
    <row r="47895" customFormat="false" ht="12.8" hidden="false" customHeight="false" outlineLevel="0" collapsed="false">
      <c r="A47895" s="0" t="s">
        <v>16971</v>
      </c>
      <c r="B47895" s="0" t="str">
        <f aca="false">HYPERLINK("https://lindat.mff.cuni.cz/services/teitok/pdtc10/index.php?action=vallex&amp;frame=v-w6698f5", "sypat (v-w6698f5)")</f>
        <v>sypat (v-w6698f5)</v>
      </c>
    </row>
    <row r="47896" customFormat="false" ht="12.8" hidden="false" customHeight="false" outlineLevel="0" collapsed="false">
      <c r="B47896" s="0" t="s">
        <v>7</v>
      </c>
    </row>
    <row r="47897" customFormat="false" ht="12.8" hidden="false" customHeight="false" outlineLevel="0" collapsed="false">
      <c r="B47897" s="0" t="s">
        <v>14</v>
      </c>
    </row>
    <row r="47899" customFormat="false" ht="12.8" hidden="false" customHeight="false" outlineLevel="0" collapsed="false">
      <c r="A47899" s="0" t="s">
        <v>16972</v>
      </c>
      <c r="B47899" s="0" t="str">
        <f aca="false">HYPERLINK("https://lindat.mff.cuni.cz/services/teitok/pdtc10/index.php?action=vallex&amp;frame=v-w6698f3", "sypat (v-w6698f3)")</f>
        <v>sypat (v-w6698f3)</v>
      </c>
    </row>
    <row r="47900" customFormat="false" ht="12.8" hidden="false" customHeight="false" outlineLevel="0" collapsed="false">
      <c r="B47900" s="0" t="s">
        <v>7</v>
      </c>
      <c r="F47900" s="0" t="s">
        <v>5026</v>
      </c>
    </row>
    <row r="47901" customFormat="false" ht="12.8" hidden="false" customHeight="false" outlineLevel="0" collapsed="false">
      <c r="B47901" s="0" t="s">
        <v>124</v>
      </c>
    </row>
    <row r="47903" customFormat="false" ht="12.8" hidden="false" customHeight="false" outlineLevel="0" collapsed="false">
      <c r="A47903" s="0" t="s">
        <v>16973</v>
      </c>
      <c r="B47903" s="0" t="str">
        <f aca="false">HYPERLINK("https://lindat.mff.cuni.cz/services/teitok/pdtc10/index.php?action=vallex&amp;frame=v-w6698f2", "sypat (v-w6698f2)")</f>
        <v>sypat (v-w6698f2)</v>
      </c>
    </row>
    <row r="47904" customFormat="false" ht="12.8" hidden="false" customHeight="false" outlineLevel="0" collapsed="false">
      <c r="B47904" s="0" t="s">
        <v>7</v>
      </c>
    </row>
    <row r="47905" customFormat="false" ht="12.8" hidden="false" customHeight="false" outlineLevel="0" collapsed="false">
      <c r="B47905" s="0" t="s">
        <v>16974</v>
      </c>
    </row>
    <row r="47906" customFormat="false" ht="12.8" hidden="false" customHeight="false" outlineLevel="0" collapsed="false">
      <c r="B47906" s="0" t="s">
        <v>14</v>
      </c>
    </row>
    <row r="47908" customFormat="false" ht="12.8" hidden="false" customHeight="false" outlineLevel="0" collapsed="false">
      <c r="A47908" s="0" t="s">
        <v>16975</v>
      </c>
      <c r="B47908" s="0" t="str">
        <f aca="false">HYPERLINK("https://lindat.mff.cuni.cz/services/teitok/pdtc10/index.php?action=vallex&amp;frame=v-w6699f1", "sypat se (v-w6699f1)")</f>
        <v>sypat se (v-w6699f1)</v>
      </c>
    </row>
    <row r="47909" customFormat="false" ht="12.8" hidden="false" customHeight="false" outlineLevel="0" collapsed="false">
      <c r="B47909" s="0" t="s">
        <v>7</v>
      </c>
      <c r="F47909" s="0" t="s">
        <v>5026</v>
      </c>
    </row>
    <row r="47910" customFormat="false" ht="12.8" hidden="false" customHeight="false" outlineLevel="0" collapsed="false">
      <c r="B47910" s="0" t="s">
        <v>124</v>
      </c>
    </row>
    <row r="47912" customFormat="false" ht="12.8" hidden="false" customHeight="false" outlineLevel="0" collapsed="false">
      <c r="A47912" s="0" t="s">
        <v>16976</v>
      </c>
      <c r="B47912" s="0" t="str">
        <f aca="false">HYPERLINK("https://lindat.mff.cuni.cz/services/teitok/pdtc10/index.php?action=vallex&amp;frame=v-w10834f3", "sytit (v-w10834f3)")</f>
        <v>sytit (v-w10834f3)</v>
      </c>
    </row>
    <row r="47913" customFormat="false" ht="12.8" hidden="false" customHeight="false" outlineLevel="0" collapsed="false">
      <c r="B47913" s="0" t="s">
        <v>7</v>
      </c>
    </row>
    <row r="47914" customFormat="false" ht="12.8" hidden="false" customHeight="false" outlineLevel="0" collapsed="false">
      <c r="B47914" s="0" t="s">
        <v>14</v>
      </c>
    </row>
    <row r="47916" customFormat="false" ht="12.8" hidden="false" customHeight="false" outlineLevel="0" collapsed="false">
      <c r="A47916" s="0" t="s">
        <v>16977</v>
      </c>
      <c r="B47916" s="0" t="str">
        <f aca="false">HYPERLINK("https://lindat.mff.cuni.cz/services/teitok/pdtc10/index.php?action=vallex&amp;frame=v-w10834f2", "sytit (v-w10834f2)")</f>
        <v>sytit (v-w10834f2)</v>
      </c>
    </row>
    <row r="47917" customFormat="false" ht="12.8" hidden="false" customHeight="false" outlineLevel="0" collapsed="false">
      <c r="B47917" s="0" t="s">
        <v>7</v>
      </c>
      <c r="C47917" s="0" t="s">
        <v>5351</v>
      </c>
    </row>
    <row r="47918" customFormat="false" ht="12.8" hidden="false" customHeight="false" outlineLevel="0" collapsed="false">
      <c r="B47918" s="0" t="s">
        <v>14</v>
      </c>
      <c r="C47918" s="0" t="s">
        <v>567</v>
      </c>
    </row>
    <row r="47920" customFormat="false" ht="12.8" hidden="false" customHeight="false" outlineLevel="0" collapsed="false">
      <c r="A47920" s="0" t="s">
        <v>16978</v>
      </c>
      <c r="B47920" s="0" t="str">
        <f aca="false">HYPERLINK("https://lindat.mff.cuni.cz/services/teitok/pdtc10/index.php?action=vallex&amp;frame=v-w6685f2_ZU", "syčet (v-w6685f2_ZU)")</f>
        <v>syčet (v-w6685f2_ZU)</v>
      </c>
    </row>
    <row r="47921" customFormat="false" ht="12.8" hidden="false" customHeight="false" outlineLevel="0" collapsed="false">
      <c r="B47921" s="0" t="s">
        <v>7</v>
      </c>
    </row>
    <row r="47922" customFormat="false" ht="12.8" hidden="false" customHeight="false" outlineLevel="0" collapsed="false">
      <c r="B47922" s="0" t="s">
        <v>63</v>
      </c>
    </row>
    <row r="47924" customFormat="false" ht="12.8" hidden="false" customHeight="false" outlineLevel="0" collapsed="false">
      <c r="A47924" s="0" t="s">
        <v>16978</v>
      </c>
      <c r="B47924" s="0" t="str">
        <f aca="false">HYPERLINK("https://lindat.mff.cuni.cz/services/teitok/pdtc10/index.php?action=vallex&amp;frame=v-w6685f1", "syčet (v-w6685f1) - substituted with v-w6685f2_ZU")</f>
        <v>syčet (v-w6685f1) - substituted with v-w6685f2_ZU</v>
      </c>
    </row>
    <row r="47925" customFormat="false" ht="12.8" hidden="false" customHeight="false" outlineLevel="0" collapsed="false">
      <c r="B47925" s="0" t="s">
        <v>7</v>
      </c>
    </row>
    <row r="47926" customFormat="false" ht="12.8" hidden="false" customHeight="false" outlineLevel="0" collapsed="false">
      <c r="B47926" s="0" t="s">
        <v>63</v>
      </c>
    </row>
    <row r="47928" customFormat="false" ht="12.8" hidden="false" customHeight="false" outlineLevel="0" collapsed="false">
      <c r="A47928" s="0" t="s">
        <v>16979</v>
      </c>
      <c r="B47928" s="0" t="str">
        <f aca="false">HYPERLINK("https://lindat.mff.cuni.cz/services/teitok/pdtc10/index.php?action=vallex&amp;frame=v-w5891f1", "sáhnout (v-w5891f1)")</f>
        <v>sáhnout (v-w5891f1)</v>
      </c>
    </row>
    <row r="47929" customFormat="false" ht="12.8" hidden="false" customHeight="false" outlineLevel="0" collapsed="false">
      <c r="B47929" s="0" t="s">
        <v>7</v>
      </c>
      <c r="C47929" s="0" t="s">
        <v>149</v>
      </c>
    </row>
    <row r="47930" customFormat="false" ht="12.8" hidden="false" customHeight="false" outlineLevel="0" collapsed="false">
      <c r="B47930" s="0" t="s">
        <v>15263</v>
      </c>
      <c r="C47930" s="0" t="s">
        <v>1289</v>
      </c>
    </row>
    <row r="47932" customFormat="false" ht="12.8" hidden="false" customHeight="false" outlineLevel="0" collapsed="false">
      <c r="A47932" s="0" t="s">
        <v>16980</v>
      </c>
      <c r="B47932" s="0" t="str">
        <f aca="false">HYPERLINK("https://lindat.mff.cuni.cz/services/teitok/pdtc10/index.php?action=vallex&amp;frame=v-w5891f3", "sáhnout (v-w5891f3)")</f>
        <v>sáhnout (v-w5891f3)</v>
      </c>
    </row>
    <row r="47933" customFormat="false" ht="12.8" hidden="false" customHeight="false" outlineLevel="0" collapsed="false">
      <c r="B47933" s="0" t="s">
        <v>7</v>
      </c>
    </row>
    <row r="47934" customFormat="false" ht="12.8" hidden="false" customHeight="false" outlineLevel="0" collapsed="false">
      <c r="B47934" s="0" t="s">
        <v>41</v>
      </c>
    </row>
    <row r="47936" customFormat="false" ht="12.8" hidden="false" customHeight="false" outlineLevel="0" collapsed="false">
      <c r="A47936" s="0" t="s">
        <v>16981</v>
      </c>
      <c r="B47936" s="0" t="str">
        <f aca="false">HYPERLINK("https://lindat.mff.cuni.cz/services/teitok/pdtc10/index.php?action=vallex&amp;frame=v-w5891f4_ZU", "sáhnout (v-w5891f4_ZU)")</f>
        <v>sáhnout (v-w5891f4_ZU)</v>
      </c>
    </row>
    <row r="47937" customFormat="false" ht="12.8" hidden="false" customHeight="false" outlineLevel="0" collapsed="false">
      <c r="B47937" s="0" t="s">
        <v>7</v>
      </c>
    </row>
    <row r="47938" customFormat="false" ht="12.8" hidden="false" customHeight="false" outlineLevel="0" collapsed="false">
      <c r="B47938" s="0" t="s">
        <v>124</v>
      </c>
    </row>
    <row r="47940" customFormat="false" ht="12.8" hidden="false" customHeight="false" outlineLevel="0" collapsed="false">
      <c r="A47940" s="0" t="s">
        <v>16981</v>
      </c>
      <c r="B47940" s="0" t="str">
        <f aca="false">HYPERLINK("https://lindat.mff.cuni.cz/services/teitok/pdtc10/index.php?action=vallex&amp;frame=v-w5891f2", "sáhnout (v-w5891f2) - substituted with v-w5891f4_ZU")</f>
        <v>sáhnout (v-w5891f2) - substituted with v-w5891f4_ZU</v>
      </c>
    </row>
    <row r="47941" customFormat="false" ht="12.8" hidden="false" customHeight="false" outlineLevel="0" collapsed="false">
      <c r="B47941" s="0" t="s">
        <v>7</v>
      </c>
      <c r="C47941" s="0" t="s">
        <v>31</v>
      </c>
      <c r="D47941" s="0" t="s">
        <v>88</v>
      </c>
      <c r="E47941" s="0" t="s">
        <v>460</v>
      </c>
      <c r="F47941" s="0" t="s">
        <v>460</v>
      </c>
    </row>
    <row r="47942" customFormat="false" ht="12.8" hidden="false" customHeight="false" outlineLevel="0" collapsed="false">
      <c r="B47942" s="0" t="s">
        <v>124</v>
      </c>
      <c r="C47942" s="0" t="s">
        <v>4285</v>
      </c>
      <c r="D47942" s="0" t="s">
        <v>4037</v>
      </c>
      <c r="E47942" s="0" t="s">
        <v>4037</v>
      </c>
      <c r="F47942" s="0" t="s">
        <v>4037</v>
      </c>
    </row>
    <row r="47944" customFormat="false" ht="12.8" hidden="false" customHeight="false" outlineLevel="0" collapsed="false">
      <c r="A47944" s="0" t="s">
        <v>16982</v>
      </c>
      <c r="B47944" s="0" t="str">
        <f aca="false">HYPERLINK("https://lindat.mff.cuni.cz/services/teitok/pdtc10/index.php?action=vallex&amp;frame=v-whsa_2f1_ZU", "sáhnout si (v-whsa_2f1_ZU)")</f>
        <v>sáhnout si (v-whsa_2f1_ZU)</v>
      </c>
    </row>
    <row r="47945" customFormat="false" ht="12.8" hidden="false" customHeight="false" outlineLevel="0" collapsed="false">
      <c r="B47945" s="0" t="s">
        <v>7</v>
      </c>
    </row>
    <row r="47946" customFormat="false" ht="12.8" hidden="false" customHeight="false" outlineLevel="0" collapsed="false">
      <c r="B47946" s="0" t="s">
        <v>16983</v>
      </c>
    </row>
    <row r="47948" customFormat="false" ht="12.8" hidden="false" customHeight="false" outlineLevel="0" collapsed="false">
      <c r="A47948" s="0" t="s">
        <v>16982</v>
      </c>
      <c r="B47948" s="0" t="str">
        <f aca="false">HYPERLINK("https://lindat.mff.cuni.cz/services/teitok/pdtc10/index.php?action=vallex&amp;frame=v-whsa_2hsa_3", "sáhnout si (v-whsa_2hsa_3) - substituted with v-whsa_2f1_ZU")</f>
        <v>sáhnout si (v-whsa_2hsa_3) - substituted with v-whsa_2f1_ZU</v>
      </c>
    </row>
    <row r="47949" customFormat="false" ht="12.8" hidden="false" customHeight="false" outlineLevel="0" collapsed="false">
      <c r="B47949" s="0" t="s">
        <v>7</v>
      </c>
    </row>
    <row r="47950" customFormat="false" ht="12.8" hidden="false" customHeight="false" outlineLevel="0" collapsed="false">
      <c r="B47950" s="0" t="s">
        <v>16983</v>
      </c>
    </row>
    <row r="47952" customFormat="false" ht="12.8" hidden="false" customHeight="false" outlineLevel="0" collapsed="false">
      <c r="A47952" s="0" t="s">
        <v>16984</v>
      </c>
      <c r="B47952" s="0" t="str">
        <f aca="false">HYPERLINK("https://lindat.mff.cuni.cz/services/teitok/pdtc10/index.php?action=vallex&amp;frame=v-w12307_MMf1_MM", "sápat se (v-w12307_MMf1_MM)")</f>
        <v>sápat se (v-w12307_MMf1_MM)</v>
      </c>
    </row>
    <row r="47953" customFormat="false" ht="12.8" hidden="false" customHeight="false" outlineLevel="0" collapsed="false">
      <c r="B47953" s="0" t="s">
        <v>7</v>
      </c>
    </row>
    <row r="47954" customFormat="false" ht="12.8" hidden="false" customHeight="false" outlineLevel="0" collapsed="false">
      <c r="B47954" s="0" t="s">
        <v>16985</v>
      </c>
    </row>
    <row r="47956" customFormat="false" ht="12.8" hidden="false" customHeight="false" outlineLevel="0" collapsed="false">
      <c r="A47956" s="0" t="s">
        <v>16986</v>
      </c>
      <c r="B47956" s="0" t="str">
        <f aca="false">HYPERLINK("https://lindat.mff.cuni.cz/services/teitok/pdtc10/index.php?action=vallex&amp;frame=v-whsa_1790hsa_1791", "sát (v-whsa_1790hsa_1791)")</f>
        <v>sát (v-whsa_1790hsa_1791)</v>
      </c>
    </row>
    <row r="47957" customFormat="false" ht="12.8" hidden="false" customHeight="false" outlineLevel="0" collapsed="false">
      <c r="B47957" s="0" t="s">
        <v>7</v>
      </c>
    </row>
    <row r="47958" customFormat="false" ht="12.8" hidden="false" customHeight="false" outlineLevel="0" collapsed="false">
      <c r="B47958" s="0" t="s">
        <v>14</v>
      </c>
    </row>
    <row r="47960" customFormat="false" ht="12.8" hidden="false" customHeight="false" outlineLevel="0" collapsed="false">
      <c r="A47960" s="0" t="s">
        <v>16987</v>
      </c>
      <c r="B47960" s="0" t="str">
        <f aca="false">HYPERLINK("https://lindat.mff.cuni.cz/services/teitok/pdtc10/index.php?action=vallex&amp;frame=v-w5898f3", "sázet (v-w5898f3)")</f>
        <v>sázet (v-w5898f3)</v>
      </c>
    </row>
    <row r="47961" customFormat="false" ht="12.8" hidden="false" customHeight="false" outlineLevel="0" collapsed="false">
      <c r="B47961" s="0" t="s">
        <v>7</v>
      </c>
    </row>
    <row r="47962" customFormat="false" ht="12.8" hidden="false" customHeight="false" outlineLevel="0" collapsed="false">
      <c r="B47962" s="0" t="s">
        <v>14</v>
      </c>
    </row>
    <row r="47963" customFormat="false" ht="12.8" hidden="false" customHeight="false" outlineLevel="0" collapsed="false">
      <c r="B47963" s="0" t="s">
        <v>48</v>
      </c>
    </row>
    <row r="47965" customFormat="false" ht="12.8" hidden="false" customHeight="false" outlineLevel="0" collapsed="false">
      <c r="A47965" s="0" t="s">
        <v>16988</v>
      </c>
      <c r="B47965" s="0" t="str">
        <f aca="false">HYPERLINK("https://lindat.mff.cuni.cz/services/teitok/pdtc10/index.php?action=vallex&amp;frame=v-w5898f2", "sázet (v-w5898f2)")</f>
        <v>sázet (v-w5898f2)</v>
      </c>
    </row>
    <row r="47966" customFormat="false" ht="12.8" hidden="false" customHeight="false" outlineLevel="0" collapsed="false">
      <c r="B47966" s="0" t="s">
        <v>7</v>
      </c>
      <c r="C47966" s="0" t="s">
        <v>46</v>
      </c>
      <c r="D47966" s="0" t="s">
        <v>1263</v>
      </c>
      <c r="E47966" s="0" t="s">
        <v>1263</v>
      </c>
      <c r="F47966" s="0" t="s">
        <v>1263</v>
      </c>
    </row>
    <row r="47967" customFormat="false" ht="12.8" hidden="false" customHeight="false" outlineLevel="0" collapsed="false">
      <c r="B47967" s="0" t="s">
        <v>14</v>
      </c>
      <c r="C47967" s="0" t="s">
        <v>384</v>
      </c>
      <c r="D47967" s="0" t="s">
        <v>6331</v>
      </c>
      <c r="E47967" s="0" t="s">
        <v>6331</v>
      </c>
      <c r="F47967" s="0" t="s">
        <v>6331</v>
      </c>
    </row>
    <row r="47968" customFormat="false" ht="12.8" hidden="false" customHeight="false" outlineLevel="0" collapsed="false">
      <c r="B47968" s="0" t="s">
        <v>84</v>
      </c>
    </row>
    <row r="47970" customFormat="false" ht="12.8" hidden="false" customHeight="false" outlineLevel="0" collapsed="false">
      <c r="A47970" s="0" t="s">
        <v>16989</v>
      </c>
      <c r="B47970" s="0" t="str">
        <f aca="false">HYPERLINK("https://lindat.mff.cuni.cz/services/teitok/pdtc10/index.php?action=vallex&amp;frame=v-w5898f5", "sázet (v-w5898f5)")</f>
        <v>sázet (v-w5898f5)</v>
      </c>
    </row>
    <row r="47971" customFormat="false" ht="12.8" hidden="false" customHeight="false" outlineLevel="0" collapsed="false">
      <c r="B47971" s="0" t="s">
        <v>7</v>
      </c>
    </row>
    <row r="47972" customFormat="false" ht="12.8" hidden="false" customHeight="false" outlineLevel="0" collapsed="false">
      <c r="B47972" s="0" t="s">
        <v>14</v>
      </c>
    </row>
    <row r="47973" customFormat="false" ht="12.8" hidden="false" customHeight="false" outlineLevel="0" collapsed="false">
      <c r="B47973" s="0" t="s">
        <v>124</v>
      </c>
    </row>
    <row r="47975" customFormat="false" ht="12.8" hidden="false" customHeight="false" outlineLevel="0" collapsed="false">
      <c r="A47975" s="0" t="s">
        <v>16990</v>
      </c>
      <c r="B47975" s="0" t="str">
        <f aca="false">HYPERLINK("https://lindat.mff.cuni.cz/services/teitok/pdtc10/index.php?action=vallex&amp;frame=v-w5898f4", "sázet (v-w5898f4)")</f>
        <v>sázet (v-w5898f4)</v>
      </c>
    </row>
    <row r="47976" customFormat="false" ht="12.8" hidden="false" customHeight="false" outlineLevel="0" collapsed="false">
      <c r="B47976" s="0" t="s">
        <v>7</v>
      </c>
    </row>
    <row r="47977" customFormat="false" ht="12.8" hidden="false" customHeight="false" outlineLevel="0" collapsed="false">
      <c r="B47977" s="0" t="s">
        <v>14</v>
      </c>
    </row>
    <row r="47979" customFormat="false" ht="12.8" hidden="false" customHeight="false" outlineLevel="0" collapsed="false">
      <c r="A47979" s="0" t="s">
        <v>16991</v>
      </c>
      <c r="B47979" s="0" t="str">
        <f aca="false">HYPERLINK("https://lindat.mff.cuni.cz/services/teitok/pdtc10/index.php?action=vallex&amp;frame=v-w5898f1", "sázet (v-w5898f1)")</f>
        <v>sázet (v-w5898f1)</v>
      </c>
    </row>
    <row r="47980" customFormat="false" ht="12.8" hidden="false" customHeight="false" outlineLevel="0" collapsed="false">
      <c r="B47980" s="0" t="s">
        <v>7</v>
      </c>
      <c r="C47980" s="0" t="s">
        <v>126</v>
      </c>
      <c r="D47980" s="0" t="s">
        <v>1263</v>
      </c>
      <c r="E47980" s="0" t="s">
        <v>1263</v>
      </c>
      <c r="F47980" s="0" t="s">
        <v>1263</v>
      </c>
    </row>
    <row r="47981" customFormat="false" ht="12.8" hidden="false" customHeight="false" outlineLevel="0" collapsed="false">
      <c r="B47981" s="0" t="s">
        <v>41</v>
      </c>
      <c r="C47981" s="0" t="s">
        <v>16992</v>
      </c>
      <c r="D47981" s="0" t="s">
        <v>6331</v>
      </c>
      <c r="E47981" s="0" t="s">
        <v>6331</v>
      </c>
      <c r="F47981" s="0" t="s">
        <v>6331</v>
      </c>
    </row>
    <row r="47983" customFormat="false" ht="12.8" hidden="false" customHeight="false" outlineLevel="0" collapsed="false">
      <c r="A47983" s="0" t="s">
        <v>16993</v>
      </c>
      <c r="B47983" s="0" t="str">
        <f aca="false">HYPERLINK("https://lindat.mff.cuni.cz/services/teitok/pdtc10/index.php?action=vallex&amp;frame=v-w11583_ZUf3_ZU", "sázet se (v-w11583_ZUf3_ZU)")</f>
        <v>sázet se (v-w11583_ZUf3_ZU)</v>
      </c>
    </row>
    <row r="47984" customFormat="false" ht="12.8" hidden="false" customHeight="false" outlineLevel="0" collapsed="false">
      <c r="B47984" s="0" t="s">
        <v>7</v>
      </c>
      <c r="D47984" s="0" t="s">
        <v>113</v>
      </c>
      <c r="E47984" s="0" t="s">
        <v>113</v>
      </c>
      <c r="F47984" s="0" t="s">
        <v>113</v>
      </c>
    </row>
    <row r="47985" customFormat="false" ht="12.8" hidden="false" customHeight="false" outlineLevel="0" collapsed="false">
      <c r="B47985" s="0" t="s">
        <v>207</v>
      </c>
      <c r="D47985" s="0" t="s">
        <v>16994</v>
      </c>
      <c r="E47985" s="0" t="s">
        <v>16994</v>
      </c>
      <c r="F47985" s="0" t="s">
        <v>16994</v>
      </c>
    </row>
    <row r="47986" customFormat="false" ht="12.8" hidden="false" customHeight="false" outlineLevel="0" collapsed="false">
      <c r="B47986" s="0" t="s">
        <v>16995</v>
      </c>
      <c r="D47986" s="0" t="s">
        <v>2112</v>
      </c>
      <c r="E47986" s="0" t="s">
        <v>2112</v>
      </c>
      <c r="F47986" s="0" t="s">
        <v>2112</v>
      </c>
    </row>
    <row r="47987" customFormat="false" ht="12.8" hidden="false" customHeight="false" outlineLevel="0" collapsed="false">
      <c r="B47987" s="0" t="s">
        <v>2721</v>
      </c>
      <c r="D47987" s="0" t="s">
        <v>16996</v>
      </c>
      <c r="E47987" s="0" t="s">
        <v>16996</v>
      </c>
      <c r="F47987" s="0" t="s">
        <v>16996</v>
      </c>
    </row>
    <row r="47989" customFormat="false" ht="12.8" hidden="false" customHeight="false" outlineLevel="0" collapsed="false">
      <c r="A47989" s="0" t="s">
        <v>16993</v>
      </c>
      <c r="B47989" s="0" t="str">
        <f aca="false">HYPERLINK("https://lindat.mff.cuni.cz/services/teitok/pdtc10/index.php?action=vallex&amp;frame=v-w11583_ZUf1_ZU", "sázet se (v-w11583_ZUf1_ZU) - substituted with v-w11583_ZUf3_ZU")</f>
        <v>sázet se (v-w11583_ZUf1_ZU) - substituted with v-w11583_ZUf3_ZU</v>
      </c>
    </row>
    <row r="47990" customFormat="false" ht="12.8" hidden="false" customHeight="false" outlineLevel="0" collapsed="false">
      <c r="B47990" s="0" t="s">
        <v>7</v>
      </c>
    </row>
    <row r="47991" customFormat="false" ht="12.8" hidden="false" customHeight="false" outlineLevel="0" collapsed="false">
      <c r="B47991" s="0" t="s">
        <v>207</v>
      </c>
    </row>
    <row r="47992" customFormat="false" ht="12.8" hidden="false" customHeight="false" outlineLevel="0" collapsed="false">
      <c r="B47992" s="0" t="s">
        <v>16995</v>
      </c>
    </row>
    <row r="47993" customFormat="false" ht="12.8" hidden="false" customHeight="false" outlineLevel="0" collapsed="false">
      <c r="B47993" s="0" t="s">
        <v>2721</v>
      </c>
    </row>
    <row r="47995" customFormat="false" ht="12.8" hidden="false" customHeight="false" outlineLevel="0" collapsed="false">
      <c r="A47995" s="0" t="s">
        <v>16993</v>
      </c>
      <c r="B47995" s="0" t="str">
        <f aca="false">HYPERLINK("https://lindat.mff.cuni.cz/services/teitok/pdtc10/index.php?action=vallex&amp;frame=v-w11583_ZUf2_ZU", "sázet se (v-w11583_ZUf2_ZU) - substituted with v-w11583_ZUf3_ZU")</f>
        <v>sázet se (v-w11583_ZUf2_ZU) - substituted with v-w11583_ZUf3_ZU</v>
      </c>
    </row>
    <row r="47996" customFormat="false" ht="12.8" hidden="false" customHeight="false" outlineLevel="0" collapsed="false">
      <c r="B47996" s="0" t="s">
        <v>7</v>
      </c>
      <c r="C47996" s="0" t="s">
        <v>1263</v>
      </c>
    </row>
    <row r="47997" customFormat="false" ht="12.8" hidden="false" customHeight="false" outlineLevel="0" collapsed="false">
      <c r="B47997" s="0" t="s">
        <v>207</v>
      </c>
    </row>
    <row r="47998" customFormat="false" ht="12.8" hidden="false" customHeight="false" outlineLevel="0" collapsed="false">
      <c r="B47998" s="0" t="s">
        <v>16995</v>
      </c>
      <c r="C47998" s="0" t="s">
        <v>4595</v>
      </c>
    </row>
    <row r="47999" customFormat="false" ht="12.8" hidden="false" customHeight="false" outlineLevel="0" collapsed="false">
      <c r="B47999" s="0" t="s">
        <v>2721</v>
      </c>
    </row>
    <row r="48001" customFormat="false" ht="12.8" hidden="false" customHeight="false" outlineLevel="0" collapsed="false">
      <c r="A48001" s="0" t="s">
        <v>16997</v>
      </c>
      <c r="B48001" s="0" t="str">
        <f aca="false">HYPERLINK("https://lindat.mff.cuni.cz/services/teitok/pdtc10/index.php?action=vallex&amp;frame=v-whsa_1543hsa_1544", "sáňkovat (v-whsa_1543hsa_1544)")</f>
        <v>sáňkovat (v-whsa_1543hsa_1544)</v>
      </c>
    </row>
    <row r="48002" customFormat="false" ht="12.8" hidden="false" customHeight="false" outlineLevel="0" collapsed="false">
      <c r="B48002" s="0" t="s">
        <v>7</v>
      </c>
    </row>
    <row r="48004" customFormat="false" ht="12.8" hidden="false" customHeight="false" outlineLevel="0" collapsed="false">
      <c r="A48004" s="0" t="s">
        <v>16998</v>
      </c>
      <c r="B48004" s="0" t="str">
        <f aca="false">HYPERLINK("https://lindat.mff.cuni.cz/services/teitok/pdtc10/index.php?action=vallex&amp;frame=v-w6061f1", "sídlit (v-w6061f1)")</f>
        <v>sídlit (v-w6061f1)</v>
      </c>
    </row>
    <row r="48005" customFormat="false" ht="12.8" hidden="false" customHeight="false" outlineLevel="0" collapsed="false">
      <c r="B48005" s="0" t="s">
        <v>7</v>
      </c>
      <c r="C48005" s="0" t="s">
        <v>16999</v>
      </c>
      <c r="D48005" s="0" t="s">
        <v>5154</v>
      </c>
      <c r="E48005" s="0" t="s">
        <v>5155</v>
      </c>
      <c r="F48005" s="0" t="s">
        <v>5155</v>
      </c>
    </row>
    <row r="48006" customFormat="false" ht="12.8" hidden="false" customHeight="false" outlineLevel="0" collapsed="false">
      <c r="B48006" s="0" t="s">
        <v>11</v>
      </c>
      <c r="C48006" s="0" t="s">
        <v>17000</v>
      </c>
      <c r="D48006" s="0" t="s">
        <v>5157</v>
      </c>
      <c r="E48006" s="0" t="s">
        <v>5158</v>
      </c>
      <c r="F48006" s="0" t="s">
        <v>5158</v>
      </c>
    </row>
    <row r="48008" customFormat="false" ht="12.8" hidden="false" customHeight="false" outlineLevel="0" collapsed="false">
      <c r="A48008" s="0" t="s">
        <v>17001</v>
      </c>
      <c r="B48008" s="0" t="str">
        <f aca="false">HYPERLINK("https://lindat.mff.cuni.cz/services/teitok/pdtc10/index.php?action=vallex&amp;frame=v-w6069f1", "sílit (v-w6069f1)")</f>
        <v>sílit (v-w6069f1)</v>
      </c>
    </row>
    <row r="48009" customFormat="false" ht="12.8" hidden="false" customHeight="false" outlineLevel="0" collapsed="false">
      <c r="B48009" s="0" t="s">
        <v>7</v>
      </c>
      <c r="C48009" s="0" t="s">
        <v>17002</v>
      </c>
      <c r="D48009" s="0" t="s">
        <v>5047</v>
      </c>
      <c r="E48009" s="0" t="s">
        <v>5047</v>
      </c>
      <c r="F48009" s="0" t="s">
        <v>5047</v>
      </c>
    </row>
    <row r="48011" customFormat="false" ht="12.8" hidden="false" customHeight="false" outlineLevel="0" collapsed="false">
      <c r="A48011" s="0" t="s">
        <v>17003</v>
      </c>
      <c r="B48011" s="0" t="str">
        <f aca="false">HYPERLINK("https://lindat.mff.cuni.cz/services/teitok/pdtc10/index.php?action=vallex&amp;frame=v-w10061f2", "sípat (v-w10061f2)")</f>
        <v>sípat (v-w10061f2)</v>
      </c>
    </row>
    <row r="48012" customFormat="false" ht="12.8" hidden="false" customHeight="false" outlineLevel="0" collapsed="false">
      <c r="B48012" s="0" t="s">
        <v>7</v>
      </c>
      <c r="C48012" s="0" t="s">
        <v>191</v>
      </c>
      <c r="D48012" s="0" t="s">
        <v>46</v>
      </c>
      <c r="E48012" s="0" t="s">
        <v>46</v>
      </c>
      <c r="F48012" s="0" t="s">
        <v>46</v>
      </c>
    </row>
    <row r="48014" customFormat="false" ht="12.8" hidden="false" customHeight="false" outlineLevel="0" collapsed="false">
      <c r="A48014" s="0" t="s">
        <v>17004</v>
      </c>
      <c r="B48014" s="0" t="str">
        <f aca="false">HYPERLINK("https://lindat.mff.cuni.cz/services/teitok/pdtc10/index.php?action=vallex&amp;frame=v-w10575f2", "sít (v-w10575f2)")</f>
        <v>sít (v-w10575f2)</v>
      </c>
    </row>
    <row r="48015" customFormat="false" ht="12.8" hidden="false" customHeight="false" outlineLevel="0" collapsed="false">
      <c r="B48015" s="0" t="s">
        <v>7</v>
      </c>
      <c r="C48015" s="0" t="s">
        <v>113</v>
      </c>
      <c r="D48015" s="0" t="s">
        <v>113</v>
      </c>
      <c r="E48015" s="0" t="s">
        <v>113</v>
      </c>
      <c r="F48015" s="0" t="s">
        <v>113</v>
      </c>
    </row>
    <row r="48016" customFormat="false" ht="12.8" hidden="false" customHeight="false" outlineLevel="0" collapsed="false">
      <c r="B48016" s="0" t="s">
        <v>14</v>
      </c>
      <c r="C48016" s="0" t="s">
        <v>384</v>
      </c>
      <c r="D48016" s="0" t="s">
        <v>384</v>
      </c>
      <c r="E48016" s="0" t="s">
        <v>384</v>
      </c>
      <c r="F48016" s="0" t="s">
        <v>384</v>
      </c>
    </row>
    <row r="48018" customFormat="false" ht="12.8" hidden="false" customHeight="false" outlineLevel="0" collapsed="false">
      <c r="A48018" s="0" t="s">
        <v>17005</v>
      </c>
      <c r="B48018" s="0" t="str">
        <f aca="false">HYPERLINK("https://lindat.mff.cuni.cz/services/teitok/pdtc10/index.php?action=vallex&amp;frame=v-w6686f1", "sýčkovat (v-w6686f1)")</f>
        <v>sýčkovat (v-w6686f1)</v>
      </c>
    </row>
    <row r="48019" customFormat="false" ht="12.8" hidden="false" customHeight="false" outlineLevel="0" collapsed="false">
      <c r="B48019" s="0" t="s">
        <v>7</v>
      </c>
    </row>
    <row r="48020" customFormat="false" ht="12.8" hidden="false" customHeight="false" outlineLevel="0" collapsed="false">
      <c r="B48020" s="0" t="s">
        <v>17006</v>
      </c>
    </row>
    <row r="48021" customFormat="false" ht="12.8" hidden="false" customHeight="false" outlineLevel="0" collapsed="false">
      <c r="B48021" s="0" t="s">
        <v>363</v>
      </c>
    </row>
    <row r="48023" customFormat="false" ht="12.8" hidden="false" customHeight="false" outlineLevel="0" collapsed="false">
      <c r="A48023" s="0" t="s">
        <v>17007</v>
      </c>
      <c r="B48023" s="0" t="str">
        <f aca="false">HYPERLINK("https://lindat.mff.cuni.cz/services/teitok/pdtc10/index.php?action=vallex&amp;frame=v-w5916f1", "sčítat (v-w5916f1)")</f>
        <v>sčítat (v-w5916f1)</v>
      </c>
    </row>
    <row r="48024" customFormat="false" ht="12.8" hidden="false" customHeight="false" outlineLevel="0" collapsed="false">
      <c r="B48024" s="0" t="s">
        <v>7</v>
      </c>
      <c r="C48024" s="0" t="s">
        <v>73</v>
      </c>
    </row>
    <row r="48025" customFormat="false" ht="12.8" hidden="false" customHeight="false" outlineLevel="0" collapsed="false">
      <c r="B48025" s="0" t="s">
        <v>14</v>
      </c>
      <c r="C48025" s="0" t="s">
        <v>3860</v>
      </c>
      <c r="D48025" s="0" t="s">
        <v>47</v>
      </c>
      <c r="E48025" s="0" t="s">
        <v>47</v>
      </c>
      <c r="F48025" s="0" t="s">
        <v>47</v>
      </c>
    </row>
    <row r="48027" customFormat="false" ht="12.8" hidden="false" customHeight="false" outlineLevel="0" collapsed="false">
      <c r="A48027" s="0" t="s">
        <v>17008</v>
      </c>
      <c r="B48027" s="0" t="str">
        <f aca="false">HYPERLINK("https://lindat.mff.cuni.cz/services/teitok/pdtc10/index.php?action=vallex&amp;frame=v-whsa_128hsa_129", "sžírat (v-whsa_128hsa_129)")</f>
        <v>sžírat (v-whsa_128hsa_129)</v>
      </c>
    </row>
    <row r="48028" customFormat="false" ht="12.8" hidden="false" customHeight="false" outlineLevel="0" collapsed="false">
      <c r="B48028" s="0" t="s">
        <v>7</v>
      </c>
    </row>
    <row r="48029" customFormat="false" ht="12.8" hidden="false" customHeight="false" outlineLevel="0" collapsed="false">
      <c r="B48029" s="0" t="s">
        <v>14</v>
      </c>
    </row>
    <row r="48031" customFormat="false" ht="12.8" hidden="false" customHeight="false" outlineLevel="0" collapsed="false">
      <c r="A48031" s="0" t="s">
        <v>17009</v>
      </c>
      <c r="B48031" s="0" t="str">
        <f aca="false">HYPERLINK("https://lindat.mff.cuni.cz/services/teitok/pdtc10/index.php?action=vallex&amp;frame=v-w6701f1", "sžít se (v-w6701f1)")</f>
        <v>sžít se (v-w6701f1)</v>
      </c>
    </row>
    <row r="48032" customFormat="false" ht="12.8" hidden="false" customHeight="false" outlineLevel="0" collapsed="false">
      <c r="B48032" s="0" t="s">
        <v>7</v>
      </c>
    </row>
    <row r="48033" customFormat="false" ht="12.8" hidden="false" customHeight="false" outlineLevel="0" collapsed="false">
      <c r="B48033" s="0" t="s">
        <v>548</v>
      </c>
    </row>
    <row r="48035" customFormat="false" ht="12.8" hidden="false" customHeight="false" outlineLevel="0" collapsed="false">
      <c r="A48035" s="0" t="s">
        <v>17010</v>
      </c>
      <c r="B48035" s="0" t="str">
        <f aca="false">HYPERLINK("https://lindat.mff.cuni.cz/services/teitok/pdtc10/index.php?action=vallex&amp;frame=v-w6767f1", "tabuizovat (v-w6767f1)")</f>
        <v>tabuizovat (v-w6767f1)</v>
      </c>
    </row>
    <row r="48036" customFormat="false" ht="12.8" hidden="false" customHeight="false" outlineLevel="0" collapsed="false">
      <c r="B48036" s="0" t="s">
        <v>7</v>
      </c>
      <c r="C48036" s="0" t="s">
        <v>191</v>
      </c>
    </row>
    <row r="48037" customFormat="false" ht="12.8" hidden="false" customHeight="false" outlineLevel="0" collapsed="false">
      <c r="B48037" s="0" t="s">
        <v>14</v>
      </c>
      <c r="C48037" s="0" t="s">
        <v>155</v>
      </c>
    </row>
    <row r="48039" customFormat="false" ht="12.8" hidden="false" customHeight="false" outlineLevel="0" collapsed="false">
      <c r="A48039" s="0" t="s">
        <v>17011</v>
      </c>
      <c r="B48039" s="0" t="str">
        <f aca="false">HYPERLINK("https://lindat.mff.cuni.cz/services/teitok/pdtc10/index.php?action=vallex&amp;frame=v-w6770f1", "tahat (v-w6770f1)")</f>
        <v>tahat (v-w6770f1)</v>
      </c>
    </row>
    <row r="48040" customFormat="false" ht="12.8" hidden="false" customHeight="false" outlineLevel="0" collapsed="false">
      <c r="B48040" s="0" t="s">
        <v>7</v>
      </c>
    </row>
    <row r="48041" customFormat="false" ht="12.8" hidden="false" customHeight="false" outlineLevel="0" collapsed="false">
      <c r="B48041" s="0" t="s">
        <v>17012</v>
      </c>
    </row>
    <row r="48043" customFormat="false" ht="12.8" hidden="false" customHeight="false" outlineLevel="0" collapsed="false">
      <c r="A48043" s="0" t="s">
        <v>17013</v>
      </c>
      <c r="B48043" s="0" t="str">
        <f aca="false">HYPERLINK("https://lindat.mff.cuni.cz/services/teitok/pdtc10/index.php?action=vallex&amp;frame=v-w6770f2_ZU", "tahat (v-w6770f2_ZU)")</f>
        <v>tahat (v-w6770f2_ZU)</v>
      </c>
    </row>
    <row r="48044" customFormat="false" ht="12.8" hidden="false" customHeight="false" outlineLevel="0" collapsed="false">
      <c r="B48044" s="0" t="s">
        <v>7</v>
      </c>
      <c r="C48044" s="0" t="s">
        <v>335</v>
      </c>
    </row>
    <row r="48045" customFormat="false" ht="12.8" hidden="false" customHeight="false" outlineLevel="0" collapsed="false">
      <c r="B48045" s="0" t="s">
        <v>17014</v>
      </c>
    </row>
    <row r="48047" customFormat="false" ht="12.8" hidden="false" customHeight="false" outlineLevel="0" collapsed="false">
      <c r="A48047" s="0" t="s">
        <v>17013</v>
      </c>
      <c r="B48047" s="0" t="str">
        <f aca="false">HYPERLINK("https://lindat.mff.cuni.cz/services/teitok/pdtc10/index.php?action=vallex&amp;frame=v-w6770hsa_215", "tahat (v-w6770hsa_215) - substituted with v-w6770f2_ZU")</f>
        <v>tahat (v-w6770hsa_215) - substituted with v-w6770f2_ZU</v>
      </c>
    </row>
    <row r="48048" customFormat="false" ht="12.8" hidden="false" customHeight="false" outlineLevel="0" collapsed="false">
      <c r="B48048" s="0" t="s">
        <v>7</v>
      </c>
    </row>
    <row r="48049" customFormat="false" ht="12.8" hidden="false" customHeight="false" outlineLevel="0" collapsed="false">
      <c r="B48049" s="0" t="s">
        <v>17014</v>
      </c>
    </row>
    <row r="48051" customFormat="false" ht="12.8" hidden="false" customHeight="false" outlineLevel="0" collapsed="false">
      <c r="A48051" s="0" t="s">
        <v>17015</v>
      </c>
      <c r="B48051" s="0" t="str">
        <f aca="false">HYPERLINK("https://lindat.mff.cuni.cz/services/teitok/pdtc10/index.php?action=vallex&amp;frame=v-w6770hsa_216", "tahat (v-w6770hsa_216)")</f>
        <v>tahat (v-w6770hsa_216)</v>
      </c>
    </row>
    <row r="48052" customFormat="false" ht="12.8" hidden="false" customHeight="false" outlineLevel="0" collapsed="false">
      <c r="B48052" s="0" t="s">
        <v>7</v>
      </c>
      <c r="C48052" s="0" t="s">
        <v>46</v>
      </c>
      <c r="D48052" s="0" t="s">
        <v>113</v>
      </c>
      <c r="E48052" s="0" t="s">
        <v>113</v>
      </c>
      <c r="F48052" s="0" t="s">
        <v>113</v>
      </c>
    </row>
    <row r="48053" customFormat="false" ht="12.8" hidden="false" customHeight="false" outlineLevel="0" collapsed="false">
      <c r="B48053" s="0" t="s">
        <v>14</v>
      </c>
      <c r="C48053" s="0" t="s">
        <v>47</v>
      </c>
      <c r="D48053" s="0" t="s">
        <v>461</v>
      </c>
      <c r="E48053" s="0" t="s">
        <v>461</v>
      </c>
      <c r="F48053" s="0" t="s">
        <v>461</v>
      </c>
    </row>
    <row r="48055" customFormat="false" ht="12.8" hidden="false" customHeight="false" outlineLevel="0" collapsed="false">
      <c r="A48055" s="0" t="s">
        <v>17016</v>
      </c>
      <c r="B48055" s="0" t="str">
        <f aca="false">HYPERLINK("https://lindat.mff.cuni.cz/services/teitok/pdtc10/index.php?action=vallex&amp;frame=v-w6770f4_ZU", "tahat (v-w6770f4_ZU)")</f>
        <v>tahat (v-w6770f4_ZU)</v>
      </c>
    </row>
    <row r="48056" customFormat="false" ht="12.8" hidden="false" customHeight="false" outlineLevel="0" collapsed="false">
      <c r="B48056" s="0" t="s">
        <v>7</v>
      </c>
    </row>
    <row r="48057" customFormat="false" ht="12.8" hidden="false" customHeight="false" outlineLevel="0" collapsed="false">
      <c r="B48057" s="0" t="s">
        <v>14</v>
      </c>
    </row>
    <row r="48058" customFormat="false" ht="12.8" hidden="false" customHeight="false" outlineLevel="0" collapsed="false">
      <c r="B48058" s="0" t="s">
        <v>124</v>
      </c>
    </row>
    <row r="48060" customFormat="false" ht="12.8" hidden="false" customHeight="false" outlineLevel="0" collapsed="false">
      <c r="A48060" s="0" t="s">
        <v>17016</v>
      </c>
      <c r="B48060" s="0" t="str">
        <f aca="false">HYPERLINK("https://lindat.mff.cuni.cz/services/teitok/pdtc10/index.php?action=vallex&amp;frame=v-w6770hsa_1275", "tahat (v-w6770hsa_1275) - substituted with v-w6770f4_ZU")</f>
        <v>tahat (v-w6770hsa_1275) - substituted with v-w6770f4_ZU</v>
      </c>
    </row>
    <row r="48061" customFormat="false" ht="12.8" hidden="false" customHeight="false" outlineLevel="0" collapsed="false">
      <c r="B48061" s="0" t="s">
        <v>7</v>
      </c>
    </row>
    <row r="48062" customFormat="false" ht="12.8" hidden="false" customHeight="false" outlineLevel="0" collapsed="false">
      <c r="B48062" s="0" t="s">
        <v>14</v>
      </c>
    </row>
    <row r="48063" customFormat="false" ht="12.8" hidden="false" customHeight="false" outlineLevel="0" collapsed="false">
      <c r="B48063" s="0" t="s">
        <v>124</v>
      </c>
    </row>
    <row r="48065" customFormat="false" ht="12.8" hidden="false" customHeight="false" outlineLevel="0" collapsed="false">
      <c r="A48065" s="0" t="s">
        <v>17017</v>
      </c>
      <c r="B48065" s="0" t="str">
        <f aca="false">HYPERLINK("https://lindat.mff.cuni.cz/services/teitok/pdtc10/index.php?action=vallex&amp;frame=v-w6770f5_ZU", "tahat (v-w6770f5_ZU)")</f>
        <v>tahat (v-w6770f5_ZU)</v>
      </c>
    </row>
    <row r="48066" customFormat="false" ht="12.8" hidden="false" customHeight="false" outlineLevel="0" collapsed="false">
      <c r="B48066" s="0" t="s">
        <v>7</v>
      </c>
    </row>
    <row r="48067" customFormat="false" ht="12.8" hidden="false" customHeight="false" outlineLevel="0" collapsed="false">
      <c r="B48067" s="0" t="s">
        <v>14</v>
      </c>
    </row>
    <row r="48069" customFormat="false" ht="12.8" hidden="false" customHeight="false" outlineLevel="0" collapsed="false">
      <c r="A48069" s="0" t="s">
        <v>17017</v>
      </c>
      <c r="B48069" s="0" t="str">
        <f aca="false">HYPERLINK("https://lindat.mff.cuni.cz/services/teitok/pdtc10/index.php?action=vallex&amp;frame=v-w6770f3_ZU", "tahat (v-w6770f3_ZU) - substituted with v-w6770f5_ZU")</f>
        <v>tahat (v-w6770f3_ZU) - substituted with v-w6770f5_ZU</v>
      </c>
    </row>
    <row r="48070" customFormat="false" ht="12.8" hidden="false" customHeight="false" outlineLevel="0" collapsed="false">
      <c r="B48070" s="0" t="s">
        <v>7</v>
      </c>
    </row>
    <row r="48071" customFormat="false" ht="12.8" hidden="false" customHeight="false" outlineLevel="0" collapsed="false">
      <c r="B48071" s="0" t="s">
        <v>14</v>
      </c>
    </row>
    <row r="48073" customFormat="false" ht="12.8" hidden="false" customHeight="false" outlineLevel="0" collapsed="false">
      <c r="A48073" s="0" t="s">
        <v>17017</v>
      </c>
      <c r="B48073" s="0" t="str">
        <f aca="false">HYPERLINK("https://lindat.mff.cuni.cz/services/teitok/pdtc10/index.php?action=vallex&amp;frame=v-w6770hsa_1274", "tahat (v-w6770hsa_1274) - substituted with v-w6770f5_ZU")</f>
        <v>tahat (v-w6770hsa_1274) - substituted with v-w6770f5_ZU</v>
      </c>
    </row>
    <row r="48074" customFormat="false" ht="12.8" hidden="false" customHeight="false" outlineLevel="0" collapsed="false">
      <c r="B48074" s="0" t="s">
        <v>7</v>
      </c>
    </row>
    <row r="48075" customFormat="false" ht="12.8" hidden="false" customHeight="false" outlineLevel="0" collapsed="false">
      <c r="B48075" s="0" t="s">
        <v>14</v>
      </c>
    </row>
    <row r="48077" customFormat="false" ht="12.8" hidden="false" customHeight="false" outlineLevel="0" collapsed="false">
      <c r="A48077" s="0" t="s">
        <v>17018</v>
      </c>
      <c r="B48077" s="0" t="str">
        <f aca="false">HYPERLINK("https://lindat.mff.cuni.cz/services/teitok/pdtc10/index.php?action=vallex&amp;frame=v-w6770f7_ZU", "tahat (v-w6770f7_ZU)")</f>
        <v>tahat (v-w6770f7_ZU)</v>
      </c>
    </row>
    <row r="48078" customFormat="false" ht="12.8" hidden="false" customHeight="false" outlineLevel="0" collapsed="false">
      <c r="B48078" s="0" t="s">
        <v>7</v>
      </c>
    </row>
    <row r="48079" customFormat="false" ht="12.8" hidden="false" customHeight="false" outlineLevel="0" collapsed="false">
      <c r="B48079" s="0" t="s">
        <v>14</v>
      </c>
    </row>
    <row r="48081" customFormat="false" ht="12.8" hidden="false" customHeight="false" outlineLevel="0" collapsed="false">
      <c r="A48081" s="0" t="s">
        <v>17018</v>
      </c>
      <c r="B48081" s="0" t="str">
        <f aca="false">HYPERLINK("https://lindat.mff.cuni.cz/services/teitok/pdtc10/index.php?action=vallex&amp;frame=v-w6770f6_ZU", "tahat (v-w6770f6_ZU) - substituted with v-w6770f7_ZU")</f>
        <v>tahat (v-w6770f6_ZU) - substituted with v-w6770f7_ZU</v>
      </c>
    </row>
    <row r="48082" customFormat="false" ht="12.8" hidden="false" customHeight="false" outlineLevel="0" collapsed="false">
      <c r="B48082" s="0" t="s">
        <v>7</v>
      </c>
    </row>
    <row r="48083" customFormat="false" ht="12.8" hidden="false" customHeight="false" outlineLevel="0" collapsed="false">
      <c r="B48083" s="0" t="s">
        <v>14</v>
      </c>
    </row>
    <row r="48085" customFormat="false" ht="12.8" hidden="false" customHeight="false" outlineLevel="0" collapsed="false">
      <c r="A48085" s="0" t="s">
        <v>17018</v>
      </c>
      <c r="B48085" s="0" t="str">
        <f aca="false">HYPERLINK("https://lindat.mff.cuni.cz/services/teitok/pdtc10/index.php?action=vallex&amp;frame=v-w6770hsa_1276", "tahat (v-w6770hsa_1276) - substituted with v-w6770f7_ZU")</f>
        <v>tahat (v-w6770hsa_1276) - substituted with v-w6770f7_ZU</v>
      </c>
    </row>
    <row r="48086" customFormat="false" ht="12.8" hidden="false" customHeight="false" outlineLevel="0" collapsed="false">
      <c r="B48086" s="0" t="s">
        <v>7</v>
      </c>
    </row>
    <row r="48087" customFormat="false" ht="12.8" hidden="false" customHeight="false" outlineLevel="0" collapsed="false">
      <c r="B48087" s="0" t="s">
        <v>14</v>
      </c>
    </row>
    <row r="48089" customFormat="false" ht="12.8" hidden="false" customHeight="false" outlineLevel="0" collapsed="false">
      <c r="A48089" s="0" t="s">
        <v>17019</v>
      </c>
      <c r="B48089" s="0" t="str">
        <f aca="false">HYPERLINK("https://lindat.mff.cuni.cz/services/teitok/pdtc10/index.php?action=vallex&amp;frame=v-w6770hsa_1273", "tahat (v-w6770hsa_1273)")</f>
        <v>tahat (v-w6770hsa_1273)</v>
      </c>
    </row>
    <row r="48090" customFormat="false" ht="12.8" hidden="false" customHeight="false" outlineLevel="0" collapsed="false">
      <c r="B48090" s="0" t="s">
        <v>7</v>
      </c>
    </row>
    <row r="48091" customFormat="false" ht="12.8" hidden="false" customHeight="false" outlineLevel="0" collapsed="false">
      <c r="B48091" s="0" t="s">
        <v>14</v>
      </c>
    </row>
    <row r="48093" customFormat="false" ht="12.8" hidden="false" customHeight="false" outlineLevel="0" collapsed="false">
      <c r="A48093" s="0" t="s">
        <v>17020</v>
      </c>
      <c r="B48093" s="0" t="str">
        <f aca="false">HYPERLINK("https://lindat.mff.cuni.cz/services/teitok/pdtc10/index.php?action=vallex&amp;frame=v-w6774f1", "tajit (v-w6774f1)")</f>
        <v>tajit (v-w6774f1)</v>
      </c>
    </row>
    <row r="48094" customFormat="false" ht="12.8" hidden="false" customHeight="false" outlineLevel="0" collapsed="false">
      <c r="B48094" s="0" t="s">
        <v>7</v>
      </c>
      <c r="C48094" s="0" t="s">
        <v>184</v>
      </c>
      <c r="D48094" s="0" t="s">
        <v>4999</v>
      </c>
      <c r="E48094" s="0" t="s">
        <v>4999</v>
      </c>
      <c r="F48094" s="0" t="s">
        <v>4999</v>
      </c>
    </row>
    <row r="48095" customFormat="false" ht="12.8" hidden="false" customHeight="false" outlineLevel="0" collapsed="false">
      <c r="B48095" s="0" t="s">
        <v>3742</v>
      </c>
      <c r="C48095" s="0" t="s">
        <v>17021</v>
      </c>
      <c r="D48095" s="0" t="s">
        <v>5000</v>
      </c>
      <c r="E48095" s="0" t="s">
        <v>5000</v>
      </c>
      <c r="F48095" s="0" t="s">
        <v>5000</v>
      </c>
    </row>
    <row r="48096" customFormat="false" ht="12.8" hidden="false" customHeight="false" outlineLevel="0" collapsed="false">
      <c r="B48096" s="0" t="s">
        <v>293</v>
      </c>
      <c r="C48096" s="0" t="s">
        <v>9927</v>
      </c>
      <c r="D48096" s="0" t="s">
        <v>5001</v>
      </c>
      <c r="E48096" s="0" t="s">
        <v>5001</v>
      </c>
      <c r="F48096" s="0" t="s">
        <v>5001</v>
      </c>
    </row>
    <row r="48098" customFormat="false" ht="12.8" hidden="false" customHeight="false" outlineLevel="0" collapsed="false">
      <c r="A48098" s="0" t="s">
        <v>17022</v>
      </c>
      <c r="B48098" s="0" t="str">
        <f aca="false">HYPERLINK("https://lindat.mff.cuni.cz/services/teitok/pdtc10/index.php?action=vallex&amp;frame=v-w6774f2", "tajit (v-w6774f2)")</f>
        <v>tajit (v-w6774f2)</v>
      </c>
    </row>
    <row r="48099" customFormat="false" ht="12.8" hidden="false" customHeight="false" outlineLevel="0" collapsed="false">
      <c r="B48099" s="0" t="s">
        <v>7</v>
      </c>
    </row>
    <row r="48100" customFormat="false" ht="12.8" hidden="false" customHeight="false" outlineLevel="0" collapsed="false">
      <c r="B48100" s="0" t="s">
        <v>15294</v>
      </c>
    </row>
    <row r="48101" customFormat="false" ht="12.8" hidden="false" customHeight="false" outlineLevel="0" collapsed="false">
      <c r="B48101" s="0" t="s">
        <v>363</v>
      </c>
    </row>
    <row r="48102" customFormat="false" ht="12.8" hidden="false" customHeight="false" outlineLevel="0" collapsed="false">
      <c r="B48102" s="0" t="s">
        <v>3743</v>
      </c>
    </row>
    <row r="48104" customFormat="false" ht="12.8" hidden="false" customHeight="false" outlineLevel="0" collapsed="false">
      <c r="A48104" s="0" t="s">
        <v>17023</v>
      </c>
      <c r="B48104" s="0" t="str">
        <f aca="false">HYPERLINK("https://lindat.mff.cuni.cz/services/teitok/pdtc10/index.php?action=vallex&amp;frame=v-w6775f1", "tajit se (v-w6775f1)")</f>
        <v>tajit se (v-w6775f1)</v>
      </c>
    </row>
    <row r="48105" customFormat="false" ht="12.8" hidden="false" customHeight="false" outlineLevel="0" collapsed="false">
      <c r="B48105" s="0" t="s">
        <v>7</v>
      </c>
      <c r="E48105" s="0" t="s">
        <v>4999</v>
      </c>
      <c r="F48105" s="0" t="s">
        <v>4999</v>
      </c>
    </row>
    <row r="48106" customFormat="false" ht="12.8" hidden="false" customHeight="false" outlineLevel="0" collapsed="false">
      <c r="B48106" s="0" t="s">
        <v>17024</v>
      </c>
      <c r="E48106" s="0" t="s">
        <v>5000</v>
      </c>
      <c r="F48106" s="0" t="s">
        <v>5000</v>
      </c>
    </row>
    <row r="48108" customFormat="false" ht="12.8" hidden="false" customHeight="false" outlineLevel="0" collapsed="false">
      <c r="A48108" s="0" t="s">
        <v>17025</v>
      </c>
      <c r="B48108" s="0" t="str">
        <f aca="false">HYPERLINK("https://lindat.mff.cuni.cz/services/teitok/pdtc10/index.php?action=vallex&amp;frame=v-w11601_ZUf3_ZU", "taktovat (v-w11601_ZUf3_ZU)")</f>
        <v>taktovat (v-w11601_ZUf3_ZU)</v>
      </c>
    </row>
    <row r="48109" customFormat="false" ht="12.8" hidden="false" customHeight="false" outlineLevel="0" collapsed="false">
      <c r="B48109" s="0" t="s">
        <v>7</v>
      </c>
      <c r="C48109" s="0" t="s">
        <v>191</v>
      </c>
    </row>
    <row r="48110" customFormat="false" ht="12.8" hidden="false" customHeight="false" outlineLevel="0" collapsed="false">
      <c r="B48110" s="0" t="s">
        <v>14</v>
      </c>
      <c r="C48110" s="0" t="s">
        <v>155</v>
      </c>
    </row>
    <row r="48111" customFormat="false" ht="12.8" hidden="false" customHeight="false" outlineLevel="0" collapsed="false">
      <c r="B48111" s="0" t="s">
        <v>35</v>
      </c>
    </row>
    <row r="48112" customFormat="false" ht="12.8" hidden="false" customHeight="false" outlineLevel="0" collapsed="false">
      <c r="B48112" s="0" t="s">
        <v>84</v>
      </c>
    </row>
    <row r="48114" customFormat="false" ht="12.8" hidden="false" customHeight="false" outlineLevel="0" collapsed="false">
      <c r="A48114" s="0" t="s">
        <v>17025</v>
      </c>
      <c r="B48114" s="0" t="str">
        <f aca="false">HYPERLINK("https://lindat.mff.cuni.cz/services/teitok/pdtc10/index.php?action=vallex&amp;frame=v-w11601_ZUf1_ZU", "taktovat (v-w11601_ZUf1_ZU) - substituted with v-w11601_ZUf3_ZU")</f>
        <v>taktovat (v-w11601_ZUf1_ZU) - substituted with v-w11601_ZUf3_ZU</v>
      </c>
    </row>
    <row r="48115" customFormat="false" ht="12.8" hidden="false" customHeight="false" outlineLevel="0" collapsed="false">
      <c r="B48115" s="0" t="s">
        <v>7</v>
      </c>
    </row>
    <row r="48116" customFormat="false" ht="12.8" hidden="false" customHeight="false" outlineLevel="0" collapsed="false">
      <c r="B48116" s="0" t="s">
        <v>14</v>
      </c>
    </row>
    <row r="48117" customFormat="false" ht="12.8" hidden="false" customHeight="false" outlineLevel="0" collapsed="false">
      <c r="B48117" s="0" t="s">
        <v>35</v>
      </c>
    </row>
    <row r="48118" customFormat="false" ht="12.8" hidden="false" customHeight="false" outlineLevel="0" collapsed="false">
      <c r="B48118" s="0" t="s">
        <v>84</v>
      </c>
    </row>
    <row r="48120" customFormat="false" ht="12.8" hidden="false" customHeight="false" outlineLevel="0" collapsed="false">
      <c r="A48120" s="0" t="s">
        <v>17025</v>
      </c>
      <c r="B48120" s="0" t="str">
        <f aca="false">HYPERLINK("https://lindat.mff.cuni.cz/services/teitok/pdtc10/index.php?action=vallex&amp;frame=v-w11601_ZUf2_ZU", "taktovat (v-w11601_ZUf2_ZU) - substituted with v-w11601_ZUf3_ZU")</f>
        <v>taktovat (v-w11601_ZUf2_ZU) - substituted with v-w11601_ZUf3_ZU</v>
      </c>
    </row>
    <row r="48121" customFormat="false" ht="12.8" hidden="false" customHeight="false" outlineLevel="0" collapsed="false">
      <c r="B48121" s="0" t="s">
        <v>7</v>
      </c>
    </row>
    <row r="48122" customFormat="false" ht="12.8" hidden="false" customHeight="false" outlineLevel="0" collapsed="false">
      <c r="B48122" s="0" t="s">
        <v>14</v>
      </c>
    </row>
    <row r="48123" customFormat="false" ht="12.8" hidden="false" customHeight="false" outlineLevel="0" collapsed="false">
      <c r="B48123" s="0" t="s">
        <v>35</v>
      </c>
    </row>
    <row r="48124" customFormat="false" ht="12.8" hidden="false" customHeight="false" outlineLevel="0" collapsed="false">
      <c r="B48124" s="0" t="s">
        <v>84</v>
      </c>
    </row>
    <row r="48126" customFormat="false" ht="12.8" hidden="false" customHeight="false" outlineLevel="0" collapsed="false">
      <c r="A48126" s="0" t="s">
        <v>17026</v>
      </c>
      <c r="B48126" s="0" t="str">
        <f aca="false">HYPERLINK("https://lindat.mff.cuni.cz/services/teitok/pdtc10/index.php?action=vallex&amp;frame=v-w6777f1", "tancovat (v-w6777f1)")</f>
        <v>tancovat (v-w6777f1)</v>
      </c>
    </row>
    <row r="48127" customFormat="false" ht="12.8" hidden="false" customHeight="false" outlineLevel="0" collapsed="false">
      <c r="B48127" s="0" t="s">
        <v>7</v>
      </c>
      <c r="D48127" s="0" t="s">
        <v>46</v>
      </c>
      <c r="E48127" s="0" t="s">
        <v>46</v>
      </c>
      <c r="F48127" s="0" t="s">
        <v>46</v>
      </c>
    </row>
    <row r="48128" customFormat="false" ht="12.8" hidden="false" customHeight="false" outlineLevel="0" collapsed="false">
      <c r="B48128" s="0" t="s">
        <v>297</v>
      </c>
    </row>
    <row r="48130" customFormat="false" ht="12.8" hidden="false" customHeight="false" outlineLevel="0" collapsed="false">
      <c r="A48130" s="0" t="s">
        <v>17027</v>
      </c>
      <c r="B48130" s="0" t="str">
        <f aca="false">HYPERLINK("https://lindat.mff.cuni.cz/services/teitok/pdtc10/index.php?action=vallex&amp;frame=v-w6782f1", "tankovat (v-w6782f1)")</f>
        <v>tankovat (v-w6782f1)</v>
      </c>
    </row>
    <row r="48131" customFormat="false" ht="12.8" hidden="false" customHeight="false" outlineLevel="0" collapsed="false">
      <c r="B48131" s="0" t="s">
        <v>7</v>
      </c>
    </row>
    <row r="48132" customFormat="false" ht="12.8" hidden="false" customHeight="false" outlineLevel="0" collapsed="false">
      <c r="B48132" s="0" t="s">
        <v>14</v>
      </c>
    </row>
    <row r="48134" customFormat="false" ht="12.8" hidden="false" customHeight="false" outlineLevel="0" collapsed="false">
      <c r="A48134" s="0" t="s">
        <v>17028</v>
      </c>
      <c r="B48134" s="0" t="str">
        <f aca="false">HYPERLINK("https://lindat.mff.cuni.cz/services/teitok/pdtc10/index.php?action=vallex&amp;frame=v-w12224_ZUf1_ZU", "tanout (v-w12224_ZUf1_ZU)")</f>
        <v>tanout (v-w12224_ZUf1_ZU)</v>
      </c>
    </row>
    <row r="48135" customFormat="false" ht="12.8" hidden="false" customHeight="false" outlineLevel="0" collapsed="false">
      <c r="B48135" s="0" t="s">
        <v>7</v>
      </c>
    </row>
    <row r="48136" customFormat="false" ht="12.8" hidden="false" customHeight="false" outlineLevel="0" collapsed="false">
      <c r="B48136" s="0" t="s">
        <v>5845</v>
      </c>
    </row>
    <row r="48137" customFormat="false" ht="12.8" hidden="false" customHeight="false" outlineLevel="0" collapsed="false">
      <c r="B48137" s="0" t="s">
        <v>142</v>
      </c>
    </row>
    <row r="48139" customFormat="false" ht="12.8" hidden="false" customHeight="false" outlineLevel="0" collapsed="false">
      <c r="A48139" s="0" t="s">
        <v>17029</v>
      </c>
      <c r="B48139" s="0" t="str">
        <f aca="false">HYPERLINK("https://lindat.mff.cuni.cz/services/teitok/pdtc10/index.php?action=vallex&amp;frame=v-w6778f1", "tančit (v-w6778f1)")</f>
        <v>tančit (v-w6778f1)</v>
      </c>
    </row>
    <row r="48140" customFormat="false" ht="12.8" hidden="false" customHeight="false" outlineLevel="0" collapsed="false">
      <c r="B48140" s="0" t="s">
        <v>7</v>
      </c>
      <c r="C48140" s="0" t="s">
        <v>46</v>
      </c>
      <c r="D48140" s="0" t="s">
        <v>46</v>
      </c>
      <c r="E48140" s="0" t="s">
        <v>46</v>
      </c>
      <c r="F48140" s="0" t="s">
        <v>46</v>
      </c>
    </row>
    <row r="48141" customFormat="false" ht="12.8" hidden="false" customHeight="false" outlineLevel="0" collapsed="false">
      <c r="B48141" s="0" t="s">
        <v>297</v>
      </c>
    </row>
    <row r="48143" customFormat="false" ht="12.8" hidden="false" customHeight="false" outlineLevel="0" collapsed="false">
      <c r="A48143" s="0" t="s">
        <v>17030</v>
      </c>
      <c r="B48143" s="0" t="str">
        <f aca="false">HYPERLINK("https://lindat.mff.cuni.cz/services/teitok/pdtc10/index.php?action=vallex&amp;frame=v-w6786f1", "tasit (v-w6786f1)")</f>
        <v>tasit (v-w6786f1)</v>
      </c>
    </row>
    <row r="48144" customFormat="false" ht="12.8" hidden="false" customHeight="false" outlineLevel="0" collapsed="false">
      <c r="B48144" s="0" t="s">
        <v>7</v>
      </c>
    </row>
    <row r="48145" customFormat="false" ht="12.8" hidden="false" customHeight="false" outlineLevel="0" collapsed="false">
      <c r="B48145" s="0" t="s">
        <v>14</v>
      </c>
    </row>
    <row r="48147" customFormat="false" ht="12.8" hidden="false" customHeight="false" outlineLevel="0" collapsed="false">
      <c r="A48147" s="0" t="s">
        <v>17031</v>
      </c>
      <c r="B48147" s="0" t="str">
        <f aca="false">HYPERLINK("https://lindat.mff.cuni.cz/services/teitok/pdtc10/index.php?action=vallex&amp;frame=v-w6786f2", "tasit (v-w6786f2)")</f>
        <v>tasit (v-w6786f2)</v>
      </c>
    </row>
    <row r="48148" customFormat="false" ht="12.8" hidden="false" customHeight="false" outlineLevel="0" collapsed="false">
      <c r="B48148" s="0" t="s">
        <v>7</v>
      </c>
    </row>
    <row r="48149" customFormat="false" ht="12.8" hidden="false" customHeight="false" outlineLevel="0" collapsed="false">
      <c r="B48149" s="0" t="s">
        <v>14</v>
      </c>
    </row>
    <row r="48151" customFormat="false" ht="12.8" hidden="false" customHeight="false" outlineLevel="0" collapsed="false">
      <c r="A48151" s="0" t="s">
        <v>17032</v>
      </c>
      <c r="B48151" s="0" t="str">
        <f aca="false">HYPERLINK("https://lindat.mff.cuni.cz/services/teitok/pdtc10/index.php?action=vallex&amp;frame=v-w6790f1", "taxikařit (v-w6790f1)")</f>
        <v>taxikařit (v-w6790f1)</v>
      </c>
    </row>
    <row r="48152" customFormat="false" ht="12.8" hidden="false" customHeight="false" outlineLevel="0" collapsed="false">
      <c r="B48152" s="0" t="s">
        <v>7</v>
      </c>
    </row>
    <row r="48154" customFormat="false" ht="12.8" hidden="false" customHeight="false" outlineLevel="0" collapsed="false">
      <c r="A48154" s="0" t="s">
        <v>17033</v>
      </c>
      <c r="B48154" s="0" t="str">
        <f aca="false">HYPERLINK("https://lindat.mff.cuni.cz/services/teitok/pdtc10/index.php?action=vallex&amp;frame=v-w6796f1", "tejpovat (v-w6796f1)")</f>
        <v>tejpovat (v-w6796f1)</v>
      </c>
    </row>
    <row r="48155" customFormat="false" ht="12.8" hidden="false" customHeight="false" outlineLevel="0" collapsed="false">
      <c r="B48155" s="0" t="s">
        <v>7</v>
      </c>
    </row>
    <row r="48156" customFormat="false" ht="12.8" hidden="false" customHeight="false" outlineLevel="0" collapsed="false">
      <c r="B48156" s="0" t="s">
        <v>14</v>
      </c>
    </row>
    <row r="48158" customFormat="false" ht="12.8" hidden="false" customHeight="false" outlineLevel="0" collapsed="false">
      <c r="A48158" s="0" t="s">
        <v>17034</v>
      </c>
      <c r="B48158" s="0" t="str">
        <f aca="false">HYPERLINK("https://lindat.mff.cuni.cz/services/teitok/pdtc10/index.php?action=vallex&amp;frame=v-w6800f3", "telefonovat (v-w6800f3)")</f>
        <v>telefonovat (v-w6800f3)</v>
      </c>
    </row>
    <row r="48159" customFormat="false" ht="12.8" hidden="false" customHeight="false" outlineLevel="0" collapsed="false">
      <c r="B48159" s="0" t="s">
        <v>7</v>
      </c>
      <c r="C48159" s="0" t="s">
        <v>569</v>
      </c>
      <c r="D48159" s="0" t="s">
        <v>2797</v>
      </c>
      <c r="E48159" s="0" t="s">
        <v>2797</v>
      </c>
      <c r="F48159" s="0" t="s">
        <v>2797</v>
      </c>
    </row>
    <row r="48160" customFormat="false" ht="12.8" hidden="false" customHeight="false" outlineLevel="0" collapsed="false">
      <c r="B48160" s="0" t="s">
        <v>367</v>
      </c>
      <c r="C48160" s="0" t="s">
        <v>3694</v>
      </c>
      <c r="D48160" s="0" t="s">
        <v>8694</v>
      </c>
      <c r="E48160" s="0" t="s">
        <v>8694</v>
      </c>
      <c r="F48160" s="0" t="s">
        <v>8694</v>
      </c>
    </row>
    <row r="48161" customFormat="false" ht="12.8" hidden="false" customHeight="false" outlineLevel="0" collapsed="false">
      <c r="B48161" s="0" t="s">
        <v>48</v>
      </c>
      <c r="C48161" s="0" t="s">
        <v>17035</v>
      </c>
      <c r="D48161" s="0" t="s">
        <v>398</v>
      </c>
      <c r="E48161" s="0" t="s">
        <v>398</v>
      </c>
      <c r="F48161" s="0" t="s">
        <v>398</v>
      </c>
    </row>
    <row r="48163" customFormat="false" ht="12.8" hidden="false" customHeight="false" outlineLevel="0" collapsed="false">
      <c r="A48163" s="0" t="s">
        <v>17036</v>
      </c>
      <c r="B48163" s="0" t="str">
        <f aca="false">HYPERLINK("https://lindat.mff.cuni.cz/services/teitok/pdtc10/index.php?action=vallex&amp;frame=v-w6800f2", "telefonovat (v-w6800f2)")</f>
        <v>telefonovat (v-w6800f2)</v>
      </c>
    </row>
    <row r="48164" customFormat="false" ht="12.8" hidden="false" customHeight="false" outlineLevel="0" collapsed="false">
      <c r="B48164" s="0" t="s">
        <v>7</v>
      </c>
    </row>
    <row r="48165" customFormat="false" ht="12.8" hidden="false" customHeight="false" outlineLevel="0" collapsed="false">
      <c r="B48165" s="0" t="s">
        <v>244</v>
      </c>
    </row>
    <row r="48166" customFormat="false" ht="12.8" hidden="false" customHeight="false" outlineLevel="0" collapsed="false">
      <c r="B48166" s="0" t="s">
        <v>2767</v>
      </c>
    </row>
    <row r="48168" customFormat="false" ht="12.8" hidden="false" customHeight="false" outlineLevel="0" collapsed="false">
      <c r="A48168" s="0" t="s">
        <v>17037</v>
      </c>
      <c r="B48168" s="0" t="str">
        <f aca="false">HYPERLINK("https://lindat.mff.cuni.cz/services/teitok/pdtc10/index.php?action=vallex&amp;frame=v-w6800f4", "telefonovat (v-w6800f4)")</f>
        <v>telefonovat (v-w6800f4)</v>
      </c>
    </row>
    <row r="48169" customFormat="false" ht="12.8" hidden="false" customHeight="false" outlineLevel="0" collapsed="false">
      <c r="B48169" s="0" t="s">
        <v>7</v>
      </c>
      <c r="C48169" s="0" t="s">
        <v>88</v>
      </c>
      <c r="D48169" s="0" t="s">
        <v>2797</v>
      </c>
      <c r="E48169" s="0" t="s">
        <v>2797</v>
      </c>
      <c r="F48169" s="0" t="s">
        <v>2797</v>
      </c>
    </row>
    <row r="48170" customFormat="false" ht="12.8" hidden="false" customHeight="false" outlineLevel="0" collapsed="false">
      <c r="B48170" s="0" t="s">
        <v>48</v>
      </c>
      <c r="C48170" s="0" t="s">
        <v>5545</v>
      </c>
      <c r="D48170" s="0" t="s">
        <v>398</v>
      </c>
      <c r="E48170" s="0" t="s">
        <v>398</v>
      </c>
      <c r="F48170" s="0" t="s">
        <v>398</v>
      </c>
    </row>
    <row r="48171" customFormat="false" ht="12.8" hidden="false" customHeight="false" outlineLevel="0" collapsed="false">
      <c r="B48171" s="0" t="s">
        <v>363</v>
      </c>
      <c r="C48171" s="0" t="s">
        <v>3694</v>
      </c>
      <c r="D48171" s="0" t="s">
        <v>8694</v>
      </c>
      <c r="E48171" s="0" t="s">
        <v>8694</v>
      </c>
      <c r="F48171" s="0" t="s">
        <v>8694</v>
      </c>
    </row>
    <row r="48173" customFormat="false" ht="12.8" hidden="false" customHeight="false" outlineLevel="0" collapsed="false">
      <c r="A48173" s="0" t="s">
        <v>17038</v>
      </c>
      <c r="B48173" s="0" t="str">
        <f aca="false">HYPERLINK("https://lindat.mff.cuni.cz/services/teitok/pdtc10/index.php?action=vallex&amp;frame=v-w6800f1", "telefonovat (v-w6800f1)")</f>
        <v>telefonovat (v-w6800f1)</v>
      </c>
    </row>
    <row r="48174" customFormat="false" ht="12.8" hidden="false" customHeight="false" outlineLevel="0" collapsed="false">
      <c r="B48174" s="0" t="s">
        <v>7</v>
      </c>
    </row>
    <row r="48175" customFormat="false" ht="12.8" hidden="false" customHeight="false" outlineLevel="0" collapsed="false">
      <c r="B48175" s="0" t="s">
        <v>48</v>
      </c>
    </row>
    <row r="48176" customFormat="false" ht="12.8" hidden="false" customHeight="false" outlineLevel="0" collapsed="false">
      <c r="B48176" s="0" t="s">
        <v>5518</v>
      </c>
    </row>
    <row r="48177" customFormat="false" ht="12.8" hidden="false" customHeight="false" outlineLevel="0" collapsed="false">
      <c r="B48177" s="0" t="s">
        <v>363</v>
      </c>
    </row>
    <row r="48179" customFormat="false" ht="12.8" hidden="false" customHeight="false" outlineLevel="0" collapsed="false">
      <c r="A48179" s="0" t="s">
        <v>17039</v>
      </c>
      <c r="B48179" s="0" t="str">
        <f aca="false">HYPERLINK("https://lindat.mff.cuni.cz/services/teitok/pdtc10/index.php?action=vallex&amp;frame=v-w6800f5", "telefonovat (v-w6800f5)")</f>
        <v>telefonovat (v-w6800f5)</v>
      </c>
    </row>
    <row r="48180" customFormat="false" ht="12.8" hidden="false" customHeight="false" outlineLevel="0" collapsed="false">
      <c r="B48180" s="0" t="s">
        <v>7</v>
      </c>
      <c r="C48180" s="0" t="s">
        <v>623</v>
      </c>
      <c r="D48180" s="0" t="s">
        <v>2797</v>
      </c>
      <c r="E48180" s="0" t="s">
        <v>2797</v>
      </c>
      <c r="F48180" s="0" t="s">
        <v>2797</v>
      </c>
    </row>
    <row r="48181" customFormat="false" ht="12.8" hidden="false" customHeight="false" outlineLevel="0" collapsed="false">
      <c r="B48181" s="0" t="s">
        <v>124</v>
      </c>
      <c r="C48181" s="0" t="s">
        <v>4037</v>
      </c>
      <c r="D48181" s="0" t="s">
        <v>17040</v>
      </c>
      <c r="E48181" s="0" t="s">
        <v>17040</v>
      </c>
      <c r="F48181" s="0" t="s">
        <v>17040</v>
      </c>
    </row>
    <row r="48182" customFormat="false" ht="12.8" hidden="false" customHeight="false" outlineLevel="0" collapsed="false">
      <c r="B48182" s="0" t="s">
        <v>363</v>
      </c>
      <c r="D48182" s="0" t="s">
        <v>8694</v>
      </c>
      <c r="E48182" s="0" t="s">
        <v>8694</v>
      </c>
      <c r="F48182" s="0" t="s">
        <v>8694</v>
      </c>
    </row>
    <row r="48184" customFormat="false" ht="12.8" hidden="false" customHeight="false" outlineLevel="0" collapsed="false">
      <c r="A48184" s="0" t="s">
        <v>17041</v>
      </c>
      <c r="B48184" s="0" t="str">
        <f aca="false">HYPERLINK("https://lindat.mff.cuni.cz/services/teitok/pdtc10/index.php?action=vallex&amp;frame=v-w6800hsa_742", "telefonovat (v-w6800hsa_742)")</f>
        <v>telefonovat (v-w6800hsa_742)</v>
      </c>
    </row>
    <row r="48185" customFormat="false" ht="12.8" hidden="false" customHeight="false" outlineLevel="0" collapsed="false">
      <c r="B48185" s="0" t="s">
        <v>7</v>
      </c>
      <c r="C48185" s="0" t="s">
        <v>191</v>
      </c>
      <c r="D48185" s="0" t="s">
        <v>2797</v>
      </c>
      <c r="E48185" s="0" t="s">
        <v>2797</v>
      </c>
      <c r="F48185" s="0" t="s">
        <v>2797</v>
      </c>
    </row>
    <row r="48186" customFormat="false" ht="12.8" hidden="false" customHeight="false" outlineLevel="0" collapsed="false">
      <c r="B48186" s="0" t="s">
        <v>14</v>
      </c>
      <c r="C48186" s="0" t="s">
        <v>155</v>
      </c>
      <c r="D48186" s="0" t="s">
        <v>8694</v>
      </c>
      <c r="E48186" s="0" t="s">
        <v>8694</v>
      </c>
      <c r="F48186" s="0" t="s">
        <v>8694</v>
      </c>
    </row>
    <row r="48187" customFormat="false" ht="12.8" hidden="false" customHeight="false" outlineLevel="0" collapsed="false">
      <c r="B48187" s="0" t="s">
        <v>124</v>
      </c>
      <c r="D48187" s="0" t="s">
        <v>17040</v>
      </c>
      <c r="E48187" s="0" t="s">
        <v>17040</v>
      </c>
      <c r="F48187" s="0" t="s">
        <v>17040</v>
      </c>
    </row>
    <row r="48189" customFormat="false" ht="12.8" hidden="false" customHeight="false" outlineLevel="0" collapsed="false">
      <c r="A48189" s="0" t="s">
        <v>17042</v>
      </c>
      <c r="B48189" s="0" t="str">
        <f aca="false">HYPERLINK("https://lindat.mff.cuni.cz/services/teitok/pdtc10/index.php?action=vallex&amp;frame=v-w11602_ZUf1_ZU", "telegrafovat (v-w11602_ZUf1_ZU)")</f>
        <v>telegrafovat (v-w11602_ZUf1_ZU)</v>
      </c>
    </row>
    <row r="48190" customFormat="false" ht="12.8" hidden="false" customHeight="false" outlineLevel="0" collapsed="false">
      <c r="B48190" s="0" t="s">
        <v>7</v>
      </c>
      <c r="C48190" s="0" t="s">
        <v>46</v>
      </c>
    </row>
    <row r="48191" customFormat="false" ht="12.8" hidden="false" customHeight="false" outlineLevel="0" collapsed="false">
      <c r="B48191" s="0" t="s">
        <v>14</v>
      </c>
      <c r="C48191" s="0" t="s">
        <v>400</v>
      </c>
    </row>
    <row r="48192" customFormat="false" ht="12.8" hidden="false" customHeight="false" outlineLevel="0" collapsed="false">
      <c r="B48192" s="0" t="s">
        <v>48</v>
      </c>
      <c r="C48192" s="0" t="s">
        <v>3323</v>
      </c>
    </row>
    <row r="48194" customFormat="false" ht="12.8" hidden="false" customHeight="false" outlineLevel="0" collapsed="false">
      <c r="A48194" s="0" t="s">
        <v>17043</v>
      </c>
      <c r="B48194" s="0" t="str">
        <f aca="false">HYPERLINK("https://lindat.mff.cuni.cz/services/teitok/pdtc10/index.php?action=vallex&amp;frame=v-w6802f1", "tematizovat (v-w6802f1)")</f>
        <v>tematizovat (v-w6802f1)</v>
      </c>
    </row>
    <row r="48195" customFormat="false" ht="12.8" hidden="false" customHeight="false" outlineLevel="0" collapsed="false">
      <c r="B48195" s="0" t="s">
        <v>7</v>
      </c>
    </row>
    <row r="48196" customFormat="false" ht="12.8" hidden="false" customHeight="false" outlineLevel="0" collapsed="false">
      <c r="B48196" s="0" t="s">
        <v>14</v>
      </c>
    </row>
    <row r="48198" customFormat="false" ht="12.8" hidden="false" customHeight="false" outlineLevel="0" collapsed="false">
      <c r="A48198" s="0" t="s">
        <v>17044</v>
      </c>
      <c r="B48198" s="0" t="str">
        <f aca="false">HYPERLINK("https://lindat.mff.cuni.cz/services/teitok/pdtc10/index.php?action=vallex&amp;frame=v-w6805f1", "tendovat (v-w6805f1)")</f>
        <v>tendovat (v-w6805f1)</v>
      </c>
    </row>
    <row r="48199" customFormat="false" ht="12.8" hidden="false" customHeight="false" outlineLevel="0" collapsed="false">
      <c r="B48199" s="0" t="s">
        <v>7</v>
      </c>
    </row>
    <row r="48200" customFormat="false" ht="12.8" hidden="false" customHeight="false" outlineLevel="0" collapsed="false">
      <c r="B48200" s="0" t="s">
        <v>237</v>
      </c>
    </row>
    <row r="48202" customFormat="false" ht="12.8" hidden="false" customHeight="false" outlineLevel="0" collapsed="false">
      <c r="A48202" s="0" t="s">
        <v>17045</v>
      </c>
      <c r="B48202" s="0" t="str">
        <f aca="false">HYPERLINK("https://lindat.mff.cuni.cz/services/teitok/pdtc10/index.php?action=vallex&amp;frame=v-w6803f1", "tenčit se (v-w6803f1)")</f>
        <v>tenčit se (v-w6803f1)</v>
      </c>
    </row>
    <row r="48203" customFormat="false" ht="12.8" hidden="false" customHeight="false" outlineLevel="0" collapsed="false">
      <c r="B48203" s="0" t="s">
        <v>7</v>
      </c>
    </row>
    <row r="48204" customFormat="false" ht="12.8" hidden="false" customHeight="false" outlineLevel="0" collapsed="false">
      <c r="B48204" s="0" t="s">
        <v>63</v>
      </c>
    </row>
    <row r="48205" customFormat="false" ht="12.8" hidden="false" customHeight="false" outlineLevel="0" collapsed="false">
      <c r="B48205" s="0" t="s">
        <v>35</v>
      </c>
    </row>
    <row r="48207" customFormat="false" ht="12.8" hidden="false" customHeight="false" outlineLevel="0" collapsed="false">
      <c r="A48207" s="0" t="s">
        <v>17046</v>
      </c>
      <c r="B48207" s="0" t="str">
        <f aca="false">HYPERLINK("https://lindat.mff.cuni.cz/services/teitok/pdtc10/index.php?action=vallex&amp;frame=v-w10592hsa_1107", "teoretizovat (v-w10592hsa_1107)")</f>
        <v>teoretizovat (v-w10592hsa_1107)</v>
      </c>
    </row>
    <row r="48208" customFormat="false" ht="12.8" hidden="false" customHeight="false" outlineLevel="0" collapsed="false">
      <c r="B48208" s="0" t="s">
        <v>7</v>
      </c>
      <c r="C48208" s="0" t="s">
        <v>46</v>
      </c>
      <c r="D48208" s="0" t="s">
        <v>3664</v>
      </c>
      <c r="E48208" s="0" t="s">
        <v>3664</v>
      </c>
      <c r="F48208" s="0" t="s">
        <v>3664</v>
      </c>
    </row>
    <row r="48209" customFormat="false" ht="12.8" hidden="false" customHeight="false" outlineLevel="0" collapsed="false">
      <c r="B48209" s="0" t="s">
        <v>17047</v>
      </c>
      <c r="C48209" s="0" t="s">
        <v>567</v>
      </c>
      <c r="D48209" s="0" t="s">
        <v>567</v>
      </c>
      <c r="E48209" s="0" t="s">
        <v>567</v>
      </c>
      <c r="F48209" s="0" t="s">
        <v>567</v>
      </c>
    </row>
    <row r="48211" customFormat="false" ht="12.8" hidden="false" customHeight="false" outlineLevel="0" collapsed="false">
      <c r="A48211" s="0" t="s">
        <v>17046</v>
      </c>
      <c r="B48211" s="0" t="str">
        <f aca="false">HYPERLINK("https://lindat.mff.cuni.cz/services/teitok/pdtc10/index.php?action=vallex&amp;frame=v-w10592f2", "teoretizovat (v-w10592f2) - substituted with v-w10592hsa_1107")</f>
        <v>teoretizovat (v-w10592f2) - substituted with v-w10592hsa_1107</v>
      </c>
    </row>
    <row r="48212" customFormat="false" ht="12.8" hidden="false" customHeight="false" outlineLevel="0" collapsed="false">
      <c r="B48212" s="0" t="s">
        <v>7</v>
      </c>
    </row>
    <row r="48213" customFormat="false" ht="12.8" hidden="false" customHeight="false" outlineLevel="0" collapsed="false">
      <c r="B48213" s="0" t="s">
        <v>17047</v>
      </c>
    </row>
    <row r="48215" customFormat="false" ht="12.8" hidden="false" customHeight="false" outlineLevel="0" collapsed="false">
      <c r="A48215" s="0" t="s">
        <v>17048</v>
      </c>
      <c r="B48215" s="0" t="str">
        <f aca="false">HYPERLINK("https://lindat.mff.cuni.cz/services/teitok/pdtc10/index.php?action=vallex&amp;frame=v-w6808f1", "tepat (v-w6808f1)")</f>
        <v>tepat (v-w6808f1)</v>
      </c>
    </row>
    <row r="48216" customFormat="false" ht="12.8" hidden="false" customHeight="false" outlineLevel="0" collapsed="false">
      <c r="B48216" s="0" t="s">
        <v>7</v>
      </c>
      <c r="D48216" s="0" t="s">
        <v>4960</v>
      </c>
      <c r="E48216" s="0" t="s">
        <v>4960</v>
      </c>
      <c r="F48216" s="0" t="s">
        <v>4960</v>
      </c>
    </row>
    <row r="48217" customFormat="false" ht="12.8" hidden="false" customHeight="false" outlineLevel="0" collapsed="false">
      <c r="B48217" s="0" t="s">
        <v>14</v>
      </c>
      <c r="D48217" s="0" t="s">
        <v>1631</v>
      </c>
      <c r="E48217" s="0" t="s">
        <v>1631</v>
      </c>
      <c r="F48217" s="0" t="s">
        <v>1631</v>
      </c>
    </row>
    <row r="48219" customFormat="false" ht="12.8" hidden="false" customHeight="false" outlineLevel="0" collapsed="false">
      <c r="A48219" s="0" t="s">
        <v>17049</v>
      </c>
      <c r="B48219" s="0" t="str">
        <f aca="false">HYPERLINK("https://lindat.mff.cuni.cz/services/teitok/pdtc10/index.php?action=vallex&amp;frame=v-w6808f2", "tepat (v-w6808f2)")</f>
        <v>tepat (v-w6808f2)</v>
      </c>
    </row>
    <row r="48220" customFormat="false" ht="12.8" hidden="false" customHeight="false" outlineLevel="0" collapsed="false">
      <c r="B48220" s="0" t="s">
        <v>7</v>
      </c>
      <c r="C48220" s="0" t="s">
        <v>200</v>
      </c>
    </row>
    <row r="48222" customFormat="false" ht="12.8" hidden="false" customHeight="false" outlineLevel="0" collapsed="false">
      <c r="A48222" s="0" t="s">
        <v>17050</v>
      </c>
      <c r="B48222" s="0" t="str">
        <f aca="false">HYPERLINK("https://lindat.mff.cuni.cz/services/teitok/pdtc10/index.php?action=vallex&amp;frame=v-w6811f1", "terorizovat (v-w6811f1)")</f>
        <v>terorizovat (v-w6811f1)</v>
      </c>
    </row>
    <row r="48223" customFormat="false" ht="12.8" hidden="false" customHeight="false" outlineLevel="0" collapsed="false">
      <c r="B48223" s="0" t="s">
        <v>7</v>
      </c>
    </row>
    <row r="48224" customFormat="false" ht="12.8" hidden="false" customHeight="false" outlineLevel="0" collapsed="false">
      <c r="B48224" s="0" t="s">
        <v>14</v>
      </c>
    </row>
    <row r="48226" customFormat="false" ht="12.8" hidden="false" customHeight="false" outlineLevel="0" collapsed="false">
      <c r="A48226" s="0" t="s">
        <v>17051</v>
      </c>
      <c r="B48226" s="0" t="str">
        <f aca="false">HYPERLINK("https://lindat.mff.cuni.cz/services/teitok/pdtc10/index.php?action=vallex&amp;frame=v-w6816f1", "testovat (v-w6816f1)")</f>
        <v>testovat (v-w6816f1)</v>
      </c>
    </row>
    <row r="48227" customFormat="false" ht="12.8" hidden="false" customHeight="false" outlineLevel="0" collapsed="false">
      <c r="B48227" s="0" t="s">
        <v>7</v>
      </c>
      <c r="C48227" s="0" t="s">
        <v>1111</v>
      </c>
      <c r="D48227" s="0" t="s">
        <v>1111</v>
      </c>
      <c r="E48227" s="0" t="s">
        <v>1111</v>
      </c>
      <c r="F48227" s="0" t="s">
        <v>1111</v>
      </c>
    </row>
    <row r="48228" customFormat="false" ht="12.8" hidden="false" customHeight="false" outlineLevel="0" collapsed="false">
      <c r="B48228" s="0" t="s">
        <v>2030</v>
      </c>
      <c r="C48228" s="0" t="s">
        <v>3860</v>
      </c>
      <c r="D48228" s="0" t="s">
        <v>3860</v>
      </c>
      <c r="E48228" s="0" t="s">
        <v>3860</v>
      </c>
      <c r="F48228" s="0" t="s">
        <v>3860</v>
      </c>
    </row>
    <row r="48230" customFormat="false" ht="12.8" hidden="false" customHeight="false" outlineLevel="0" collapsed="false">
      <c r="A48230" s="0" t="s">
        <v>17052</v>
      </c>
      <c r="B48230" s="0" t="str">
        <f aca="false">HYPERLINK("https://lindat.mff.cuni.cz/services/teitok/pdtc10/index.php?action=vallex&amp;frame=v-w6821f1", "tetovat (v-w6821f1)")</f>
        <v>tetovat (v-w6821f1)</v>
      </c>
    </row>
    <row r="48231" customFormat="false" ht="12.8" hidden="false" customHeight="false" outlineLevel="0" collapsed="false">
      <c r="B48231" s="0" t="s">
        <v>7</v>
      </c>
    </row>
    <row r="48232" customFormat="false" ht="12.8" hidden="false" customHeight="false" outlineLevel="0" collapsed="false">
      <c r="B48232" s="0" t="s">
        <v>14</v>
      </c>
    </row>
    <row r="48234" customFormat="false" ht="12.8" hidden="false" customHeight="false" outlineLevel="0" collapsed="false">
      <c r="A48234" s="0" t="s">
        <v>17053</v>
      </c>
      <c r="B48234" s="0" t="str">
        <f aca="false">HYPERLINK("https://lindat.mff.cuni.cz/services/teitok/pdtc10/index.php?action=vallex&amp;frame=v-w6823f1", "textovat (v-w6823f1)")</f>
        <v>textovat (v-w6823f1)</v>
      </c>
    </row>
    <row r="48235" customFormat="false" ht="12.8" hidden="false" customHeight="false" outlineLevel="0" collapsed="false">
      <c r="B48235" s="0" t="s">
        <v>7</v>
      </c>
    </row>
    <row r="48236" customFormat="false" ht="12.8" hidden="false" customHeight="false" outlineLevel="0" collapsed="false">
      <c r="B48236" s="0" t="s">
        <v>14</v>
      </c>
    </row>
    <row r="48238" customFormat="false" ht="12.8" hidden="false" customHeight="false" outlineLevel="0" collapsed="false">
      <c r="A48238" s="0" t="s">
        <v>17054</v>
      </c>
      <c r="B48238" s="0" t="str">
        <f aca="false">HYPERLINK("https://lindat.mff.cuni.cz/services/teitok/pdtc10/index.php?action=vallex&amp;frame=v-w10154f2", "tečkovat (v-w10154f2)")</f>
        <v>tečkovat (v-w10154f2)</v>
      </c>
    </row>
    <row r="48239" customFormat="false" ht="12.8" hidden="false" customHeight="false" outlineLevel="0" collapsed="false">
      <c r="B48239" s="0" t="s">
        <v>7</v>
      </c>
      <c r="C48239" s="0" t="s">
        <v>17055</v>
      </c>
      <c r="D48239" s="0" t="s">
        <v>17055</v>
      </c>
      <c r="E48239" s="0" t="s">
        <v>17055</v>
      </c>
      <c r="F48239" s="0" t="s">
        <v>17055</v>
      </c>
    </row>
    <row r="48240" customFormat="false" ht="12.8" hidden="false" customHeight="false" outlineLevel="0" collapsed="false">
      <c r="B48240" s="0" t="s">
        <v>14</v>
      </c>
      <c r="C48240" s="0" t="s">
        <v>567</v>
      </c>
      <c r="D48240" s="0" t="s">
        <v>567</v>
      </c>
      <c r="E48240" s="0" t="s">
        <v>567</v>
      </c>
      <c r="F48240" s="0" t="s">
        <v>567</v>
      </c>
    </row>
    <row r="48242" customFormat="false" ht="12.8" hidden="false" customHeight="false" outlineLevel="0" collapsed="false">
      <c r="A48242" s="0" t="s">
        <v>17056</v>
      </c>
      <c r="B48242" s="0" t="str">
        <f aca="false">HYPERLINK("https://lindat.mff.cuni.cz/services/teitok/pdtc10/index.php?action=vallex&amp;frame=v-w6795f1", "tečovat (v-w6795f1)")</f>
        <v>tečovat (v-w6795f1)</v>
      </c>
    </row>
    <row r="48243" customFormat="false" ht="12.8" hidden="false" customHeight="false" outlineLevel="0" collapsed="false">
      <c r="B48243" s="0" t="s">
        <v>7</v>
      </c>
    </row>
    <row r="48244" customFormat="false" ht="12.8" hidden="false" customHeight="false" outlineLevel="0" collapsed="false">
      <c r="B48244" s="0" t="s">
        <v>14</v>
      </c>
    </row>
    <row r="48246" customFormat="false" ht="12.8" hidden="false" customHeight="false" outlineLevel="0" collapsed="false">
      <c r="A48246" s="0" t="s">
        <v>17057</v>
      </c>
      <c r="B48246" s="0" t="str">
        <f aca="false">HYPERLINK("https://lindat.mff.cuni.cz/services/teitok/pdtc10/index.php?action=vallex&amp;frame=v-w11739_ZUf1_ZU", "tikat (v-w11739_ZUf1_ZU)")</f>
        <v>tikat (v-w11739_ZUf1_ZU)</v>
      </c>
    </row>
    <row r="48247" customFormat="false" ht="12.8" hidden="false" customHeight="false" outlineLevel="0" collapsed="false">
      <c r="B48247" s="0" t="s">
        <v>603</v>
      </c>
    </row>
    <row r="48248" customFormat="false" ht="12.8" hidden="false" customHeight="false" outlineLevel="0" collapsed="false">
      <c r="B48248" s="0" t="s">
        <v>17058</v>
      </c>
    </row>
    <row r="48250" customFormat="false" ht="12.8" hidden="false" customHeight="false" outlineLevel="0" collapsed="false">
      <c r="A48250" s="0" t="s">
        <v>17059</v>
      </c>
      <c r="B48250" s="0" t="str">
        <f aca="false">HYPERLINK("https://lindat.mff.cuni.cz/services/teitok/pdtc10/index.php?action=vallex&amp;frame=v-w6831f1", "tipnout (v-w6831f1)")</f>
        <v>tipnout (v-w6831f1)</v>
      </c>
    </row>
    <row r="48251" customFormat="false" ht="12.8" hidden="false" customHeight="false" outlineLevel="0" collapsed="false">
      <c r="B48251" s="0" t="s">
        <v>7</v>
      </c>
    </row>
    <row r="48252" customFormat="false" ht="12.8" hidden="false" customHeight="false" outlineLevel="0" collapsed="false">
      <c r="B48252" s="0" t="s">
        <v>1520</v>
      </c>
    </row>
    <row r="48254" customFormat="false" ht="12.8" hidden="false" customHeight="false" outlineLevel="0" collapsed="false">
      <c r="A48254" s="0" t="s">
        <v>17060</v>
      </c>
      <c r="B48254" s="0" t="str">
        <f aca="false">HYPERLINK("https://lindat.mff.cuni.cz/services/teitok/pdtc10/index.php?action=vallex&amp;frame=v-w6831f2_ZU", "tipnout (v-w6831f2_ZU)")</f>
        <v>tipnout (v-w6831f2_ZU)</v>
      </c>
    </row>
    <row r="48255" customFormat="false" ht="12.8" hidden="false" customHeight="false" outlineLevel="0" collapsed="false">
      <c r="B48255" s="0" t="s">
        <v>7</v>
      </c>
    </row>
    <row r="48256" customFormat="false" ht="12.8" hidden="false" customHeight="false" outlineLevel="0" collapsed="false">
      <c r="B48256" s="0" t="s">
        <v>14</v>
      </c>
    </row>
    <row r="48257" customFormat="false" ht="12.8" hidden="false" customHeight="false" outlineLevel="0" collapsed="false">
      <c r="B48257" s="0" t="s">
        <v>1755</v>
      </c>
    </row>
    <row r="48259" customFormat="false" ht="12.8" hidden="false" customHeight="false" outlineLevel="0" collapsed="false">
      <c r="A48259" s="0" t="s">
        <v>17061</v>
      </c>
      <c r="B48259" s="0" t="str">
        <f aca="false">HYPERLINK("https://lindat.mff.cuni.cz/services/teitok/pdtc10/index.php?action=vallex&amp;frame=v-w6833f3_ZU", "tipovat (v-w6833f3_ZU)")</f>
        <v>tipovat (v-w6833f3_ZU)</v>
      </c>
    </row>
    <row r="48260" customFormat="false" ht="12.8" hidden="false" customHeight="false" outlineLevel="0" collapsed="false">
      <c r="B48260" s="0" t="s">
        <v>7</v>
      </c>
    </row>
    <row r="48261" customFormat="false" ht="12.8" hidden="false" customHeight="false" outlineLevel="0" collapsed="false">
      <c r="B48261" s="0" t="s">
        <v>54</v>
      </c>
    </row>
    <row r="48262" customFormat="false" ht="12.8" hidden="false" customHeight="false" outlineLevel="0" collapsed="false">
      <c r="B48262" s="0" t="s">
        <v>17062</v>
      </c>
    </row>
    <row r="48264" customFormat="false" ht="12.8" hidden="false" customHeight="false" outlineLevel="0" collapsed="false">
      <c r="A48264" s="0" t="s">
        <v>17061</v>
      </c>
      <c r="B48264" s="0" t="str">
        <f aca="false">HYPERLINK("https://lindat.mff.cuni.cz/services/teitok/pdtc10/index.php?action=vallex&amp;frame=v-w6833f2", "tipovat (v-w6833f2) - substituted with v-w6833f3_ZU")</f>
        <v>tipovat (v-w6833f2) - substituted with v-w6833f3_ZU</v>
      </c>
    </row>
    <row r="48265" customFormat="false" ht="12.8" hidden="false" customHeight="false" outlineLevel="0" collapsed="false">
      <c r="B48265" s="0" t="s">
        <v>7</v>
      </c>
    </row>
    <row r="48266" customFormat="false" ht="12.8" hidden="false" customHeight="false" outlineLevel="0" collapsed="false">
      <c r="B48266" s="0" t="s">
        <v>54</v>
      </c>
    </row>
    <row r="48267" customFormat="false" ht="12.8" hidden="false" customHeight="false" outlineLevel="0" collapsed="false">
      <c r="B48267" s="0" t="s">
        <v>17062</v>
      </c>
    </row>
    <row r="48269" customFormat="false" ht="12.8" hidden="false" customHeight="false" outlineLevel="0" collapsed="false">
      <c r="A48269" s="0" t="s">
        <v>17063</v>
      </c>
      <c r="B48269" s="0" t="str">
        <f aca="false">HYPERLINK("https://lindat.mff.cuni.cz/services/teitok/pdtc10/index.php?action=vallex&amp;frame=v-w6833f1", "tipovat (v-w6833f1)")</f>
        <v>tipovat (v-w6833f1)</v>
      </c>
    </row>
    <row r="48270" customFormat="false" ht="12.8" hidden="false" customHeight="false" outlineLevel="0" collapsed="false">
      <c r="B48270" s="0" t="s">
        <v>7</v>
      </c>
    </row>
    <row r="48271" customFormat="false" ht="12.8" hidden="false" customHeight="false" outlineLevel="0" collapsed="false">
      <c r="B48271" s="0" t="s">
        <v>1520</v>
      </c>
    </row>
    <row r="48273" customFormat="false" ht="12.8" hidden="false" customHeight="false" outlineLevel="0" collapsed="false">
      <c r="A48273" s="0" t="s">
        <v>17064</v>
      </c>
      <c r="B48273" s="0" t="str">
        <f aca="false">HYPERLINK("https://lindat.mff.cuni.cz/services/teitok/pdtc10/index.php?action=vallex&amp;frame=v-w6836f1", "tisknout (v-w6836f1)")</f>
        <v>tisknout (v-w6836f1)</v>
      </c>
    </row>
    <row r="48274" customFormat="false" ht="12.8" hidden="false" customHeight="false" outlineLevel="0" collapsed="false">
      <c r="B48274" s="0" t="s">
        <v>7</v>
      </c>
      <c r="C48274" s="0" t="s">
        <v>118</v>
      </c>
      <c r="D48274" s="0" t="s">
        <v>118</v>
      </c>
      <c r="E48274" s="0" t="s">
        <v>118</v>
      </c>
      <c r="F48274" s="0" t="s">
        <v>118</v>
      </c>
    </row>
    <row r="48275" customFormat="false" ht="12.8" hidden="false" customHeight="false" outlineLevel="0" collapsed="false">
      <c r="B48275" s="0" t="s">
        <v>14</v>
      </c>
      <c r="C48275" s="0" t="s">
        <v>173</v>
      </c>
      <c r="D48275" s="0" t="s">
        <v>173</v>
      </c>
      <c r="E48275" s="0" t="s">
        <v>173</v>
      </c>
      <c r="F48275" s="0" t="s">
        <v>173</v>
      </c>
    </row>
    <row r="48276" customFormat="false" ht="12.8" hidden="false" customHeight="false" outlineLevel="0" collapsed="false">
      <c r="B48276" s="0" t="s">
        <v>35</v>
      </c>
    </row>
    <row r="48278" customFormat="false" ht="12.8" hidden="false" customHeight="false" outlineLevel="0" collapsed="false">
      <c r="A48278" s="0" t="s">
        <v>17065</v>
      </c>
      <c r="B48278" s="0" t="str">
        <f aca="false">HYPERLINK("https://lindat.mff.cuni.cz/services/teitok/pdtc10/index.php?action=vallex&amp;frame=v-w6836f2", "tisknout (v-w6836f2)")</f>
        <v>tisknout (v-w6836f2)</v>
      </c>
    </row>
    <row r="48279" customFormat="false" ht="12.8" hidden="false" customHeight="false" outlineLevel="0" collapsed="false">
      <c r="B48279" s="0" t="s">
        <v>7</v>
      </c>
    </row>
    <row r="48280" customFormat="false" ht="12.8" hidden="false" customHeight="false" outlineLevel="0" collapsed="false">
      <c r="B48280" s="0" t="s">
        <v>14</v>
      </c>
    </row>
    <row r="48282" customFormat="false" ht="12.8" hidden="false" customHeight="false" outlineLevel="0" collapsed="false">
      <c r="A48282" s="0" t="s">
        <v>17066</v>
      </c>
      <c r="B48282" s="0" t="str">
        <f aca="false">HYPERLINK("https://lindat.mff.cuni.cz/services/teitok/pdtc10/index.php?action=vallex&amp;frame=v-w6838f1", "tkvít (v-w6838f1)")</f>
        <v>tkvít (v-w6838f1)</v>
      </c>
    </row>
    <row r="48283" customFormat="false" ht="12.8" hidden="false" customHeight="false" outlineLevel="0" collapsed="false">
      <c r="B48283" s="0" t="s">
        <v>7</v>
      </c>
      <c r="C48283" s="0" t="s">
        <v>17067</v>
      </c>
      <c r="D48283" s="0" t="s">
        <v>1715</v>
      </c>
      <c r="E48283" s="0" t="s">
        <v>1715</v>
      </c>
      <c r="F48283" s="0" t="s">
        <v>1715</v>
      </c>
    </row>
    <row r="48284" customFormat="false" ht="12.8" hidden="false" customHeight="false" outlineLevel="0" collapsed="false">
      <c r="B48284" s="0" t="s">
        <v>387</v>
      </c>
      <c r="C48284" s="0" t="s">
        <v>17068</v>
      </c>
      <c r="D48284" s="0" t="s">
        <v>5150</v>
      </c>
      <c r="E48284" s="0" t="s">
        <v>5150</v>
      </c>
      <c r="F48284" s="0" t="s">
        <v>5150</v>
      </c>
    </row>
    <row r="48286" customFormat="false" ht="12.8" hidden="false" customHeight="false" outlineLevel="0" collapsed="false">
      <c r="A48286" s="0" t="s">
        <v>17069</v>
      </c>
      <c r="B48286" s="0" t="str">
        <f aca="false">HYPERLINK("https://lindat.mff.cuni.cz/services/teitok/pdtc10/index.php?action=vallex&amp;frame=v-w6838f2", "tkvít (v-w6838f2)")</f>
        <v>tkvít (v-w6838f2)</v>
      </c>
    </row>
    <row r="48287" customFormat="false" ht="12.8" hidden="false" customHeight="false" outlineLevel="0" collapsed="false">
      <c r="B48287" s="0" t="s">
        <v>7</v>
      </c>
    </row>
    <row r="48288" customFormat="false" ht="12.8" hidden="false" customHeight="false" outlineLevel="0" collapsed="false">
      <c r="B48288" s="0" t="s">
        <v>11</v>
      </c>
    </row>
    <row r="48290" customFormat="false" ht="12.8" hidden="false" customHeight="false" outlineLevel="0" collapsed="false">
      <c r="A48290" s="0" t="s">
        <v>17070</v>
      </c>
      <c r="B48290" s="0" t="str">
        <f aca="false">HYPERLINK("https://lindat.mff.cuni.cz/services/teitok/pdtc10/index.php?action=vallex&amp;frame=v-w6839f11_ZU", "tlačit (v-w6839f11_ZU)")</f>
        <v>tlačit (v-w6839f11_ZU)</v>
      </c>
    </row>
    <row r="48291" customFormat="false" ht="12.8" hidden="false" customHeight="false" outlineLevel="0" collapsed="false">
      <c r="B48291" s="0" t="s">
        <v>7</v>
      </c>
    </row>
    <row r="48292" customFormat="false" ht="12.8" hidden="false" customHeight="false" outlineLevel="0" collapsed="false">
      <c r="B48292" s="0" t="s">
        <v>14</v>
      </c>
    </row>
    <row r="48293" customFormat="false" ht="12.8" hidden="false" customHeight="false" outlineLevel="0" collapsed="false">
      <c r="B48293" s="0" t="s">
        <v>124</v>
      </c>
    </row>
    <row r="48295" customFormat="false" ht="12.8" hidden="false" customHeight="false" outlineLevel="0" collapsed="false">
      <c r="A48295" s="0" t="s">
        <v>17070</v>
      </c>
      <c r="B48295" s="0" t="str">
        <f aca="false">HYPERLINK("https://lindat.mff.cuni.cz/services/teitok/pdtc10/index.php?action=vallex&amp;frame=v-w6839f10_ZU", "tlačit (v-w6839f10_ZU) - substituted with v-w6839f11_ZU")</f>
        <v>tlačit (v-w6839f10_ZU) - substituted with v-w6839f11_ZU</v>
      </c>
    </row>
    <row r="48296" customFormat="false" ht="12.8" hidden="false" customHeight="false" outlineLevel="0" collapsed="false">
      <c r="B48296" s="0" t="s">
        <v>7</v>
      </c>
    </row>
    <row r="48297" customFormat="false" ht="12.8" hidden="false" customHeight="false" outlineLevel="0" collapsed="false">
      <c r="B48297" s="0" t="s">
        <v>14</v>
      </c>
    </row>
    <row r="48298" customFormat="false" ht="12.8" hidden="false" customHeight="false" outlineLevel="0" collapsed="false">
      <c r="B48298" s="0" t="s">
        <v>124</v>
      </c>
    </row>
    <row r="48300" customFormat="false" ht="12.8" hidden="false" customHeight="false" outlineLevel="0" collapsed="false">
      <c r="A48300" s="0" t="s">
        <v>17070</v>
      </c>
      <c r="B48300" s="0" t="str">
        <f aca="false">HYPERLINK("https://lindat.mff.cuni.cz/services/teitok/pdtc10/index.php?action=vallex&amp;frame=v-w6839f2", "tlačit (v-w6839f2) - substituted with v-w6839f11_ZU")</f>
        <v>tlačit (v-w6839f2) - substituted with v-w6839f11_ZU</v>
      </c>
    </row>
    <row r="48301" customFormat="false" ht="12.8" hidden="false" customHeight="false" outlineLevel="0" collapsed="false">
      <c r="B48301" s="0" t="s">
        <v>7</v>
      </c>
      <c r="C48301" s="0" t="s">
        <v>3610</v>
      </c>
      <c r="D48301" s="0" t="s">
        <v>17071</v>
      </c>
      <c r="E48301" s="0" t="s">
        <v>17071</v>
      </c>
      <c r="F48301" s="0" t="s">
        <v>17071</v>
      </c>
    </row>
    <row r="48302" customFormat="false" ht="12.8" hidden="false" customHeight="false" outlineLevel="0" collapsed="false">
      <c r="B48302" s="0" t="s">
        <v>14</v>
      </c>
      <c r="C48302" s="0" t="s">
        <v>469</v>
      </c>
      <c r="D48302" s="0" t="s">
        <v>17072</v>
      </c>
      <c r="E48302" s="0" t="s">
        <v>17072</v>
      </c>
      <c r="F48302" s="0" t="s">
        <v>17072</v>
      </c>
    </row>
    <row r="48303" customFormat="false" ht="12.8" hidden="false" customHeight="false" outlineLevel="0" collapsed="false">
      <c r="B48303" s="0" t="s">
        <v>124</v>
      </c>
      <c r="D48303" s="0" t="s">
        <v>2325</v>
      </c>
      <c r="E48303" s="0" t="s">
        <v>2325</v>
      </c>
      <c r="F48303" s="0" t="s">
        <v>2325</v>
      </c>
    </row>
    <row r="48305" customFormat="false" ht="12.8" hidden="false" customHeight="false" outlineLevel="0" collapsed="false">
      <c r="A48305" s="0" t="s">
        <v>17073</v>
      </c>
      <c r="B48305" s="0" t="str">
        <f aca="false">HYPERLINK("https://lindat.mff.cuni.cz/services/teitok/pdtc10/index.php?action=vallex&amp;frame=v-w6839f3", "tlačit (v-w6839f3)")</f>
        <v>tlačit (v-w6839f3)</v>
      </c>
    </row>
    <row r="48306" customFormat="false" ht="12.8" hidden="false" customHeight="false" outlineLevel="0" collapsed="false">
      <c r="B48306" s="0" t="s">
        <v>7</v>
      </c>
      <c r="C48306" s="0" t="s">
        <v>31</v>
      </c>
    </row>
    <row r="48307" customFormat="false" ht="12.8" hidden="false" customHeight="false" outlineLevel="0" collapsed="false">
      <c r="B48307" s="0" t="s">
        <v>14</v>
      </c>
      <c r="C48307" s="0" t="s">
        <v>1170</v>
      </c>
    </row>
    <row r="48309" customFormat="false" ht="12.8" hidden="false" customHeight="false" outlineLevel="0" collapsed="false">
      <c r="A48309" s="0" t="s">
        <v>17074</v>
      </c>
      <c r="B48309" s="0" t="str">
        <f aca="false">HYPERLINK("https://lindat.mff.cuni.cz/services/teitok/pdtc10/index.php?action=vallex&amp;frame=v-w6839f5", "tlačit (v-w6839f5)")</f>
        <v>tlačit (v-w6839f5)</v>
      </c>
    </row>
    <row r="48310" customFormat="false" ht="12.8" hidden="false" customHeight="false" outlineLevel="0" collapsed="false">
      <c r="B48310" s="0" t="s">
        <v>7</v>
      </c>
    </row>
    <row r="48311" customFormat="false" ht="12.8" hidden="false" customHeight="false" outlineLevel="0" collapsed="false">
      <c r="B48311" s="0" t="s">
        <v>14</v>
      </c>
    </row>
    <row r="48313" customFormat="false" ht="12.8" hidden="false" customHeight="false" outlineLevel="0" collapsed="false">
      <c r="A48313" s="0" t="s">
        <v>17075</v>
      </c>
      <c r="B48313" s="0" t="str">
        <f aca="false">HYPERLINK("https://lindat.mff.cuni.cz/services/teitok/pdtc10/index.php?action=vallex&amp;frame=v-w6839f4", "tlačit (v-w6839f4)")</f>
        <v>tlačit (v-w6839f4)</v>
      </c>
    </row>
    <row r="48314" customFormat="false" ht="12.8" hidden="false" customHeight="false" outlineLevel="0" collapsed="false">
      <c r="B48314" s="0" t="s">
        <v>7</v>
      </c>
      <c r="C48314" s="0" t="s">
        <v>4171</v>
      </c>
      <c r="D48314" s="0" t="s">
        <v>1243</v>
      </c>
      <c r="E48314" s="0" t="s">
        <v>1243</v>
      </c>
      <c r="F48314" s="0" t="s">
        <v>5207</v>
      </c>
    </row>
    <row r="48315" customFormat="false" ht="12.8" hidden="false" customHeight="false" outlineLevel="0" collapsed="false">
      <c r="B48315" s="0" t="s">
        <v>41</v>
      </c>
      <c r="C48315" s="0" t="s">
        <v>17076</v>
      </c>
      <c r="D48315" s="0" t="s">
        <v>1246</v>
      </c>
      <c r="E48315" s="0" t="s">
        <v>1246</v>
      </c>
      <c r="F48315" s="0" t="s">
        <v>5210</v>
      </c>
    </row>
    <row r="48317" customFormat="false" ht="12.8" hidden="false" customHeight="false" outlineLevel="0" collapsed="false">
      <c r="A48317" s="0" t="s">
        <v>17077</v>
      </c>
      <c r="B48317" s="0" t="str">
        <f aca="false">HYPERLINK("https://lindat.mff.cuni.cz/services/teitok/pdtc10/index.php?action=vallex&amp;frame=v-w6839f12_ZU", "tlačit (v-w6839f12_ZU)")</f>
        <v>tlačit (v-w6839f12_ZU)</v>
      </c>
    </row>
    <row r="48318" customFormat="false" ht="12.8" hidden="false" customHeight="false" outlineLevel="0" collapsed="false">
      <c r="B48318" s="0" t="s">
        <v>7</v>
      </c>
    </row>
    <row r="48319" customFormat="false" ht="12.8" hidden="false" customHeight="false" outlineLevel="0" collapsed="false">
      <c r="B48319" s="0" t="s">
        <v>17078</v>
      </c>
    </row>
    <row r="48320" customFormat="false" ht="12.8" hidden="false" customHeight="false" outlineLevel="0" collapsed="false">
      <c r="B48320" s="0" t="s">
        <v>17079</v>
      </c>
    </row>
    <row r="48322" customFormat="false" ht="12.8" hidden="false" customHeight="false" outlineLevel="0" collapsed="false">
      <c r="A48322" s="0" t="s">
        <v>17077</v>
      </c>
      <c r="B48322" s="0" t="str">
        <f aca="false">HYPERLINK("https://lindat.mff.cuni.cz/services/teitok/pdtc10/index.php?action=vallex&amp;frame=v-w6839f1", "tlačit (v-w6839f1) - substituted with v-w6839f12_ZU")</f>
        <v>tlačit (v-w6839f1) - substituted with v-w6839f12_ZU</v>
      </c>
    </row>
    <row r="48323" customFormat="false" ht="12.8" hidden="false" customHeight="false" outlineLevel="0" collapsed="false">
      <c r="B48323" s="0" t="s">
        <v>7</v>
      </c>
      <c r="C48323" s="0" t="s">
        <v>17080</v>
      </c>
      <c r="D48323" s="0" t="s">
        <v>17081</v>
      </c>
      <c r="E48323" s="0" t="s">
        <v>17081</v>
      </c>
      <c r="F48323" s="0" t="s">
        <v>17081</v>
      </c>
    </row>
    <row r="48324" customFormat="false" ht="12.8" hidden="false" customHeight="false" outlineLevel="0" collapsed="false">
      <c r="B48324" s="0" t="s">
        <v>17078</v>
      </c>
      <c r="C48324" s="0" t="s">
        <v>17082</v>
      </c>
      <c r="D48324" s="0" t="s">
        <v>17083</v>
      </c>
      <c r="E48324" s="0" t="s">
        <v>17084</v>
      </c>
      <c r="F48324" s="0" t="s">
        <v>17084</v>
      </c>
    </row>
    <row r="48325" customFormat="false" ht="12.8" hidden="false" customHeight="false" outlineLevel="0" collapsed="false">
      <c r="B48325" s="0" t="s">
        <v>17079</v>
      </c>
      <c r="C48325" s="0" t="s">
        <v>17085</v>
      </c>
      <c r="D48325" s="0" t="s">
        <v>17086</v>
      </c>
      <c r="E48325" s="0" t="s">
        <v>17087</v>
      </c>
      <c r="F48325" s="0" t="s">
        <v>17087</v>
      </c>
    </row>
    <row r="48327" customFormat="false" ht="12.8" hidden="false" customHeight="false" outlineLevel="0" collapsed="false">
      <c r="A48327" s="0" t="s">
        <v>17088</v>
      </c>
      <c r="B48327" s="0" t="str">
        <f aca="false">HYPERLINK("https://lindat.mff.cuni.cz/services/teitok/pdtc10/index.php?action=vallex&amp;frame=v-w6839f6", "tlačit (v-w6839f6)")</f>
        <v>tlačit (v-w6839f6)</v>
      </c>
    </row>
    <row r="48328" customFormat="false" ht="12.8" hidden="false" customHeight="false" outlineLevel="0" collapsed="false">
      <c r="B48328" s="0" t="s">
        <v>7</v>
      </c>
    </row>
    <row r="48329" customFormat="false" ht="12.8" hidden="false" customHeight="false" outlineLevel="0" collapsed="false">
      <c r="B48329" s="0" t="s">
        <v>124</v>
      </c>
    </row>
    <row r="48331" customFormat="false" ht="12.8" hidden="false" customHeight="false" outlineLevel="0" collapsed="false">
      <c r="A48331" s="0" t="s">
        <v>17089</v>
      </c>
      <c r="B48331" s="0" t="str">
        <f aca="false">HYPERLINK("https://lindat.mff.cuni.cz/services/teitok/pdtc10/index.php?action=vallex&amp;frame=v-w6839f7_ZU", "tlačit (v-w6839f7_ZU)")</f>
        <v>tlačit (v-w6839f7_ZU)</v>
      </c>
    </row>
    <row r="48332" customFormat="false" ht="12.8" hidden="false" customHeight="false" outlineLevel="0" collapsed="false">
      <c r="B48332" s="0" t="s">
        <v>7</v>
      </c>
      <c r="D48332" s="0" t="s">
        <v>31</v>
      </c>
      <c r="E48332" s="0" t="s">
        <v>31</v>
      </c>
      <c r="F48332" s="0" t="s">
        <v>31</v>
      </c>
    </row>
    <row r="48333" customFormat="false" ht="12.8" hidden="false" customHeight="false" outlineLevel="0" collapsed="false">
      <c r="B48333" s="0" t="s">
        <v>17090</v>
      </c>
    </row>
    <row r="48334" customFormat="false" ht="12.8" hidden="false" customHeight="false" outlineLevel="0" collapsed="false">
      <c r="B48334" s="0" t="s">
        <v>14</v>
      </c>
      <c r="C48334" s="0" t="s">
        <v>155</v>
      </c>
      <c r="D48334" s="0" t="s">
        <v>74</v>
      </c>
      <c r="E48334" s="0" t="s">
        <v>74</v>
      </c>
      <c r="F48334" s="0" t="s">
        <v>74</v>
      </c>
    </row>
    <row r="48336" customFormat="false" ht="12.8" hidden="false" customHeight="false" outlineLevel="0" collapsed="false">
      <c r="A48336" s="0" t="s">
        <v>17089</v>
      </c>
      <c r="B48336" s="0" t="str">
        <f aca="false">HYPERLINK("https://lindat.mff.cuni.cz/services/teitok/pdtc10/index.php?action=vallex&amp;frame=v-w6839hsa_400", "tlačit (v-w6839hsa_400) - substituted with v-w6839f7_ZU")</f>
        <v>tlačit (v-w6839hsa_400) - substituted with v-w6839f7_ZU</v>
      </c>
    </row>
    <row r="48337" customFormat="false" ht="12.8" hidden="false" customHeight="false" outlineLevel="0" collapsed="false">
      <c r="B48337" s="0" t="s">
        <v>7</v>
      </c>
    </row>
    <row r="48338" customFormat="false" ht="12.8" hidden="false" customHeight="false" outlineLevel="0" collapsed="false">
      <c r="B48338" s="0" t="s">
        <v>17090</v>
      </c>
    </row>
    <row r="48339" customFormat="false" ht="12.8" hidden="false" customHeight="false" outlineLevel="0" collapsed="false">
      <c r="B48339" s="0" t="s">
        <v>14</v>
      </c>
    </row>
    <row r="48341" customFormat="false" ht="12.8" hidden="false" customHeight="false" outlineLevel="0" collapsed="false">
      <c r="A48341" s="0" t="s">
        <v>17091</v>
      </c>
      <c r="B48341" s="0" t="str">
        <f aca="false">HYPERLINK("https://lindat.mff.cuni.cz/services/teitok/pdtc10/index.php?action=vallex&amp;frame=v-w6839f8_ZU", "tlačit (v-w6839f8_ZU)")</f>
        <v>tlačit (v-w6839f8_ZU)</v>
      </c>
    </row>
    <row r="48342" customFormat="false" ht="12.8" hidden="false" customHeight="false" outlineLevel="0" collapsed="false">
      <c r="B48342" s="0" t="s">
        <v>7</v>
      </c>
      <c r="C48342" s="0" t="s">
        <v>21</v>
      </c>
    </row>
    <row r="48343" customFormat="false" ht="12.8" hidden="false" customHeight="false" outlineLevel="0" collapsed="false">
      <c r="B48343" s="0" t="s">
        <v>17092</v>
      </c>
    </row>
    <row r="48345" customFormat="false" ht="12.8" hidden="false" customHeight="false" outlineLevel="0" collapsed="false">
      <c r="A48345" s="0" t="s">
        <v>17091</v>
      </c>
      <c r="B48345" s="0" t="str">
        <f aca="false">HYPERLINK("https://lindat.mff.cuni.cz/services/teitok/pdtc10/index.php?action=vallex&amp;frame=v-w6839hsa_401", "tlačit (v-w6839hsa_401) - substituted with v-w6839f8_ZU")</f>
        <v>tlačit (v-w6839hsa_401) - substituted with v-w6839f8_ZU</v>
      </c>
    </row>
    <row r="48346" customFormat="false" ht="12.8" hidden="false" customHeight="false" outlineLevel="0" collapsed="false">
      <c r="B48346" s="0" t="s">
        <v>7</v>
      </c>
    </row>
    <row r="48347" customFormat="false" ht="12.8" hidden="false" customHeight="false" outlineLevel="0" collapsed="false">
      <c r="B48347" s="0" t="s">
        <v>17092</v>
      </c>
    </row>
    <row r="48349" customFormat="false" ht="12.8" hidden="false" customHeight="false" outlineLevel="0" collapsed="false">
      <c r="A48349" s="0" t="s">
        <v>17093</v>
      </c>
      <c r="B48349" s="0" t="str">
        <f aca="false">HYPERLINK("https://lindat.mff.cuni.cz/services/teitok/pdtc10/index.php?action=vallex&amp;frame=v-w6839f9_ZU", "tlačit (v-w6839f9_ZU)")</f>
        <v>tlačit (v-w6839f9_ZU)</v>
      </c>
    </row>
    <row r="48350" customFormat="false" ht="12.8" hidden="false" customHeight="false" outlineLevel="0" collapsed="false">
      <c r="B48350" s="0" t="s">
        <v>7</v>
      </c>
    </row>
    <row r="48351" customFormat="false" ht="12.8" hidden="false" customHeight="false" outlineLevel="0" collapsed="false">
      <c r="B48351" s="0" t="s">
        <v>14</v>
      </c>
    </row>
    <row r="48352" customFormat="false" ht="12.8" hidden="false" customHeight="false" outlineLevel="0" collapsed="false">
      <c r="B48352" s="0" t="s">
        <v>35</v>
      </c>
    </row>
    <row r="48354" customFormat="false" ht="12.8" hidden="false" customHeight="false" outlineLevel="0" collapsed="false">
      <c r="A48354" s="0" t="s">
        <v>17094</v>
      </c>
      <c r="B48354" s="0" t="str">
        <f aca="false">HYPERLINK("https://lindat.mff.cuni.cz/services/teitok/pdtc10/index.php?action=vallex&amp;frame=v-w6840f3", "tlačit se (v-w6840f3)")</f>
        <v>tlačit se (v-w6840f3)</v>
      </c>
    </row>
    <row r="48355" customFormat="false" ht="12.8" hidden="false" customHeight="false" outlineLevel="0" collapsed="false">
      <c r="B48355" s="0" t="s">
        <v>7</v>
      </c>
    </row>
    <row r="48356" customFormat="false" ht="12.8" hidden="false" customHeight="false" outlineLevel="0" collapsed="false">
      <c r="B48356" s="0" t="s">
        <v>207</v>
      </c>
    </row>
    <row r="48357" customFormat="false" ht="12.8" hidden="false" customHeight="false" outlineLevel="0" collapsed="false">
      <c r="B48357" s="0" t="s">
        <v>2721</v>
      </c>
    </row>
    <row r="48359" customFormat="false" ht="12.8" hidden="false" customHeight="false" outlineLevel="0" collapsed="false">
      <c r="A48359" s="0" t="s">
        <v>17095</v>
      </c>
      <c r="B48359" s="0" t="str">
        <f aca="false">HYPERLINK("https://lindat.mff.cuni.cz/services/teitok/pdtc10/index.php?action=vallex&amp;frame=v-w6840f2", "tlačit se (v-w6840f2)")</f>
        <v>tlačit se (v-w6840f2)</v>
      </c>
    </row>
    <row r="48360" customFormat="false" ht="12.8" hidden="false" customHeight="false" outlineLevel="0" collapsed="false">
      <c r="B48360" s="0" t="s">
        <v>7</v>
      </c>
      <c r="C48360" s="0" t="s">
        <v>191</v>
      </c>
      <c r="D48360" s="0" t="s">
        <v>5352</v>
      </c>
      <c r="E48360" s="0" t="s">
        <v>5352</v>
      </c>
      <c r="F48360" s="0" t="s">
        <v>5352</v>
      </c>
    </row>
    <row r="48361" customFormat="false" ht="12.8" hidden="false" customHeight="false" outlineLevel="0" collapsed="false">
      <c r="B48361" s="0" t="s">
        <v>11</v>
      </c>
      <c r="D48361" s="0" t="s">
        <v>5353</v>
      </c>
      <c r="E48361" s="0" t="s">
        <v>5353</v>
      </c>
      <c r="F48361" s="0" t="s">
        <v>5353</v>
      </c>
    </row>
    <row r="48363" customFormat="false" ht="12.8" hidden="false" customHeight="false" outlineLevel="0" collapsed="false">
      <c r="A48363" s="0" t="s">
        <v>17096</v>
      </c>
      <c r="B48363" s="0" t="str">
        <f aca="false">HYPERLINK("https://lindat.mff.cuni.cz/services/teitok/pdtc10/index.php?action=vallex&amp;frame=v-w6840f1", "tlačit se (v-w6840f1)")</f>
        <v>tlačit se (v-w6840f1)</v>
      </c>
    </row>
    <row r="48364" customFormat="false" ht="12.8" hidden="false" customHeight="false" outlineLevel="0" collapsed="false">
      <c r="B48364" s="0" t="s">
        <v>7</v>
      </c>
      <c r="C48364" s="0" t="s">
        <v>157</v>
      </c>
    </row>
    <row r="48365" customFormat="false" ht="12.8" hidden="false" customHeight="false" outlineLevel="0" collapsed="false">
      <c r="B48365" s="0" t="s">
        <v>124</v>
      </c>
    </row>
    <row r="48367" customFormat="false" ht="12.8" hidden="false" customHeight="false" outlineLevel="0" collapsed="false">
      <c r="A48367" s="0" t="s">
        <v>17097</v>
      </c>
      <c r="B48367" s="0" t="str">
        <f aca="false">HYPERLINK("https://lindat.mff.cuni.cz/services/teitok/pdtc10/index.php?action=vallex&amp;frame=v-w6843f1", "tleskat (v-w6843f1)")</f>
        <v>tleskat (v-w6843f1)</v>
      </c>
    </row>
    <row r="48368" customFormat="false" ht="12.8" hidden="false" customHeight="false" outlineLevel="0" collapsed="false">
      <c r="B48368" s="0" t="s">
        <v>7</v>
      </c>
      <c r="C48368" s="0" t="s">
        <v>21</v>
      </c>
      <c r="D48368" s="0" t="s">
        <v>118</v>
      </c>
      <c r="E48368" s="0" t="s">
        <v>118</v>
      </c>
      <c r="F48368" s="0" t="s">
        <v>118</v>
      </c>
    </row>
    <row r="48369" customFormat="false" ht="12.8" hidden="false" customHeight="false" outlineLevel="0" collapsed="false">
      <c r="B48369" s="0" t="s">
        <v>119</v>
      </c>
      <c r="C48369" s="0" t="s">
        <v>1264</v>
      </c>
      <c r="D48369" s="0" t="s">
        <v>120</v>
      </c>
      <c r="E48369" s="0" t="s">
        <v>120</v>
      </c>
      <c r="F48369" s="0" t="s">
        <v>120</v>
      </c>
    </row>
    <row r="48371" customFormat="false" ht="12.8" hidden="false" customHeight="false" outlineLevel="0" collapsed="false">
      <c r="A48371" s="0" t="s">
        <v>17098</v>
      </c>
      <c r="B48371" s="0" t="str">
        <f aca="false">HYPERLINK("https://lindat.mff.cuni.cz/services/teitok/pdtc10/index.php?action=vallex&amp;frame=v-w6844f1", "tlouci (v-w6844f1)")</f>
        <v>tlouci (v-w6844f1)</v>
      </c>
    </row>
    <row r="48372" customFormat="false" ht="12.8" hidden="false" customHeight="false" outlineLevel="0" collapsed="false">
      <c r="B48372" s="0" t="s">
        <v>7</v>
      </c>
      <c r="D48372" s="0" t="s">
        <v>46</v>
      </c>
      <c r="E48372" s="0" t="s">
        <v>113</v>
      </c>
      <c r="F48372" s="0" t="s">
        <v>113</v>
      </c>
    </row>
    <row r="48373" customFormat="false" ht="12.8" hidden="false" customHeight="false" outlineLevel="0" collapsed="false">
      <c r="B48373" s="0" t="s">
        <v>14</v>
      </c>
      <c r="D48373" s="0" t="s">
        <v>115</v>
      </c>
      <c r="E48373" s="0" t="s">
        <v>74</v>
      </c>
      <c r="F48373" s="0" t="s">
        <v>74</v>
      </c>
    </row>
    <row r="48375" customFormat="false" ht="12.8" hidden="false" customHeight="false" outlineLevel="0" collapsed="false">
      <c r="A48375" s="0" t="s">
        <v>17099</v>
      </c>
      <c r="B48375" s="0" t="str">
        <f aca="false">HYPERLINK("https://lindat.mff.cuni.cz/services/teitok/pdtc10/index.php?action=vallex&amp;frame=v-w6844f2", "tlouci (v-w6844f2)")</f>
        <v>tlouci (v-w6844f2)</v>
      </c>
    </row>
    <row r="48376" customFormat="false" ht="12.8" hidden="false" customHeight="false" outlineLevel="0" collapsed="false">
      <c r="B48376" s="0" t="s">
        <v>7</v>
      </c>
      <c r="D48376" s="0" t="s">
        <v>191</v>
      </c>
      <c r="E48376" s="0" t="s">
        <v>191</v>
      </c>
      <c r="F48376" s="0" t="s">
        <v>191</v>
      </c>
    </row>
    <row r="48377" customFormat="false" ht="12.8" hidden="false" customHeight="false" outlineLevel="0" collapsed="false">
      <c r="B48377" s="0" t="s">
        <v>216</v>
      </c>
    </row>
    <row r="48379" customFormat="false" ht="12.8" hidden="false" customHeight="false" outlineLevel="0" collapsed="false">
      <c r="A48379" s="0" t="s">
        <v>17100</v>
      </c>
      <c r="B48379" s="0" t="str">
        <f aca="false">HYPERLINK("https://lindat.mff.cuni.cz/services/teitok/pdtc10/index.php?action=vallex&amp;frame=v-w6844f3_ZU", "tlouci (v-w6844f3_ZU)")</f>
        <v>tlouci (v-w6844f3_ZU)</v>
      </c>
    </row>
    <row r="48380" customFormat="false" ht="12.8" hidden="false" customHeight="false" outlineLevel="0" collapsed="false">
      <c r="B48380" s="0" t="s">
        <v>7</v>
      </c>
    </row>
    <row r="48381" customFormat="false" ht="12.8" hidden="false" customHeight="false" outlineLevel="0" collapsed="false">
      <c r="B48381" s="0" t="s">
        <v>14</v>
      </c>
    </row>
    <row r="48382" customFormat="false" ht="12.8" hidden="false" customHeight="false" outlineLevel="0" collapsed="false">
      <c r="B48382" s="0" t="s">
        <v>639</v>
      </c>
    </row>
    <row r="48384" customFormat="false" ht="12.8" hidden="false" customHeight="false" outlineLevel="0" collapsed="false">
      <c r="A48384" s="0" t="s">
        <v>17101</v>
      </c>
      <c r="B48384" s="0" t="str">
        <f aca="false">HYPERLINK("https://lindat.mff.cuni.cz/services/teitok/pdtc10/index.php?action=vallex&amp;frame=v-w6844f4_ZU", "tlouci (v-w6844f4_ZU)")</f>
        <v>tlouci (v-w6844f4_ZU)</v>
      </c>
    </row>
    <row r="48385" customFormat="false" ht="12.8" hidden="false" customHeight="false" outlineLevel="0" collapsed="false">
      <c r="B48385" s="0" t="s">
        <v>7</v>
      </c>
    </row>
    <row r="48386" customFormat="false" ht="12.8" hidden="false" customHeight="false" outlineLevel="0" collapsed="false">
      <c r="B48386" s="0" t="s">
        <v>14</v>
      </c>
    </row>
    <row r="48387" customFormat="false" ht="12.8" hidden="false" customHeight="false" outlineLevel="0" collapsed="false">
      <c r="B48387" s="0" t="s">
        <v>35</v>
      </c>
    </row>
    <row r="48389" customFormat="false" ht="12.8" hidden="false" customHeight="false" outlineLevel="0" collapsed="false">
      <c r="A48389" s="0" t="s">
        <v>17102</v>
      </c>
      <c r="B48389" s="0" t="str">
        <f aca="false">HYPERLINK("https://lindat.mff.cuni.cz/services/teitok/pdtc10/index.php?action=vallex&amp;frame=v-whsa_538f1_ZU", "tlouci se (v-whsa_538f1_ZU)")</f>
        <v>tlouci se (v-whsa_538f1_ZU)</v>
      </c>
    </row>
    <row r="48390" customFormat="false" ht="12.8" hidden="false" customHeight="false" outlineLevel="0" collapsed="false">
      <c r="B48390" s="0" t="s">
        <v>7</v>
      </c>
      <c r="E48390" s="0" t="s">
        <v>4812</v>
      </c>
      <c r="F48390" s="0" t="s">
        <v>4812</v>
      </c>
    </row>
    <row r="48391" customFormat="false" ht="12.8" hidden="false" customHeight="false" outlineLevel="0" collapsed="false">
      <c r="B48391" s="0" t="s">
        <v>548</v>
      </c>
      <c r="E48391" s="0" t="s">
        <v>4814</v>
      </c>
      <c r="F48391" s="0" t="s">
        <v>4814</v>
      </c>
    </row>
    <row r="48393" customFormat="false" ht="12.8" hidden="false" customHeight="false" outlineLevel="0" collapsed="false">
      <c r="A48393" s="0" t="s">
        <v>17102</v>
      </c>
      <c r="B48393" s="0" t="str">
        <f aca="false">HYPERLINK("https://lindat.mff.cuni.cz/services/teitok/pdtc10/index.php?action=vallex&amp;frame=v-whsa_538hsa_539", "tlouci se (v-whsa_538hsa_539) - substituted with v-whsa_538f1_ZU")</f>
        <v>tlouci se (v-whsa_538hsa_539) - substituted with v-whsa_538f1_ZU</v>
      </c>
    </row>
    <row r="48394" customFormat="false" ht="12.8" hidden="false" customHeight="false" outlineLevel="0" collapsed="false">
      <c r="B48394" s="0" t="s">
        <v>7</v>
      </c>
    </row>
    <row r="48395" customFormat="false" ht="12.8" hidden="false" customHeight="false" outlineLevel="0" collapsed="false">
      <c r="B48395" s="0" t="s">
        <v>548</v>
      </c>
    </row>
    <row r="48397" customFormat="false" ht="12.8" hidden="false" customHeight="false" outlineLevel="0" collapsed="false">
      <c r="A48397" s="0" t="s">
        <v>17103</v>
      </c>
      <c r="B48397" s="0" t="str">
        <f aca="false">HYPERLINK("https://lindat.mff.cuni.cz/services/teitok/pdtc10/index.php?action=vallex&amp;frame=v-w10078f2", "tloustnout (v-w10078f2)")</f>
        <v>tloustnout (v-w10078f2)</v>
      </c>
    </row>
    <row r="48398" customFormat="false" ht="12.8" hidden="false" customHeight="false" outlineLevel="0" collapsed="false">
      <c r="B48398" s="0" t="s">
        <v>7</v>
      </c>
    </row>
    <row r="48400" customFormat="false" ht="12.8" hidden="false" customHeight="false" outlineLevel="0" collapsed="false">
      <c r="A48400" s="0" t="s">
        <v>17104</v>
      </c>
      <c r="B48400" s="0" t="str">
        <f aca="false">HYPERLINK("https://lindat.mff.cuni.cz/services/teitok/pdtc10/index.php?action=vallex&amp;frame=v-w6846f1", "tlumit (v-w6846f1)")</f>
        <v>tlumit (v-w6846f1)</v>
      </c>
    </row>
    <row r="48401" customFormat="false" ht="12.8" hidden="false" customHeight="false" outlineLevel="0" collapsed="false">
      <c r="B48401" s="0" t="s">
        <v>7</v>
      </c>
      <c r="C48401" s="0" t="s">
        <v>1263</v>
      </c>
      <c r="D48401" s="0" t="s">
        <v>2170</v>
      </c>
      <c r="E48401" s="0" t="s">
        <v>2170</v>
      </c>
      <c r="F48401" s="0" t="s">
        <v>2170</v>
      </c>
    </row>
    <row r="48402" customFormat="false" ht="12.8" hidden="false" customHeight="false" outlineLevel="0" collapsed="false">
      <c r="B48402" s="0" t="s">
        <v>14</v>
      </c>
      <c r="C48402" s="0" t="s">
        <v>1146</v>
      </c>
      <c r="D48402" s="0" t="s">
        <v>1168</v>
      </c>
      <c r="E48402" s="0" t="s">
        <v>1168</v>
      </c>
      <c r="F48402" s="0" t="s">
        <v>1168</v>
      </c>
    </row>
    <row r="48404" customFormat="false" ht="12.8" hidden="false" customHeight="false" outlineLevel="0" collapsed="false">
      <c r="A48404" s="0" t="s">
        <v>17105</v>
      </c>
      <c r="B48404" s="0" t="str">
        <f aca="false">HYPERLINK("https://lindat.mff.cuni.cz/services/teitok/pdtc10/index.php?action=vallex&amp;frame=v-w6846f2", "tlumit (v-w6846f2)")</f>
        <v>tlumit (v-w6846f2)</v>
      </c>
    </row>
    <row r="48405" customFormat="false" ht="12.8" hidden="false" customHeight="false" outlineLevel="0" collapsed="false">
      <c r="B48405" s="0" t="s">
        <v>7</v>
      </c>
    </row>
    <row r="48406" customFormat="false" ht="12.8" hidden="false" customHeight="false" outlineLevel="0" collapsed="false">
      <c r="B48406" s="0" t="s">
        <v>14</v>
      </c>
    </row>
    <row r="48408" customFormat="false" ht="12.8" hidden="false" customHeight="false" outlineLevel="0" collapsed="false">
      <c r="A48408" s="0" t="s">
        <v>17106</v>
      </c>
      <c r="B48408" s="0" t="str">
        <f aca="false">HYPERLINK("https://lindat.mff.cuni.cz/services/teitok/pdtc10/index.php?action=vallex&amp;frame=v-w6848f1", "tlumočit (v-w6848f1)")</f>
        <v>tlumočit (v-w6848f1)</v>
      </c>
    </row>
    <row r="48409" customFormat="false" ht="12.8" hidden="false" customHeight="false" outlineLevel="0" collapsed="false">
      <c r="B48409" s="0" t="s">
        <v>7</v>
      </c>
      <c r="C48409" s="0" t="s">
        <v>88</v>
      </c>
    </row>
    <row r="48410" customFormat="false" ht="12.8" hidden="false" customHeight="false" outlineLevel="0" collapsed="false">
      <c r="B48410" s="0" t="s">
        <v>367</v>
      </c>
      <c r="C48410" s="0" t="s">
        <v>624</v>
      </c>
    </row>
    <row r="48411" customFormat="false" ht="12.8" hidden="false" customHeight="false" outlineLevel="0" collapsed="false">
      <c r="B48411" s="0" t="s">
        <v>48</v>
      </c>
      <c r="C48411" s="0" t="s">
        <v>7572</v>
      </c>
    </row>
    <row r="48413" customFormat="false" ht="12.8" hidden="false" customHeight="false" outlineLevel="0" collapsed="false">
      <c r="A48413" s="0" t="s">
        <v>17107</v>
      </c>
      <c r="B48413" s="0" t="str">
        <f aca="false">HYPERLINK("https://lindat.mff.cuni.cz/services/teitok/pdtc10/index.php?action=vallex&amp;frame=v-w6848f2", "tlumočit (v-w6848f2)")</f>
        <v>tlumočit (v-w6848f2)</v>
      </c>
    </row>
    <row r="48414" customFormat="false" ht="12.8" hidden="false" customHeight="false" outlineLevel="0" collapsed="false">
      <c r="B48414" s="0" t="s">
        <v>7</v>
      </c>
    </row>
    <row r="48415" customFormat="false" ht="12.8" hidden="false" customHeight="false" outlineLevel="0" collapsed="false">
      <c r="B48415" s="0" t="s">
        <v>14</v>
      </c>
    </row>
    <row r="48416" customFormat="false" ht="12.8" hidden="false" customHeight="false" outlineLevel="0" collapsed="false">
      <c r="B48416" s="0" t="s">
        <v>35</v>
      </c>
    </row>
    <row r="48417" customFormat="false" ht="12.8" hidden="false" customHeight="false" outlineLevel="0" collapsed="false">
      <c r="B48417" s="0" t="s">
        <v>181</v>
      </c>
    </row>
    <row r="48419" customFormat="false" ht="12.8" hidden="false" customHeight="false" outlineLevel="0" collapsed="false">
      <c r="A48419" s="0" t="s">
        <v>17108</v>
      </c>
      <c r="B48419" s="0" t="str">
        <f aca="false">HYPERLINK("https://lindat.mff.cuni.cz/services/teitok/pdtc10/index.php?action=vallex&amp;frame=v-w12345_MMf1_MM", "tmelit (v-w12345_MMf1_MM)")</f>
        <v>tmelit (v-w12345_MMf1_MM)</v>
      </c>
    </row>
    <row r="48420" customFormat="false" ht="12.8" hidden="false" customHeight="false" outlineLevel="0" collapsed="false">
      <c r="B48420" s="0" t="s">
        <v>7</v>
      </c>
    </row>
    <row r="48421" customFormat="false" ht="12.8" hidden="false" customHeight="false" outlineLevel="0" collapsed="false">
      <c r="B48421" s="0" t="s">
        <v>14</v>
      </c>
    </row>
    <row r="48423" customFormat="false" ht="12.8" hidden="false" customHeight="false" outlineLevel="0" collapsed="false">
      <c r="A48423" s="0" t="s">
        <v>17109</v>
      </c>
      <c r="B48423" s="0" t="str">
        <f aca="false">HYPERLINK("https://lindat.mff.cuni.cz/services/teitok/pdtc10/index.php?action=vallex&amp;frame=v-w6855f1", "tolerovat (v-w6855f1)")</f>
        <v>tolerovat (v-w6855f1)</v>
      </c>
    </row>
    <row r="48424" customFormat="false" ht="12.8" hidden="false" customHeight="false" outlineLevel="0" collapsed="false">
      <c r="B48424" s="0" t="s">
        <v>7</v>
      </c>
      <c r="C48424" s="0" t="s">
        <v>184</v>
      </c>
      <c r="D48424" s="0" t="s">
        <v>108</v>
      </c>
      <c r="E48424" s="0" t="s">
        <v>108</v>
      </c>
      <c r="F48424" s="0" t="s">
        <v>108</v>
      </c>
    </row>
    <row r="48425" customFormat="false" ht="12.8" hidden="false" customHeight="false" outlineLevel="0" collapsed="false">
      <c r="B48425" s="0" t="s">
        <v>172</v>
      </c>
      <c r="C48425" s="0" t="s">
        <v>33</v>
      </c>
      <c r="D48425" s="0" t="s">
        <v>1264</v>
      </c>
      <c r="E48425" s="0" t="s">
        <v>1264</v>
      </c>
      <c r="F48425" s="0" t="s">
        <v>1264</v>
      </c>
    </row>
    <row r="48426" customFormat="false" ht="12.8" hidden="false" customHeight="false" outlineLevel="0" collapsed="false">
      <c r="B48426" s="0" t="s">
        <v>106</v>
      </c>
    </row>
    <row r="48428" customFormat="false" ht="12.8" hidden="false" customHeight="false" outlineLevel="0" collapsed="false">
      <c r="A48428" s="0" t="s">
        <v>17110</v>
      </c>
      <c r="B48428" s="0" t="str">
        <f aca="false">HYPERLINK("https://lindat.mff.cuni.cz/services/teitok/pdtc10/index.php?action=vallex&amp;frame=v-w6855hsa_389", "tolerovat (v-w6855hsa_389)")</f>
        <v>tolerovat (v-w6855hsa_389)</v>
      </c>
    </row>
    <row r="48429" customFormat="false" ht="12.8" hidden="false" customHeight="false" outlineLevel="0" collapsed="false">
      <c r="B48429" s="0" t="s">
        <v>7</v>
      </c>
      <c r="C48429" s="0" t="s">
        <v>46</v>
      </c>
      <c r="D48429" s="0" t="s">
        <v>108</v>
      </c>
      <c r="E48429" s="0" t="s">
        <v>108</v>
      </c>
      <c r="F48429" s="0" t="s">
        <v>108</v>
      </c>
    </row>
    <row r="48430" customFormat="false" ht="12.8" hidden="false" customHeight="false" outlineLevel="0" collapsed="false">
      <c r="B48430" s="0" t="s">
        <v>14</v>
      </c>
      <c r="C48430" s="0" t="s">
        <v>567</v>
      </c>
      <c r="D48430" s="0" t="s">
        <v>1264</v>
      </c>
      <c r="E48430" s="0" t="s">
        <v>1264</v>
      </c>
      <c r="F48430" s="0" t="s">
        <v>1264</v>
      </c>
    </row>
    <row r="48432" customFormat="false" ht="12.8" hidden="false" customHeight="false" outlineLevel="0" collapsed="false">
      <c r="A48432" s="0" t="s">
        <v>17111</v>
      </c>
      <c r="B48432" s="0" t="str">
        <f aca="false">HYPERLINK("https://lindat.mff.cuni.cz/services/teitok/pdtc10/index.php?action=vallex&amp;frame=v-w6856f1", "tonout (v-w6856f1)")</f>
        <v>tonout (v-w6856f1)</v>
      </c>
    </row>
    <row r="48433" customFormat="false" ht="12.8" hidden="false" customHeight="false" outlineLevel="0" collapsed="false">
      <c r="B48433" s="0" t="s">
        <v>7</v>
      </c>
    </row>
    <row r="48434" customFormat="false" ht="12.8" hidden="false" customHeight="false" outlineLevel="0" collapsed="false">
      <c r="B48434" s="0" t="s">
        <v>2804</v>
      </c>
    </row>
    <row r="48436" customFormat="false" ht="12.8" hidden="false" customHeight="false" outlineLevel="0" collapsed="false">
      <c r="A48436" s="0" t="s">
        <v>17112</v>
      </c>
      <c r="B48436" s="0" t="str">
        <f aca="false">HYPERLINK("https://lindat.mff.cuni.cz/services/teitok/pdtc10/index.php?action=vallex&amp;frame=v-w6856f2", "tonout (v-w6856f2)")</f>
        <v>tonout (v-w6856f2)</v>
      </c>
    </row>
    <row r="48437" customFormat="false" ht="12.8" hidden="false" customHeight="false" outlineLevel="0" collapsed="false">
      <c r="B48437" s="0" t="s">
        <v>7</v>
      </c>
    </row>
    <row r="48439" customFormat="false" ht="12.8" hidden="false" customHeight="false" outlineLevel="0" collapsed="false">
      <c r="A48439" s="0" t="s">
        <v>17113</v>
      </c>
      <c r="B48439" s="0" t="str">
        <f aca="false">HYPERLINK("https://lindat.mff.cuni.cz/services/teitok/pdtc10/index.php?action=vallex&amp;frame=v-w6858f1", "topit (v-w6858f1)")</f>
        <v>topit (v-w6858f1)</v>
      </c>
    </row>
    <row r="48440" customFormat="false" ht="12.8" hidden="false" customHeight="false" outlineLevel="0" collapsed="false">
      <c r="B48440" s="0" t="s">
        <v>7</v>
      </c>
    </row>
    <row r="48442" customFormat="false" ht="12.8" hidden="false" customHeight="false" outlineLevel="0" collapsed="false">
      <c r="A48442" s="0" t="s">
        <v>17114</v>
      </c>
      <c r="B48442" s="0" t="str">
        <f aca="false">HYPERLINK("https://lindat.mff.cuni.cz/services/teitok/pdtc10/index.php?action=vallex&amp;frame=v-w6859f1", "topit se (v-w6859f1)")</f>
        <v>topit se (v-w6859f1)</v>
      </c>
    </row>
    <row r="48443" customFormat="false" ht="12.8" hidden="false" customHeight="false" outlineLevel="0" collapsed="false">
      <c r="B48443" s="0" t="s">
        <v>7</v>
      </c>
    </row>
    <row r="48445" customFormat="false" ht="12.8" hidden="false" customHeight="false" outlineLevel="0" collapsed="false">
      <c r="A48445" s="0" t="s">
        <v>17115</v>
      </c>
      <c r="B48445" s="0" t="str">
        <f aca="false">HYPERLINK("https://lindat.mff.cuni.cz/services/teitok/pdtc10/index.php?action=vallex&amp;frame=v-w6859f2_ZU", "topit se (v-w6859f2_ZU)")</f>
        <v>topit se (v-w6859f2_ZU)</v>
      </c>
    </row>
    <row r="48446" customFormat="false" ht="12.8" hidden="false" customHeight="false" outlineLevel="0" collapsed="false">
      <c r="B48446" s="0" t="s">
        <v>7</v>
      </c>
      <c r="C48446" s="0" t="s">
        <v>17116</v>
      </c>
      <c r="D48446" s="0" t="s">
        <v>335</v>
      </c>
      <c r="E48446" s="0" t="s">
        <v>335</v>
      </c>
      <c r="F48446" s="0" t="s">
        <v>335</v>
      </c>
    </row>
    <row r="48448" customFormat="false" ht="12.8" hidden="false" customHeight="false" outlineLevel="0" collapsed="false">
      <c r="A48448" s="0" t="s">
        <v>17117</v>
      </c>
      <c r="B48448" s="0" t="str">
        <f aca="false">HYPERLINK("https://lindat.mff.cuni.cz/services/teitok/pdtc10/index.php?action=vallex&amp;frame=v-w6860f1", "torpédovat (v-w6860f1)")</f>
        <v>torpédovat (v-w6860f1)</v>
      </c>
    </row>
    <row r="48449" customFormat="false" ht="12.8" hidden="false" customHeight="false" outlineLevel="0" collapsed="false">
      <c r="B48449" s="0" t="s">
        <v>7</v>
      </c>
      <c r="C48449" s="0" t="s">
        <v>46</v>
      </c>
      <c r="D48449" s="0" t="s">
        <v>252</v>
      </c>
      <c r="E48449" s="0" t="s">
        <v>253</v>
      </c>
      <c r="F48449" s="0" t="s">
        <v>253</v>
      </c>
    </row>
    <row r="48450" customFormat="false" ht="12.8" hidden="false" customHeight="false" outlineLevel="0" collapsed="false">
      <c r="B48450" s="0" t="s">
        <v>14</v>
      </c>
      <c r="C48450" s="0" t="s">
        <v>155</v>
      </c>
      <c r="D48450" s="0" t="s">
        <v>255</v>
      </c>
      <c r="E48450" s="0" t="s">
        <v>256</v>
      </c>
      <c r="F48450" s="0" t="s">
        <v>256</v>
      </c>
    </row>
    <row r="48452" customFormat="false" ht="12.8" hidden="false" customHeight="false" outlineLevel="0" collapsed="false">
      <c r="A48452" s="0" t="s">
        <v>17118</v>
      </c>
      <c r="B48452" s="0" t="str">
        <f aca="false">HYPERLINK("https://lindat.mff.cuni.cz/services/teitok/pdtc10/index.php?action=vallex&amp;frame=v-w6860f2", "torpédovat (v-w6860f2)")</f>
        <v>torpédovat (v-w6860f2)</v>
      </c>
    </row>
    <row r="48453" customFormat="false" ht="12.8" hidden="false" customHeight="false" outlineLevel="0" collapsed="false">
      <c r="B48453" s="0" t="s">
        <v>7</v>
      </c>
    </row>
    <row r="48454" customFormat="false" ht="12.8" hidden="false" customHeight="false" outlineLevel="0" collapsed="false">
      <c r="B48454" s="0" t="s">
        <v>14</v>
      </c>
    </row>
    <row r="48456" customFormat="false" ht="12.8" hidden="false" customHeight="false" outlineLevel="0" collapsed="false">
      <c r="A48456" s="0" t="s">
        <v>17119</v>
      </c>
      <c r="B48456" s="0" t="str">
        <f aca="false">HYPERLINK("https://lindat.mff.cuni.cz/services/teitok/pdtc10/index.php?action=vallex&amp;frame=v-w6864f1", "toulat se (v-w6864f1)")</f>
        <v>toulat se (v-w6864f1)</v>
      </c>
    </row>
    <row r="48457" customFormat="false" ht="12.8" hidden="false" customHeight="false" outlineLevel="0" collapsed="false">
      <c r="B48457" s="0" t="s">
        <v>7</v>
      </c>
      <c r="C48457" s="0" t="s">
        <v>184</v>
      </c>
      <c r="D48457" s="0" t="s">
        <v>184</v>
      </c>
      <c r="E48457" s="0" t="s">
        <v>184</v>
      </c>
      <c r="F48457" s="0" t="s">
        <v>184</v>
      </c>
    </row>
    <row r="48459" customFormat="false" ht="12.8" hidden="false" customHeight="false" outlineLevel="0" collapsed="false">
      <c r="A48459" s="0" t="s">
        <v>17120</v>
      </c>
      <c r="B48459" s="0" t="str">
        <f aca="false">HYPERLINK("https://lindat.mff.cuni.cz/services/teitok/pdtc10/index.php?action=vallex&amp;frame=v-w6866f2_ZU", "toužit (v-w6866f2_ZU)")</f>
        <v>toužit (v-w6866f2_ZU)</v>
      </c>
    </row>
    <row r="48460" customFormat="false" ht="12.8" hidden="false" customHeight="false" outlineLevel="0" collapsed="false">
      <c r="B48460" s="0" t="s">
        <v>7</v>
      </c>
    </row>
    <row r="48461" customFormat="false" ht="12.8" hidden="false" customHeight="false" outlineLevel="0" collapsed="false">
      <c r="B48461" s="0" t="s">
        <v>17121</v>
      </c>
    </row>
    <row r="48463" customFormat="false" ht="12.8" hidden="false" customHeight="false" outlineLevel="0" collapsed="false">
      <c r="A48463" s="0" t="s">
        <v>17120</v>
      </c>
      <c r="B48463" s="0" t="str">
        <f aca="false">HYPERLINK("https://lindat.mff.cuni.cz/services/teitok/pdtc10/index.php?action=vallex&amp;frame=v-w6866f1", "toužit (v-w6866f1) - substituted with v-w6866f2_ZU")</f>
        <v>toužit (v-w6866f1) - substituted with v-w6866f2_ZU</v>
      </c>
    </row>
    <row r="48464" customFormat="false" ht="12.8" hidden="false" customHeight="false" outlineLevel="0" collapsed="false">
      <c r="B48464" s="0" t="s">
        <v>7</v>
      </c>
      <c r="C48464" s="0" t="s">
        <v>17122</v>
      </c>
      <c r="D48464" s="0" t="s">
        <v>17123</v>
      </c>
      <c r="E48464" s="0" t="s">
        <v>17123</v>
      </c>
      <c r="F48464" s="0" t="s">
        <v>17123</v>
      </c>
    </row>
    <row r="48465" customFormat="false" ht="12.8" hidden="false" customHeight="false" outlineLevel="0" collapsed="false">
      <c r="B48465" s="0" t="s">
        <v>17121</v>
      </c>
      <c r="C48465" s="0" t="s">
        <v>1168</v>
      </c>
      <c r="D48465" s="0" t="s">
        <v>17124</v>
      </c>
      <c r="E48465" s="0" t="s">
        <v>17124</v>
      </c>
      <c r="F48465" s="0" t="s">
        <v>17124</v>
      </c>
    </row>
    <row r="48467" customFormat="false" ht="12.8" hidden="false" customHeight="false" outlineLevel="0" collapsed="false">
      <c r="A48467" s="0" t="s">
        <v>17125</v>
      </c>
      <c r="B48467" s="0" t="str">
        <f aca="false">HYPERLINK("https://lindat.mff.cuni.cz/services/teitok/pdtc10/index.php?action=vallex&amp;frame=v-w6850f1", "točit (v-w6850f1)")</f>
        <v>točit (v-w6850f1)</v>
      </c>
    </row>
    <row r="48468" customFormat="false" ht="12.8" hidden="false" customHeight="false" outlineLevel="0" collapsed="false">
      <c r="B48468" s="0" t="s">
        <v>7</v>
      </c>
      <c r="C48468" s="0" t="s">
        <v>17126</v>
      </c>
      <c r="D48468" s="0" t="s">
        <v>23</v>
      </c>
      <c r="E48468" s="0" t="s">
        <v>23</v>
      </c>
      <c r="F48468" s="0" t="s">
        <v>23</v>
      </c>
    </row>
    <row r="48469" customFormat="false" ht="12.8" hidden="false" customHeight="false" outlineLevel="0" collapsed="false">
      <c r="B48469" s="0" t="s">
        <v>14</v>
      </c>
      <c r="C48469" s="0" t="s">
        <v>17127</v>
      </c>
      <c r="D48469" s="0" t="s">
        <v>3662</v>
      </c>
      <c r="E48469" s="0" t="s">
        <v>3662</v>
      </c>
      <c r="F48469" s="0" t="s">
        <v>3662</v>
      </c>
    </row>
    <row r="48471" customFormat="false" ht="12.8" hidden="false" customHeight="false" outlineLevel="0" collapsed="false">
      <c r="A48471" s="0" t="s">
        <v>17128</v>
      </c>
      <c r="B48471" s="0" t="str">
        <f aca="false">HYPERLINK("https://lindat.mff.cuni.cz/services/teitok/pdtc10/index.php?action=vallex&amp;frame=v-w6850f2", "točit (v-w6850f2)")</f>
        <v>točit (v-w6850f2)</v>
      </c>
    </row>
    <row r="48472" customFormat="false" ht="12.8" hidden="false" customHeight="false" outlineLevel="0" collapsed="false">
      <c r="B48472" s="0" t="s">
        <v>7</v>
      </c>
    </row>
    <row r="48473" customFormat="false" ht="12.8" hidden="false" customHeight="false" outlineLevel="0" collapsed="false">
      <c r="B48473" s="0" t="s">
        <v>216</v>
      </c>
    </row>
    <row r="48475" customFormat="false" ht="12.8" hidden="false" customHeight="false" outlineLevel="0" collapsed="false">
      <c r="A48475" s="0" t="s">
        <v>17129</v>
      </c>
      <c r="B48475" s="0" t="str">
        <f aca="false">HYPERLINK("https://lindat.mff.cuni.cz/services/teitok/pdtc10/index.php?action=vallex&amp;frame=v-w6850f3_ZU", "točit (v-w6850f3_ZU)")</f>
        <v>točit (v-w6850f3_ZU)</v>
      </c>
    </row>
    <row r="48476" customFormat="false" ht="12.8" hidden="false" customHeight="false" outlineLevel="0" collapsed="false">
      <c r="B48476" s="0" t="s">
        <v>7</v>
      </c>
    </row>
    <row r="48477" customFormat="false" ht="12.8" hidden="false" customHeight="false" outlineLevel="0" collapsed="false">
      <c r="B48477" s="0" t="s">
        <v>14</v>
      </c>
    </row>
    <row r="48479" customFormat="false" ht="12.8" hidden="false" customHeight="false" outlineLevel="0" collapsed="false">
      <c r="A48479" s="0" t="s">
        <v>17129</v>
      </c>
      <c r="B48479" s="0" t="str">
        <f aca="false">HYPERLINK("https://lindat.mff.cuni.cz/services/teitok/pdtc10/index.php?action=vallex&amp;frame=v-w6850hsa_194", "točit (v-w6850hsa_194) - substituted with v-w6850f3_ZU")</f>
        <v>točit (v-w6850hsa_194) - substituted with v-w6850f3_ZU</v>
      </c>
    </row>
    <row r="48480" customFormat="false" ht="12.8" hidden="false" customHeight="false" outlineLevel="0" collapsed="false">
      <c r="B48480" s="0" t="s">
        <v>7</v>
      </c>
    </row>
    <row r="48481" customFormat="false" ht="12.8" hidden="false" customHeight="false" outlineLevel="0" collapsed="false">
      <c r="B48481" s="0" t="s">
        <v>14</v>
      </c>
    </row>
    <row r="48483" customFormat="false" ht="12.8" hidden="false" customHeight="false" outlineLevel="0" collapsed="false">
      <c r="A48483" s="0" t="s">
        <v>17130</v>
      </c>
      <c r="B48483" s="0" t="str">
        <f aca="false">HYPERLINK("https://lindat.mff.cuni.cz/services/teitok/pdtc10/index.php?action=vallex&amp;frame=v-w6850f4_ZU", "točit (v-w6850f4_ZU)")</f>
        <v>točit (v-w6850f4_ZU)</v>
      </c>
    </row>
    <row r="48484" customFormat="false" ht="12.8" hidden="false" customHeight="false" outlineLevel="0" collapsed="false">
      <c r="B48484" s="0" t="s">
        <v>7</v>
      </c>
    </row>
    <row r="48485" customFormat="false" ht="12.8" hidden="false" customHeight="false" outlineLevel="0" collapsed="false">
      <c r="B48485" s="0" t="s">
        <v>14</v>
      </c>
    </row>
    <row r="48487" customFormat="false" ht="12.8" hidden="false" customHeight="false" outlineLevel="0" collapsed="false">
      <c r="A48487" s="0" t="s">
        <v>17131</v>
      </c>
      <c r="B48487" s="0" t="str">
        <f aca="false">HYPERLINK("https://lindat.mff.cuni.cz/services/teitok/pdtc10/index.php?action=vallex&amp;frame=v-w6850hsa_192", "točit (v-w6850hsa_192)")</f>
        <v>točit (v-w6850hsa_192)</v>
      </c>
    </row>
    <row r="48488" customFormat="false" ht="12.8" hidden="false" customHeight="false" outlineLevel="0" collapsed="false">
      <c r="B48488" s="0" t="s">
        <v>7</v>
      </c>
    </row>
    <row r="48489" customFormat="false" ht="12.8" hidden="false" customHeight="false" outlineLevel="0" collapsed="false">
      <c r="B48489" s="0" t="s">
        <v>14</v>
      </c>
    </row>
    <row r="48491" customFormat="false" ht="12.8" hidden="false" customHeight="false" outlineLevel="0" collapsed="false">
      <c r="A48491" s="0" t="s">
        <v>17132</v>
      </c>
      <c r="B48491" s="0" t="str">
        <f aca="false">HYPERLINK("https://lindat.mff.cuni.cz/services/teitok/pdtc10/index.php?action=vallex&amp;frame=v-w6850hsa_193", "točit (v-w6850hsa_193)")</f>
        <v>točit (v-w6850hsa_193)</v>
      </c>
    </row>
    <row r="48492" customFormat="false" ht="12.8" hidden="false" customHeight="false" outlineLevel="0" collapsed="false">
      <c r="B48492" s="0" t="s">
        <v>7</v>
      </c>
    </row>
    <row r="48493" customFormat="false" ht="12.8" hidden="false" customHeight="false" outlineLevel="0" collapsed="false">
      <c r="B48493" s="0" t="s">
        <v>14</v>
      </c>
    </row>
    <row r="48495" customFormat="false" ht="12.8" hidden="false" customHeight="false" outlineLevel="0" collapsed="false">
      <c r="A48495" s="0" t="s">
        <v>17133</v>
      </c>
      <c r="B48495" s="0" t="str">
        <f aca="false">HYPERLINK("https://lindat.mff.cuni.cz/services/teitok/pdtc10/index.php?action=vallex&amp;frame=v-w6851f1", "točit se (v-w6851f1)")</f>
        <v>točit se (v-w6851f1)</v>
      </c>
    </row>
    <row r="48496" customFormat="false" ht="12.8" hidden="false" customHeight="false" outlineLevel="0" collapsed="false">
      <c r="B48496" s="0" t="s">
        <v>7</v>
      </c>
      <c r="C48496" s="0" t="s">
        <v>396</v>
      </c>
    </row>
    <row r="48497" customFormat="false" ht="12.8" hidden="false" customHeight="false" outlineLevel="0" collapsed="false">
      <c r="B48497" s="0" t="s">
        <v>17134</v>
      </c>
      <c r="C48497" s="0" t="s">
        <v>3427</v>
      </c>
    </row>
    <row r="48499" customFormat="false" ht="12.8" hidden="false" customHeight="false" outlineLevel="0" collapsed="false">
      <c r="A48499" s="0" t="s">
        <v>17135</v>
      </c>
      <c r="B48499" s="0" t="str">
        <f aca="false">HYPERLINK("https://lindat.mff.cuni.cz/services/teitok/pdtc10/index.php?action=vallex&amp;frame=v-w6851f2", "točit se (v-w6851f2)")</f>
        <v>točit se (v-w6851f2)</v>
      </c>
    </row>
    <row r="48500" customFormat="false" ht="12.8" hidden="false" customHeight="false" outlineLevel="0" collapsed="false">
      <c r="B48500" s="0" t="s">
        <v>7</v>
      </c>
    </row>
    <row r="48501" customFormat="false" ht="12.8" hidden="false" customHeight="false" outlineLevel="0" collapsed="false">
      <c r="B48501" s="0" t="s">
        <v>11</v>
      </c>
    </row>
    <row r="48503" customFormat="false" ht="12.8" hidden="false" customHeight="false" outlineLevel="0" collapsed="false">
      <c r="A48503" s="0" t="s">
        <v>17136</v>
      </c>
      <c r="B48503" s="0" t="str">
        <f aca="false">HYPERLINK("https://lindat.mff.cuni.cz/services/teitok/pdtc10/index.php?action=vallex&amp;frame=v-w6851f4_ZU", "točit se (v-w6851f4_ZU)")</f>
        <v>točit se (v-w6851f4_ZU)</v>
      </c>
    </row>
    <row r="48504" customFormat="false" ht="12.8" hidden="false" customHeight="false" outlineLevel="0" collapsed="false">
      <c r="B48504" s="0" t="s">
        <v>603</v>
      </c>
      <c r="C48504" s="0" t="s">
        <v>200</v>
      </c>
      <c r="D48504" s="0" t="s">
        <v>200</v>
      </c>
      <c r="E48504" s="0" t="s">
        <v>200</v>
      </c>
      <c r="F48504" s="0" t="s">
        <v>200</v>
      </c>
    </row>
    <row r="48505" customFormat="false" ht="12.8" hidden="false" customHeight="false" outlineLevel="0" collapsed="false">
      <c r="B48505" s="0" t="s">
        <v>17137</v>
      </c>
    </row>
    <row r="48507" customFormat="false" ht="12.8" hidden="false" customHeight="false" outlineLevel="0" collapsed="false">
      <c r="A48507" s="0" t="s">
        <v>17136</v>
      </c>
      <c r="B48507" s="0" t="str">
        <f aca="false">HYPERLINK("https://lindat.mff.cuni.cz/services/teitok/pdtc10/index.php?action=vallex&amp;frame=v-w6851hsa_570", "točit se (v-w6851hsa_570) - substituted with v-w6851f4_ZU")</f>
        <v>točit se (v-w6851hsa_570) - substituted with v-w6851f4_ZU</v>
      </c>
    </row>
    <row r="48508" customFormat="false" ht="12.8" hidden="false" customHeight="false" outlineLevel="0" collapsed="false">
      <c r="B48508" s="0" t="s">
        <v>603</v>
      </c>
    </row>
    <row r="48509" customFormat="false" ht="12.8" hidden="false" customHeight="false" outlineLevel="0" collapsed="false">
      <c r="B48509" s="0" t="s">
        <v>17137</v>
      </c>
    </row>
    <row r="48511" customFormat="false" ht="12.8" hidden="false" customHeight="false" outlineLevel="0" collapsed="false">
      <c r="A48511" s="0" t="s">
        <v>17138</v>
      </c>
      <c r="B48511" s="0" t="str">
        <f aca="false">HYPERLINK("https://lindat.mff.cuni.cz/services/teitok/pdtc10/index.php?action=vallex&amp;frame=v-w6851f3_ZU", "točit se (v-w6851f3_ZU)")</f>
        <v>točit se (v-w6851f3_ZU)</v>
      </c>
    </row>
    <row r="48512" customFormat="false" ht="12.8" hidden="false" customHeight="false" outlineLevel="0" collapsed="false">
      <c r="B48512" s="0" t="s">
        <v>7</v>
      </c>
      <c r="C48512" s="0" t="s">
        <v>191</v>
      </c>
    </row>
    <row r="48513" customFormat="false" ht="12.8" hidden="false" customHeight="false" outlineLevel="0" collapsed="false">
      <c r="B48513" s="0" t="s">
        <v>17139</v>
      </c>
      <c r="C48513" s="0" t="s">
        <v>378</v>
      </c>
    </row>
    <row r="48514" customFormat="false" ht="12.8" hidden="false" customHeight="false" outlineLevel="0" collapsed="false">
      <c r="B48514" s="0" t="s">
        <v>237</v>
      </c>
      <c r="C48514" s="0" t="s">
        <v>400</v>
      </c>
    </row>
    <row r="48516" customFormat="false" ht="12.8" hidden="false" customHeight="false" outlineLevel="0" collapsed="false">
      <c r="A48516" s="0" t="s">
        <v>17138</v>
      </c>
      <c r="B48516" s="0" t="str">
        <f aca="false">HYPERLINK("https://lindat.mff.cuni.cz/services/teitok/pdtc10/index.php?action=vallex&amp;frame=v-w6851hsa_571", "točit se (v-w6851hsa_571) - substituted with v-w6851f3_ZU")</f>
        <v>točit se (v-w6851hsa_571) - substituted with v-w6851f3_ZU</v>
      </c>
    </row>
    <row r="48517" customFormat="false" ht="12.8" hidden="false" customHeight="false" outlineLevel="0" collapsed="false">
      <c r="B48517" s="0" t="s">
        <v>7</v>
      </c>
    </row>
    <row r="48518" customFormat="false" ht="12.8" hidden="false" customHeight="false" outlineLevel="0" collapsed="false">
      <c r="B48518" s="0" t="s">
        <v>17139</v>
      </c>
    </row>
    <row r="48519" customFormat="false" ht="12.8" hidden="false" customHeight="false" outlineLevel="0" collapsed="false">
      <c r="B48519" s="0" t="s">
        <v>237</v>
      </c>
    </row>
    <row r="48521" customFormat="false" ht="12.8" hidden="false" customHeight="false" outlineLevel="0" collapsed="false">
      <c r="A48521" s="0" t="s">
        <v>17140</v>
      </c>
      <c r="B48521" s="0" t="str">
        <f aca="false">HYPERLINK("https://lindat.mff.cuni.cz/services/teitok/pdtc10/index.php?action=vallex&amp;frame=v-w6851hsa_482", "točit se (v-w6851hsa_482)")</f>
        <v>točit se (v-w6851hsa_482)</v>
      </c>
    </row>
    <row r="48522" customFormat="false" ht="12.8" hidden="false" customHeight="false" outlineLevel="0" collapsed="false">
      <c r="B48522" s="0" t="s">
        <v>7</v>
      </c>
    </row>
    <row r="48524" customFormat="false" ht="12.8" hidden="false" customHeight="false" outlineLevel="0" collapsed="false">
      <c r="A48524" s="0" t="s">
        <v>17141</v>
      </c>
      <c r="B48524" s="0" t="str">
        <f aca="false">HYPERLINK("https://lindat.mff.cuni.cz/services/teitok/pdtc10/index.php?action=vallex&amp;frame=v-w6868f1", "tradovat (v-w6868f1)")</f>
        <v>tradovat (v-w6868f1)</v>
      </c>
    </row>
    <row r="48525" customFormat="false" ht="12.8" hidden="false" customHeight="false" outlineLevel="0" collapsed="false">
      <c r="B48525" s="0" t="s">
        <v>7</v>
      </c>
      <c r="C48525" s="0" t="s">
        <v>247</v>
      </c>
    </row>
    <row r="48526" customFormat="false" ht="12.8" hidden="false" customHeight="false" outlineLevel="0" collapsed="false">
      <c r="B48526" s="0" t="s">
        <v>5525</v>
      </c>
    </row>
    <row r="48527" customFormat="false" ht="12.8" hidden="false" customHeight="false" outlineLevel="0" collapsed="false">
      <c r="B48527" s="0" t="s">
        <v>363</v>
      </c>
    </row>
    <row r="48529" customFormat="false" ht="12.8" hidden="false" customHeight="false" outlineLevel="0" collapsed="false">
      <c r="A48529" s="0" t="s">
        <v>17142</v>
      </c>
      <c r="B48529" s="0" t="str">
        <f aca="false">HYPERLINK("https://lindat.mff.cuni.cz/services/teitok/pdtc10/index.php?action=vallex&amp;frame=v-w11880_ZUf1_ZU", "trampovat (v-w11880_ZUf1_ZU)")</f>
        <v>trampovat (v-w11880_ZUf1_ZU)</v>
      </c>
    </row>
    <row r="48530" customFormat="false" ht="12.8" hidden="false" customHeight="false" outlineLevel="0" collapsed="false">
      <c r="B48530" s="0" t="s">
        <v>7</v>
      </c>
    </row>
    <row r="48532" customFormat="false" ht="12.8" hidden="false" customHeight="false" outlineLevel="0" collapsed="false">
      <c r="A48532" s="0" t="s">
        <v>17143</v>
      </c>
      <c r="B48532" s="0" t="str">
        <f aca="false">HYPERLINK("https://lindat.mff.cuni.cz/services/teitok/pdtc10/index.php?action=vallex&amp;frame=v-w6877f1", "transformovat (v-w6877f1)")</f>
        <v>transformovat (v-w6877f1)</v>
      </c>
    </row>
    <row r="48533" customFormat="false" ht="12.8" hidden="false" customHeight="false" outlineLevel="0" collapsed="false">
      <c r="B48533" s="0" t="s">
        <v>7</v>
      </c>
      <c r="C48533" s="0" t="s">
        <v>3918</v>
      </c>
      <c r="D48533" s="0" t="s">
        <v>32</v>
      </c>
      <c r="E48533" s="0" t="s">
        <v>32</v>
      </c>
      <c r="F48533" s="0" t="s">
        <v>32</v>
      </c>
    </row>
    <row r="48534" customFormat="false" ht="12.8" hidden="false" customHeight="false" outlineLevel="0" collapsed="false">
      <c r="B48534" s="0" t="s">
        <v>14</v>
      </c>
      <c r="C48534" s="0" t="s">
        <v>17144</v>
      </c>
      <c r="D48534" s="0" t="s">
        <v>34</v>
      </c>
      <c r="E48534" s="0" t="s">
        <v>34</v>
      </c>
      <c r="F48534" s="0" t="s">
        <v>34</v>
      </c>
    </row>
    <row r="48535" customFormat="false" ht="12.8" hidden="false" customHeight="false" outlineLevel="0" collapsed="false">
      <c r="B48535" s="0" t="s">
        <v>35</v>
      </c>
      <c r="C48535" s="0" t="s">
        <v>11969</v>
      </c>
      <c r="D48535" s="0" t="s">
        <v>36</v>
      </c>
      <c r="E48535" s="0" t="s">
        <v>36</v>
      </c>
      <c r="F48535" s="0" t="s">
        <v>36</v>
      </c>
    </row>
    <row r="48536" customFormat="false" ht="12.8" hidden="false" customHeight="false" outlineLevel="0" collapsed="false">
      <c r="B48536" s="0" t="s">
        <v>17145</v>
      </c>
      <c r="C48536" s="0" t="s">
        <v>17146</v>
      </c>
      <c r="D48536" s="0" t="s">
        <v>39</v>
      </c>
      <c r="E48536" s="0" t="s">
        <v>39</v>
      </c>
      <c r="F48536" s="0" t="s">
        <v>39</v>
      </c>
    </row>
    <row r="48538" customFormat="false" ht="12.8" hidden="false" customHeight="false" outlineLevel="0" collapsed="false">
      <c r="A48538" s="0" t="s">
        <v>17147</v>
      </c>
      <c r="B48538" s="0" t="str">
        <f aca="false">HYPERLINK("https://lindat.mff.cuni.cz/services/teitok/pdtc10/index.php?action=vallex&amp;frame=v-w6878f1", "transformovat se (v-w6878f1)")</f>
        <v>transformovat se (v-w6878f1)</v>
      </c>
    </row>
    <row r="48539" customFormat="false" ht="12.8" hidden="false" customHeight="false" outlineLevel="0" collapsed="false">
      <c r="B48539" s="0" t="s">
        <v>7</v>
      </c>
      <c r="C48539" s="0" t="s">
        <v>17148</v>
      </c>
      <c r="D48539" s="0" t="s">
        <v>6207</v>
      </c>
      <c r="E48539" s="0" t="s">
        <v>6207</v>
      </c>
      <c r="F48539" s="0" t="s">
        <v>6208</v>
      </c>
    </row>
    <row r="48540" customFormat="false" ht="12.8" hidden="false" customHeight="false" outlineLevel="0" collapsed="false">
      <c r="B48540" s="0" t="s">
        <v>12878</v>
      </c>
      <c r="C48540" s="0" t="s">
        <v>3140</v>
      </c>
      <c r="D48540" s="0" t="s">
        <v>6211</v>
      </c>
      <c r="E48540" s="0" t="s">
        <v>6211</v>
      </c>
      <c r="F48540" s="0" t="s">
        <v>6212</v>
      </c>
    </row>
    <row r="48541" customFormat="false" ht="12.8" hidden="false" customHeight="false" outlineLevel="0" collapsed="false">
      <c r="B48541" s="0" t="s">
        <v>35</v>
      </c>
      <c r="C48541" s="0" t="s">
        <v>17149</v>
      </c>
      <c r="D48541" s="0" t="s">
        <v>6214</v>
      </c>
      <c r="E48541" s="0" t="s">
        <v>6214</v>
      </c>
      <c r="F48541" s="0" t="s">
        <v>6215</v>
      </c>
    </row>
    <row r="48543" customFormat="false" ht="12.8" hidden="false" customHeight="false" outlineLevel="0" collapsed="false">
      <c r="A48543" s="0" t="s">
        <v>17150</v>
      </c>
      <c r="B48543" s="0" t="str">
        <f aca="false">HYPERLINK("https://lindat.mff.cuni.cz/services/teitok/pdtc10/index.php?action=vallex&amp;frame=v-w6883f1", "transplantovat (v-w6883f1)")</f>
        <v>transplantovat (v-w6883f1)</v>
      </c>
    </row>
    <row r="48544" customFormat="false" ht="12.8" hidden="false" customHeight="false" outlineLevel="0" collapsed="false">
      <c r="B48544" s="0" t="s">
        <v>7</v>
      </c>
    </row>
    <row r="48545" customFormat="false" ht="12.8" hidden="false" customHeight="false" outlineLevel="0" collapsed="false">
      <c r="B48545" s="0" t="s">
        <v>14</v>
      </c>
    </row>
    <row r="48546" customFormat="false" ht="12.8" hidden="false" customHeight="false" outlineLevel="0" collapsed="false">
      <c r="B48546" s="0" t="s">
        <v>48</v>
      </c>
    </row>
    <row r="48548" customFormat="false" ht="12.8" hidden="false" customHeight="false" outlineLevel="0" collapsed="false">
      <c r="A48548" s="0" t="s">
        <v>17151</v>
      </c>
      <c r="B48548" s="0" t="str">
        <f aca="false">HYPERLINK("https://lindat.mff.cuni.cz/services/teitok/pdtc10/index.php?action=vallex&amp;frame=v-w6885f1", "transportovat (v-w6885f1)")</f>
        <v>transportovat (v-w6885f1)</v>
      </c>
    </row>
    <row r="48549" customFormat="false" ht="12.8" hidden="false" customHeight="false" outlineLevel="0" collapsed="false">
      <c r="B48549" s="0" t="s">
        <v>7</v>
      </c>
      <c r="C48549" s="0" t="s">
        <v>335</v>
      </c>
      <c r="D48549" s="0" t="s">
        <v>4161</v>
      </c>
      <c r="E48549" s="0" t="s">
        <v>4161</v>
      </c>
      <c r="F48549" s="0" t="s">
        <v>4161</v>
      </c>
    </row>
    <row r="48550" customFormat="false" ht="12.8" hidden="false" customHeight="false" outlineLevel="0" collapsed="false">
      <c r="B48550" s="0" t="s">
        <v>14</v>
      </c>
      <c r="C48550" s="0" t="s">
        <v>1405</v>
      </c>
      <c r="D48550" s="0" t="s">
        <v>8195</v>
      </c>
      <c r="E48550" s="0" t="s">
        <v>8195</v>
      </c>
      <c r="F48550" s="0" t="s">
        <v>8195</v>
      </c>
    </row>
    <row r="48552" customFormat="false" ht="12.8" hidden="false" customHeight="false" outlineLevel="0" collapsed="false">
      <c r="A48552" s="0" t="s">
        <v>17152</v>
      </c>
      <c r="B48552" s="0" t="str">
        <f aca="false">HYPERLINK("https://lindat.mff.cuni.cz/services/teitok/pdtc10/index.php?action=vallex&amp;frame=v-w6891f1", "tratit (v-w6891f1)")</f>
        <v>tratit (v-w6891f1)</v>
      </c>
    </row>
    <row r="48553" customFormat="false" ht="12.8" hidden="false" customHeight="false" outlineLevel="0" collapsed="false">
      <c r="B48553" s="0" t="s">
        <v>7</v>
      </c>
      <c r="C48553" s="0" t="s">
        <v>13490</v>
      </c>
      <c r="D48553" s="0" t="s">
        <v>113</v>
      </c>
      <c r="E48553" s="0" t="s">
        <v>113</v>
      </c>
      <c r="F48553" s="0" t="s">
        <v>113</v>
      </c>
    </row>
    <row r="48554" customFormat="false" ht="12.8" hidden="false" customHeight="false" outlineLevel="0" collapsed="false">
      <c r="B48554" s="0" t="s">
        <v>14</v>
      </c>
      <c r="C48554" s="0" t="s">
        <v>9030</v>
      </c>
      <c r="D48554" s="0" t="s">
        <v>1588</v>
      </c>
      <c r="E48554" s="0" t="s">
        <v>1588</v>
      </c>
      <c r="F48554" s="0" t="s">
        <v>1588</v>
      </c>
    </row>
    <row r="48555" customFormat="false" ht="12.8" hidden="false" customHeight="false" outlineLevel="0" collapsed="false">
      <c r="B48555" s="0" t="s">
        <v>586</v>
      </c>
    </row>
    <row r="48557" customFormat="false" ht="12.8" hidden="false" customHeight="false" outlineLevel="0" collapsed="false">
      <c r="A48557" s="0" t="s">
        <v>17153</v>
      </c>
      <c r="B48557" s="0" t="str">
        <f aca="false">HYPERLINK("https://lindat.mff.cuni.cz/services/teitok/pdtc10/index.php?action=vallex&amp;frame=v-w10245f2", "traumatizovat (v-w10245f2)")</f>
        <v>traumatizovat (v-w10245f2)</v>
      </c>
    </row>
    <row r="48558" customFormat="false" ht="12.8" hidden="false" customHeight="false" outlineLevel="0" collapsed="false">
      <c r="B48558" s="0" t="s">
        <v>7</v>
      </c>
      <c r="C48558" s="0" t="s">
        <v>46</v>
      </c>
      <c r="D48558" s="0" t="s">
        <v>2062</v>
      </c>
      <c r="E48558" s="0" t="s">
        <v>2062</v>
      </c>
      <c r="F48558" s="0" t="s">
        <v>2062</v>
      </c>
    </row>
    <row r="48559" customFormat="false" ht="12.8" hidden="false" customHeight="false" outlineLevel="0" collapsed="false">
      <c r="B48559" s="0" t="s">
        <v>14</v>
      </c>
      <c r="C48559" s="0" t="s">
        <v>155</v>
      </c>
      <c r="D48559" s="0" t="s">
        <v>2065</v>
      </c>
      <c r="E48559" s="0" t="s">
        <v>2065</v>
      </c>
      <c r="F48559" s="0" t="s">
        <v>2065</v>
      </c>
    </row>
    <row r="48561" customFormat="false" ht="12.8" hidden="false" customHeight="false" outlineLevel="0" collapsed="false">
      <c r="A48561" s="0" t="s">
        <v>17154</v>
      </c>
      <c r="B48561" s="0" t="str">
        <f aca="false">HYPERLINK("https://lindat.mff.cuni.cz/services/teitok/pdtc10/index.php?action=vallex&amp;frame=v-w6896f1", "trefit (v-w6896f1)")</f>
        <v>trefit (v-w6896f1)</v>
      </c>
    </row>
    <row r="48562" customFormat="false" ht="12.8" hidden="false" customHeight="false" outlineLevel="0" collapsed="false">
      <c r="B48562" s="0" t="s">
        <v>7</v>
      </c>
      <c r="C48562" s="0" t="s">
        <v>3205</v>
      </c>
      <c r="E48562" s="0" t="s">
        <v>569</v>
      </c>
      <c r="F48562" s="0" t="s">
        <v>569</v>
      </c>
    </row>
    <row r="48563" customFormat="false" ht="12.8" hidden="false" customHeight="false" outlineLevel="0" collapsed="false">
      <c r="B48563" s="0" t="s">
        <v>14</v>
      </c>
      <c r="E48563" s="0" t="s">
        <v>1170</v>
      </c>
      <c r="F48563" s="0" t="s">
        <v>1170</v>
      </c>
    </row>
    <row r="48565" customFormat="false" ht="12.8" hidden="false" customHeight="false" outlineLevel="0" collapsed="false">
      <c r="A48565" s="0" t="s">
        <v>17155</v>
      </c>
      <c r="B48565" s="0" t="str">
        <f aca="false">HYPERLINK("https://lindat.mff.cuni.cz/services/teitok/pdtc10/index.php?action=vallex&amp;frame=v-w6896f6", "trefit (v-w6896f6)")</f>
        <v>trefit (v-w6896f6)</v>
      </c>
    </row>
    <row r="48566" customFormat="false" ht="12.8" hidden="false" customHeight="false" outlineLevel="0" collapsed="false">
      <c r="B48566" s="0" t="s">
        <v>7</v>
      </c>
    </row>
    <row r="48567" customFormat="false" ht="12.8" hidden="false" customHeight="false" outlineLevel="0" collapsed="false">
      <c r="B48567" s="0" t="s">
        <v>14</v>
      </c>
    </row>
    <row r="48569" customFormat="false" ht="12.8" hidden="false" customHeight="false" outlineLevel="0" collapsed="false">
      <c r="A48569" s="0" t="s">
        <v>17156</v>
      </c>
      <c r="B48569" s="0" t="str">
        <f aca="false">HYPERLINK("https://lindat.mff.cuni.cz/services/teitok/pdtc10/index.php?action=vallex&amp;frame=v-w6896f5", "trefit (v-w6896f5)")</f>
        <v>trefit (v-w6896f5)</v>
      </c>
    </row>
    <row r="48570" customFormat="false" ht="12.8" hidden="false" customHeight="false" outlineLevel="0" collapsed="false">
      <c r="B48570" s="0" t="s">
        <v>7</v>
      </c>
    </row>
    <row r="48571" customFormat="false" ht="12.8" hidden="false" customHeight="false" outlineLevel="0" collapsed="false">
      <c r="B48571" s="0" t="s">
        <v>41</v>
      </c>
    </row>
    <row r="48573" customFormat="false" ht="12.8" hidden="false" customHeight="false" outlineLevel="0" collapsed="false">
      <c r="A48573" s="0" t="s">
        <v>17157</v>
      </c>
      <c r="B48573" s="0" t="str">
        <f aca="false">HYPERLINK("https://lindat.mff.cuni.cz/services/teitok/pdtc10/index.php?action=vallex&amp;frame=v-w6896f4", "trefit (v-w6896f4)")</f>
        <v>trefit (v-w6896f4)</v>
      </c>
    </row>
    <row r="48574" customFormat="false" ht="12.8" hidden="false" customHeight="false" outlineLevel="0" collapsed="false">
      <c r="B48574" s="0" t="s">
        <v>7</v>
      </c>
    </row>
    <row r="48575" customFormat="false" ht="12.8" hidden="false" customHeight="false" outlineLevel="0" collapsed="false">
      <c r="B48575" s="0" t="s">
        <v>124</v>
      </c>
    </row>
    <row r="48577" customFormat="false" ht="12.8" hidden="false" customHeight="false" outlineLevel="0" collapsed="false">
      <c r="A48577" s="0" t="s">
        <v>17158</v>
      </c>
      <c r="B48577" s="0" t="str">
        <f aca="false">HYPERLINK("https://lindat.mff.cuni.cz/services/teitok/pdtc10/index.php?action=vallex&amp;frame=v-w6896f2", "trefit (v-w6896f2)")</f>
        <v>trefit (v-w6896f2)</v>
      </c>
    </row>
    <row r="48578" customFormat="false" ht="12.8" hidden="false" customHeight="false" outlineLevel="0" collapsed="false">
      <c r="B48578" s="0" t="s">
        <v>7</v>
      </c>
    </row>
    <row r="48579" customFormat="false" ht="12.8" hidden="false" customHeight="false" outlineLevel="0" collapsed="false">
      <c r="B48579" s="0" t="s">
        <v>17159</v>
      </c>
    </row>
    <row r="48581" customFormat="false" ht="12.8" hidden="false" customHeight="false" outlineLevel="0" collapsed="false">
      <c r="A48581" s="0" t="s">
        <v>17160</v>
      </c>
      <c r="B48581" s="0" t="str">
        <f aca="false">HYPERLINK("https://lindat.mff.cuni.cz/services/teitok/pdtc10/index.php?action=vallex&amp;frame=v-w6896f3", "trefit (v-w6896f3)")</f>
        <v>trefit (v-w6896f3)</v>
      </c>
    </row>
    <row r="48582" customFormat="false" ht="12.8" hidden="false" customHeight="false" outlineLevel="0" collapsed="false">
      <c r="B48582" s="0" t="s">
        <v>7</v>
      </c>
    </row>
    <row r="48583" customFormat="false" ht="12.8" hidden="false" customHeight="false" outlineLevel="0" collapsed="false">
      <c r="B48583" s="0" t="s">
        <v>17161</v>
      </c>
    </row>
    <row r="48585" customFormat="false" ht="12.8" hidden="false" customHeight="false" outlineLevel="0" collapsed="false">
      <c r="A48585" s="0" t="s">
        <v>17162</v>
      </c>
      <c r="B48585" s="0" t="str">
        <f aca="false">HYPERLINK("https://lindat.mff.cuni.cz/services/teitok/pdtc10/index.php?action=vallex&amp;frame=v-w6897f1", "trefit se (v-w6897f1)")</f>
        <v>trefit se (v-w6897f1)</v>
      </c>
    </row>
    <row r="48586" customFormat="false" ht="12.8" hidden="false" customHeight="false" outlineLevel="0" collapsed="false">
      <c r="B48586" s="0" t="s">
        <v>7</v>
      </c>
      <c r="E48586" s="0" t="s">
        <v>569</v>
      </c>
      <c r="F48586" s="0" t="s">
        <v>118</v>
      </c>
    </row>
    <row r="48587" customFormat="false" ht="12.8" hidden="false" customHeight="false" outlineLevel="0" collapsed="false">
      <c r="B48587" s="0" t="s">
        <v>124</v>
      </c>
      <c r="E48587" s="0" t="s">
        <v>17163</v>
      </c>
      <c r="F48587" s="0" t="s">
        <v>6966</v>
      </c>
    </row>
    <row r="48589" customFormat="false" ht="12.8" hidden="false" customHeight="false" outlineLevel="0" collapsed="false">
      <c r="A48589" s="0" t="s">
        <v>17164</v>
      </c>
      <c r="B48589" s="0" t="str">
        <f aca="false">HYPERLINK("https://lindat.mff.cuni.cz/services/teitok/pdtc10/index.php?action=vallex&amp;frame=v-w6897hsa_189", "trefit se (v-w6897hsa_189)")</f>
        <v>trefit se (v-w6897hsa_189)</v>
      </c>
    </row>
    <row r="48590" customFormat="false" ht="12.8" hidden="false" customHeight="false" outlineLevel="0" collapsed="false">
      <c r="B48590" s="0" t="s">
        <v>7</v>
      </c>
    </row>
    <row r="48592" customFormat="false" ht="12.8" hidden="false" customHeight="false" outlineLevel="0" collapsed="false">
      <c r="A48592" s="0" t="s">
        <v>17165</v>
      </c>
      <c r="B48592" s="0" t="str">
        <f aca="false">HYPERLINK("https://lindat.mff.cuni.cz/services/teitok/pdtc10/index.php?action=vallex&amp;frame=v-w6897f2_ZU", "trefit se (v-w6897f2_ZU)")</f>
        <v>trefit se (v-w6897f2_ZU)</v>
      </c>
    </row>
    <row r="48593" customFormat="false" ht="12.8" hidden="false" customHeight="false" outlineLevel="0" collapsed="false">
      <c r="B48593" s="0" t="s">
        <v>7</v>
      </c>
    </row>
    <row r="48594" customFormat="false" ht="12.8" hidden="false" customHeight="false" outlineLevel="0" collapsed="false">
      <c r="B48594" s="0" t="s">
        <v>338</v>
      </c>
    </row>
    <row r="48596" customFormat="false" ht="12.8" hidden="false" customHeight="false" outlineLevel="0" collapsed="false">
      <c r="A48596" s="0" t="s">
        <v>17166</v>
      </c>
      <c r="B48596" s="0" t="str">
        <f aca="false">HYPERLINK("https://lindat.mff.cuni.cz/services/teitok/pdtc10/index.php?action=vallex&amp;frame=v-w11797_ZUf1_ZU", "trefovat se (v-w11797_ZUf1_ZU)")</f>
        <v>trefovat se (v-w11797_ZUf1_ZU)</v>
      </c>
    </row>
    <row r="48597" customFormat="false" ht="12.8" hidden="false" customHeight="false" outlineLevel="0" collapsed="false">
      <c r="B48597" s="0" t="s">
        <v>7</v>
      </c>
    </row>
    <row r="48599" customFormat="false" ht="12.8" hidden="false" customHeight="false" outlineLevel="0" collapsed="false">
      <c r="A48599" s="0" t="s">
        <v>17167</v>
      </c>
      <c r="B48599" s="0" t="str">
        <f aca="false">HYPERLINK("https://lindat.mff.cuni.cz/services/teitok/pdtc10/index.php?action=vallex&amp;frame=v-w6907f1", "trestat (v-w6907f1)")</f>
        <v>trestat (v-w6907f1)</v>
      </c>
    </row>
    <row r="48600" customFormat="false" ht="12.8" hidden="false" customHeight="false" outlineLevel="0" collapsed="false">
      <c r="B48600" s="0" t="s">
        <v>7</v>
      </c>
      <c r="C48600" s="0" t="s">
        <v>335</v>
      </c>
      <c r="D48600" s="0" t="s">
        <v>126</v>
      </c>
      <c r="E48600" s="0" t="s">
        <v>126</v>
      </c>
      <c r="F48600" s="0" t="s">
        <v>126</v>
      </c>
    </row>
    <row r="48601" customFormat="false" ht="12.8" hidden="false" customHeight="false" outlineLevel="0" collapsed="false">
      <c r="B48601" s="0" t="s">
        <v>14</v>
      </c>
      <c r="C48601" s="0" t="s">
        <v>624</v>
      </c>
      <c r="D48601" s="0" t="s">
        <v>452</v>
      </c>
      <c r="E48601" s="0" t="s">
        <v>452</v>
      </c>
      <c r="F48601" s="0" t="s">
        <v>452</v>
      </c>
    </row>
    <row r="48603" customFormat="false" ht="12.8" hidden="false" customHeight="false" outlineLevel="0" collapsed="false">
      <c r="A48603" s="0" t="s">
        <v>17168</v>
      </c>
      <c r="B48603" s="0" t="str">
        <f aca="false">HYPERLINK("https://lindat.mff.cuni.cz/services/teitok/pdtc10/index.php?action=vallex&amp;frame=v-w6909f1", "trhat (v-w6909f1)")</f>
        <v>trhat (v-w6909f1)</v>
      </c>
    </row>
    <row r="48604" customFormat="false" ht="12.8" hidden="false" customHeight="false" outlineLevel="0" collapsed="false">
      <c r="B48604" s="0" t="s">
        <v>7</v>
      </c>
      <c r="D48604" s="0" t="s">
        <v>2797</v>
      </c>
      <c r="E48604" s="0" t="s">
        <v>2797</v>
      </c>
      <c r="F48604" s="0" t="s">
        <v>2797</v>
      </c>
    </row>
    <row r="48605" customFormat="false" ht="12.8" hidden="false" customHeight="false" outlineLevel="0" collapsed="false">
      <c r="B48605" s="0" t="s">
        <v>14</v>
      </c>
      <c r="C48605" s="0" t="s">
        <v>155</v>
      </c>
      <c r="D48605" s="0" t="s">
        <v>4163</v>
      </c>
      <c r="E48605" s="0" t="s">
        <v>4163</v>
      </c>
      <c r="F48605" s="0" t="s">
        <v>4163</v>
      </c>
    </row>
    <row r="48606" customFormat="false" ht="12.8" hidden="false" customHeight="false" outlineLevel="0" collapsed="false">
      <c r="B48606" s="0" t="s">
        <v>84</v>
      </c>
      <c r="D48606" s="0" t="s">
        <v>13112</v>
      </c>
      <c r="E48606" s="0" t="s">
        <v>13112</v>
      </c>
      <c r="F48606" s="0" t="s">
        <v>13112</v>
      </c>
    </row>
    <row r="48608" customFormat="false" ht="12.8" hidden="false" customHeight="false" outlineLevel="0" collapsed="false">
      <c r="A48608" s="0" t="s">
        <v>17169</v>
      </c>
      <c r="B48608" s="0" t="str">
        <f aca="false">HYPERLINK("https://lindat.mff.cuni.cz/services/teitok/pdtc10/index.php?action=vallex&amp;frame=v-w6909f2_ZU", "trhat (v-w6909f2_ZU)")</f>
        <v>trhat (v-w6909f2_ZU)</v>
      </c>
    </row>
    <row r="48609" customFormat="false" ht="12.8" hidden="false" customHeight="false" outlineLevel="0" collapsed="false">
      <c r="B48609" s="0" t="s">
        <v>7</v>
      </c>
    </row>
    <row r="48611" customFormat="false" ht="12.8" hidden="false" customHeight="false" outlineLevel="0" collapsed="false">
      <c r="A48611" s="0" t="s">
        <v>17170</v>
      </c>
      <c r="B48611" s="0" t="str">
        <f aca="false">HYPERLINK("https://lindat.mff.cuni.cz/services/teitok/pdtc10/index.php?action=vallex&amp;frame=v-w6909f3_ZU", "trhat (v-w6909f3_ZU)")</f>
        <v>trhat (v-w6909f3_ZU)</v>
      </c>
    </row>
    <row r="48612" customFormat="false" ht="12.8" hidden="false" customHeight="false" outlineLevel="0" collapsed="false">
      <c r="B48612" s="0" t="s">
        <v>7</v>
      </c>
    </row>
    <row r="48613" customFormat="false" ht="12.8" hidden="false" customHeight="false" outlineLevel="0" collapsed="false">
      <c r="B48613" s="0" t="s">
        <v>14</v>
      </c>
    </row>
    <row r="48615" customFormat="false" ht="12.8" hidden="false" customHeight="false" outlineLevel="0" collapsed="false">
      <c r="A48615" s="0" t="s">
        <v>17170</v>
      </c>
      <c r="B48615" s="0" t="str">
        <f aca="false">HYPERLINK("https://lindat.mff.cuni.cz/services/teitok/pdtc10/index.php?action=vallex&amp;frame=v-w6909hsa_1900", "trhat (v-w6909hsa_1900) - substituted with v-w6909f3_ZU")</f>
        <v>trhat (v-w6909hsa_1900) - substituted with v-w6909f3_ZU</v>
      </c>
    </row>
    <row r="48616" customFormat="false" ht="12.8" hidden="false" customHeight="false" outlineLevel="0" collapsed="false">
      <c r="B48616" s="0" t="s">
        <v>7</v>
      </c>
    </row>
    <row r="48617" customFormat="false" ht="12.8" hidden="false" customHeight="false" outlineLevel="0" collapsed="false">
      <c r="B48617" s="0" t="s">
        <v>14</v>
      </c>
    </row>
    <row r="48619" customFormat="false" ht="12.8" hidden="false" customHeight="false" outlineLevel="0" collapsed="false">
      <c r="A48619" s="0" t="s">
        <v>17171</v>
      </c>
      <c r="B48619" s="0" t="str">
        <f aca="false">HYPERLINK("https://lindat.mff.cuni.cz/services/teitok/pdtc10/index.php?action=vallex&amp;frame=v-w12333_MMf1_MM", "trhat se (v-w12333_MMf1_MM)")</f>
        <v>trhat se (v-w12333_MMf1_MM)</v>
      </c>
    </row>
    <row r="48620" customFormat="false" ht="12.8" hidden="false" customHeight="false" outlineLevel="0" collapsed="false">
      <c r="B48620" s="0" t="s">
        <v>7</v>
      </c>
    </row>
    <row r="48621" customFormat="false" ht="12.8" hidden="false" customHeight="false" outlineLevel="0" collapsed="false">
      <c r="B48621" s="0" t="s">
        <v>459</v>
      </c>
    </row>
    <row r="48623" customFormat="false" ht="12.8" hidden="false" customHeight="false" outlineLevel="0" collapsed="false">
      <c r="A48623" s="0" t="s">
        <v>17172</v>
      </c>
      <c r="B48623" s="0" t="str">
        <f aca="false">HYPERLINK("https://lindat.mff.cuni.cz/services/teitok/pdtc10/index.php?action=vallex&amp;frame=v-w12371_MMf1_MM", "trhnout (v-w12371_MMf1_MM)")</f>
        <v>trhnout (v-w12371_MMf1_MM)</v>
      </c>
    </row>
    <row r="48624" customFormat="false" ht="12.8" hidden="false" customHeight="false" outlineLevel="0" collapsed="false">
      <c r="B48624" s="0" t="s">
        <v>7</v>
      </c>
    </row>
    <row r="48625" customFormat="false" ht="12.8" hidden="false" customHeight="false" outlineLevel="0" collapsed="false">
      <c r="B48625" s="0" t="s">
        <v>9722</v>
      </c>
    </row>
    <row r="48627" customFormat="false" ht="12.8" hidden="false" customHeight="false" outlineLevel="0" collapsed="false">
      <c r="A48627" s="0" t="s">
        <v>17173</v>
      </c>
      <c r="B48627" s="0" t="str">
        <f aca="false">HYPERLINK("https://lindat.mff.cuni.cz/services/teitok/pdtc10/index.php?action=vallex&amp;frame=v-w12092_ZUf1_ZU", "trhnout se (v-w12092_ZUf1_ZU)")</f>
        <v>trhnout se (v-w12092_ZUf1_ZU)</v>
      </c>
    </row>
    <row r="48628" customFormat="false" ht="12.8" hidden="false" customHeight="false" outlineLevel="0" collapsed="false">
      <c r="B48628" s="0" t="s">
        <v>7</v>
      </c>
    </row>
    <row r="48629" customFormat="false" ht="12.8" hidden="false" customHeight="false" outlineLevel="0" collapsed="false">
      <c r="B48629" s="0" t="s">
        <v>5382</v>
      </c>
    </row>
    <row r="48631" customFormat="false" ht="12.8" hidden="false" customHeight="false" outlineLevel="0" collapsed="false">
      <c r="A48631" s="0" t="s">
        <v>17174</v>
      </c>
      <c r="B48631" s="0" t="str">
        <f aca="false">HYPERLINK("https://lindat.mff.cuni.cz/services/teitok/pdtc10/index.php?action=vallex&amp;frame=v-w12092_ZUf2_ZU", "trhnout se (v-w12092_ZUf2_ZU)")</f>
        <v>trhnout se (v-w12092_ZUf2_ZU)</v>
      </c>
    </row>
    <row r="48632" customFormat="false" ht="12.8" hidden="false" customHeight="false" outlineLevel="0" collapsed="false">
      <c r="B48632" s="0" t="s">
        <v>7</v>
      </c>
    </row>
    <row r="48633" customFormat="false" ht="12.8" hidden="false" customHeight="false" outlineLevel="0" collapsed="false">
      <c r="B48633" s="0" t="s">
        <v>28</v>
      </c>
    </row>
    <row r="48635" customFormat="false" ht="12.8" hidden="false" customHeight="false" outlineLevel="0" collapsed="false">
      <c r="A48635" s="0" t="s">
        <v>17175</v>
      </c>
      <c r="B48635" s="0" t="str">
        <f aca="false">HYPERLINK("https://lindat.mff.cuni.cz/services/teitok/pdtc10/index.php?action=vallex&amp;frame=v-w6913f1", "triumfovat (v-w6913f1)")</f>
        <v>triumfovat (v-w6913f1)</v>
      </c>
    </row>
    <row r="48636" customFormat="false" ht="12.8" hidden="false" customHeight="false" outlineLevel="0" collapsed="false">
      <c r="B48636" s="0" t="s">
        <v>7</v>
      </c>
    </row>
    <row r="48637" customFormat="false" ht="12.8" hidden="false" customHeight="false" outlineLevel="0" collapsed="false">
      <c r="B48637" s="0" t="s">
        <v>223</v>
      </c>
    </row>
    <row r="48639" customFormat="false" ht="12.8" hidden="false" customHeight="false" outlineLevel="0" collapsed="false">
      <c r="A48639" s="0" t="s">
        <v>17176</v>
      </c>
      <c r="B48639" s="0" t="str">
        <f aca="false">HYPERLINK("https://lindat.mff.cuni.cz/services/teitok/pdtc10/index.php?action=vallex&amp;frame=v-w10279f2", "trivializovat (v-w10279f2)")</f>
        <v>trivializovat (v-w10279f2)</v>
      </c>
    </row>
    <row r="48640" customFormat="false" ht="12.8" hidden="false" customHeight="false" outlineLevel="0" collapsed="false">
      <c r="B48640" s="0" t="s">
        <v>7</v>
      </c>
      <c r="D48640" s="0" t="s">
        <v>171</v>
      </c>
      <c r="E48640" s="0" t="s">
        <v>171</v>
      </c>
      <c r="F48640" s="0" t="s">
        <v>171</v>
      </c>
    </row>
    <row r="48641" customFormat="false" ht="12.8" hidden="false" customHeight="false" outlineLevel="0" collapsed="false">
      <c r="B48641" s="0" t="s">
        <v>14</v>
      </c>
      <c r="C48641" s="0" t="s">
        <v>155</v>
      </c>
      <c r="D48641" s="0" t="s">
        <v>174</v>
      </c>
      <c r="E48641" s="0" t="s">
        <v>174</v>
      </c>
      <c r="F48641" s="0" t="s">
        <v>174</v>
      </c>
    </row>
    <row r="48643" customFormat="false" ht="12.8" hidden="false" customHeight="false" outlineLevel="0" collapsed="false">
      <c r="A48643" s="0" t="s">
        <v>17177</v>
      </c>
      <c r="B48643" s="0" t="str">
        <f aca="false">HYPERLINK("https://lindat.mff.cuni.cz/services/teitok/pdtc10/index.php?action=vallex&amp;frame=v-w11604_ZUf1_ZU", "trmácet se (v-w11604_ZUf1_ZU)")</f>
        <v>trmácet se (v-w11604_ZUf1_ZU)</v>
      </c>
    </row>
    <row r="48644" customFormat="false" ht="12.8" hidden="false" customHeight="false" outlineLevel="0" collapsed="false">
      <c r="B48644" s="0" t="s">
        <v>7</v>
      </c>
    </row>
    <row r="48646" customFormat="false" ht="12.8" hidden="false" customHeight="false" outlineLevel="0" collapsed="false">
      <c r="A48646" s="0" t="s">
        <v>17178</v>
      </c>
      <c r="B48646" s="0" t="str">
        <f aca="false">HYPERLINK("https://lindat.mff.cuni.cz/services/teitok/pdtc10/index.php?action=vallex&amp;frame=v-whsa_1248hsa_1249", "trnout (v-whsa_1248hsa_1249)")</f>
        <v>trnout (v-whsa_1248hsa_1249)</v>
      </c>
    </row>
    <row r="48647" customFormat="false" ht="12.8" hidden="false" customHeight="false" outlineLevel="0" collapsed="false">
      <c r="B48647" s="0" t="s">
        <v>7</v>
      </c>
    </row>
    <row r="48648" customFormat="false" ht="12.8" hidden="false" customHeight="false" outlineLevel="0" collapsed="false">
      <c r="B48648" s="0" t="s">
        <v>17179</v>
      </c>
    </row>
    <row r="48650" customFormat="false" ht="12.8" hidden="false" customHeight="false" outlineLevel="0" collapsed="false">
      <c r="A48650" s="0" t="s">
        <v>17180</v>
      </c>
      <c r="B48650" s="0" t="str">
        <f aca="false">HYPERLINK("https://lindat.mff.cuni.cz/services/teitok/pdtc10/index.php?action=vallex&amp;frame=v-w6914f1", "tropit (v-w6914f1)")</f>
        <v>tropit (v-w6914f1)</v>
      </c>
    </row>
    <row r="48651" customFormat="false" ht="12.8" hidden="false" customHeight="false" outlineLevel="0" collapsed="false">
      <c r="B48651" s="0" t="s">
        <v>7</v>
      </c>
      <c r="D48651" s="0" t="s">
        <v>570</v>
      </c>
      <c r="E48651" s="0" t="s">
        <v>570</v>
      </c>
      <c r="F48651" s="0" t="s">
        <v>570</v>
      </c>
    </row>
    <row r="48652" customFormat="false" ht="12.8" hidden="false" customHeight="false" outlineLevel="0" collapsed="false">
      <c r="B48652" s="0" t="s">
        <v>14</v>
      </c>
      <c r="D48652" s="0" t="s">
        <v>5917</v>
      </c>
      <c r="E48652" s="0" t="s">
        <v>5917</v>
      </c>
      <c r="F48652" s="0" t="s">
        <v>5917</v>
      </c>
    </row>
    <row r="48653" customFormat="false" ht="12.8" hidden="false" customHeight="false" outlineLevel="0" collapsed="false">
      <c r="B48653" s="0" t="s">
        <v>48</v>
      </c>
      <c r="D48653" s="0" t="s">
        <v>6418</v>
      </c>
      <c r="E48653" s="0" t="s">
        <v>6418</v>
      </c>
      <c r="F48653" s="0" t="s">
        <v>6418</v>
      </c>
    </row>
    <row r="48655" customFormat="false" ht="12.8" hidden="false" customHeight="false" outlineLevel="0" collapsed="false">
      <c r="A48655" s="0" t="s">
        <v>17181</v>
      </c>
      <c r="B48655" s="0" t="str">
        <f aca="false">HYPERLINK("https://lindat.mff.cuni.cz/services/teitok/pdtc10/index.php?action=vallex&amp;frame=v-w10945f4", "troubit (v-w10945f4)")</f>
        <v>troubit (v-w10945f4)</v>
      </c>
    </row>
    <row r="48656" customFormat="false" ht="12.8" hidden="false" customHeight="false" outlineLevel="0" collapsed="false">
      <c r="B48656" s="0" t="s">
        <v>7</v>
      </c>
    </row>
    <row r="48658" customFormat="false" ht="12.8" hidden="false" customHeight="false" outlineLevel="0" collapsed="false">
      <c r="A48658" s="0" t="s">
        <v>17182</v>
      </c>
      <c r="B48658" s="0" t="str">
        <f aca="false">HYPERLINK("https://lindat.mff.cuni.cz/services/teitok/pdtc10/index.php?action=vallex&amp;frame=v-w10945f6_ZU", "troubit (v-w10945f6_ZU)")</f>
        <v>troubit (v-w10945f6_ZU)</v>
      </c>
    </row>
    <row r="48659" customFormat="false" ht="12.8" hidden="false" customHeight="false" outlineLevel="0" collapsed="false">
      <c r="B48659" s="0" t="s">
        <v>7</v>
      </c>
    </row>
    <row r="48660" customFormat="false" ht="12.8" hidden="false" customHeight="false" outlineLevel="0" collapsed="false">
      <c r="B48660" s="0" t="s">
        <v>63</v>
      </c>
    </row>
    <row r="48662" customFormat="false" ht="12.8" hidden="false" customHeight="false" outlineLevel="0" collapsed="false">
      <c r="A48662" s="0" t="s">
        <v>17182</v>
      </c>
      <c r="B48662" s="0" t="str">
        <f aca="false">HYPERLINK("https://lindat.mff.cuni.cz/services/teitok/pdtc10/index.php?action=vallex&amp;frame=v-w10945f5", "troubit (v-w10945f5) - substituted with v-w10945f6_ZU")</f>
        <v>troubit (v-w10945f5) - substituted with v-w10945f6_ZU</v>
      </c>
    </row>
    <row r="48663" customFormat="false" ht="12.8" hidden="false" customHeight="false" outlineLevel="0" collapsed="false">
      <c r="B48663" s="0" t="s">
        <v>7</v>
      </c>
    </row>
    <row r="48664" customFormat="false" ht="12.8" hidden="false" customHeight="false" outlineLevel="0" collapsed="false">
      <c r="B48664" s="0" t="s">
        <v>63</v>
      </c>
    </row>
    <row r="48666" customFormat="false" ht="12.8" hidden="false" customHeight="false" outlineLevel="0" collapsed="false">
      <c r="A48666" s="0" t="s">
        <v>17183</v>
      </c>
      <c r="B48666" s="0" t="str">
        <f aca="false">HYPERLINK("https://lindat.mff.cuni.cz/services/teitok/pdtc10/index.php?action=vallex&amp;frame=v-w10945f7_ZU", "troubit (v-w10945f7_ZU)")</f>
        <v>troubit (v-w10945f7_ZU)</v>
      </c>
    </row>
    <row r="48667" customFormat="false" ht="12.8" hidden="false" customHeight="false" outlineLevel="0" collapsed="false">
      <c r="B48667" s="0" t="s">
        <v>7</v>
      </c>
    </row>
    <row r="48669" customFormat="false" ht="12.8" hidden="false" customHeight="false" outlineLevel="0" collapsed="false">
      <c r="A48669" s="0" t="s">
        <v>17184</v>
      </c>
      <c r="B48669" s="0" t="str">
        <f aca="false">HYPERLINK("https://lindat.mff.cuni.cz/services/teitok/pdtc10/index.php?action=vallex&amp;frame=v-w6916f2_ZU", "troufat si (v-w6916f2_ZU)")</f>
        <v>troufat si (v-w6916f2_ZU)</v>
      </c>
    </row>
    <row r="48670" customFormat="false" ht="12.8" hidden="false" customHeight="false" outlineLevel="0" collapsed="false">
      <c r="B48670" s="0" t="s">
        <v>7</v>
      </c>
    </row>
    <row r="48671" customFormat="false" ht="12.8" hidden="false" customHeight="false" outlineLevel="0" collapsed="false">
      <c r="B48671" s="0" t="s">
        <v>16523</v>
      </c>
    </row>
    <row r="48673" customFormat="false" ht="12.8" hidden="false" customHeight="false" outlineLevel="0" collapsed="false">
      <c r="A48673" s="0" t="s">
        <v>17184</v>
      </c>
      <c r="B48673" s="0" t="str">
        <f aca="false">HYPERLINK("https://lindat.mff.cuni.cz/services/teitok/pdtc10/index.php?action=vallex&amp;frame=v-w6916f1", "troufat si (v-w6916f1) - substituted with v-w6916f2_ZU")</f>
        <v>troufat si (v-w6916f1) - substituted with v-w6916f2_ZU</v>
      </c>
    </row>
    <row r="48674" customFormat="false" ht="12.8" hidden="false" customHeight="false" outlineLevel="0" collapsed="false">
      <c r="B48674" s="0" t="s">
        <v>7</v>
      </c>
      <c r="C48674" s="0" t="s">
        <v>46</v>
      </c>
    </row>
    <row r="48675" customFormat="false" ht="12.8" hidden="false" customHeight="false" outlineLevel="0" collapsed="false">
      <c r="B48675" s="0" t="s">
        <v>16523</v>
      </c>
      <c r="C48675" s="0" t="s">
        <v>47</v>
      </c>
    </row>
    <row r="48677" customFormat="false" ht="12.8" hidden="false" customHeight="false" outlineLevel="0" collapsed="false">
      <c r="A48677" s="0" t="s">
        <v>17185</v>
      </c>
      <c r="B48677" s="0" t="str">
        <f aca="false">HYPERLINK("https://lindat.mff.cuni.cz/services/teitok/pdtc10/index.php?action=vallex&amp;frame=v-w6917f1", "troufnout si (v-w6917f1)")</f>
        <v>troufnout si (v-w6917f1)</v>
      </c>
    </row>
    <row r="48678" customFormat="false" ht="12.8" hidden="false" customHeight="false" outlineLevel="0" collapsed="false">
      <c r="B48678" s="0" t="s">
        <v>7</v>
      </c>
      <c r="C48678" s="0" t="s">
        <v>191</v>
      </c>
      <c r="D48678" s="0" t="s">
        <v>17186</v>
      </c>
      <c r="E48678" s="0" t="s">
        <v>17186</v>
      </c>
      <c r="F48678" s="0" t="s">
        <v>17186</v>
      </c>
    </row>
    <row r="48679" customFormat="false" ht="12.8" hidden="false" customHeight="false" outlineLevel="0" collapsed="false">
      <c r="B48679" s="0" t="s">
        <v>147</v>
      </c>
      <c r="C48679" s="0" t="s">
        <v>155</v>
      </c>
      <c r="D48679" s="0" t="s">
        <v>13237</v>
      </c>
      <c r="E48679" s="0" t="s">
        <v>13237</v>
      </c>
      <c r="F48679" s="0" t="s">
        <v>13237</v>
      </c>
    </row>
    <row r="48681" customFormat="false" ht="12.8" hidden="false" customHeight="false" outlineLevel="0" collapsed="false">
      <c r="A48681" s="0" t="s">
        <v>17187</v>
      </c>
      <c r="B48681" s="0" t="str">
        <f aca="false">HYPERLINK("https://lindat.mff.cuni.cz/services/teitok/pdtc10/index.php?action=vallex&amp;frame=v-w12158_ZUf1_ZU", "trousit se (v-w12158_ZUf1_ZU)")</f>
        <v>trousit se (v-w12158_ZUf1_ZU)</v>
      </c>
    </row>
    <row r="48682" customFormat="false" ht="12.8" hidden="false" customHeight="false" outlineLevel="0" collapsed="false">
      <c r="B48682" s="0" t="s">
        <v>7</v>
      </c>
    </row>
    <row r="48684" customFormat="false" ht="12.8" hidden="false" customHeight="false" outlineLevel="0" collapsed="false">
      <c r="A48684" s="0" t="s">
        <v>17188</v>
      </c>
      <c r="B48684" s="0" t="str">
        <f aca="false">HYPERLINK("https://lindat.mff.cuni.cz/services/teitok/pdtc10/index.php?action=vallex&amp;frame=v-w6918f3", "trpět (v-w6918f3)")</f>
        <v>trpět (v-w6918f3)</v>
      </c>
    </row>
    <row r="48685" customFormat="false" ht="12.8" hidden="false" customHeight="false" outlineLevel="0" collapsed="false">
      <c r="B48685" s="0" t="s">
        <v>7</v>
      </c>
    </row>
    <row r="48686" customFormat="false" ht="12.8" hidden="false" customHeight="false" outlineLevel="0" collapsed="false">
      <c r="B48686" s="0" t="s">
        <v>172</v>
      </c>
    </row>
    <row r="48687" customFormat="false" ht="12.8" hidden="false" customHeight="false" outlineLevel="0" collapsed="false">
      <c r="B48687" s="0" t="s">
        <v>106</v>
      </c>
    </row>
    <row r="48689" customFormat="false" ht="12.8" hidden="false" customHeight="false" outlineLevel="0" collapsed="false">
      <c r="A48689" s="0" t="s">
        <v>17189</v>
      </c>
      <c r="B48689" s="0" t="str">
        <f aca="false">HYPERLINK("https://lindat.mff.cuni.cz/services/teitok/pdtc10/index.php?action=vallex&amp;frame=v-w6918f5_ZU", "trpět (v-w6918f5_ZU)")</f>
        <v>trpět (v-w6918f5_ZU)</v>
      </c>
    </row>
    <row r="48690" customFormat="false" ht="12.8" hidden="false" customHeight="false" outlineLevel="0" collapsed="false">
      <c r="B48690" s="0" t="s">
        <v>7</v>
      </c>
      <c r="C48690" s="0" t="s">
        <v>1378</v>
      </c>
      <c r="D48690" s="0" t="s">
        <v>2092</v>
      </c>
      <c r="E48690" s="0" t="s">
        <v>2092</v>
      </c>
      <c r="F48690" s="0" t="s">
        <v>2092</v>
      </c>
    </row>
    <row r="48691" customFormat="false" ht="12.8" hidden="false" customHeight="false" outlineLevel="0" collapsed="false">
      <c r="B48691" s="0" t="s">
        <v>17190</v>
      </c>
      <c r="C48691" s="0" t="s">
        <v>8908</v>
      </c>
      <c r="D48691" s="0" t="s">
        <v>2094</v>
      </c>
      <c r="E48691" s="0" t="s">
        <v>2094</v>
      </c>
      <c r="F48691" s="0" t="s">
        <v>2094</v>
      </c>
    </row>
    <row r="48693" customFormat="false" ht="12.8" hidden="false" customHeight="false" outlineLevel="0" collapsed="false">
      <c r="A48693" s="0" t="s">
        <v>17189</v>
      </c>
      <c r="B48693" s="0" t="str">
        <f aca="false">HYPERLINK("https://lindat.mff.cuni.cz/services/teitok/pdtc10/index.php?action=vallex&amp;frame=v-w6918f1", "trpět (v-w6918f1) - substituted with v-w6918f5_ZU")</f>
        <v>trpět (v-w6918f1) - substituted with v-w6918f5_ZU</v>
      </c>
    </row>
    <row r="48694" customFormat="false" ht="12.8" hidden="false" customHeight="false" outlineLevel="0" collapsed="false">
      <c r="B48694" s="0" t="s">
        <v>7</v>
      </c>
      <c r="C48694" s="0" t="s">
        <v>17191</v>
      </c>
    </row>
    <row r="48695" customFormat="false" ht="12.8" hidden="false" customHeight="false" outlineLevel="0" collapsed="false">
      <c r="B48695" s="0" t="s">
        <v>17190</v>
      </c>
      <c r="C48695" s="0" t="s">
        <v>17192</v>
      </c>
    </row>
    <row r="48697" customFormat="false" ht="12.8" hidden="false" customHeight="false" outlineLevel="0" collapsed="false">
      <c r="A48697" s="0" t="s">
        <v>17193</v>
      </c>
      <c r="B48697" s="0" t="str">
        <f aca="false">HYPERLINK("https://lindat.mff.cuni.cz/services/teitok/pdtc10/index.php?action=vallex&amp;frame=v-w6918f4", "trpět (v-w6918f4)")</f>
        <v>trpět (v-w6918f4)</v>
      </c>
    </row>
    <row r="48698" customFormat="false" ht="12.8" hidden="false" customHeight="false" outlineLevel="0" collapsed="false">
      <c r="B48698" s="0" t="s">
        <v>7</v>
      </c>
    </row>
    <row r="48699" customFormat="false" ht="12.8" hidden="false" customHeight="false" outlineLevel="0" collapsed="false">
      <c r="B48699" s="0" t="s">
        <v>41</v>
      </c>
    </row>
    <row r="48701" customFormat="false" ht="12.8" hidden="false" customHeight="false" outlineLevel="0" collapsed="false">
      <c r="A48701" s="0" t="s">
        <v>17194</v>
      </c>
      <c r="B48701" s="0" t="str">
        <f aca="false">HYPERLINK("https://lindat.mff.cuni.cz/services/teitok/pdtc10/index.php?action=vallex&amp;frame=v-w6918f2", "trpět (v-w6918f2)")</f>
        <v>trpět (v-w6918f2)</v>
      </c>
    </row>
    <row r="48702" customFormat="false" ht="12.8" hidden="false" customHeight="false" outlineLevel="0" collapsed="false">
      <c r="B48702" s="0" t="s">
        <v>7</v>
      </c>
      <c r="C48702" s="0" t="s">
        <v>17195</v>
      </c>
      <c r="D48702" s="0" t="s">
        <v>2092</v>
      </c>
      <c r="E48702" s="0" t="s">
        <v>2092</v>
      </c>
      <c r="F48702" s="0" t="s">
        <v>2092</v>
      </c>
    </row>
    <row r="48704" customFormat="false" ht="12.8" hidden="false" customHeight="false" outlineLevel="0" collapsed="false">
      <c r="A48704" s="0" t="s">
        <v>17196</v>
      </c>
      <c r="B48704" s="0" t="str">
        <f aca="false">HYPERLINK("https://lindat.mff.cuni.cz/services/teitok/pdtc10/index.php?action=vallex&amp;frame=v-w10265f2", "truchlit (v-w10265f2)")</f>
        <v>truchlit (v-w10265f2)</v>
      </c>
    </row>
    <row r="48705" customFormat="false" ht="12.8" hidden="false" customHeight="false" outlineLevel="0" collapsed="false">
      <c r="B48705" s="0" t="s">
        <v>7</v>
      </c>
    </row>
    <row r="48706" customFormat="false" ht="12.8" hidden="false" customHeight="false" outlineLevel="0" collapsed="false">
      <c r="B48706" s="0" t="s">
        <v>17197</v>
      </c>
    </row>
    <row r="48708" customFormat="false" ht="12.8" hidden="false" customHeight="false" outlineLevel="0" collapsed="false">
      <c r="A48708" s="0" t="s">
        <v>17198</v>
      </c>
      <c r="B48708" s="0" t="str">
        <f aca="false">HYPERLINK("https://lindat.mff.cuni.cz/services/teitok/pdtc10/index.php?action=vallex&amp;frame=v-w12168_ZUf1_ZU", "trucovat (v-w12168_ZUf1_ZU)")</f>
        <v>trucovat (v-w12168_ZUf1_ZU)</v>
      </c>
    </row>
    <row r="48709" customFormat="false" ht="12.8" hidden="false" customHeight="false" outlineLevel="0" collapsed="false">
      <c r="B48709" s="0" t="s">
        <v>7</v>
      </c>
    </row>
    <row r="48711" customFormat="false" ht="12.8" hidden="false" customHeight="false" outlineLevel="0" collapsed="false">
      <c r="A48711" s="0" t="s">
        <v>17199</v>
      </c>
      <c r="B48711" s="0" t="str">
        <f aca="false">HYPERLINK("https://lindat.mff.cuni.cz/services/teitok/pdtc10/index.php?action=vallex&amp;frame=v-w11086f2", "trumfnout (v-w11086f2)")</f>
        <v>trumfnout (v-w11086f2)</v>
      </c>
    </row>
    <row r="48712" customFormat="false" ht="12.8" hidden="false" customHeight="false" outlineLevel="0" collapsed="false">
      <c r="B48712" s="0" t="s">
        <v>7</v>
      </c>
    </row>
    <row r="48713" customFormat="false" ht="12.8" hidden="false" customHeight="false" outlineLevel="0" collapsed="false">
      <c r="B48713" s="0" t="s">
        <v>14</v>
      </c>
    </row>
    <row r="48715" customFormat="false" ht="12.8" hidden="false" customHeight="false" outlineLevel="0" collapsed="false">
      <c r="A48715" s="0" t="s">
        <v>17200</v>
      </c>
      <c r="B48715" s="0" t="str">
        <f aca="false">HYPERLINK("https://lindat.mff.cuni.cz/services/teitok/pdtc10/index.php?action=vallex&amp;frame=v-w6920f1", "trumfovat (v-w6920f1)")</f>
        <v>trumfovat (v-w6920f1)</v>
      </c>
    </row>
    <row r="48716" customFormat="false" ht="12.8" hidden="false" customHeight="false" outlineLevel="0" collapsed="false">
      <c r="B48716" s="0" t="s">
        <v>7</v>
      </c>
      <c r="D48716" s="0" t="s">
        <v>17201</v>
      </c>
      <c r="E48716" s="0" t="s">
        <v>17201</v>
      </c>
      <c r="F48716" s="0" t="s">
        <v>17201</v>
      </c>
    </row>
    <row r="48717" customFormat="false" ht="12.8" hidden="false" customHeight="false" outlineLevel="0" collapsed="false">
      <c r="B48717" s="0" t="s">
        <v>14</v>
      </c>
      <c r="D48717" s="0" t="s">
        <v>8316</v>
      </c>
      <c r="E48717" s="0" t="s">
        <v>8316</v>
      </c>
      <c r="F48717" s="0" t="s">
        <v>8316</v>
      </c>
    </row>
    <row r="48719" customFormat="false" ht="12.8" hidden="false" customHeight="false" outlineLevel="0" collapsed="false">
      <c r="A48719" s="0" t="s">
        <v>17202</v>
      </c>
      <c r="B48719" s="0" t="str">
        <f aca="false">HYPERLINK("https://lindat.mff.cuni.cz/services/teitok/pdtc10/index.php?action=vallex&amp;frame=v-w6923f3", "trvat (v-w6923f3)")</f>
        <v>trvat (v-w6923f3)</v>
      </c>
    </row>
    <row r="48720" customFormat="false" ht="12.8" hidden="false" customHeight="false" outlineLevel="0" collapsed="false">
      <c r="B48720" s="0" t="s">
        <v>17203</v>
      </c>
      <c r="C48720" s="0" t="s">
        <v>17204</v>
      </c>
      <c r="D48720" s="0" t="s">
        <v>17205</v>
      </c>
      <c r="E48720" s="0" t="s">
        <v>17205</v>
      </c>
      <c r="F48720" s="0" t="s">
        <v>17205</v>
      </c>
    </row>
    <row r="48721" customFormat="false" ht="12.8" hidden="false" customHeight="false" outlineLevel="0" collapsed="false">
      <c r="B48721" s="0" t="s">
        <v>142</v>
      </c>
    </row>
    <row r="48723" customFormat="false" ht="12.8" hidden="false" customHeight="false" outlineLevel="0" collapsed="false">
      <c r="A48723" s="0" t="s">
        <v>17206</v>
      </c>
      <c r="B48723" s="0" t="str">
        <f aca="false">HYPERLINK("https://lindat.mff.cuni.cz/services/teitok/pdtc10/index.php?action=vallex&amp;frame=v-w6923f2", "trvat (v-w6923f2)")</f>
        <v>trvat (v-w6923f2)</v>
      </c>
    </row>
    <row r="48724" customFormat="false" ht="12.8" hidden="false" customHeight="false" outlineLevel="0" collapsed="false">
      <c r="B48724" s="0" t="s">
        <v>7</v>
      </c>
      <c r="C48724" s="0" t="s">
        <v>17207</v>
      </c>
      <c r="D48724" s="0" t="s">
        <v>17208</v>
      </c>
      <c r="E48724" s="0" t="s">
        <v>17208</v>
      </c>
      <c r="F48724" s="0" t="s">
        <v>17208</v>
      </c>
    </row>
    <row r="48725" customFormat="false" ht="12.8" hidden="false" customHeight="false" outlineLevel="0" collapsed="false">
      <c r="B48725" s="0" t="s">
        <v>220</v>
      </c>
      <c r="C48725" s="0" t="s">
        <v>17209</v>
      </c>
      <c r="D48725" s="0" t="s">
        <v>17210</v>
      </c>
      <c r="E48725" s="0" t="s">
        <v>17210</v>
      </c>
      <c r="F48725" s="0" t="s">
        <v>17210</v>
      </c>
    </row>
    <row r="48727" customFormat="false" ht="12.8" hidden="false" customHeight="false" outlineLevel="0" collapsed="false">
      <c r="A48727" s="0" t="s">
        <v>17211</v>
      </c>
      <c r="B48727" s="0" t="str">
        <f aca="false">HYPERLINK("https://lindat.mff.cuni.cz/services/teitok/pdtc10/index.php?action=vallex&amp;frame=v-w6923f1", "trvat (v-w6923f1)")</f>
        <v>trvat (v-w6923f1)</v>
      </c>
    </row>
    <row r="48728" customFormat="false" ht="12.8" hidden="false" customHeight="false" outlineLevel="0" collapsed="false">
      <c r="B48728" s="0" t="s">
        <v>7</v>
      </c>
      <c r="C48728" s="0" t="s">
        <v>17212</v>
      </c>
      <c r="D48728" s="0" t="s">
        <v>1108</v>
      </c>
      <c r="E48728" s="0" t="s">
        <v>1108</v>
      </c>
      <c r="F48728" s="0" t="s">
        <v>1108</v>
      </c>
    </row>
    <row r="48730" customFormat="false" ht="12.8" hidden="false" customHeight="false" outlineLevel="0" collapsed="false">
      <c r="A48730" s="0" t="s">
        <v>17213</v>
      </c>
      <c r="B48730" s="0" t="str">
        <f aca="false">HYPERLINK("https://lindat.mff.cuni.cz/services/teitok/pdtc10/index.php?action=vallex&amp;frame=v-w6923f4", "trvat (v-w6923f4)")</f>
        <v>trvat (v-w6923f4)</v>
      </c>
    </row>
    <row r="48731" customFormat="false" ht="12.8" hidden="false" customHeight="false" outlineLevel="0" collapsed="false">
      <c r="B48731" s="0" t="s">
        <v>7</v>
      </c>
      <c r="D48731" s="0" t="s">
        <v>1386</v>
      </c>
      <c r="E48731" s="0" t="s">
        <v>1386</v>
      </c>
      <c r="F48731" s="0" t="s">
        <v>1386</v>
      </c>
    </row>
    <row r="48732" customFormat="false" ht="12.8" hidden="false" customHeight="false" outlineLevel="0" collapsed="false">
      <c r="B48732" s="0" t="s">
        <v>17214</v>
      </c>
      <c r="D48732" s="0" t="s">
        <v>3125</v>
      </c>
      <c r="E48732" s="0" t="s">
        <v>3125</v>
      </c>
      <c r="F48732" s="0" t="s">
        <v>3125</v>
      </c>
    </row>
    <row r="48734" customFormat="false" ht="12.8" hidden="false" customHeight="false" outlineLevel="0" collapsed="false">
      <c r="A48734" s="0" t="s">
        <v>17215</v>
      </c>
      <c r="B48734" s="0" t="str">
        <f aca="false">HYPERLINK("https://lindat.mff.cuni.cz/services/teitok/pdtc10/index.php?action=vallex&amp;frame=v-w11200f2", "tryskat (v-w11200f2)")</f>
        <v>tryskat (v-w11200f2)</v>
      </c>
    </row>
    <row r="48735" customFormat="false" ht="12.8" hidden="false" customHeight="false" outlineLevel="0" collapsed="false">
      <c r="B48735" s="0" t="s">
        <v>7</v>
      </c>
      <c r="C48735" s="0" t="s">
        <v>247</v>
      </c>
      <c r="D48735" s="0" t="s">
        <v>9818</v>
      </c>
      <c r="E48735" s="0" t="s">
        <v>9818</v>
      </c>
      <c r="F48735" s="0" t="s">
        <v>9818</v>
      </c>
    </row>
    <row r="48736" customFormat="false" ht="12.8" hidden="false" customHeight="false" outlineLevel="0" collapsed="false">
      <c r="B48736" s="0" t="s">
        <v>459</v>
      </c>
      <c r="D48736" s="0" t="s">
        <v>17216</v>
      </c>
      <c r="E48736" s="0" t="s">
        <v>17216</v>
      </c>
      <c r="F48736" s="0" t="s">
        <v>17216</v>
      </c>
    </row>
    <row r="48738" customFormat="false" ht="12.8" hidden="false" customHeight="false" outlineLevel="0" collapsed="false">
      <c r="A48738" s="0" t="s">
        <v>17217</v>
      </c>
      <c r="B48738" s="0" t="str">
        <f aca="false">HYPERLINK("https://lindat.mff.cuni.cz/services/teitok/pdtc10/index.php?action=vallex&amp;frame=v-w6889hsa_458", "trápit (v-w6889hsa_458)")</f>
        <v>trápit (v-w6889hsa_458)</v>
      </c>
    </row>
    <row r="48739" customFormat="false" ht="12.8" hidden="false" customHeight="false" outlineLevel="0" collapsed="false">
      <c r="B48739" s="0" t="s">
        <v>17218</v>
      </c>
      <c r="D48739" s="0" t="s">
        <v>17219</v>
      </c>
      <c r="E48739" s="0" t="s">
        <v>17219</v>
      </c>
      <c r="F48739" s="0" t="s">
        <v>17219</v>
      </c>
    </row>
    <row r="48740" customFormat="false" ht="12.8" hidden="false" customHeight="false" outlineLevel="0" collapsed="false">
      <c r="B48740" s="0" t="s">
        <v>14</v>
      </c>
      <c r="D48740" s="0" t="s">
        <v>17220</v>
      </c>
      <c r="E48740" s="0" t="s">
        <v>17220</v>
      </c>
      <c r="F48740" s="0" t="s">
        <v>17220</v>
      </c>
    </row>
    <row r="48742" customFormat="false" ht="12.8" hidden="false" customHeight="false" outlineLevel="0" collapsed="false">
      <c r="A48742" s="0" t="s">
        <v>17217</v>
      </c>
      <c r="B48742" s="0" t="str">
        <f aca="false">HYPERLINK("https://lindat.mff.cuni.cz/services/teitok/pdtc10/index.php?action=vallex&amp;frame=v-w6889f1", "trápit (v-w6889f1) - substituted with v-w6889hsa_458")</f>
        <v>trápit (v-w6889f1) - substituted with v-w6889hsa_458</v>
      </c>
    </row>
    <row r="48743" customFormat="false" ht="12.8" hidden="false" customHeight="false" outlineLevel="0" collapsed="false">
      <c r="B48743" s="0" t="s">
        <v>17218</v>
      </c>
      <c r="C48743" s="0" t="s">
        <v>21</v>
      </c>
    </row>
    <row r="48744" customFormat="false" ht="12.8" hidden="false" customHeight="false" outlineLevel="0" collapsed="false">
      <c r="B48744" s="0" t="s">
        <v>14</v>
      </c>
      <c r="C48744" s="0" t="s">
        <v>159</v>
      </c>
    </row>
    <row r="48746" customFormat="false" ht="12.8" hidden="false" customHeight="false" outlineLevel="0" collapsed="false">
      <c r="A48746" s="0" t="s">
        <v>17221</v>
      </c>
      <c r="B48746" s="0" t="str">
        <f aca="false">HYPERLINK("https://lindat.mff.cuni.cz/services/teitok/pdtc10/index.php?action=vallex&amp;frame=v-w6890f1", "trápit se (v-w6890f1)")</f>
        <v>trápit se (v-w6890f1)</v>
      </c>
    </row>
    <row r="48747" customFormat="false" ht="12.8" hidden="false" customHeight="false" outlineLevel="0" collapsed="false">
      <c r="B48747" s="0" t="s">
        <v>7</v>
      </c>
      <c r="C48747" s="0" t="s">
        <v>1378</v>
      </c>
    </row>
    <row r="48748" customFormat="false" ht="12.8" hidden="false" customHeight="false" outlineLevel="0" collapsed="false">
      <c r="B48748" s="0" t="s">
        <v>17222</v>
      </c>
      <c r="C48748" s="0" t="s">
        <v>8908</v>
      </c>
    </row>
    <row r="48750" customFormat="false" ht="12.8" hidden="false" customHeight="false" outlineLevel="0" collapsed="false">
      <c r="A48750" s="0" t="s">
        <v>17223</v>
      </c>
      <c r="B48750" s="0" t="str">
        <f aca="false">HYPERLINK("https://lindat.mff.cuni.cz/services/teitok/pdtc10/index.php?action=vallex&amp;frame=v-w6890f2", "trápit se (v-w6890f2)")</f>
        <v>trápit se (v-w6890f2)</v>
      </c>
    </row>
    <row r="48751" customFormat="false" ht="12.8" hidden="false" customHeight="false" outlineLevel="0" collapsed="false">
      <c r="B48751" s="0" t="s">
        <v>7</v>
      </c>
      <c r="C48751" s="0" t="s">
        <v>17224</v>
      </c>
      <c r="D48751" s="0" t="s">
        <v>1378</v>
      </c>
      <c r="E48751" s="0" t="s">
        <v>1378</v>
      </c>
      <c r="F48751" s="0" t="s">
        <v>1378</v>
      </c>
    </row>
    <row r="48753" customFormat="false" ht="12.8" hidden="false" customHeight="false" outlineLevel="0" collapsed="false">
      <c r="A48753" s="0" t="s">
        <v>17225</v>
      </c>
      <c r="B48753" s="0" t="str">
        <f aca="false">HYPERLINK("https://lindat.mff.cuni.cz/services/teitok/pdtc10/index.php?action=vallex&amp;frame=v-w6893f1", "trávit (v-w6893f1)")</f>
        <v>trávit (v-w6893f1)</v>
      </c>
    </row>
    <row r="48754" customFormat="false" ht="12.8" hidden="false" customHeight="false" outlineLevel="0" collapsed="false">
      <c r="B48754" s="0" t="s">
        <v>7</v>
      </c>
      <c r="C48754" s="0" t="s">
        <v>1680</v>
      </c>
      <c r="D48754" s="0" t="s">
        <v>1680</v>
      </c>
      <c r="E48754" s="0" t="s">
        <v>1680</v>
      </c>
      <c r="F48754" s="0" t="s">
        <v>1680</v>
      </c>
    </row>
    <row r="48755" customFormat="false" ht="12.8" hidden="false" customHeight="false" outlineLevel="0" collapsed="false">
      <c r="B48755" s="0" t="s">
        <v>14</v>
      </c>
      <c r="C48755" s="0" t="s">
        <v>2887</v>
      </c>
      <c r="D48755" s="0" t="s">
        <v>2887</v>
      </c>
      <c r="E48755" s="0" t="s">
        <v>2887</v>
      </c>
      <c r="F48755" s="0" t="s">
        <v>2887</v>
      </c>
    </row>
    <row r="48756" customFormat="false" ht="12.8" hidden="false" customHeight="false" outlineLevel="0" collapsed="false">
      <c r="B48756" s="0" t="s">
        <v>11</v>
      </c>
      <c r="C48756" s="0" t="s">
        <v>16626</v>
      </c>
      <c r="D48756" s="0" t="s">
        <v>16626</v>
      </c>
      <c r="E48756" s="0" t="s">
        <v>16626</v>
      </c>
      <c r="F48756" s="0" t="s">
        <v>16626</v>
      </c>
    </row>
    <row r="48758" customFormat="false" ht="12.8" hidden="false" customHeight="false" outlineLevel="0" collapsed="false">
      <c r="A48758" s="0" t="s">
        <v>17226</v>
      </c>
      <c r="B48758" s="0" t="str">
        <f aca="false">HYPERLINK("https://lindat.mff.cuni.cz/services/teitok/pdtc10/index.php?action=vallex&amp;frame=v-w6893f4_ZU", "trávit (v-w6893f4_ZU)")</f>
        <v>trávit (v-w6893f4_ZU)</v>
      </c>
    </row>
    <row r="48759" customFormat="false" ht="12.8" hidden="false" customHeight="false" outlineLevel="0" collapsed="false">
      <c r="B48759" s="0" t="s">
        <v>7</v>
      </c>
    </row>
    <row r="48760" customFormat="false" ht="12.8" hidden="false" customHeight="false" outlineLevel="0" collapsed="false">
      <c r="B48760" s="0" t="s">
        <v>14</v>
      </c>
    </row>
    <row r="48761" customFormat="false" ht="12.8" hidden="false" customHeight="false" outlineLevel="0" collapsed="false">
      <c r="B48761" s="0" t="s">
        <v>552</v>
      </c>
    </row>
    <row r="48762" customFormat="false" ht="12.8" hidden="false" customHeight="false" outlineLevel="0" collapsed="false">
      <c r="B48762" s="0" t="s">
        <v>5619</v>
      </c>
    </row>
    <row r="48763" customFormat="false" ht="12.8" hidden="false" customHeight="false" outlineLevel="0" collapsed="false">
      <c r="B48763" s="0" t="s">
        <v>474</v>
      </c>
    </row>
    <row r="48764" customFormat="false" ht="12.8" hidden="false" customHeight="false" outlineLevel="0" collapsed="false">
      <c r="B48764" s="0" t="s">
        <v>477</v>
      </c>
    </row>
    <row r="48765" customFormat="false" ht="12.8" hidden="false" customHeight="false" outlineLevel="0" collapsed="false">
      <c r="B48765" s="0" t="s">
        <v>479</v>
      </c>
    </row>
    <row r="48766" customFormat="false" ht="12.8" hidden="false" customHeight="false" outlineLevel="0" collapsed="false">
      <c r="B48766" s="0" t="s">
        <v>481</v>
      </c>
    </row>
    <row r="48767" customFormat="false" ht="12.8" hidden="false" customHeight="false" outlineLevel="0" collapsed="false">
      <c r="B48767" s="0" t="s">
        <v>483</v>
      </c>
    </row>
    <row r="48769" customFormat="false" ht="12.8" hidden="false" customHeight="false" outlineLevel="0" collapsed="false">
      <c r="A48769" s="0" t="s">
        <v>17226</v>
      </c>
      <c r="B48769" s="0" t="str">
        <f aca="false">HYPERLINK("https://lindat.mff.cuni.cz/services/teitok/pdtc10/index.php?action=vallex&amp;frame=v-w6893f2", "trávit (v-w6893f2) - substituted with v-w6893f4_ZU")</f>
        <v>trávit (v-w6893f2) - substituted with v-w6893f4_ZU</v>
      </c>
    </row>
    <row r="48770" customFormat="false" ht="12.8" hidden="false" customHeight="false" outlineLevel="0" collapsed="false">
      <c r="B48770" s="0" t="s">
        <v>7</v>
      </c>
      <c r="C48770" s="0" t="s">
        <v>1680</v>
      </c>
      <c r="D48770" s="0" t="s">
        <v>1680</v>
      </c>
      <c r="E48770" s="0" t="s">
        <v>1680</v>
      </c>
      <c r="F48770" s="0" t="s">
        <v>1680</v>
      </c>
    </row>
    <row r="48771" customFormat="false" ht="12.8" hidden="false" customHeight="false" outlineLevel="0" collapsed="false">
      <c r="B48771" s="0" t="s">
        <v>14</v>
      </c>
      <c r="C48771" s="0" t="s">
        <v>2887</v>
      </c>
      <c r="D48771" s="0" t="s">
        <v>2887</v>
      </c>
      <c r="E48771" s="0" t="s">
        <v>2887</v>
      </c>
      <c r="F48771" s="0" t="s">
        <v>2887</v>
      </c>
    </row>
    <row r="48772" customFormat="false" ht="12.8" hidden="false" customHeight="false" outlineLevel="0" collapsed="false">
      <c r="B48772" s="0" t="s">
        <v>552</v>
      </c>
      <c r="D48772" s="0" t="s">
        <v>16630</v>
      </c>
      <c r="E48772" s="0" t="s">
        <v>16630</v>
      </c>
      <c r="F48772" s="0" t="s">
        <v>16630</v>
      </c>
    </row>
    <row r="48773" customFormat="false" ht="12.8" hidden="false" customHeight="false" outlineLevel="0" collapsed="false">
      <c r="B48773" s="0" t="s">
        <v>5619</v>
      </c>
      <c r="D48773" s="0" t="s">
        <v>16626</v>
      </c>
      <c r="E48773" s="0" t="s">
        <v>16626</v>
      </c>
      <c r="F48773" s="0" t="s">
        <v>16626</v>
      </c>
    </row>
    <row r="48774" customFormat="false" ht="12.8" hidden="false" customHeight="false" outlineLevel="0" collapsed="false">
      <c r="B48774" s="0" t="s">
        <v>474</v>
      </c>
      <c r="D48774" s="0" t="s">
        <v>16631</v>
      </c>
      <c r="E48774" s="0" t="s">
        <v>16631</v>
      </c>
      <c r="F48774" s="0" t="s">
        <v>16631</v>
      </c>
    </row>
    <row r="48775" customFormat="false" ht="12.8" hidden="false" customHeight="false" outlineLevel="0" collapsed="false">
      <c r="B48775" s="0" t="s">
        <v>477</v>
      </c>
      <c r="C48775" s="0" t="s">
        <v>16633</v>
      </c>
      <c r="D48775" s="0" t="s">
        <v>16633</v>
      </c>
      <c r="E48775" s="0" t="s">
        <v>16633</v>
      </c>
      <c r="F48775" s="0" t="s">
        <v>16633</v>
      </c>
    </row>
    <row r="48776" customFormat="false" ht="12.8" hidden="false" customHeight="false" outlineLevel="0" collapsed="false">
      <c r="B48776" s="0" t="s">
        <v>479</v>
      </c>
      <c r="D48776" s="0" t="s">
        <v>16634</v>
      </c>
      <c r="E48776" s="0" t="s">
        <v>16634</v>
      </c>
      <c r="F48776" s="0" t="s">
        <v>16634</v>
      </c>
    </row>
    <row r="48777" customFormat="false" ht="12.8" hidden="false" customHeight="false" outlineLevel="0" collapsed="false">
      <c r="B48777" s="0" t="s">
        <v>481</v>
      </c>
      <c r="D48777" s="0" t="s">
        <v>16635</v>
      </c>
      <c r="E48777" s="0" t="s">
        <v>16635</v>
      </c>
      <c r="F48777" s="0" t="s">
        <v>16635</v>
      </c>
    </row>
    <row r="48778" customFormat="false" ht="12.8" hidden="false" customHeight="false" outlineLevel="0" collapsed="false">
      <c r="B48778" s="0" t="s">
        <v>483</v>
      </c>
      <c r="D48778" s="0" t="s">
        <v>16636</v>
      </c>
      <c r="E48778" s="0" t="s">
        <v>16636</v>
      </c>
      <c r="F48778" s="0" t="s">
        <v>16636</v>
      </c>
    </row>
    <row r="48780" customFormat="false" ht="12.8" hidden="false" customHeight="false" outlineLevel="0" collapsed="false">
      <c r="A48780" s="0" t="s">
        <v>17226</v>
      </c>
      <c r="B48780" s="0" t="str">
        <f aca="false">HYPERLINK("https://lindat.mff.cuni.cz/services/teitok/pdtc10/index.php?action=vallex&amp;frame=v-w6893f3", "trávit (v-w6893f3) - substituted with v-w6893f4_ZU")</f>
        <v>trávit (v-w6893f3) - substituted with v-w6893f4_ZU</v>
      </c>
    </row>
    <row r="48781" customFormat="false" ht="12.8" hidden="false" customHeight="false" outlineLevel="0" collapsed="false">
      <c r="B48781" s="0" t="s">
        <v>7</v>
      </c>
      <c r="C48781" s="0" t="s">
        <v>1680</v>
      </c>
      <c r="D48781" s="0" t="s">
        <v>1680</v>
      </c>
      <c r="E48781" s="0" t="s">
        <v>1680</v>
      </c>
      <c r="F48781" s="0" t="s">
        <v>1680</v>
      </c>
    </row>
    <row r="48782" customFormat="false" ht="12.8" hidden="false" customHeight="false" outlineLevel="0" collapsed="false">
      <c r="B48782" s="0" t="s">
        <v>14</v>
      </c>
      <c r="C48782" s="0" t="s">
        <v>2887</v>
      </c>
      <c r="D48782" s="0" t="s">
        <v>2887</v>
      </c>
      <c r="E48782" s="0" t="s">
        <v>2887</v>
      </c>
      <c r="F48782" s="0" t="s">
        <v>2887</v>
      </c>
    </row>
    <row r="48783" customFormat="false" ht="12.8" hidden="false" customHeight="false" outlineLevel="0" collapsed="false">
      <c r="B48783" s="0" t="s">
        <v>552</v>
      </c>
    </row>
    <row r="48784" customFormat="false" ht="12.8" hidden="false" customHeight="false" outlineLevel="0" collapsed="false">
      <c r="B48784" s="0" t="s">
        <v>5619</v>
      </c>
    </row>
    <row r="48785" customFormat="false" ht="12.8" hidden="false" customHeight="false" outlineLevel="0" collapsed="false">
      <c r="B48785" s="0" t="s">
        <v>474</v>
      </c>
    </row>
    <row r="48786" customFormat="false" ht="12.8" hidden="false" customHeight="false" outlineLevel="0" collapsed="false">
      <c r="B48786" s="0" t="s">
        <v>477</v>
      </c>
    </row>
    <row r="48787" customFormat="false" ht="12.8" hidden="false" customHeight="false" outlineLevel="0" collapsed="false">
      <c r="B48787" s="0" t="s">
        <v>479</v>
      </c>
      <c r="C48787" s="0" t="s">
        <v>16634</v>
      </c>
      <c r="D48787" s="0" t="s">
        <v>16634</v>
      </c>
      <c r="E48787" s="0" t="s">
        <v>16634</v>
      </c>
      <c r="F48787" s="0" t="s">
        <v>16634</v>
      </c>
    </row>
    <row r="48788" customFormat="false" ht="12.8" hidden="false" customHeight="false" outlineLevel="0" collapsed="false">
      <c r="B48788" s="0" t="s">
        <v>481</v>
      </c>
    </row>
    <row r="48789" customFormat="false" ht="12.8" hidden="false" customHeight="false" outlineLevel="0" collapsed="false">
      <c r="B48789" s="0" t="s">
        <v>483</v>
      </c>
    </row>
    <row r="48791" customFormat="false" ht="12.8" hidden="false" customHeight="false" outlineLevel="0" collapsed="false">
      <c r="A48791" s="0" t="s">
        <v>17227</v>
      </c>
      <c r="B48791" s="0" t="str">
        <f aca="false">HYPERLINK("https://lindat.mff.cuni.cz/services/teitok/pdtc10/index.php?action=vallex&amp;frame=v-w6902f2", "trénovat (v-w6902f2)")</f>
        <v>trénovat (v-w6902f2)</v>
      </c>
    </row>
    <row r="48792" customFormat="false" ht="12.8" hidden="false" customHeight="false" outlineLevel="0" collapsed="false">
      <c r="B48792" s="0" t="s">
        <v>7</v>
      </c>
    </row>
    <row r="48793" customFormat="false" ht="12.8" hidden="false" customHeight="false" outlineLevel="0" collapsed="false">
      <c r="B48793" s="0" t="s">
        <v>14</v>
      </c>
    </row>
    <row r="48795" customFormat="false" ht="12.8" hidden="false" customHeight="false" outlineLevel="0" collapsed="false">
      <c r="A48795" s="0" t="s">
        <v>17228</v>
      </c>
      <c r="B48795" s="0" t="str">
        <f aca="false">HYPERLINK("https://lindat.mff.cuni.cz/services/teitok/pdtc10/index.php?action=vallex&amp;frame=v-w6902f1", "trénovat (v-w6902f1)")</f>
        <v>trénovat (v-w6902f1)</v>
      </c>
    </row>
    <row r="48796" customFormat="false" ht="12.8" hidden="false" customHeight="false" outlineLevel="0" collapsed="false">
      <c r="B48796" s="0" t="s">
        <v>7</v>
      </c>
      <c r="C48796" s="0" t="s">
        <v>1702</v>
      </c>
    </row>
    <row r="48797" customFormat="false" ht="12.8" hidden="false" customHeight="false" outlineLevel="0" collapsed="false">
      <c r="B48797" s="0" t="s">
        <v>297</v>
      </c>
    </row>
    <row r="48799" customFormat="false" ht="12.8" hidden="false" customHeight="false" outlineLevel="0" collapsed="false">
      <c r="A48799" s="0" t="s">
        <v>17229</v>
      </c>
      <c r="B48799" s="0" t="str">
        <f aca="false">HYPERLINK("https://lindat.mff.cuni.cz/services/teitok/pdtc10/index.php?action=vallex&amp;frame=v-w11605_ZUf2_ZU", "trýznit (v-w11605_ZUf2_ZU)")</f>
        <v>trýznit (v-w11605_ZUf2_ZU)</v>
      </c>
    </row>
    <row r="48800" customFormat="false" ht="12.8" hidden="false" customHeight="false" outlineLevel="0" collapsed="false">
      <c r="B48800" s="0" t="s">
        <v>7</v>
      </c>
      <c r="C48800" s="0" t="s">
        <v>46</v>
      </c>
      <c r="D48800" s="0" t="s">
        <v>465</v>
      </c>
      <c r="E48800" s="0" t="s">
        <v>465</v>
      </c>
      <c r="F48800" s="0" t="s">
        <v>465</v>
      </c>
    </row>
    <row r="48801" customFormat="false" ht="12.8" hidden="false" customHeight="false" outlineLevel="0" collapsed="false">
      <c r="B48801" s="0" t="s">
        <v>14</v>
      </c>
      <c r="D48801" s="0" t="s">
        <v>1571</v>
      </c>
      <c r="E48801" s="0" t="s">
        <v>1571</v>
      </c>
      <c r="F48801" s="0" t="s">
        <v>1571</v>
      </c>
    </row>
    <row r="48803" customFormat="false" ht="12.8" hidden="false" customHeight="false" outlineLevel="0" collapsed="false">
      <c r="A48803" s="0" t="s">
        <v>17229</v>
      </c>
      <c r="B48803" s="0" t="str">
        <f aca="false">HYPERLINK("https://lindat.mff.cuni.cz/services/teitok/pdtc10/index.php?action=vallex&amp;frame=v-w11605_ZUf1_ZU", "trýznit (v-w11605_ZUf1_ZU) - substituted with v-w11605_ZUf2_ZU")</f>
        <v>trýznit (v-w11605_ZUf1_ZU) - substituted with v-w11605_ZUf2_ZU</v>
      </c>
    </row>
    <row r="48804" customFormat="false" ht="12.8" hidden="false" customHeight="false" outlineLevel="0" collapsed="false">
      <c r="B48804" s="0" t="s">
        <v>7</v>
      </c>
    </row>
    <row r="48805" customFormat="false" ht="12.8" hidden="false" customHeight="false" outlineLevel="0" collapsed="false">
      <c r="B48805" s="0" t="s">
        <v>14</v>
      </c>
    </row>
    <row r="48807" customFormat="false" ht="12.8" hidden="false" customHeight="false" outlineLevel="0" collapsed="false">
      <c r="A48807" s="0" t="s">
        <v>17230</v>
      </c>
      <c r="B48807" s="0" t="str">
        <f aca="false">HYPERLINK("https://lindat.mff.cuni.cz/services/teitok/pdtc10/index.php?action=vallex&amp;frame=v-w6894f1", "trčet (v-w6894f1)")</f>
        <v>trčet (v-w6894f1)</v>
      </c>
    </row>
    <row r="48808" customFormat="false" ht="12.8" hidden="false" customHeight="false" outlineLevel="0" collapsed="false">
      <c r="B48808" s="0" t="s">
        <v>7</v>
      </c>
      <c r="C48808" s="0" t="s">
        <v>5673</v>
      </c>
      <c r="D48808" s="0" t="s">
        <v>2901</v>
      </c>
      <c r="E48808" s="0" t="s">
        <v>2901</v>
      </c>
      <c r="F48808" s="0" t="s">
        <v>2901</v>
      </c>
    </row>
    <row r="48809" customFormat="false" ht="12.8" hidden="false" customHeight="false" outlineLevel="0" collapsed="false">
      <c r="B48809" s="0" t="s">
        <v>11</v>
      </c>
      <c r="D48809" s="0" t="s">
        <v>2903</v>
      </c>
      <c r="E48809" s="0" t="s">
        <v>2903</v>
      </c>
      <c r="F48809" s="0" t="s">
        <v>2903</v>
      </c>
    </row>
    <row r="48811" customFormat="false" ht="12.8" hidden="false" customHeight="false" outlineLevel="0" collapsed="false">
      <c r="A48811" s="0" t="s">
        <v>17231</v>
      </c>
      <c r="B48811" s="0" t="str">
        <f aca="false">HYPERLINK("https://lindat.mff.cuni.cz/services/teitok/pdtc10/index.php?action=vallex&amp;frame=v-w6894hsa_1586", "trčet (v-w6894hsa_1586)")</f>
        <v>trčet (v-w6894hsa_1586)</v>
      </c>
    </row>
    <row r="48812" customFormat="false" ht="12.8" hidden="false" customHeight="false" outlineLevel="0" collapsed="false">
      <c r="B48812" s="0" t="s">
        <v>7</v>
      </c>
    </row>
    <row r="48814" customFormat="false" ht="12.8" hidden="false" customHeight="false" outlineLevel="0" collapsed="false">
      <c r="A48814" s="0" t="s">
        <v>17232</v>
      </c>
      <c r="B48814" s="0" t="str">
        <f aca="false">HYPERLINK("https://lindat.mff.cuni.cz/services/teitok/pdtc10/index.php?action=vallex&amp;frame=v-w6937f1", "tuhnout (v-w6937f1)")</f>
        <v>tuhnout (v-w6937f1)</v>
      </c>
    </row>
    <row r="48815" customFormat="false" ht="12.8" hidden="false" customHeight="false" outlineLevel="0" collapsed="false">
      <c r="B48815" s="0" t="s">
        <v>7</v>
      </c>
    </row>
    <row r="48817" customFormat="false" ht="12.8" hidden="false" customHeight="false" outlineLevel="0" collapsed="false">
      <c r="A48817" s="0" t="s">
        <v>17233</v>
      </c>
      <c r="B48817" s="0" t="str">
        <f aca="false">HYPERLINK("https://lindat.mff.cuni.cz/services/teitok/pdtc10/index.php?action=vallex&amp;frame=v-w11980_ZUf1_ZU", "tulit se (v-w11980_ZUf1_ZU)")</f>
        <v>tulit se (v-w11980_ZUf1_ZU)</v>
      </c>
    </row>
    <row r="48818" customFormat="false" ht="12.8" hidden="false" customHeight="false" outlineLevel="0" collapsed="false">
      <c r="B48818" s="0" t="s">
        <v>7</v>
      </c>
    </row>
    <row r="48819" customFormat="false" ht="12.8" hidden="false" customHeight="false" outlineLevel="0" collapsed="false">
      <c r="B48819" s="0" t="s">
        <v>237</v>
      </c>
    </row>
    <row r="48821" customFormat="false" ht="12.8" hidden="false" customHeight="false" outlineLevel="0" collapsed="false">
      <c r="A48821" s="0" t="s">
        <v>17234</v>
      </c>
      <c r="B48821" s="0" t="str">
        <f aca="false">HYPERLINK("https://lindat.mff.cuni.cz/services/teitok/pdtc10/index.php?action=vallex&amp;frame=v-w11679_ZUf1_ZU", "turistovat (v-w11679_ZUf1_ZU)")</f>
        <v>turistovat (v-w11679_ZUf1_ZU)</v>
      </c>
    </row>
    <row r="48822" customFormat="false" ht="12.8" hidden="false" customHeight="false" outlineLevel="0" collapsed="false">
      <c r="B48822" s="0" t="s">
        <v>7</v>
      </c>
    </row>
    <row r="48824" customFormat="false" ht="12.8" hidden="false" customHeight="false" outlineLevel="0" collapsed="false">
      <c r="A48824" s="0" t="s">
        <v>17235</v>
      </c>
      <c r="B48824" s="0" t="str">
        <f aca="false">HYPERLINK("https://lindat.mff.cuni.cz/services/teitok/pdtc10/index.php?action=vallex&amp;frame=v-w6944f1", "tutlat (v-w6944f1)")</f>
        <v>tutlat (v-w6944f1)</v>
      </c>
    </row>
    <row r="48825" customFormat="false" ht="12.8" hidden="false" customHeight="false" outlineLevel="0" collapsed="false">
      <c r="B48825" s="0" t="s">
        <v>7</v>
      </c>
    </row>
    <row r="48826" customFormat="false" ht="12.8" hidden="false" customHeight="false" outlineLevel="0" collapsed="false">
      <c r="B48826" s="0" t="s">
        <v>17236</v>
      </c>
    </row>
    <row r="48827" customFormat="false" ht="12.8" hidden="false" customHeight="false" outlineLevel="0" collapsed="false">
      <c r="B48827" s="0" t="s">
        <v>3743</v>
      </c>
    </row>
    <row r="48829" customFormat="false" ht="12.8" hidden="false" customHeight="false" outlineLevel="0" collapsed="false">
      <c r="A48829" s="0" t="s">
        <v>17237</v>
      </c>
      <c r="B48829" s="0" t="str">
        <f aca="false">HYPERLINK("https://lindat.mff.cuni.cz/services/teitok/pdtc10/index.php?action=vallex&amp;frame=v-w6944f2", "tutlat (v-w6944f2)")</f>
        <v>tutlat (v-w6944f2)</v>
      </c>
    </row>
    <row r="48830" customFormat="false" ht="12.8" hidden="false" customHeight="false" outlineLevel="0" collapsed="false">
      <c r="B48830" s="0" t="s">
        <v>7</v>
      </c>
    </row>
    <row r="48831" customFormat="false" ht="12.8" hidden="false" customHeight="false" outlineLevel="0" collapsed="false">
      <c r="B48831" s="0" t="s">
        <v>15294</v>
      </c>
    </row>
    <row r="48832" customFormat="false" ht="12.8" hidden="false" customHeight="false" outlineLevel="0" collapsed="false">
      <c r="B48832" s="0" t="s">
        <v>363</v>
      </c>
    </row>
    <row r="48833" customFormat="false" ht="12.8" hidden="false" customHeight="false" outlineLevel="0" collapsed="false">
      <c r="B48833" s="0" t="s">
        <v>3743</v>
      </c>
    </row>
    <row r="48835" customFormat="false" ht="12.8" hidden="false" customHeight="false" outlineLevel="0" collapsed="false">
      <c r="A48835" s="0" t="s">
        <v>17238</v>
      </c>
      <c r="B48835" s="0" t="str">
        <f aca="false">HYPERLINK("https://lindat.mff.cuni.cz/services/teitok/pdtc10/index.php?action=vallex&amp;frame=v-w6943f2_ZU", "tušit (v-w6943f2_ZU)")</f>
        <v>tušit (v-w6943f2_ZU)</v>
      </c>
    </row>
    <row r="48836" customFormat="false" ht="12.8" hidden="false" customHeight="false" outlineLevel="0" collapsed="false">
      <c r="B48836" s="0" t="s">
        <v>7</v>
      </c>
    </row>
    <row r="48837" customFormat="false" ht="12.8" hidden="false" customHeight="false" outlineLevel="0" collapsed="false">
      <c r="B48837" s="0" t="s">
        <v>17239</v>
      </c>
    </row>
    <row r="48839" customFormat="false" ht="12.8" hidden="false" customHeight="false" outlineLevel="0" collapsed="false">
      <c r="A48839" s="0" t="s">
        <v>17238</v>
      </c>
      <c r="B48839" s="0" t="str">
        <f aca="false">HYPERLINK("https://lindat.mff.cuni.cz/services/teitok/pdtc10/index.php?action=vallex&amp;frame=v-w6943f1", "tušit (v-w6943f1) - substituted with v-w6943f2_ZU")</f>
        <v>tušit (v-w6943f1) - substituted with v-w6943f2_ZU</v>
      </c>
    </row>
    <row r="48840" customFormat="false" ht="12.8" hidden="false" customHeight="false" outlineLevel="0" collapsed="false">
      <c r="B48840" s="0" t="s">
        <v>7</v>
      </c>
      <c r="C48840" s="0" t="s">
        <v>17240</v>
      </c>
      <c r="D48840" s="0" t="s">
        <v>6723</v>
      </c>
      <c r="E48840" s="0" t="s">
        <v>17241</v>
      </c>
      <c r="F48840" s="0" t="s">
        <v>17241</v>
      </c>
    </row>
    <row r="48841" customFormat="false" ht="12.8" hidden="false" customHeight="false" outlineLevel="0" collapsed="false">
      <c r="B48841" s="0" t="s">
        <v>17239</v>
      </c>
      <c r="C48841" s="0" t="s">
        <v>17242</v>
      </c>
      <c r="D48841" s="0" t="s">
        <v>6726</v>
      </c>
      <c r="E48841" s="0" t="s">
        <v>17243</v>
      </c>
      <c r="F48841" s="0" t="s">
        <v>17243</v>
      </c>
    </row>
    <row r="48843" customFormat="false" ht="12.8" hidden="false" customHeight="false" outlineLevel="0" collapsed="false">
      <c r="A48843" s="0" t="s">
        <v>17244</v>
      </c>
      <c r="B48843" s="0" t="str">
        <f aca="false">HYPERLINK("https://lindat.mff.cuni.cz/services/teitok/pdtc10/index.php?action=vallex&amp;frame=v-w6946f2", "tvarovat (v-w6946f2)")</f>
        <v>tvarovat (v-w6946f2)</v>
      </c>
    </row>
    <row r="48844" customFormat="false" ht="12.8" hidden="false" customHeight="false" outlineLevel="0" collapsed="false">
      <c r="B48844" s="0" t="s">
        <v>7</v>
      </c>
      <c r="C48844" s="0" t="s">
        <v>16218</v>
      </c>
    </row>
    <row r="48845" customFormat="false" ht="12.8" hidden="false" customHeight="false" outlineLevel="0" collapsed="false">
      <c r="B48845" s="0" t="s">
        <v>14</v>
      </c>
      <c r="C48845" s="0" t="s">
        <v>1918</v>
      </c>
    </row>
    <row r="48846" customFormat="false" ht="12.8" hidden="false" customHeight="false" outlineLevel="0" collapsed="false">
      <c r="B48846" s="0" t="s">
        <v>181</v>
      </c>
    </row>
    <row r="48848" customFormat="false" ht="12.8" hidden="false" customHeight="false" outlineLevel="0" collapsed="false">
      <c r="A48848" s="0" t="s">
        <v>17245</v>
      </c>
      <c r="B48848" s="0" t="str">
        <f aca="false">HYPERLINK("https://lindat.mff.cuni.cz/services/teitok/pdtc10/index.php?action=vallex&amp;frame=v-w6946f1", "tvarovat (v-w6946f1)")</f>
        <v>tvarovat (v-w6946f1)</v>
      </c>
    </row>
    <row r="48849" customFormat="false" ht="12.8" hidden="false" customHeight="false" outlineLevel="0" collapsed="false">
      <c r="B48849" s="0" t="s">
        <v>7</v>
      </c>
    </row>
    <row r="48850" customFormat="false" ht="12.8" hidden="false" customHeight="false" outlineLevel="0" collapsed="false">
      <c r="B48850" s="0" t="s">
        <v>14</v>
      </c>
    </row>
    <row r="48852" customFormat="false" ht="12.8" hidden="false" customHeight="false" outlineLevel="0" collapsed="false">
      <c r="A48852" s="0" t="s">
        <v>17246</v>
      </c>
      <c r="B48852" s="0" t="str">
        <f aca="false">HYPERLINK("https://lindat.mff.cuni.cz/services/teitok/pdtc10/index.php?action=vallex&amp;frame=v-w6951f1", "tvořit (v-w6951f1)")</f>
        <v>tvořit (v-w6951f1)</v>
      </c>
    </row>
    <row r="48853" customFormat="false" ht="12.8" hidden="false" customHeight="false" outlineLevel="0" collapsed="false">
      <c r="B48853" s="0" t="s">
        <v>7</v>
      </c>
      <c r="C48853" s="0" t="s">
        <v>17247</v>
      </c>
      <c r="D48853" s="0" t="s">
        <v>4799</v>
      </c>
      <c r="E48853" s="0" t="s">
        <v>4799</v>
      </c>
      <c r="F48853" s="0" t="s">
        <v>4799</v>
      </c>
    </row>
    <row r="48854" customFormat="false" ht="12.8" hidden="false" customHeight="false" outlineLevel="0" collapsed="false">
      <c r="B48854" s="0" t="s">
        <v>14</v>
      </c>
      <c r="C48854" s="0" t="s">
        <v>17248</v>
      </c>
      <c r="D48854" s="0" t="s">
        <v>4801</v>
      </c>
      <c r="E48854" s="0" t="s">
        <v>4801</v>
      </c>
      <c r="F48854" s="0" t="s">
        <v>4801</v>
      </c>
    </row>
    <row r="48855" customFormat="false" ht="12.8" hidden="false" customHeight="false" outlineLevel="0" collapsed="false">
      <c r="B48855" s="0" t="s">
        <v>1953</v>
      </c>
      <c r="C48855" s="0" t="s">
        <v>17249</v>
      </c>
    </row>
    <row r="48856" customFormat="false" ht="12.8" hidden="false" customHeight="false" outlineLevel="0" collapsed="false">
      <c r="B48856" s="0" t="s">
        <v>35</v>
      </c>
      <c r="C48856" s="0" t="s">
        <v>11659</v>
      </c>
      <c r="D48856" s="0" t="s">
        <v>5460</v>
      </c>
      <c r="E48856" s="0" t="s">
        <v>5460</v>
      </c>
      <c r="F48856" s="0" t="s">
        <v>5460</v>
      </c>
    </row>
    <row r="48858" customFormat="false" ht="12.8" hidden="false" customHeight="false" outlineLevel="0" collapsed="false">
      <c r="A48858" s="0" t="s">
        <v>17250</v>
      </c>
      <c r="B48858" s="0" t="str">
        <f aca="false">HYPERLINK("https://lindat.mff.cuni.cz/services/teitok/pdtc10/index.php?action=vallex&amp;frame=v-w6951f2", "tvořit (v-w6951f2)")</f>
        <v>tvořit (v-w6951f2)</v>
      </c>
    </row>
    <row r="48859" customFormat="false" ht="12.8" hidden="false" customHeight="false" outlineLevel="0" collapsed="false">
      <c r="B48859" s="0" t="s">
        <v>7</v>
      </c>
      <c r="C48859" s="0" t="s">
        <v>17251</v>
      </c>
      <c r="D48859" s="0" t="s">
        <v>12742</v>
      </c>
      <c r="E48859" s="0" t="s">
        <v>12742</v>
      </c>
      <c r="F48859" s="0" t="s">
        <v>12742</v>
      </c>
    </row>
    <row r="48860" customFormat="false" ht="12.8" hidden="false" customHeight="false" outlineLevel="0" collapsed="false">
      <c r="B48860" s="0" t="s">
        <v>14</v>
      </c>
      <c r="C48860" s="0" t="s">
        <v>17252</v>
      </c>
      <c r="D48860" s="0" t="s">
        <v>12744</v>
      </c>
      <c r="E48860" s="0" t="s">
        <v>12744</v>
      </c>
      <c r="F48860" s="0" t="s">
        <v>12744</v>
      </c>
    </row>
    <row r="48862" customFormat="false" ht="12.8" hidden="false" customHeight="false" outlineLevel="0" collapsed="false">
      <c r="A48862" s="0" t="s">
        <v>17253</v>
      </c>
      <c r="B48862" s="0" t="str">
        <f aca="false">HYPERLINK("https://lindat.mff.cuni.cz/services/teitok/pdtc10/index.php?action=vallex&amp;frame=v-w6951f3", "tvořit (v-w6951f3)")</f>
        <v>tvořit (v-w6951f3)</v>
      </c>
    </row>
    <row r="48863" customFormat="false" ht="12.8" hidden="false" customHeight="false" outlineLevel="0" collapsed="false">
      <c r="B48863" s="0" t="s">
        <v>7</v>
      </c>
      <c r="C48863" s="0" t="s">
        <v>17254</v>
      </c>
      <c r="D48863" s="0" t="s">
        <v>2245</v>
      </c>
      <c r="E48863" s="0" t="s">
        <v>2245</v>
      </c>
      <c r="F48863" s="0" t="s">
        <v>2245</v>
      </c>
    </row>
    <row r="48864" customFormat="false" ht="12.8" hidden="false" customHeight="false" outlineLevel="0" collapsed="false">
      <c r="B48864" s="0" t="s">
        <v>679</v>
      </c>
      <c r="C48864" s="0" t="s">
        <v>17255</v>
      </c>
      <c r="D48864" s="0" t="s">
        <v>7716</v>
      </c>
      <c r="E48864" s="0" t="s">
        <v>7716</v>
      </c>
      <c r="F48864" s="0" t="s">
        <v>7716</v>
      </c>
    </row>
    <row r="48866" customFormat="false" ht="12.8" hidden="false" customHeight="false" outlineLevel="0" collapsed="false">
      <c r="A48866" s="0" t="s">
        <v>17256</v>
      </c>
      <c r="B48866" s="0" t="str">
        <f aca="false">HYPERLINK("https://lindat.mff.cuni.cz/services/teitok/pdtc10/index.php?action=vallex&amp;frame=v-w6952f1", "tvořit se (v-w6952f1)")</f>
        <v>tvořit se (v-w6952f1)</v>
      </c>
    </row>
    <row r="48867" customFormat="false" ht="12.8" hidden="false" customHeight="false" outlineLevel="0" collapsed="false">
      <c r="B48867" s="0" t="s">
        <v>7</v>
      </c>
      <c r="D48867" s="0" t="s">
        <v>200</v>
      </c>
      <c r="E48867" s="0" t="s">
        <v>200</v>
      </c>
      <c r="F48867" s="0" t="s">
        <v>200</v>
      </c>
    </row>
    <row r="48868" customFormat="false" ht="12.8" hidden="false" customHeight="false" outlineLevel="0" collapsed="false">
      <c r="B48868" s="0" t="s">
        <v>581</v>
      </c>
      <c r="D48868" s="0" t="s">
        <v>8017</v>
      </c>
      <c r="E48868" s="0" t="s">
        <v>8017</v>
      </c>
      <c r="F48868" s="0" t="s">
        <v>8017</v>
      </c>
    </row>
    <row r="48870" customFormat="false" ht="12.8" hidden="false" customHeight="false" outlineLevel="0" collapsed="false">
      <c r="A48870" s="0" t="s">
        <v>17257</v>
      </c>
      <c r="B48870" s="0" t="str">
        <f aca="false">HYPERLINK("https://lindat.mff.cuni.cz/services/teitok/pdtc10/index.php?action=vallex&amp;frame=v-w6953f3", "tvrdit (v-w6953f3)")</f>
        <v>tvrdit (v-w6953f3)</v>
      </c>
    </row>
    <row r="48871" customFormat="false" ht="12.8" hidden="false" customHeight="false" outlineLevel="0" collapsed="false">
      <c r="B48871" s="0" t="s">
        <v>7</v>
      </c>
    </row>
    <row r="48872" customFormat="false" ht="12.8" hidden="false" customHeight="false" outlineLevel="0" collapsed="false">
      <c r="B48872" s="0" t="s">
        <v>14</v>
      </c>
    </row>
    <row r="48874" customFormat="false" ht="12.8" hidden="false" customHeight="false" outlineLevel="0" collapsed="false">
      <c r="A48874" s="0" t="s">
        <v>17258</v>
      </c>
      <c r="B48874" s="0" t="str">
        <f aca="false">HYPERLINK("https://lindat.mff.cuni.cz/services/teitok/pdtc10/index.php?action=vallex&amp;frame=v-w6953f4_ZU", "tvrdit (v-w6953f4_ZU)")</f>
        <v>tvrdit (v-w6953f4_ZU)</v>
      </c>
    </row>
    <row r="48875" customFormat="false" ht="12.8" hidden="false" customHeight="false" outlineLevel="0" collapsed="false">
      <c r="B48875" s="0" t="s">
        <v>7</v>
      </c>
    </row>
    <row r="48876" customFormat="false" ht="12.8" hidden="false" customHeight="false" outlineLevel="0" collapsed="false">
      <c r="B48876" s="0" t="s">
        <v>17259</v>
      </c>
    </row>
    <row r="48877" customFormat="false" ht="12.8" hidden="false" customHeight="false" outlineLevel="0" collapsed="false">
      <c r="B48877" s="0" t="s">
        <v>363</v>
      </c>
    </row>
    <row r="48878" customFormat="false" ht="12.8" hidden="false" customHeight="false" outlineLevel="0" collapsed="false">
      <c r="B48878" s="0" t="s">
        <v>106</v>
      </c>
    </row>
    <row r="48880" customFormat="false" ht="12.8" hidden="false" customHeight="false" outlineLevel="0" collapsed="false">
      <c r="A48880" s="0" t="s">
        <v>17258</v>
      </c>
      <c r="B48880" s="0" t="str">
        <f aca="false">HYPERLINK("https://lindat.mff.cuni.cz/services/teitok/pdtc10/index.php?action=vallex&amp;frame=v-w6953f1", "tvrdit (v-w6953f1) - substituted with v-w6953f4_ZU")</f>
        <v>tvrdit (v-w6953f1) - substituted with v-w6953f4_ZU</v>
      </c>
    </row>
    <row r="48881" customFormat="false" ht="12.8" hidden="false" customHeight="false" outlineLevel="0" collapsed="false">
      <c r="B48881" s="0" t="s">
        <v>7</v>
      </c>
      <c r="C48881" s="0" t="s">
        <v>17260</v>
      </c>
      <c r="D48881" s="0" t="s">
        <v>164</v>
      </c>
      <c r="E48881" s="0" t="s">
        <v>164</v>
      </c>
      <c r="F48881" s="0" t="s">
        <v>164</v>
      </c>
    </row>
    <row r="48882" customFormat="false" ht="12.8" hidden="false" customHeight="false" outlineLevel="0" collapsed="false">
      <c r="B48882" s="0" t="s">
        <v>17259</v>
      </c>
      <c r="C48882" s="0" t="s">
        <v>17261</v>
      </c>
      <c r="D48882" s="0" t="s">
        <v>1766</v>
      </c>
      <c r="E48882" s="0" t="s">
        <v>1766</v>
      </c>
      <c r="F48882" s="0" t="s">
        <v>1766</v>
      </c>
    </row>
    <row r="48883" customFormat="false" ht="12.8" hidden="false" customHeight="false" outlineLevel="0" collapsed="false">
      <c r="B48883" s="0" t="s">
        <v>363</v>
      </c>
      <c r="C48883" s="0" t="s">
        <v>17262</v>
      </c>
      <c r="D48883" s="0" t="s">
        <v>167</v>
      </c>
      <c r="E48883" s="0" t="s">
        <v>167</v>
      </c>
      <c r="F48883" s="0" t="s">
        <v>167</v>
      </c>
    </row>
    <row r="48884" customFormat="false" ht="12.8" hidden="false" customHeight="false" outlineLevel="0" collapsed="false">
      <c r="B48884" s="0" t="s">
        <v>106</v>
      </c>
      <c r="C48884" s="0" t="s">
        <v>17263</v>
      </c>
      <c r="D48884" s="0" t="s">
        <v>168</v>
      </c>
      <c r="E48884" s="0" t="s">
        <v>168</v>
      </c>
      <c r="F48884" s="0" t="s">
        <v>168</v>
      </c>
    </row>
    <row r="48886" customFormat="false" ht="12.8" hidden="false" customHeight="false" outlineLevel="0" collapsed="false">
      <c r="A48886" s="0" t="s">
        <v>17264</v>
      </c>
      <c r="B48886" s="0" t="str">
        <f aca="false">HYPERLINK("https://lindat.mff.cuni.cz/services/teitok/pdtc10/index.php?action=vallex&amp;frame=v-w6953f2", "tvrdit (v-w6953f2)")</f>
        <v>tvrdit (v-w6953f2)</v>
      </c>
    </row>
    <row r="48887" customFormat="false" ht="12.8" hidden="false" customHeight="false" outlineLevel="0" collapsed="false">
      <c r="B48887" s="0" t="s">
        <v>17265</v>
      </c>
    </row>
    <row r="48889" customFormat="false" ht="12.8" hidden="false" customHeight="false" outlineLevel="0" collapsed="false">
      <c r="A48889" s="0" t="s">
        <v>17266</v>
      </c>
      <c r="B48889" s="0" t="str">
        <f aca="false">HYPERLINK("https://lindat.mff.cuni.cz/services/teitok/pdtc10/index.php?action=vallex&amp;frame=v-w6947f1", "tvářit se (v-w6947f1)")</f>
        <v>tvářit se (v-w6947f1)</v>
      </c>
    </row>
    <row r="48890" customFormat="false" ht="12.8" hidden="false" customHeight="false" outlineLevel="0" collapsed="false">
      <c r="B48890" s="0" t="s">
        <v>7</v>
      </c>
      <c r="F48890" s="0" t="s">
        <v>46</v>
      </c>
    </row>
    <row r="48891" customFormat="false" ht="12.8" hidden="false" customHeight="false" outlineLevel="0" collapsed="false">
      <c r="B48891" s="0" t="s">
        <v>474</v>
      </c>
    </row>
    <row r="48892" customFormat="false" ht="12.8" hidden="false" customHeight="false" outlineLevel="0" collapsed="false">
      <c r="B48892" s="0" t="s">
        <v>479</v>
      </c>
    </row>
    <row r="48893" customFormat="false" ht="12.8" hidden="false" customHeight="false" outlineLevel="0" collapsed="false">
      <c r="B48893" s="0" t="s">
        <v>481</v>
      </c>
    </row>
    <row r="48894" customFormat="false" ht="12.8" hidden="false" customHeight="false" outlineLevel="0" collapsed="false">
      <c r="B48894" s="0" t="s">
        <v>483</v>
      </c>
    </row>
    <row r="48896" customFormat="false" ht="12.8" hidden="false" customHeight="false" outlineLevel="0" collapsed="false">
      <c r="A48896" s="0" t="s">
        <v>17267</v>
      </c>
      <c r="B48896" s="0" t="str">
        <f aca="false">HYPERLINK("https://lindat.mff.cuni.cz/services/teitok/pdtc10/index.php?action=vallex&amp;frame=v-whsa_1512hsa_1513", "tykat (v-whsa_1512hsa_1513)")</f>
        <v>tykat (v-whsa_1512hsa_1513)</v>
      </c>
    </row>
    <row r="48897" customFormat="false" ht="12.8" hidden="false" customHeight="false" outlineLevel="0" collapsed="false">
      <c r="B48897" s="0" t="s">
        <v>7</v>
      </c>
    </row>
    <row r="48898" customFormat="false" ht="12.8" hidden="false" customHeight="false" outlineLevel="0" collapsed="false">
      <c r="B48898" s="0" t="s">
        <v>142</v>
      </c>
    </row>
    <row r="48900" customFormat="false" ht="12.8" hidden="false" customHeight="false" outlineLevel="0" collapsed="false">
      <c r="A48900" s="0" t="s">
        <v>17268</v>
      </c>
      <c r="B48900" s="0" t="str">
        <f aca="false">HYPERLINK("https://lindat.mff.cuni.cz/services/teitok/pdtc10/index.php?action=vallex&amp;frame=v-whsa_1375hsa_1376", "tykat si (v-whsa_1375hsa_1376)")</f>
        <v>tykat si (v-whsa_1375hsa_1376)</v>
      </c>
    </row>
    <row r="48901" customFormat="false" ht="12.8" hidden="false" customHeight="false" outlineLevel="0" collapsed="false">
      <c r="B48901" s="0" t="s">
        <v>7</v>
      </c>
    </row>
    <row r="48902" customFormat="false" ht="12.8" hidden="false" customHeight="false" outlineLevel="0" collapsed="false">
      <c r="B48902" s="0" t="s">
        <v>548</v>
      </c>
    </row>
    <row r="48904" customFormat="false" ht="12.8" hidden="false" customHeight="false" outlineLevel="0" collapsed="false">
      <c r="A48904" s="0" t="s">
        <v>17269</v>
      </c>
      <c r="B48904" s="0" t="str">
        <f aca="false">HYPERLINK("https://lindat.mff.cuni.cz/services/teitok/pdtc10/index.php?action=vallex&amp;frame=v-w6956f1", "tyčit se (v-w6956f1)")</f>
        <v>tyčit se (v-w6956f1)</v>
      </c>
    </row>
    <row r="48905" customFormat="false" ht="12.8" hidden="false" customHeight="false" outlineLevel="0" collapsed="false">
      <c r="B48905" s="0" t="s">
        <v>7</v>
      </c>
      <c r="C48905" s="0" t="s">
        <v>191</v>
      </c>
      <c r="D48905" s="0" t="s">
        <v>191</v>
      </c>
      <c r="E48905" s="0" t="s">
        <v>191</v>
      </c>
      <c r="F48905" s="0" t="s">
        <v>191</v>
      </c>
    </row>
    <row r="48907" customFormat="false" ht="12.8" hidden="false" customHeight="false" outlineLevel="0" collapsed="false">
      <c r="A48907" s="0" t="s">
        <v>17270</v>
      </c>
      <c r="B48907" s="0" t="str">
        <f aca="false">HYPERLINK("https://lindat.mff.cuni.cz/services/teitok/pdtc10/index.php?action=vallex&amp;frame=v-w6766f1", "tábořit (v-w6766f1)")</f>
        <v>tábořit (v-w6766f1)</v>
      </c>
    </row>
    <row r="48908" customFormat="false" ht="12.8" hidden="false" customHeight="false" outlineLevel="0" collapsed="false">
      <c r="B48908" s="0" t="s">
        <v>7</v>
      </c>
    </row>
    <row r="48909" customFormat="false" ht="12.8" hidden="false" customHeight="false" outlineLevel="0" collapsed="false">
      <c r="B48909" s="0" t="s">
        <v>11</v>
      </c>
    </row>
    <row r="48911" customFormat="false" ht="12.8" hidden="false" customHeight="false" outlineLevel="0" collapsed="false">
      <c r="A48911" s="0" t="s">
        <v>17271</v>
      </c>
      <c r="B48911" s="0" t="str">
        <f aca="false">HYPERLINK("https://lindat.mff.cuni.cz/services/teitok/pdtc10/index.php?action=vallex&amp;frame=v-w6771f1", "táhnout (v-w6771f1)")</f>
        <v>táhnout (v-w6771f1)</v>
      </c>
    </row>
    <row r="48912" customFormat="false" ht="12.8" hidden="false" customHeight="false" outlineLevel="0" collapsed="false">
      <c r="B48912" s="0" t="s">
        <v>7</v>
      </c>
      <c r="C48912" s="0" t="s">
        <v>358</v>
      </c>
    </row>
    <row r="48913" customFormat="false" ht="12.8" hidden="false" customHeight="false" outlineLevel="0" collapsed="false">
      <c r="B48913" s="0" t="s">
        <v>14</v>
      </c>
      <c r="C48913" s="0" t="s">
        <v>6746</v>
      </c>
    </row>
    <row r="48915" customFormat="false" ht="12.8" hidden="false" customHeight="false" outlineLevel="0" collapsed="false">
      <c r="A48915" s="0" t="s">
        <v>17272</v>
      </c>
      <c r="B48915" s="0" t="str">
        <f aca="false">HYPERLINK("https://lindat.mff.cuni.cz/services/teitok/pdtc10/index.php?action=vallex&amp;frame=v-w6771f5", "táhnout (v-w6771f5)")</f>
        <v>táhnout (v-w6771f5)</v>
      </c>
    </row>
    <row r="48916" customFormat="false" ht="12.8" hidden="false" customHeight="false" outlineLevel="0" collapsed="false">
      <c r="B48916" s="0" t="s">
        <v>7</v>
      </c>
      <c r="C48916" s="0" t="s">
        <v>1567</v>
      </c>
      <c r="D48916" s="0" t="s">
        <v>6781</v>
      </c>
      <c r="E48916" s="0" t="s">
        <v>6781</v>
      </c>
      <c r="F48916" s="0" t="s">
        <v>6781</v>
      </c>
    </row>
    <row r="48917" customFormat="false" ht="12.8" hidden="false" customHeight="false" outlineLevel="0" collapsed="false">
      <c r="B48917" s="0" t="s">
        <v>14</v>
      </c>
      <c r="C48917" s="0" t="s">
        <v>3599</v>
      </c>
      <c r="D48917" s="0" t="s">
        <v>6783</v>
      </c>
      <c r="E48917" s="0" t="s">
        <v>6783</v>
      </c>
      <c r="F48917" s="0" t="s">
        <v>6783</v>
      </c>
    </row>
    <row r="48919" customFormat="false" ht="12.8" hidden="false" customHeight="false" outlineLevel="0" collapsed="false">
      <c r="A48919" s="0" t="s">
        <v>17273</v>
      </c>
      <c r="B48919" s="0" t="str">
        <f aca="false">HYPERLINK("https://lindat.mff.cuni.cz/services/teitok/pdtc10/index.php?action=vallex&amp;frame=v-w6771f13_ZU", "táhnout (v-w6771f13_ZU)")</f>
        <v>táhnout (v-w6771f13_ZU)</v>
      </c>
    </row>
    <row r="48920" customFormat="false" ht="12.8" hidden="false" customHeight="false" outlineLevel="0" collapsed="false">
      <c r="B48920" s="0" t="s">
        <v>603</v>
      </c>
    </row>
    <row r="48921" customFormat="false" ht="12.8" hidden="false" customHeight="false" outlineLevel="0" collapsed="false">
      <c r="B48921" s="0" t="s">
        <v>17274</v>
      </c>
    </row>
    <row r="48923" customFormat="false" ht="12.8" hidden="false" customHeight="false" outlineLevel="0" collapsed="false">
      <c r="A48923" s="0" t="s">
        <v>17273</v>
      </c>
      <c r="B48923" s="0" t="str">
        <f aca="false">HYPERLINK("https://lindat.mff.cuni.cz/services/teitok/pdtc10/index.php?action=vallex&amp;frame=v-w6771f6", "táhnout (v-w6771f6) - substituted with v-w6771f13_ZU")</f>
        <v>táhnout (v-w6771f6) - substituted with v-w6771f13_ZU</v>
      </c>
    </row>
    <row r="48924" customFormat="false" ht="12.8" hidden="false" customHeight="false" outlineLevel="0" collapsed="false">
      <c r="B48924" s="0" t="s">
        <v>603</v>
      </c>
    </row>
    <row r="48925" customFormat="false" ht="12.8" hidden="false" customHeight="false" outlineLevel="0" collapsed="false">
      <c r="B48925" s="0" t="s">
        <v>17274</v>
      </c>
    </row>
    <row r="48927" customFormat="false" ht="12.8" hidden="false" customHeight="false" outlineLevel="0" collapsed="false">
      <c r="A48927" s="0" t="s">
        <v>17275</v>
      </c>
      <c r="B48927" s="0" t="str">
        <f aca="false">HYPERLINK("https://lindat.mff.cuni.cz/services/teitok/pdtc10/index.php?action=vallex&amp;frame=v-w6771f4", "táhnout (v-w6771f4)")</f>
        <v>táhnout (v-w6771f4)</v>
      </c>
    </row>
    <row r="48928" customFormat="false" ht="12.8" hidden="false" customHeight="false" outlineLevel="0" collapsed="false">
      <c r="B48928" s="0" t="s">
        <v>199</v>
      </c>
    </row>
    <row r="48929" customFormat="false" ht="12.8" hidden="false" customHeight="false" outlineLevel="0" collapsed="false">
      <c r="B48929" s="0" t="s">
        <v>328</v>
      </c>
    </row>
    <row r="48931" customFormat="false" ht="12.8" hidden="false" customHeight="false" outlineLevel="0" collapsed="false">
      <c r="A48931" s="0" t="s">
        <v>17276</v>
      </c>
      <c r="B48931" s="0" t="str">
        <f aca="false">HYPERLINK("https://lindat.mff.cuni.cz/services/teitok/pdtc10/index.php?action=vallex&amp;frame=v-w6771f12_ZU", "táhnout (v-w6771f12_ZU)")</f>
        <v>táhnout (v-w6771f12_ZU)</v>
      </c>
    </row>
    <row r="48932" customFormat="false" ht="12.8" hidden="false" customHeight="false" outlineLevel="0" collapsed="false">
      <c r="B48932" s="0" t="s">
        <v>7</v>
      </c>
    </row>
    <row r="48933" customFormat="false" ht="12.8" hidden="false" customHeight="false" outlineLevel="0" collapsed="false">
      <c r="B48933" s="0" t="s">
        <v>81</v>
      </c>
    </row>
    <row r="48934" customFormat="false" ht="12.8" hidden="false" customHeight="false" outlineLevel="0" collapsed="false">
      <c r="B48934" s="0" t="s">
        <v>17277</v>
      </c>
    </row>
    <row r="48936" customFormat="false" ht="12.8" hidden="false" customHeight="false" outlineLevel="0" collapsed="false">
      <c r="A48936" s="0" t="s">
        <v>17276</v>
      </c>
      <c r="B48936" s="0" t="str">
        <f aca="false">HYPERLINK("https://lindat.mff.cuni.cz/services/teitok/pdtc10/index.php?action=vallex&amp;frame=v-w6771f7_ZU", "táhnout (v-w6771f7_ZU) - substituted with v-w6771f12_ZU")</f>
        <v>táhnout (v-w6771f7_ZU) - substituted with v-w6771f12_ZU</v>
      </c>
    </row>
    <row r="48937" customFormat="false" ht="12.8" hidden="false" customHeight="false" outlineLevel="0" collapsed="false">
      <c r="B48937" s="0" t="s">
        <v>7</v>
      </c>
      <c r="C48937" s="0" t="s">
        <v>108</v>
      </c>
      <c r="D48937" s="0" t="s">
        <v>5251</v>
      </c>
      <c r="E48937" s="0" t="s">
        <v>5251</v>
      </c>
      <c r="F48937" s="0" t="s">
        <v>5251</v>
      </c>
    </row>
    <row r="48938" customFormat="false" ht="12.8" hidden="false" customHeight="false" outlineLevel="0" collapsed="false">
      <c r="B48938" s="0" t="s">
        <v>81</v>
      </c>
      <c r="C48938" s="0" t="s">
        <v>17278</v>
      </c>
      <c r="D48938" s="0" t="s">
        <v>5253</v>
      </c>
      <c r="E48938" s="0" t="s">
        <v>5253</v>
      </c>
      <c r="F48938" s="0" t="s">
        <v>5253</v>
      </c>
    </row>
    <row r="48939" customFormat="false" ht="12.8" hidden="false" customHeight="false" outlineLevel="0" collapsed="false">
      <c r="B48939" s="0" t="s">
        <v>17277</v>
      </c>
      <c r="D48939" s="0" t="s">
        <v>5254</v>
      </c>
      <c r="E48939" s="0" t="s">
        <v>5254</v>
      </c>
      <c r="F48939" s="0" t="s">
        <v>5254</v>
      </c>
    </row>
    <row r="48941" customFormat="false" ht="12.8" hidden="false" customHeight="false" outlineLevel="0" collapsed="false">
      <c r="A48941" s="0" t="s">
        <v>17279</v>
      </c>
      <c r="B48941" s="0" t="str">
        <f aca="false">HYPERLINK("https://lindat.mff.cuni.cz/services/teitok/pdtc10/index.php?action=vallex&amp;frame=v-w6771f2", "táhnout (v-w6771f2)")</f>
        <v>táhnout (v-w6771f2)</v>
      </c>
    </row>
    <row r="48942" customFormat="false" ht="12.8" hidden="false" customHeight="false" outlineLevel="0" collapsed="false">
      <c r="B48942" s="0" t="s">
        <v>7</v>
      </c>
    </row>
    <row r="48943" customFormat="false" ht="12.8" hidden="false" customHeight="false" outlineLevel="0" collapsed="false">
      <c r="B48943" s="0" t="s">
        <v>124</v>
      </c>
    </row>
    <row r="48945" customFormat="false" ht="12.8" hidden="false" customHeight="false" outlineLevel="0" collapsed="false">
      <c r="A48945" s="0" t="s">
        <v>17280</v>
      </c>
      <c r="B48945" s="0" t="str">
        <f aca="false">HYPERLINK("https://lindat.mff.cuni.cz/services/teitok/pdtc10/index.php?action=vallex&amp;frame=v-w6771f3", "táhnout (v-w6771f3)")</f>
        <v>táhnout (v-w6771f3)</v>
      </c>
    </row>
    <row r="48946" customFormat="false" ht="12.8" hidden="false" customHeight="false" outlineLevel="0" collapsed="false">
      <c r="B48946" s="0" t="s">
        <v>17281</v>
      </c>
    </row>
    <row r="48948" customFormat="false" ht="12.8" hidden="false" customHeight="false" outlineLevel="0" collapsed="false">
      <c r="A48948" s="0" t="s">
        <v>17282</v>
      </c>
      <c r="B48948" s="0" t="str">
        <f aca="false">HYPERLINK("https://lindat.mff.cuni.cz/services/teitok/pdtc10/index.php?action=vallex&amp;frame=v-w6771f10_ZU", "táhnout (v-w6771f10_ZU)")</f>
        <v>táhnout (v-w6771f10_ZU)</v>
      </c>
    </row>
    <row r="48949" customFormat="false" ht="12.8" hidden="false" customHeight="false" outlineLevel="0" collapsed="false">
      <c r="B48949" s="0" t="s">
        <v>7</v>
      </c>
    </row>
    <row r="48950" customFormat="false" ht="12.8" hidden="false" customHeight="false" outlineLevel="0" collapsed="false">
      <c r="B48950" s="0" t="s">
        <v>17014</v>
      </c>
    </row>
    <row r="48952" customFormat="false" ht="12.8" hidden="false" customHeight="false" outlineLevel="0" collapsed="false">
      <c r="A48952" s="0" t="s">
        <v>17282</v>
      </c>
      <c r="B48952" s="0" t="str">
        <f aca="false">HYPERLINK("https://lindat.mff.cuni.cz/services/teitok/pdtc10/index.php?action=vallex&amp;frame=v-w6771f8_ZU", "táhnout (v-w6771f8_ZU) - substituted with v-w6771f10_ZU")</f>
        <v>táhnout (v-w6771f8_ZU) - substituted with v-w6771f10_ZU</v>
      </c>
    </row>
    <row r="48953" customFormat="false" ht="12.8" hidden="false" customHeight="false" outlineLevel="0" collapsed="false">
      <c r="B48953" s="0" t="s">
        <v>7</v>
      </c>
    </row>
    <row r="48954" customFormat="false" ht="12.8" hidden="false" customHeight="false" outlineLevel="0" collapsed="false">
      <c r="B48954" s="0" t="s">
        <v>17014</v>
      </c>
    </row>
    <row r="48956" customFormat="false" ht="12.8" hidden="false" customHeight="false" outlineLevel="0" collapsed="false">
      <c r="A48956" s="0" t="s">
        <v>17282</v>
      </c>
      <c r="B48956" s="0" t="str">
        <f aca="false">HYPERLINK("https://lindat.mff.cuni.cz/services/teitok/pdtc10/index.php?action=vallex&amp;frame=v-w6771f9_ZU", "táhnout (v-w6771f9_ZU) - substituted with v-w6771f10_ZU")</f>
        <v>táhnout (v-w6771f9_ZU) - substituted with v-w6771f10_ZU</v>
      </c>
    </row>
    <row r="48957" customFormat="false" ht="12.8" hidden="false" customHeight="false" outlineLevel="0" collapsed="false">
      <c r="B48957" s="0" t="s">
        <v>7</v>
      </c>
    </row>
    <row r="48958" customFormat="false" ht="12.8" hidden="false" customHeight="false" outlineLevel="0" collapsed="false">
      <c r="B48958" s="0" t="s">
        <v>17014</v>
      </c>
    </row>
    <row r="48960" customFormat="false" ht="12.8" hidden="false" customHeight="false" outlineLevel="0" collapsed="false">
      <c r="A48960" s="0" t="s">
        <v>17282</v>
      </c>
      <c r="B48960" s="0" t="str">
        <f aca="false">HYPERLINK("https://lindat.mff.cuni.cz/services/teitok/pdtc10/index.php?action=vallex&amp;frame=v-w6771hsa_407", "táhnout (v-w6771hsa_407) - substituted with v-w6771f10_ZU")</f>
        <v>táhnout (v-w6771hsa_407) - substituted with v-w6771f10_ZU</v>
      </c>
    </row>
    <row r="48961" customFormat="false" ht="12.8" hidden="false" customHeight="false" outlineLevel="0" collapsed="false">
      <c r="B48961" s="0" t="s">
        <v>7</v>
      </c>
    </row>
    <row r="48962" customFormat="false" ht="12.8" hidden="false" customHeight="false" outlineLevel="0" collapsed="false">
      <c r="B48962" s="0" t="s">
        <v>17014</v>
      </c>
    </row>
    <row r="48964" customFormat="false" ht="12.8" hidden="false" customHeight="false" outlineLevel="0" collapsed="false">
      <c r="A48964" s="0" t="s">
        <v>17283</v>
      </c>
      <c r="B48964" s="0" t="str">
        <f aca="false">HYPERLINK("https://lindat.mff.cuni.cz/services/teitok/pdtc10/index.php?action=vallex&amp;frame=v-w6771f11_ZU", "táhnout (v-w6771f11_ZU)")</f>
        <v>táhnout (v-w6771f11_ZU)</v>
      </c>
    </row>
    <row r="48965" customFormat="false" ht="12.8" hidden="false" customHeight="false" outlineLevel="0" collapsed="false">
      <c r="B48965" s="0" t="s">
        <v>7</v>
      </c>
      <c r="C48965" s="0" t="s">
        <v>3855</v>
      </c>
    </row>
    <row r="48966" customFormat="false" ht="12.8" hidden="false" customHeight="false" outlineLevel="0" collapsed="false">
      <c r="B48966" s="0" t="s">
        <v>3771</v>
      </c>
    </row>
    <row r="48968" customFormat="false" ht="12.8" hidden="false" customHeight="false" outlineLevel="0" collapsed="false">
      <c r="A48968" s="0" t="s">
        <v>17283</v>
      </c>
      <c r="B48968" s="0" t="str">
        <f aca="false">HYPERLINK("https://lindat.mff.cuni.cz/services/teitok/pdtc10/index.php?action=vallex&amp;frame=v-w6771hsa_408", "táhnout (v-w6771hsa_408) - substituted with v-w6771f11_ZU")</f>
        <v>táhnout (v-w6771hsa_408) - substituted with v-w6771f11_ZU</v>
      </c>
    </row>
    <row r="48969" customFormat="false" ht="12.8" hidden="false" customHeight="false" outlineLevel="0" collapsed="false">
      <c r="B48969" s="0" t="s">
        <v>7</v>
      </c>
    </row>
    <row r="48970" customFormat="false" ht="12.8" hidden="false" customHeight="false" outlineLevel="0" collapsed="false">
      <c r="B48970" s="0" t="s">
        <v>3771</v>
      </c>
    </row>
    <row r="48972" customFormat="false" ht="12.8" hidden="false" customHeight="false" outlineLevel="0" collapsed="false">
      <c r="A48972" s="0" t="s">
        <v>17284</v>
      </c>
      <c r="B48972" s="0" t="str">
        <f aca="false">HYPERLINK("https://lindat.mff.cuni.cz/services/teitok/pdtc10/index.php?action=vallex&amp;frame=v-w6771hsa_409", "táhnout (v-w6771hsa_409)")</f>
        <v>táhnout (v-w6771hsa_409)</v>
      </c>
    </row>
    <row r="48973" customFormat="false" ht="12.8" hidden="false" customHeight="false" outlineLevel="0" collapsed="false">
      <c r="B48973" s="0" t="s">
        <v>7</v>
      </c>
      <c r="C48973" s="0" t="s">
        <v>184</v>
      </c>
    </row>
    <row r="48974" customFormat="false" ht="12.8" hidden="false" customHeight="false" outlineLevel="0" collapsed="false">
      <c r="B48974" s="0" t="s">
        <v>14</v>
      </c>
      <c r="C48974" s="0" t="s">
        <v>461</v>
      </c>
    </row>
    <row r="48976" customFormat="false" ht="12.8" hidden="false" customHeight="false" outlineLevel="0" collapsed="false">
      <c r="A48976" s="0" t="s">
        <v>17285</v>
      </c>
      <c r="B48976" s="0" t="str">
        <f aca="false">HYPERLINK("https://lindat.mff.cuni.cz/services/teitok/pdtc10/index.php?action=vallex&amp;frame=v-w6771f14_ZU", "táhnout (v-w6771f14_ZU)")</f>
        <v>táhnout (v-w6771f14_ZU)</v>
      </c>
    </row>
    <row r="48977" customFormat="false" ht="12.8" hidden="false" customHeight="false" outlineLevel="0" collapsed="false">
      <c r="B48977" s="0" t="s">
        <v>7</v>
      </c>
    </row>
    <row r="48978" customFormat="false" ht="12.8" hidden="false" customHeight="false" outlineLevel="0" collapsed="false">
      <c r="B48978" s="0" t="s">
        <v>3928</v>
      </c>
    </row>
    <row r="48980" customFormat="false" ht="12.8" hidden="false" customHeight="false" outlineLevel="0" collapsed="false">
      <c r="A48980" s="0" t="s">
        <v>17286</v>
      </c>
      <c r="B48980" s="0" t="str">
        <f aca="false">HYPERLINK("https://lindat.mff.cuni.cz/services/teitok/pdtc10/index.php?action=vallex&amp;frame=v-w6771hsa_406", "táhnout (v-w6771hsa_406)")</f>
        <v>táhnout (v-w6771hsa_406)</v>
      </c>
    </row>
    <row r="48981" customFormat="false" ht="12.8" hidden="false" customHeight="false" outlineLevel="0" collapsed="false">
      <c r="B48981" s="0" t="s">
        <v>7</v>
      </c>
    </row>
    <row r="48983" customFormat="false" ht="12.8" hidden="false" customHeight="false" outlineLevel="0" collapsed="false">
      <c r="A48983" s="0" t="s">
        <v>17287</v>
      </c>
      <c r="B48983" s="0" t="str">
        <f aca="false">HYPERLINK("https://lindat.mff.cuni.cz/services/teitok/pdtc10/index.php?action=vallex&amp;frame=v-w6771hsa_1412", "táhnout (v-w6771hsa_1412)")</f>
        <v>táhnout (v-w6771hsa_1412)</v>
      </c>
    </row>
    <row r="48984" customFormat="false" ht="12.8" hidden="false" customHeight="false" outlineLevel="0" collapsed="false">
      <c r="B48984" s="0" t="s">
        <v>7</v>
      </c>
    </row>
    <row r="48985" customFormat="false" ht="12.8" hidden="false" customHeight="false" outlineLevel="0" collapsed="false">
      <c r="B48985" s="0" t="s">
        <v>14</v>
      </c>
    </row>
    <row r="48987" customFormat="false" ht="12.8" hidden="false" customHeight="false" outlineLevel="0" collapsed="false">
      <c r="A48987" s="0" t="s">
        <v>17288</v>
      </c>
      <c r="B48987" s="0" t="str">
        <f aca="false">HYPERLINK("https://lindat.mff.cuni.cz/services/teitok/pdtc10/index.php?action=vallex&amp;frame=v-w6772f2", "táhnout se (v-w6772f2)")</f>
        <v>táhnout se (v-w6772f2)</v>
      </c>
    </row>
    <row r="48988" customFormat="false" ht="12.8" hidden="false" customHeight="false" outlineLevel="0" collapsed="false">
      <c r="B48988" s="0" t="s">
        <v>7</v>
      </c>
    </row>
    <row r="48989" customFormat="false" ht="12.8" hidden="false" customHeight="false" outlineLevel="0" collapsed="false">
      <c r="B48989" s="0" t="s">
        <v>548</v>
      </c>
    </row>
    <row r="48991" customFormat="false" ht="12.8" hidden="false" customHeight="false" outlineLevel="0" collapsed="false">
      <c r="A48991" s="0" t="s">
        <v>17289</v>
      </c>
      <c r="B48991" s="0" t="str">
        <f aca="false">HYPERLINK("https://lindat.mff.cuni.cz/services/teitok/pdtc10/index.php?action=vallex&amp;frame=v-w6772f5_ZU", "táhnout se (v-w6772f5_ZU)")</f>
        <v>táhnout se (v-w6772f5_ZU)</v>
      </c>
    </row>
    <row r="48992" customFormat="false" ht="12.8" hidden="false" customHeight="false" outlineLevel="0" collapsed="false">
      <c r="B48992" s="0" t="s">
        <v>7</v>
      </c>
      <c r="C48992" s="0" t="s">
        <v>46</v>
      </c>
      <c r="D48992" s="0" t="s">
        <v>4638</v>
      </c>
      <c r="E48992" s="0" t="s">
        <v>4638</v>
      </c>
      <c r="F48992" s="0" t="s">
        <v>4638</v>
      </c>
    </row>
    <row r="48993" customFormat="false" ht="12.8" hidden="false" customHeight="false" outlineLevel="0" collapsed="false">
      <c r="B48993" s="0" t="s">
        <v>1059</v>
      </c>
    </row>
    <row r="48995" customFormat="false" ht="12.8" hidden="false" customHeight="false" outlineLevel="0" collapsed="false">
      <c r="A48995" s="0" t="s">
        <v>17290</v>
      </c>
      <c r="B48995" s="0" t="str">
        <f aca="false">HYPERLINK("https://lindat.mff.cuni.cz/services/teitok/pdtc10/index.php?action=vallex&amp;frame=v-w6772f4_ZU", "táhnout se (v-w6772f4_ZU)")</f>
        <v>táhnout se (v-w6772f4_ZU)</v>
      </c>
    </row>
    <row r="48996" customFormat="false" ht="12.8" hidden="false" customHeight="false" outlineLevel="0" collapsed="false">
      <c r="B48996" s="0" t="s">
        <v>7</v>
      </c>
      <c r="C48996" s="0" t="s">
        <v>7092</v>
      </c>
    </row>
    <row r="48997" customFormat="false" ht="12.8" hidden="false" customHeight="false" outlineLevel="0" collapsed="false">
      <c r="B48997" s="0" t="s">
        <v>5382</v>
      </c>
    </row>
    <row r="48998" customFormat="false" ht="12.8" hidden="false" customHeight="false" outlineLevel="0" collapsed="false">
      <c r="B48998" s="0" t="s">
        <v>338</v>
      </c>
    </row>
    <row r="49000" customFormat="false" ht="12.8" hidden="false" customHeight="false" outlineLevel="0" collapsed="false">
      <c r="A49000" s="0" t="s">
        <v>17291</v>
      </c>
      <c r="B49000" s="0" t="str">
        <f aca="false">HYPERLINK("https://lindat.mff.cuni.cz/services/teitok/pdtc10/index.php?action=vallex&amp;frame=v-w6772f6_ZU", "táhnout se (v-w6772f6_ZU)")</f>
        <v>táhnout se (v-w6772f6_ZU)</v>
      </c>
    </row>
    <row r="49001" customFormat="false" ht="12.8" hidden="false" customHeight="false" outlineLevel="0" collapsed="false">
      <c r="B49001" s="0" t="s">
        <v>7</v>
      </c>
    </row>
    <row r="49002" customFormat="false" ht="12.8" hidden="false" customHeight="false" outlineLevel="0" collapsed="false">
      <c r="B49002" s="0" t="s">
        <v>124</v>
      </c>
    </row>
    <row r="49004" customFormat="false" ht="12.8" hidden="false" customHeight="false" outlineLevel="0" collapsed="false">
      <c r="A49004" s="0" t="s">
        <v>17291</v>
      </c>
      <c r="B49004" s="0" t="str">
        <f aca="false">HYPERLINK("https://lindat.mff.cuni.cz/services/teitok/pdtc10/index.php?action=vallex&amp;frame=v-w6772f3", "táhnout se (v-w6772f3) - substituted with v-w6772f6_ZU")</f>
        <v>táhnout se (v-w6772f3) - substituted with v-w6772f6_ZU</v>
      </c>
    </row>
    <row r="49005" customFormat="false" ht="12.8" hidden="false" customHeight="false" outlineLevel="0" collapsed="false">
      <c r="B49005" s="0" t="s">
        <v>7</v>
      </c>
    </row>
    <row r="49006" customFormat="false" ht="12.8" hidden="false" customHeight="false" outlineLevel="0" collapsed="false">
      <c r="B49006" s="0" t="s">
        <v>124</v>
      </c>
    </row>
    <row r="49008" customFormat="false" ht="12.8" hidden="false" customHeight="false" outlineLevel="0" collapsed="false">
      <c r="A49008" s="0" t="s">
        <v>17292</v>
      </c>
      <c r="B49008" s="0" t="str">
        <f aca="false">HYPERLINK("https://lindat.mff.cuni.cz/services/teitok/pdtc10/index.php?action=vallex&amp;frame=v-w6772f1", "táhnout se (v-w6772f1)")</f>
        <v>táhnout se (v-w6772f1)</v>
      </c>
    </row>
    <row r="49009" customFormat="false" ht="12.8" hidden="false" customHeight="false" outlineLevel="0" collapsed="false">
      <c r="B49009" s="0" t="s">
        <v>7</v>
      </c>
      <c r="C49009" s="0" t="s">
        <v>396</v>
      </c>
      <c r="D49009" s="0" t="s">
        <v>12257</v>
      </c>
      <c r="E49009" s="0" t="s">
        <v>12257</v>
      </c>
      <c r="F49009" s="0" t="s">
        <v>12257</v>
      </c>
    </row>
    <row r="49011" customFormat="false" ht="12.8" hidden="false" customHeight="false" outlineLevel="0" collapsed="false">
      <c r="A49011" s="0" t="s">
        <v>17293</v>
      </c>
      <c r="B49011" s="0" t="str">
        <f aca="false">HYPERLINK("https://lindat.mff.cuni.cz/services/teitok/pdtc10/index.php?action=vallex&amp;frame=v-w6772hsa_706", "táhnout se (v-w6772hsa_706)")</f>
        <v>táhnout se (v-w6772hsa_706)</v>
      </c>
    </row>
    <row r="49012" customFormat="false" ht="12.8" hidden="false" customHeight="false" outlineLevel="0" collapsed="false">
      <c r="B49012" s="0" t="s">
        <v>7</v>
      </c>
      <c r="D49012" s="0" t="s">
        <v>4638</v>
      </c>
      <c r="E49012" s="0" t="s">
        <v>4638</v>
      </c>
      <c r="F49012" s="0" t="s">
        <v>4638</v>
      </c>
    </row>
    <row r="49013" customFormat="false" ht="12.8" hidden="false" customHeight="false" outlineLevel="0" collapsed="false">
      <c r="B49013" s="0" t="s">
        <v>259</v>
      </c>
    </row>
    <row r="49015" customFormat="false" ht="12.8" hidden="false" customHeight="false" outlineLevel="0" collapsed="false">
      <c r="A49015" s="0" t="s">
        <v>17294</v>
      </c>
      <c r="B49015" s="0" t="str">
        <f aca="false">HYPERLINK("https://lindat.mff.cuni.cz/services/teitok/pdtc10/index.php?action=vallex&amp;frame=v-w6783f1", "tápat (v-w6783f1)")</f>
        <v>tápat (v-w6783f1)</v>
      </c>
    </row>
    <row r="49016" customFormat="false" ht="12.8" hidden="false" customHeight="false" outlineLevel="0" collapsed="false">
      <c r="B49016" s="0" t="s">
        <v>7</v>
      </c>
    </row>
    <row r="49018" customFormat="false" ht="12.8" hidden="false" customHeight="false" outlineLevel="0" collapsed="false">
      <c r="A49018" s="0" t="s">
        <v>17295</v>
      </c>
      <c r="B49018" s="0" t="str">
        <f aca="false">HYPERLINK("https://lindat.mff.cuni.cz/services/teitok/pdtc10/index.php?action=vallex&amp;frame=v-w6788f2", "tát (v-w6788f2)")</f>
        <v>tát (v-w6788f2)</v>
      </c>
    </row>
    <row r="49019" customFormat="false" ht="12.8" hidden="false" customHeight="false" outlineLevel="0" collapsed="false">
      <c r="B49019" s="0" t="s">
        <v>7</v>
      </c>
    </row>
    <row r="49021" customFormat="false" ht="12.8" hidden="false" customHeight="false" outlineLevel="0" collapsed="false">
      <c r="A49021" s="0" t="s">
        <v>17296</v>
      </c>
      <c r="B49021" s="0" t="str">
        <f aca="false">HYPERLINK("https://lindat.mff.cuni.cz/services/teitok/pdtc10/index.php?action=vallex&amp;frame=v-w6788f1", "tát (v-w6788f1)")</f>
        <v>tát (v-w6788f1)</v>
      </c>
    </row>
    <row r="49023" customFormat="false" ht="12.8" hidden="false" customHeight="false" outlineLevel="0" collapsed="false">
      <c r="A49023" s="0" t="s">
        <v>17297</v>
      </c>
      <c r="B49023" s="0" t="str">
        <f aca="false">HYPERLINK("https://lindat.mff.cuni.cz/services/teitok/pdtc10/index.php?action=vallex&amp;frame=v-w6788f3_ZU", "tát (v-w6788f3_ZU)")</f>
        <v>tát (v-w6788f3_ZU)</v>
      </c>
    </row>
    <row r="49024" customFormat="false" ht="12.8" hidden="false" customHeight="false" outlineLevel="0" collapsed="false">
      <c r="B49024" s="0" t="s">
        <v>7</v>
      </c>
    </row>
    <row r="49026" customFormat="false" ht="12.8" hidden="false" customHeight="false" outlineLevel="0" collapsed="false">
      <c r="A49026" s="0" t="s">
        <v>17298</v>
      </c>
      <c r="B49026" s="0" t="str">
        <f aca="false">HYPERLINK("https://lindat.mff.cuni.cz/services/teitok/pdtc10/index.php?action=vallex&amp;frame=v-w6792hsa_441", "tázat se (v-w6792hsa_441)")</f>
        <v>tázat se (v-w6792hsa_441)</v>
      </c>
    </row>
    <row r="49027" customFormat="false" ht="12.8" hidden="false" customHeight="false" outlineLevel="0" collapsed="false">
      <c r="B49027" s="0" t="s">
        <v>7</v>
      </c>
      <c r="C49027" s="0" t="s">
        <v>2583</v>
      </c>
      <c r="D49027" s="0" t="s">
        <v>2534</v>
      </c>
      <c r="E49027" s="0" t="s">
        <v>2534</v>
      </c>
      <c r="F49027" s="0" t="s">
        <v>2534</v>
      </c>
    </row>
    <row r="49028" customFormat="false" ht="12.8" hidden="false" customHeight="false" outlineLevel="0" collapsed="false">
      <c r="B49028" s="0" t="s">
        <v>17299</v>
      </c>
      <c r="C49028" s="0" t="s">
        <v>2584</v>
      </c>
      <c r="D49028" s="0" t="s">
        <v>2537</v>
      </c>
      <c r="E49028" s="0" t="s">
        <v>2537</v>
      </c>
      <c r="F49028" s="0" t="s">
        <v>2537</v>
      </c>
    </row>
    <row r="49029" customFormat="false" ht="12.8" hidden="false" customHeight="false" outlineLevel="0" collapsed="false">
      <c r="B49029" s="0" t="s">
        <v>2538</v>
      </c>
      <c r="C49029" s="0" t="s">
        <v>2585</v>
      </c>
      <c r="D49029" s="0" t="s">
        <v>2540</v>
      </c>
      <c r="E49029" s="0" t="s">
        <v>2540</v>
      </c>
      <c r="F49029" s="0" t="s">
        <v>2540</v>
      </c>
    </row>
    <row r="49031" customFormat="false" ht="12.8" hidden="false" customHeight="false" outlineLevel="0" collapsed="false">
      <c r="A49031" s="0" t="s">
        <v>17298</v>
      </c>
      <c r="B49031" s="0" t="str">
        <f aca="false">HYPERLINK("https://lindat.mff.cuni.cz/services/teitok/pdtc10/index.php?action=vallex&amp;frame=v-w6792f1", "tázat se (v-w6792f1) - substituted with v-w6792hsa_441")</f>
        <v>tázat se (v-w6792f1) - substituted with v-w6792hsa_441</v>
      </c>
    </row>
    <row r="49032" customFormat="false" ht="12.8" hidden="false" customHeight="false" outlineLevel="0" collapsed="false">
      <c r="B49032" s="0" t="s">
        <v>7</v>
      </c>
      <c r="C49032" s="0" t="s">
        <v>91</v>
      </c>
    </row>
    <row r="49033" customFormat="false" ht="12.8" hidden="false" customHeight="false" outlineLevel="0" collapsed="false">
      <c r="B49033" s="0" t="s">
        <v>17299</v>
      </c>
      <c r="C49033" s="0" t="s">
        <v>312</v>
      </c>
    </row>
    <row r="49034" customFormat="false" ht="12.8" hidden="false" customHeight="false" outlineLevel="0" collapsed="false">
      <c r="B49034" s="0" t="s">
        <v>2538</v>
      </c>
    </row>
    <row r="49036" customFormat="false" ht="12.8" hidden="false" customHeight="false" outlineLevel="0" collapsed="false">
      <c r="A49036" s="0" t="s">
        <v>17300</v>
      </c>
      <c r="B49036" s="0" t="str">
        <f aca="false">HYPERLINK("https://lindat.mff.cuni.cz/services/teitok/pdtc10/index.php?action=vallex&amp;frame=v-w6794f4_ZU", "téci (v-w6794f4_ZU)")</f>
        <v>téci (v-w6794f4_ZU)</v>
      </c>
    </row>
    <row r="49037" customFormat="false" ht="12.8" hidden="false" customHeight="false" outlineLevel="0" collapsed="false">
      <c r="B49037" s="0" t="s">
        <v>7</v>
      </c>
    </row>
    <row r="49039" customFormat="false" ht="12.8" hidden="false" customHeight="false" outlineLevel="0" collapsed="false">
      <c r="A49039" s="0" t="s">
        <v>17300</v>
      </c>
      <c r="B49039" s="0" t="str">
        <f aca="false">HYPERLINK("https://lindat.mff.cuni.cz/services/teitok/pdtc10/index.php?action=vallex&amp;frame=v-w6794f1", "téci (v-w6794f1) - substituted with v-w6794f4_ZU")</f>
        <v>téci (v-w6794f1) - substituted with v-w6794f4_ZU</v>
      </c>
    </row>
    <row r="49040" customFormat="false" ht="12.8" hidden="false" customHeight="false" outlineLevel="0" collapsed="false">
      <c r="B49040" s="0" t="s">
        <v>7</v>
      </c>
      <c r="C49040" s="0" t="s">
        <v>17301</v>
      </c>
      <c r="D49040" s="0" t="s">
        <v>12273</v>
      </c>
      <c r="E49040" s="0" t="s">
        <v>12273</v>
      </c>
      <c r="F49040" s="0" t="s">
        <v>12273</v>
      </c>
    </row>
    <row r="49042" customFormat="false" ht="12.8" hidden="false" customHeight="false" outlineLevel="0" collapsed="false">
      <c r="A49042" s="0" t="s">
        <v>17302</v>
      </c>
      <c r="B49042" s="0" t="str">
        <f aca="false">HYPERLINK("https://lindat.mff.cuni.cz/services/teitok/pdtc10/index.php?action=vallex&amp;frame=v-w6794f2", "téci (v-w6794f2)")</f>
        <v>téci (v-w6794f2)</v>
      </c>
    </row>
    <row r="49044" customFormat="false" ht="12.8" hidden="false" customHeight="false" outlineLevel="0" collapsed="false">
      <c r="A49044" s="0" t="s">
        <v>17303</v>
      </c>
      <c r="B49044" s="0" t="str">
        <f aca="false">HYPERLINK("https://lindat.mff.cuni.cz/services/teitok/pdtc10/index.php?action=vallex&amp;frame=v-w6794f3_ZU", "téci (v-w6794f3_ZU)")</f>
        <v>téci (v-w6794f3_ZU)</v>
      </c>
    </row>
    <row r="49045" customFormat="false" ht="12.8" hidden="false" customHeight="false" outlineLevel="0" collapsed="false">
      <c r="B49045" s="0" t="s">
        <v>7</v>
      </c>
    </row>
    <row r="49047" customFormat="false" ht="12.8" hidden="false" customHeight="false" outlineLevel="0" collapsed="false">
      <c r="A49047" s="0" t="s">
        <v>17304</v>
      </c>
      <c r="B49047" s="0" t="str">
        <f aca="false">HYPERLINK("https://lindat.mff.cuni.cz/services/teitok/pdtc10/index.php?action=vallex&amp;frame=v-w6794hsa_629", "téci (v-w6794hsa_629)")</f>
        <v>téci (v-w6794hsa_629)</v>
      </c>
    </row>
    <row r="49048" customFormat="false" ht="12.8" hidden="false" customHeight="false" outlineLevel="0" collapsed="false">
      <c r="B49048" s="0" t="s">
        <v>7</v>
      </c>
    </row>
    <row r="49050" customFormat="false" ht="12.8" hidden="false" customHeight="false" outlineLevel="0" collapsed="false">
      <c r="A49050" s="0" t="s">
        <v>17305</v>
      </c>
      <c r="B49050" s="0" t="str">
        <f aca="false">HYPERLINK("https://lindat.mff.cuni.cz/services/teitok/pdtc10/index.php?action=vallex&amp;frame=v-w6829f2_ZU", "tíhnout (v-w6829f2_ZU)")</f>
        <v>tíhnout (v-w6829f2_ZU)</v>
      </c>
    </row>
    <row r="49051" customFormat="false" ht="12.8" hidden="false" customHeight="false" outlineLevel="0" collapsed="false">
      <c r="B49051" s="0" t="s">
        <v>7</v>
      </c>
    </row>
    <row r="49052" customFormat="false" ht="12.8" hidden="false" customHeight="false" outlineLevel="0" collapsed="false">
      <c r="B49052" s="0" t="s">
        <v>3902</v>
      </c>
    </row>
    <row r="49054" customFormat="false" ht="12.8" hidden="false" customHeight="false" outlineLevel="0" collapsed="false">
      <c r="A49054" s="0" t="s">
        <v>17305</v>
      </c>
      <c r="B49054" s="0" t="str">
        <f aca="false">HYPERLINK("https://lindat.mff.cuni.cz/services/teitok/pdtc10/index.php?action=vallex&amp;frame=v-w6829f1", "tíhnout (v-w6829f1) - substituted with v-w6829f2_ZU")</f>
        <v>tíhnout (v-w6829f1) - substituted with v-w6829f2_ZU</v>
      </c>
    </row>
    <row r="49055" customFormat="false" ht="12.8" hidden="false" customHeight="false" outlineLevel="0" collapsed="false">
      <c r="B49055" s="0" t="s">
        <v>7</v>
      </c>
      <c r="C49055" s="0" t="s">
        <v>191</v>
      </c>
      <c r="D49055" s="0" t="s">
        <v>4198</v>
      </c>
      <c r="E49055" s="0" t="s">
        <v>4198</v>
      </c>
      <c r="F49055" s="0" t="s">
        <v>4198</v>
      </c>
    </row>
    <row r="49056" customFormat="false" ht="12.8" hidden="false" customHeight="false" outlineLevel="0" collapsed="false">
      <c r="B49056" s="0" t="s">
        <v>3902</v>
      </c>
      <c r="C49056" s="0" t="s">
        <v>115</v>
      </c>
      <c r="D49056" s="0" t="s">
        <v>4200</v>
      </c>
      <c r="E49056" s="0" t="s">
        <v>4200</v>
      </c>
      <c r="F49056" s="0" t="s">
        <v>4200</v>
      </c>
    </row>
    <row r="49058" customFormat="false" ht="12.8" hidden="false" customHeight="false" outlineLevel="0" collapsed="false">
      <c r="A49058" s="0" t="s">
        <v>17306</v>
      </c>
      <c r="B49058" s="0" t="str">
        <f aca="false">HYPERLINK("https://lindat.mff.cuni.cz/services/teitok/pdtc10/index.php?action=vallex&amp;frame=v-w6832f1", "típnout (v-w6832f1)")</f>
        <v>típnout (v-w6832f1)</v>
      </c>
    </row>
    <row r="49059" customFormat="false" ht="12.8" hidden="false" customHeight="false" outlineLevel="0" collapsed="false">
      <c r="B49059" s="0" t="s">
        <v>7</v>
      </c>
    </row>
    <row r="49060" customFormat="false" ht="12.8" hidden="false" customHeight="false" outlineLevel="0" collapsed="false">
      <c r="B49060" s="0" t="s">
        <v>14</v>
      </c>
    </row>
    <row r="49062" customFormat="false" ht="12.8" hidden="false" customHeight="false" outlineLevel="0" collapsed="false">
      <c r="A49062" s="0" t="s">
        <v>17307</v>
      </c>
      <c r="B49062" s="0" t="str">
        <f aca="false">HYPERLINK("https://lindat.mff.cuni.cz/services/teitok/pdtc10/index.php?action=vallex&amp;frame=v-whsa_147f1_ZU", "tísnit se (v-whsa_147f1_ZU)")</f>
        <v>tísnit se (v-whsa_147f1_ZU)</v>
      </c>
    </row>
    <row r="49063" customFormat="false" ht="12.8" hidden="false" customHeight="false" outlineLevel="0" collapsed="false">
      <c r="B49063" s="0" t="s">
        <v>7</v>
      </c>
      <c r="C49063" s="0" t="s">
        <v>17308</v>
      </c>
      <c r="D49063" s="0" t="s">
        <v>5352</v>
      </c>
      <c r="E49063" s="0" t="s">
        <v>5352</v>
      </c>
      <c r="F49063" s="0" t="s">
        <v>5352</v>
      </c>
    </row>
    <row r="49064" customFormat="false" ht="12.8" hidden="false" customHeight="false" outlineLevel="0" collapsed="false">
      <c r="B49064" s="0" t="s">
        <v>11</v>
      </c>
      <c r="C49064" s="0" t="s">
        <v>17309</v>
      </c>
      <c r="D49064" s="0" t="s">
        <v>5353</v>
      </c>
      <c r="E49064" s="0" t="s">
        <v>5353</v>
      </c>
      <c r="F49064" s="0" t="s">
        <v>5353</v>
      </c>
    </row>
    <row r="49066" customFormat="false" ht="12.8" hidden="false" customHeight="false" outlineLevel="0" collapsed="false">
      <c r="A49066" s="0" t="s">
        <v>17307</v>
      </c>
      <c r="B49066" s="0" t="str">
        <f aca="false">HYPERLINK("https://lindat.mff.cuni.cz/services/teitok/pdtc10/index.php?action=vallex&amp;frame=v-whsa_147hsa_148", "tísnit se (v-whsa_147hsa_148) - substituted with v-whsa_147f1_ZU")</f>
        <v>tísnit se (v-whsa_147hsa_148) - substituted with v-whsa_147f1_ZU</v>
      </c>
    </row>
    <row r="49067" customFormat="false" ht="12.8" hidden="false" customHeight="false" outlineLevel="0" collapsed="false">
      <c r="B49067" s="0" t="s">
        <v>7</v>
      </c>
    </row>
    <row r="49068" customFormat="false" ht="12.8" hidden="false" customHeight="false" outlineLevel="0" collapsed="false">
      <c r="B49068" s="0" t="s">
        <v>11</v>
      </c>
    </row>
    <row r="49070" customFormat="false" ht="12.8" hidden="false" customHeight="false" outlineLevel="0" collapsed="false">
      <c r="A49070" s="0" t="s">
        <v>17310</v>
      </c>
      <c r="B49070" s="0" t="str">
        <f aca="false">HYPERLINK("https://lindat.mff.cuni.cz/services/teitok/pdtc10/index.php?action=vallex&amp;frame=v-w6958f1", "týkat se (v-w6958f1)")</f>
        <v>týkat se (v-w6958f1)</v>
      </c>
    </row>
    <row r="49071" customFormat="false" ht="12.8" hidden="false" customHeight="false" outlineLevel="0" collapsed="false">
      <c r="B49071" s="0" t="s">
        <v>641</v>
      </c>
      <c r="C49071" s="0" t="s">
        <v>17311</v>
      </c>
      <c r="D49071" s="0" t="s">
        <v>2592</v>
      </c>
      <c r="E49071" s="0" t="s">
        <v>2592</v>
      </c>
      <c r="F49071" s="0" t="s">
        <v>2592</v>
      </c>
    </row>
    <row r="49072" customFormat="false" ht="12.8" hidden="false" customHeight="false" outlineLevel="0" collapsed="false">
      <c r="B49072" s="0" t="s">
        <v>1087</v>
      </c>
      <c r="C49072" s="0" t="s">
        <v>17312</v>
      </c>
      <c r="D49072" s="0" t="s">
        <v>2595</v>
      </c>
      <c r="E49072" s="0" t="s">
        <v>2595</v>
      </c>
      <c r="F49072" s="0" t="s">
        <v>2595</v>
      </c>
    </row>
    <row r="49074" customFormat="false" ht="12.8" hidden="false" customHeight="false" outlineLevel="0" collapsed="false">
      <c r="A49074" s="0" t="s">
        <v>17313</v>
      </c>
      <c r="B49074" s="0" t="str">
        <f aca="false">HYPERLINK("https://lindat.mff.cuni.cz/services/teitok/pdtc10/index.php?action=vallex&amp;frame=v-w11087f2", "týrat (v-w11087f2)")</f>
        <v>týrat (v-w11087f2)</v>
      </c>
    </row>
    <row r="49075" customFormat="false" ht="12.8" hidden="false" customHeight="false" outlineLevel="0" collapsed="false">
      <c r="B49075" s="0" t="s">
        <v>7</v>
      </c>
      <c r="C49075" s="0" t="s">
        <v>46</v>
      </c>
      <c r="D49075" s="0" t="s">
        <v>88</v>
      </c>
      <c r="E49075" s="0" t="s">
        <v>88</v>
      </c>
      <c r="F49075" s="0" t="s">
        <v>88</v>
      </c>
    </row>
    <row r="49076" customFormat="false" ht="12.8" hidden="false" customHeight="false" outlineLevel="0" collapsed="false">
      <c r="B49076" s="0" t="s">
        <v>14</v>
      </c>
      <c r="C49076" s="0" t="s">
        <v>155</v>
      </c>
      <c r="D49076" s="0" t="s">
        <v>5491</v>
      </c>
      <c r="E49076" s="0" t="s">
        <v>5491</v>
      </c>
      <c r="F49076" s="0" t="s">
        <v>5491</v>
      </c>
    </row>
    <row r="49078" customFormat="false" ht="12.8" hidden="false" customHeight="false" outlineLevel="0" collapsed="false">
      <c r="A49078" s="0" t="s">
        <v>17314</v>
      </c>
      <c r="B49078" s="0" t="str">
        <f aca="false">HYPERLINK("https://lindat.mff.cuni.cz/services/teitok/pdtc10/index.php?action=vallex&amp;frame=v-whsb_51hsa_52", "těsnit (v-whsb_51hsa_52)")</f>
        <v>těsnit (v-whsb_51hsa_52)</v>
      </c>
    </row>
    <row r="49079" customFormat="false" ht="12.8" hidden="false" customHeight="false" outlineLevel="0" collapsed="false">
      <c r="B49079" s="0" t="s">
        <v>7</v>
      </c>
    </row>
    <row r="49081" customFormat="false" ht="12.8" hidden="false" customHeight="false" outlineLevel="0" collapsed="false">
      <c r="A49081" s="0" t="s">
        <v>17315</v>
      </c>
      <c r="B49081" s="0" t="str">
        <f aca="false">HYPERLINK("https://lindat.mff.cuni.cz/services/teitok/pdtc10/index.php?action=vallex&amp;frame=v-w6818f2", "těšit (v-w6818f2)")</f>
        <v>těšit (v-w6818f2)</v>
      </c>
    </row>
    <row r="49082" customFormat="false" ht="12.8" hidden="false" customHeight="false" outlineLevel="0" collapsed="false">
      <c r="B49082" s="0" t="s">
        <v>7</v>
      </c>
    </row>
    <row r="49083" customFormat="false" ht="12.8" hidden="false" customHeight="false" outlineLevel="0" collapsed="false">
      <c r="B49083" s="0" t="s">
        <v>14</v>
      </c>
    </row>
    <row r="49085" customFormat="false" ht="12.8" hidden="false" customHeight="false" outlineLevel="0" collapsed="false">
      <c r="A49085" s="0" t="s">
        <v>17316</v>
      </c>
      <c r="B49085" s="0" t="str">
        <f aca="false">HYPERLINK("https://lindat.mff.cuni.cz/services/teitok/pdtc10/index.php?action=vallex&amp;frame=v-w6818f1", "těšit (v-w6818f1)")</f>
        <v>těšit (v-w6818f1)</v>
      </c>
    </row>
    <row r="49086" customFormat="false" ht="12.8" hidden="false" customHeight="false" outlineLevel="0" collapsed="false">
      <c r="B49086" s="0" t="s">
        <v>199</v>
      </c>
    </row>
    <row r="49087" customFormat="false" ht="12.8" hidden="false" customHeight="false" outlineLevel="0" collapsed="false">
      <c r="B49087" s="0" t="s">
        <v>5095</v>
      </c>
    </row>
    <row r="49089" customFormat="false" ht="12.8" hidden="false" customHeight="false" outlineLevel="0" collapsed="false">
      <c r="A49089" s="0" t="s">
        <v>17317</v>
      </c>
      <c r="B49089" s="0" t="str">
        <f aca="false">HYPERLINK("https://lindat.mff.cuni.cz/services/teitok/pdtc10/index.php?action=vallex&amp;frame=v-w6819f2", "těšit se (v-w6819f2)")</f>
        <v>těšit se (v-w6819f2)</v>
      </c>
    </row>
    <row r="49090" customFormat="false" ht="12.8" hidden="false" customHeight="false" outlineLevel="0" collapsed="false">
      <c r="B49090" s="0" t="s">
        <v>7</v>
      </c>
      <c r="C49090" s="0" t="s">
        <v>17318</v>
      </c>
    </row>
    <row r="49091" customFormat="false" ht="12.8" hidden="false" customHeight="false" outlineLevel="0" collapsed="false">
      <c r="B49091" s="0" t="s">
        <v>142</v>
      </c>
      <c r="C49091" s="0" t="s">
        <v>3565</v>
      </c>
    </row>
    <row r="49093" customFormat="false" ht="12.8" hidden="false" customHeight="false" outlineLevel="0" collapsed="false">
      <c r="A49093" s="0" t="s">
        <v>17319</v>
      </c>
      <c r="B49093" s="0" t="str">
        <f aca="false">HYPERLINK("https://lindat.mff.cuni.cz/services/teitok/pdtc10/index.php?action=vallex&amp;frame=v-w6819hsa_1787", "těšit se (v-w6819hsa_1787)")</f>
        <v>těšit se (v-w6819hsa_1787)</v>
      </c>
    </row>
    <row r="49094" customFormat="false" ht="12.8" hidden="false" customHeight="false" outlineLevel="0" collapsed="false">
      <c r="B49094" s="0" t="s">
        <v>7</v>
      </c>
    </row>
    <row r="49095" customFormat="false" ht="12.8" hidden="false" customHeight="false" outlineLevel="0" collapsed="false">
      <c r="B49095" s="0" t="s">
        <v>17320</v>
      </c>
    </row>
    <row r="49097" customFormat="false" ht="12.8" hidden="false" customHeight="false" outlineLevel="0" collapsed="false">
      <c r="A49097" s="0" t="s">
        <v>17319</v>
      </c>
      <c r="B49097" s="0" t="str">
        <f aca="false">HYPERLINK("https://lindat.mff.cuni.cz/services/teitok/pdtc10/index.php?action=vallex&amp;frame=v-w6819f1", "těšit se (v-w6819f1) - substituted with v-w6819hsa_1787")</f>
        <v>těšit se (v-w6819f1) - substituted with v-w6819hsa_1787</v>
      </c>
    </row>
    <row r="49098" customFormat="false" ht="12.8" hidden="false" customHeight="false" outlineLevel="0" collapsed="false">
      <c r="B49098" s="0" t="s">
        <v>7</v>
      </c>
      <c r="C49098" s="0" t="s">
        <v>5572</v>
      </c>
      <c r="D49098" s="0" t="s">
        <v>9450</v>
      </c>
      <c r="E49098" s="0" t="s">
        <v>9450</v>
      </c>
      <c r="F49098" s="0" t="s">
        <v>9450</v>
      </c>
    </row>
    <row r="49099" customFormat="false" ht="12.8" hidden="false" customHeight="false" outlineLevel="0" collapsed="false">
      <c r="B49099" s="0" t="s">
        <v>17320</v>
      </c>
      <c r="C49099" s="0" t="s">
        <v>17321</v>
      </c>
      <c r="D49099" s="0" t="s">
        <v>9453</v>
      </c>
      <c r="E49099" s="0" t="s">
        <v>9453</v>
      </c>
      <c r="F49099" s="0" t="s">
        <v>9453</v>
      </c>
    </row>
    <row r="49101" customFormat="false" ht="12.8" hidden="false" customHeight="false" outlineLevel="0" collapsed="false">
      <c r="A49101" s="0" t="s">
        <v>17319</v>
      </c>
      <c r="B49101" s="0" t="str">
        <f aca="false">HYPERLINK("https://lindat.mff.cuni.cz/services/teitok/pdtc10/index.php?action=vallex&amp;frame=v-w6819hsa_1786", "těšit se (v-w6819hsa_1786) - substituted with v-w6819hsa_1787")</f>
        <v>těšit se (v-w6819hsa_1786) - substituted with v-w6819hsa_1787</v>
      </c>
    </row>
    <row r="49102" customFormat="false" ht="12.8" hidden="false" customHeight="false" outlineLevel="0" collapsed="false">
      <c r="B49102" s="0" t="s">
        <v>7</v>
      </c>
    </row>
    <row r="49103" customFormat="false" ht="12.8" hidden="false" customHeight="false" outlineLevel="0" collapsed="false">
      <c r="B49103" s="0" t="s">
        <v>17320</v>
      </c>
    </row>
    <row r="49105" customFormat="false" ht="12.8" hidden="false" customHeight="false" outlineLevel="0" collapsed="false">
      <c r="A49105" s="0" t="s">
        <v>17322</v>
      </c>
      <c r="B49105" s="0" t="str">
        <f aca="false">HYPERLINK("https://lindat.mff.cuni.cz/services/teitok/pdtc10/index.php?action=vallex&amp;frame=v-w6819f3", "těšit se (v-w6819f3)")</f>
        <v>těšit se (v-w6819f3)</v>
      </c>
    </row>
    <row r="49106" customFormat="false" ht="12.8" hidden="false" customHeight="false" outlineLevel="0" collapsed="false">
      <c r="B49106" s="0" t="s">
        <v>7</v>
      </c>
      <c r="C49106" s="0" t="s">
        <v>1226</v>
      </c>
      <c r="D49106" s="0" t="s">
        <v>2199</v>
      </c>
      <c r="E49106" s="0" t="s">
        <v>2199</v>
      </c>
      <c r="F49106" s="0" t="s">
        <v>17323</v>
      </c>
    </row>
    <row r="49107" customFormat="false" ht="12.8" hidden="false" customHeight="false" outlineLevel="0" collapsed="false">
      <c r="B49107" s="0" t="s">
        <v>17324</v>
      </c>
      <c r="C49107" s="0" t="s">
        <v>3860</v>
      </c>
      <c r="D49107" s="0" t="s">
        <v>2201</v>
      </c>
      <c r="E49107" s="0" t="s">
        <v>2201</v>
      </c>
      <c r="F49107" s="0" t="s">
        <v>17325</v>
      </c>
    </row>
    <row r="49109" customFormat="false" ht="12.8" hidden="false" customHeight="false" outlineLevel="0" collapsed="false">
      <c r="A49109" s="0" t="s">
        <v>17326</v>
      </c>
      <c r="B49109" s="0" t="str">
        <f aca="false">HYPERLINK("https://lindat.mff.cuni.cz/services/teitok/pdtc10/index.php?action=vallex&amp;frame=v-w6819f4", "těšit se (v-w6819f4)")</f>
        <v>těšit se (v-w6819f4)</v>
      </c>
    </row>
    <row r="49110" customFormat="false" ht="12.8" hidden="false" customHeight="false" outlineLevel="0" collapsed="false">
      <c r="B49110" s="0" t="s">
        <v>7</v>
      </c>
    </row>
    <row r="49111" customFormat="false" ht="12.8" hidden="false" customHeight="false" outlineLevel="0" collapsed="false">
      <c r="B49111" s="0" t="s">
        <v>124</v>
      </c>
    </row>
    <row r="49113" customFormat="false" ht="12.8" hidden="false" customHeight="false" outlineLevel="0" collapsed="false">
      <c r="A49113" s="0" t="s">
        <v>17327</v>
      </c>
      <c r="B49113" s="0" t="str">
        <f aca="false">HYPERLINK("https://lindat.mff.cuni.cz/services/teitok/pdtc10/index.php?action=vallex&amp;frame=v-whsa_1751hsa_1752", "těšívat se (v-whsa_1751hsa_1752)")</f>
        <v>těšívat se (v-whsa_1751hsa_1752)</v>
      </c>
    </row>
    <row r="49114" customFormat="false" ht="12.8" hidden="false" customHeight="false" outlineLevel="0" collapsed="false">
      <c r="B49114" s="0" t="s">
        <v>7</v>
      </c>
    </row>
    <row r="49115" customFormat="false" ht="12.8" hidden="false" customHeight="false" outlineLevel="0" collapsed="false">
      <c r="B49115" s="0" t="s">
        <v>41</v>
      </c>
    </row>
    <row r="49117" customFormat="false" ht="12.8" hidden="false" customHeight="false" outlineLevel="0" collapsed="false">
      <c r="A49117" s="0" t="s">
        <v>17328</v>
      </c>
      <c r="B49117" s="0" t="str">
        <f aca="false">HYPERLINK("https://lindat.mff.cuni.cz/services/teitok/pdtc10/index.php?action=vallex&amp;frame=v-w6826f2", "těžit (v-w6826f2)")</f>
        <v>těžit (v-w6826f2)</v>
      </c>
    </row>
    <row r="49118" customFormat="false" ht="12.8" hidden="false" customHeight="false" outlineLevel="0" collapsed="false">
      <c r="B49118" s="0" t="s">
        <v>7</v>
      </c>
      <c r="C49118" s="0" t="s">
        <v>14046</v>
      </c>
      <c r="D49118" s="0" t="s">
        <v>46</v>
      </c>
      <c r="E49118" s="0" t="s">
        <v>46</v>
      </c>
      <c r="F49118" s="0" t="s">
        <v>46</v>
      </c>
    </row>
    <row r="49119" customFormat="false" ht="12.8" hidden="false" customHeight="false" outlineLevel="0" collapsed="false">
      <c r="B49119" s="0" t="s">
        <v>14</v>
      </c>
      <c r="C49119" s="0" t="s">
        <v>17329</v>
      </c>
      <c r="D49119" s="0" t="s">
        <v>1809</v>
      </c>
      <c r="E49119" s="0" t="s">
        <v>1809</v>
      </c>
      <c r="F49119" s="0" t="s">
        <v>1809</v>
      </c>
    </row>
    <row r="49121" customFormat="false" ht="12.8" hidden="false" customHeight="false" outlineLevel="0" collapsed="false">
      <c r="A49121" s="0" t="s">
        <v>17330</v>
      </c>
      <c r="B49121" s="0" t="str">
        <f aca="false">HYPERLINK("https://lindat.mff.cuni.cz/services/teitok/pdtc10/index.php?action=vallex&amp;frame=v-w6826f1", "těžit (v-w6826f1)")</f>
        <v>těžit (v-w6826f1)</v>
      </c>
    </row>
    <row r="49122" customFormat="false" ht="12.8" hidden="false" customHeight="false" outlineLevel="0" collapsed="false">
      <c r="B49122" s="0" t="s">
        <v>7</v>
      </c>
      <c r="C49122" s="0" t="s">
        <v>17331</v>
      </c>
      <c r="D49122" s="0" t="s">
        <v>11678</v>
      </c>
      <c r="E49122" s="0" t="s">
        <v>11678</v>
      </c>
      <c r="F49122" s="0" t="s">
        <v>11678</v>
      </c>
    </row>
    <row r="49123" customFormat="false" ht="12.8" hidden="false" customHeight="false" outlineLevel="0" collapsed="false">
      <c r="B49123" s="0" t="s">
        <v>227</v>
      </c>
      <c r="C49123" s="0" t="s">
        <v>17332</v>
      </c>
      <c r="D49123" s="0" t="s">
        <v>11681</v>
      </c>
      <c r="E49123" s="0" t="s">
        <v>11681</v>
      </c>
      <c r="F49123" s="0" t="s">
        <v>11681</v>
      </c>
    </row>
    <row r="49125" customFormat="false" ht="12.8" hidden="false" customHeight="false" outlineLevel="0" collapsed="false">
      <c r="A49125" s="0" t="s">
        <v>17333</v>
      </c>
      <c r="B49125" s="0" t="str">
        <f aca="false">HYPERLINK("https://lindat.mff.cuni.cz/services/teitok/pdtc10/index.php?action=vallex&amp;frame=v-whsa_250hsa_251", "třepat (v-whsa_250hsa_251)")</f>
        <v>třepat (v-whsa_250hsa_251)</v>
      </c>
    </row>
    <row r="49126" customFormat="false" ht="12.8" hidden="false" customHeight="false" outlineLevel="0" collapsed="false">
      <c r="B49126" s="0" t="s">
        <v>7</v>
      </c>
    </row>
    <row r="49127" customFormat="false" ht="12.8" hidden="false" customHeight="false" outlineLevel="0" collapsed="false">
      <c r="B49127" s="0" t="s">
        <v>17334</v>
      </c>
    </row>
    <row r="49129" customFormat="false" ht="12.8" hidden="false" customHeight="false" outlineLevel="0" collapsed="false">
      <c r="A49129" s="0" t="s">
        <v>17335</v>
      </c>
      <c r="B49129" s="0" t="str">
        <f aca="false">HYPERLINK("https://lindat.mff.cuni.cz/services/teitok/pdtc10/index.php?action=vallex&amp;frame=v-w6928f1", "třepetat se (v-w6928f1)")</f>
        <v>třepetat se (v-w6928f1)</v>
      </c>
    </row>
    <row r="49130" customFormat="false" ht="12.8" hidden="false" customHeight="false" outlineLevel="0" collapsed="false">
      <c r="B49130" s="0" t="s">
        <v>7</v>
      </c>
    </row>
    <row r="49132" customFormat="false" ht="12.8" hidden="false" customHeight="false" outlineLevel="0" collapsed="false">
      <c r="A49132" s="0" t="s">
        <v>17336</v>
      </c>
      <c r="B49132" s="0" t="str">
        <f aca="false">HYPERLINK("https://lindat.mff.cuni.cz/services/teitok/pdtc10/index.php?action=vallex&amp;frame=v-w11603_ZUf1_ZU", "třepit se (v-w11603_ZUf1_ZU)")</f>
        <v>třepit se (v-w11603_ZUf1_ZU)</v>
      </c>
    </row>
    <row r="49133" customFormat="false" ht="12.8" hidden="false" customHeight="false" outlineLevel="0" collapsed="false">
      <c r="B49133" s="0" t="s">
        <v>7</v>
      </c>
    </row>
    <row r="49134" customFormat="false" ht="12.8" hidden="false" customHeight="false" outlineLevel="0" collapsed="false">
      <c r="B49134" s="0" t="s">
        <v>3568</v>
      </c>
    </row>
    <row r="49136" customFormat="false" ht="12.8" hidden="false" customHeight="false" outlineLevel="0" collapsed="false">
      <c r="A49136" s="0" t="s">
        <v>17337</v>
      </c>
      <c r="B49136" s="0" t="str">
        <f aca="false">HYPERLINK("https://lindat.mff.cuni.cz/services/teitok/pdtc10/index.php?action=vallex&amp;frame=v-whsa_1692hsa_1693", "třpytit se (v-whsa_1692hsa_1693)")</f>
        <v>třpytit se (v-whsa_1692hsa_1693)</v>
      </c>
    </row>
    <row r="49137" customFormat="false" ht="12.8" hidden="false" customHeight="false" outlineLevel="0" collapsed="false">
      <c r="B49137" s="0" t="s">
        <v>7</v>
      </c>
    </row>
    <row r="49139" customFormat="false" ht="12.8" hidden="false" customHeight="false" outlineLevel="0" collapsed="false">
      <c r="A49139" s="0" t="s">
        <v>17338</v>
      </c>
      <c r="B49139" s="0" t="str">
        <f aca="false">HYPERLINK("https://lindat.mff.cuni.cz/services/teitok/pdtc10/index.php?action=vallex&amp;frame=v-w6926f2", "třást se (v-w6926f2)")</f>
        <v>třást se (v-w6926f2)</v>
      </c>
    </row>
    <row r="49140" customFormat="false" ht="12.8" hidden="false" customHeight="false" outlineLevel="0" collapsed="false">
      <c r="B49140" s="0" t="s">
        <v>7</v>
      </c>
    </row>
    <row r="49141" customFormat="false" ht="12.8" hidden="false" customHeight="false" outlineLevel="0" collapsed="false">
      <c r="B49141" s="0" t="s">
        <v>41</v>
      </c>
    </row>
    <row r="49143" customFormat="false" ht="12.8" hidden="false" customHeight="false" outlineLevel="0" collapsed="false">
      <c r="A49143" s="0" t="s">
        <v>17339</v>
      </c>
      <c r="B49143" s="0" t="str">
        <f aca="false">HYPERLINK("https://lindat.mff.cuni.cz/services/teitok/pdtc10/index.php?action=vallex&amp;frame=v-w6926f1", "třást se (v-w6926f1)")</f>
        <v>třást se (v-w6926f1)</v>
      </c>
    </row>
    <row r="49144" customFormat="false" ht="12.8" hidden="false" customHeight="false" outlineLevel="0" collapsed="false">
      <c r="B49144" s="0" t="s">
        <v>7</v>
      </c>
      <c r="C49144" s="0" t="s">
        <v>13404</v>
      </c>
      <c r="D49144" s="0" t="s">
        <v>9332</v>
      </c>
      <c r="E49144" s="0" t="s">
        <v>9332</v>
      </c>
      <c r="F49144" s="0" t="s">
        <v>9332</v>
      </c>
    </row>
    <row r="49146" customFormat="false" ht="12.8" hidden="false" customHeight="false" outlineLevel="0" collapsed="false">
      <c r="A49146" s="0" t="s">
        <v>17340</v>
      </c>
      <c r="B49146" s="0" t="str">
        <f aca="false">HYPERLINK("https://lindat.mff.cuni.cz/services/teitok/pdtc10/index.php?action=vallex&amp;frame=v-whsa_1280hsa_1281", "třást si (v-whsa_1280hsa_1281)")</f>
        <v>třást si (v-whsa_1280hsa_1281)</v>
      </c>
    </row>
    <row r="49147" customFormat="false" ht="12.8" hidden="false" customHeight="false" outlineLevel="0" collapsed="false">
      <c r="B49147" s="0" t="s">
        <v>7</v>
      </c>
    </row>
    <row r="49148" customFormat="false" ht="12.8" hidden="false" customHeight="false" outlineLevel="0" collapsed="false">
      <c r="B49148" s="0" t="s">
        <v>216</v>
      </c>
    </row>
    <row r="49149" customFormat="false" ht="12.8" hidden="false" customHeight="false" outlineLevel="0" collapsed="false">
      <c r="B49149" s="0" t="s">
        <v>207</v>
      </c>
    </row>
    <row r="49151" customFormat="false" ht="12.8" hidden="false" customHeight="false" outlineLevel="0" collapsed="false">
      <c r="A49151" s="0" t="s">
        <v>17341</v>
      </c>
      <c r="B49151" s="0" t="str">
        <f aca="false">HYPERLINK("https://lindat.mff.cuni.cz/services/teitok/pdtc10/index.php?action=vallex&amp;frame=v-w6931f1", "tříbit (v-w6931f1)")</f>
        <v>tříbit (v-w6931f1)</v>
      </c>
    </row>
    <row r="49152" customFormat="false" ht="12.8" hidden="false" customHeight="false" outlineLevel="0" collapsed="false">
      <c r="B49152" s="0" t="s">
        <v>7</v>
      </c>
    </row>
    <row r="49153" customFormat="false" ht="12.8" hidden="false" customHeight="false" outlineLevel="0" collapsed="false">
      <c r="B49153" s="0" t="s">
        <v>14</v>
      </c>
    </row>
    <row r="49155" customFormat="false" ht="12.8" hidden="false" customHeight="false" outlineLevel="0" collapsed="false">
      <c r="A49155" s="0" t="s">
        <v>17342</v>
      </c>
      <c r="B49155" s="0" t="str">
        <f aca="false">HYPERLINK("https://lindat.mff.cuni.cz/services/teitok/pdtc10/index.php?action=vallex&amp;frame=v-w6933f1", "třídit (v-w6933f1)")</f>
        <v>třídit (v-w6933f1)</v>
      </c>
    </row>
    <row r="49156" customFormat="false" ht="12.8" hidden="false" customHeight="false" outlineLevel="0" collapsed="false">
      <c r="B49156" s="0" t="s">
        <v>7</v>
      </c>
      <c r="C49156" s="0" t="s">
        <v>1142</v>
      </c>
    </row>
    <row r="49157" customFormat="false" ht="12.8" hidden="false" customHeight="false" outlineLevel="0" collapsed="false">
      <c r="B49157" s="0" t="s">
        <v>14</v>
      </c>
      <c r="C49157" s="0" t="s">
        <v>25</v>
      </c>
    </row>
    <row r="49158" customFormat="false" ht="12.8" hidden="false" customHeight="false" outlineLevel="0" collapsed="false">
      <c r="B49158" s="0" t="s">
        <v>2773</v>
      </c>
    </row>
    <row r="49160" customFormat="false" ht="12.8" hidden="false" customHeight="false" outlineLevel="0" collapsed="false">
      <c r="A49160" s="0" t="s">
        <v>17343</v>
      </c>
      <c r="B49160" s="0" t="str">
        <f aca="false">HYPERLINK("https://lindat.mff.cuni.cz/services/teitok/pdtc10/index.php?action=vallex&amp;frame=v-w6933f3_ZU", "třídit (v-w6933f3_ZU)")</f>
        <v>třídit (v-w6933f3_ZU)</v>
      </c>
    </row>
    <row r="49161" customFormat="false" ht="12.8" hidden="false" customHeight="false" outlineLevel="0" collapsed="false">
      <c r="B49161" s="0" t="s">
        <v>7</v>
      </c>
      <c r="D49161" s="0" t="s">
        <v>191</v>
      </c>
      <c r="E49161" s="0" t="s">
        <v>191</v>
      </c>
      <c r="F49161" s="0" t="s">
        <v>191</v>
      </c>
    </row>
    <row r="49162" customFormat="false" ht="12.8" hidden="false" customHeight="false" outlineLevel="0" collapsed="false">
      <c r="B49162" s="0" t="s">
        <v>232</v>
      </c>
      <c r="C49162" s="0" t="s">
        <v>33</v>
      </c>
      <c r="D49162" s="0" t="s">
        <v>33</v>
      </c>
      <c r="E49162" s="0" t="s">
        <v>33</v>
      </c>
      <c r="F49162" s="0" t="s">
        <v>33</v>
      </c>
    </row>
    <row r="49164" customFormat="false" ht="12.8" hidden="false" customHeight="false" outlineLevel="0" collapsed="false">
      <c r="A49164" s="0" t="s">
        <v>17343</v>
      </c>
      <c r="B49164" s="0" t="str">
        <f aca="false">HYPERLINK("https://lindat.mff.cuni.cz/services/teitok/pdtc10/index.php?action=vallex&amp;frame=v-w6933f2", "třídit (v-w6933f2) - substituted with v-w6933f3_ZU")</f>
        <v>třídit (v-w6933f2) - substituted with v-w6933f3_ZU</v>
      </c>
    </row>
    <row r="49165" customFormat="false" ht="12.8" hidden="false" customHeight="false" outlineLevel="0" collapsed="false">
      <c r="B49165" s="0" t="s">
        <v>7</v>
      </c>
    </row>
    <row r="49166" customFormat="false" ht="12.8" hidden="false" customHeight="false" outlineLevel="0" collapsed="false">
      <c r="B49166" s="0" t="s">
        <v>232</v>
      </c>
      <c r="C49166" s="0" t="s">
        <v>567</v>
      </c>
    </row>
    <row r="49168" customFormat="false" ht="12.8" hidden="false" customHeight="false" outlineLevel="0" collapsed="false">
      <c r="A49168" s="0" t="s">
        <v>17344</v>
      </c>
      <c r="B49168" s="0" t="str">
        <f aca="false">HYPERLINK("https://lindat.mff.cuni.cz/services/teitok/pdtc10/index.php?action=vallex&amp;frame=v-w6934f1", "třímat (v-w6934f1)")</f>
        <v>třímat (v-w6934f1)</v>
      </c>
    </row>
    <row r="49169" customFormat="false" ht="12.8" hidden="false" customHeight="false" outlineLevel="0" collapsed="false">
      <c r="B49169" s="0" t="s">
        <v>7</v>
      </c>
      <c r="C49169" s="0" t="s">
        <v>569</v>
      </c>
      <c r="D49169" s="0" t="s">
        <v>1307</v>
      </c>
      <c r="E49169" s="0" t="s">
        <v>1307</v>
      </c>
      <c r="F49169" s="0" t="s">
        <v>1307</v>
      </c>
    </row>
    <row r="49170" customFormat="false" ht="12.8" hidden="false" customHeight="false" outlineLevel="0" collapsed="false">
      <c r="B49170" s="0" t="s">
        <v>14</v>
      </c>
      <c r="C49170" s="0" t="s">
        <v>1170</v>
      </c>
      <c r="D49170" s="0" t="s">
        <v>1308</v>
      </c>
      <c r="E49170" s="0" t="s">
        <v>1308</v>
      </c>
      <c r="F49170" s="0" t="s">
        <v>1308</v>
      </c>
    </row>
    <row r="49172" customFormat="false" ht="12.8" hidden="false" customHeight="false" outlineLevel="0" collapsed="false">
      <c r="A49172" s="0" t="s">
        <v>17345</v>
      </c>
      <c r="B49172" s="0" t="str">
        <f aca="false">HYPERLINK("https://lindat.mff.cuni.cz/services/teitok/pdtc10/index.php?action=vallex&amp;frame=v-w6935f1", "třísknout (v-w6935f1)")</f>
        <v>třísknout (v-w6935f1)</v>
      </c>
    </row>
    <row r="49173" customFormat="false" ht="12.8" hidden="false" customHeight="false" outlineLevel="0" collapsed="false">
      <c r="B49173" s="0" t="s">
        <v>7</v>
      </c>
      <c r="D49173" s="0" t="s">
        <v>191</v>
      </c>
      <c r="E49173" s="0" t="s">
        <v>5410</v>
      </c>
      <c r="F49173" s="0" t="s">
        <v>5410</v>
      </c>
    </row>
    <row r="49174" customFormat="false" ht="12.8" hidden="false" customHeight="false" outlineLevel="0" collapsed="false">
      <c r="B49174" s="0" t="s">
        <v>216</v>
      </c>
      <c r="D49174" s="0" t="s">
        <v>155</v>
      </c>
      <c r="E49174" s="0" t="s">
        <v>342</v>
      </c>
      <c r="F49174" s="0" t="s">
        <v>342</v>
      </c>
    </row>
    <row r="49176" customFormat="false" ht="12.8" hidden="false" customHeight="false" outlineLevel="0" collapsed="false">
      <c r="A49176" s="0" t="s">
        <v>17346</v>
      </c>
      <c r="B49176" s="0" t="str">
        <f aca="false">HYPERLINK("https://lindat.mff.cuni.cz/services/teitok/pdtc10/index.php?action=vallex&amp;frame=v-w12125_ZUf1_ZU", "třít (v-w12125_ZUf1_ZU)")</f>
        <v>třít (v-w12125_ZUf1_ZU)</v>
      </c>
    </row>
    <row r="49177" customFormat="false" ht="12.8" hidden="false" customHeight="false" outlineLevel="0" collapsed="false">
      <c r="B49177" s="0" t="s">
        <v>7</v>
      </c>
    </row>
    <row r="49178" customFormat="false" ht="12.8" hidden="false" customHeight="false" outlineLevel="0" collapsed="false">
      <c r="B49178" s="0" t="s">
        <v>14</v>
      </c>
    </row>
    <row r="49180" customFormat="false" ht="12.8" hidden="false" customHeight="false" outlineLevel="0" collapsed="false">
      <c r="A49180" s="0" t="s">
        <v>17347</v>
      </c>
      <c r="B49180" s="0" t="str">
        <f aca="false">HYPERLINK("https://lindat.mff.cuni.cz/services/teitok/pdtc10/index.php?action=vallex&amp;frame=v-w6962f1", "ubezpečit (v-w6962f1)")</f>
        <v>ubezpečit (v-w6962f1)</v>
      </c>
    </row>
    <row r="49181" customFormat="false" ht="12.8" hidden="false" customHeight="false" outlineLevel="0" collapsed="false">
      <c r="B49181" s="0" t="s">
        <v>7</v>
      </c>
      <c r="C49181" s="0" t="s">
        <v>623</v>
      </c>
      <c r="D49181" s="0" t="s">
        <v>309</v>
      </c>
      <c r="E49181" s="0" t="s">
        <v>309</v>
      </c>
      <c r="F49181" s="0" t="s">
        <v>309</v>
      </c>
    </row>
    <row r="49182" customFormat="false" ht="12.8" hidden="false" customHeight="false" outlineLevel="0" collapsed="false">
      <c r="B49182" s="0" t="s">
        <v>17348</v>
      </c>
      <c r="C49182" s="0" t="s">
        <v>3832</v>
      </c>
      <c r="D49182" s="0" t="s">
        <v>14032</v>
      </c>
      <c r="E49182" s="0" t="s">
        <v>14032</v>
      </c>
      <c r="F49182" s="0" t="s">
        <v>14032</v>
      </c>
    </row>
    <row r="49183" customFormat="false" ht="12.8" hidden="false" customHeight="false" outlineLevel="0" collapsed="false">
      <c r="B49183" s="0" t="s">
        <v>81</v>
      </c>
      <c r="C49183" s="0" t="s">
        <v>8546</v>
      </c>
      <c r="D49183" s="0" t="s">
        <v>17349</v>
      </c>
      <c r="E49183" s="0" t="s">
        <v>17349</v>
      </c>
      <c r="F49183" s="0" t="s">
        <v>17349</v>
      </c>
    </row>
    <row r="49185" customFormat="false" ht="12.8" hidden="false" customHeight="false" outlineLevel="0" collapsed="false">
      <c r="A49185" s="0" t="s">
        <v>17350</v>
      </c>
      <c r="B49185" s="0" t="str">
        <f aca="false">HYPERLINK("https://lindat.mff.cuni.cz/services/teitok/pdtc10/index.php?action=vallex&amp;frame=v-w6963f1", "ubezpečovat (v-w6963f1)")</f>
        <v>ubezpečovat (v-w6963f1)</v>
      </c>
    </row>
    <row r="49186" customFormat="false" ht="12.8" hidden="false" customHeight="false" outlineLevel="0" collapsed="false">
      <c r="B49186" s="0" t="s">
        <v>7</v>
      </c>
      <c r="D49186" s="0" t="s">
        <v>309</v>
      </c>
      <c r="E49186" s="0" t="s">
        <v>309</v>
      </c>
      <c r="F49186" s="0" t="s">
        <v>309</v>
      </c>
    </row>
    <row r="49187" customFormat="false" ht="12.8" hidden="false" customHeight="false" outlineLevel="0" collapsed="false">
      <c r="B49187" s="0" t="s">
        <v>17348</v>
      </c>
      <c r="D49187" s="0" t="s">
        <v>14032</v>
      </c>
      <c r="E49187" s="0" t="s">
        <v>14032</v>
      </c>
      <c r="F49187" s="0" t="s">
        <v>14032</v>
      </c>
    </row>
    <row r="49188" customFormat="false" ht="12.8" hidden="false" customHeight="false" outlineLevel="0" collapsed="false">
      <c r="B49188" s="0" t="s">
        <v>81</v>
      </c>
      <c r="D49188" s="0" t="s">
        <v>17349</v>
      </c>
      <c r="E49188" s="0" t="s">
        <v>17349</v>
      </c>
      <c r="F49188" s="0" t="s">
        <v>17349</v>
      </c>
    </row>
    <row r="49190" customFormat="false" ht="12.8" hidden="false" customHeight="false" outlineLevel="0" collapsed="false">
      <c r="A49190" s="0" t="s">
        <v>17351</v>
      </c>
      <c r="B49190" s="0" t="str">
        <f aca="false">HYPERLINK("https://lindat.mff.cuni.cz/services/teitok/pdtc10/index.php?action=vallex&amp;frame=v-w6972f1", "ubližovat (v-w6972f1)")</f>
        <v>ubližovat (v-w6972f1)</v>
      </c>
    </row>
    <row r="49191" customFormat="false" ht="12.8" hidden="false" customHeight="false" outlineLevel="0" collapsed="false">
      <c r="B49191" s="0" t="s">
        <v>17352</v>
      </c>
      <c r="D49191" s="0" t="s">
        <v>2062</v>
      </c>
      <c r="E49191" s="0" t="s">
        <v>2062</v>
      </c>
      <c r="F49191" s="0" t="s">
        <v>2062</v>
      </c>
    </row>
    <row r="49192" customFormat="false" ht="12.8" hidden="false" customHeight="false" outlineLevel="0" collapsed="false">
      <c r="B49192" s="0" t="s">
        <v>142</v>
      </c>
      <c r="D49192" s="0" t="s">
        <v>2065</v>
      </c>
      <c r="E49192" s="0" t="s">
        <v>2065</v>
      </c>
      <c r="F49192" s="0" t="s">
        <v>2065</v>
      </c>
    </row>
    <row r="49194" customFormat="false" ht="12.8" hidden="false" customHeight="false" outlineLevel="0" collapsed="false">
      <c r="A49194" s="0" t="s">
        <v>17353</v>
      </c>
      <c r="B49194" s="0" t="str">
        <f aca="false">HYPERLINK("https://lindat.mff.cuni.cz/services/teitok/pdtc10/index.php?action=vallex&amp;frame=v-w6971f1", "ublížit (v-w6971f1)")</f>
        <v>ublížit (v-w6971f1)</v>
      </c>
    </row>
    <row r="49195" customFormat="false" ht="12.8" hidden="false" customHeight="false" outlineLevel="0" collapsed="false">
      <c r="B49195" s="0" t="s">
        <v>17352</v>
      </c>
      <c r="C49195" s="0" t="s">
        <v>17354</v>
      </c>
      <c r="D49195" s="0" t="s">
        <v>2062</v>
      </c>
      <c r="E49195" s="0" t="s">
        <v>10061</v>
      </c>
      <c r="F49195" s="0" t="s">
        <v>10928</v>
      </c>
    </row>
    <row r="49196" customFormat="false" ht="12.8" hidden="false" customHeight="false" outlineLevel="0" collapsed="false">
      <c r="B49196" s="0" t="s">
        <v>142</v>
      </c>
      <c r="C49196" s="0" t="s">
        <v>6840</v>
      </c>
      <c r="D49196" s="0" t="s">
        <v>2065</v>
      </c>
      <c r="E49196" s="0" t="s">
        <v>10062</v>
      </c>
      <c r="F49196" s="0" t="s">
        <v>10930</v>
      </c>
    </row>
    <row r="49198" customFormat="false" ht="12.8" hidden="false" customHeight="false" outlineLevel="0" collapsed="false">
      <c r="A49198" s="0" t="s">
        <v>17355</v>
      </c>
      <c r="B49198" s="0" t="str">
        <f aca="false">HYPERLINK("https://lindat.mff.cuni.cz/services/teitok/pdtc10/index.php?action=vallex&amp;frame=v-w6973f1", "ubodat (v-w6973f1)")</f>
        <v>ubodat (v-w6973f1)</v>
      </c>
    </row>
    <row r="49199" customFormat="false" ht="12.8" hidden="false" customHeight="false" outlineLevel="0" collapsed="false">
      <c r="B49199" s="0" t="s">
        <v>7</v>
      </c>
      <c r="C49199" s="0" t="s">
        <v>184</v>
      </c>
      <c r="D49199" s="0" t="s">
        <v>5057</v>
      </c>
      <c r="E49199" s="0" t="s">
        <v>5057</v>
      </c>
      <c r="F49199" s="0" t="s">
        <v>5057</v>
      </c>
    </row>
    <row r="49200" customFormat="false" ht="12.8" hidden="false" customHeight="false" outlineLevel="0" collapsed="false">
      <c r="B49200" s="0" t="s">
        <v>14</v>
      </c>
      <c r="C49200" s="0" t="s">
        <v>115</v>
      </c>
      <c r="D49200" s="0" t="s">
        <v>8042</v>
      </c>
      <c r="E49200" s="0" t="s">
        <v>8042</v>
      </c>
      <c r="F49200" s="0" t="s">
        <v>8042</v>
      </c>
    </row>
    <row r="49202" customFormat="false" ht="12.8" hidden="false" customHeight="false" outlineLevel="0" collapsed="false">
      <c r="A49202" s="0" t="s">
        <v>17356</v>
      </c>
      <c r="B49202" s="0" t="str">
        <f aca="false">HYPERLINK("https://lindat.mff.cuni.cz/services/teitok/pdtc10/index.php?action=vallex&amp;frame=v-w11819_ZUf1_ZU", "ubourat (v-w11819_ZUf1_ZU)")</f>
        <v>ubourat (v-w11819_ZUf1_ZU)</v>
      </c>
    </row>
    <row r="49203" customFormat="false" ht="12.8" hidden="false" customHeight="false" outlineLevel="0" collapsed="false">
      <c r="B49203" s="0" t="s">
        <v>7</v>
      </c>
    </row>
    <row r="49204" customFormat="false" ht="12.8" hidden="false" customHeight="false" outlineLevel="0" collapsed="false">
      <c r="B49204" s="0" t="s">
        <v>14</v>
      </c>
    </row>
    <row r="49206" customFormat="false" ht="12.8" hidden="false" customHeight="false" outlineLevel="0" collapsed="false">
      <c r="A49206" s="0" t="s">
        <v>17357</v>
      </c>
      <c r="B49206" s="0" t="str">
        <f aca="false">HYPERLINK("https://lindat.mff.cuni.cz/services/teitok/pdtc10/index.php?action=vallex&amp;frame=v-w6976f2", "ubrat (v-w6976f2)")</f>
        <v>ubrat (v-w6976f2)</v>
      </c>
    </row>
    <row r="49207" customFormat="false" ht="12.8" hidden="false" customHeight="false" outlineLevel="0" collapsed="false">
      <c r="B49207" s="0" t="s">
        <v>7</v>
      </c>
      <c r="C49207" s="0" t="s">
        <v>16681</v>
      </c>
    </row>
    <row r="49208" customFormat="false" ht="12.8" hidden="false" customHeight="false" outlineLevel="0" collapsed="false">
      <c r="B49208" s="0" t="s">
        <v>14</v>
      </c>
      <c r="C49208" s="0" t="s">
        <v>17358</v>
      </c>
    </row>
    <row r="49209" customFormat="false" ht="12.8" hidden="false" customHeight="false" outlineLevel="0" collapsed="false">
      <c r="B49209" s="0" t="s">
        <v>48</v>
      </c>
      <c r="C49209" s="0" t="s">
        <v>13486</v>
      </c>
    </row>
    <row r="49211" customFormat="false" ht="12.8" hidden="false" customHeight="false" outlineLevel="0" collapsed="false">
      <c r="A49211" s="0" t="s">
        <v>17359</v>
      </c>
      <c r="B49211" s="0" t="str">
        <f aca="false">HYPERLINK("https://lindat.mff.cuni.cz/services/teitok/pdtc10/index.php?action=vallex&amp;frame=v-w6976f1", "ubrat (v-w6976f1)")</f>
        <v>ubrat (v-w6976f1)</v>
      </c>
    </row>
    <row r="49212" customFormat="false" ht="12.8" hidden="false" customHeight="false" outlineLevel="0" collapsed="false">
      <c r="B49212" s="0" t="s">
        <v>7</v>
      </c>
      <c r="C49212" s="0" t="s">
        <v>3664</v>
      </c>
    </row>
    <row r="49213" customFormat="false" ht="12.8" hidden="false" customHeight="false" outlineLevel="0" collapsed="false">
      <c r="B49213" s="0" t="s">
        <v>14</v>
      </c>
      <c r="C49213" s="0" t="s">
        <v>462</v>
      </c>
    </row>
    <row r="49214" customFormat="false" ht="12.8" hidden="false" customHeight="false" outlineLevel="0" collapsed="false">
      <c r="B49214" s="0" t="s">
        <v>35</v>
      </c>
      <c r="C49214" s="0" t="s">
        <v>12567</v>
      </c>
    </row>
    <row r="49215" customFormat="false" ht="12.8" hidden="false" customHeight="false" outlineLevel="0" collapsed="false">
      <c r="B49215" s="0" t="s">
        <v>84</v>
      </c>
    </row>
    <row r="49217" customFormat="false" ht="12.8" hidden="false" customHeight="false" outlineLevel="0" collapsed="false">
      <c r="A49217" s="0" t="s">
        <v>17360</v>
      </c>
      <c r="B49217" s="0" t="str">
        <f aca="false">HYPERLINK("https://lindat.mff.cuni.cz/services/teitok/pdtc10/index.php?action=vallex&amp;frame=v-w6976f3", "ubrat (v-w6976f3)")</f>
        <v>ubrat (v-w6976f3)</v>
      </c>
    </row>
    <row r="49218" customFormat="false" ht="12.8" hidden="false" customHeight="false" outlineLevel="0" collapsed="false">
      <c r="B49218" s="0" t="s">
        <v>7</v>
      </c>
      <c r="C49218" s="0" t="s">
        <v>442</v>
      </c>
      <c r="D49218" s="0" t="s">
        <v>149</v>
      </c>
      <c r="E49218" s="0" t="s">
        <v>149</v>
      </c>
      <c r="F49218" s="0" t="s">
        <v>149</v>
      </c>
    </row>
    <row r="49219" customFormat="false" ht="12.8" hidden="false" customHeight="false" outlineLevel="0" collapsed="false">
      <c r="B49219" s="0" t="s">
        <v>14</v>
      </c>
      <c r="D49219" s="0" t="s">
        <v>3249</v>
      </c>
      <c r="E49219" s="0" t="s">
        <v>3249</v>
      </c>
      <c r="F49219" s="0" t="s">
        <v>3249</v>
      </c>
    </row>
    <row r="49220" customFormat="false" ht="12.8" hidden="false" customHeight="false" outlineLevel="0" collapsed="false">
      <c r="B49220" s="0" t="s">
        <v>459</v>
      </c>
      <c r="C49220" s="0" t="s">
        <v>17361</v>
      </c>
      <c r="D49220" s="0" t="s">
        <v>8061</v>
      </c>
      <c r="E49220" s="0" t="s">
        <v>8061</v>
      </c>
      <c r="F49220" s="0" t="s">
        <v>8061</v>
      </c>
    </row>
    <row r="49222" customFormat="false" ht="12.8" hidden="false" customHeight="false" outlineLevel="0" collapsed="false">
      <c r="A49222" s="0" t="s">
        <v>17362</v>
      </c>
      <c r="B49222" s="0" t="str">
        <f aca="false">HYPERLINK("https://lindat.mff.cuni.cz/services/teitok/pdtc10/index.php?action=vallex&amp;frame=v-w6976f4", "ubrat (v-w6976f4)")</f>
        <v>ubrat (v-w6976f4)</v>
      </c>
    </row>
    <row r="49223" customFormat="false" ht="12.8" hidden="false" customHeight="false" outlineLevel="0" collapsed="false">
      <c r="B49223" s="0" t="s">
        <v>7</v>
      </c>
    </row>
    <row r="49224" customFormat="false" ht="12.8" hidden="false" customHeight="false" outlineLevel="0" collapsed="false">
      <c r="B49224" s="0" t="s">
        <v>14</v>
      </c>
    </row>
    <row r="49226" customFormat="false" ht="12.8" hidden="false" customHeight="false" outlineLevel="0" collapsed="false">
      <c r="A49226" s="0" t="s">
        <v>17363</v>
      </c>
      <c r="B49226" s="0" t="str">
        <f aca="false">HYPERLINK("https://lindat.mff.cuni.cz/services/teitok/pdtc10/index.php?action=vallex&amp;frame=v-w6976hsa_566", "ubrat (v-w6976hsa_566)")</f>
        <v>ubrat (v-w6976hsa_566)</v>
      </c>
    </row>
    <row r="49227" customFormat="false" ht="12.8" hidden="false" customHeight="false" outlineLevel="0" collapsed="false">
      <c r="B49227" s="0" t="s">
        <v>7</v>
      </c>
    </row>
    <row r="49228" customFormat="false" ht="12.8" hidden="false" customHeight="false" outlineLevel="0" collapsed="false">
      <c r="B49228" s="0" t="s">
        <v>220</v>
      </c>
    </row>
    <row r="49229" customFormat="false" ht="12.8" hidden="false" customHeight="false" outlineLevel="0" collapsed="false">
      <c r="B49229" s="0" t="s">
        <v>48</v>
      </c>
    </row>
    <row r="49231" customFormat="false" ht="12.8" hidden="false" customHeight="false" outlineLevel="0" collapsed="false">
      <c r="A49231" s="0" t="s">
        <v>17364</v>
      </c>
      <c r="B49231" s="0" t="str">
        <f aca="false">HYPERLINK("https://lindat.mff.cuni.cz/services/teitok/pdtc10/index.php?action=vallex&amp;frame=v-w6974f2_ZU", "ubránit (v-w6974f2_ZU)")</f>
        <v>ubránit (v-w6974f2_ZU)</v>
      </c>
    </row>
    <row r="49232" customFormat="false" ht="12.8" hidden="false" customHeight="false" outlineLevel="0" collapsed="false">
      <c r="B49232" s="0" t="s">
        <v>7</v>
      </c>
      <c r="C49232" s="0" t="s">
        <v>46</v>
      </c>
      <c r="D49232" s="0" t="s">
        <v>4256</v>
      </c>
      <c r="E49232" s="0" t="s">
        <v>4256</v>
      </c>
      <c r="F49232" s="0" t="s">
        <v>4256</v>
      </c>
    </row>
    <row r="49233" customFormat="false" ht="12.8" hidden="false" customHeight="false" outlineLevel="0" collapsed="false">
      <c r="B49233" s="0" t="s">
        <v>14</v>
      </c>
      <c r="D49233" s="0" t="s">
        <v>4257</v>
      </c>
      <c r="E49233" s="0" t="s">
        <v>4257</v>
      </c>
      <c r="F49233" s="0" t="s">
        <v>4257</v>
      </c>
    </row>
    <row r="49234" customFormat="false" ht="12.8" hidden="false" customHeight="false" outlineLevel="0" collapsed="false">
      <c r="B49234" s="0" t="s">
        <v>17365</v>
      </c>
      <c r="C49234" s="0" t="s">
        <v>9761</v>
      </c>
      <c r="D49234" s="0" t="s">
        <v>16152</v>
      </c>
      <c r="E49234" s="0" t="s">
        <v>16152</v>
      </c>
      <c r="F49234" s="0" t="s">
        <v>16152</v>
      </c>
    </row>
    <row r="49236" customFormat="false" ht="12.8" hidden="false" customHeight="false" outlineLevel="0" collapsed="false">
      <c r="A49236" s="0" t="s">
        <v>17364</v>
      </c>
      <c r="B49236" s="0" t="str">
        <f aca="false">HYPERLINK("https://lindat.mff.cuni.cz/services/teitok/pdtc10/index.php?action=vallex&amp;frame=v-w6974f1", "ubránit (v-w6974f1) - substituted with v-w6974f2_ZU")</f>
        <v>ubránit (v-w6974f1) - substituted with v-w6974f2_ZU</v>
      </c>
    </row>
    <row r="49237" customFormat="false" ht="12.8" hidden="false" customHeight="false" outlineLevel="0" collapsed="false">
      <c r="B49237" s="0" t="s">
        <v>7</v>
      </c>
    </row>
    <row r="49238" customFormat="false" ht="12.8" hidden="false" customHeight="false" outlineLevel="0" collapsed="false">
      <c r="B49238" s="0" t="s">
        <v>14</v>
      </c>
    </row>
    <row r="49239" customFormat="false" ht="12.8" hidden="false" customHeight="false" outlineLevel="0" collapsed="false">
      <c r="B49239" s="0" t="s">
        <v>17365</v>
      </c>
    </row>
    <row r="49241" customFormat="false" ht="12.8" hidden="false" customHeight="false" outlineLevel="0" collapsed="false">
      <c r="A49241" s="0" t="s">
        <v>17366</v>
      </c>
      <c r="B49241" s="0" t="str">
        <f aca="false">HYPERLINK("https://lindat.mff.cuni.cz/services/teitok/pdtc10/index.php?action=vallex&amp;frame=v-w6975hsa_414", "ubránit se (v-w6975hsa_414)")</f>
        <v>ubránit se (v-w6975hsa_414)</v>
      </c>
    </row>
    <row r="49242" customFormat="false" ht="12.8" hidden="false" customHeight="false" outlineLevel="0" collapsed="false">
      <c r="B49242" s="0" t="s">
        <v>7</v>
      </c>
      <c r="D49242" s="0" t="s">
        <v>423</v>
      </c>
      <c r="E49242" s="0" t="s">
        <v>423</v>
      </c>
      <c r="F49242" s="0" t="s">
        <v>423</v>
      </c>
    </row>
    <row r="49243" customFormat="false" ht="12.8" hidden="false" customHeight="false" outlineLevel="0" collapsed="false">
      <c r="B49243" s="0" t="s">
        <v>8312</v>
      </c>
      <c r="D49243" s="0" t="s">
        <v>426</v>
      </c>
      <c r="E49243" s="0" t="s">
        <v>426</v>
      </c>
      <c r="F49243" s="0" t="s">
        <v>426</v>
      </c>
    </row>
    <row r="49245" customFormat="false" ht="12.8" hidden="false" customHeight="false" outlineLevel="0" collapsed="false">
      <c r="A49245" s="0" t="s">
        <v>17366</v>
      </c>
      <c r="B49245" s="0" t="str">
        <f aca="false">HYPERLINK("https://lindat.mff.cuni.cz/services/teitok/pdtc10/index.php?action=vallex&amp;frame=v-w6975f1", "ubránit se (v-w6975f1) - substituted with v-w6975hsa_414")</f>
        <v>ubránit se (v-w6975f1) - substituted with v-w6975hsa_414</v>
      </c>
    </row>
    <row r="49246" customFormat="false" ht="12.8" hidden="false" customHeight="false" outlineLevel="0" collapsed="false">
      <c r="B49246" s="0" t="s">
        <v>7</v>
      </c>
      <c r="C49246" s="0" t="s">
        <v>1263</v>
      </c>
    </row>
    <row r="49247" customFormat="false" ht="12.8" hidden="false" customHeight="false" outlineLevel="0" collapsed="false">
      <c r="B49247" s="0" t="s">
        <v>8312</v>
      </c>
      <c r="C49247" s="0" t="s">
        <v>1289</v>
      </c>
    </row>
    <row r="49249" customFormat="false" ht="12.8" hidden="false" customHeight="false" outlineLevel="0" collapsed="false">
      <c r="A49249" s="0" t="s">
        <v>17367</v>
      </c>
      <c r="B49249" s="0" t="str">
        <f aca="false">HYPERLINK("https://lindat.mff.cuni.cz/services/teitok/pdtc10/index.php?action=vallex&amp;frame=v-w6975hsa_415", "ubránit se (v-w6975hsa_415)")</f>
        <v>ubránit se (v-w6975hsa_415)</v>
      </c>
    </row>
    <row r="49250" customFormat="false" ht="12.8" hidden="false" customHeight="false" outlineLevel="0" collapsed="false">
      <c r="B49250" s="0" t="s">
        <v>7</v>
      </c>
    </row>
    <row r="49251" customFormat="false" ht="12.8" hidden="false" customHeight="false" outlineLevel="0" collapsed="false">
      <c r="B49251" s="0" t="s">
        <v>17368</v>
      </c>
    </row>
    <row r="49253" customFormat="false" ht="12.8" hidden="false" customHeight="false" outlineLevel="0" collapsed="false">
      <c r="A49253" s="0" t="s">
        <v>17369</v>
      </c>
      <c r="B49253" s="0" t="str">
        <f aca="false">HYPERLINK("https://lindat.mff.cuni.cz/services/teitok/pdtc10/index.php?action=vallex&amp;frame=v-w6980f1", "ubytovat (v-w6980f1)")</f>
        <v>ubytovat (v-w6980f1)</v>
      </c>
    </row>
    <row r="49254" customFormat="false" ht="12.8" hidden="false" customHeight="false" outlineLevel="0" collapsed="false">
      <c r="B49254" s="0" t="s">
        <v>7</v>
      </c>
      <c r="F49254" s="0" t="s">
        <v>7064</v>
      </c>
    </row>
    <row r="49255" customFormat="false" ht="12.8" hidden="false" customHeight="false" outlineLevel="0" collapsed="false">
      <c r="B49255" s="0" t="s">
        <v>14</v>
      </c>
      <c r="F49255" s="0" t="s">
        <v>7065</v>
      </c>
    </row>
    <row r="49257" customFormat="false" ht="12.8" hidden="false" customHeight="false" outlineLevel="0" collapsed="false">
      <c r="A49257" s="0" t="s">
        <v>17370</v>
      </c>
      <c r="B49257" s="0" t="str">
        <f aca="false">HYPERLINK("https://lindat.mff.cuni.cz/services/teitok/pdtc10/index.php?action=vallex&amp;frame=v-w6981f1", "ubytovat se (v-w6981f1)")</f>
        <v>ubytovat se (v-w6981f1)</v>
      </c>
    </row>
    <row r="49258" customFormat="false" ht="12.8" hidden="false" customHeight="false" outlineLevel="0" collapsed="false">
      <c r="B49258" s="0" t="s">
        <v>7</v>
      </c>
      <c r="F49258" s="0" t="s">
        <v>7069</v>
      </c>
    </row>
    <row r="49260" customFormat="false" ht="12.8" hidden="false" customHeight="false" outlineLevel="0" collapsed="false">
      <c r="A49260" s="0" t="s">
        <v>17371</v>
      </c>
      <c r="B49260" s="0" t="str">
        <f aca="false">HYPERLINK("https://lindat.mff.cuni.cz/services/teitok/pdtc10/index.php?action=vallex&amp;frame=v-w10199f2", "ubytovávat (v-w10199f2)")</f>
        <v>ubytovávat (v-w10199f2)</v>
      </c>
    </row>
    <row r="49261" customFormat="false" ht="12.8" hidden="false" customHeight="false" outlineLevel="0" collapsed="false">
      <c r="B49261" s="0" t="s">
        <v>7</v>
      </c>
      <c r="C49261" s="0" t="s">
        <v>113</v>
      </c>
      <c r="F49261" s="0" t="s">
        <v>7064</v>
      </c>
    </row>
    <row r="49262" customFormat="false" ht="12.8" hidden="false" customHeight="false" outlineLevel="0" collapsed="false">
      <c r="B49262" s="0" t="s">
        <v>14</v>
      </c>
      <c r="C49262" s="0" t="s">
        <v>274</v>
      </c>
      <c r="F49262" s="0" t="s">
        <v>7065</v>
      </c>
    </row>
    <row r="49264" customFormat="false" ht="12.8" hidden="false" customHeight="false" outlineLevel="0" collapsed="false">
      <c r="A49264" s="0" t="s">
        <v>17372</v>
      </c>
      <c r="B49264" s="0" t="str">
        <f aca="false">HYPERLINK("https://lindat.mff.cuni.cz/services/teitok/pdtc10/index.php?action=vallex&amp;frame=v-w10199f3_ZU", "ubytovávat (v-w10199f3_ZU)")</f>
        <v>ubytovávat (v-w10199f3_ZU)</v>
      </c>
    </row>
    <row r="49265" customFormat="false" ht="12.8" hidden="false" customHeight="false" outlineLevel="0" collapsed="false">
      <c r="B49265" s="0" t="s">
        <v>7</v>
      </c>
    </row>
    <row r="49267" customFormat="false" ht="12.8" hidden="false" customHeight="false" outlineLevel="0" collapsed="false">
      <c r="A49267" s="0" t="s">
        <v>17373</v>
      </c>
      <c r="B49267" s="0" t="str">
        <f aca="false">HYPERLINK("https://lindat.mff.cuni.cz/services/teitok/pdtc10/index.php?action=vallex&amp;frame=v-whsa_1011f1_ZU", "ubytovávat se (v-whsa_1011f1_ZU)")</f>
        <v>ubytovávat se (v-whsa_1011f1_ZU)</v>
      </c>
    </row>
    <row r="49268" customFormat="false" ht="12.8" hidden="false" customHeight="false" outlineLevel="0" collapsed="false">
      <c r="B49268" s="0" t="s">
        <v>7</v>
      </c>
    </row>
    <row r="49270" customFormat="false" ht="12.8" hidden="false" customHeight="false" outlineLevel="0" collapsed="false">
      <c r="A49270" s="0" t="s">
        <v>17374</v>
      </c>
      <c r="B49270" s="0" t="str">
        <f aca="false">HYPERLINK("https://lindat.mff.cuni.cz/services/teitok/pdtc10/index.php?action=vallex&amp;frame=v-whsb_1011hsa_1012", "ubytovávat se (v-whsb_1011hsa_1012)")</f>
        <v>ubytovávat se (v-whsb_1011hsa_1012)</v>
      </c>
    </row>
    <row r="49271" customFormat="false" ht="12.8" hidden="false" customHeight="false" outlineLevel="0" collapsed="false">
      <c r="B49271" s="0" t="s">
        <v>7</v>
      </c>
    </row>
    <row r="49273" customFormat="false" ht="12.8" hidden="false" customHeight="false" outlineLevel="0" collapsed="false">
      <c r="A49273" s="0" t="s">
        <v>17375</v>
      </c>
      <c r="B49273" s="0" t="str">
        <f aca="false">HYPERLINK("https://lindat.mff.cuni.cz/services/teitok/pdtc10/index.php?action=vallex&amp;frame=v-w10064f2", "ubíhat (v-w10064f2)")</f>
        <v>ubíhat (v-w10064f2)</v>
      </c>
    </row>
    <row r="49274" customFormat="false" ht="12.8" hidden="false" customHeight="false" outlineLevel="0" collapsed="false">
      <c r="B49274" s="0" t="s">
        <v>7</v>
      </c>
      <c r="F49274" s="0" t="s">
        <v>5375</v>
      </c>
    </row>
    <row r="49276" customFormat="false" ht="12.8" hidden="false" customHeight="false" outlineLevel="0" collapsed="false">
      <c r="A49276" s="0" t="s">
        <v>17376</v>
      </c>
      <c r="B49276" s="0" t="str">
        <f aca="false">HYPERLINK("https://lindat.mff.cuni.cz/services/teitok/pdtc10/index.php?action=vallex&amp;frame=v-w6965f1", "ubíjet (v-w6965f1)")</f>
        <v>ubíjet (v-w6965f1)</v>
      </c>
    </row>
    <row r="49277" customFormat="false" ht="12.8" hidden="false" customHeight="false" outlineLevel="0" collapsed="false">
      <c r="B49277" s="0" t="s">
        <v>7</v>
      </c>
      <c r="C49277" s="0" t="s">
        <v>157</v>
      </c>
      <c r="E49277" s="0" t="s">
        <v>9942</v>
      </c>
      <c r="F49277" s="0" t="s">
        <v>9942</v>
      </c>
    </row>
    <row r="49278" customFormat="false" ht="12.8" hidden="false" customHeight="false" outlineLevel="0" collapsed="false">
      <c r="B49278" s="0" t="s">
        <v>14</v>
      </c>
      <c r="C49278" s="0" t="s">
        <v>151</v>
      </c>
      <c r="E49278" s="0" t="s">
        <v>1632</v>
      </c>
      <c r="F49278" s="0" t="s">
        <v>1632</v>
      </c>
    </row>
    <row r="49280" customFormat="false" ht="12.8" hidden="false" customHeight="false" outlineLevel="0" collapsed="false">
      <c r="A49280" s="0" t="s">
        <v>17377</v>
      </c>
      <c r="B49280" s="0" t="str">
        <f aca="false">HYPERLINK("https://lindat.mff.cuni.cz/services/teitok/pdtc10/index.php?action=vallex&amp;frame=v-w6966f1", "ubírat (v-w6966f1)")</f>
        <v>ubírat (v-w6966f1)</v>
      </c>
    </row>
    <row r="49281" customFormat="false" ht="12.8" hidden="false" customHeight="false" outlineLevel="0" collapsed="false">
      <c r="B49281" s="0" t="s">
        <v>7</v>
      </c>
      <c r="C49281" s="0" t="s">
        <v>191</v>
      </c>
    </row>
    <row r="49282" customFormat="false" ht="12.8" hidden="false" customHeight="false" outlineLevel="0" collapsed="false">
      <c r="B49282" s="0" t="s">
        <v>14</v>
      </c>
      <c r="C49282" s="0" t="s">
        <v>47</v>
      </c>
    </row>
    <row r="49283" customFormat="false" ht="12.8" hidden="false" customHeight="false" outlineLevel="0" collapsed="false">
      <c r="B49283" s="0" t="s">
        <v>48</v>
      </c>
    </row>
    <row r="49285" customFormat="false" ht="12.8" hidden="false" customHeight="false" outlineLevel="0" collapsed="false">
      <c r="A49285" s="0" t="s">
        <v>17378</v>
      </c>
      <c r="B49285" s="0" t="str">
        <f aca="false">HYPERLINK("https://lindat.mff.cuni.cz/services/teitok/pdtc10/index.php?action=vallex&amp;frame=v-w6967f1", "ubírat se (v-w6967f1)")</f>
        <v>ubírat se (v-w6967f1)</v>
      </c>
    </row>
    <row r="49286" customFormat="false" ht="12.8" hidden="false" customHeight="false" outlineLevel="0" collapsed="false">
      <c r="B49286" s="0" t="s">
        <v>7</v>
      </c>
      <c r="C49286" s="0" t="s">
        <v>17379</v>
      </c>
      <c r="D49286" s="0" t="s">
        <v>3856</v>
      </c>
      <c r="E49286" s="0" t="s">
        <v>3856</v>
      </c>
      <c r="F49286" s="0" t="s">
        <v>3856</v>
      </c>
    </row>
    <row r="49287" customFormat="false" ht="12.8" hidden="false" customHeight="false" outlineLevel="0" collapsed="false">
      <c r="B49287" s="0" t="s">
        <v>259</v>
      </c>
      <c r="C49287" s="0" t="s">
        <v>17380</v>
      </c>
    </row>
    <row r="49289" customFormat="false" ht="12.8" hidden="false" customHeight="false" outlineLevel="0" collapsed="false">
      <c r="A49289" s="0" t="s">
        <v>17381</v>
      </c>
      <c r="B49289" s="0" t="str">
        <f aca="false">HYPERLINK("https://lindat.mff.cuni.cz/services/teitok/pdtc10/index.php?action=vallex&amp;frame=v-w6967f2_ZU", "ubírat se (v-w6967f2_ZU)")</f>
        <v>ubírat se (v-w6967f2_ZU)</v>
      </c>
    </row>
    <row r="49290" customFormat="false" ht="12.8" hidden="false" customHeight="false" outlineLevel="0" collapsed="false">
      <c r="B49290" s="0" t="s">
        <v>7</v>
      </c>
      <c r="C49290" s="0" t="s">
        <v>1142</v>
      </c>
      <c r="D49290" s="0" t="s">
        <v>17382</v>
      </c>
      <c r="E49290" s="0" t="s">
        <v>17382</v>
      </c>
      <c r="F49290" s="0" t="s">
        <v>17382</v>
      </c>
    </row>
    <row r="49291" customFormat="false" ht="12.8" hidden="false" customHeight="false" outlineLevel="0" collapsed="false">
      <c r="B49291" s="0" t="s">
        <v>338</v>
      </c>
      <c r="D49291" s="0" t="s">
        <v>17383</v>
      </c>
      <c r="E49291" s="0" t="s">
        <v>17383</v>
      </c>
      <c r="F49291" s="0" t="s">
        <v>17383</v>
      </c>
    </row>
    <row r="49293" customFormat="false" ht="12.8" hidden="false" customHeight="false" outlineLevel="0" collapsed="false">
      <c r="A49293" s="0" t="s">
        <v>17384</v>
      </c>
      <c r="B49293" s="0" t="str">
        <f aca="false">HYPERLINK("https://lindat.mff.cuni.cz/services/teitok/pdtc10/index.php?action=vallex&amp;frame=v-w6968f1", "ubít (v-w6968f1)")</f>
        <v>ubít (v-w6968f1)</v>
      </c>
    </row>
    <row r="49294" customFormat="false" ht="12.8" hidden="false" customHeight="false" outlineLevel="0" collapsed="false">
      <c r="B49294" s="0" t="s">
        <v>7</v>
      </c>
      <c r="C49294" s="0" t="s">
        <v>1226</v>
      </c>
      <c r="D49294" s="0" t="s">
        <v>5057</v>
      </c>
      <c r="E49294" s="0" t="s">
        <v>5057</v>
      </c>
      <c r="F49294" s="0" t="s">
        <v>5057</v>
      </c>
    </row>
    <row r="49295" customFormat="false" ht="12.8" hidden="false" customHeight="false" outlineLevel="0" collapsed="false">
      <c r="B49295" s="0" t="s">
        <v>14</v>
      </c>
      <c r="C49295" s="0" t="s">
        <v>75</v>
      </c>
      <c r="D49295" s="0" t="s">
        <v>8042</v>
      </c>
      <c r="E49295" s="0" t="s">
        <v>8042</v>
      </c>
      <c r="F49295" s="0" t="s">
        <v>8042</v>
      </c>
    </row>
    <row r="49297" customFormat="false" ht="12.8" hidden="false" customHeight="false" outlineLevel="0" collapsed="false">
      <c r="A49297" s="0" t="s">
        <v>17385</v>
      </c>
      <c r="B49297" s="0" t="str">
        <f aca="false">HYPERLINK("https://lindat.mff.cuni.cz/services/teitok/pdtc10/index.php?action=vallex&amp;frame=v-w6977f1", "ubýt (v-w6977f1)")</f>
        <v>ubýt (v-w6977f1)</v>
      </c>
    </row>
    <row r="49298" customFormat="false" ht="12.8" hidden="false" customHeight="false" outlineLevel="0" collapsed="false">
      <c r="B49298" s="0" t="s">
        <v>17386</v>
      </c>
      <c r="C49298" s="0" t="s">
        <v>17387</v>
      </c>
    </row>
    <row r="49300" customFormat="false" ht="12.8" hidden="false" customHeight="false" outlineLevel="0" collapsed="false">
      <c r="A49300" s="0" t="s">
        <v>17388</v>
      </c>
      <c r="B49300" s="0" t="str">
        <f aca="false">HYPERLINK("https://lindat.mff.cuni.cz/services/teitok/pdtc10/index.php?action=vallex&amp;frame=v-w6982f1", "ubývat (v-w6982f1)")</f>
        <v>ubývat (v-w6982f1)</v>
      </c>
    </row>
    <row r="49301" customFormat="false" ht="12.8" hidden="false" customHeight="false" outlineLevel="0" collapsed="false">
      <c r="B49301" s="0" t="s">
        <v>17386</v>
      </c>
      <c r="C49301" s="0" t="s">
        <v>3675</v>
      </c>
    </row>
    <row r="49303" customFormat="false" ht="12.8" hidden="false" customHeight="false" outlineLevel="0" collapsed="false">
      <c r="A49303" s="0" t="s">
        <v>17389</v>
      </c>
      <c r="B49303" s="0" t="str">
        <f aca="false">HYPERLINK("https://lindat.mff.cuni.cz/services/teitok/pdtc10/index.php?action=vallex&amp;frame=v-w6961f2", "uběhnout (v-w6961f2)")</f>
        <v>uběhnout (v-w6961f2)</v>
      </c>
    </row>
    <row r="49304" customFormat="false" ht="12.8" hidden="false" customHeight="false" outlineLevel="0" collapsed="false">
      <c r="B49304" s="0" t="s">
        <v>7</v>
      </c>
    </row>
    <row r="49305" customFormat="false" ht="12.8" hidden="false" customHeight="false" outlineLevel="0" collapsed="false">
      <c r="B49305" s="0" t="s">
        <v>14</v>
      </c>
    </row>
    <row r="49307" customFormat="false" ht="12.8" hidden="false" customHeight="false" outlineLevel="0" collapsed="false">
      <c r="A49307" s="0" t="s">
        <v>17390</v>
      </c>
      <c r="B49307" s="0" t="str">
        <f aca="false">HYPERLINK("https://lindat.mff.cuni.cz/services/teitok/pdtc10/index.php?action=vallex&amp;frame=v-w6961f1", "uběhnout (v-w6961f1)")</f>
        <v>uběhnout (v-w6961f1)</v>
      </c>
    </row>
    <row r="49308" customFormat="false" ht="12.8" hidden="false" customHeight="false" outlineLevel="0" collapsed="false">
      <c r="B49308" s="0" t="s">
        <v>7</v>
      </c>
      <c r="C49308" s="0" t="s">
        <v>5375</v>
      </c>
      <c r="F49308" s="0" t="s">
        <v>5375</v>
      </c>
    </row>
    <row r="49310" customFormat="false" ht="12.8" hidden="false" customHeight="false" outlineLevel="0" collapsed="false">
      <c r="A49310" s="0" t="s">
        <v>17391</v>
      </c>
      <c r="B49310" s="0" t="str">
        <f aca="false">HYPERLINK("https://lindat.mff.cuni.cz/services/teitok/pdtc10/index.php?action=vallex&amp;frame=v-whsb_747f1_ZU", "ucelit se (v-whsb_747f1_ZU)")</f>
        <v>ucelit se (v-whsb_747f1_ZU)</v>
      </c>
    </row>
    <row r="49311" customFormat="false" ht="12.8" hidden="false" customHeight="false" outlineLevel="0" collapsed="false">
      <c r="B49311" s="0" t="s">
        <v>7</v>
      </c>
    </row>
    <row r="49312" customFormat="false" ht="12.8" hidden="false" customHeight="false" outlineLevel="0" collapsed="false">
      <c r="B49312" s="0" t="s">
        <v>548</v>
      </c>
    </row>
    <row r="49313" customFormat="false" ht="12.8" hidden="false" customHeight="false" outlineLevel="0" collapsed="false">
      <c r="B49313" s="0" t="s">
        <v>181</v>
      </c>
    </row>
    <row r="49315" customFormat="false" ht="12.8" hidden="false" customHeight="false" outlineLevel="0" collapsed="false">
      <c r="A49315" s="0" t="s">
        <v>17391</v>
      </c>
      <c r="B49315" s="0" t="str">
        <f aca="false">HYPERLINK("https://lindat.mff.cuni.cz/services/teitok/pdtc10/index.php?action=vallex&amp;frame=v-whsb_747hsa_748", "ucelit se (v-whsb_747hsa_748) - substituted with v-whsb_747f1_ZU")</f>
        <v>ucelit se (v-whsb_747hsa_748) - substituted with v-whsb_747f1_ZU</v>
      </c>
    </row>
    <row r="49316" customFormat="false" ht="12.8" hidden="false" customHeight="false" outlineLevel="0" collapsed="false">
      <c r="B49316" s="0" t="s">
        <v>7</v>
      </c>
    </row>
    <row r="49317" customFormat="false" ht="12.8" hidden="false" customHeight="false" outlineLevel="0" collapsed="false">
      <c r="B49317" s="0" t="s">
        <v>548</v>
      </c>
    </row>
    <row r="49318" customFormat="false" ht="12.8" hidden="false" customHeight="false" outlineLevel="0" collapsed="false">
      <c r="B49318" s="0" t="s">
        <v>181</v>
      </c>
    </row>
    <row r="49320" customFormat="false" ht="12.8" hidden="false" customHeight="false" outlineLevel="0" collapsed="false">
      <c r="A49320" s="0" t="s">
        <v>17392</v>
      </c>
      <c r="B49320" s="0" t="str">
        <f aca="false">HYPERLINK("https://lindat.mff.cuni.cz/services/teitok/pdtc10/index.php?action=vallex&amp;frame=v-whsb_827hsa_828", "uchechtávat se (v-whsb_827hsa_828)")</f>
        <v>uchechtávat se (v-whsb_827hsa_828)</v>
      </c>
    </row>
    <row r="49321" customFormat="false" ht="12.8" hidden="false" customHeight="false" outlineLevel="0" collapsed="false">
      <c r="B49321" s="0" t="s">
        <v>7</v>
      </c>
    </row>
    <row r="49322" customFormat="false" ht="12.8" hidden="false" customHeight="false" outlineLevel="0" collapsed="false">
      <c r="B49322" s="0" t="s">
        <v>119</v>
      </c>
    </row>
    <row r="49324" customFormat="false" ht="12.8" hidden="false" customHeight="false" outlineLevel="0" collapsed="false">
      <c r="A49324" s="0" t="s">
        <v>17393</v>
      </c>
      <c r="B49324" s="0" t="str">
        <f aca="false">HYPERLINK("https://lindat.mff.cuni.cz/services/teitok/pdtc10/index.php?action=vallex&amp;frame=v-whsa_218f1_ZU", "uchlácholit (v-whsa_218f1_ZU)")</f>
        <v>uchlácholit (v-whsa_218f1_ZU)</v>
      </c>
    </row>
    <row r="49325" customFormat="false" ht="12.8" hidden="false" customHeight="false" outlineLevel="0" collapsed="false">
      <c r="B49325" s="0" t="s">
        <v>7</v>
      </c>
      <c r="C49325" s="0" t="s">
        <v>46</v>
      </c>
      <c r="D49325" s="0" t="s">
        <v>1167</v>
      </c>
      <c r="E49325" s="0" t="s">
        <v>1167</v>
      </c>
      <c r="F49325" s="0" t="s">
        <v>1167</v>
      </c>
    </row>
    <row r="49326" customFormat="false" ht="12.8" hidden="false" customHeight="false" outlineLevel="0" collapsed="false">
      <c r="B49326" s="0" t="s">
        <v>14</v>
      </c>
      <c r="C49326" s="0" t="s">
        <v>567</v>
      </c>
      <c r="D49326" s="0" t="s">
        <v>1168</v>
      </c>
      <c r="E49326" s="0" t="s">
        <v>1168</v>
      </c>
      <c r="F49326" s="0" t="s">
        <v>1168</v>
      </c>
    </row>
    <row r="49328" customFormat="false" ht="12.8" hidden="false" customHeight="false" outlineLevel="0" collapsed="false">
      <c r="A49328" s="0" t="s">
        <v>17393</v>
      </c>
      <c r="B49328" s="0" t="str">
        <f aca="false">HYPERLINK("https://lindat.mff.cuni.cz/services/teitok/pdtc10/index.php?action=vallex&amp;frame=v-whsa_218hsa_219", "uchlácholit (v-whsa_218hsa_219) - substituted with v-whsa_218f1_ZU")</f>
        <v>uchlácholit (v-whsa_218hsa_219) - substituted with v-whsa_218f1_ZU</v>
      </c>
    </row>
    <row r="49329" customFormat="false" ht="12.8" hidden="false" customHeight="false" outlineLevel="0" collapsed="false">
      <c r="B49329" s="0" t="s">
        <v>7</v>
      </c>
    </row>
    <row r="49330" customFormat="false" ht="12.8" hidden="false" customHeight="false" outlineLevel="0" collapsed="false">
      <c r="B49330" s="0" t="s">
        <v>14</v>
      </c>
    </row>
    <row r="49332" customFormat="false" ht="12.8" hidden="false" customHeight="false" outlineLevel="0" collapsed="false">
      <c r="A49332" s="0" t="s">
        <v>17394</v>
      </c>
      <c r="B49332" s="0" t="str">
        <f aca="false">HYPERLINK("https://lindat.mff.cuni.cz/services/teitok/pdtc10/index.php?action=vallex&amp;frame=v-w7060f1", "uchopit (v-w7060f1)")</f>
        <v>uchopit (v-w7060f1)</v>
      </c>
    </row>
    <row r="49333" customFormat="false" ht="12.8" hidden="false" customHeight="false" outlineLevel="0" collapsed="false">
      <c r="B49333" s="0" t="s">
        <v>7</v>
      </c>
      <c r="E49333" s="0" t="s">
        <v>1307</v>
      </c>
      <c r="F49333" s="0" t="s">
        <v>1307</v>
      </c>
    </row>
    <row r="49334" customFormat="false" ht="12.8" hidden="false" customHeight="false" outlineLevel="0" collapsed="false">
      <c r="B49334" s="0" t="s">
        <v>14</v>
      </c>
      <c r="E49334" s="0" t="s">
        <v>1308</v>
      </c>
      <c r="F49334" s="0" t="s">
        <v>1308</v>
      </c>
    </row>
    <row r="49336" customFormat="false" ht="12.8" hidden="false" customHeight="false" outlineLevel="0" collapsed="false">
      <c r="A49336" s="0" t="s">
        <v>17395</v>
      </c>
      <c r="B49336" s="0" t="str">
        <f aca="false">HYPERLINK("https://lindat.mff.cuni.cz/services/teitok/pdtc10/index.php?action=vallex&amp;frame=v-w7062f1", "uchovat (v-w7062f1)")</f>
        <v>uchovat (v-w7062f1)</v>
      </c>
    </row>
    <row r="49337" customFormat="false" ht="12.8" hidden="false" customHeight="false" outlineLevel="0" collapsed="false">
      <c r="B49337" s="0" t="s">
        <v>7</v>
      </c>
    </row>
    <row r="49338" customFormat="false" ht="12.8" hidden="false" customHeight="false" outlineLevel="0" collapsed="false">
      <c r="B49338" s="0" t="s">
        <v>14</v>
      </c>
    </row>
    <row r="49339" customFormat="false" ht="12.8" hidden="false" customHeight="false" outlineLevel="0" collapsed="false">
      <c r="B49339" s="0" t="s">
        <v>17396</v>
      </c>
    </row>
    <row r="49341" customFormat="false" ht="12.8" hidden="false" customHeight="false" outlineLevel="0" collapsed="false">
      <c r="A49341" s="0" t="s">
        <v>17397</v>
      </c>
      <c r="B49341" s="0" t="str">
        <f aca="false">HYPERLINK("https://lindat.mff.cuni.cz/services/teitok/pdtc10/index.php?action=vallex&amp;frame=v-w7063f1", "uchovat se (v-w7063f1)")</f>
        <v>uchovat se (v-w7063f1)</v>
      </c>
    </row>
    <row r="49342" customFormat="false" ht="12.8" hidden="false" customHeight="false" outlineLevel="0" collapsed="false">
      <c r="B49342" s="0" t="s">
        <v>7</v>
      </c>
      <c r="E49342" s="0" t="s">
        <v>17398</v>
      </c>
      <c r="F49342" s="0" t="s">
        <v>17398</v>
      </c>
    </row>
    <row r="49344" customFormat="false" ht="12.8" hidden="false" customHeight="false" outlineLevel="0" collapsed="false">
      <c r="A49344" s="0" t="s">
        <v>17399</v>
      </c>
      <c r="B49344" s="0" t="str">
        <f aca="false">HYPERLINK("https://lindat.mff.cuni.cz/services/teitok/pdtc10/index.php?action=vallex&amp;frame=v-w7064f1", "uchovávat (v-w7064f1)")</f>
        <v>uchovávat (v-w7064f1)</v>
      </c>
    </row>
    <row r="49345" customFormat="false" ht="12.8" hidden="false" customHeight="false" outlineLevel="0" collapsed="false">
      <c r="B49345" s="0" t="s">
        <v>7</v>
      </c>
      <c r="C49345" s="0" t="s">
        <v>17400</v>
      </c>
      <c r="D49345" s="0" t="s">
        <v>10066</v>
      </c>
      <c r="E49345" s="0" t="s">
        <v>10066</v>
      </c>
      <c r="F49345" s="0" t="s">
        <v>10066</v>
      </c>
    </row>
    <row r="49346" customFormat="false" ht="12.8" hidden="false" customHeight="false" outlineLevel="0" collapsed="false">
      <c r="B49346" s="0" t="s">
        <v>14</v>
      </c>
      <c r="C49346" s="0" t="s">
        <v>2182</v>
      </c>
      <c r="D49346" s="0" t="s">
        <v>10068</v>
      </c>
      <c r="E49346" s="0" t="s">
        <v>10068</v>
      </c>
      <c r="F49346" s="0" t="s">
        <v>10068</v>
      </c>
    </row>
    <row r="49347" customFormat="false" ht="12.8" hidden="false" customHeight="false" outlineLevel="0" collapsed="false">
      <c r="B49347" s="0" t="s">
        <v>17396</v>
      </c>
    </row>
    <row r="49349" customFormat="false" ht="12.8" hidden="false" customHeight="false" outlineLevel="0" collapsed="false">
      <c r="A49349" s="0" t="s">
        <v>17401</v>
      </c>
      <c r="B49349" s="0" t="str">
        <f aca="false">HYPERLINK("https://lindat.mff.cuni.cz/services/teitok/pdtc10/index.php?action=vallex&amp;frame=v-w7065f2_ZU", "uchránit (v-w7065f2_ZU)")</f>
        <v>uchránit (v-w7065f2_ZU)</v>
      </c>
    </row>
    <row r="49350" customFormat="false" ht="12.8" hidden="false" customHeight="false" outlineLevel="0" collapsed="false">
      <c r="B49350" s="0" t="s">
        <v>7</v>
      </c>
      <c r="C49350" s="0" t="s">
        <v>17402</v>
      </c>
      <c r="D49350" s="0" t="s">
        <v>4256</v>
      </c>
      <c r="E49350" s="0" t="s">
        <v>1232</v>
      </c>
      <c r="F49350" s="0" t="s">
        <v>1232</v>
      </c>
    </row>
    <row r="49351" customFormat="false" ht="12.8" hidden="false" customHeight="false" outlineLevel="0" collapsed="false">
      <c r="B49351" s="0" t="s">
        <v>14</v>
      </c>
      <c r="C49351" s="0" t="s">
        <v>17403</v>
      </c>
      <c r="D49351" s="0" t="s">
        <v>4257</v>
      </c>
      <c r="E49351" s="0" t="s">
        <v>1233</v>
      </c>
      <c r="F49351" s="0" t="s">
        <v>1233</v>
      </c>
    </row>
    <row r="49352" customFormat="false" ht="12.8" hidden="false" customHeight="false" outlineLevel="0" collapsed="false">
      <c r="B49352" s="0" t="s">
        <v>1228</v>
      </c>
      <c r="C49352" s="0" t="s">
        <v>17404</v>
      </c>
      <c r="D49352" s="0" t="s">
        <v>16152</v>
      </c>
      <c r="E49352" s="0" t="s">
        <v>1235</v>
      </c>
      <c r="F49352" s="0" t="s">
        <v>1235</v>
      </c>
    </row>
    <row r="49354" customFormat="false" ht="12.8" hidden="false" customHeight="false" outlineLevel="0" collapsed="false">
      <c r="A49354" s="0" t="s">
        <v>17401</v>
      </c>
      <c r="B49354" s="0" t="str">
        <f aca="false">HYPERLINK("https://lindat.mff.cuni.cz/services/teitok/pdtc10/index.php?action=vallex&amp;frame=v-w7065f1", "uchránit (v-w7065f1) - substituted with v-w7065f2_ZU")</f>
        <v>uchránit (v-w7065f1) - substituted with v-w7065f2_ZU</v>
      </c>
    </row>
    <row r="49355" customFormat="false" ht="12.8" hidden="false" customHeight="false" outlineLevel="0" collapsed="false">
      <c r="B49355" s="0" t="s">
        <v>7</v>
      </c>
    </row>
    <row r="49356" customFormat="false" ht="12.8" hidden="false" customHeight="false" outlineLevel="0" collapsed="false">
      <c r="B49356" s="0" t="s">
        <v>14</v>
      </c>
      <c r="C49356" s="0" t="s">
        <v>74</v>
      </c>
    </row>
    <row r="49357" customFormat="false" ht="12.8" hidden="false" customHeight="false" outlineLevel="0" collapsed="false">
      <c r="B49357" s="0" t="s">
        <v>1228</v>
      </c>
    </row>
    <row r="49359" customFormat="false" ht="12.8" hidden="false" customHeight="false" outlineLevel="0" collapsed="false">
      <c r="A49359" s="0" t="s">
        <v>17405</v>
      </c>
      <c r="B49359" s="0" t="str">
        <f aca="false">HYPERLINK("https://lindat.mff.cuni.cz/services/teitok/pdtc10/index.php?action=vallex&amp;frame=v-w7067f1", "uchvacovat (v-w7067f1)")</f>
        <v>uchvacovat (v-w7067f1)</v>
      </c>
    </row>
    <row r="49360" customFormat="false" ht="12.8" hidden="false" customHeight="false" outlineLevel="0" collapsed="false">
      <c r="B49360" s="0" t="s">
        <v>7</v>
      </c>
    </row>
    <row r="49361" customFormat="false" ht="12.8" hidden="false" customHeight="false" outlineLevel="0" collapsed="false">
      <c r="B49361" s="0" t="s">
        <v>14</v>
      </c>
    </row>
    <row r="49363" customFormat="false" ht="12.8" hidden="false" customHeight="false" outlineLevel="0" collapsed="false">
      <c r="A49363" s="0" t="s">
        <v>17406</v>
      </c>
      <c r="B49363" s="0" t="str">
        <f aca="false">HYPERLINK("https://lindat.mff.cuni.cz/services/teitok/pdtc10/index.php?action=vallex&amp;frame=v-w7068f2", "uchvátit (v-w7068f2)")</f>
        <v>uchvátit (v-w7068f2)</v>
      </c>
    </row>
    <row r="49364" customFormat="false" ht="12.8" hidden="false" customHeight="false" outlineLevel="0" collapsed="false">
      <c r="B49364" s="0" t="s">
        <v>765</v>
      </c>
    </row>
    <row r="49365" customFormat="false" ht="12.8" hidden="false" customHeight="false" outlineLevel="0" collapsed="false">
      <c r="B49365" s="0" t="s">
        <v>14</v>
      </c>
    </row>
    <row r="49367" customFormat="false" ht="12.8" hidden="false" customHeight="false" outlineLevel="0" collapsed="false">
      <c r="A49367" s="0" t="s">
        <v>17407</v>
      </c>
      <c r="B49367" s="0" t="str">
        <f aca="false">HYPERLINK("https://lindat.mff.cuni.cz/services/teitok/pdtc10/index.php?action=vallex&amp;frame=v-w7068f1", "uchvátit (v-w7068f1)")</f>
        <v>uchvátit (v-w7068f1)</v>
      </c>
    </row>
    <row r="49368" customFormat="false" ht="12.8" hidden="false" customHeight="false" outlineLevel="0" collapsed="false">
      <c r="B49368" s="0" t="s">
        <v>7</v>
      </c>
      <c r="C49368" s="0" t="s">
        <v>2736</v>
      </c>
      <c r="D49368" s="0" t="s">
        <v>126</v>
      </c>
      <c r="E49368" s="0" t="s">
        <v>126</v>
      </c>
      <c r="F49368" s="0" t="s">
        <v>126</v>
      </c>
    </row>
    <row r="49369" customFormat="false" ht="12.8" hidden="false" customHeight="false" outlineLevel="0" collapsed="false">
      <c r="B49369" s="0" t="s">
        <v>14</v>
      </c>
      <c r="C49369" s="0" t="s">
        <v>493</v>
      </c>
      <c r="D49369" s="0" t="s">
        <v>1571</v>
      </c>
      <c r="E49369" s="0" t="s">
        <v>1571</v>
      </c>
      <c r="F49369" s="0" t="s">
        <v>1571</v>
      </c>
    </row>
    <row r="49371" customFormat="false" ht="12.8" hidden="false" customHeight="false" outlineLevel="0" collapsed="false">
      <c r="A49371" s="0" t="s">
        <v>17408</v>
      </c>
      <c r="B49371" s="0" t="str">
        <f aca="false">HYPERLINK("https://lindat.mff.cuni.cz/services/teitok/pdtc10/index.php?action=vallex&amp;frame=v-w7070f1", "uchylovat se (v-w7070f1)")</f>
        <v>uchylovat se (v-w7070f1)</v>
      </c>
    </row>
    <row r="49372" customFormat="false" ht="12.8" hidden="false" customHeight="false" outlineLevel="0" collapsed="false">
      <c r="B49372" s="0" t="s">
        <v>7</v>
      </c>
      <c r="C49372" s="0" t="s">
        <v>184</v>
      </c>
      <c r="D49372" s="0" t="s">
        <v>184</v>
      </c>
      <c r="E49372" s="0" t="s">
        <v>184</v>
      </c>
      <c r="F49372" s="0" t="s">
        <v>184</v>
      </c>
    </row>
    <row r="49373" customFormat="false" ht="12.8" hidden="false" customHeight="false" outlineLevel="0" collapsed="false">
      <c r="B49373" s="0" t="s">
        <v>237</v>
      </c>
      <c r="C49373" s="0" t="s">
        <v>115</v>
      </c>
      <c r="D49373" s="0" t="s">
        <v>115</v>
      </c>
      <c r="E49373" s="0" t="s">
        <v>115</v>
      </c>
      <c r="F49373" s="0" t="s">
        <v>115</v>
      </c>
    </row>
    <row r="49375" customFormat="false" ht="12.8" hidden="false" customHeight="false" outlineLevel="0" collapsed="false">
      <c r="A49375" s="0" t="s">
        <v>17409</v>
      </c>
      <c r="B49375" s="0" t="str">
        <f aca="false">HYPERLINK("https://lindat.mff.cuni.cz/services/teitok/pdtc10/index.php?action=vallex&amp;frame=v-w7070f2", "uchylovat se (v-w7070f2)")</f>
        <v>uchylovat se (v-w7070f2)</v>
      </c>
    </row>
    <row r="49376" customFormat="false" ht="12.8" hidden="false" customHeight="false" outlineLevel="0" collapsed="false">
      <c r="B49376" s="0" t="s">
        <v>7</v>
      </c>
      <c r="C49376" s="0" t="s">
        <v>3190</v>
      </c>
      <c r="D49376" s="0" t="s">
        <v>3190</v>
      </c>
      <c r="E49376" s="0" t="s">
        <v>3190</v>
      </c>
      <c r="F49376" s="0" t="s">
        <v>3190</v>
      </c>
    </row>
    <row r="49377" customFormat="false" ht="12.8" hidden="false" customHeight="false" outlineLevel="0" collapsed="false">
      <c r="B49377" s="0" t="s">
        <v>124</v>
      </c>
    </row>
    <row r="49379" customFormat="false" ht="12.8" hidden="false" customHeight="false" outlineLevel="0" collapsed="false">
      <c r="A49379" s="0" t="s">
        <v>17410</v>
      </c>
      <c r="B49379" s="0" t="str">
        <f aca="false">HYPERLINK("https://lindat.mff.cuni.cz/services/teitok/pdtc10/index.php?action=vallex&amp;frame=v-w7071f1", "uchytit se (v-w7071f1)")</f>
        <v>uchytit se (v-w7071f1)</v>
      </c>
    </row>
    <row r="49380" customFormat="false" ht="12.8" hidden="false" customHeight="false" outlineLevel="0" collapsed="false">
      <c r="B49380" s="0" t="s">
        <v>7</v>
      </c>
    </row>
    <row r="49381" customFormat="false" ht="12.8" hidden="false" customHeight="false" outlineLevel="0" collapsed="false">
      <c r="B49381" s="0" t="s">
        <v>11</v>
      </c>
    </row>
    <row r="49383" customFormat="false" ht="12.8" hidden="false" customHeight="false" outlineLevel="0" collapsed="false">
      <c r="A49383" s="0" t="s">
        <v>17411</v>
      </c>
      <c r="B49383" s="0" t="str">
        <f aca="false">HYPERLINK("https://lindat.mff.cuni.cz/services/teitok/pdtc10/index.php?action=vallex&amp;frame=v-w7071f2", "uchytit se (v-w7071f2)")</f>
        <v>uchytit se (v-w7071f2)</v>
      </c>
    </row>
    <row r="49384" customFormat="false" ht="12.8" hidden="false" customHeight="false" outlineLevel="0" collapsed="false">
      <c r="B49384" s="0" t="s">
        <v>7</v>
      </c>
      <c r="C49384" s="0" t="s">
        <v>3205</v>
      </c>
    </row>
    <row r="49386" customFormat="false" ht="12.8" hidden="false" customHeight="false" outlineLevel="0" collapsed="false">
      <c r="A49386" s="0" t="s">
        <v>17412</v>
      </c>
      <c r="B49386" s="0" t="str">
        <f aca="false">HYPERLINK("https://lindat.mff.cuni.cz/services/teitok/pdtc10/index.php?action=vallex&amp;frame=v-w7071f3_ZU", "uchytit se (v-w7071f3_ZU)")</f>
        <v>uchytit se (v-w7071f3_ZU)</v>
      </c>
    </row>
    <row r="49387" customFormat="false" ht="12.8" hidden="false" customHeight="false" outlineLevel="0" collapsed="false">
      <c r="B49387" s="0" t="s">
        <v>7</v>
      </c>
      <c r="C49387" s="0" t="s">
        <v>396</v>
      </c>
      <c r="D49387" s="0" t="s">
        <v>7092</v>
      </c>
      <c r="E49387" s="0" t="s">
        <v>7092</v>
      </c>
      <c r="F49387" s="0" t="s">
        <v>1627</v>
      </c>
    </row>
    <row r="49389" customFormat="false" ht="12.8" hidden="false" customHeight="false" outlineLevel="0" collapsed="false">
      <c r="A49389" s="0" t="s">
        <v>17413</v>
      </c>
      <c r="B49389" s="0" t="str">
        <f aca="false">HYPERLINK("https://lindat.mff.cuni.cz/services/teitok/pdtc10/index.php?action=vallex&amp;frame=v-w12038_ZUf1_ZU", "uchytnout se (v-w12038_ZUf1_ZU)")</f>
        <v>uchytnout se (v-w12038_ZUf1_ZU)</v>
      </c>
    </row>
    <row r="49390" customFormat="false" ht="12.8" hidden="false" customHeight="false" outlineLevel="0" collapsed="false">
      <c r="B49390" s="0" t="s">
        <v>7</v>
      </c>
    </row>
    <row r="49392" customFormat="false" ht="12.8" hidden="false" customHeight="false" outlineLevel="0" collapsed="false">
      <c r="A49392" s="0" t="s">
        <v>17414</v>
      </c>
      <c r="B49392" s="0" t="str">
        <f aca="false">HYPERLINK("https://lindat.mff.cuni.cz/services/teitok/pdtc10/index.php?action=vallex&amp;frame=v-w7058f1", "ucházet se (v-w7058f1)")</f>
        <v>ucházet se (v-w7058f1)</v>
      </c>
    </row>
    <row r="49393" customFormat="false" ht="12.8" hidden="false" customHeight="false" outlineLevel="0" collapsed="false">
      <c r="B49393" s="0" t="s">
        <v>7</v>
      </c>
      <c r="C49393" s="0" t="s">
        <v>468</v>
      </c>
      <c r="D49393" s="0" t="s">
        <v>392</v>
      </c>
      <c r="E49393" s="0" t="s">
        <v>392</v>
      </c>
      <c r="F49393" s="0" t="s">
        <v>392</v>
      </c>
    </row>
    <row r="49394" customFormat="false" ht="12.8" hidden="false" customHeight="false" outlineLevel="0" collapsed="false">
      <c r="B49394" s="0" t="s">
        <v>615</v>
      </c>
      <c r="C49394" s="0" t="s">
        <v>4407</v>
      </c>
      <c r="D49394" s="0" t="s">
        <v>3883</v>
      </c>
      <c r="E49394" s="0" t="s">
        <v>3883</v>
      </c>
      <c r="F49394" s="0" t="s">
        <v>3883</v>
      </c>
    </row>
    <row r="49396" customFormat="false" ht="12.8" hidden="false" customHeight="false" outlineLevel="0" collapsed="false">
      <c r="A49396" s="0" t="s">
        <v>17415</v>
      </c>
      <c r="B49396" s="0" t="str">
        <f aca="false">HYPERLINK("https://lindat.mff.cuni.cz/services/teitok/pdtc10/index.php?action=vallex&amp;frame=v-w7069f2", "uchýlit se (v-w7069f2)")</f>
        <v>uchýlit se (v-w7069f2)</v>
      </c>
    </row>
    <row r="49397" customFormat="false" ht="12.8" hidden="false" customHeight="false" outlineLevel="0" collapsed="false">
      <c r="B49397" s="0" t="s">
        <v>7</v>
      </c>
      <c r="C49397" s="0" t="s">
        <v>194</v>
      </c>
      <c r="D49397" s="0" t="s">
        <v>184</v>
      </c>
      <c r="E49397" s="0" t="s">
        <v>184</v>
      </c>
      <c r="F49397" s="0" t="s">
        <v>184</v>
      </c>
    </row>
    <row r="49398" customFormat="false" ht="12.8" hidden="false" customHeight="false" outlineLevel="0" collapsed="false">
      <c r="B49398" s="0" t="s">
        <v>237</v>
      </c>
      <c r="C49398" s="0" t="s">
        <v>115</v>
      </c>
      <c r="D49398" s="0" t="s">
        <v>115</v>
      </c>
      <c r="E49398" s="0" t="s">
        <v>115</v>
      </c>
      <c r="F49398" s="0" t="s">
        <v>115</v>
      </c>
    </row>
    <row r="49400" customFormat="false" ht="12.8" hidden="false" customHeight="false" outlineLevel="0" collapsed="false">
      <c r="A49400" s="0" t="s">
        <v>17416</v>
      </c>
      <c r="B49400" s="0" t="str">
        <f aca="false">HYPERLINK("https://lindat.mff.cuni.cz/services/teitok/pdtc10/index.php?action=vallex&amp;frame=v-w7069f1", "uchýlit se (v-w7069f1)")</f>
        <v>uchýlit se (v-w7069f1)</v>
      </c>
    </row>
    <row r="49401" customFormat="false" ht="12.8" hidden="false" customHeight="false" outlineLevel="0" collapsed="false">
      <c r="B49401" s="0" t="s">
        <v>7</v>
      </c>
      <c r="C49401" s="0" t="s">
        <v>4147</v>
      </c>
      <c r="D49401" s="0" t="s">
        <v>3190</v>
      </c>
      <c r="E49401" s="0" t="s">
        <v>3190</v>
      </c>
      <c r="F49401" s="0" t="s">
        <v>3190</v>
      </c>
    </row>
    <row r="49402" customFormat="false" ht="12.8" hidden="false" customHeight="false" outlineLevel="0" collapsed="false">
      <c r="B49402" s="0" t="s">
        <v>124</v>
      </c>
    </row>
    <row r="49404" customFormat="false" ht="12.8" hidden="false" customHeight="false" outlineLevel="0" collapsed="false">
      <c r="A49404" s="0" t="s">
        <v>17417</v>
      </c>
      <c r="B49404" s="0" t="str">
        <f aca="false">HYPERLINK("https://lindat.mff.cuni.cz/services/teitok/pdtc10/index.php?action=vallex&amp;frame=v-w6985f1", "ucpat (v-w6985f1)")</f>
        <v>ucpat (v-w6985f1)</v>
      </c>
    </row>
    <row r="49405" customFormat="false" ht="12.8" hidden="false" customHeight="false" outlineLevel="0" collapsed="false">
      <c r="B49405" s="0" t="s">
        <v>7</v>
      </c>
    </row>
    <row r="49406" customFormat="false" ht="12.8" hidden="false" customHeight="false" outlineLevel="0" collapsed="false">
      <c r="B49406" s="0" t="s">
        <v>14</v>
      </c>
    </row>
    <row r="49408" customFormat="false" ht="12.8" hidden="false" customHeight="false" outlineLevel="0" collapsed="false">
      <c r="A49408" s="0" t="s">
        <v>17418</v>
      </c>
      <c r="B49408" s="0" t="str">
        <f aca="false">HYPERLINK("https://lindat.mff.cuni.cz/services/teitok/pdtc10/index.php?action=vallex&amp;frame=v-w6986f1", "ucpat se (v-w6986f1)")</f>
        <v>ucpat se (v-w6986f1)</v>
      </c>
    </row>
    <row r="49409" customFormat="false" ht="12.8" hidden="false" customHeight="false" outlineLevel="0" collapsed="false">
      <c r="B49409" s="0" t="s">
        <v>7</v>
      </c>
    </row>
    <row r="49411" customFormat="false" ht="12.8" hidden="false" customHeight="false" outlineLevel="0" collapsed="false">
      <c r="A49411" s="0" t="s">
        <v>17419</v>
      </c>
      <c r="B49411" s="0" t="str">
        <f aca="false">HYPERLINK("https://lindat.mff.cuni.cz/services/teitok/pdtc10/index.php?action=vallex&amp;frame=v-w6989f1", "uctít (v-w6989f1)")</f>
        <v>uctít (v-w6989f1)</v>
      </c>
    </row>
    <row r="49412" customFormat="false" ht="12.8" hidden="false" customHeight="false" outlineLevel="0" collapsed="false">
      <c r="B49412" s="0" t="s">
        <v>7</v>
      </c>
    </row>
    <row r="49413" customFormat="false" ht="12.8" hidden="false" customHeight="false" outlineLevel="0" collapsed="false">
      <c r="B49413" s="0" t="s">
        <v>172</v>
      </c>
    </row>
    <row r="49415" customFormat="false" ht="12.8" hidden="false" customHeight="false" outlineLevel="0" collapsed="false">
      <c r="A49415" s="0" t="s">
        <v>17420</v>
      </c>
      <c r="B49415" s="0" t="str">
        <f aca="false">HYPERLINK("https://lindat.mff.cuni.cz/services/teitok/pdtc10/index.php?action=vallex&amp;frame=v-w6989f2", "uctít (v-w6989f2)")</f>
        <v>uctít (v-w6989f2)</v>
      </c>
    </row>
    <row r="49416" customFormat="false" ht="12.8" hidden="false" customHeight="false" outlineLevel="0" collapsed="false">
      <c r="B49416" s="0" t="s">
        <v>7</v>
      </c>
    </row>
    <row r="49417" customFormat="false" ht="12.8" hidden="false" customHeight="false" outlineLevel="0" collapsed="false">
      <c r="B49417" s="0" t="s">
        <v>14</v>
      </c>
    </row>
    <row r="49419" customFormat="false" ht="12.8" hidden="false" customHeight="false" outlineLevel="0" collapsed="false">
      <c r="A49419" s="0" t="s">
        <v>17421</v>
      </c>
      <c r="B49419" s="0" t="str">
        <f aca="false">HYPERLINK("https://lindat.mff.cuni.cz/services/teitok/pdtc10/index.php?action=vallex&amp;frame=v-w6990f1", "uctívat (v-w6990f1)")</f>
        <v>uctívat (v-w6990f1)</v>
      </c>
    </row>
    <row r="49420" customFormat="false" ht="12.8" hidden="false" customHeight="false" outlineLevel="0" collapsed="false">
      <c r="B49420" s="0" t="s">
        <v>7</v>
      </c>
      <c r="C49420" s="0" t="s">
        <v>46</v>
      </c>
    </row>
    <row r="49421" customFormat="false" ht="12.8" hidden="false" customHeight="false" outlineLevel="0" collapsed="false">
      <c r="B49421" s="0" t="s">
        <v>172</v>
      </c>
      <c r="C49421" s="0" t="s">
        <v>1315</v>
      </c>
    </row>
    <row r="49423" customFormat="false" ht="12.8" hidden="false" customHeight="false" outlineLevel="0" collapsed="false">
      <c r="A49423" s="0" t="s">
        <v>17422</v>
      </c>
      <c r="B49423" s="0" t="str">
        <f aca="false">HYPERLINK("https://lindat.mff.cuni.cz/services/teitok/pdtc10/index.php?action=vallex&amp;frame=v-w12194_ZUf1_ZU", "ucuknout (v-w12194_ZUf1_ZU)")</f>
        <v>ucuknout (v-w12194_ZUf1_ZU)</v>
      </c>
    </row>
    <row r="49424" customFormat="false" ht="12.8" hidden="false" customHeight="false" outlineLevel="0" collapsed="false">
      <c r="B49424" s="0" t="s">
        <v>7</v>
      </c>
    </row>
    <row r="49426" customFormat="false" ht="12.8" hidden="false" customHeight="false" outlineLevel="0" collapsed="false">
      <c r="A49426" s="0" t="s">
        <v>17423</v>
      </c>
      <c r="B49426" s="0" t="str">
        <f aca="false">HYPERLINK("https://lindat.mff.cuni.cz/services/teitok/pdtc10/index.php?action=vallex&amp;frame=v-w11733_ZUf1_ZU", "ucvaknout (v-w11733_ZUf1_ZU)")</f>
        <v>ucvaknout (v-w11733_ZUf1_ZU)</v>
      </c>
    </row>
    <row r="49427" customFormat="false" ht="12.8" hidden="false" customHeight="false" outlineLevel="0" collapsed="false">
      <c r="B49427" s="0" t="s">
        <v>7</v>
      </c>
    </row>
    <row r="49428" customFormat="false" ht="12.8" hidden="false" customHeight="false" outlineLevel="0" collapsed="false">
      <c r="B49428" s="0" t="s">
        <v>14</v>
      </c>
    </row>
    <row r="49430" customFormat="false" ht="12.8" hidden="false" customHeight="false" outlineLevel="0" collapsed="false">
      <c r="A49430" s="0" t="s">
        <v>17424</v>
      </c>
      <c r="B49430" s="0" t="str">
        <f aca="false">HYPERLINK("https://lindat.mff.cuni.cz/services/teitok/pdtc10/index.php?action=vallex&amp;frame=v-w11733_ZUf3_ZU", "ucvaknout (v-w11733_ZUf3_ZU)")</f>
        <v>ucvaknout (v-w11733_ZUf3_ZU)</v>
      </c>
    </row>
    <row r="49431" customFormat="false" ht="12.8" hidden="false" customHeight="false" outlineLevel="0" collapsed="false">
      <c r="B49431" s="0" t="s">
        <v>7</v>
      </c>
    </row>
    <row r="49432" customFormat="false" ht="12.8" hidden="false" customHeight="false" outlineLevel="0" collapsed="false">
      <c r="B49432" s="0" t="s">
        <v>14</v>
      </c>
    </row>
    <row r="49434" customFormat="false" ht="12.8" hidden="false" customHeight="false" outlineLevel="0" collapsed="false">
      <c r="A49434" s="0" t="s">
        <v>17424</v>
      </c>
      <c r="B49434" s="0" t="str">
        <f aca="false">HYPERLINK("https://lindat.mff.cuni.cz/services/teitok/pdtc10/index.php?action=vallex&amp;frame=v-w11733_ZUf2_ZU", "ucvaknout (v-w11733_ZUf2_ZU) - substituted with v-w11733_ZUf3_ZU")</f>
        <v>ucvaknout (v-w11733_ZUf2_ZU) - substituted with v-w11733_ZUf3_ZU</v>
      </c>
    </row>
    <row r="49435" customFormat="false" ht="12.8" hidden="false" customHeight="false" outlineLevel="0" collapsed="false">
      <c r="B49435" s="0" t="s">
        <v>7</v>
      </c>
    </row>
    <row r="49436" customFormat="false" ht="12.8" hidden="false" customHeight="false" outlineLevel="0" collapsed="false">
      <c r="B49436" s="0" t="s">
        <v>14</v>
      </c>
    </row>
    <row r="49438" customFormat="false" ht="12.8" hidden="false" customHeight="false" outlineLevel="0" collapsed="false">
      <c r="A49438" s="0" t="s">
        <v>17425</v>
      </c>
      <c r="B49438" s="0" t="str">
        <f aca="false">HYPERLINK("https://lindat.mff.cuni.cz/services/teitok/pdtc10/index.php?action=vallex&amp;frame=v-w6983f1", "ucítit (v-w6983f1)")</f>
        <v>ucítit (v-w6983f1)</v>
      </c>
    </row>
    <row r="49439" customFormat="false" ht="12.8" hidden="false" customHeight="false" outlineLevel="0" collapsed="false">
      <c r="B49439" s="0" t="s">
        <v>7</v>
      </c>
      <c r="D49439" s="0" t="s">
        <v>4116</v>
      </c>
      <c r="E49439" s="0" t="s">
        <v>4116</v>
      </c>
      <c r="F49439" s="0" t="s">
        <v>4116</v>
      </c>
    </row>
    <row r="49440" customFormat="false" ht="12.8" hidden="false" customHeight="false" outlineLevel="0" collapsed="false">
      <c r="B49440" s="0" t="s">
        <v>172</v>
      </c>
      <c r="D49440" s="0" t="s">
        <v>1277</v>
      </c>
      <c r="E49440" s="0" t="s">
        <v>1277</v>
      </c>
      <c r="F49440" s="0" t="s">
        <v>1277</v>
      </c>
    </row>
    <row r="49442" customFormat="false" ht="12.8" hidden="false" customHeight="false" outlineLevel="0" collapsed="false">
      <c r="A49442" s="0" t="s">
        <v>17426</v>
      </c>
      <c r="B49442" s="0" t="str">
        <f aca="false">HYPERLINK("https://lindat.mff.cuni.cz/services/teitok/pdtc10/index.php?action=vallex&amp;frame=v-w6983f3", "ucítit (v-w6983f3)")</f>
        <v>ucítit (v-w6983f3)</v>
      </c>
    </row>
    <row r="49443" customFormat="false" ht="12.8" hidden="false" customHeight="false" outlineLevel="0" collapsed="false">
      <c r="B49443" s="0" t="s">
        <v>7</v>
      </c>
      <c r="C49443" s="0" t="s">
        <v>335</v>
      </c>
      <c r="D49443" s="0" t="s">
        <v>335</v>
      </c>
      <c r="E49443" s="0" t="s">
        <v>335</v>
      </c>
      <c r="F49443" s="0" t="s">
        <v>335</v>
      </c>
    </row>
    <row r="49444" customFormat="false" ht="12.8" hidden="false" customHeight="false" outlineLevel="0" collapsed="false">
      <c r="B49444" s="0" t="s">
        <v>54</v>
      </c>
      <c r="C49444" s="0" t="s">
        <v>567</v>
      </c>
      <c r="D49444" s="0" t="s">
        <v>567</v>
      </c>
      <c r="E49444" s="0" t="s">
        <v>567</v>
      </c>
      <c r="F49444" s="0" t="s">
        <v>567</v>
      </c>
    </row>
    <row r="49446" customFormat="false" ht="12.8" hidden="false" customHeight="false" outlineLevel="0" collapsed="false">
      <c r="A49446" s="0" t="s">
        <v>17427</v>
      </c>
      <c r="B49446" s="0" t="str">
        <f aca="false">HYPERLINK("https://lindat.mff.cuni.cz/services/teitok/pdtc10/index.php?action=vallex&amp;frame=v-w6983f2", "ucítit (v-w6983f2)")</f>
        <v>ucítit (v-w6983f2)</v>
      </c>
    </row>
    <row r="49447" customFormat="false" ht="12.8" hidden="false" customHeight="false" outlineLevel="0" collapsed="false">
      <c r="B49447" s="0" t="s">
        <v>7</v>
      </c>
    </row>
    <row r="49448" customFormat="false" ht="12.8" hidden="false" customHeight="false" outlineLevel="0" collapsed="false">
      <c r="B49448" s="0" t="s">
        <v>17428</v>
      </c>
    </row>
    <row r="49450" customFormat="false" ht="12.8" hidden="false" customHeight="false" outlineLevel="0" collapsed="false">
      <c r="A49450" s="0" t="s">
        <v>17429</v>
      </c>
      <c r="B49450" s="0" t="str">
        <f aca="false">HYPERLINK("https://lindat.mff.cuni.cz/services/teitok/pdtc10/index.php?action=vallex&amp;frame=v-w7013f2_ZU", "udat (v-w7013f2_ZU)")</f>
        <v>udat (v-w7013f2_ZU)</v>
      </c>
    </row>
    <row r="49451" customFormat="false" ht="12.8" hidden="false" customHeight="false" outlineLevel="0" collapsed="false">
      <c r="B49451" s="0" t="s">
        <v>7</v>
      </c>
      <c r="C49451" s="0" t="s">
        <v>4136</v>
      </c>
    </row>
    <row r="49452" customFormat="false" ht="12.8" hidden="false" customHeight="false" outlineLevel="0" collapsed="false">
      <c r="B49452" s="0" t="s">
        <v>14</v>
      </c>
      <c r="C49452" s="0" t="s">
        <v>469</v>
      </c>
    </row>
    <row r="49453" customFormat="false" ht="12.8" hidden="false" customHeight="false" outlineLevel="0" collapsed="false">
      <c r="B49453" s="0" t="s">
        <v>48</v>
      </c>
    </row>
    <row r="49455" customFormat="false" ht="12.8" hidden="false" customHeight="false" outlineLevel="0" collapsed="false">
      <c r="A49455" s="0" t="s">
        <v>17430</v>
      </c>
      <c r="B49455" s="0" t="str">
        <f aca="false">HYPERLINK("https://lindat.mff.cuni.cz/services/teitok/pdtc10/index.php?action=vallex&amp;frame=v-w7013f1", "udat (v-w7013f1)")</f>
        <v>udat (v-w7013f1)</v>
      </c>
    </row>
    <row r="49456" customFormat="false" ht="12.8" hidden="false" customHeight="false" outlineLevel="0" collapsed="false">
      <c r="B49456" s="0" t="s">
        <v>7</v>
      </c>
      <c r="C49456" s="0" t="s">
        <v>17431</v>
      </c>
      <c r="D49456" s="0" t="s">
        <v>164</v>
      </c>
      <c r="E49456" s="0" t="s">
        <v>164</v>
      </c>
      <c r="F49456" s="0" t="s">
        <v>164</v>
      </c>
    </row>
    <row r="49457" customFormat="false" ht="12.8" hidden="false" customHeight="false" outlineLevel="0" collapsed="false">
      <c r="B49457" s="0" t="s">
        <v>2573</v>
      </c>
      <c r="C49457" s="0" t="s">
        <v>17432</v>
      </c>
      <c r="D49457" s="0" t="s">
        <v>167</v>
      </c>
      <c r="E49457" s="0" t="s">
        <v>167</v>
      </c>
      <c r="F49457" s="0" t="s">
        <v>167</v>
      </c>
    </row>
    <row r="49458" customFormat="false" ht="12.8" hidden="false" customHeight="false" outlineLevel="0" collapsed="false">
      <c r="B49458" s="0" t="s">
        <v>106</v>
      </c>
      <c r="C49458" s="0" t="s">
        <v>3829</v>
      </c>
      <c r="D49458" s="0" t="s">
        <v>168</v>
      </c>
      <c r="E49458" s="0" t="s">
        <v>168</v>
      </c>
      <c r="F49458" s="0" t="s">
        <v>168</v>
      </c>
    </row>
    <row r="49460" customFormat="false" ht="12.8" hidden="false" customHeight="false" outlineLevel="0" collapsed="false">
      <c r="A49460" s="0" t="s">
        <v>17433</v>
      </c>
      <c r="B49460" s="0" t="str">
        <f aca="false">HYPERLINK("https://lindat.mff.cuni.cz/services/teitok/pdtc10/index.php?action=vallex&amp;frame=v-w7013f4_ZU", "udat (v-w7013f4_ZU)")</f>
        <v>udat (v-w7013f4_ZU)</v>
      </c>
    </row>
    <row r="49461" customFormat="false" ht="12.8" hidden="false" customHeight="false" outlineLevel="0" collapsed="false">
      <c r="B49461" s="0" t="s">
        <v>7</v>
      </c>
    </row>
    <row r="49462" customFormat="false" ht="12.8" hidden="false" customHeight="false" outlineLevel="0" collapsed="false">
      <c r="B49462" s="0" t="s">
        <v>14</v>
      </c>
    </row>
    <row r="49463" customFormat="false" ht="12.8" hidden="false" customHeight="false" outlineLevel="0" collapsed="false">
      <c r="B49463" s="0" t="s">
        <v>48</v>
      </c>
    </row>
    <row r="49465" customFormat="false" ht="12.8" hidden="false" customHeight="false" outlineLevel="0" collapsed="false">
      <c r="A49465" s="0" t="s">
        <v>17433</v>
      </c>
      <c r="B49465" s="0" t="str">
        <f aca="false">HYPERLINK("https://lindat.mff.cuni.cz/services/teitok/pdtc10/index.php?action=vallex&amp;frame=v-w7013hsa_641", "udat (v-w7013hsa_641) - substituted with v-w7013f4_ZU")</f>
        <v>udat (v-w7013hsa_641) - substituted with v-w7013f4_ZU</v>
      </c>
    </row>
    <row r="49466" customFormat="false" ht="12.8" hidden="false" customHeight="false" outlineLevel="0" collapsed="false">
      <c r="B49466" s="0" t="s">
        <v>7</v>
      </c>
      <c r="C49466" s="0" t="s">
        <v>191</v>
      </c>
    </row>
    <row r="49467" customFormat="false" ht="12.8" hidden="false" customHeight="false" outlineLevel="0" collapsed="false">
      <c r="B49467" s="0" t="s">
        <v>14</v>
      </c>
      <c r="C49467" s="0" t="s">
        <v>155</v>
      </c>
    </row>
    <row r="49468" customFormat="false" ht="12.8" hidden="false" customHeight="false" outlineLevel="0" collapsed="false">
      <c r="B49468" s="0" t="s">
        <v>48</v>
      </c>
    </row>
    <row r="49470" customFormat="false" ht="12.8" hidden="false" customHeight="false" outlineLevel="0" collapsed="false">
      <c r="A49470" s="0" t="s">
        <v>17434</v>
      </c>
      <c r="B49470" s="0" t="str">
        <f aca="false">HYPERLINK("https://lindat.mff.cuni.cz/services/teitok/pdtc10/index.php?action=vallex&amp;frame=v-w7013hsa_642", "udat (v-w7013hsa_642)")</f>
        <v>udat (v-w7013hsa_642)</v>
      </c>
    </row>
    <row r="49471" customFormat="false" ht="12.8" hidden="false" customHeight="false" outlineLevel="0" collapsed="false">
      <c r="B49471" s="0" t="s">
        <v>7</v>
      </c>
      <c r="C49471" s="0" t="s">
        <v>184</v>
      </c>
    </row>
    <row r="49472" customFormat="false" ht="12.8" hidden="false" customHeight="false" outlineLevel="0" collapsed="false">
      <c r="B49472" s="0" t="s">
        <v>14</v>
      </c>
    </row>
    <row r="49473" customFormat="false" ht="12.8" hidden="false" customHeight="false" outlineLevel="0" collapsed="false">
      <c r="B49473" s="0" t="s">
        <v>11</v>
      </c>
      <c r="C49473" s="0" t="s">
        <v>5217</v>
      </c>
    </row>
    <row r="49475" customFormat="false" ht="12.8" hidden="false" customHeight="false" outlineLevel="0" collapsed="false">
      <c r="A49475" s="0" t="s">
        <v>17435</v>
      </c>
      <c r="B49475" s="0" t="str">
        <f aca="false">HYPERLINK("https://lindat.mff.cuni.cz/services/teitok/pdtc10/index.php?action=vallex&amp;frame=v-w7013f3_ZU", "udat (v-w7013f3_ZU)")</f>
        <v>udat (v-w7013f3_ZU)</v>
      </c>
    </row>
    <row r="49476" customFormat="false" ht="12.8" hidden="false" customHeight="false" outlineLevel="0" collapsed="false">
      <c r="B49476" s="0" t="s">
        <v>7</v>
      </c>
    </row>
    <row r="49477" customFormat="false" ht="12.8" hidden="false" customHeight="false" outlineLevel="0" collapsed="false">
      <c r="B49477" s="0" t="s">
        <v>17436</v>
      </c>
    </row>
    <row r="49478" customFormat="false" ht="12.8" hidden="false" customHeight="false" outlineLevel="0" collapsed="false">
      <c r="B49478" s="0" t="s">
        <v>119</v>
      </c>
    </row>
    <row r="49480" customFormat="false" ht="12.8" hidden="false" customHeight="false" outlineLevel="0" collapsed="false">
      <c r="A49480" s="0" t="s">
        <v>17435</v>
      </c>
      <c r="B49480" s="0" t="str">
        <f aca="false">HYPERLINK("https://lindat.mff.cuni.cz/services/teitok/pdtc10/index.php?action=vallex&amp;frame=v-w7013hsa_643", "udat (v-w7013hsa_643) - substituted with v-w7013f3_ZU")</f>
        <v>udat (v-w7013hsa_643) - substituted with v-w7013f3_ZU</v>
      </c>
    </row>
    <row r="49481" customFormat="false" ht="12.8" hidden="false" customHeight="false" outlineLevel="0" collapsed="false">
      <c r="B49481" s="0" t="s">
        <v>7</v>
      </c>
    </row>
    <row r="49482" customFormat="false" ht="12.8" hidden="false" customHeight="false" outlineLevel="0" collapsed="false">
      <c r="B49482" s="0" t="s">
        <v>17436</v>
      </c>
    </row>
    <row r="49483" customFormat="false" ht="12.8" hidden="false" customHeight="false" outlineLevel="0" collapsed="false">
      <c r="B49483" s="0" t="s">
        <v>119</v>
      </c>
    </row>
    <row r="49485" customFormat="false" ht="12.8" hidden="false" customHeight="false" outlineLevel="0" collapsed="false">
      <c r="A49485" s="0" t="s">
        <v>17437</v>
      </c>
      <c r="B49485" s="0" t="str">
        <f aca="false">HYPERLINK("https://lindat.mff.cuni.cz/services/teitok/pdtc10/index.php?action=vallex&amp;frame=v-w7026f1", "udeřit (v-w7026f1)")</f>
        <v>udeřit (v-w7026f1)</v>
      </c>
    </row>
    <row r="49486" customFormat="false" ht="12.8" hidden="false" customHeight="false" outlineLevel="0" collapsed="false">
      <c r="B49486" s="0" t="s">
        <v>7</v>
      </c>
      <c r="C49486" s="0" t="s">
        <v>15607</v>
      </c>
      <c r="D49486" s="0" t="s">
        <v>150</v>
      </c>
      <c r="E49486" s="0" t="s">
        <v>17438</v>
      </c>
      <c r="F49486" s="0" t="s">
        <v>17438</v>
      </c>
    </row>
    <row r="49487" customFormat="false" ht="12.8" hidden="false" customHeight="false" outlineLevel="0" collapsed="false">
      <c r="B49487" s="0" t="s">
        <v>14</v>
      </c>
      <c r="C49487" s="0" t="s">
        <v>74</v>
      </c>
      <c r="D49487" s="0" t="s">
        <v>152</v>
      </c>
      <c r="E49487" s="0" t="s">
        <v>1210</v>
      </c>
      <c r="F49487" s="0" t="s">
        <v>1210</v>
      </c>
    </row>
    <row r="49489" customFormat="false" ht="12.8" hidden="false" customHeight="false" outlineLevel="0" collapsed="false">
      <c r="A49489" s="0" t="s">
        <v>17439</v>
      </c>
      <c r="B49489" s="0" t="str">
        <f aca="false">HYPERLINK("https://lindat.mff.cuni.cz/services/teitok/pdtc10/index.php?action=vallex&amp;frame=v-w7026f3", "udeřit (v-w7026f3)")</f>
        <v>udeřit (v-w7026f3)</v>
      </c>
    </row>
    <row r="49490" customFormat="false" ht="12.8" hidden="false" customHeight="false" outlineLevel="0" collapsed="false">
      <c r="B49490" s="0" t="s">
        <v>7</v>
      </c>
    </row>
    <row r="49491" customFormat="false" ht="12.8" hidden="false" customHeight="false" outlineLevel="0" collapsed="false">
      <c r="B49491" s="0" t="s">
        <v>14434</v>
      </c>
    </row>
    <row r="49493" customFormat="false" ht="12.8" hidden="false" customHeight="false" outlineLevel="0" collapsed="false">
      <c r="A49493" s="0" t="s">
        <v>17440</v>
      </c>
      <c r="B49493" s="0" t="str">
        <f aca="false">HYPERLINK("https://lindat.mff.cuni.cz/services/teitok/pdtc10/index.php?action=vallex&amp;frame=v-w7026f2", "udeřit (v-w7026f2)")</f>
        <v>udeřit (v-w7026f2)</v>
      </c>
    </row>
    <row r="49494" customFormat="false" ht="12.8" hidden="false" customHeight="false" outlineLevel="0" collapsed="false">
      <c r="B49494" s="0" t="s">
        <v>7</v>
      </c>
    </row>
    <row r="49495" customFormat="false" ht="12.8" hidden="false" customHeight="false" outlineLevel="0" collapsed="false">
      <c r="B49495" s="0" t="s">
        <v>124</v>
      </c>
    </row>
    <row r="49497" customFormat="false" ht="12.8" hidden="false" customHeight="false" outlineLevel="0" collapsed="false">
      <c r="A49497" s="0" t="s">
        <v>17441</v>
      </c>
      <c r="B49497" s="0" t="str">
        <f aca="false">HYPERLINK("https://lindat.mff.cuni.cz/services/teitok/pdtc10/index.php?action=vallex&amp;frame=v-w7026f7_ZU", "udeřit (v-w7026f7_ZU)")</f>
        <v>udeřit (v-w7026f7_ZU)</v>
      </c>
    </row>
    <row r="49498" customFormat="false" ht="12.8" hidden="false" customHeight="false" outlineLevel="0" collapsed="false">
      <c r="B49498" s="0" t="s">
        <v>7</v>
      </c>
      <c r="C49498" s="0" t="s">
        <v>17442</v>
      </c>
    </row>
    <row r="49500" customFormat="false" ht="12.8" hidden="false" customHeight="false" outlineLevel="0" collapsed="false">
      <c r="A49500" s="0" t="s">
        <v>17441</v>
      </c>
      <c r="B49500" s="0" t="str">
        <f aca="false">HYPERLINK("https://lindat.mff.cuni.cz/services/teitok/pdtc10/index.php?action=vallex&amp;frame=v-w7026f5_ZU", "udeřit (v-w7026f5_ZU) - substituted with v-w7026f7_ZU")</f>
        <v>udeřit (v-w7026f5_ZU) - substituted with v-w7026f7_ZU</v>
      </c>
    </row>
    <row r="49501" customFormat="false" ht="12.8" hidden="false" customHeight="false" outlineLevel="0" collapsed="false">
      <c r="B49501" s="0" t="s">
        <v>7</v>
      </c>
      <c r="C49501" s="0" t="s">
        <v>17443</v>
      </c>
    </row>
    <row r="49503" customFormat="false" ht="12.8" hidden="false" customHeight="false" outlineLevel="0" collapsed="false">
      <c r="A49503" s="0" t="s">
        <v>17441</v>
      </c>
      <c r="B49503" s="0" t="str">
        <f aca="false">HYPERLINK("https://lindat.mff.cuni.cz/services/teitok/pdtc10/index.php?action=vallex&amp;frame=v-w7026f6_ZU", "udeřit (v-w7026f6_ZU) - substituted with v-w7026f7_ZU")</f>
        <v>udeřit (v-w7026f6_ZU) - substituted with v-w7026f7_ZU</v>
      </c>
    </row>
    <row r="49504" customFormat="false" ht="12.8" hidden="false" customHeight="false" outlineLevel="0" collapsed="false">
      <c r="B49504" s="0" t="s">
        <v>7</v>
      </c>
      <c r="C49504" s="0" t="s">
        <v>17444</v>
      </c>
    </row>
    <row r="49506" customFormat="false" ht="12.8" hidden="false" customHeight="false" outlineLevel="0" collapsed="false">
      <c r="A49506" s="0" t="s">
        <v>17445</v>
      </c>
      <c r="B49506" s="0" t="str">
        <f aca="false">HYPERLINK("https://lindat.mff.cuni.cz/services/teitok/pdtc10/index.php?action=vallex&amp;frame=v-w7026f4_ZU", "udeřit (v-w7026f4_ZU)")</f>
        <v>udeřit (v-w7026f4_ZU)</v>
      </c>
    </row>
    <row r="49507" customFormat="false" ht="12.8" hidden="false" customHeight="false" outlineLevel="0" collapsed="false">
      <c r="B49507" s="0" t="s">
        <v>7</v>
      </c>
      <c r="C49507" s="0" t="s">
        <v>17446</v>
      </c>
    </row>
    <row r="49509" customFormat="false" ht="12.8" hidden="false" customHeight="false" outlineLevel="0" collapsed="false">
      <c r="A49509" s="0" t="s">
        <v>17447</v>
      </c>
      <c r="B49509" s="0" t="str">
        <f aca="false">HYPERLINK("https://lindat.mff.cuni.cz/services/teitok/pdtc10/index.php?action=vallex&amp;frame=v-w7027f1", "udeřit se (v-w7027f1)")</f>
        <v>udeřit se (v-w7027f1)</v>
      </c>
    </row>
    <row r="49510" customFormat="false" ht="12.8" hidden="false" customHeight="false" outlineLevel="0" collapsed="false">
      <c r="B49510" s="0" t="s">
        <v>7</v>
      </c>
      <c r="F49510" s="0" t="s">
        <v>17448</v>
      </c>
    </row>
    <row r="49512" customFormat="false" ht="12.8" hidden="false" customHeight="false" outlineLevel="0" collapsed="false">
      <c r="A49512" s="0" t="s">
        <v>17449</v>
      </c>
      <c r="B49512" s="0" t="str">
        <f aca="false">HYPERLINK("https://lindat.mff.cuni.cz/services/teitok/pdtc10/index.php?action=vallex&amp;frame=v-w11021f2", "udit (v-w11021f2)")</f>
        <v>udit (v-w11021f2)</v>
      </c>
    </row>
    <row r="49513" customFormat="false" ht="12.8" hidden="false" customHeight="false" outlineLevel="0" collapsed="false">
      <c r="B49513" s="0" t="s">
        <v>7</v>
      </c>
    </row>
    <row r="49514" customFormat="false" ht="12.8" hidden="false" customHeight="false" outlineLevel="0" collapsed="false">
      <c r="B49514" s="0" t="s">
        <v>14</v>
      </c>
      <c r="C49514" s="0" t="s">
        <v>155</v>
      </c>
    </row>
    <row r="49516" customFormat="false" ht="12.8" hidden="false" customHeight="false" outlineLevel="0" collapsed="false">
      <c r="A49516" s="0" t="s">
        <v>17450</v>
      </c>
      <c r="B49516" s="0" t="str">
        <f aca="false">HYPERLINK("https://lindat.mff.cuni.cz/services/teitok/pdtc10/index.php?action=vallex&amp;frame=v-w7030f1", "udivit (v-w7030f1)")</f>
        <v>udivit (v-w7030f1)</v>
      </c>
    </row>
    <row r="49517" customFormat="false" ht="12.8" hidden="false" customHeight="false" outlineLevel="0" collapsed="false">
      <c r="B49517" s="0" t="s">
        <v>765</v>
      </c>
      <c r="D49517" s="0" t="s">
        <v>4795</v>
      </c>
      <c r="E49517" s="0" t="s">
        <v>4795</v>
      </c>
      <c r="F49517" s="0" t="s">
        <v>4795</v>
      </c>
    </row>
    <row r="49518" customFormat="false" ht="12.8" hidden="false" customHeight="false" outlineLevel="0" collapsed="false">
      <c r="B49518" s="0" t="s">
        <v>14</v>
      </c>
      <c r="D49518" s="0" t="s">
        <v>4796</v>
      </c>
      <c r="E49518" s="0" t="s">
        <v>4796</v>
      </c>
      <c r="F49518" s="0" t="s">
        <v>4796</v>
      </c>
    </row>
    <row r="49520" customFormat="false" ht="12.8" hidden="false" customHeight="false" outlineLevel="0" collapsed="false">
      <c r="A49520" s="0" t="s">
        <v>17451</v>
      </c>
      <c r="B49520" s="0" t="str">
        <f aca="false">HYPERLINK("https://lindat.mff.cuni.cz/services/teitok/pdtc10/index.php?action=vallex&amp;frame=v-w7031f1", "udivovat (v-w7031f1)")</f>
        <v>udivovat (v-w7031f1)</v>
      </c>
    </row>
    <row r="49521" customFormat="false" ht="12.8" hidden="false" customHeight="false" outlineLevel="0" collapsed="false">
      <c r="B49521" s="0" t="s">
        <v>765</v>
      </c>
    </row>
    <row r="49522" customFormat="false" ht="12.8" hidden="false" customHeight="false" outlineLevel="0" collapsed="false">
      <c r="B49522" s="0" t="s">
        <v>14</v>
      </c>
    </row>
    <row r="49524" customFormat="false" ht="12.8" hidden="false" customHeight="false" outlineLevel="0" collapsed="false">
      <c r="A49524" s="0" t="s">
        <v>17452</v>
      </c>
      <c r="B49524" s="0" t="str">
        <f aca="false">HYPERLINK("https://lindat.mff.cuni.cz/services/teitok/pdtc10/index.php?action=vallex&amp;frame=v-w12207_ZUf1_ZU", "udobřit se (v-w12207_ZUf1_ZU)")</f>
        <v>udobřit se (v-w12207_ZUf1_ZU)</v>
      </c>
    </row>
    <row r="49525" customFormat="false" ht="12.8" hidden="false" customHeight="false" outlineLevel="0" collapsed="false">
      <c r="B49525" s="0" t="s">
        <v>7</v>
      </c>
    </row>
    <row r="49526" customFormat="false" ht="12.8" hidden="false" customHeight="false" outlineLevel="0" collapsed="false">
      <c r="B49526" s="0" t="s">
        <v>548</v>
      </c>
    </row>
    <row r="49528" customFormat="false" ht="12.8" hidden="false" customHeight="false" outlineLevel="0" collapsed="false">
      <c r="A49528" s="0" t="s">
        <v>17453</v>
      </c>
      <c r="B49528" s="0" t="str">
        <f aca="false">HYPERLINK("https://lindat.mff.cuni.cz/services/teitok/pdtc10/index.php?action=vallex&amp;frame=v-whsa_661hsa_662", "udolat (v-whsa_661hsa_662)")</f>
        <v>udolat (v-whsa_661hsa_662)</v>
      </c>
    </row>
    <row r="49529" customFormat="false" ht="12.8" hidden="false" customHeight="false" outlineLevel="0" collapsed="false">
      <c r="B49529" s="0" t="s">
        <v>7</v>
      </c>
      <c r="D49529" s="0" t="s">
        <v>17454</v>
      </c>
      <c r="E49529" s="0" t="s">
        <v>17455</v>
      </c>
      <c r="F49529" s="0" t="s">
        <v>17455</v>
      </c>
    </row>
    <row r="49530" customFormat="false" ht="12.8" hidden="false" customHeight="false" outlineLevel="0" collapsed="false">
      <c r="B49530" s="0" t="s">
        <v>14</v>
      </c>
      <c r="C49530" s="0" t="s">
        <v>155</v>
      </c>
      <c r="D49530" s="0" t="s">
        <v>17456</v>
      </c>
      <c r="E49530" s="0" t="s">
        <v>17457</v>
      </c>
      <c r="F49530" s="0" t="s">
        <v>17457</v>
      </c>
    </row>
    <row r="49532" customFormat="false" ht="12.8" hidden="false" customHeight="false" outlineLevel="0" collapsed="false">
      <c r="A49532" s="0" t="s">
        <v>17458</v>
      </c>
      <c r="B49532" s="0" t="str">
        <f aca="false">HYPERLINK("https://lindat.mff.cuni.cz/services/teitok/pdtc10/index.php?action=vallex&amp;frame=v-w7034f9_ZU", "udržet (v-w7034f9_ZU)")</f>
        <v>udržet (v-w7034f9_ZU)</v>
      </c>
    </row>
    <row r="49533" customFormat="false" ht="12.8" hidden="false" customHeight="false" outlineLevel="0" collapsed="false">
      <c r="B49533" s="0" t="s">
        <v>7</v>
      </c>
      <c r="D49533" s="0" t="s">
        <v>2797</v>
      </c>
      <c r="E49533" s="0" t="s">
        <v>2797</v>
      </c>
      <c r="F49533" s="0" t="s">
        <v>2797</v>
      </c>
    </row>
    <row r="49534" customFormat="false" ht="12.8" hidden="false" customHeight="false" outlineLevel="0" collapsed="false">
      <c r="B49534" s="0" t="s">
        <v>14</v>
      </c>
      <c r="D49534" s="0" t="s">
        <v>2798</v>
      </c>
      <c r="E49534" s="0" t="s">
        <v>2798</v>
      </c>
      <c r="F49534" s="0" t="s">
        <v>2798</v>
      </c>
    </row>
    <row r="49535" customFormat="false" ht="12.8" hidden="false" customHeight="false" outlineLevel="0" collapsed="false">
      <c r="B49535" s="0" t="s">
        <v>6162</v>
      </c>
      <c r="D49535" s="0" t="s">
        <v>2800</v>
      </c>
      <c r="E49535" s="0" t="s">
        <v>2800</v>
      </c>
      <c r="F49535" s="0" t="s">
        <v>2800</v>
      </c>
    </row>
    <row r="49537" customFormat="false" ht="12.8" hidden="false" customHeight="false" outlineLevel="0" collapsed="false">
      <c r="A49537" s="0" t="s">
        <v>17458</v>
      </c>
      <c r="B49537" s="0" t="str">
        <f aca="false">HYPERLINK("https://lindat.mff.cuni.cz/services/teitok/pdtc10/index.php?action=vallex&amp;frame=v-w7034f5", "udržet (v-w7034f5) - substituted with v-w7034f9_ZU")</f>
        <v>udržet (v-w7034f5) - substituted with v-w7034f9_ZU</v>
      </c>
    </row>
    <row r="49538" customFormat="false" ht="12.8" hidden="false" customHeight="false" outlineLevel="0" collapsed="false">
      <c r="B49538" s="0" t="s">
        <v>7</v>
      </c>
      <c r="C49538" s="0" t="s">
        <v>2797</v>
      </c>
    </row>
    <row r="49539" customFormat="false" ht="12.8" hidden="false" customHeight="false" outlineLevel="0" collapsed="false">
      <c r="B49539" s="0" t="s">
        <v>14</v>
      </c>
      <c r="C49539" s="0" t="s">
        <v>2798</v>
      </c>
    </row>
    <row r="49540" customFormat="false" ht="12.8" hidden="false" customHeight="false" outlineLevel="0" collapsed="false">
      <c r="B49540" s="0" t="s">
        <v>6162</v>
      </c>
      <c r="C49540" s="0" t="s">
        <v>2800</v>
      </c>
    </row>
    <row r="49542" customFormat="false" ht="12.8" hidden="false" customHeight="false" outlineLevel="0" collapsed="false">
      <c r="A49542" s="0" t="s">
        <v>17459</v>
      </c>
      <c r="B49542" s="0" t="str">
        <f aca="false">HYPERLINK("https://lindat.mff.cuni.cz/services/teitok/pdtc10/index.php?action=vallex&amp;frame=v-w7034f3", "udržet (v-w7034f3)")</f>
        <v>udržet (v-w7034f3)</v>
      </c>
    </row>
    <row r="49543" customFormat="false" ht="12.8" hidden="false" customHeight="false" outlineLevel="0" collapsed="false">
      <c r="B49543" s="0" t="s">
        <v>7</v>
      </c>
      <c r="C49543" s="0" t="s">
        <v>17460</v>
      </c>
    </row>
    <row r="49544" customFormat="false" ht="12.8" hidden="false" customHeight="false" outlineLevel="0" collapsed="false">
      <c r="B49544" s="0" t="s">
        <v>14</v>
      </c>
      <c r="C49544" s="0" t="s">
        <v>17461</v>
      </c>
    </row>
    <row r="49545" customFormat="false" ht="12.8" hidden="false" customHeight="false" outlineLevel="0" collapsed="false">
      <c r="B49545" s="0" t="s">
        <v>11</v>
      </c>
      <c r="C49545" s="0" t="s">
        <v>17462</v>
      </c>
    </row>
    <row r="49547" customFormat="false" ht="12.8" hidden="false" customHeight="false" outlineLevel="0" collapsed="false">
      <c r="A49547" s="0" t="s">
        <v>17463</v>
      </c>
      <c r="B49547" s="0" t="str">
        <f aca="false">HYPERLINK("https://lindat.mff.cuni.cz/services/teitok/pdtc10/index.php?action=vallex&amp;frame=v-w7034f1", "udržet (v-w7034f1)")</f>
        <v>udržet (v-w7034f1)</v>
      </c>
    </row>
    <row r="49548" customFormat="false" ht="12.8" hidden="false" customHeight="false" outlineLevel="0" collapsed="false">
      <c r="B49548" s="0" t="s">
        <v>7</v>
      </c>
      <c r="C49548" s="0" t="s">
        <v>17464</v>
      </c>
      <c r="D49548" s="0" t="s">
        <v>10066</v>
      </c>
      <c r="E49548" s="0" t="s">
        <v>10066</v>
      </c>
      <c r="F49548" s="0" t="s">
        <v>10066</v>
      </c>
    </row>
    <row r="49549" customFormat="false" ht="12.8" hidden="false" customHeight="false" outlineLevel="0" collapsed="false">
      <c r="B49549" s="0" t="s">
        <v>14</v>
      </c>
      <c r="C49549" s="0" t="s">
        <v>17465</v>
      </c>
      <c r="D49549" s="0" t="s">
        <v>10068</v>
      </c>
      <c r="E49549" s="0" t="s">
        <v>10068</v>
      </c>
      <c r="F49549" s="0" t="s">
        <v>10068</v>
      </c>
    </row>
    <row r="49551" customFormat="false" ht="12.8" hidden="false" customHeight="false" outlineLevel="0" collapsed="false">
      <c r="A49551" s="0" t="s">
        <v>17466</v>
      </c>
      <c r="B49551" s="0" t="str">
        <f aca="false">HYPERLINK("https://lindat.mff.cuni.cz/services/teitok/pdtc10/index.php?action=vallex&amp;frame=v-w7034f2", "udržet (v-w7034f2)")</f>
        <v>udržet (v-w7034f2)</v>
      </c>
    </row>
    <row r="49552" customFormat="false" ht="12.8" hidden="false" customHeight="false" outlineLevel="0" collapsed="false">
      <c r="B49552" s="0" t="s">
        <v>7</v>
      </c>
      <c r="D49552" s="0" t="s">
        <v>1307</v>
      </c>
      <c r="E49552" s="0" t="s">
        <v>1307</v>
      </c>
      <c r="F49552" s="0" t="s">
        <v>1307</v>
      </c>
    </row>
    <row r="49553" customFormat="false" ht="12.8" hidden="false" customHeight="false" outlineLevel="0" collapsed="false">
      <c r="B49553" s="0" t="s">
        <v>14</v>
      </c>
      <c r="D49553" s="0" t="s">
        <v>1308</v>
      </c>
      <c r="E49553" s="0" t="s">
        <v>1308</v>
      </c>
      <c r="F49553" s="0" t="s">
        <v>1308</v>
      </c>
    </row>
    <row r="49555" customFormat="false" ht="12.8" hidden="false" customHeight="false" outlineLevel="0" collapsed="false">
      <c r="A49555" s="0" t="s">
        <v>17467</v>
      </c>
      <c r="B49555" s="0" t="str">
        <f aca="false">HYPERLINK("https://lindat.mff.cuni.cz/services/teitok/pdtc10/index.php?action=vallex&amp;frame=v-w7034f4", "udržet (v-w7034f4)")</f>
        <v>udržet (v-w7034f4)</v>
      </c>
    </row>
    <row r="49556" customFormat="false" ht="12.8" hidden="false" customHeight="false" outlineLevel="0" collapsed="false">
      <c r="B49556" s="0" t="s">
        <v>7</v>
      </c>
      <c r="C49556" s="0" t="s">
        <v>5768</v>
      </c>
      <c r="D49556" s="0" t="s">
        <v>2797</v>
      </c>
      <c r="E49556" s="0" t="s">
        <v>2797</v>
      </c>
      <c r="F49556" s="0" t="s">
        <v>2797</v>
      </c>
    </row>
    <row r="49557" customFormat="false" ht="12.8" hidden="false" customHeight="false" outlineLevel="0" collapsed="false">
      <c r="B49557" s="0" t="s">
        <v>14</v>
      </c>
      <c r="C49557" s="0" t="s">
        <v>17468</v>
      </c>
      <c r="D49557" s="0" t="s">
        <v>2798</v>
      </c>
      <c r="E49557" s="0" t="s">
        <v>2798</v>
      </c>
      <c r="F49557" s="0" t="s">
        <v>2798</v>
      </c>
    </row>
    <row r="49558" customFormat="false" ht="12.8" hidden="false" customHeight="false" outlineLevel="0" collapsed="false">
      <c r="B49558" s="0" t="s">
        <v>5619</v>
      </c>
      <c r="C49558" s="0" t="s">
        <v>17469</v>
      </c>
      <c r="D49558" s="0" t="s">
        <v>2806</v>
      </c>
      <c r="E49558" s="0" t="s">
        <v>2806</v>
      </c>
      <c r="F49558" s="0" t="s">
        <v>2806</v>
      </c>
    </row>
    <row r="49559" customFormat="false" ht="12.8" hidden="false" customHeight="false" outlineLevel="0" collapsed="false">
      <c r="B49559" s="0" t="s">
        <v>7395</v>
      </c>
      <c r="C49559" s="0" t="s">
        <v>17470</v>
      </c>
      <c r="D49559" s="0" t="s">
        <v>17471</v>
      </c>
      <c r="E49559" s="0" t="s">
        <v>17471</v>
      </c>
      <c r="F49559" s="0" t="s">
        <v>17471</v>
      </c>
    </row>
    <row r="49561" customFormat="false" ht="12.8" hidden="false" customHeight="false" outlineLevel="0" collapsed="false">
      <c r="A49561" s="0" t="s">
        <v>17472</v>
      </c>
      <c r="B49561" s="0" t="str">
        <f aca="false">HYPERLINK("https://lindat.mff.cuni.cz/services/teitok/pdtc10/index.php?action=vallex&amp;frame=v-w7034f6_ZU", "udržet (v-w7034f6_ZU)")</f>
        <v>udržet (v-w7034f6_ZU)</v>
      </c>
    </row>
    <row r="49562" customFormat="false" ht="12.8" hidden="false" customHeight="false" outlineLevel="0" collapsed="false">
      <c r="B49562" s="0" t="s">
        <v>7</v>
      </c>
      <c r="C49562" s="0" t="s">
        <v>2736</v>
      </c>
      <c r="D49562" s="0" t="s">
        <v>2736</v>
      </c>
      <c r="E49562" s="0" t="s">
        <v>2736</v>
      </c>
      <c r="F49562" s="0" t="s">
        <v>2736</v>
      </c>
    </row>
    <row r="49563" customFormat="false" ht="12.8" hidden="false" customHeight="false" outlineLevel="0" collapsed="false">
      <c r="B49563" s="0" t="s">
        <v>2836</v>
      </c>
      <c r="C49563" s="0" t="s">
        <v>17473</v>
      </c>
    </row>
    <row r="49564" customFormat="false" ht="12.8" hidden="false" customHeight="false" outlineLevel="0" collapsed="false">
      <c r="B49564" s="0" t="s">
        <v>548</v>
      </c>
      <c r="C49564" s="0" t="s">
        <v>1209</v>
      </c>
      <c r="D49564" s="0" t="s">
        <v>2838</v>
      </c>
      <c r="E49564" s="0" t="s">
        <v>2838</v>
      </c>
      <c r="F49564" s="0" t="s">
        <v>2838</v>
      </c>
    </row>
    <row r="49566" customFormat="false" ht="12.8" hidden="false" customHeight="false" outlineLevel="0" collapsed="false">
      <c r="A49566" s="0" t="s">
        <v>17472</v>
      </c>
      <c r="B49566" s="0" t="str">
        <f aca="false">HYPERLINK("https://lindat.mff.cuni.cz/services/teitok/pdtc10/index.php?action=vallex&amp;frame=v-w7034hsa_207", "udržet (v-w7034hsa_207) - substituted with v-w7034f6_ZU")</f>
        <v>udržet (v-w7034hsa_207) - substituted with v-w7034f6_ZU</v>
      </c>
    </row>
    <row r="49567" customFormat="false" ht="12.8" hidden="false" customHeight="false" outlineLevel="0" collapsed="false">
      <c r="B49567" s="0" t="s">
        <v>7</v>
      </c>
    </row>
    <row r="49568" customFormat="false" ht="12.8" hidden="false" customHeight="false" outlineLevel="0" collapsed="false">
      <c r="B49568" s="0" t="s">
        <v>2836</v>
      </c>
    </row>
    <row r="49569" customFormat="false" ht="12.8" hidden="false" customHeight="false" outlineLevel="0" collapsed="false">
      <c r="B49569" s="0" t="s">
        <v>548</v>
      </c>
    </row>
    <row r="49571" customFormat="false" ht="12.8" hidden="false" customHeight="false" outlineLevel="0" collapsed="false">
      <c r="A49571" s="0" t="s">
        <v>17474</v>
      </c>
      <c r="B49571" s="0" t="str">
        <f aca="false">HYPERLINK("https://lindat.mff.cuni.cz/services/teitok/pdtc10/index.php?action=vallex&amp;frame=v-w7034f7_ZU", "udržet (v-w7034f7_ZU)")</f>
        <v>udržet (v-w7034f7_ZU)</v>
      </c>
    </row>
    <row r="49572" customFormat="false" ht="12.8" hidden="false" customHeight="false" outlineLevel="0" collapsed="false">
      <c r="B49572" s="0" t="s">
        <v>7</v>
      </c>
      <c r="C49572" s="0" t="s">
        <v>2857</v>
      </c>
    </row>
    <row r="49573" customFormat="false" ht="12.8" hidden="false" customHeight="false" outlineLevel="0" collapsed="false">
      <c r="B49573" s="0" t="s">
        <v>2842</v>
      </c>
      <c r="C49573" s="0" t="s">
        <v>2859</v>
      </c>
    </row>
    <row r="49574" customFormat="false" ht="12.8" hidden="false" customHeight="false" outlineLevel="0" collapsed="false">
      <c r="B49574" s="0" t="s">
        <v>14</v>
      </c>
      <c r="C49574" s="0" t="s">
        <v>2860</v>
      </c>
    </row>
    <row r="49576" customFormat="false" ht="12.8" hidden="false" customHeight="false" outlineLevel="0" collapsed="false">
      <c r="A49576" s="0" t="s">
        <v>17474</v>
      </c>
      <c r="B49576" s="0" t="str">
        <f aca="false">HYPERLINK("https://lindat.mff.cuni.cz/services/teitok/pdtc10/index.php?action=vallex&amp;frame=v-w7034hsa_208", "udržet (v-w7034hsa_208) - substituted with v-w7034f7_ZU")</f>
        <v>udržet (v-w7034hsa_208) - substituted with v-w7034f7_ZU</v>
      </c>
    </row>
    <row r="49577" customFormat="false" ht="12.8" hidden="false" customHeight="false" outlineLevel="0" collapsed="false">
      <c r="B49577" s="0" t="s">
        <v>7</v>
      </c>
    </row>
    <row r="49578" customFormat="false" ht="12.8" hidden="false" customHeight="false" outlineLevel="0" collapsed="false">
      <c r="B49578" s="0" t="s">
        <v>2842</v>
      </c>
    </row>
    <row r="49579" customFormat="false" ht="12.8" hidden="false" customHeight="false" outlineLevel="0" collapsed="false">
      <c r="B49579" s="0" t="s">
        <v>14</v>
      </c>
    </row>
    <row r="49581" customFormat="false" ht="12.8" hidden="false" customHeight="false" outlineLevel="0" collapsed="false">
      <c r="A49581" s="0" t="s">
        <v>17475</v>
      </c>
      <c r="B49581" s="0" t="str">
        <f aca="false">HYPERLINK("https://lindat.mff.cuni.cz/services/teitok/pdtc10/index.php?action=vallex&amp;frame=v-w7034f8_ZU", "udržet (v-w7034f8_ZU)")</f>
        <v>udržet (v-w7034f8_ZU)</v>
      </c>
    </row>
    <row r="49582" customFormat="false" ht="12.8" hidden="false" customHeight="false" outlineLevel="0" collapsed="false">
      <c r="B49582" s="0" t="s">
        <v>7</v>
      </c>
      <c r="C49582" s="0" t="s">
        <v>623</v>
      </c>
      <c r="D49582" s="0" t="s">
        <v>2736</v>
      </c>
      <c r="E49582" s="0" t="s">
        <v>2736</v>
      </c>
      <c r="F49582" s="0" t="s">
        <v>2736</v>
      </c>
    </row>
    <row r="49583" customFormat="false" ht="12.8" hidden="false" customHeight="false" outlineLevel="0" collapsed="false">
      <c r="B49583" s="0" t="s">
        <v>17476</v>
      </c>
      <c r="C49583" s="0" t="s">
        <v>17473</v>
      </c>
    </row>
    <row r="49584" customFormat="false" ht="12.8" hidden="false" customHeight="false" outlineLevel="0" collapsed="false">
      <c r="B49584" s="0" t="s">
        <v>548</v>
      </c>
      <c r="C49584" s="0" t="s">
        <v>17477</v>
      </c>
      <c r="D49584" s="0" t="s">
        <v>2838</v>
      </c>
      <c r="E49584" s="0" t="s">
        <v>2838</v>
      </c>
      <c r="F49584" s="0" t="s">
        <v>2838</v>
      </c>
    </row>
    <row r="49586" customFormat="false" ht="12.8" hidden="false" customHeight="false" outlineLevel="0" collapsed="false">
      <c r="A49586" s="0" t="s">
        <v>17475</v>
      </c>
      <c r="B49586" s="0" t="str">
        <f aca="false">HYPERLINK("https://lindat.mff.cuni.cz/services/teitok/pdtc10/index.php?action=vallex&amp;frame=v-w7034hsa_209", "udržet (v-w7034hsa_209) - substituted with v-w7034f8_ZU")</f>
        <v>udržet (v-w7034hsa_209) - substituted with v-w7034f8_ZU</v>
      </c>
    </row>
    <row r="49587" customFormat="false" ht="12.8" hidden="false" customHeight="false" outlineLevel="0" collapsed="false">
      <c r="B49587" s="0" t="s">
        <v>7</v>
      </c>
    </row>
    <row r="49588" customFormat="false" ht="12.8" hidden="false" customHeight="false" outlineLevel="0" collapsed="false">
      <c r="B49588" s="0" t="s">
        <v>17476</v>
      </c>
    </row>
    <row r="49589" customFormat="false" ht="12.8" hidden="false" customHeight="false" outlineLevel="0" collapsed="false">
      <c r="B49589" s="0" t="s">
        <v>548</v>
      </c>
    </row>
    <row r="49591" customFormat="false" ht="12.8" hidden="false" customHeight="false" outlineLevel="0" collapsed="false">
      <c r="A49591" s="0" t="s">
        <v>17478</v>
      </c>
      <c r="B49591" s="0" t="str">
        <f aca="false">HYPERLINK("https://lindat.mff.cuni.cz/services/teitok/pdtc10/index.php?action=vallex&amp;frame=v-w7035f1", "udržet se (v-w7035f1)")</f>
        <v>udržet se (v-w7035f1)</v>
      </c>
    </row>
    <row r="49592" customFormat="false" ht="12.8" hidden="false" customHeight="false" outlineLevel="0" collapsed="false">
      <c r="B49592" s="0" t="s">
        <v>7</v>
      </c>
      <c r="C49592" s="0" t="s">
        <v>10302</v>
      </c>
      <c r="D49592" s="0" t="s">
        <v>2901</v>
      </c>
      <c r="E49592" s="0" t="s">
        <v>2901</v>
      </c>
      <c r="F49592" s="0" t="s">
        <v>2901</v>
      </c>
    </row>
    <row r="49593" customFormat="false" ht="12.8" hidden="false" customHeight="false" outlineLevel="0" collapsed="false">
      <c r="B49593" s="0" t="s">
        <v>11</v>
      </c>
      <c r="C49593" s="0" t="s">
        <v>17479</v>
      </c>
      <c r="D49593" s="0" t="s">
        <v>2903</v>
      </c>
      <c r="E49593" s="0" t="s">
        <v>2903</v>
      </c>
      <c r="F49593" s="0" t="s">
        <v>2903</v>
      </c>
    </row>
    <row r="49595" customFormat="false" ht="12.8" hidden="false" customHeight="false" outlineLevel="0" collapsed="false">
      <c r="A49595" s="0" t="s">
        <v>17480</v>
      </c>
      <c r="B49595" s="0" t="str">
        <f aca="false">HYPERLINK("https://lindat.mff.cuni.cz/services/teitok/pdtc10/index.php?action=vallex&amp;frame=v-w7035f2", "udržet se (v-w7035f2)")</f>
        <v>udržet se (v-w7035f2)</v>
      </c>
    </row>
    <row r="49596" customFormat="false" ht="12.8" hidden="false" customHeight="false" outlineLevel="0" collapsed="false">
      <c r="B49596" s="0" t="s">
        <v>7</v>
      </c>
      <c r="C49596" s="0" t="s">
        <v>10750</v>
      </c>
      <c r="D49596" s="0" t="s">
        <v>2901</v>
      </c>
      <c r="E49596" s="0" t="s">
        <v>2901</v>
      </c>
      <c r="F49596" s="0" t="s">
        <v>2901</v>
      </c>
    </row>
    <row r="49598" customFormat="false" ht="12.8" hidden="false" customHeight="false" outlineLevel="0" collapsed="false">
      <c r="A49598" s="0" t="s">
        <v>17481</v>
      </c>
      <c r="B49598" s="0" t="str">
        <f aca="false">HYPERLINK("https://lindat.mff.cuni.cz/services/teitok/pdtc10/index.php?action=vallex&amp;frame=v-w7035f3_ZU", "udržet se (v-w7035f3_ZU)")</f>
        <v>udržet se (v-w7035f3_ZU)</v>
      </c>
    </row>
    <row r="49599" customFormat="false" ht="12.8" hidden="false" customHeight="false" outlineLevel="0" collapsed="false">
      <c r="B49599" s="0" t="s">
        <v>7</v>
      </c>
      <c r="C49599" s="0" t="s">
        <v>2911</v>
      </c>
      <c r="D49599" s="0" t="s">
        <v>1048</v>
      </c>
      <c r="E49599" s="0" t="s">
        <v>1048</v>
      </c>
      <c r="F49599" s="0" t="s">
        <v>1048</v>
      </c>
    </row>
    <row r="49600" customFormat="false" ht="12.8" hidden="false" customHeight="false" outlineLevel="0" collapsed="false">
      <c r="B49600" s="0" t="s">
        <v>2908</v>
      </c>
      <c r="C49600" s="0" t="s">
        <v>2912</v>
      </c>
      <c r="D49600" s="0" t="s">
        <v>17482</v>
      </c>
      <c r="E49600" s="0" t="s">
        <v>17482</v>
      </c>
      <c r="F49600" s="0" t="s">
        <v>17482</v>
      </c>
    </row>
    <row r="49602" customFormat="false" ht="12.8" hidden="false" customHeight="false" outlineLevel="0" collapsed="false">
      <c r="A49602" s="0" t="s">
        <v>17481</v>
      </c>
      <c r="B49602" s="0" t="str">
        <f aca="false">HYPERLINK("https://lindat.mff.cuni.cz/services/teitok/pdtc10/index.php?action=vallex&amp;frame=v-w7035hsa_1277", "udržet se (v-w7035hsa_1277) - substituted with v-w7035f3_ZU")</f>
        <v>udržet se (v-w7035hsa_1277) - substituted with v-w7035f3_ZU</v>
      </c>
    </row>
    <row r="49603" customFormat="false" ht="12.8" hidden="false" customHeight="false" outlineLevel="0" collapsed="false">
      <c r="B49603" s="0" t="s">
        <v>7</v>
      </c>
    </row>
    <row r="49604" customFormat="false" ht="12.8" hidden="false" customHeight="false" outlineLevel="0" collapsed="false">
      <c r="B49604" s="0" t="s">
        <v>2908</v>
      </c>
    </row>
    <row r="49606" customFormat="false" ht="12.8" hidden="false" customHeight="false" outlineLevel="0" collapsed="false">
      <c r="A49606" s="0" t="s">
        <v>17483</v>
      </c>
      <c r="B49606" s="0" t="str">
        <f aca="false">HYPERLINK("https://lindat.mff.cuni.cz/services/teitok/pdtc10/index.php?action=vallex&amp;frame=v-w7036f1", "udržet si (v-w7036f1)")</f>
        <v>udržet si (v-w7036f1)</v>
      </c>
    </row>
    <row r="49607" customFormat="false" ht="12.8" hidden="false" customHeight="false" outlineLevel="0" collapsed="false">
      <c r="B49607" s="0" t="s">
        <v>7</v>
      </c>
      <c r="C49607" s="0" t="s">
        <v>17484</v>
      </c>
      <c r="D49607" s="0" t="s">
        <v>2826</v>
      </c>
      <c r="E49607" s="0" t="s">
        <v>2826</v>
      </c>
      <c r="F49607" s="0" t="s">
        <v>2826</v>
      </c>
    </row>
    <row r="49608" customFormat="false" ht="12.8" hidden="false" customHeight="false" outlineLevel="0" collapsed="false">
      <c r="B49608" s="0" t="s">
        <v>14</v>
      </c>
      <c r="C49608" s="0" t="s">
        <v>17485</v>
      </c>
      <c r="D49608" s="0" t="s">
        <v>2828</v>
      </c>
      <c r="E49608" s="0" t="s">
        <v>2828</v>
      </c>
      <c r="F49608" s="0" t="s">
        <v>2828</v>
      </c>
    </row>
    <row r="49610" customFormat="false" ht="12.8" hidden="false" customHeight="false" outlineLevel="0" collapsed="false">
      <c r="A49610" s="0" t="s">
        <v>17486</v>
      </c>
      <c r="B49610" s="0" t="str">
        <f aca="false">HYPERLINK("https://lindat.mff.cuni.cz/services/teitok/pdtc10/index.php?action=vallex&amp;frame=v-w7039f2", "udržovat (v-w7039f2)")</f>
        <v>udržovat (v-w7039f2)</v>
      </c>
    </row>
    <row r="49611" customFormat="false" ht="12.8" hidden="false" customHeight="false" outlineLevel="0" collapsed="false">
      <c r="B49611" s="0" t="s">
        <v>7</v>
      </c>
      <c r="C49611" s="0" t="s">
        <v>8626</v>
      </c>
      <c r="D49611" s="0" t="s">
        <v>2797</v>
      </c>
      <c r="E49611" s="0" t="s">
        <v>2797</v>
      </c>
      <c r="F49611" s="0" t="s">
        <v>2797</v>
      </c>
    </row>
    <row r="49612" customFormat="false" ht="12.8" hidden="false" customHeight="false" outlineLevel="0" collapsed="false">
      <c r="B49612" s="0" t="s">
        <v>14</v>
      </c>
      <c r="C49612" s="0" t="s">
        <v>8089</v>
      </c>
      <c r="D49612" s="0" t="s">
        <v>2798</v>
      </c>
      <c r="E49612" s="0" t="s">
        <v>2798</v>
      </c>
      <c r="F49612" s="0" t="s">
        <v>2798</v>
      </c>
    </row>
    <row r="49613" customFormat="false" ht="12.8" hidden="false" customHeight="false" outlineLevel="0" collapsed="false">
      <c r="B49613" s="0" t="s">
        <v>17487</v>
      </c>
      <c r="D49613" s="0" t="s">
        <v>2800</v>
      </c>
      <c r="E49613" s="0" t="s">
        <v>2800</v>
      </c>
      <c r="F49613" s="0" t="s">
        <v>2800</v>
      </c>
    </row>
    <row r="49615" customFormat="false" ht="12.8" hidden="false" customHeight="false" outlineLevel="0" collapsed="false">
      <c r="A49615" s="0" t="s">
        <v>17488</v>
      </c>
      <c r="B49615" s="0" t="str">
        <f aca="false">HYPERLINK("https://lindat.mff.cuni.cz/services/teitok/pdtc10/index.php?action=vallex&amp;frame=v-w7039f3", "udržovat (v-w7039f3)")</f>
        <v>udržovat (v-w7039f3)</v>
      </c>
    </row>
    <row r="49616" customFormat="false" ht="12.8" hidden="false" customHeight="false" outlineLevel="0" collapsed="false">
      <c r="B49616" s="0" t="s">
        <v>7</v>
      </c>
      <c r="C49616" s="0" t="s">
        <v>10175</v>
      </c>
      <c r="D49616" s="0" t="s">
        <v>2797</v>
      </c>
      <c r="E49616" s="0" t="s">
        <v>2797</v>
      </c>
      <c r="F49616" s="0" t="s">
        <v>2797</v>
      </c>
    </row>
    <row r="49617" customFormat="false" ht="12.8" hidden="false" customHeight="false" outlineLevel="0" collapsed="false">
      <c r="B49617" s="0" t="s">
        <v>14</v>
      </c>
      <c r="C49617" s="0" t="s">
        <v>17489</v>
      </c>
      <c r="D49617" s="0" t="s">
        <v>2798</v>
      </c>
      <c r="E49617" s="0" t="s">
        <v>2798</v>
      </c>
      <c r="F49617" s="0" t="s">
        <v>2798</v>
      </c>
    </row>
    <row r="49618" customFormat="false" ht="12.8" hidden="false" customHeight="false" outlineLevel="0" collapsed="false">
      <c r="B49618" s="0" t="s">
        <v>2804</v>
      </c>
      <c r="C49618" s="0" t="s">
        <v>17490</v>
      </c>
      <c r="D49618" s="0" t="s">
        <v>2806</v>
      </c>
      <c r="E49618" s="0" t="s">
        <v>2806</v>
      </c>
      <c r="F49618" s="0" t="s">
        <v>2806</v>
      </c>
    </row>
    <row r="49620" customFormat="false" ht="12.8" hidden="false" customHeight="false" outlineLevel="0" collapsed="false">
      <c r="A49620" s="0" t="s">
        <v>17491</v>
      </c>
      <c r="B49620" s="0" t="str">
        <f aca="false">HYPERLINK("https://lindat.mff.cuni.cz/services/teitok/pdtc10/index.php?action=vallex&amp;frame=v-w7039f1", "udržovat (v-w7039f1)")</f>
        <v>udržovat (v-w7039f1)</v>
      </c>
    </row>
    <row r="49621" customFormat="false" ht="12.8" hidden="false" customHeight="false" outlineLevel="0" collapsed="false">
      <c r="B49621" s="0" t="s">
        <v>7</v>
      </c>
      <c r="C49621" s="0" t="s">
        <v>17492</v>
      </c>
      <c r="D49621" s="0" t="s">
        <v>10066</v>
      </c>
      <c r="E49621" s="0" t="s">
        <v>10066</v>
      </c>
      <c r="F49621" s="0" t="s">
        <v>10066</v>
      </c>
    </row>
    <row r="49622" customFormat="false" ht="12.8" hidden="false" customHeight="false" outlineLevel="0" collapsed="false">
      <c r="B49622" s="0" t="s">
        <v>14</v>
      </c>
      <c r="C49622" s="0" t="s">
        <v>17493</v>
      </c>
      <c r="D49622" s="0" t="s">
        <v>10068</v>
      </c>
      <c r="E49622" s="0" t="s">
        <v>10068</v>
      </c>
      <c r="F49622" s="0" t="s">
        <v>10068</v>
      </c>
    </row>
    <row r="49624" customFormat="false" ht="12.8" hidden="false" customHeight="false" outlineLevel="0" collapsed="false">
      <c r="A49624" s="0" t="s">
        <v>17494</v>
      </c>
      <c r="B49624" s="0" t="str">
        <f aca="false">HYPERLINK("https://lindat.mff.cuni.cz/services/teitok/pdtc10/index.php?action=vallex&amp;frame=v-w7039f4_ZU", "udržovat (v-w7039f4_ZU)")</f>
        <v>udržovat (v-w7039f4_ZU)</v>
      </c>
    </row>
    <row r="49625" customFormat="false" ht="12.8" hidden="false" customHeight="false" outlineLevel="0" collapsed="false">
      <c r="B49625" s="0" t="s">
        <v>7</v>
      </c>
      <c r="C49625" s="0" t="s">
        <v>2797</v>
      </c>
      <c r="D49625" s="0" t="s">
        <v>2797</v>
      </c>
      <c r="E49625" s="0" t="s">
        <v>2797</v>
      </c>
      <c r="F49625" s="0" t="s">
        <v>2797</v>
      </c>
    </row>
    <row r="49626" customFormat="false" ht="12.8" hidden="false" customHeight="false" outlineLevel="0" collapsed="false">
      <c r="B49626" s="0" t="s">
        <v>2833</v>
      </c>
      <c r="C49626" s="0" t="s">
        <v>2843</v>
      </c>
      <c r="D49626" s="0" t="s">
        <v>2843</v>
      </c>
      <c r="E49626" s="0" t="s">
        <v>2843</v>
      </c>
      <c r="F49626" s="0" t="s">
        <v>2843</v>
      </c>
    </row>
    <row r="49627" customFormat="false" ht="12.8" hidden="false" customHeight="false" outlineLevel="0" collapsed="false">
      <c r="B49627" s="0" t="s">
        <v>14</v>
      </c>
      <c r="C49627" s="0" t="s">
        <v>2798</v>
      </c>
      <c r="D49627" s="0" t="s">
        <v>2798</v>
      </c>
      <c r="E49627" s="0" t="s">
        <v>2798</v>
      </c>
      <c r="F49627" s="0" t="s">
        <v>2798</v>
      </c>
    </row>
    <row r="49629" customFormat="false" ht="12.8" hidden="false" customHeight="false" outlineLevel="0" collapsed="false">
      <c r="A49629" s="0" t="s">
        <v>17495</v>
      </c>
      <c r="B49629" s="0" t="str">
        <f aca="false">HYPERLINK("https://lindat.mff.cuni.cz/services/teitok/pdtc10/index.php?action=vallex&amp;frame=v-w7039hsa_1048", "udržovat (v-w7039hsa_1048)")</f>
        <v>udržovat (v-w7039hsa_1048)</v>
      </c>
    </row>
    <row r="49630" customFormat="false" ht="12.8" hidden="false" customHeight="false" outlineLevel="0" collapsed="false">
      <c r="B49630" s="0" t="s">
        <v>7</v>
      </c>
      <c r="C49630" s="0" t="s">
        <v>46</v>
      </c>
      <c r="D49630" s="0" t="s">
        <v>184</v>
      </c>
      <c r="E49630" s="0" t="s">
        <v>184</v>
      </c>
      <c r="F49630" s="0" t="s">
        <v>184</v>
      </c>
    </row>
    <row r="49631" customFormat="false" ht="12.8" hidden="false" customHeight="false" outlineLevel="0" collapsed="false">
      <c r="B49631" s="0" t="s">
        <v>14</v>
      </c>
      <c r="C49631" s="0" t="s">
        <v>384</v>
      </c>
      <c r="D49631" s="0" t="s">
        <v>1170</v>
      </c>
      <c r="E49631" s="0" t="s">
        <v>1170</v>
      </c>
      <c r="F49631" s="0" t="s">
        <v>1170</v>
      </c>
    </row>
    <row r="49632" customFormat="false" ht="12.8" hidden="false" customHeight="false" outlineLevel="0" collapsed="false">
      <c r="B49632" s="0" t="s">
        <v>11</v>
      </c>
    </row>
    <row r="49634" customFormat="false" ht="12.8" hidden="false" customHeight="false" outlineLevel="0" collapsed="false">
      <c r="A49634" s="0" t="s">
        <v>17496</v>
      </c>
      <c r="B49634" s="0" t="str">
        <f aca="false">HYPERLINK("https://lindat.mff.cuni.cz/services/teitok/pdtc10/index.php?action=vallex&amp;frame=v-w7039f5_ZU", "udržovat (v-w7039f5_ZU)")</f>
        <v>udržovat (v-w7039f5_ZU)</v>
      </c>
    </row>
    <row r="49635" customFormat="false" ht="12.8" hidden="false" customHeight="false" outlineLevel="0" collapsed="false">
      <c r="B49635" s="0" t="s">
        <v>7</v>
      </c>
    </row>
    <row r="49636" customFormat="false" ht="12.8" hidden="false" customHeight="false" outlineLevel="0" collapsed="false">
      <c r="B49636" s="0" t="s">
        <v>17497</v>
      </c>
    </row>
    <row r="49638" customFormat="false" ht="12.8" hidden="false" customHeight="false" outlineLevel="0" collapsed="false">
      <c r="A49638" s="0" t="s">
        <v>17498</v>
      </c>
      <c r="B49638" s="0" t="str">
        <f aca="false">HYPERLINK("https://lindat.mff.cuni.cz/services/teitok/pdtc10/index.php?action=vallex&amp;frame=v-w7039hsa_1901", "udržovat (v-w7039hsa_1901)")</f>
        <v>udržovat (v-w7039hsa_1901)</v>
      </c>
    </row>
    <row r="49639" customFormat="false" ht="12.8" hidden="false" customHeight="false" outlineLevel="0" collapsed="false">
      <c r="B49639" s="0" t="s">
        <v>7</v>
      </c>
    </row>
    <row r="49640" customFormat="false" ht="12.8" hidden="false" customHeight="false" outlineLevel="0" collapsed="false">
      <c r="B49640" s="0" t="s">
        <v>14</v>
      </c>
    </row>
    <row r="49641" customFormat="false" ht="12.8" hidden="false" customHeight="false" outlineLevel="0" collapsed="false">
      <c r="B49641" s="0" t="s">
        <v>11</v>
      </c>
    </row>
    <row r="49643" customFormat="false" ht="12.8" hidden="false" customHeight="false" outlineLevel="0" collapsed="false">
      <c r="A49643" s="0" t="s">
        <v>17499</v>
      </c>
      <c r="B49643" s="0" t="str">
        <f aca="false">HYPERLINK("https://lindat.mff.cuni.cz/services/teitok/pdtc10/index.php?action=vallex&amp;frame=v-w11607_ZUf1_ZU", "udržovat se (v-w11607_ZUf1_ZU)")</f>
        <v>udržovat se (v-w11607_ZUf1_ZU)</v>
      </c>
    </row>
    <row r="49644" customFormat="false" ht="12.8" hidden="false" customHeight="false" outlineLevel="0" collapsed="false">
      <c r="B49644" s="0" t="s">
        <v>7</v>
      </c>
      <c r="C49644" s="0" t="s">
        <v>17500</v>
      </c>
      <c r="D49644" s="0" t="s">
        <v>2895</v>
      </c>
      <c r="E49644" s="0" t="s">
        <v>2895</v>
      </c>
      <c r="F49644" s="0" t="s">
        <v>2895</v>
      </c>
    </row>
    <row r="49645" customFormat="false" ht="12.8" hidden="false" customHeight="false" outlineLevel="0" collapsed="false">
      <c r="B49645" s="0" t="s">
        <v>1059</v>
      </c>
      <c r="C49645" s="0" t="s">
        <v>17501</v>
      </c>
      <c r="D49645" s="0" t="s">
        <v>2896</v>
      </c>
      <c r="E49645" s="0" t="s">
        <v>2896</v>
      </c>
      <c r="F49645" s="0" t="s">
        <v>2896</v>
      </c>
    </row>
    <row r="49647" customFormat="false" ht="12.8" hidden="false" customHeight="false" outlineLevel="0" collapsed="false">
      <c r="A49647" s="0" t="s">
        <v>17502</v>
      </c>
      <c r="B49647" s="0" t="str">
        <f aca="false">HYPERLINK("https://lindat.mff.cuni.cz/services/teitok/pdtc10/index.php?action=vallex&amp;frame=v-w11430f1", "udusit (v-w11430f1)")</f>
        <v>udusit (v-w11430f1)</v>
      </c>
    </row>
    <row r="49648" customFormat="false" ht="12.8" hidden="false" customHeight="false" outlineLevel="0" collapsed="false">
      <c r="B49648" s="0" t="s">
        <v>7</v>
      </c>
    </row>
    <row r="49649" customFormat="false" ht="12.8" hidden="false" customHeight="false" outlineLevel="0" collapsed="false">
      <c r="B49649" s="0" t="s">
        <v>14</v>
      </c>
    </row>
    <row r="49651" customFormat="false" ht="12.8" hidden="false" customHeight="false" outlineLevel="0" collapsed="false">
      <c r="A49651" s="0" t="s">
        <v>17503</v>
      </c>
      <c r="B49651" s="0" t="str">
        <f aca="false">HYPERLINK("https://lindat.mff.cuni.cz/services/teitok/pdtc10/index.php?action=vallex&amp;frame=v-w11430f2_ZU", "udusit (v-w11430f2_ZU)")</f>
        <v>udusit (v-w11430f2_ZU)</v>
      </c>
    </row>
    <row r="49652" customFormat="false" ht="12.8" hidden="false" customHeight="false" outlineLevel="0" collapsed="false">
      <c r="B49652" s="0" t="s">
        <v>7</v>
      </c>
    </row>
    <row r="49653" customFormat="false" ht="12.8" hidden="false" customHeight="false" outlineLevel="0" collapsed="false">
      <c r="B49653" s="0" t="s">
        <v>14</v>
      </c>
    </row>
    <row r="49655" customFormat="false" ht="12.8" hidden="false" customHeight="false" outlineLevel="0" collapsed="false">
      <c r="A49655" s="0" t="s">
        <v>17504</v>
      </c>
      <c r="B49655" s="0" t="str">
        <f aca="false">HYPERLINK("https://lindat.mff.cuni.cz/services/teitok/pdtc10/index.php?action=vallex&amp;frame=v-w7040f1", "udusit se (v-w7040f1)")</f>
        <v>udusit se (v-w7040f1)</v>
      </c>
    </row>
    <row r="49656" customFormat="false" ht="12.8" hidden="false" customHeight="false" outlineLevel="0" collapsed="false">
      <c r="B49656" s="0" t="s">
        <v>7</v>
      </c>
    </row>
    <row r="49658" customFormat="false" ht="12.8" hidden="false" customHeight="false" outlineLevel="0" collapsed="false">
      <c r="A49658" s="0" t="s">
        <v>17505</v>
      </c>
      <c r="B49658" s="0" t="str">
        <f aca="false">HYPERLINK("https://lindat.mff.cuni.cz/services/teitok/pdtc10/index.php?action=vallex&amp;frame=v-w7014f1", "udát se (v-w7014f1)")</f>
        <v>udát se (v-w7014f1)</v>
      </c>
    </row>
    <row r="49659" customFormat="false" ht="12.8" hidden="false" customHeight="false" outlineLevel="0" collapsed="false">
      <c r="B49659" s="0" t="s">
        <v>17506</v>
      </c>
      <c r="C49659" s="0" t="s">
        <v>17507</v>
      </c>
    </row>
    <row r="49660" customFormat="false" ht="12.8" hidden="false" customHeight="false" outlineLevel="0" collapsed="false">
      <c r="B49660" s="0" t="s">
        <v>119</v>
      </c>
    </row>
    <row r="49662" customFormat="false" ht="12.8" hidden="false" customHeight="false" outlineLevel="0" collapsed="false">
      <c r="A49662" s="0" t="s">
        <v>17508</v>
      </c>
      <c r="B49662" s="0" t="str">
        <f aca="false">HYPERLINK("https://lindat.mff.cuni.cz/services/teitok/pdtc10/index.php?action=vallex&amp;frame=v-w7014f2", "udát se (v-w7014f2)")</f>
        <v>udát se (v-w7014f2)</v>
      </c>
    </row>
    <row r="49663" customFormat="false" ht="12.8" hidden="false" customHeight="false" outlineLevel="0" collapsed="false">
      <c r="B49663" s="0" t="s">
        <v>3389</v>
      </c>
      <c r="C49663" s="0" t="s">
        <v>13744</v>
      </c>
      <c r="D49663" s="0" t="s">
        <v>288</v>
      </c>
      <c r="E49663" s="0" t="s">
        <v>288</v>
      </c>
      <c r="F49663" s="0" t="s">
        <v>288</v>
      </c>
    </row>
    <row r="49665" customFormat="false" ht="12.8" hidden="false" customHeight="false" outlineLevel="0" collapsed="false">
      <c r="A49665" s="0" t="s">
        <v>17509</v>
      </c>
      <c r="B49665" s="0" t="str">
        <f aca="false">HYPERLINK("https://lindat.mff.cuni.cz/services/teitok/pdtc10/index.php?action=vallex&amp;frame=v-w7016f7_ZU", "udávat (v-w7016f7_ZU)")</f>
        <v>udávat (v-w7016f7_ZU)</v>
      </c>
    </row>
    <row r="49666" customFormat="false" ht="12.8" hidden="false" customHeight="false" outlineLevel="0" collapsed="false">
      <c r="B49666" s="0" t="s">
        <v>7</v>
      </c>
      <c r="D49666" s="0" t="s">
        <v>391</v>
      </c>
      <c r="E49666" s="0" t="s">
        <v>391</v>
      </c>
      <c r="F49666" s="0" t="s">
        <v>391</v>
      </c>
    </row>
    <row r="49667" customFormat="false" ht="12.8" hidden="false" customHeight="false" outlineLevel="0" collapsed="false">
      <c r="B49667" s="0" t="s">
        <v>2573</v>
      </c>
      <c r="D49667" s="0" t="s">
        <v>1278</v>
      </c>
      <c r="E49667" s="0" t="s">
        <v>1278</v>
      </c>
      <c r="F49667" s="0" t="s">
        <v>1278</v>
      </c>
    </row>
    <row r="49668" customFormat="false" ht="12.8" hidden="false" customHeight="false" outlineLevel="0" collapsed="false">
      <c r="B49668" s="0" t="s">
        <v>106</v>
      </c>
    </row>
    <row r="49670" customFormat="false" ht="12.8" hidden="false" customHeight="false" outlineLevel="0" collapsed="false">
      <c r="A49670" s="0" t="s">
        <v>17509</v>
      </c>
      <c r="B49670" s="0" t="str">
        <f aca="false">HYPERLINK("https://lindat.mff.cuni.cz/services/teitok/pdtc10/index.php?action=vallex&amp;frame=v-w7016f1", "udávat (v-w7016f1) - substituted with v-w7016f7_ZU")</f>
        <v>udávat (v-w7016f1) - substituted with v-w7016f7_ZU</v>
      </c>
    </row>
    <row r="49671" customFormat="false" ht="12.8" hidden="false" customHeight="false" outlineLevel="0" collapsed="false">
      <c r="B49671" s="0" t="s">
        <v>7</v>
      </c>
      <c r="C49671" s="0" t="s">
        <v>17510</v>
      </c>
    </row>
    <row r="49672" customFormat="false" ht="12.8" hidden="false" customHeight="false" outlineLevel="0" collapsed="false">
      <c r="B49672" s="0" t="s">
        <v>2573</v>
      </c>
      <c r="C49672" s="0" t="s">
        <v>17511</v>
      </c>
    </row>
    <row r="49673" customFormat="false" ht="12.8" hidden="false" customHeight="false" outlineLevel="0" collapsed="false">
      <c r="B49673" s="0" t="s">
        <v>106</v>
      </c>
      <c r="C49673" s="0" t="s">
        <v>17512</v>
      </c>
    </row>
    <row r="49675" customFormat="false" ht="12.8" hidden="false" customHeight="false" outlineLevel="0" collapsed="false">
      <c r="A49675" s="0" t="s">
        <v>17513</v>
      </c>
      <c r="B49675" s="0" t="str">
        <f aca="false">HYPERLINK("https://lindat.mff.cuni.cz/services/teitok/pdtc10/index.php?action=vallex&amp;frame=v-w7016f8_ZU", "udávat (v-w7016f8_ZU)")</f>
        <v>udávat (v-w7016f8_ZU)</v>
      </c>
    </row>
    <row r="49676" customFormat="false" ht="12.8" hidden="false" customHeight="false" outlineLevel="0" collapsed="false">
      <c r="B49676" s="0" t="s">
        <v>7</v>
      </c>
    </row>
    <row r="49677" customFormat="false" ht="12.8" hidden="false" customHeight="false" outlineLevel="0" collapsed="false">
      <c r="B49677" s="0" t="s">
        <v>14</v>
      </c>
    </row>
    <row r="49678" customFormat="false" ht="12.8" hidden="false" customHeight="false" outlineLevel="0" collapsed="false">
      <c r="B49678" s="0" t="s">
        <v>106</v>
      </c>
    </row>
    <row r="49680" customFormat="false" ht="12.8" hidden="false" customHeight="false" outlineLevel="0" collapsed="false">
      <c r="A49680" s="0" t="s">
        <v>17513</v>
      </c>
      <c r="B49680" s="0" t="str">
        <f aca="false">HYPERLINK("https://lindat.mff.cuni.cz/services/teitok/pdtc10/index.php?action=vallex&amp;frame=v-w7016f3_ZU", "udávat (v-w7016f3_ZU) - substituted with v-w7016f8_ZU")</f>
        <v>udávat (v-w7016f3_ZU) - substituted with v-w7016f8_ZU</v>
      </c>
    </row>
    <row r="49681" customFormat="false" ht="12.8" hidden="false" customHeight="false" outlineLevel="0" collapsed="false">
      <c r="B49681" s="0" t="s">
        <v>7</v>
      </c>
    </row>
    <row r="49682" customFormat="false" ht="12.8" hidden="false" customHeight="false" outlineLevel="0" collapsed="false">
      <c r="B49682" s="0" t="s">
        <v>14</v>
      </c>
    </row>
    <row r="49683" customFormat="false" ht="12.8" hidden="false" customHeight="false" outlineLevel="0" collapsed="false">
      <c r="B49683" s="0" t="s">
        <v>106</v>
      </c>
    </row>
    <row r="49685" customFormat="false" ht="12.8" hidden="false" customHeight="false" outlineLevel="0" collapsed="false">
      <c r="A49685" s="0" t="s">
        <v>17513</v>
      </c>
      <c r="B49685" s="0" t="str">
        <f aca="false">HYPERLINK("https://lindat.mff.cuni.cz/services/teitok/pdtc10/index.php?action=vallex&amp;frame=v-w7016f5_ZU", "udávat (v-w7016f5_ZU) - substituted with v-w7016f8_ZU")</f>
        <v>udávat (v-w7016f5_ZU) - substituted with v-w7016f8_ZU</v>
      </c>
    </row>
    <row r="49686" customFormat="false" ht="12.8" hidden="false" customHeight="false" outlineLevel="0" collapsed="false">
      <c r="B49686" s="0" t="s">
        <v>7</v>
      </c>
      <c r="C49686" s="0" t="s">
        <v>17514</v>
      </c>
    </row>
    <row r="49687" customFormat="false" ht="12.8" hidden="false" customHeight="false" outlineLevel="0" collapsed="false">
      <c r="B49687" s="0" t="s">
        <v>14</v>
      </c>
      <c r="C49687" s="0" t="s">
        <v>17515</v>
      </c>
    </row>
    <row r="49688" customFormat="false" ht="12.8" hidden="false" customHeight="false" outlineLevel="0" collapsed="false">
      <c r="B49688" s="0" t="s">
        <v>106</v>
      </c>
      <c r="C49688" s="0" t="s">
        <v>10758</v>
      </c>
    </row>
    <row r="49690" customFormat="false" ht="12.8" hidden="false" customHeight="false" outlineLevel="0" collapsed="false">
      <c r="A49690" s="0" t="s">
        <v>17516</v>
      </c>
      <c r="B49690" s="0" t="str">
        <f aca="false">HYPERLINK("https://lindat.mff.cuni.cz/services/teitok/pdtc10/index.php?action=vallex&amp;frame=v-w7016f4_ZU", "udávat (v-w7016f4_ZU)")</f>
        <v>udávat (v-w7016f4_ZU)</v>
      </c>
    </row>
    <row r="49691" customFormat="false" ht="12.8" hidden="false" customHeight="false" outlineLevel="0" collapsed="false">
      <c r="B49691" s="0" t="s">
        <v>7</v>
      </c>
    </row>
    <row r="49692" customFormat="false" ht="12.8" hidden="false" customHeight="false" outlineLevel="0" collapsed="false">
      <c r="B49692" s="0" t="s">
        <v>17436</v>
      </c>
    </row>
    <row r="49693" customFormat="false" ht="12.8" hidden="false" customHeight="false" outlineLevel="0" collapsed="false">
      <c r="B49693" s="0" t="s">
        <v>119</v>
      </c>
    </row>
    <row r="49695" customFormat="false" ht="12.8" hidden="false" customHeight="false" outlineLevel="0" collapsed="false">
      <c r="A49695" s="0" t="s">
        <v>17516</v>
      </c>
      <c r="B49695" s="0" t="str">
        <f aca="false">HYPERLINK("https://lindat.mff.cuni.cz/services/teitok/pdtc10/index.php?action=vallex&amp;frame=v-w7016f2_ZU", "udávat (v-w7016f2_ZU) - substituted with v-w7016f4_ZU")</f>
        <v>udávat (v-w7016f2_ZU) - substituted with v-w7016f4_ZU</v>
      </c>
    </row>
    <row r="49696" customFormat="false" ht="12.8" hidden="false" customHeight="false" outlineLevel="0" collapsed="false">
      <c r="B49696" s="0" t="s">
        <v>7</v>
      </c>
      <c r="C49696" s="0" t="s">
        <v>335</v>
      </c>
    </row>
    <row r="49697" customFormat="false" ht="12.8" hidden="false" customHeight="false" outlineLevel="0" collapsed="false">
      <c r="B49697" s="0" t="s">
        <v>17436</v>
      </c>
      <c r="C49697" s="0" t="s">
        <v>3888</v>
      </c>
    </row>
    <row r="49698" customFormat="false" ht="12.8" hidden="false" customHeight="false" outlineLevel="0" collapsed="false">
      <c r="B49698" s="0" t="s">
        <v>119</v>
      </c>
    </row>
    <row r="49700" customFormat="false" ht="12.8" hidden="false" customHeight="false" outlineLevel="0" collapsed="false">
      <c r="A49700" s="0" t="s">
        <v>17517</v>
      </c>
      <c r="B49700" s="0" t="str">
        <f aca="false">HYPERLINK("https://lindat.mff.cuni.cz/services/teitok/pdtc10/index.php?action=vallex&amp;frame=v-w7016f6_ZU", "udávat (v-w7016f6_ZU)")</f>
        <v>udávat (v-w7016f6_ZU)</v>
      </c>
    </row>
    <row r="49701" customFormat="false" ht="12.8" hidden="false" customHeight="false" outlineLevel="0" collapsed="false">
      <c r="B49701" s="0" t="s">
        <v>7</v>
      </c>
    </row>
    <row r="49702" customFormat="false" ht="12.8" hidden="false" customHeight="false" outlineLevel="0" collapsed="false">
      <c r="B49702" s="0" t="s">
        <v>14</v>
      </c>
    </row>
    <row r="49703" customFormat="false" ht="12.8" hidden="false" customHeight="false" outlineLevel="0" collapsed="false">
      <c r="B49703" s="0" t="s">
        <v>48</v>
      </c>
    </row>
    <row r="49705" customFormat="false" ht="12.8" hidden="false" customHeight="false" outlineLevel="0" collapsed="false">
      <c r="A49705" s="0" t="s">
        <v>17517</v>
      </c>
      <c r="B49705" s="0" t="str">
        <f aca="false">HYPERLINK("https://lindat.mff.cuni.cz/services/teitok/pdtc10/index.php?action=vallex&amp;frame=v-w7016hsa_794", "udávat (v-w7016hsa_794) - substituted with v-w7016f6_ZU")</f>
        <v>udávat (v-w7016hsa_794) - substituted with v-w7016f6_ZU</v>
      </c>
    </row>
    <row r="49706" customFormat="false" ht="12.8" hidden="false" customHeight="false" outlineLevel="0" collapsed="false">
      <c r="B49706" s="0" t="s">
        <v>7</v>
      </c>
    </row>
    <row r="49707" customFormat="false" ht="12.8" hidden="false" customHeight="false" outlineLevel="0" collapsed="false">
      <c r="B49707" s="0" t="s">
        <v>14</v>
      </c>
    </row>
    <row r="49708" customFormat="false" ht="12.8" hidden="false" customHeight="false" outlineLevel="0" collapsed="false">
      <c r="B49708" s="0" t="s">
        <v>48</v>
      </c>
    </row>
    <row r="49710" customFormat="false" ht="12.8" hidden="false" customHeight="false" outlineLevel="0" collapsed="false">
      <c r="A49710" s="0" t="s">
        <v>17518</v>
      </c>
      <c r="B49710" s="0" t="str">
        <f aca="false">HYPERLINK("https://lindat.mff.cuni.cz/services/teitok/pdtc10/index.php?action=vallex&amp;frame=v-w7016f9_ZU", "udávat (v-w7016f9_ZU)")</f>
        <v>udávat (v-w7016f9_ZU)</v>
      </c>
    </row>
    <row r="49711" customFormat="false" ht="12.8" hidden="false" customHeight="false" outlineLevel="0" collapsed="false">
      <c r="B49711" s="0" t="s">
        <v>7</v>
      </c>
    </row>
    <row r="49712" customFormat="false" ht="12.8" hidden="false" customHeight="false" outlineLevel="0" collapsed="false">
      <c r="B49712" s="0" t="s">
        <v>14</v>
      </c>
    </row>
    <row r="49713" customFormat="false" ht="12.8" hidden="false" customHeight="false" outlineLevel="0" collapsed="false">
      <c r="B49713" s="0" t="s">
        <v>11</v>
      </c>
    </row>
    <row r="49715" customFormat="false" ht="12.8" hidden="false" customHeight="false" outlineLevel="0" collapsed="false">
      <c r="A49715" s="0" t="s">
        <v>17518</v>
      </c>
      <c r="B49715" s="0" t="str">
        <f aca="false">HYPERLINK("https://lindat.mff.cuni.cz/services/teitok/pdtc10/index.php?action=vallex&amp;frame=v-w7016hsa_795", "udávat (v-w7016hsa_795) - substituted with v-w7016f9_ZU")</f>
        <v>udávat (v-w7016hsa_795) - substituted with v-w7016f9_ZU</v>
      </c>
    </row>
    <row r="49716" customFormat="false" ht="12.8" hidden="false" customHeight="false" outlineLevel="0" collapsed="false">
      <c r="B49716" s="0" t="s">
        <v>7</v>
      </c>
    </row>
    <row r="49717" customFormat="false" ht="12.8" hidden="false" customHeight="false" outlineLevel="0" collapsed="false">
      <c r="B49717" s="0" t="s">
        <v>14</v>
      </c>
    </row>
    <row r="49718" customFormat="false" ht="12.8" hidden="false" customHeight="false" outlineLevel="0" collapsed="false">
      <c r="B49718" s="0" t="s">
        <v>11</v>
      </c>
    </row>
    <row r="49720" customFormat="false" ht="12.8" hidden="false" customHeight="false" outlineLevel="0" collapsed="false">
      <c r="A49720" s="0" t="s">
        <v>17519</v>
      </c>
      <c r="B49720" s="0" t="str">
        <f aca="false">HYPERLINK("https://lindat.mff.cuni.cz/services/teitok/pdtc10/index.php?action=vallex&amp;frame=v-w7016f10_ZU", "udávat (v-w7016f10_ZU)")</f>
        <v>udávat (v-w7016f10_ZU)</v>
      </c>
    </row>
    <row r="49721" customFormat="false" ht="12.8" hidden="false" customHeight="false" outlineLevel="0" collapsed="false">
      <c r="B49721" s="0" t="s">
        <v>7</v>
      </c>
    </row>
    <row r="49722" customFormat="false" ht="12.8" hidden="false" customHeight="false" outlineLevel="0" collapsed="false">
      <c r="B49722" s="0" t="s">
        <v>14</v>
      </c>
    </row>
    <row r="49723" customFormat="false" ht="12.8" hidden="false" customHeight="false" outlineLevel="0" collapsed="false">
      <c r="B49723" s="0" t="s">
        <v>124</v>
      </c>
    </row>
    <row r="49725" customFormat="false" ht="12.8" hidden="false" customHeight="false" outlineLevel="0" collapsed="false">
      <c r="A49725" s="0" t="s">
        <v>17519</v>
      </c>
      <c r="B49725" s="0" t="str">
        <f aca="false">HYPERLINK("https://lindat.mff.cuni.cz/services/teitok/pdtc10/index.php?action=vallex&amp;frame=v-w7016hsa_796", "udávat (v-w7016hsa_796) - substituted with v-w7016f10_ZU")</f>
        <v>udávat (v-w7016hsa_796) - substituted with v-w7016f10_ZU</v>
      </c>
    </row>
    <row r="49726" customFormat="false" ht="12.8" hidden="false" customHeight="false" outlineLevel="0" collapsed="false">
      <c r="B49726" s="0" t="s">
        <v>7</v>
      </c>
    </row>
    <row r="49727" customFormat="false" ht="12.8" hidden="false" customHeight="false" outlineLevel="0" collapsed="false">
      <c r="B49727" s="0" t="s">
        <v>14</v>
      </c>
    </row>
    <row r="49728" customFormat="false" ht="12.8" hidden="false" customHeight="false" outlineLevel="0" collapsed="false">
      <c r="B49728" s="0" t="s">
        <v>124</v>
      </c>
    </row>
    <row r="49730" customFormat="false" ht="12.8" hidden="false" customHeight="false" outlineLevel="0" collapsed="false">
      <c r="A49730" s="0" t="s">
        <v>17520</v>
      </c>
      <c r="B49730" s="0" t="str">
        <f aca="false">HYPERLINK("https://lindat.mff.cuni.cz/services/teitok/pdtc10/index.php?action=vallex&amp;frame=v-w10068f3", "udílet (v-w10068f3)")</f>
        <v>udílet (v-w10068f3)</v>
      </c>
    </row>
    <row r="49731" customFormat="false" ht="12.8" hidden="false" customHeight="false" outlineLevel="0" collapsed="false">
      <c r="B49731" s="0" t="s">
        <v>7</v>
      </c>
      <c r="D49731" s="0" t="s">
        <v>4960</v>
      </c>
      <c r="E49731" s="0" t="s">
        <v>4161</v>
      </c>
      <c r="F49731" s="0" t="s">
        <v>4161</v>
      </c>
    </row>
    <row r="49732" customFormat="false" ht="12.8" hidden="false" customHeight="false" outlineLevel="0" collapsed="false">
      <c r="B49732" s="0" t="s">
        <v>14</v>
      </c>
      <c r="D49732" s="0" t="s">
        <v>8123</v>
      </c>
      <c r="E49732" s="0" t="s">
        <v>8116</v>
      </c>
      <c r="F49732" s="0" t="s">
        <v>8116</v>
      </c>
    </row>
    <row r="49733" customFormat="false" ht="12.8" hidden="false" customHeight="false" outlineLevel="0" collapsed="false">
      <c r="B49733" s="0" t="s">
        <v>48</v>
      </c>
      <c r="D49733" s="0" t="s">
        <v>10939</v>
      </c>
      <c r="E49733" s="0" t="s">
        <v>10940</v>
      </c>
      <c r="F49733" s="0" t="s">
        <v>10940</v>
      </c>
    </row>
    <row r="49735" customFormat="false" ht="12.8" hidden="false" customHeight="false" outlineLevel="0" collapsed="false">
      <c r="A49735" s="0" t="s">
        <v>17521</v>
      </c>
      <c r="B49735" s="0" t="str">
        <f aca="false">HYPERLINK("https://lindat.mff.cuni.cz/services/teitok/pdtc10/index.php?action=vallex&amp;frame=v-w10068f2", "udílet (v-w10068f2)")</f>
        <v>udílet (v-w10068f2)</v>
      </c>
    </row>
    <row r="49736" customFormat="false" ht="12.8" hidden="false" customHeight="false" outlineLevel="0" collapsed="false">
      <c r="B49736" s="0" t="s">
        <v>7</v>
      </c>
    </row>
    <row r="49737" customFormat="false" ht="12.8" hidden="false" customHeight="false" outlineLevel="0" collapsed="false">
      <c r="B49737" s="0" t="s">
        <v>14</v>
      </c>
    </row>
    <row r="49739" customFormat="false" ht="12.8" hidden="false" customHeight="false" outlineLevel="0" collapsed="false">
      <c r="A49739" s="0" t="s">
        <v>17522</v>
      </c>
      <c r="B49739" s="0" t="str">
        <f aca="false">HYPERLINK("https://lindat.mff.cuni.cz/services/teitok/pdtc10/index.php?action=vallex&amp;frame=v-whsa_161hsa_162", "udýchat se (v-whsa_161hsa_162)")</f>
        <v>udýchat se (v-whsa_161hsa_162)</v>
      </c>
    </row>
    <row r="49740" customFormat="false" ht="12.8" hidden="false" customHeight="false" outlineLevel="0" collapsed="false">
      <c r="B49740" s="0" t="s">
        <v>7</v>
      </c>
    </row>
    <row r="49742" customFormat="false" ht="12.8" hidden="false" customHeight="false" outlineLevel="0" collapsed="false">
      <c r="A49742" s="0" t="s">
        <v>17523</v>
      </c>
      <c r="B49742" s="0" t="str">
        <f aca="false">HYPERLINK("https://lindat.mff.cuni.cz/services/teitok/pdtc10/index.php?action=vallex&amp;frame=v-w7017f5", "udělat (v-w7017f5)")</f>
        <v>udělat (v-w7017f5)</v>
      </c>
    </row>
    <row r="49743" customFormat="false" ht="12.8" hidden="false" customHeight="false" outlineLevel="0" collapsed="false">
      <c r="B49743" s="0" t="s">
        <v>7</v>
      </c>
      <c r="C49743" s="0" t="s">
        <v>8529</v>
      </c>
      <c r="D49743" s="0" t="s">
        <v>570</v>
      </c>
      <c r="E49743" s="0" t="s">
        <v>570</v>
      </c>
      <c r="F49743" s="0" t="s">
        <v>570</v>
      </c>
    </row>
    <row r="49744" customFormat="false" ht="12.8" hidden="false" customHeight="false" outlineLevel="0" collapsed="false">
      <c r="B49744" s="0" t="s">
        <v>14</v>
      </c>
      <c r="C49744" s="0" t="s">
        <v>17524</v>
      </c>
      <c r="D49744" s="0" t="s">
        <v>5917</v>
      </c>
      <c r="E49744" s="0" t="s">
        <v>5917</v>
      </c>
      <c r="F49744" s="0" t="s">
        <v>5917</v>
      </c>
    </row>
    <row r="49745" customFormat="false" ht="12.8" hidden="false" customHeight="false" outlineLevel="0" collapsed="false">
      <c r="B49745" s="0" t="s">
        <v>48</v>
      </c>
      <c r="C49745" s="0" t="s">
        <v>17525</v>
      </c>
      <c r="D49745" s="0" t="s">
        <v>6418</v>
      </c>
      <c r="E49745" s="0" t="s">
        <v>6418</v>
      </c>
      <c r="F49745" s="0" t="s">
        <v>6418</v>
      </c>
    </row>
    <row r="49747" customFormat="false" ht="12.8" hidden="false" customHeight="false" outlineLevel="0" collapsed="false">
      <c r="A49747" s="0" t="s">
        <v>17526</v>
      </c>
      <c r="B49747" s="0" t="str">
        <f aca="false">HYPERLINK("https://lindat.mff.cuni.cz/services/teitok/pdtc10/index.php?action=vallex&amp;frame=v-w7017f7", "udělat (v-w7017f7)")</f>
        <v>udělat (v-w7017f7)</v>
      </c>
    </row>
    <row r="49748" customFormat="false" ht="12.8" hidden="false" customHeight="false" outlineLevel="0" collapsed="false">
      <c r="B49748" s="0" t="s">
        <v>7</v>
      </c>
      <c r="C49748" s="0" t="s">
        <v>17527</v>
      </c>
      <c r="D49748" s="0" t="s">
        <v>411</v>
      </c>
      <c r="E49748" s="0" t="s">
        <v>411</v>
      </c>
      <c r="F49748" s="0" t="s">
        <v>411</v>
      </c>
    </row>
    <row r="49749" customFormat="false" ht="12.8" hidden="false" customHeight="false" outlineLevel="0" collapsed="false">
      <c r="B49749" s="0" t="s">
        <v>14</v>
      </c>
      <c r="C49749" s="0" t="s">
        <v>5550</v>
      </c>
      <c r="D49749" s="0" t="s">
        <v>312</v>
      </c>
      <c r="E49749" s="0" t="s">
        <v>312</v>
      </c>
      <c r="F49749" s="0" t="s">
        <v>312</v>
      </c>
    </row>
    <row r="49750" customFormat="false" ht="12.8" hidden="false" customHeight="false" outlineLevel="0" collapsed="false">
      <c r="B49750" s="0" t="s">
        <v>2767</v>
      </c>
      <c r="C49750" s="0" t="s">
        <v>3435</v>
      </c>
      <c r="D49750" s="0" t="s">
        <v>3435</v>
      </c>
      <c r="E49750" s="0" t="s">
        <v>3435</v>
      </c>
      <c r="F49750" s="0" t="s">
        <v>3435</v>
      </c>
    </row>
    <row r="49752" customFormat="false" ht="12.8" hidden="false" customHeight="false" outlineLevel="0" collapsed="false">
      <c r="A49752" s="0" t="s">
        <v>17528</v>
      </c>
      <c r="B49752" s="0" t="str">
        <f aca="false">HYPERLINK("https://lindat.mff.cuni.cz/services/teitok/pdtc10/index.php?action=vallex&amp;frame=v-w7017f37_ZU", "udělat (v-w7017f37_ZU)")</f>
        <v>udělat (v-w7017f37_ZU)</v>
      </c>
    </row>
    <row r="49753" customFormat="false" ht="12.8" hidden="false" customHeight="false" outlineLevel="0" collapsed="false">
      <c r="B49753" s="0" t="s">
        <v>7</v>
      </c>
    </row>
    <row r="49754" customFormat="false" ht="12.8" hidden="false" customHeight="false" outlineLevel="0" collapsed="false">
      <c r="B49754" s="0" t="s">
        <v>14</v>
      </c>
    </row>
    <row r="49755" customFormat="false" ht="12.8" hidden="false" customHeight="false" outlineLevel="0" collapsed="false">
      <c r="B49755" s="0" t="s">
        <v>35</v>
      </c>
    </row>
    <row r="49757" customFormat="false" ht="12.8" hidden="false" customHeight="false" outlineLevel="0" collapsed="false">
      <c r="A49757" s="0" t="s">
        <v>17528</v>
      </c>
      <c r="B49757" s="0" t="str">
        <f aca="false">HYPERLINK("https://lindat.mff.cuni.cz/services/teitok/pdtc10/index.php?action=vallex&amp;frame=v-w7017f2", "udělat (v-w7017f2) - substituted with v-w7017f37_ZU")</f>
        <v>udělat (v-w7017f2) - substituted with v-w7017f37_ZU</v>
      </c>
    </row>
    <row r="49758" customFormat="false" ht="12.8" hidden="false" customHeight="false" outlineLevel="0" collapsed="false">
      <c r="B49758" s="0" t="s">
        <v>7</v>
      </c>
      <c r="C49758" s="0" t="s">
        <v>17529</v>
      </c>
      <c r="D49758" s="0" t="s">
        <v>17530</v>
      </c>
      <c r="E49758" s="0" t="s">
        <v>17531</v>
      </c>
      <c r="F49758" s="0" t="s">
        <v>17531</v>
      </c>
    </row>
    <row r="49759" customFormat="false" ht="12.8" hidden="false" customHeight="false" outlineLevel="0" collapsed="false">
      <c r="B49759" s="0" t="s">
        <v>14</v>
      </c>
      <c r="C49759" s="0" t="s">
        <v>17532</v>
      </c>
      <c r="D49759" s="0" t="s">
        <v>17533</v>
      </c>
      <c r="E49759" s="0" t="s">
        <v>17534</v>
      </c>
      <c r="F49759" s="0" t="s">
        <v>17534</v>
      </c>
    </row>
    <row r="49760" customFormat="false" ht="12.8" hidden="false" customHeight="false" outlineLevel="0" collapsed="false">
      <c r="B49760" s="0" t="s">
        <v>35</v>
      </c>
      <c r="C49760" s="0" t="s">
        <v>17535</v>
      </c>
      <c r="D49760" s="0" t="s">
        <v>17536</v>
      </c>
      <c r="E49760" s="0" t="s">
        <v>17537</v>
      </c>
      <c r="F49760" s="0" t="s">
        <v>17537</v>
      </c>
    </row>
    <row r="49762" customFormat="false" ht="12.8" hidden="false" customHeight="false" outlineLevel="0" collapsed="false">
      <c r="A49762" s="0" t="s">
        <v>17538</v>
      </c>
      <c r="B49762" s="0" t="str">
        <f aca="false">HYPERLINK("https://lindat.mff.cuni.cz/services/teitok/pdtc10/index.php?action=vallex&amp;frame=v-w7017f38_ZU", "udělat (v-w7017f38_ZU)")</f>
        <v>udělat (v-w7017f38_ZU)</v>
      </c>
    </row>
    <row r="49763" customFormat="false" ht="12.8" hidden="false" customHeight="false" outlineLevel="0" collapsed="false">
      <c r="B49763" s="0" t="s">
        <v>7</v>
      </c>
    </row>
    <row r="49764" customFormat="false" ht="12.8" hidden="false" customHeight="false" outlineLevel="0" collapsed="false">
      <c r="B49764" s="0" t="s">
        <v>14</v>
      </c>
    </row>
    <row r="49765" customFormat="false" ht="12.8" hidden="false" customHeight="false" outlineLevel="0" collapsed="false">
      <c r="B49765" s="0" t="s">
        <v>17539</v>
      </c>
    </row>
    <row r="49767" customFormat="false" ht="12.8" hidden="false" customHeight="false" outlineLevel="0" collapsed="false">
      <c r="A49767" s="0" t="s">
        <v>17538</v>
      </c>
      <c r="B49767" s="0" t="str">
        <f aca="false">HYPERLINK("https://lindat.mff.cuni.cz/services/teitok/pdtc10/index.php?action=vallex&amp;frame=v-w7017f12", "udělat (v-w7017f12) - substituted with v-w7017f38_ZU")</f>
        <v>udělat (v-w7017f12) - substituted with v-w7017f38_ZU</v>
      </c>
    </row>
    <row r="49768" customFormat="false" ht="12.8" hidden="false" customHeight="false" outlineLevel="0" collapsed="false">
      <c r="B49768" s="0" t="s">
        <v>7</v>
      </c>
      <c r="C49768" s="0" t="s">
        <v>3293</v>
      </c>
    </row>
    <row r="49769" customFormat="false" ht="12.8" hidden="false" customHeight="false" outlineLevel="0" collapsed="false">
      <c r="B49769" s="0" t="s">
        <v>14</v>
      </c>
      <c r="C49769" s="0" t="s">
        <v>3295</v>
      </c>
    </row>
    <row r="49770" customFormat="false" ht="12.8" hidden="false" customHeight="false" outlineLevel="0" collapsed="false">
      <c r="B49770" s="0" t="s">
        <v>17539</v>
      </c>
      <c r="C49770" s="0" t="s">
        <v>3447</v>
      </c>
    </row>
    <row r="49772" customFormat="false" ht="12.8" hidden="false" customHeight="false" outlineLevel="0" collapsed="false">
      <c r="A49772" s="0" t="s">
        <v>17540</v>
      </c>
      <c r="B49772" s="0" t="str">
        <f aca="false">HYPERLINK("https://lindat.mff.cuni.cz/services/teitok/pdtc10/index.php?action=vallex&amp;frame=v-w7017f10", "udělat (v-w7017f10)")</f>
        <v>udělat (v-w7017f10)</v>
      </c>
    </row>
    <row r="49773" customFormat="false" ht="12.8" hidden="false" customHeight="false" outlineLevel="0" collapsed="false">
      <c r="B49773" s="0" t="s">
        <v>7</v>
      </c>
    </row>
    <row r="49774" customFormat="false" ht="12.8" hidden="false" customHeight="false" outlineLevel="0" collapsed="false">
      <c r="B49774" s="0" t="s">
        <v>142</v>
      </c>
    </row>
    <row r="49775" customFormat="false" ht="12.8" hidden="false" customHeight="false" outlineLevel="0" collapsed="false">
      <c r="B49775" s="0" t="s">
        <v>662</v>
      </c>
    </row>
    <row r="49777" customFormat="false" ht="12.8" hidden="false" customHeight="false" outlineLevel="0" collapsed="false">
      <c r="A49777" s="0" t="s">
        <v>17541</v>
      </c>
      <c r="B49777" s="0" t="str">
        <f aca="false">HYPERLINK("https://lindat.mff.cuni.cz/services/teitok/pdtc10/index.php?action=vallex&amp;frame=v-w7017f32_ZU", "udělat (v-w7017f32_ZU)")</f>
        <v>udělat (v-w7017f32_ZU)</v>
      </c>
    </row>
    <row r="49778" customFormat="false" ht="12.8" hidden="false" customHeight="false" outlineLevel="0" collapsed="false">
      <c r="B49778" s="0" t="s">
        <v>7</v>
      </c>
    </row>
    <row r="49779" customFormat="false" ht="12.8" hidden="false" customHeight="false" outlineLevel="0" collapsed="false">
      <c r="B49779" s="0" t="s">
        <v>17542</v>
      </c>
    </row>
    <row r="49781" customFormat="false" ht="12.8" hidden="false" customHeight="false" outlineLevel="0" collapsed="false">
      <c r="A49781" s="0" t="s">
        <v>17541</v>
      </c>
      <c r="B49781" s="0" t="str">
        <f aca="false">HYPERLINK("https://lindat.mff.cuni.cz/services/teitok/pdtc10/index.php?action=vallex&amp;frame=v-w7017f1", "udělat (v-w7017f1) - substituted with v-w7017f32_ZU")</f>
        <v>udělat (v-w7017f1) - substituted with v-w7017f32_ZU</v>
      </c>
    </row>
    <row r="49782" customFormat="false" ht="12.8" hidden="false" customHeight="false" outlineLevel="0" collapsed="false">
      <c r="B49782" s="0" t="s">
        <v>7</v>
      </c>
      <c r="C49782" s="0" t="s">
        <v>17543</v>
      </c>
      <c r="D49782" s="0" t="s">
        <v>17544</v>
      </c>
      <c r="E49782" s="0" t="s">
        <v>17544</v>
      </c>
      <c r="F49782" s="0" t="s">
        <v>17544</v>
      </c>
    </row>
    <row r="49783" customFormat="false" ht="12.8" hidden="false" customHeight="false" outlineLevel="0" collapsed="false">
      <c r="B49783" s="0" t="s">
        <v>17542</v>
      </c>
      <c r="C49783" s="0" t="s">
        <v>17545</v>
      </c>
      <c r="D49783" s="0" t="s">
        <v>17546</v>
      </c>
      <c r="E49783" s="0" t="s">
        <v>17546</v>
      </c>
      <c r="F49783" s="0" t="s">
        <v>17546</v>
      </c>
    </row>
    <row r="49785" customFormat="false" ht="12.8" hidden="false" customHeight="false" outlineLevel="0" collapsed="false">
      <c r="A49785" s="0" t="s">
        <v>17541</v>
      </c>
      <c r="B49785" s="0" t="str">
        <f aca="false">HYPERLINK("https://lindat.mff.cuni.cz/services/teitok/pdtc10/index.php?action=vallex&amp;frame=v-w7017f24_ZU", "udělat (v-w7017f24_ZU) - substituted with v-w7017f32_ZU")</f>
        <v>udělat (v-w7017f24_ZU) - substituted with v-w7017f32_ZU</v>
      </c>
    </row>
    <row r="49786" customFormat="false" ht="12.8" hidden="false" customHeight="false" outlineLevel="0" collapsed="false">
      <c r="B49786" s="0" t="s">
        <v>7</v>
      </c>
    </row>
    <row r="49787" customFormat="false" ht="12.8" hidden="false" customHeight="false" outlineLevel="0" collapsed="false">
      <c r="B49787" s="0" t="s">
        <v>17542</v>
      </c>
    </row>
    <row r="49789" customFormat="false" ht="12.8" hidden="false" customHeight="false" outlineLevel="0" collapsed="false">
      <c r="A49789" s="0" t="s">
        <v>17541</v>
      </c>
      <c r="B49789" s="0" t="str">
        <f aca="false">HYPERLINK("https://lindat.mff.cuni.cz/services/teitok/pdtc10/index.php?action=vallex&amp;frame=v-w7017f29_ZU", "udělat (v-w7017f29_ZU) - substituted with v-w7017f32_ZU")</f>
        <v>udělat (v-w7017f29_ZU) - substituted with v-w7017f32_ZU</v>
      </c>
    </row>
    <row r="49790" customFormat="false" ht="12.8" hidden="false" customHeight="false" outlineLevel="0" collapsed="false">
      <c r="B49790" s="0" t="s">
        <v>7</v>
      </c>
    </row>
    <row r="49791" customFormat="false" ht="12.8" hidden="false" customHeight="false" outlineLevel="0" collapsed="false">
      <c r="B49791" s="0" t="s">
        <v>17542</v>
      </c>
    </row>
    <row r="49793" customFormat="false" ht="12.8" hidden="false" customHeight="false" outlineLevel="0" collapsed="false">
      <c r="A49793" s="0" t="s">
        <v>17541</v>
      </c>
      <c r="B49793" s="0" t="str">
        <f aca="false">HYPERLINK("https://lindat.mff.cuni.cz/services/teitok/pdtc10/index.php?action=vallex&amp;frame=v-w7017f30_ZU", "udělat (v-w7017f30_ZU) - substituted with v-w7017f32_ZU")</f>
        <v>udělat (v-w7017f30_ZU) - substituted with v-w7017f32_ZU</v>
      </c>
    </row>
    <row r="49794" customFormat="false" ht="12.8" hidden="false" customHeight="false" outlineLevel="0" collapsed="false">
      <c r="B49794" s="0" t="s">
        <v>7</v>
      </c>
    </row>
    <row r="49795" customFormat="false" ht="12.8" hidden="false" customHeight="false" outlineLevel="0" collapsed="false">
      <c r="B49795" s="0" t="s">
        <v>17542</v>
      </c>
    </row>
    <row r="49797" customFormat="false" ht="12.8" hidden="false" customHeight="false" outlineLevel="0" collapsed="false">
      <c r="A49797" s="0" t="s">
        <v>17541</v>
      </c>
      <c r="B49797" s="0" t="str">
        <f aca="false">HYPERLINK("https://lindat.mff.cuni.cz/services/teitok/pdtc10/index.php?action=vallex&amp;frame=v-w7017hsa_2047", "udělat (v-w7017hsa_2047) - substituted with v-w7017f32_ZU")</f>
        <v>udělat (v-w7017hsa_2047) - substituted with v-w7017f32_ZU</v>
      </c>
    </row>
    <row r="49798" customFormat="false" ht="12.8" hidden="false" customHeight="false" outlineLevel="0" collapsed="false">
      <c r="B49798" s="0" t="s">
        <v>7</v>
      </c>
    </row>
    <row r="49799" customFormat="false" ht="12.8" hidden="false" customHeight="false" outlineLevel="0" collapsed="false">
      <c r="B49799" s="0" t="s">
        <v>17542</v>
      </c>
    </row>
    <row r="49801" customFormat="false" ht="12.8" hidden="false" customHeight="false" outlineLevel="0" collapsed="false">
      <c r="A49801" s="0" t="s">
        <v>17547</v>
      </c>
      <c r="B49801" s="0" t="str">
        <f aca="false">HYPERLINK("https://lindat.mff.cuni.cz/services/teitok/pdtc10/index.php?action=vallex&amp;frame=v-w7017f4", "udělat (v-w7017f4)")</f>
        <v>udělat (v-w7017f4)</v>
      </c>
    </row>
    <row r="49802" customFormat="false" ht="12.8" hidden="false" customHeight="false" outlineLevel="0" collapsed="false">
      <c r="B49802" s="0" t="s">
        <v>7</v>
      </c>
      <c r="C49802" s="0" t="s">
        <v>335</v>
      </c>
      <c r="D49802" s="0" t="s">
        <v>1725</v>
      </c>
      <c r="E49802" s="0" t="s">
        <v>1725</v>
      </c>
      <c r="F49802" s="0" t="s">
        <v>1725</v>
      </c>
    </row>
    <row r="49803" customFormat="false" ht="12.8" hidden="false" customHeight="false" outlineLevel="0" collapsed="false">
      <c r="B49803" s="0" t="s">
        <v>14</v>
      </c>
      <c r="C49803" s="0" t="s">
        <v>1170</v>
      </c>
      <c r="D49803" s="0" t="s">
        <v>1728</v>
      </c>
      <c r="E49803" s="0" t="s">
        <v>1728</v>
      </c>
      <c r="F49803" s="0" t="s">
        <v>1728</v>
      </c>
    </row>
    <row r="49805" customFormat="false" ht="12.8" hidden="false" customHeight="false" outlineLevel="0" collapsed="false">
      <c r="A49805" s="0" t="s">
        <v>17548</v>
      </c>
      <c r="B49805" s="0" t="str">
        <f aca="false">HYPERLINK("https://lindat.mff.cuni.cz/services/teitok/pdtc10/index.php?action=vallex&amp;frame=v-w7017f9", "udělat (v-w7017f9)")</f>
        <v>udělat (v-w7017f9)</v>
      </c>
    </row>
    <row r="49806" customFormat="false" ht="12.8" hidden="false" customHeight="false" outlineLevel="0" collapsed="false">
      <c r="B49806" s="0" t="s">
        <v>7</v>
      </c>
    </row>
    <row r="49807" customFormat="false" ht="12.8" hidden="false" customHeight="false" outlineLevel="0" collapsed="false">
      <c r="B49807" s="0" t="s">
        <v>14</v>
      </c>
    </row>
    <row r="49809" customFormat="false" ht="12.8" hidden="false" customHeight="false" outlineLevel="0" collapsed="false">
      <c r="A49809" s="0" t="s">
        <v>17549</v>
      </c>
      <c r="B49809" s="0" t="str">
        <f aca="false">HYPERLINK("https://lindat.mff.cuni.cz/services/teitok/pdtc10/index.php?action=vallex&amp;frame=v-w7017f13", "udělat (v-w7017f13)")</f>
        <v>udělat (v-w7017f13)</v>
      </c>
    </row>
    <row r="49810" customFormat="false" ht="12.8" hidden="false" customHeight="false" outlineLevel="0" collapsed="false">
      <c r="B49810" s="0" t="s">
        <v>7</v>
      </c>
    </row>
    <row r="49811" customFormat="false" ht="12.8" hidden="false" customHeight="false" outlineLevel="0" collapsed="false">
      <c r="B49811" s="0" t="s">
        <v>3472</v>
      </c>
      <c r="C49811" s="0" t="s">
        <v>500</v>
      </c>
    </row>
    <row r="49812" customFormat="false" ht="12.8" hidden="false" customHeight="false" outlineLevel="0" collapsed="false">
      <c r="B49812" s="0" t="s">
        <v>122</v>
      </c>
      <c r="C49812" s="0" t="s">
        <v>692</v>
      </c>
    </row>
    <row r="49814" customFormat="false" ht="12.8" hidden="false" customHeight="false" outlineLevel="0" collapsed="false">
      <c r="A49814" s="0" t="s">
        <v>17550</v>
      </c>
      <c r="B49814" s="0" t="str">
        <f aca="false">HYPERLINK("https://lindat.mff.cuni.cz/services/teitok/pdtc10/index.php?action=vallex&amp;frame=v-w7017f18_ZU", "udělat (v-w7017f18_ZU)")</f>
        <v>udělat (v-w7017f18_ZU)</v>
      </c>
    </row>
    <row r="49815" customFormat="false" ht="12.8" hidden="false" customHeight="false" outlineLevel="0" collapsed="false">
      <c r="B49815" s="0" t="s">
        <v>7</v>
      </c>
      <c r="C49815" s="0" t="s">
        <v>3042</v>
      </c>
      <c r="D49815" s="0" t="s">
        <v>3009</v>
      </c>
      <c r="E49815" s="0" t="s">
        <v>3009</v>
      </c>
      <c r="F49815" s="0" t="s">
        <v>3009</v>
      </c>
    </row>
    <row r="49816" customFormat="false" ht="12.8" hidden="false" customHeight="false" outlineLevel="0" collapsed="false">
      <c r="B49816" s="0" t="s">
        <v>17551</v>
      </c>
      <c r="C49816" s="0" t="s">
        <v>3043</v>
      </c>
      <c r="D49816" s="0" t="s">
        <v>3011</v>
      </c>
      <c r="E49816" s="0" t="s">
        <v>3011</v>
      </c>
      <c r="F49816" s="0" t="s">
        <v>3011</v>
      </c>
    </row>
    <row r="49817" customFormat="false" ht="12.8" hidden="false" customHeight="false" outlineLevel="0" collapsed="false">
      <c r="B49817" s="0" t="s">
        <v>48</v>
      </c>
      <c r="D49817" s="0" t="s">
        <v>2952</v>
      </c>
      <c r="E49817" s="0" t="s">
        <v>2952</v>
      </c>
      <c r="F49817" s="0" t="s">
        <v>2952</v>
      </c>
    </row>
    <row r="49819" customFormat="false" ht="12.8" hidden="false" customHeight="false" outlineLevel="0" collapsed="false">
      <c r="A49819" s="0" t="s">
        <v>17550</v>
      </c>
      <c r="B49819" s="0" t="str">
        <f aca="false">HYPERLINK("https://lindat.mff.cuni.cz/services/teitok/pdtc10/index.php?action=vallex&amp;frame=v-w7017f11", "udělat (v-w7017f11) - substituted with v-w7017f18_ZU")</f>
        <v>udělat (v-w7017f11) - substituted with v-w7017f18_ZU</v>
      </c>
    </row>
    <row r="49820" customFormat="false" ht="12.8" hidden="false" customHeight="false" outlineLevel="0" collapsed="false">
      <c r="B49820" s="0" t="s">
        <v>7</v>
      </c>
    </row>
    <row r="49821" customFormat="false" ht="12.8" hidden="false" customHeight="false" outlineLevel="0" collapsed="false">
      <c r="B49821" s="0" t="s">
        <v>17551</v>
      </c>
    </row>
    <row r="49822" customFormat="false" ht="12.8" hidden="false" customHeight="false" outlineLevel="0" collapsed="false">
      <c r="B49822" s="0" t="s">
        <v>48</v>
      </c>
    </row>
    <row r="49824" customFormat="false" ht="12.8" hidden="false" customHeight="false" outlineLevel="0" collapsed="false">
      <c r="A49824" s="0" t="s">
        <v>17552</v>
      </c>
      <c r="B49824" s="0" t="str">
        <f aca="false">HYPERLINK("https://lindat.mff.cuni.cz/services/teitok/pdtc10/index.php?action=vallex&amp;frame=v-w7017f28_ZU", "udělat (v-w7017f28_ZU)")</f>
        <v>udělat (v-w7017f28_ZU)</v>
      </c>
    </row>
    <row r="49825" customFormat="false" ht="12.8" hidden="false" customHeight="false" outlineLevel="0" collapsed="false">
      <c r="B49825" s="0" t="s">
        <v>7</v>
      </c>
    </row>
    <row r="49826" customFormat="false" ht="12.8" hidden="false" customHeight="false" outlineLevel="0" collapsed="false">
      <c r="B49826" s="0" t="s">
        <v>17553</v>
      </c>
    </row>
    <row r="49827" customFormat="false" ht="12.8" hidden="false" customHeight="false" outlineLevel="0" collapsed="false">
      <c r="B49827" s="0" t="s">
        <v>3441</v>
      </c>
    </row>
    <row r="49829" customFormat="false" ht="12.8" hidden="false" customHeight="false" outlineLevel="0" collapsed="false">
      <c r="A49829" s="0" t="s">
        <v>17552</v>
      </c>
      <c r="B49829" s="0" t="str">
        <f aca="false">HYPERLINK("https://lindat.mff.cuni.cz/services/teitok/pdtc10/index.php?action=vallex&amp;frame=v-w7017f14", "udělat (v-w7017f14) - substituted with v-w7017f28_ZU")</f>
        <v>udělat (v-w7017f14) - substituted with v-w7017f28_ZU</v>
      </c>
    </row>
    <row r="49830" customFormat="false" ht="12.8" hidden="false" customHeight="false" outlineLevel="0" collapsed="false">
      <c r="B49830" s="0" t="s">
        <v>7</v>
      </c>
    </row>
    <row r="49831" customFormat="false" ht="12.8" hidden="false" customHeight="false" outlineLevel="0" collapsed="false">
      <c r="B49831" s="0" t="s">
        <v>17553</v>
      </c>
    </row>
    <row r="49832" customFormat="false" ht="12.8" hidden="false" customHeight="false" outlineLevel="0" collapsed="false">
      <c r="B49832" s="0" t="s">
        <v>3441</v>
      </c>
    </row>
    <row r="49834" customFormat="false" ht="12.8" hidden="false" customHeight="false" outlineLevel="0" collapsed="false">
      <c r="A49834" s="0" t="s">
        <v>17554</v>
      </c>
      <c r="B49834" s="0" t="str">
        <f aca="false">HYPERLINK("https://lindat.mff.cuni.cz/services/teitok/pdtc10/index.php?action=vallex&amp;frame=v-w7017f40_MM", "udělat (v-w7017f40_MM)")</f>
        <v>udělat (v-w7017f40_MM)</v>
      </c>
    </row>
    <row r="49835" customFormat="false" ht="12.8" hidden="false" customHeight="false" outlineLevel="0" collapsed="false">
      <c r="B49835" s="0" t="s">
        <v>7</v>
      </c>
    </row>
    <row r="49836" customFormat="false" ht="12.8" hidden="false" customHeight="false" outlineLevel="0" collapsed="false">
      <c r="B49836" s="0" t="s">
        <v>17555</v>
      </c>
    </row>
    <row r="49838" customFormat="false" ht="12.8" hidden="false" customHeight="false" outlineLevel="0" collapsed="false">
      <c r="A49838" s="0" t="s">
        <v>17554</v>
      </c>
      <c r="B49838" s="0" t="str">
        <f aca="false">HYPERLINK("https://lindat.mff.cuni.cz/services/teitok/pdtc10/index.php?action=vallex&amp;frame=v-w7017f16", "udělat (v-w7017f16) - substituted with v-w7017f40_MM")</f>
        <v>udělat (v-w7017f16) - substituted with v-w7017f40_MM</v>
      </c>
    </row>
    <row r="49839" customFormat="false" ht="12.8" hidden="false" customHeight="false" outlineLevel="0" collapsed="false">
      <c r="B49839" s="0" t="s">
        <v>7</v>
      </c>
    </row>
    <row r="49840" customFormat="false" ht="12.8" hidden="false" customHeight="false" outlineLevel="0" collapsed="false">
      <c r="B49840" s="0" t="s">
        <v>17555</v>
      </c>
    </row>
    <row r="49842" customFormat="false" ht="12.8" hidden="false" customHeight="false" outlineLevel="0" collapsed="false">
      <c r="A49842" s="0" t="s">
        <v>17554</v>
      </c>
      <c r="B49842" s="0" t="str">
        <f aca="false">HYPERLINK("https://lindat.mff.cuni.cz/services/teitok/pdtc10/index.php?action=vallex&amp;frame=v-w7017f34_ZU", "udělat (v-w7017f34_ZU) - substituted with v-w7017f40_MM")</f>
        <v>udělat (v-w7017f34_ZU) - substituted with v-w7017f40_MM</v>
      </c>
    </row>
    <row r="49843" customFormat="false" ht="12.8" hidden="false" customHeight="false" outlineLevel="0" collapsed="false">
      <c r="B49843" s="0" t="s">
        <v>7</v>
      </c>
    </row>
    <row r="49844" customFormat="false" ht="12.8" hidden="false" customHeight="false" outlineLevel="0" collapsed="false">
      <c r="B49844" s="0" t="s">
        <v>17555</v>
      </c>
    </row>
    <row r="49846" customFormat="false" ht="12.8" hidden="false" customHeight="false" outlineLevel="0" collapsed="false">
      <c r="A49846" s="0" t="s">
        <v>17554</v>
      </c>
      <c r="B49846" s="0" t="str">
        <f aca="false">HYPERLINK("https://lindat.mff.cuni.cz/services/teitok/pdtc10/index.php?action=vallex&amp;frame=v-w7017f39_MM", "udělat (v-w7017f39_MM) - substituted with v-w7017f40_MM")</f>
        <v>udělat (v-w7017f39_MM) - substituted with v-w7017f40_MM</v>
      </c>
    </row>
    <row r="49847" customFormat="false" ht="12.8" hidden="false" customHeight="false" outlineLevel="0" collapsed="false">
      <c r="B49847" s="0" t="s">
        <v>7</v>
      </c>
    </row>
    <row r="49848" customFormat="false" ht="12.8" hidden="false" customHeight="false" outlineLevel="0" collapsed="false">
      <c r="B49848" s="0" t="s">
        <v>17555</v>
      </c>
    </row>
    <row r="49850" customFormat="false" ht="12.8" hidden="false" customHeight="false" outlineLevel="0" collapsed="false">
      <c r="A49850" s="0" t="s">
        <v>17554</v>
      </c>
      <c r="B49850" s="0" t="str">
        <f aca="false">HYPERLINK("https://lindat.mff.cuni.cz/services/teitok/pdtc10/index.php?action=vallex&amp;frame=v-w7017hsa_2051", "udělat (v-w7017hsa_2051) - substituted with v-w7017f40_MM")</f>
        <v>udělat (v-w7017hsa_2051) - substituted with v-w7017f40_MM</v>
      </c>
    </row>
    <row r="49851" customFormat="false" ht="12.8" hidden="false" customHeight="false" outlineLevel="0" collapsed="false">
      <c r="B49851" s="0" t="s">
        <v>7</v>
      </c>
    </row>
    <row r="49852" customFormat="false" ht="12.8" hidden="false" customHeight="false" outlineLevel="0" collapsed="false">
      <c r="B49852" s="0" t="s">
        <v>17555</v>
      </c>
    </row>
    <row r="49854" customFormat="false" ht="12.8" hidden="false" customHeight="false" outlineLevel="0" collapsed="false">
      <c r="A49854" s="0" t="s">
        <v>17556</v>
      </c>
      <c r="B49854" s="0" t="str">
        <f aca="false">HYPERLINK("https://lindat.mff.cuni.cz/services/teitok/pdtc10/index.php?action=vallex&amp;frame=v-w7017f42_MM", "udělat (v-w7017f42_MM)")</f>
        <v>udělat (v-w7017f42_MM)</v>
      </c>
    </row>
    <row r="49855" customFormat="false" ht="12.8" hidden="false" customHeight="false" outlineLevel="0" collapsed="false">
      <c r="B49855" s="0" t="s">
        <v>7</v>
      </c>
    </row>
    <row r="49856" customFormat="false" ht="12.8" hidden="false" customHeight="false" outlineLevel="0" collapsed="false">
      <c r="B49856" s="0" t="s">
        <v>17557</v>
      </c>
    </row>
    <row r="49858" customFormat="false" ht="12.8" hidden="false" customHeight="false" outlineLevel="0" collapsed="false">
      <c r="A49858" s="0" t="s">
        <v>17556</v>
      </c>
      <c r="B49858" s="0" t="str">
        <f aca="false">HYPERLINK("https://lindat.mff.cuni.cz/services/teitok/pdtc10/index.php?action=vallex&amp;frame=v-w7017f17_ZU", "udělat (v-w7017f17_ZU) - substituted with v-w7017f42_MM")</f>
        <v>udělat (v-w7017f17_ZU) - substituted with v-w7017f42_MM</v>
      </c>
    </row>
    <row r="49859" customFormat="false" ht="12.8" hidden="false" customHeight="false" outlineLevel="0" collapsed="false">
      <c r="B49859" s="0" t="s">
        <v>7</v>
      </c>
      <c r="C49859" s="0" t="s">
        <v>17558</v>
      </c>
    </row>
    <row r="49860" customFormat="false" ht="12.8" hidden="false" customHeight="false" outlineLevel="0" collapsed="false">
      <c r="B49860" s="0" t="s">
        <v>17557</v>
      </c>
      <c r="C49860" s="0" t="s">
        <v>17559</v>
      </c>
    </row>
    <row r="49862" customFormat="false" ht="12.8" hidden="false" customHeight="false" outlineLevel="0" collapsed="false">
      <c r="A49862" s="0" t="s">
        <v>17556</v>
      </c>
      <c r="B49862" s="0" t="str">
        <f aca="false">HYPERLINK("https://lindat.mff.cuni.cz/services/teitok/pdtc10/index.php?action=vallex&amp;frame=v-w7017f21_ZU", "udělat (v-w7017f21_ZU) - substituted with v-w7017f42_MM")</f>
        <v>udělat (v-w7017f21_ZU) - substituted with v-w7017f42_MM</v>
      </c>
    </row>
    <row r="49863" customFormat="false" ht="12.8" hidden="false" customHeight="false" outlineLevel="0" collapsed="false">
      <c r="B49863" s="0" t="s">
        <v>7</v>
      </c>
      <c r="C49863" s="0" t="s">
        <v>2431</v>
      </c>
    </row>
    <row r="49864" customFormat="false" ht="12.8" hidden="false" customHeight="false" outlineLevel="0" collapsed="false">
      <c r="B49864" s="0" t="s">
        <v>17557</v>
      </c>
      <c r="C49864" s="0" t="s">
        <v>3475</v>
      </c>
    </row>
    <row r="49866" customFormat="false" ht="12.8" hidden="false" customHeight="false" outlineLevel="0" collapsed="false">
      <c r="A49866" s="0" t="s">
        <v>17556</v>
      </c>
      <c r="B49866" s="0" t="str">
        <f aca="false">HYPERLINK("https://lindat.mff.cuni.cz/services/teitok/pdtc10/index.php?action=vallex&amp;frame=v-w7017f22_ZU", "udělat (v-w7017f22_ZU) - substituted with v-w7017f42_MM")</f>
        <v>udělat (v-w7017f22_ZU) - substituted with v-w7017f42_MM</v>
      </c>
    </row>
    <row r="49867" customFormat="false" ht="12.8" hidden="false" customHeight="false" outlineLevel="0" collapsed="false">
      <c r="B49867" s="0" t="s">
        <v>7</v>
      </c>
      <c r="C49867" s="0" t="s">
        <v>3469</v>
      </c>
    </row>
    <row r="49868" customFormat="false" ht="12.8" hidden="false" customHeight="false" outlineLevel="0" collapsed="false">
      <c r="B49868" s="0" t="s">
        <v>17557</v>
      </c>
      <c r="C49868" s="0" t="s">
        <v>12316</v>
      </c>
    </row>
    <row r="49870" customFormat="false" ht="12.8" hidden="false" customHeight="false" outlineLevel="0" collapsed="false">
      <c r="A49870" s="0" t="s">
        <v>17556</v>
      </c>
      <c r="B49870" s="0" t="str">
        <f aca="false">HYPERLINK("https://lindat.mff.cuni.cz/services/teitok/pdtc10/index.php?action=vallex&amp;frame=v-w7017f23_ZU", "udělat (v-w7017f23_ZU) - substituted with v-w7017f42_MM")</f>
        <v>udělat (v-w7017f23_ZU) - substituted with v-w7017f42_MM</v>
      </c>
    </row>
    <row r="49871" customFormat="false" ht="12.8" hidden="false" customHeight="false" outlineLevel="0" collapsed="false">
      <c r="B49871" s="0" t="s">
        <v>7</v>
      </c>
      <c r="C49871" s="0" t="s">
        <v>11401</v>
      </c>
      <c r="D49871" s="0" t="s">
        <v>2156</v>
      </c>
      <c r="E49871" s="0" t="s">
        <v>2156</v>
      </c>
      <c r="F49871" s="0" t="s">
        <v>2156</v>
      </c>
    </row>
    <row r="49872" customFormat="false" ht="12.8" hidden="false" customHeight="false" outlineLevel="0" collapsed="false">
      <c r="B49872" s="0" t="s">
        <v>17557</v>
      </c>
      <c r="C49872" s="0" t="s">
        <v>12348</v>
      </c>
      <c r="D49872" s="0" t="s">
        <v>9974</v>
      </c>
      <c r="E49872" s="0" t="s">
        <v>9974</v>
      </c>
      <c r="F49872" s="0" t="s">
        <v>9974</v>
      </c>
    </row>
    <row r="49874" customFormat="false" ht="12.8" hidden="false" customHeight="false" outlineLevel="0" collapsed="false">
      <c r="A49874" s="0" t="s">
        <v>17556</v>
      </c>
      <c r="B49874" s="0" t="str">
        <f aca="false">HYPERLINK("https://lindat.mff.cuni.cz/services/teitok/pdtc10/index.php?action=vallex&amp;frame=v-w7017f27_ZU", "udělat (v-w7017f27_ZU) - substituted with v-w7017f42_MM")</f>
        <v>udělat (v-w7017f27_ZU) - substituted with v-w7017f42_MM</v>
      </c>
    </row>
    <row r="49875" customFormat="false" ht="12.8" hidden="false" customHeight="false" outlineLevel="0" collapsed="false">
      <c r="B49875" s="0" t="s">
        <v>7</v>
      </c>
    </row>
    <row r="49876" customFormat="false" ht="12.8" hidden="false" customHeight="false" outlineLevel="0" collapsed="false">
      <c r="B49876" s="0" t="s">
        <v>17557</v>
      </c>
    </row>
    <row r="49878" customFormat="false" ht="12.8" hidden="false" customHeight="false" outlineLevel="0" collapsed="false">
      <c r="A49878" s="0" t="s">
        <v>17556</v>
      </c>
      <c r="B49878" s="0" t="str">
        <f aca="false">HYPERLINK("https://lindat.mff.cuni.cz/services/teitok/pdtc10/index.php?action=vallex&amp;frame=v-w7017f3", "udělat (v-w7017f3) - substituted with v-w7017f42_MM")</f>
        <v>udělat (v-w7017f3) - substituted with v-w7017f42_MM</v>
      </c>
    </row>
    <row r="49879" customFormat="false" ht="12.8" hidden="false" customHeight="false" outlineLevel="0" collapsed="false">
      <c r="B49879" s="0" t="s">
        <v>7</v>
      </c>
      <c r="C49879" s="0" t="s">
        <v>17560</v>
      </c>
    </row>
    <row r="49880" customFormat="false" ht="12.8" hidden="false" customHeight="false" outlineLevel="0" collapsed="false">
      <c r="B49880" s="0" t="s">
        <v>17557</v>
      </c>
      <c r="C49880" s="0" t="s">
        <v>17561</v>
      </c>
    </row>
    <row r="49882" customFormat="false" ht="12.8" hidden="false" customHeight="false" outlineLevel="0" collapsed="false">
      <c r="A49882" s="0" t="s">
        <v>17556</v>
      </c>
      <c r="B49882" s="0" t="str">
        <f aca="false">HYPERLINK("https://lindat.mff.cuni.cz/services/teitok/pdtc10/index.php?action=vallex&amp;frame=v-w7017f31_ZU", "udělat (v-w7017f31_ZU) - substituted with v-w7017f42_MM")</f>
        <v>udělat (v-w7017f31_ZU) - substituted with v-w7017f42_MM</v>
      </c>
    </row>
    <row r="49883" customFormat="false" ht="12.8" hidden="false" customHeight="false" outlineLevel="0" collapsed="false">
      <c r="B49883" s="0" t="s">
        <v>7</v>
      </c>
    </row>
    <row r="49884" customFormat="false" ht="12.8" hidden="false" customHeight="false" outlineLevel="0" collapsed="false">
      <c r="B49884" s="0" t="s">
        <v>17557</v>
      </c>
    </row>
    <row r="49886" customFormat="false" ht="12.8" hidden="false" customHeight="false" outlineLevel="0" collapsed="false">
      <c r="A49886" s="0" t="s">
        <v>17556</v>
      </c>
      <c r="B49886" s="0" t="str">
        <f aca="false">HYPERLINK("https://lindat.mff.cuni.cz/services/teitok/pdtc10/index.php?action=vallex&amp;frame=v-w7017f33_ZU", "udělat (v-w7017f33_ZU) - substituted with v-w7017f42_MM")</f>
        <v>udělat (v-w7017f33_ZU) - substituted with v-w7017f42_MM</v>
      </c>
    </row>
    <row r="49887" customFormat="false" ht="12.8" hidden="false" customHeight="false" outlineLevel="0" collapsed="false">
      <c r="B49887" s="0" t="s">
        <v>7</v>
      </c>
    </row>
    <row r="49888" customFormat="false" ht="12.8" hidden="false" customHeight="false" outlineLevel="0" collapsed="false">
      <c r="B49888" s="0" t="s">
        <v>17557</v>
      </c>
    </row>
    <row r="49890" customFormat="false" ht="12.8" hidden="false" customHeight="false" outlineLevel="0" collapsed="false">
      <c r="A49890" s="0" t="s">
        <v>17556</v>
      </c>
      <c r="B49890" s="0" t="str">
        <f aca="false">HYPERLINK("https://lindat.mff.cuni.cz/services/teitok/pdtc10/index.php?action=vallex&amp;frame=v-w7017f41_MM", "udělat (v-w7017f41_MM) - substituted with v-w7017f42_MM")</f>
        <v>udělat (v-w7017f41_MM) - substituted with v-w7017f42_MM</v>
      </c>
    </row>
    <row r="49891" customFormat="false" ht="12.8" hidden="false" customHeight="false" outlineLevel="0" collapsed="false">
      <c r="B49891" s="0" t="s">
        <v>7</v>
      </c>
    </row>
    <row r="49892" customFormat="false" ht="12.8" hidden="false" customHeight="false" outlineLevel="0" collapsed="false">
      <c r="B49892" s="0" t="s">
        <v>17557</v>
      </c>
    </row>
    <row r="49894" customFormat="false" ht="12.8" hidden="false" customHeight="false" outlineLevel="0" collapsed="false">
      <c r="A49894" s="0" t="s">
        <v>17556</v>
      </c>
      <c r="B49894" s="0" t="str">
        <f aca="false">HYPERLINK("https://lindat.mff.cuni.cz/services/teitok/pdtc10/index.php?action=vallex&amp;frame=v-w7017hsa_1303", "udělat (v-w7017hsa_1303) - substituted with v-w7017f42_MM")</f>
        <v>udělat (v-w7017hsa_1303) - substituted with v-w7017f42_MM</v>
      </c>
    </row>
    <row r="49895" customFormat="false" ht="12.8" hidden="false" customHeight="false" outlineLevel="0" collapsed="false">
      <c r="B49895" s="0" t="s">
        <v>7</v>
      </c>
    </row>
    <row r="49896" customFormat="false" ht="12.8" hidden="false" customHeight="false" outlineLevel="0" collapsed="false">
      <c r="B49896" s="0" t="s">
        <v>17557</v>
      </c>
    </row>
    <row r="49898" customFormat="false" ht="12.8" hidden="false" customHeight="false" outlineLevel="0" collapsed="false">
      <c r="A49898" s="0" t="s">
        <v>17556</v>
      </c>
      <c r="B49898" s="0" t="str">
        <f aca="false">HYPERLINK("https://lindat.mff.cuni.cz/services/teitok/pdtc10/index.php?action=vallex&amp;frame=v-w7017hsa_2048", "udělat (v-w7017hsa_2048) - substituted with v-w7017f42_MM")</f>
        <v>udělat (v-w7017hsa_2048) - substituted with v-w7017f42_MM</v>
      </c>
    </row>
    <row r="49899" customFormat="false" ht="12.8" hidden="false" customHeight="false" outlineLevel="0" collapsed="false">
      <c r="B49899" s="0" t="s">
        <v>7</v>
      </c>
    </row>
    <row r="49900" customFormat="false" ht="12.8" hidden="false" customHeight="false" outlineLevel="0" collapsed="false">
      <c r="B49900" s="0" t="s">
        <v>17557</v>
      </c>
    </row>
    <row r="49902" customFormat="false" ht="12.8" hidden="false" customHeight="false" outlineLevel="0" collapsed="false">
      <c r="A49902" s="0" t="s">
        <v>17562</v>
      </c>
      <c r="B49902" s="0" t="str">
        <f aca="false">HYPERLINK("https://lindat.mff.cuni.cz/services/teitok/pdtc10/index.php?action=vallex&amp;frame=v-w7017f15", "udělat (v-w7017f15)")</f>
        <v>udělat (v-w7017f15)</v>
      </c>
    </row>
    <row r="49903" customFormat="false" ht="12.8" hidden="false" customHeight="false" outlineLevel="0" collapsed="false">
      <c r="B49903" s="0" t="s">
        <v>7</v>
      </c>
    </row>
    <row r="49904" customFormat="false" ht="12.8" hidden="false" customHeight="false" outlineLevel="0" collapsed="false">
      <c r="B49904" s="0" t="s">
        <v>17563</v>
      </c>
    </row>
    <row r="49906" customFormat="false" ht="12.8" hidden="false" customHeight="false" outlineLevel="0" collapsed="false">
      <c r="A49906" s="0" t="s">
        <v>17564</v>
      </c>
      <c r="B49906" s="0" t="str">
        <f aca="false">HYPERLINK("https://lindat.mff.cuni.cz/services/teitok/pdtc10/index.php?action=vallex&amp;frame=v-w7017f8", "udělat (v-w7017f8)")</f>
        <v>udělat (v-w7017f8)</v>
      </c>
    </row>
    <row r="49907" customFormat="false" ht="12.8" hidden="false" customHeight="false" outlineLevel="0" collapsed="false">
      <c r="B49907" s="0" t="s">
        <v>7</v>
      </c>
      <c r="C49907" s="0" t="s">
        <v>3610</v>
      </c>
      <c r="D49907" s="0" t="s">
        <v>4268</v>
      </c>
      <c r="E49907" s="0" t="s">
        <v>4268</v>
      </c>
      <c r="F49907" s="0" t="s">
        <v>4268</v>
      </c>
    </row>
    <row r="49908" customFormat="false" ht="12.8" hidden="false" customHeight="false" outlineLevel="0" collapsed="false">
      <c r="B49908" s="0" t="s">
        <v>17565</v>
      </c>
      <c r="C49908" s="0" t="s">
        <v>3589</v>
      </c>
    </row>
    <row r="49910" customFormat="false" ht="12.8" hidden="false" customHeight="false" outlineLevel="0" collapsed="false">
      <c r="A49910" s="0" t="s">
        <v>17566</v>
      </c>
      <c r="B49910" s="0" t="str">
        <f aca="false">HYPERLINK("https://lindat.mff.cuni.cz/services/teitok/pdtc10/index.php?action=vallex&amp;frame=v-w7017f6", "udělat (v-w7017f6)")</f>
        <v>udělat (v-w7017f6)</v>
      </c>
    </row>
    <row r="49911" customFormat="false" ht="12.8" hidden="false" customHeight="false" outlineLevel="0" collapsed="false">
      <c r="B49911" s="0" t="s">
        <v>7</v>
      </c>
    </row>
    <row r="49912" customFormat="false" ht="12.8" hidden="false" customHeight="false" outlineLevel="0" collapsed="false">
      <c r="B49912" s="0" t="s">
        <v>17567</v>
      </c>
    </row>
    <row r="49914" customFormat="false" ht="12.8" hidden="false" customHeight="false" outlineLevel="0" collapsed="false">
      <c r="A49914" s="0" t="s">
        <v>17568</v>
      </c>
      <c r="B49914" s="0" t="str">
        <f aca="false">HYPERLINK("https://lindat.mff.cuni.cz/services/teitok/pdtc10/index.php?action=vallex&amp;frame=v-w7017hsa_1302", "udělat (v-w7017hsa_1302)")</f>
        <v>udělat (v-w7017hsa_1302)</v>
      </c>
    </row>
    <row r="49915" customFormat="false" ht="12.8" hidden="false" customHeight="false" outlineLevel="0" collapsed="false">
      <c r="B49915" s="0" t="s">
        <v>7</v>
      </c>
      <c r="C49915" s="0" t="s">
        <v>410</v>
      </c>
    </row>
    <row r="49916" customFormat="false" ht="12.8" hidden="false" customHeight="false" outlineLevel="0" collapsed="false">
      <c r="B49916" s="0" t="s">
        <v>662</v>
      </c>
      <c r="C49916" s="0" t="s">
        <v>3452</v>
      </c>
    </row>
    <row r="49918" customFormat="false" ht="12.8" hidden="false" customHeight="false" outlineLevel="0" collapsed="false">
      <c r="A49918" s="0" t="s">
        <v>17569</v>
      </c>
      <c r="B49918" s="0" t="str">
        <f aca="false">HYPERLINK("https://lindat.mff.cuni.cz/services/teitok/pdtc10/index.php?action=vallex&amp;frame=v-w7017f19_ZU", "udělat (v-w7017f19_ZU)")</f>
        <v>udělat (v-w7017f19_ZU)</v>
      </c>
    </row>
    <row r="49919" customFormat="false" ht="12.8" hidden="false" customHeight="false" outlineLevel="0" collapsed="false">
      <c r="B49919" s="0" t="s">
        <v>7</v>
      </c>
      <c r="C49919" s="0" t="s">
        <v>9967</v>
      </c>
      <c r="D49919" s="0" t="s">
        <v>1142</v>
      </c>
      <c r="E49919" s="0" t="s">
        <v>1142</v>
      </c>
      <c r="F49919" s="0" t="s">
        <v>1142</v>
      </c>
    </row>
    <row r="49920" customFormat="false" ht="12.8" hidden="false" customHeight="false" outlineLevel="0" collapsed="false">
      <c r="B49920" s="0" t="s">
        <v>17570</v>
      </c>
      <c r="C49920" s="0" t="s">
        <v>17571</v>
      </c>
      <c r="D49920" s="0" t="s">
        <v>4063</v>
      </c>
      <c r="E49920" s="0" t="s">
        <v>4063</v>
      </c>
      <c r="F49920" s="0" t="s">
        <v>4063</v>
      </c>
    </row>
    <row r="49922" customFormat="false" ht="12.8" hidden="false" customHeight="false" outlineLevel="0" collapsed="false">
      <c r="A49922" s="0" t="s">
        <v>17572</v>
      </c>
      <c r="B49922" s="0" t="str">
        <f aca="false">HYPERLINK("https://lindat.mff.cuni.cz/services/teitok/pdtc10/index.php?action=vallex&amp;frame=v-w7017f20_ZU", "udělat (v-w7017f20_ZU)")</f>
        <v>udělat (v-w7017f20_ZU)</v>
      </c>
    </row>
    <row r="49923" customFormat="false" ht="12.8" hidden="false" customHeight="false" outlineLevel="0" collapsed="false">
      <c r="B49923" s="0" t="s">
        <v>7</v>
      </c>
    </row>
    <row r="49924" customFormat="false" ht="12.8" hidden="false" customHeight="false" outlineLevel="0" collapsed="false">
      <c r="B49924" s="0" t="s">
        <v>17573</v>
      </c>
    </row>
    <row r="49926" customFormat="false" ht="12.8" hidden="false" customHeight="false" outlineLevel="0" collapsed="false">
      <c r="A49926" s="0" t="s">
        <v>17574</v>
      </c>
      <c r="B49926" s="0" t="str">
        <f aca="false">HYPERLINK("https://lindat.mff.cuni.cz/services/teitok/pdtc10/index.php?action=vallex&amp;frame=v-w7017f25_ZU", "udělat (v-w7017f25_ZU)")</f>
        <v>udělat (v-w7017f25_ZU)</v>
      </c>
    </row>
    <row r="49927" customFormat="false" ht="12.8" hidden="false" customHeight="false" outlineLevel="0" collapsed="false">
      <c r="B49927" s="0" t="s">
        <v>7</v>
      </c>
    </row>
    <row r="49928" customFormat="false" ht="12.8" hidden="false" customHeight="false" outlineLevel="0" collapsed="false">
      <c r="B49928" s="0" t="s">
        <v>17575</v>
      </c>
    </row>
    <row r="49929" customFormat="false" ht="12.8" hidden="false" customHeight="false" outlineLevel="0" collapsed="false">
      <c r="B49929" s="0" t="s">
        <v>581</v>
      </c>
    </row>
    <row r="49931" customFormat="false" ht="12.8" hidden="false" customHeight="false" outlineLevel="0" collapsed="false">
      <c r="A49931" s="0" t="s">
        <v>17574</v>
      </c>
      <c r="B49931" s="0" t="str">
        <f aca="false">HYPERLINK("https://lindat.mff.cuni.cz/services/teitok/pdtc10/index.php?action=vallex&amp;frame=v-w7017hsa_2049", "udělat (v-w7017hsa_2049) - substituted with v-w7017f25_ZU")</f>
        <v>udělat (v-w7017hsa_2049) - substituted with v-w7017f25_ZU</v>
      </c>
    </row>
    <row r="49932" customFormat="false" ht="12.8" hidden="false" customHeight="false" outlineLevel="0" collapsed="false">
      <c r="B49932" s="0" t="s">
        <v>7</v>
      </c>
    </row>
    <row r="49933" customFormat="false" ht="12.8" hidden="false" customHeight="false" outlineLevel="0" collapsed="false">
      <c r="B49933" s="0" t="s">
        <v>17575</v>
      </c>
    </row>
    <row r="49934" customFormat="false" ht="12.8" hidden="false" customHeight="false" outlineLevel="0" collapsed="false">
      <c r="B49934" s="0" t="s">
        <v>581</v>
      </c>
    </row>
    <row r="49936" customFormat="false" ht="12.8" hidden="false" customHeight="false" outlineLevel="0" collapsed="false">
      <c r="A49936" s="0" t="s">
        <v>17576</v>
      </c>
      <c r="B49936" s="0" t="str">
        <f aca="false">HYPERLINK("https://lindat.mff.cuni.cz/services/teitok/pdtc10/index.php?action=vallex&amp;frame=v-w7017f26_ZU", "udělat (v-w7017f26_ZU)")</f>
        <v>udělat (v-w7017f26_ZU)</v>
      </c>
    </row>
    <row r="49937" customFormat="false" ht="12.8" hidden="false" customHeight="false" outlineLevel="0" collapsed="false">
      <c r="B49937" s="0" t="s">
        <v>7</v>
      </c>
    </row>
    <row r="49938" customFormat="false" ht="12.8" hidden="false" customHeight="false" outlineLevel="0" collapsed="false">
      <c r="B49938" s="0" t="s">
        <v>17577</v>
      </c>
    </row>
    <row r="49940" customFormat="false" ht="12.8" hidden="false" customHeight="false" outlineLevel="0" collapsed="false">
      <c r="A49940" s="0" t="s">
        <v>17576</v>
      </c>
      <c r="B49940" s="0" t="str">
        <f aca="false">HYPERLINK("https://lindat.mff.cuni.cz/services/teitok/pdtc10/index.php?action=vallex&amp;frame=v-w7017hsa_2050", "udělat (v-w7017hsa_2050) - substituted with v-w7017f26_ZU")</f>
        <v>udělat (v-w7017hsa_2050) - substituted with v-w7017f26_ZU</v>
      </c>
    </row>
    <row r="49941" customFormat="false" ht="12.8" hidden="false" customHeight="false" outlineLevel="0" collapsed="false">
      <c r="B49941" s="0" t="s">
        <v>7</v>
      </c>
    </row>
    <row r="49942" customFormat="false" ht="12.8" hidden="false" customHeight="false" outlineLevel="0" collapsed="false">
      <c r="B49942" s="0" t="s">
        <v>17577</v>
      </c>
    </row>
    <row r="49944" customFormat="false" ht="12.8" hidden="false" customHeight="false" outlineLevel="0" collapsed="false">
      <c r="A49944" s="0" t="s">
        <v>17578</v>
      </c>
      <c r="B49944" s="0" t="str">
        <f aca="false">HYPERLINK("https://lindat.mff.cuni.cz/services/teitok/pdtc10/index.php?action=vallex&amp;frame=v-w7017f35_ZU", "udělat (v-w7017f35_ZU)")</f>
        <v>udělat (v-w7017f35_ZU)</v>
      </c>
    </row>
    <row r="49945" customFormat="false" ht="12.8" hidden="false" customHeight="false" outlineLevel="0" collapsed="false">
      <c r="B49945" s="0" t="s">
        <v>7</v>
      </c>
    </row>
    <row r="49946" customFormat="false" ht="12.8" hidden="false" customHeight="false" outlineLevel="0" collapsed="false">
      <c r="B49946" s="0" t="s">
        <v>3490</v>
      </c>
    </row>
    <row r="49948" customFormat="false" ht="12.8" hidden="false" customHeight="false" outlineLevel="0" collapsed="false">
      <c r="A49948" s="0" t="s">
        <v>17579</v>
      </c>
      <c r="B49948" s="0" t="str">
        <f aca="false">HYPERLINK("https://lindat.mff.cuni.cz/services/teitok/pdtc10/index.php?action=vallex&amp;frame=v-w7017f36_ZU", "udělat (v-w7017f36_ZU)")</f>
        <v>udělat (v-w7017f36_ZU)</v>
      </c>
    </row>
    <row r="49949" customFormat="false" ht="12.8" hidden="false" customHeight="false" outlineLevel="0" collapsed="false">
      <c r="B49949" s="0" t="s">
        <v>7</v>
      </c>
    </row>
    <row r="49950" customFormat="false" ht="12.8" hidden="false" customHeight="false" outlineLevel="0" collapsed="false">
      <c r="B49950" s="0" t="s">
        <v>14</v>
      </c>
    </row>
    <row r="49952" customFormat="false" ht="12.8" hidden="false" customHeight="false" outlineLevel="0" collapsed="false">
      <c r="A49952" s="0" t="s">
        <v>17580</v>
      </c>
      <c r="B49952" s="0" t="str">
        <f aca="false">HYPERLINK("https://lindat.mff.cuni.cz/services/teitok/pdtc10/index.php?action=vallex&amp;frame=v-w7018f2", "udělat se (v-w7018f2)")</f>
        <v>udělat se (v-w7018f2)</v>
      </c>
    </row>
    <row r="49953" customFormat="false" ht="12.8" hidden="false" customHeight="false" outlineLevel="0" collapsed="false">
      <c r="B49953" s="0" t="s">
        <v>7</v>
      </c>
    </row>
    <row r="49954" customFormat="false" ht="12.8" hidden="false" customHeight="false" outlineLevel="0" collapsed="false">
      <c r="B49954" s="0" t="s">
        <v>581</v>
      </c>
    </row>
    <row r="49956" customFormat="false" ht="12.8" hidden="false" customHeight="false" outlineLevel="0" collapsed="false">
      <c r="A49956" s="0" t="s">
        <v>17581</v>
      </c>
      <c r="B49956" s="0" t="str">
        <f aca="false">HYPERLINK("https://lindat.mff.cuni.cz/services/teitok/pdtc10/index.php?action=vallex&amp;frame=v-w7018f3", "udělat se (v-w7018f3)")</f>
        <v>udělat se (v-w7018f3)</v>
      </c>
    </row>
    <row r="49957" customFormat="false" ht="12.8" hidden="false" customHeight="false" outlineLevel="0" collapsed="false">
      <c r="B49957" s="0" t="s">
        <v>7</v>
      </c>
    </row>
    <row r="49959" customFormat="false" ht="12.8" hidden="false" customHeight="false" outlineLevel="0" collapsed="false">
      <c r="A49959" s="0" t="s">
        <v>17582</v>
      </c>
      <c r="B49959" s="0" t="str">
        <f aca="false">HYPERLINK("https://lindat.mff.cuni.cz/services/teitok/pdtc10/index.php?action=vallex&amp;frame=v-w7018f1", "udělat se (v-w7018f1)")</f>
        <v>udělat se (v-w7018f1)</v>
      </c>
    </row>
    <row r="49960" customFormat="false" ht="12.8" hidden="false" customHeight="false" outlineLevel="0" collapsed="false">
      <c r="B49960" s="0" t="s">
        <v>552</v>
      </c>
    </row>
    <row r="49961" customFormat="false" ht="12.8" hidden="false" customHeight="false" outlineLevel="0" collapsed="false">
      <c r="B49961" s="0" t="s">
        <v>474</v>
      </c>
    </row>
    <row r="49962" customFormat="false" ht="12.8" hidden="false" customHeight="false" outlineLevel="0" collapsed="false">
      <c r="B49962" s="0" t="s">
        <v>477</v>
      </c>
    </row>
    <row r="49963" customFormat="false" ht="12.8" hidden="false" customHeight="false" outlineLevel="0" collapsed="false">
      <c r="B49963" s="0" t="s">
        <v>479</v>
      </c>
    </row>
    <row r="49964" customFormat="false" ht="12.8" hidden="false" customHeight="false" outlineLevel="0" collapsed="false">
      <c r="B49964" s="0" t="s">
        <v>481</v>
      </c>
    </row>
    <row r="49965" customFormat="false" ht="12.8" hidden="false" customHeight="false" outlineLevel="0" collapsed="false">
      <c r="B49965" s="0" t="s">
        <v>483</v>
      </c>
    </row>
    <row r="49967" customFormat="false" ht="12.8" hidden="false" customHeight="false" outlineLevel="0" collapsed="false">
      <c r="A49967" s="0" t="s">
        <v>17583</v>
      </c>
      <c r="B49967" s="0" t="str">
        <f aca="false">HYPERLINK("https://lindat.mff.cuni.cz/services/teitok/pdtc10/index.php?action=vallex&amp;frame=v-w7018f4_ZU", "udělat se (v-w7018f4_ZU)")</f>
        <v>udělat se (v-w7018f4_ZU)</v>
      </c>
    </row>
    <row r="49968" customFormat="false" ht="12.8" hidden="false" customHeight="false" outlineLevel="0" collapsed="false">
      <c r="B49968" s="0" t="s">
        <v>7</v>
      </c>
    </row>
    <row r="49970" customFormat="false" ht="12.8" hidden="false" customHeight="false" outlineLevel="0" collapsed="false">
      <c r="A49970" s="0" t="s">
        <v>17584</v>
      </c>
      <c r="B49970" s="0" t="str">
        <f aca="false">HYPERLINK("https://lindat.mff.cuni.cz/services/teitok/pdtc10/index.php?action=vallex&amp;frame=v-w7018hsa_583", "udělat se (v-w7018hsa_583)")</f>
        <v>udělat se (v-w7018hsa_583)</v>
      </c>
    </row>
    <row r="49971" customFormat="false" ht="12.8" hidden="false" customHeight="false" outlineLevel="0" collapsed="false">
      <c r="B49971" s="0" t="s">
        <v>603</v>
      </c>
    </row>
    <row r="49972" customFormat="false" ht="12.8" hidden="false" customHeight="false" outlineLevel="0" collapsed="false">
      <c r="B49972" s="0" t="s">
        <v>662</v>
      </c>
    </row>
    <row r="49974" customFormat="false" ht="12.8" hidden="false" customHeight="false" outlineLevel="0" collapsed="false">
      <c r="A49974" s="0" t="s">
        <v>17585</v>
      </c>
      <c r="B49974" s="0" t="str">
        <f aca="false">HYPERLINK("https://lindat.mff.cuni.cz/services/teitok/pdtc10/index.php?action=vallex&amp;frame=v-w7019f3_ZU", "udělat si (v-w7019f3_ZU)")</f>
        <v>udělat si (v-w7019f3_ZU)</v>
      </c>
    </row>
    <row r="49975" customFormat="false" ht="12.8" hidden="false" customHeight="false" outlineLevel="0" collapsed="false">
      <c r="B49975" s="0" t="s">
        <v>7</v>
      </c>
    </row>
    <row r="49976" customFormat="false" ht="12.8" hidden="false" customHeight="false" outlineLevel="0" collapsed="false">
      <c r="B49976" s="0" t="s">
        <v>17586</v>
      </c>
    </row>
    <row r="49978" customFormat="false" ht="12.8" hidden="false" customHeight="false" outlineLevel="0" collapsed="false">
      <c r="A49978" s="0" t="s">
        <v>17585</v>
      </c>
      <c r="B49978" s="0" t="str">
        <f aca="false">HYPERLINK("https://lindat.mff.cuni.cz/services/teitok/pdtc10/index.php?action=vallex&amp;frame=v-w7019f1", "udělat si (v-w7019f1) - substituted with v-w7019f3_ZU")</f>
        <v>udělat si (v-w7019f1) - substituted with v-w7019f3_ZU</v>
      </c>
    </row>
    <row r="49979" customFormat="false" ht="12.8" hidden="false" customHeight="false" outlineLevel="0" collapsed="false">
      <c r="B49979" s="0" t="s">
        <v>7</v>
      </c>
      <c r="C49979" s="0" t="s">
        <v>17587</v>
      </c>
    </row>
    <row r="49980" customFormat="false" ht="12.8" hidden="false" customHeight="false" outlineLevel="0" collapsed="false">
      <c r="B49980" s="0" t="s">
        <v>17586</v>
      </c>
      <c r="C49980" s="0" t="s">
        <v>17588</v>
      </c>
    </row>
    <row r="49982" customFormat="false" ht="12.8" hidden="false" customHeight="false" outlineLevel="0" collapsed="false">
      <c r="A49982" s="0" t="s">
        <v>17585</v>
      </c>
      <c r="B49982" s="0" t="str">
        <f aca="false">HYPERLINK("https://lindat.mff.cuni.cz/services/teitok/pdtc10/index.php?action=vallex&amp;frame=v-w7019hsa_1311", "udělat si (v-w7019hsa_1311) - substituted with v-w7019f3_ZU")</f>
        <v>udělat si (v-w7019hsa_1311) - substituted with v-w7019f3_ZU</v>
      </c>
    </row>
    <row r="49983" customFormat="false" ht="12.8" hidden="false" customHeight="false" outlineLevel="0" collapsed="false">
      <c r="B49983" s="0" t="s">
        <v>7</v>
      </c>
    </row>
    <row r="49984" customFormat="false" ht="12.8" hidden="false" customHeight="false" outlineLevel="0" collapsed="false">
      <c r="B49984" s="0" t="s">
        <v>17586</v>
      </c>
    </row>
    <row r="49986" customFormat="false" ht="12.8" hidden="false" customHeight="false" outlineLevel="0" collapsed="false">
      <c r="A49986" s="0" t="s">
        <v>17585</v>
      </c>
      <c r="B49986" s="0" t="str">
        <f aca="false">HYPERLINK("https://lindat.mff.cuni.cz/services/teitok/pdtc10/index.php?action=vallex&amp;frame=v-w7019hsa_257", "udělat si (v-w7019hsa_257) - substituted with v-w7019f3_ZU")</f>
        <v>udělat si (v-w7019hsa_257) - substituted with v-w7019f3_ZU</v>
      </c>
    </row>
    <row r="49987" customFormat="false" ht="12.8" hidden="false" customHeight="false" outlineLevel="0" collapsed="false">
      <c r="B49987" s="0" t="s">
        <v>7</v>
      </c>
      <c r="D49987" s="0" t="s">
        <v>451</v>
      </c>
      <c r="E49987" s="0" t="s">
        <v>451</v>
      </c>
      <c r="F49987" s="0" t="s">
        <v>451</v>
      </c>
    </row>
    <row r="49988" customFormat="false" ht="12.8" hidden="false" customHeight="false" outlineLevel="0" collapsed="false">
      <c r="B49988" s="0" t="s">
        <v>17586</v>
      </c>
      <c r="D49988" s="0" t="s">
        <v>17589</v>
      </c>
      <c r="E49988" s="0" t="s">
        <v>17589</v>
      </c>
      <c r="F49988" s="0" t="s">
        <v>17589</v>
      </c>
    </row>
    <row r="49990" customFormat="false" ht="12.8" hidden="false" customHeight="false" outlineLevel="0" collapsed="false">
      <c r="A49990" s="0" t="s">
        <v>17590</v>
      </c>
      <c r="B49990" s="0" t="str">
        <f aca="false">HYPERLINK("https://lindat.mff.cuni.cz/services/teitok/pdtc10/index.php?action=vallex&amp;frame=v-w7019f2_ZU", "udělat si (v-w7019f2_ZU)")</f>
        <v>udělat si (v-w7019f2_ZU)</v>
      </c>
    </row>
    <row r="49991" customFormat="false" ht="12.8" hidden="false" customHeight="false" outlineLevel="0" collapsed="false">
      <c r="B49991" s="0" t="s">
        <v>7</v>
      </c>
      <c r="C49991" s="0" t="s">
        <v>2240</v>
      </c>
    </row>
    <row r="49992" customFormat="false" ht="12.8" hidden="false" customHeight="false" outlineLevel="0" collapsed="false">
      <c r="B49992" s="0" t="s">
        <v>17591</v>
      </c>
      <c r="C49992" s="0" t="s">
        <v>2385</v>
      </c>
    </row>
    <row r="49993" customFormat="false" ht="12.8" hidden="false" customHeight="false" outlineLevel="0" collapsed="false">
      <c r="B49993" s="0" t="s">
        <v>244</v>
      </c>
    </row>
    <row r="49995" customFormat="false" ht="12.8" hidden="false" customHeight="false" outlineLevel="0" collapsed="false">
      <c r="A49995" s="0" t="s">
        <v>17592</v>
      </c>
      <c r="B49995" s="0" t="str">
        <f aca="false">HYPERLINK("https://lindat.mff.cuni.cz/services/teitok/pdtc10/index.php?action=vallex&amp;frame=v-w7019hsa_1310", "udělat si (v-w7019hsa_1310)")</f>
        <v>udělat si (v-w7019hsa_1310)</v>
      </c>
    </row>
    <row r="49996" customFormat="false" ht="12.8" hidden="false" customHeight="false" outlineLevel="0" collapsed="false">
      <c r="B49996" s="0" t="s">
        <v>7</v>
      </c>
    </row>
    <row r="49997" customFormat="false" ht="12.8" hidden="false" customHeight="false" outlineLevel="0" collapsed="false">
      <c r="B49997" s="0" t="s">
        <v>14</v>
      </c>
    </row>
    <row r="49999" customFormat="false" ht="12.8" hidden="false" customHeight="false" outlineLevel="0" collapsed="false">
      <c r="A49999" s="0" t="s">
        <v>17593</v>
      </c>
      <c r="B49999" s="0" t="str">
        <f aca="false">HYPERLINK("https://lindat.mff.cuni.cz/services/teitok/pdtc10/index.php?action=vallex&amp;frame=v-w7022f1", "udělit (v-w7022f1)")</f>
        <v>udělit (v-w7022f1)</v>
      </c>
    </row>
    <row r="50000" customFormat="false" ht="12.8" hidden="false" customHeight="false" outlineLevel="0" collapsed="false">
      <c r="B50000" s="0" t="s">
        <v>7</v>
      </c>
      <c r="C50000" s="0" t="s">
        <v>17594</v>
      </c>
      <c r="D50000" s="0" t="s">
        <v>12114</v>
      </c>
      <c r="E50000" s="0" t="s">
        <v>17595</v>
      </c>
      <c r="F50000" s="0" t="s">
        <v>17595</v>
      </c>
    </row>
    <row r="50001" customFormat="false" ht="12.8" hidden="false" customHeight="false" outlineLevel="0" collapsed="false">
      <c r="B50001" s="0" t="s">
        <v>14</v>
      </c>
      <c r="C50001" s="0" t="s">
        <v>17596</v>
      </c>
      <c r="D50001" s="0" t="s">
        <v>12117</v>
      </c>
      <c r="E50001" s="0" t="s">
        <v>17597</v>
      </c>
      <c r="F50001" s="0" t="s">
        <v>17597</v>
      </c>
    </row>
    <row r="50002" customFormat="false" ht="12.8" hidden="false" customHeight="false" outlineLevel="0" collapsed="false">
      <c r="B50002" s="0" t="s">
        <v>48</v>
      </c>
      <c r="C50002" s="0" t="s">
        <v>17598</v>
      </c>
      <c r="D50002" s="0" t="s">
        <v>12120</v>
      </c>
      <c r="E50002" s="0" t="s">
        <v>17599</v>
      </c>
      <c r="F50002" s="0" t="s">
        <v>17599</v>
      </c>
    </row>
    <row r="50004" customFormat="false" ht="12.8" hidden="false" customHeight="false" outlineLevel="0" collapsed="false">
      <c r="A50004" s="0" t="s">
        <v>17600</v>
      </c>
      <c r="B50004" s="0" t="str">
        <f aca="false">HYPERLINK("https://lindat.mff.cuni.cz/services/teitok/pdtc10/index.php?action=vallex&amp;frame=v-w7022f5_ZU", "udělit (v-w7022f5_ZU)")</f>
        <v>udělit (v-w7022f5_ZU)</v>
      </c>
    </row>
    <row r="50005" customFormat="false" ht="12.8" hidden="false" customHeight="false" outlineLevel="0" collapsed="false">
      <c r="B50005" s="0" t="s">
        <v>7</v>
      </c>
      <c r="C50005" s="0" t="s">
        <v>12386</v>
      </c>
      <c r="D50005" s="0" t="s">
        <v>17601</v>
      </c>
      <c r="E50005" s="0" t="s">
        <v>17601</v>
      </c>
      <c r="F50005" s="0" t="s">
        <v>17601</v>
      </c>
    </row>
    <row r="50006" customFormat="false" ht="12.8" hidden="false" customHeight="false" outlineLevel="0" collapsed="false">
      <c r="B50006" s="0" t="s">
        <v>17602</v>
      </c>
      <c r="C50006" s="0" t="s">
        <v>17603</v>
      </c>
      <c r="D50006" s="0" t="s">
        <v>17604</v>
      </c>
      <c r="E50006" s="0" t="s">
        <v>17604</v>
      </c>
      <c r="F50006" s="0" t="s">
        <v>17604</v>
      </c>
    </row>
    <row r="50007" customFormat="false" ht="12.8" hidden="false" customHeight="false" outlineLevel="0" collapsed="false">
      <c r="B50007" s="0" t="s">
        <v>48</v>
      </c>
      <c r="C50007" s="0" t="s">
        <v>17605</v>
      </c>
      <c r="D50007" s="0" t="s">
        <v>17606</v>
      </c>
      <c r="E50007" s="0" t="s">
        <v>17606</v>
      </c>
      <c r="F50007" s="0" t="s">
        <v>17606</v>
      </c>
    </row>
    <row r="50009" customFormat="false" ht="12.8" hidden="false" customHeight="false" outlineLevel="0" collapsed="false">
      <c r="A50009" s="0" t="s">
        <v>17600</v>
      </c>
      <c r="B50009" s="0" t="str">
        <f aca="false">HYPERLINK("https://lindat.mff.cuni.cz/services/teitok/pdtc10/index.php?action=vallex&amp;frame=v-w7022f2", "udělit (v-w7022f2) - substituted with v-w7022f5_ZU")</f>
        <v>udělit (v-w7022f2) - substituted with v-w7022f5_ZU</v>
      </c>
    </row>
    <row r="50010" customFormat="false" ht="12.8" hidden="false" customHeight="false" outlineLevel="0" collapsed="false">
      <c r="B50010" s="0" t="s">
        <v>7</v>
      </c>
      <c r="C50010" s="0" t="s">
        <v>1386</v>
      </c>
    </row>
    <row r="50011" customFormat="false" ht="12.8" hidden="false" customHeight="false" outlineLevel="0" collapsed="false">
      <c r="B50011" s="0" t="s">
        <v>17602</v>
      </c>
      <c r="C50011" s="0" t="s">
        <v>3016</v>
      </c>
    </row>
    <row r="50012" customFormat="false" ht="12.8" hidden="false" customHeight="false" outlineLevel="0" collapsed="false">
      <c r="B50012" s="0" t="s">
        <v>48</v>
      </c>
      <c r="C50012" s="0" t="s">
        <v>3018</v>
      </c>
    </row>
    <row r="50014" customFormat="false" ht="12.8" hidden="false" customHeight="false" outlineLevel="0" collapsed="false">
      <c r="A50014" s="0" t="s">
        <v>17600</v>
      </c>
      <c r="B50014" s="0" t="str">
        <f aca="false">HYPERLINK("https://lindat.mff.cuni.cz/services/teitok/pdtc10/index.php?action=vallex&amp;frame=v-w7022f3_ZU", "udělit (v-w7022f3_ZU) - substituted with v-w7022f5_ZU")</f>
        <v>udělit (v-w7022f3_ZU) - substituted with v-w7022f5_ZU</v>
      </c>
    </row>
    <row r="50015" customFormat="false" ht="12.8" hidden="false" customHeight="false" outlineLevel="0" collapsed="false">
      <c r="B50015" s="0" t="s">
        <v>7</v>
      </c>
      <c r="C50015" s="0" t="s">
        <v>1386</v>
      </c>
    </row>
    <row r="50016" customFormat="false" ht="12.8" hidden="false" customHeight="false" outlineLevel="0" collapsed="false">
      <c r="B50016" s="0" t="s">
        <v>17602</v>
      </c>
      <c r="C50016" s="0" t="s">
        <v>3016</v>
      </c>
    </row>
    <row r="50017" customFormat="false" ht="12.8" hidden="false" customHeight="false" outlineLevel="0" collapsed="false">
      <c r="B50017" s="0" t="s">
        <v>48</v>
      </c>
      <c r="C50017" s="0" t="s">
        <v>3018</v>
      </c>
    </row>
    <row r="50019" customFormat="false" ht="12.8" hidden="false" customHeight="false" outlineLevel="0" collapsed="false">
      <c r="A50019" s="0" t="s">
        <v>17600</v>
      </c>
      <c r="B50019" s="0" t="str">
        <f aca="false">HYPERLINK("https://lindat.mff.cuni.cz/services/teitok/pdtc10/index.php?action=vallex&amp;frame=v-w7022f4_ZU", "udělit (v-w7022f4_ZU) - substituted with v-w7022f5_ZU")</f>
        <v>udělit (v-w7022f4_ZU) - substituted with v-w7022f5_ZU</v>
      </c>
    </row>
    <row r="50020" customFormat="false" ht="12.8" hidden="false" customHeight="false" outlineLevel="0" collapsed="false">
      <c r="B50020" s="0" t="s">
        <v>7</v>
      </c>
      <c r="C50020" s="0" t="s">
        <v>118</v>
      </c>
    </row>
    <row r="50021" customFormat="false" ht="12.8" hidden="false" customHeight="false" outlineLevel="0" collapsed="false">
      <c r="B50021" s="0" t="s">
        <v>17602</v>
      </c>
      <c r="C50021" s="0" t="s">
        <v>17607</v>
      </c>
    </row>
    <row r="50022" customFormat="false" ht="12.8" hidden="false" customHeight="false" outlineLevel="0" collapsed="false">
      <c r="B50022" s="0" t="s">
        <v>48</v>
      </c>
      <c r="C50022" s="0" t="s">
        <v>17608</v>
      </c>
    </row>
    <row r="50024" customFormat="false" ht="12.8" hidden="false" customHeight="false" outlineLevel="0" collapsed="false">
      <c r="A50024" s="0" t="s">
        <v>17600</v>
      </c>
      <c r="B50024" s="0" t="str">
        <f aca="false">HYPERLINK("https://lindat.mff.cuni.cz/services/teitok/pdtc10/index.php?action=vallex&amp;frame=v-w7022hsa_540", "udělit (v-w7022hsa_540) - substituted with v-w7022f5_ZU")</f>
        <v>udělit (v-w7022hsa_540) - substituted with v-w7022f5_ZU</v>
      </c>
    </row>
    <row r="50025" customFormat="false" ht="12.8" hidden="false" customHeight="false" outlineLevel="0" collapsed="false">
      <c r="B50025" s="0" t="s">
        <v>7</v>
      </c>
    </row>
    <row r="50026" customFormat="false" ht="12.8" hidden="false" customHeight="false" outlineLevel="0" collapsed="false">
      <c r="B50026" s="0" t="s">
        <v>17602</v>
      </c>
    </row>
    <row r="50027" customFormat="false" ht="12.8" hidden="false" customHeight="false" outlineLevel="0" collapsed="false">
      <c r="B50027" s="0" t="s">
        <v>48</v>
      </c>
    </row>
    <row r="50029" customFormat="false" ht="12.8" hidden="false" customHeight="false" outlineLevel="0" collapsed="false">
      <c r="A50029" s="0" t="s">
        <v>17609</v>
      </c>
      <c r="B50029" s="0" t="str">
        <f aca="false">HYPERLINK("https://lindat.mff.cuni.cz/services/teitok/pdtc10/index.php?action=vallex&amp;frame=v-w7024f1", "udělovat (v-w7024f1)")</f>
        <v>udělovat (v-w7024f1)</v>
      </c>
    </row>
    <row r="50030" customFormat="false" ht="12.8" hidden="false" customHeight="false" outlineLevel="0" collapsed="false">
      <c r="B50030" s="0" t="s">
        <v>7</v>
      </c>
      <c r="C50030" s="0" t="s">
        <v>17610</v>
      </c>
      <c r="D50030" s="0" t="s">
        <v>4960</v>
      </c>
      <c r="E50030" s="0" t="s">
        <v>4161</v>
      </c>
      <c r="F50030" s="0" t="s">
        <v>4161</v>
      </c>
    </row>
    <row r="50031" customFormat="false" ht="12.8" hidden="false" customHeight="false" outlineLevel="0" collapsed="false">
      <c r="B50031" s="0" t="s">
        <v>14</v>
      </c>
      <c r="C50031" s="0" t="s">
        <v>17611</v>
      </c>
      <c r="D50031" s="0" t="s">
        <v>8123</v>
      </c>
      <c r="E50031" s="0" t="s">
        <v>8116</v>
      </c>
      <c r="F50031" s="0" t="s">
        <v>8116</v>
      </c>
    </row>
    <row r="50032" customFormat="false" ht="12.8" hidden="false" customHeight="false" outlineLevel="0" collapsed="false">
      <c r="B50032" s="0" t="s">
        <v>48</v>
      </c>
      <c r="C50032" s="0" t="s">
        <v>17612</v>
      </c>
      <c r="D50032" s="0" t="s">
        <v>10939</v>
      </c>
      <c r="E50032" s="0" t="s">
        <v>10940</v>
      </c>
      <c r="F50032" s="0" t="s">
        <v>10940</v>
      </c>
    </row>
    <row r="50034" customFormat="false" ht="12.8" hidden="false" customHeight="false" outlineLevel="0" collapsed="false">
      <c r="A50034" s="0" t="s">
        <v>17613</v>
      </c>
      <c r="B50034" s="0" t="str">
        <f aca="false">HYPERLINK("https://lindat.mff.cuni.cz/services/teitok/pdtc10/index.php?action=vallex&amp;frame=v-w7024f6_ZU", "udělovat (v-w7024f6_ZU)")</f>
        <v>udělovat (v-w7024f6_ZU)</v>
      </c>
    </row>
    <row r="50035" customFormat="false" ht="12.8" hidden="false" customHeight="false" outlineLevel="0" collapsed="false">
      <c r="B50035" s="0" t="s">
        <v>7</v>
      </c>
      <c r="C50035" s="0" t="s">
        <v>118</v>
      </c>
      <c r="D50035" s="0" t="s">
        <v>17614</v>
      </c>
      <c r="E50035" s="0" t="s">
        <v>17614</v>
      </c>
      <c r="F50035" s="0" t="s">
        <v>17614</v>
      </c>
    </row>
    <row r="50036" customFormat="false" ht="12.8" hidden="false" customHeight="false" outlineLevel="0" collapsed="false">
      <c r="B50036" s="0" t="s">
        <v>17615</v>
      </c>
      <c r="C50036" s="0" t="s">
        <v>17607</v>
      </c>
      <c r="D50036" s="0" t="s">
        <v>17616</v>
      </c>
      <c r="E50036" s="0" t="s">
        <v>17616</v>
      </c>
      <c r="F50036" s="0" t="s">
        <v>17616</v>
      </c>
    </row>
    <row r="50037" customFormat="false" ht="12.8" hidden="false" customHeight="false" outlineLevel="0" collapsed="false">
      <c r="B50037" s="0" t="s">
        <v>48</v>
      </c>
      <c r="C50037" s="0" t="s">
        <v>17608</v>
      </c>
      <c r="D50037" s="0" t="s">
        <v>17617</v>
      </c>
      <c r="E50037" s="0" t="s">
        <v>17617</v>
      </c>
      <c r="F50037" s="0" t="s">
        <v>17617</v>
      </c>
    </row>
    <row r="50039" customFormat="false" ht="12.8" hidden="false" customHeight="false" outlineLevel="0" collapsed="false">
      <c r="A50039" s="0" t="s">
        <v>17613</v>
      </c>
      <c r="B50039" s="0" t="str">
        <f aca="false">HYPERLINK("https://lindat.mff.cuni.cz/services/teitok/pdtc10/index.php?action=vallex&amp;frame=v-w7024f2", "udělovat (v-w7024f2) - substituted with v-w7024f6_ZU")</f>
        <v>udělovat (v-w7024f2) - substituted with v-w7024f6_ZU</v>
      </c>
    </row>
    <row r="50040" customFormat="false" ht="12.8" hidden="false" customHeight="false" outlineLevel="0" collapsed="false">
      <c r="B50040" s="0" t="s">
        <v>7</v>
      </c>
    </row>
    <row r="50041" customFormat="false" ht="12.8" hidden="false" customHeight="false" outlineLevel="0" collapsed="false">
      <c r="B50041" s="0" t="s">
        <v>17615</v>
      </c>
    </row>
    <row r="50042" customFormat="false" ht="12.8" hidden="false" customHeight="false" outlineLevel="0" collapsed="false">
      <c r="B50042" s="0" t="s">
        <v>48</v>
      </c>
    </row>
    <row r="50044" customFormat="false" ht="12.8" hidden="false" customHeight="false" outlineLevel="0" collapsed="false">
      <c r="A50044" s="0" t="s">
        <v>17613</v>
      </c>
      <c r="B50044" s="0" t="str">
        <f aca="false">HYPERLINK("https://lindat.mff.cuni.cz/services/teitok/pdtc10/index.php?action=vallex&amp;frame=v-w7024f3_ZU", "udělovat (v-w7024f3_ZU) - substituted with v-w7024f6_ZU")</f>
        <v>udělovat (v-w7024f3_ZU) - substituted with v-w7024f6_ZU</v>
      </c>
    </row>
    <row r="50045" customFormat="false" ht="12.8" hidden="false" customHeight="false" outlineLevel="0" collapsed="false">
      <c r="B50045" s="0" t="s">
        <v>7</v>
      </c>
    </row>
    <row r="50046" customFormat="false" ht="12.8" hidden="false" customHeight="false" outlineLevel="0" collapsed="false">
      <c r="B50046" s="0" t="s">
        <v>17615</v>
      </c>
    </row>
    <row r="50047" customFormat="false" ht="12.8" hidden="false" customHeight="false" outlineLevel="0" collapsed="false">
      <c r="B50047" s="0" t="s">
        <v>48</v>
      </c>
    </row>
    <row r="50049" customFormat="false" ht="12.8" hidden="false" customHeight="false" outlineLevel="0" collapsed="false">
      <c r="A50049" s="0" t="s">
        <v>17613</v>
      </c>
      <c r="B50049" s="0" t="str">
        <f aca="false">HYPERLINK("https://lindat.mff.cuni.cz/services/teitok/pdtc10/index.php?action=vallex&amp;frame=v-w7024f4_ZU", "udělovat (v-w7024f4_ZU) - substituted with v-w7024f6_ZU")</f>
        <v>udělovat (v-w7024f4_ZU) - substituted with v-w7024f6_ZU</v>
      </c>
    </row>
    <row r="50050" customFormat="false" ht="12.8" hidden="false" customHeight="false" outlineLevel="0" collapsed="false">
      <c r="B50050" s="0" t="s">
        <v>7</v>
      </c>
    </row>
    <row r="50051" customFormat="false" ht="12.8" hidden="false" customHeight="false" outlineLevel="0" collapsed="false">
      <c r="B50051" s="0" t="s">
        <v>17615</v>
      </c>
    </row>
    <row r="50052" customFormat="false" ht="12.8" hidden="false" customHeight="false" outlineLevel="0" collapsed="false">
      <c r="B50052" s="0" t="s">
        <v>48</v>
      </c>
    </row>
    <row r="50054" customFormat="false" ht="12.8" hidden="false" customHeight="false" outlineLevel="0" collapsed="false">
      <c r="A50054" s="0" t="s">
        <v>17613</v>
      </c>
      <c r="B50054" s="0" t="str">
        <f aca="false">HYPERLINK("https://lindat.mff.cuni.cz/services/teitok/pdtc10/index.php?action=vallex&amp;frame=v-w7024f5_ZU", "udělovat (v-w7024f5_ZU) - substituted with v-w7024f6_ZU")</f>
        <v>udělovat (v-w7024f5_ZU) - substituted with v-w7024f6_ZU</v>
      </c>
    </row>
    <row r="50055" customFormat="false" ht="12.8" hidden="false" customHeight="false" outlineLevel="0" collapsed="false">
      <c r="B50055" s="0" t="s">
        <v>7</v>
      </c>
      <c r="C50055" s="0" t="s">
        <v>1386</v>
      </c>
    </row>
    <row r="50056" customFormat="false" ht="12.8" hidden="false" customHeight="false" outlineLevel="0" collapsed="false">
      <c r="B50056" s="0" t="s">
        <v>17615</v>
      </c>
      <c r="C50056" s="0" t="s">
        <v>3016</v>
      </c>
    </row>
    <row r="50057" customFormat="false" ht="12.8" hidden="false" customHeight="false" outlineLevel="0" collapsed="false">
      <c r="B50057" s="0" t="s">
        <v>48</v>
      </c>
      <c r="C50057" s="0" t="s">
        <v>3018</v>
      </c>
    </row>
    <row r="50059" customFormat="false" ht="12.8" hidden="false" customHeight="false" outlineLevel="0" collapsed="false">
      <c r="A50059" s="0" t="s">
        <v>17613</v>
      </c>
      <c r="B50059" s="0" t="str">
        <f aca="false">HYPERLINK("https://lindat.mff.cuni.cz/services/teitok/pdtc10/index.php?action=vallex&amp;frame=v-w7024hsa_1008", "udělovat (v-w7024hsa_1008) - substituted with v-w7024f6_ZU")</f>
        <v>udělovat (v-w7024hsa_1008) - substituted with v-w7024f6_ZU</v>
      </c>
    </row>
    <row r="50060" customFormat="false" ht="12.8" hidden="false" customHeight="false" outlineLevel="0" collapsed="false">
      <c r="B50060" s="0" t="s">
        <v>7</v>
      </c>
    </row>
    <row r="50061" customFormat="false" ht="12.8" hidden="false" customHeight="false" outlineLevel="0" collapsed="false">
      <c r="B50061" s="0" t="s">
        <v>17615</v>
      </c>
    </row>
    <row r="50062" customFormat="false" ht="12.8" hidden="false" customHeight="false" outlineLevel="0" collapsed="false">
      <c r="B50062" s="0" t="s">
        <v>48</v>
      </c>
    </row>
    <row r="50064" customFormat="false" ht="12.8" hidden="false" customHeight="false" outlineLevel="0" collapsed="false">
      <c r="A50064" s="0" t="s">
        <v>17618</v>
      </c>
      <c r="B50064" s="0" t="str">
        <f aca="false">HYPERLINK("https://lindat.mff.cuni.cz/services/teitok/pdtc10/index.php?action=vallex&amp;frame=v-w12252_ZUf1_ZU", "udřít se (v-w12252_ZUf1_ZU)")</f>
        <v>udřít se (v-w12252_ZUf1_ZU)</v>
      </c>
    </row>
    <row r="50065" customFormat="false" ht="12.8" hidden="false" customHeight="false" outlineLevel="0" collapsed="false">
      <c r="B50065" s="0" t="s">
        <v>7</v>
      </c>
    </row>
    <row r="50067" customFormat="false" ht="12.8" hidden="false" customHeight="false" outlineLevel="0" collapsed="false">
      <c r="A50067" s="0" t="s">
        <v>17619</v>
      </c>
      <c r="B50067" s="0" t="str">
        <f aca="false">HYPERLINK("https://lindat.mff.cuni.cz/services/teitok/pdtc10/index.php?action=vallex&amp;frame=v-w7042f1", "uhasit (v-w7042f1)")</f>
        <v>uhasit (v-w7042f1)</v>
      </c>
    </row>
    <row r="50068" customFormat="false" ht="12.8" hidden="false" customHeight="false" outlineLevel="0" collapsed="false">
      <c r="B50068" s="0" t="s">
        <v>7</v>
      </c>
      <c r="D50068" s="0" t="s">
        <v>46</v>
      </c>
      <c r="E50068" s="0" t="s">
        <v>46</v>
      </c>
      <c r="F50068" s="0" t="s">
        <v>46</v>
      </c>
    </row>
    <row r="50069" customFormat="false" ht="12.8" hidden="false" customHeight="false" outlineLevel="0" collapsed="false">
      <c r="B50069" s="0" t="s">
        <v>14</v>
      </c>
      <c r="C50069" s="0" t="s">
        <v>155</v>
      </c>
      <c r="D50069" s="0" t="s">
        <v>155</v>
      </c>
      <c r="E50069" s="0" t="s">
        <v>155</v>
      </c>
      <c r="F50069" s="0" t="s">
        <v>155</v>
      </c>
    </row>
    <row r="50071" customFormat="false" ht="12.8" hidden="false" customHeight="false" outlineLevel="0" collapsed="false">
      <c r="A50071" s="0" t="s">
        <v>17620</v>
      </c>
      <c r="B50071" s="0" t="str">
        <f aca="false">HYPERLINK("https://lindat.mff.cuni.cz/services/teitok/pdtc10/index.php?action=vallex&amp;frame=v-w7043f1", "uhlídat (v-w7043f1)")</f>
        <v>uhlídat (v-w7043f1)</v>
      </c>
    </row>
    <row r="50072" customFormat="false" ht="12.8" hidden="false" customHeight="false" outlineLevel="0" collapsed="false">
      <c r="B50072" s="0" t="s">
        <v>7</v>
      </c>
    </row>
    <row r="50073" customFormat="false" ht="12.8" hidden="false" customHeight="false" outlineLevel="0" collapsed="false">
      <c r="B50073" s="0" t="s">
        <v>14</v>
      </c>
    </row>
    <row r="50075" customFormat="false" ht="12.8" hidden="false" customHeight="false" outlineLevel="0" collapsed="false">
      <c r="A50075" s="0" t="s">
        <v>17621</v>
      </c>
      <c r="B50075" s="0" t="str">
        <f aca="false">HYPERLINK("https://lindat.mff.cuni.cz/services/teitok/pdtc10/index.php?action=vallex&amp;frame=v-w10176f4", "uhnout (v-w10176f4)")</f>
        <v>uhnout (v-w10176f4)</v>
      </c>
    </row>
    <row r="50076" customFormat="false" ht="12.8" hidden="false" customHeight="false" outlineLevel="0" collapsed="false">
      <c r="B50076" s="0" t="s">
        <v>7</v>
      </c>
      <c r="D50076" s="0" t="s">
        <v>5572</v>
      </c>
      <c r="E50076" s="0" t="s">
        <v>5572</v>
      </c>
      <c r="F50076" s="0" t="s">
        <v>5572</v>
      </c>
    </row>
    <row r="50077" customFormat="false" ht="12.8" hidden="false" customHeight="false" outlineLevel="0" collapsed="false">
      <c r="B50077" s="0" t="s">
        <v>17622</v>
      </c>
      <c r="D50077" s="0" t="s">
        <v>518</v>
      </c>
      <c r="E50077" s="0" t="s">
        <v>518</v>
      </c>
      <c r="F50077" s="0" t="s">
        <v>518</v>
      </c>
    </row>
    <row r="50079" customFormat="false" ht="12.8" hidden="false" customHeight="false" outlineLevel="0" collapsed="false">
      <c r="A50079" s="0" t="s">
        <v>17623</v>
      </c>
      <c r="B50079" s="0" t="str">
        <f aca="false">HYPERLINK("https://lindat.mff.cuni.cz/services/teitok/pdtc10/index.php?action=vallex&amp;frame=v-w10176f2", "uhnout (v-w10176f2)")</f>
        <v>uhnout (v-w10176f2)</v>
      </c>
    </row>
    <row r="50080" customFormat="false" ht="12.8" hidden="false" customHeight="false" outlineLevel="0" collapsed="false">
      <c r="B50080" s="0" t="s">
        <v>7</v>
      </c>
    </row>
    <row r="50081" customFormat="false" ht="12.8" hidden="false" customHeight="false" outlineLevel="0" collapsed="false">
      <c r="B50081" s="0" t="s">
        <v>459</v>
      </c>
    </row>
    <row r="50083" customFormat="false" ht="12.8" hidden="false" customHeight="false" outlineLevel="0" collapsed="false">
      <c r="A50083" s="0" t="s">
        <v>17624</v>
      </c>
      <c r="B50083" s="0" t="str">
        <f aca="false">HYPERLINK("https://lindat.mff.cuni.cz/services/teitok/pdtc10/index.php?action=vallex&amp;frame=v-w12085_ZUf1_ZU", "uhnít (v-w12085_ZUf1_ZU)")</f>
        <v>uhnít (v-w12085_ZUf1_ZU)</v>
      </c>
    </row>
    <row r="50084" customFormat="false" ht="12.8" hidden="false" customHeight="false" outlineLevel="0" collapsed="false">
      <c r="B50084" s="0" t="s">
        <v>7</v>
      </c>
    </row>
    <row r="50086" customFormat="false" ht="12.8" hidden="false" customHeight="false" outlineLevel="0" collapsed="false">
      <c r="A50086" s="0" t="s">
        <v>17625</v>
      </c>
      <c r="B50086" s="0" t="str">
        <f aca="false">HYPERLINK("https://lindat.mff.cuni.cz/services/teitok/pdtc10/index.php?action=vallex&amp;frame=v-w12086_ZUf1_ZU", "uhnívat (v-w12086_ZUf1_ZU)")</f>
        <v>uhnívat (v-w12086_ZUf1_ZU)</v>
      </c>
    </row>
    <row r="50087" customFormat="false" ht="12.8" hidden="false" customHeight="false" outlineLevel="0" collapsed="false">
      <c r="B50087" s="0" t="s">
        <v>7</v>
      </c>
    </row>
    <row r="50089" customFormat="false" ht="12.8" hidden="false" customHeight="false" outlineLevel="0" collapsed="false">
      <c r="A50089" s="0" t="s">
        <v>17626</v>
      </c>
      <c r="B50089" s="0" t="str">
        <f aca="false">HYPERLINK("https://lindat.mff.cuni.cz/services/teitok/pdtc10/index.php?action=vallex&amp;frame=v-w7044f1", "uhnízdit se (v-w7044f1)")</f>
        <v>uhnízdit se (v-w7044f1)</v>
      </c>
    </row>
    <row r="50090" customFormat="false" ht="12.8" hidden="false" customHeight="false" outlineLevel="0" collapsed="false">
      <c r="B50090" s="0" t="s">
        <v>7</v>
      </c>
      <c r="C50090" s="0" t="s">
        <v>396</v>
      </c>
    </row>
    <row r="50092" customFormat="false" ht="12.8" hidden="false" customHeight="false" outlineLevel="0" collapsed="false">
      <c r="A50092" s="0" t="s">
        <v>17627</v>
      </c>
      <c r="B50092" s="0" t="str">
        <f aca="false">HYPERLINK("https://lindat.mff.cuni.cz/services/teitok/pdtc10/index.php?action=vallex&amp;frame=v-w7045f2", "uhodit (v-w7045f2)")</f>
        <v>uhodit (v-w7045f2)</v>
      </c>
    </row>
    <row r="50093" customFormat="false" ht="12.8" hidden="false" customHeight="false" outlineLevel="0" collapsed="false">
      <c r="B50093" s="0" t="s">
        <v>7</v>
      </c>
    </row>
    <row r="50094" customFormat="false" ht="12.8" hidden="false" customHeight="false" outlineLevel="0" collapsed="false">
      <c r="B50094" s="0" t="s">
        <v>14</v>
      </c>
    </row>
    <row r="50096" customFormat="false" ht="12.8" hidden="false" customHeight="false" outlineLevel="0" collapsed="false">
      <c r="A50096" s="0" t="s">
        <v>17628</v>
      </c>
      <c r="B50096" s="0" t="str">
        <f aca="false">HYPERLINK("https://lindat.mff.cuni.cz/services/teitok/pdtc10/index.php?action=vallex&amp;frame=v-w7045f3", "uhodit (v-w7045f3)")</f>
        <v>uhodit (v-w7045f3)</v>
      </c>
    </row>
    <row r="50097" customFormat="false" ht="12.8" hidden="false" customHeight="false" outlineLevel="0" collapsed="false">
      <c r="B50097" s="0" t="s">
        <v>7</v>
      </c>
      <c r="C50097" s="0" t="s">
        <v>17629</v>
      </c>
      <c r="D50097" s="0" t="s">
        <v>288</v>
      </c>
      <c r="E50097" s="0" t="s">
        <v>288</v>
      </c>
      <c r="F50097" s="0" t="s">
        <v>288</v>
      </c>
    </row>
    <row r="50099" customFormat="false" ht="12.8" hidden="false" customHeight="false" outlineLevel="0" collapsed="false">
      <c r="A50099" s="0" t="s">
        <v>17630</v>
      </c>
      <c r="B50099" s="0" t="str">
        <f aca="false">HYPERLINK("https://lindat.mff.cuni.cz/services/teitok/pdtc10/index.php?action=vallex&amp;frame=v-w7045f1", "uhodit (v-w7045f1)")</f>
        <v>uhodit (v-w7045f1)</v>
      </c>
    </row>
    <row r="50101" customFormat="false" ht="12.8" hidden="false" customHeight="false" outlineLevel="0" collapsed="false">
      <c r="A50101" s="0" t="s">
        <v>17631</v>
      </c>
      <c r="B50101" s="0" t="str">
        <f aca="false">HYPERLINK("https://lindat.mff.cuni.cz/services/teitok/pdtc10/index.php?action=vallex&amp;frame=v-w7045f4_ZU", "uhodit (v-w7045f4_ZU)")</f>
        <v>uhodit (v-w7045f4_ZU)</v>
      </c>
    </row>
    <row r="50102" customFormat="false" ht="12.8" hidden="false" customHeight="false" outlineLevel="0" collapsed="false">
      <c r="B50102" s="0" t="s">
        <v>7</v>
      </c>
    </row>
    <row r="50104" customFormat="false" ht="12.8" hidden="false" customHeight="false" outlineLevel="0" collapsed="false">
      <c r="A50104" s="0" t="s">
        <v>17632</v>
      </c>
      <c r="B50104" s="0" t="str">
        <f aca="false">HYPERLINK("https://lindat.mff.cuni.cz/services/teitok/pdtc10/index.php?action=vallex&amp;frame=v-whsa_1499hsa_1500", "uhodit se (v-whsa_1499hsa_1500)")</f>
        <v>uhodit se (v-whsa_1499hsa_1500)</v>
      </c>
    </row>
    <row r="50105" customFormat="false" ht="12.8" hidden="false" customHeight="false" outlineLevel="0" collapsed="false">
      <c r="B50105" s="0" t="s">
        <v>7</v>
      </c>
    </row>
    <row r="50107" customFormat="false" ht="12.8" hidden="false" customHeight="false" outlineLevel="0" collapsed="false">
      <c r="A50107" s="0" t="s">
        <v>17633</v>
      </c>
      <c r="B50107" s="0" t="str">
        <f aca="false">HYPERLINK("https://lindat.mff.cuni.cz/services/teitok/pdtc10/index.php?action=vallex&amp;frame=v-w7046f1", "uhodnout (v-w7046f1)")</f>
        <v>uhodnout (v-w7046f1)</v>
      </c>
    </row>
    <row r="50108" customFormat="false" ht="12.8" hidden="false" customHeight="false" outlineLevel="0" collapsed="false">
      <c r="B50108" s="0" t="s">
        <v>7</v>
      </c>
      <c r="C50108" s="0" t="s">
        <v>21</v>
      </c>
    </row>
    <row r="50109" customFormat="false" ht="12.8" hidden="false" customHeight="false" outlineLevel="0" collapsed="false">
      <c r="B50109" s="0" t="s">
        <v>1520</v>
      </c>
      <c r="C50109" s="0" t="s">
        <v>1315</v>
      </c>
    </row>
    <row r="50111" customFormat="false" ht="12.8" hidden="false" customHeight="false" outlineLevel="0" collapsed="false">
      <c r="A50111" s="0" t="s">
        <v>17634</v>
      </c>
      <c r="B50111" s="0" t="str">
        <f aca="false">HYPERLINK("https://lindat.mff.cuni.cz/services/teitok/pdtc10/index.php?action=vallex&amp;frame=v-whsa_1301hsa_1302", "uhořet (v-whsa_1301hsa_1302)")</f>
        <v>uhořet (v-whsa_1301hsa_1302)</v>
      </c>
    </row>
    <row r="50112" customFormat="false" ht="12.8" hidden="false" customHeight="false" outlineLevel="0" collapsed="false">
      <c r="B50112" s="0" t="s">
        <v>7</v>
      </c>
    </row>
    <row r="50114" customFormat="false" ht="12.8" hidden="false" customHeight="false" outlineLevel="0" collapsed="false">
      <c r="A50114" s="0" t="s">
        <v>17635</v>
      </c>
      <c r="B50114" s="0" t="str">
        <f aca="false">HYPERLINK("https://lindat.mff.cuni.cz/services/teitok/pdtc10/index.php?action=vallex&amp;frame=v-w11772_ZUf1_ZU", "uhrabat (v-w11772_ZUf1_ZU)")</f>
        <v>uhrabat (v-w11772_ZUf1_ZU)</v>
      </c>
    </row>
    <row r="50115" customFormat="false" ht="12.8" hidden="false" customHeight="false" outlineLevel="0" collapsed="false">
      <c r="B50115" s="0" t="s">
        <v>7</v>
      </c>
    </row>
    <row r="50116" customFormat="false" ht="12.8" hidden="false" customHeight="false" outlineLevel="0" collapsed="false">
      <c r="B50116" s="0" t="s">
        <v>14</v>
      </c>
    </row>
    <row r="50118" customFormat="false" ht="12.8" hidden="false" customHeight="false" outlineLevel="0" collapsed="false">
      <c r="A50118" s="0" t="s">
        <v>17636</v>
      </c>
      <c r="B50118" s="0" t="str">
        <f aca="false">HYPERLINK("https://lindat.mff.cuni.cz/services/teitok/pdtc10/index.php?action=vallex&amp;frame=v-w7048f1", "uhradit (v-w7048f1)")</f>
        <v>uhradit (v-w7048f1)</v>
      </c>
    </row>
    <row r="50119" customFormat="false" ht="12.8" hidden="false" customHeight="false" outlineLevel="0" collapsed="false">
      <c r="B50119" s="0" t="s">
        <v>7</v>
      </c>
      <c r="C50119" s="0" t="s">
        <v>17637</v>
      </c>
      <c r="D50119" s="0" t="s">
        <v>4000</v>
      </c>
      <c r="E50119" s="0" t="s">
        <v>4000</v>
      </c>
      <c r="F50119" s="0" t="s">
        <v>4000</v>
      </c>
    </row>
    <row r="50120" customFormat="false" ht="12.8" hidden="false" customHeight="false" outlineLevel="0" collapsed="false">
      <c r="B50120" s="0" t="s">
        <v>14</v>
      </c>
      <c r="C50120" s="0" t="s">
        <v>17638</v>
      </c>
      <c r="D50120" s="0" t="s">
        <v>4002</v>
      </c>
      <c r="E50120" s="0" t="s">
        <v>4002</v>
      </c>
      <c r="F50120" s="0" t="s">
        <v>4002</v>
      </c>
    </row>
    <row r="50121" customFormat="false" ht="12.8" hidden="false" customHeight="false" outlineLevel="0" collapsed="false">
      <c r="B50121" s="0" t="s">
        <v>106</v>
      </c>
      <c r="C50121" s="0" t="s">
        <v>17639</v>
      </c>
      <c r="D50121" s="0" t="s">
        <v>4004</v>
      </c>
      <c r="E50121" s="0" t="s">
        <v>4004</v>
      </c>
      <c r="F50121" s="0" t="s">
        <v>4004</v>
      </c>
    </row>
    <row r="50122" customFormat="false" ht="12.8" hidden="false" customHeight="false" outlineLevel="0" collapsed="false">
      <c r="B50122" s="0" t="s">
        <v>550</v>
      </c>
      <c r="C50122" s="0" t="s">
        <v>17640</v>
      </c>
    </row>
    <row r="50124" customFormat="false" ht="12.8" hidden="false" customHeight="false" outlineLevel="0" collapsed="false">
      <c r="A50124" s="0" t="s">
        <v>17641</v>
      </c>
      <c r="B50124" s="0" t="str">
        <f aca="false">HYPERLINK("https://lindat.mff.cuni.cz/services/teitok/pdtc10/index.php?action=vallex&amp;frame=v-w7048f2", "uhradit (v-w7048f2)")</f>
        <v>uhradit (v-w7048f2)</v>
      </c>
    </row>
    <row r="50125" customFormat="false" ht="12.8" hidden="false" customHeight="false" outlineLevel="0" collapsed="false">
      <c r="B50125" s="0" t="s">
        <v>7</v>
      </c>
      <c r="D50125" s="0" t="s">
        <v>2088</v>
      </c>
      <c r="E50125" s="0" t="s">
        <v>2088</v>
      </c>
      <c r="F50125" s="0" t="s">
        <v>2088</v>
      </c>
    </row>
    <row r="50126" customFormat="false" ht="12.8" hidden="false" customHeight="false" outlineLevel="0" collapsed="false">
      <c r="B50126" s="0" t="s">
        <v>679</v>
      </c>
      <c r="D50126" s="0" t="s">
        <v>2096</v>
      </c>
      <c r="E50126" s="0" t="s">
        <v>2096</v>
      </c>
      <c r="F50126" s="0" t="s">
        <v>2096</v>
      </c>
    </row>
    <row r="50127" customFormat="false" ht="12.8" hidden="false" customHeight="false" outlineLevel="0" collapsed="false">
      <c r="B50127" s="0" t="s">
        <v>1654</v>
      </c>
    </row>
    <row r="50128" customFormat="false" ht="12.8" hidden="false" customHeight="false" outlineLevel="0" collapsed="false">
      <c r="B50128" s="0" t="s">
        <v>106</v>
      </c>
      <c r="D50128" s="0" t="s">
        <v>2090</v>
      </c>
      <c r="E50128" s="0" t="s">
        <v>2090</v>
      </c>
      <c r="F50128" s="0" t="s">
        <v>2090</v>
      </c>
    </row>
    <row r="50130" customFormat="false" ht="12.8" hidden="false" customHeight="false" outlineLevel="0" collapsed="false">
      <c r="A50130" s="0" t="s">
        <v>17642</v>
      </c>
      <c r="B50130" s="0" t="str">
        <f aca="false">HYPERLINK("https://lindat.mff.cuni.cz/services/teitok/pdtc10/index.php?action=vallex&amp;frame=v-w7051f1", "uhrazovat (v-w7051f1)")</f>
        <v>uhrazovat (v-w7051f1)</v>
      </c>
    </row>
    <row r="50131" customFormat="false" ht="12.8" hidden="false" customHeight="false" outlineLevel="0" collapsed="false">
      <c r="B50131" s="0" t="s">
        <v>7</v>
      </c>
      <c r="D50131" s="0" t="s">
        <v>2088</v>
      </c>
      <c r="E50131" s="0" t="s">
        <v>2088</v>
      </c>
      <c r="F50131" s="0" t="s">
        <v>2088</v>
      </c>
    </row>
    <row r="50132" customFormat="false" ht="12.8" hidden="false" customHeight="false" outlineLevel="0" collapsed="false">
      <c r="B50132" s="0" t="s">
        <v>14</v>
      </c>
      <c r="D50132" s="0" t="s">
        <v>2089</v>
      </c>
      <c r="E50132" s="0" t="s">
        <v>2089</v>
      </c>
      <c r="F50132" s="0" t="s">
        <v>2089</v>
      </c>
    </row>
    <row r="50133" customFormat="false" ht="12.8" hidden="false" customHeight="false" outlineLevel="0" collapsed="false">
      <c r="B50133" s="0" t="s">
        <v>106</v>
      </c>
      <c r="D50133" s="0" t="s">
        <v>2090</v>
      </c>
      <c r="E50133" s="0" t="s">
        <v>2090</v>
      </c>
      <c r="F50133" s="0" t="s">
        <v>2090</v>
      </c>
    </row>
    <row r="50134" customFormat="false" ht="12.8" hidden="false" customHeight="false" outlineLevel="0" collapsed="false">
      <c r="B50134" s="0" t="s">
        <v>550</v>
      </c>
    </row>
    <row r="50136" customFormat="false" ht="12.8" hidden="false" customHeight="false" outlineLevel="0" collapsed="false">
      <c r="A50136" s="0" t="s">
        <v>17643</v>
      </c>
      <c r="B50136" s="0" t="str">
        <f aca="false">HYPERLINK("https://lindat.mff.cuni.cz/services/teitok/pdtc10/index.php?action=vallex&amp;frame=v-w7049f1", "uhrát (v-w7049f1)")</f>
        <v>uhrát (v-w7049f1)</v>
      </c>
    </row>
    <row r="50137" customFormat="false" ht="12.8" hidden="false" customHeight="false" outlineLevel="0" collapsed="false">
      <c r="B50137" s="0" t="s">
        <v>7</v>
      </c>
    </row>
    <row r="50138" customFormat="false" ht="12.8" hidden="false" customHeight="false" outlineLevel="0" collapsed="false">
      <c r="B50138" s="0" t="s">
        <v>14</v>
      </c>
    </row>
    <row r="50139" customFormat="false" ht="12.8" hidden="false" customHeight="false" outlineLevel="0" collapsed="false">
      <c r="B50139" s="0" t="s">
        <v>2722</v>
      </c>
    </row>
    <row r="50141" customFormat="false" ht="12.8" hidden="false" customHeight="false" outlineLevel="0" collapsed="false">
      <c r="A50141" s="0" t="s">
        <v>17644</v>
      </c>
      <c r="B50141" s="0" t="str">
        <f aca="false">HYPERLINK("https://lindat.mff.cuni.cz/services/teitok/pdtc10/index.php?action=vallex&amp;frame=v-w7053f1", "uhynout (v-w7053f1)")</f>
        <v>uhynout (v-w7053f1)</v>
      </c>
    </row>
    <row r="50142" customFormat="false" ht="12.8" hidden="false" customHeight="false" outlineLevel="0" collapsed="false">
      <c r="B50142" s="0" t="s">
        <v>7</v>
      </c>
    </row>
    <row r="50144" customFormat="false" ht="12.8" hidden="false" customHeight="false" outlineLevel="0" collapsed="false">
      <c r="A50144" s="0" t="s">
        <v>17645</v>
      </c>
      <c r="B50144" s="0" t="str">
        <f aca="false">HYPERLINK("https://lindat.mff.cuni.cz/services/teitok/pdtc10/index.php?action=vallex&amp;frame=v-w10402f3", "uhádnout (v-w10402f3)")</f>
        <v>uhádnout (v-w10402f3)</v>
      </c>
    </row>
    <row r="50145" customFormat="false" ht="12.8" hidden="false" customHeight="false" outlineLevel="0" collapsed="false">
      <c r="B50145" s="0" t="s">
        <v>7</v>
      </c>
      <c r="C50145" s="0" t="s">
        <v>21</v>
      </c>
    </row>
    <row r="50146" customFormat="false" ht="12.8" hidden="false" customHeight="false" outlineLevel="0" collapsed="false">
      <c r="B50146" s="0" t="s">
        <v>2030</v>
      </c>
      <c r="C50146" s="0" t="s">
        <v>47</v>
      </c>
    </row>
    <row r="50148" customFormat="false" ht="12.8" hidden="false" customHeight="false" outlineLevel="0" collapsed="false">
      <c r="A50148" s="0" t="s">
        <v>17646</v>
      </c>
      <c r="B50148" s="0" t="str">
        <f aca="false">HYPERLINK("https://lindat.mff.cuni.cz/services/teitok/pdtc10/index.php?action=vallex&amp;frame=v-w7041f1", "uhájit (v-w7041f1)")</f>
        <v>uhájit (v-w7041f1)</v>
      </c>
    </row>
    <row r="50149" customFormat="false" ht="12.8" hidden="false" customHeight="false" outlineLevel="0" collapsed="false">
      <c r="B50149" s="0" t="s">
        <v>7</v>
      </c>
    </row>
    <row r="50150" customFormat="false" ht="12.8" hidden="false" customHeight="false" outlineLevel="0" collapsed="false">
      <c r="B50150" s="0" t="s">
        <v>54</v>
      </c>
    </row>
    <row r="50152" customFormat="false" ht="12.8" hidden="false" customHeight="false" outlineLevel="0" collapsed="false">
      <c r="A50152" s="0" t="s">
        <v>17647</v>
      </c>
      <c r="B50152" s="0" t="str">
        <f aca="false">HYPERLINK("https://lindat.mff.cuni.cz/services/teitok/pdtc10/index.php?action=vallex&amp;frame=v-w10996f2", "uhánět (v-w10996f2)")</f>
        <v>uhánět (v-w10996f2)</v>
      </c>
    </row>
    <row r="50153" customFormat="false" ht="12.8" hidden="false" customHeight="false" outlineLevel="0" collapsed="false">
      <c r="B50153" s="0" t="s">
        <v>7</v>
      </c>
      <c r="C50153" s="0" t="s">
        <v>335</v>
      </c>
      <c r="D50153" s="0" t="s">
        <v>149</v>
      </c>
      <c r="E50153" s="0" t="s">
        <v>149</v>
      </c>
      <c r="F50153" s="0" t="s">
        <v>149</v>
      </c>
    </row>
    <row r="50154" customFormat="false" ht="12.8" hidden="false" customHeight="false" outlineLevel="0" collapsed="false">
      <c r="B50154" s="0" t="s">
        <v>14</v>
      </c>
      <c r="D50154" s="0" t="s">
        <v>1405</v>
      </c>
      <c r="E50154" s="0" t="s">
        <v>1405</v>
      </c>
      <c r="F50154" s="0" t="s">
        <v>1405</v>
      </c>
    </row>
    <row r="50156" customFormat="false" ht="12.8" hidden="false" customHeight="false" outlineLevel="0" collapsed="false">
      <c r="A50156" s="0" t="s">
        <v>17648</v>
      </c>
      <c r="B50156" s="0" t="str">
        <f aca="false">HYPERLINK("https://lindat.mff.cuni.cz/services/teitok/pdtc10/index.php?action=vallex&amp;frame=v-w10996f3_ZU", "uhánět (v-w10996f3_ZU)")</f>
        <v>uhánět (v-w10996f3_ZU)</v>
      </c>
    </row>
    <row r="50157" customFormat="false" ht="12.8" hidden="false" customHeight="false" outlineLevel="0" collapsed="false">
      <c r="B50157" s="0" t="s">
        <v>7</v>
      </c>
    </row>
    <row r="50159" customFormat="false" ht="12.8" hidden="false" customHeight="false" outlineLevel="0" collapsed="false">
      <c r="A50159" s="0" t="s">
        <v>17649</v>
      </c>
      <c r="B50159" s="0" t="str">
        <f aca="false">HYPERLINK("https://lindat.mff.cuni.cz/services/teitok/pdtc10/index.php?action=vallex&amp;frame=v-w10996f4_ZU", "uhánět (v-w10996f4_ZU)")</f>
        <v>uhánět (v-w10996f4_ZU)</v>
      </c>
    </row>
    <row r="50160" customFormat="false" ht="12.8" hidden="false" customHeight="false" outlineLevel="0" collapsed="false">
      <c r="B50160" s="0" t="s">
        <v>7</v>
      </c>
    </row>
    <row r="50162" customFormat="false" ht="12.8" hidden="false" customHeight="false" outlineLevel="0" collapsed="false">
      <c r="A50162" s="0" t="s">
        <v>17650</v>
      </c>
      <c r="B50162" s="0" t="str">
        <f aca="false">HYPERLINK("https://lindat.mff.cuni.cz/services/teitok/pdtc10/index.php?action=vallex&amp;frame=v-w10996f5_ZU", "uhánět (v-w10996f5_ZU)")</f>
        <v>uhánět (v-w10996f5_ZU)</v>
      </c>
    </row>
    <row r="50163" customFormat="false" ht="12.8" hidden="false" customHeight="false" outlineLevel="0" collapsed="false">
      <c r="B50163" s="0" t="s">
        <v>7</v>
      </c>
    </row>
    <row r="50164" customFormat="false" ht="12.8" hidden="false" customHeight="false" outlineLevel="0" collapsed="false">
      <c r="B50164" s="0" t="s">
        <v>14</v>
      </c>
    </row>
    <row r="50166" customFormat="false" ht="12.8" hidden="false" customHeight="false" outlineLevel="0" collapsed="false">
      <c r="A50166" s="0" t="s">
        <v>17651</v>
      </c>
      <c r="B50166" s="0" t="str">
        <f aca="false">HYPERLINK("https://lindat.mff.cuni.cz/services/teitok/pdtc10/index.php?action=vallex&amp;frame=v-w12074_ZUf1_ZU", "uháčkovat (v-w12074_ZUf1_ZU)")</f>
        <v>uháčkovat (v-w12074_ZUf1_ZU)</v>
      </c>
    </row>
    <row r="50167" customFormat="false" ht="12.8" hidden="false" customHeight="false" outlineLevel="0" collapsed="false">
      <c r="B50167" s="0" t="s">
        <v>7</v>
      </c>
    </row>
    <row r="50168" customFormat="false" ht="12.8" hidden="false" customHeight="false" outlineLevel="0" collapsed="false">
      <c r="B50168" s="0" t="s">
        <v>14</v>
      </c>
    </row>
    <row r="50169" customFormat="false" ht="12.8" hidden="false" customHeight="false" outlineLevel="0" collapsed="false">
      <c r="B50169" s="0" t="s">
        <v>35</v>
      </c>
    </row>
    <row r="50171" customFormat="false" ht="12.8" hidden="false" customHeight="false" outlineLevel="0" collapsed="false">
      <c r="A50171" s="0" t="s">
        <v>17652</v>
      </c>
      <c r="B50171" s="0" t="str">
        <f aca="false">HYPERLINK("https://lindat.mff.cuni.cz/services/teitok/pdtc10/index.php?action=vallex&amp;frame=v-w10681f2", "uhýbat (v-w10681f2)")</f>
        <v>uhýbat (v-w10681f2)</v>
      </c>
    </row>
    <row r="50172" customFormat="false" ht="12.8" hidden="false" customHeight="false" outlineLevel="0" collapsed="false">
      <c r="B50172" s="0" t="s">
        <v>7</v>
      </c>
      <c r="C50172" s="0" t="s">
        <v>88</v>
      </c>
      <c r="D50172" s="0" t="s">
        <v>5572</v>
      </c>
      <c r="E50172" s="0" t="s">
        <v>5572</v>
      </c>
      <c r="F50172" s="0" t="s">
        <v>5572</v>
      </c>
    </row>
    <row r="50173" customFormat="false" ht="12.8" hidden="false" customHeight="false" outlineLevel="0" collapsed="false">
      <c r="B50173" s="0" t="s">
        <v>17622</v>
      </c>
      <c r="C50173" s="0" t="s">
        <v>567</v>
      </c>
      <c r="D50173" s="0" t="s">
        <v>518</v>
      </c>
      <c r="E50173" s="0" t="s">
        <v>518</v>
      </c>
      <c r="F50173" s="0" t="s">
        <v>518</v>
      </c>
    </row>
    <row r="50175" customFormat="false" ht="12.8" hidden="false" customHeight="false" outlineLevel="0" collapsed="false">
      <c r="A50175" s="0" t="s">
        <v>17653</v>
      </c>
      <c r="B50175" s="0" t="str">
        <f aca="false">HYPERLINK("https://lindat.mff.cuni.cz/services/teitok/pdtc10/index.php?action=vallex&amp;frame=v-w7072f1", "ujasnit (v-w7072f1)")</f>
        <v>ujasnit (v-w7072f1)</v>
      </c>
    </row>
    <row r="50176" customFormat="false" ht="12.8" hidden="false" customHeight="false" outlineLevel="0" collapsed="false">
      <c r="B50176" s="0" t="s">
        <v>7</v>
      </c>
    </row>
    <row r="50177" customFormat="false" ht="12.8" hidden="false" customHeight="false" outlineLevel="0" collapsed="false">
      <c r="B50177" s="0" t="s">
        <v>2573</v>
      </c>
    </row>
    <row r="50178" customFormat="false" ht="12.8" hidden="false" customHeight="false" outlineLevel="0" collapsed="false">
      <c r="B50178" s="0" t="s">
        <v>48</v>
      </c>
    </row>
    <row r="50180" customFormat="false" ht="12.8" hidden="false" customHeight="false" outlineLevel="0" collapsed="false">
      <c r="A50180" s="0" t="s">
        <v>17654</v>
      </c>
      <c r="B50180" s="0" t="str">
        <f aca="false">HYPERLINK("https://lindat.mff.cuni.cz/services/teitok/pdtc10/index.php?action=vallex&amp;frame=v-w7073f1", "ujasnit si (v-w7073f1)")</f>
        <v>ujasnit si (v-w7073f1)</v>
      </c>
    </row>
    <row r="50181" customFormat="false" ht="12.8" hidden="false" customHeight="false" outlineLevel="0" collapsed="false">
      <c r="B50181" s="0" t="s">
        <v>7</v>
      </c>
    </row>
    <row r="50182" customFormat="false" ht="12.8" hidden="false" customHeight="false" outlineLevel="0" collapsed="false">
      <c r="B50182" s="0" t="s">
        <v>8144</v>
      </c>
    </row>
    <row r="50184" customFormat="false" ht="12.8" hidden="false" customHeight="false" outlineLevel="0" collapsed="false">
      <c r="A50184" s="0" t="s">
        <v>17655</v>
      </c>
      <c r="B50184" s="0" t="str">
        <f aca="false">HYPERLINK("https://lindat.mff.cuni.cz/services/teitok/pdtc10/index.php?action=vallex&amp;frame=v-w7075f1", "ujednat (v-w7075f1)")</f>
        <v>ujednat (v-w7075f1)</v>
      </c>
    </row>
    <row r="50185" customFormat="false" ht="12.8" hidden="false" customHeight="false" outlineLevel="0" collapsed="false">
      <c r="B50185" s="0" t="s">
        <v>7</v>
      </c>
    </row>
    <row r="50186" customFormat="false" ht="12.8" hidden="false" customHeight="false" outlineLevel="0" collapsed="false">
      <c r="B50186" s="0" t="s">
        <v>1865</v>
      </c>
    </row>
    <row r="50187" customFormat="false" ht="12.8" hidden="false" customHeight="false" outlineLevel="0" collapsed="false">
      <c r="B50187" s="0" t="s">
        <v>207</v>
      </c>
    </row>
    <row r="50189" customFormat="false" ht="12.8" hidden="false" customHeight="false" outlineLevel="0" collapsed="false">
      <c r="A50189" s="0" t="s">
        <v>17656</v>
      </c>
      <c r="B50189" s="0" t="str">
        <f aca="false">HYPERLINK("https://lindat.mff.cuni.cz/services/teitok/pdtc10/index.php?action=vallex&amp;frame=v-w10622f2", "ujednávat (v-w10622f2)")</f>
        <v>ujednávat (v-w10622f2)</v>
      </c>
    </row>
    <row r="50190" customFormat="false" ht="12.8" hidden="false" customHeight="false" outlineLevel="0" collapsed="false">
      <c r="B50190" s="0" t="s">
        <v>7</v>
      </c>
    </row>
    <row r="50191" customFormat="false" ht="12.8" hidden="false" customHeight="false" outlineLevel="0" collapsed="false">
      <c r="B50191" s="0" t="s">
        <v>1865</v>
      </c>
    </row>
    <row r="50192" customFormat="false" ht="12.8" hidden="false" customHeight="false" outlineLevel="0" collapsed="false">
      <c r="B50192" s="0" t="s">
        <v>207</v>
      </c>
    </row>
    <row r="50194" customFormat="false" ht="12.8" hidden="false" customHeight="false" outlineLevel="0" collapsed="false">
      <c r="A50194" s="0" t="s">
        <v>17657</v>
      </c>
      <c r="B50194" s="0" t="str">
        <f aca="false">HYPERLINK("https://lindat.mff.cuni.cz/services/teitok/pdtc10/index.php?action=vallex&amp;frame=v-w7076f2", "ujet (v-w7076f2)")</f>
        <v>ujet (v-w7076f2)</v>
      </c>
    </row>
    <row r="50195" customFormat="false" ht="12.8" hidden="false" customHeight="false" outlineLevel="0" collapsed="false">
      <c r="B50195" s="0" t="s">
        <v>7</v>
      </c>
    </row>
    <row r="50196" customFormat="false" ht="12.8" hidden="false" customHeight="false" outlineLevel="0" collapsed="false">
      <c r="B50196" s="0" t="s">
        <v>142</v>
      </c>
    </row>
    <row r="50198" customFormat="false" ht="12.8" hidden="false" customHeight="false" outlineLevel="0" collapsed="false">
      <c r="A50198" s="0" t="s">
        <v>17658</v>
      </c>
      <c r="B50198" s="0" t="str">
        <f aca="false">HYPERLINK("https://lindat.mff.cuni.cz/services/teitok/pdtc10/index.php?action=vallex&amp;frame=v-w7076f3", "ujet (v-w7076f3)")</f>
        <v>ujet (v-w7076f3)</v>
      </c>
    </row>
    <row r="50199" customFormat="false" ht="12.8" hidden="false" customHeight="false" outlineLevel="0" collapsed="false">
      <c r="B50199" s="0" t="s">
        <v>7</v>
      </c>
    </row>
    <row r="50200" customFormat="false" ht="12.8" hidden="false" customHeight="false" outlineLevel="0" collapsed="false">
      <c r="B50200" s="0" t="s">
        <v>14</v>
      </c>
    </row>
    <row r="50202" customFormat="false" ht="12.8" hidden="false" customHeight="false" outlineLevel="0" collapsed="false">
      <c r="A50202" s="0" t="s">
        <v>17659</v>
      </c>
      <c r="B50202" s="0" t="str">
        <f aca="false">HYPERLINK("https://lindat.mff.cuni.cz/services/teitok/pdtc10/index.php?action=vallex&amp;frame=v-w7076f1", "ujet (v-w7076f1)")</f>
        <v>ujet (v-w7076f1)</v>
      </c>
    </row>
    <row r="50203" customFormat="false" ht="12.8" hidden="false" customHeight="false" outlineLevel="0" collapsed="false">
      <c r="B50203" s="0" t="s">
        <v>7</v>
      </c>
      <c r="C50203" s="0" t="s">
        <v>149</v>
      </c>
    </row>
    <row r="50204" customFormat="false" ht="12.8" hidden="false" customHeight="false" outlineLevel="0" collapsed="false">
      <c r="B50204" s="0" t="s">
        <v>459</v>
      </c>
    </row>
    <row r="50206" customFormat="false" ht="12.8" hidden="false" customHeight="false" outlineLevel="0" collapsed="false">
      <c r="A50206" s="0" t="s">
        <v>17660</v>
      </c>
      <c r="B50206" s="0" t="str">
        <f aca="false">HYPERLINK("https://lindat.mff.cuni.cz/services/teitok/pdtc10/index.php?action=vallex&amp;frame=v-w7076f4", "ujet (v-w7076f4)")</f>
        <v>ujet (v-w7076f4)</v>
      </c>
    </row>
    <row r="50207" customFormat="false" ht="12.8" hidden="false" customHeight="false" outlineLevel="0" collapsed="false">
      <c r="B50207" s="0" t="s">
        <v>7</v>
      </c>
    </row>
    <row r="50209" customFormat="false" ht="12.8" hidden="false" customHeight="false" outlineLevel="0" collapsed="false">
      <c r="A50209" s="0" t="s">
        <v>17661</v>
      </c>
      <c r="B50209" s="0" t="str">
        <f aca="false">HYPERLINK("https://lindat.mff.cuni.cz/services/teitok/pdtc10/index.php?action=vallex&amp;frame=v-w7081f1", "ujistit (v-w7081f1)")</f>
        <v>ujistit (v-w7081f1)</v>
      </c>
    </row>
    <row r="50210" customFormat="false" ht="12.8" hidden="false" customHeight="false" outlineLevel="0" collapsed="false">
      <c r="B50210" s="0" t="s">
        <v>7</v>
      </c>
      <c r="C50210" s="0" t="s">
        <v>1263</v>
      </c>
      <c r="D50210" s="0" t="s">
        <v>309</v>
      </c>
      <c r="E50210" s="0" t="s">
        <v>309</v>
      </c>
      <c r="F50210" s="0" t="s">
        <v>309</v>
      </c>
    </row>
    <row r="50211" customFormat="false" ht="12.8" hidden="false" customHeight="false" outlineLevel="0" collapsed="false">
      <c r="B50211" s="0" t="s">
        <v>17348</v>
      </c>
      <c r="C50211" s="0" t="s">
        <v>17662</v>
      </c>
      <c r="D50211" s="0" t="s">
        <v>14032</v>
      </c>
      <c r="E50211" s="0" t="s">
        <v>14032</v>
      </c>
      <c r="F50211" s="0" t="s">
        <v>14032</v>
      </c>
    </row>
    <row r="50212" customFormat="false" ht="12.8" hidden="false" customHeight="false" outlineLevel="0" collapsed="false">
      <c r="B50212" s="0" t="s">
        <v>81</v>
      </c>
      <c r="C50212" s="0" t="s">
        <v>17349</v>
      </c>
      <c r="D50212" s="0" t="s">
        <v>17349</v>
      </c>
      <c r="E50212" s="0" t="s">
        <v>17349</v>
      </c>
      <c r="F50212" s="0" t="s">
        <v>17349</v>
      </c>
    </row>
    <row r="50214" customFormat="false" ht="12.8" hidden="false" customHeight="false" outlineLevel="0" collapsed="false">
      <c r="A50214" s="0" t="s">
        <v>17663</v>
      </c>
      <c r="B50214" s="0" t="str">
        <f aca="false">HYPERLINK("https://lindat.mff.cuni.cz/services/teitok/pdtc10/index.php?action=vallex&amp;frame=v-w7082hsa_1754", "ujistit se (v-w7082hsa_1754)")</f>
        <v>ujistit se (v-w7082hsa_1754)</v>
      </c>
    </row>
    <row r="50215" customFormat="false" ht="12.8" hidden="false" customHeight="false" outlineLevel="0" collapsed="false">
      <c r="B50215" s="0" t="s">
        <v>7</v>
      </c>
    </row>
    <row r="50216" customFormat="false" ht="12.8" hidden="false" customHeight="false" outlineLevel="0" collapsed="false">
      <c r="B50216" s="0" t="s">
        <v>17664</v>
      </c>
    </row>
    <row r="50218" customFormat="false" ht="12.8" hidden="false" customHeight="false" outlineLevel="0" collapsed="false">
      <c r="A50218" s="0" t="s">
        <v>17663</v>
      </c>
      <c r="B50218" s="0" t="str">
        <f aca="false">HYPERLINK("https://lindat.mff.cuni.cz/services/teitok/pdtc10/index.php?action=vallex&amp;frame=v-w7082f1", "ujistit se (v-w7082f1) - substituted with v-w7082hsa_1754")</f>
        <v>ujistit se (v-w7082f1) - substituted with v-w7082hsa_1754</v>
      </c>
    </row>
    <row r="50219" customFormat="false" ht="12.8" hidden="false" customHeight="false" outlineLevel="0" collapsed="false">
      <c r="B50219" s="0" t="s">
        <v>7</v>
      </c>
      <c r="D50219" s="0" t="s">
        <v>11736</v>
      </c>
      <c r="E50219" s="0" t="s">
        <v>11736</v>
      </c>
      <c r="F50219" s="0" t="s">
        <v>11736</v>
      </c>
    </row>
    <row r="50220" customFormat="false" ht="12.8" hidden="false" customHeight="false" outlineLevel="0" collapsed="false">
      <c r="B50220" s="0" t="s">
        <v>17664</v>
      </c>
      <c r="D50220" s="0" t="s">
        <v>10569</v>
      </c>
      <c r="E50220" s="0" t="s">
        <v>10569</v>
      </c>
      <c r="F50220" s="0" t="s">
        <v>10569</v>
      </c>
    </row>
    <row r="50222" customFormat="false" ht="12.8" hidden="false" customHeight="false" outlineLevel="0" collapsed="false">
      <c r="A50222" s="0" t="s">
        <v>17665</v>
      </c>
      <c r="B50222" s="0" t="str">
        <f aca="false">HYPERLINK("https://lindat.mff.cuni.cz/services/teitok/pdtc10/index.php?action=vallex&amp;frame=v-w7084f1", "ujišťovat (v-w7084f1)")</f>
        <v>ujišťovat (v-w7084f1)</v>
      </c>
    </row>
    <row r="50223" customFormat="false" ht="12.8" hidden="false" customHeight="false" outlineLevel="0" collapsed="false">
      <c r="B50223" s="0" t="s">
        <v>7</v>
      </c>
      <c r="C50223" s="0" t="s">
        <v>6524</v>
      </c>
      <c r="D50223" s="0" t="s">
        <v>309</v>
      </c>
      <c r="E50223" s="0" t="s">
        <v>309</v>
      </c>
      <c r="F50223" s="0" t="s">
        <v>309</v>
      </c>
    </row>
    <row r="50224" customFormat="false" ht="12.8" hidden="false" customHeight="false" outlineLevel="0" collapsed="false">
      <c r="B50224" s="0" t="s">
        <v>17348</v>
      </c>
      <c r="C50224" s="0" t="s">
        <v>2584</v>
      </c>
      <c r="D50224" s="0" t="s">
        <v>14032</v>
      </c>
      <c r="E50224" s="0" t="s">
        <v>14032</v>
      </c>
      <c r="F50224" s="0" t="s">
        <v>14032</v>
      </c>
    </row>
    <row r="50225" customFormat="false" ht="12.8" hidden="false" customHeight="false" outlineLevel="0" collapsed="false">
      <c r="B50225" s="0" t="s">
        <v>81</v>
      </c>
      <c r="D50225" s="0" t="s">
        <v>17349</v>
      </c>
      <c r="E50225" s="0" t="s">
        <v>17349</v>
      </c>
      <c r="F50225" s="0" t="s">
        <v>17349</v>
      </c>
    </row>
    <row r="50227" customFormat="false" ht="12.8" hidden="false" customHeight="false" outlineLevel="0" collapsed="false">
      <c r="A50227" s="0" t="s">
        <v>17666</v>
      </c>
      <c r="B50227" s="0" t="str">
        <f aca="false">HYPERLINK("https://lindat.mff.cuni.cz/services/teitok/pdtc10/index.php?action=vallex&amp;frame=v-w7088f1", "ujmout se (v-w7088f1)")</f>
        <v>ujmout se (v-w7088f1)</v>
      </c>
    </row>
    <row r="50228" customFormat="false" ht="12.8" hidden="false" customHeight="false" outlineLevel="0" collapsed="false">
      <c r="B50228" s="0" t="s">
        <v>7</v>
      </c>
      <c r="C50228" s="0" t="s">
        <v>17667</v>
      </c>
      <c r="D50228" s="0" t="s">
        <v>391</v>
      </c>
      <c r="E50228" s="0" t="s">
        <v>391</v>
      </c>
      <c r="F50228" s="0" t="s">
        <v>391</v>
      </c>
    </row>
    <row r="50229" customFormat="false" ht="12.8" hidden="false" customHeight="false" outlineLevel="0" collapsed="false">
      <c r="B50229" s="0" t="s">
        <v>1087</v>
      </c>
      <c r="C50229" s="0" t="s">
        <v>17668</v>
      </c>
      <c r="D50229" s="0" t="s">
        <v>1205</v>
      </c>
      <c r="E50229" s="0" t="s">
        <v>1205</v>
      </c>
      <c r="F50229" s="0" t="s">
        <v>1205</v>
      </c>
    </row>
    <row r="50231" customFormat="false" ht="12.8" hidden="false" customHeight="false" outlineLevel="0" collapsed="false">
      <c r="A50231" s="0" t="s">
        <v>17669</v>
      </c>
      <c r="B50231" s="0" t="str">
        <f aca="false">HYPERLINK("https://lindat.mff.cuni.cz/services/teitok/pdtc10/index.php?action=vallex&amp;frame=v-w7088f2", "ujmout se (v-w7088f2)")</f>
        <v>ujmout se (v-w7088f2)</v>
      </c>
    </row>
    <row r="50232" customFormat="false" ht="12.8" hidden="false" customHeight="false" outlineLevel="0" collapsed="false">
      <c r="B50232" s="0" t="s">
        <v>7</v>
      </c>
      <c r="C50232" s="0" t="s">
        <v>191</v>
      </c>
      <c r="D50232" s="0" t="s">
        <v>7092</v>
      </c>
      <c r="E50232" s="0" t="s">
        <v>7092</v>
      </c>
      <c r="F50232" s="0" t="s">
        <v>1627</v>
      </c>
    </row>
    <row r="50234" customFormat="false" ht="12.8" hidden="false" customHeight="false" outlineLevel="0" collapsed="false">
      <c r="A50234" s="0" t="s">
        <v>17670</v>
      </c>
      <c r="B50234" s="0" t="str">
        <f aca="false">HYPERLINK("https://lindat.mff.cuni.cz/services/teitok/pdtc10/index.php?action=vallex&amp;frame=v-w7078f1", "ujídat (v-w7078f1)")</f>
        <v>ujídat (v-w7078f1)</v>
      </c>
    </row>
    <row r="50235" customFormat="false" ht="12.8" hidden="false" customHeight="false" outlineLevel="0" collapsed="false">
      <c r="B50235" s="0" t="s">
        <v>7</v>
      </c>
      <c r="C50235" s="0" t="s">
        <v>4380</v>
      </c>
      <c r="D50235" s="0" t="s">
        <v>73</v>
      </c>
      <c r="E50235" s="0" t="s">
        <v>73</v>
      </c>
      <c r="F50235" s="0" t="s">
        <v>73</v>
      </c>
    </row>
    <row r="50236" customFormat="false" ht="12.8" hidden="false" customHeight="false" outlineLevel="0" collapsed="false">
      <c r="B50236" s="0" t="s">
        <v>14</v>
      </c>
      <c r="C50236" s="0" t="s">
        <v>1315</v>
      </c>
      <c r="D50236" s="0" t="s">
        <v>173</v>
      </c>
      <c r="E50236" s="0" t="s">
        <v>173</v>
      </c>
      <c r="F50236" s="0" t="s">
        <v>173</v>
      </c>
    </row>
    <row r="50238" customFormat="false" ht="12.8" hidden="false" customHeight="false" outlineLevel="0" collapsed="false">
      <c r="A50238" s="0" t="s">
        <v>17671</v>
      </c>
      <c r="B50238" s="0" t="str">
        <f aca="false">HYPERLINK("https://lindat.mff.cuni.cz/services/teitok/pdtc10/index.php?action=vallex&amp;frame=v-w7079f1", "ujímat se (v-w7079f1)")</f>
        <v>ujímat se (v-w7079f1)</v>
      </c>
    </row>
    <row r="50239" customFormat="false" ht="12.8" hidden="false" customHeight="false" outlineLevel="0" collapsed="false">
      <c r="B50239" s="0" t="s">
        <v>7</v>
      </c>
      <c r="D50239" s="0" t="s">
        <v>391</v>
      </c>
      <c r="E50239" s="0" t="s">
        <v>391</v>
      </c>
      <c r="F50239" s="0" t="s">
        <v>391</v>
      </c>
    </row>
    <row r="50240" customFormat="false" ht="12.8" hidden="false" customHeight="false" outlineLevel="0" collapsed="false">
      <c r="B50240" s="0" t="s">
        <v>1087</v>
      </c>
      <c r="D50240" s="0" t="s">
        <v>1205</v>
      </c>
      <c r="E50240" s="0" t="s">
        <v>1205</v>
      </c>
      <c r="F50240" s="0" t="s">
        <v>1205</v>
      </c>
    </row>
    <row r="50242" customFormat="false" ht="12.8" hidden="false" customHeight="false" outlineLevel="0" collapsed="false">
      <c r="A50242" s="0" t="s">
        <v>17672</v>
      </c>
      <c r="B50242" s="0" t="str">
        <f aca="false">HYPERLINK("https://lindat.mff.cuni.cz/services/teitok/pdtc10/index.php?action=vallex&amp;frame=v-w7079hsa_708", "ujímat se (v-w7079hsa_708)")</f>
        <v>ujímat se (v-w7079hsa_708)</v>
      </c>
    </row>
    <row r="50243" customFormat="false" ht="12.8" hidden="false" customHeight="false" outlineLevel="0" collapsed="false">
      <c r="B50243" s="0" t="s">
        <v>7</v>
      </c>
      <c r="F50243" s="0" t="s">
        <v>396</v>
      </c>
    </row>
    <row r="50245" customFormat="false" ht="12.8" hidden="false" customHeight="false" outlineLevel="0" collapsed="false">
      <c r="A50245" s="0" t="s">
        <v>17673</v>
      </c>
      <c r="B50245" s="0" t="str">
        <f aca="false">HYPERLINK("https://lindat.mff.cuni.cz/services/teitok/pdtc10/index.php?action=vallex&amp;frame=v-w7080f1", "ujíst (v-w7080f1)")</f>
        <v>ujíst (v-w7080f1)</v>
      </c>
    </row>
    <row r="50246" customFormat="false" ht="12.8" hidden="false" customHeight="false" outlineLevel="0" collapsed="false">
      <c r="B50246" s="0" t="s">
        <v>7</v>
      </c>
      <c r="D50246" s="0" t="s">
        <v>4380</v>
      </c>
      <c r="E50246" s="0" t="s">
        <v>4380</v>
      </c>
      <c r="F50246" s="0" t="s">
        <v>4380</v>
      </c>
    </row>
    <row r="50247" customFormat="false" ht="12.8" hidden="false" customHeight="false" outlineLevel="0" collapsed="false">
      <c r="B50247" s="0" t="s">
        <v>14</v>
      </c>
      <c r="D50247" s="0" t="s">
        <v>151</v>
      </c>
      <c r="E50247" s="0" t="s">
        <v>151</v>
      </c>
      <c r="F50247" s="0" t="s">
        <v>151</v>
      </c>
    </row>
    <row r="50249" customFormat="false" ht="12.8" hidden="false" customHeight="false" outlineLevel="0" collapsed="false">
      <c r="A50249" s="0" t="s">
        <v>17674</v>
      </c>
      <c r="B50249" s="0" t="str">
        <f aca="false">HYPERLINK("https://lindat.mff.cuni.cz/services/teitok/pdtc10/index.php?action=vallex&amp;frame=v-w7085f1", "ujít (v-w7085f1)")</f>
        <v>ujít (v-w7085f1)</v>
      </c>
    </row>
    <row r="50250" customFormat="false" ht="12.8" hidden="false" customHeight="false" outlineLevel="0" collapsed="false">
      <c r="B50250" s="0" t="s">
        <v>7</v>
      </c>
    </row>
    <row r="50251" customFormat="false" ht="12.8" hidden="false" customHeight="false" outlineLevel="0" collapsed="false">
      <c r="B50251" s="0" t="s">
        <v>142</v>
      </c>
    </row>
    <row r="50253" customFormat="false" ht="12.8" hidden="false" customHeight="false" outlineLevel="0" collapsed="false">
      <c r="A50253" s="0" t="s">
        <v>17675</v>
      </c>
      <c r="B50253" s="0" t="str">
        <f aca="false">HYPERLINK("https://lindat.mff.cuni.cz/services/teitok/pdtc10/index.php?action=vallex&amp;frame=v-w7085f3", "ujít (v-w7085f3)")</f>
        <v>ujít (v-w7085f3)</v>
      </c>
    </row>
    <row r="50254" customFormat="false" ht="12.8" hidden="false" customHeight="false" outlineLevel="0" collapsed="false">
      <c r="B50254" s="0" t="s">
        <v>7</v>
      </c>
    </row>
    <row r="50255" customFormat="false" ht="12.8" hidden="false" customHeight="false" outlineLevel="0" collapsed="false">
      <c r="B50255" s="0" t="s">
        <v>14</v>
      </c>
    </row>
    <row r="50257" customFormat="false" ht="12.8" hidden="false" customHeight="false" outlineLevel="0" collapsed="false">
      <c r="A50257" s="0" t="s">
        <v>17676</v>
      </c>
      <c r="B50257" s="0" t="str">
        <f aca="false">HYPERLINK("https://lindat.mff.cuni.cz/services/teitok/pdtc10/index.php?action=vallex&amp;frame=v-w7085f4", "ujít (v-w7085f4)")</f>
        <v>ujít (v-w7085f4)</v>
      </c>
    </row>
    <row r="50258" customFormat="false" ht="12.8" hidden="false" customHeight="false" outlineLevel="0" collapsed="false">
      <c r="B50258" s="0" t="s">
        <v>603</v>
      </c>
      <c r="C50258" s="0" t="s">
        <v>1874</v>
      </c>
      <c r="D50258" s="0" t="s">
        <v>17677</v>
      </c>
      <c r="E50258" s="0" t="s">
        <v>17677</v>
      </c>
      <c r="F50258" s="0" t="s">
        <v>17677</v>
      </c>
    </row>
    <row r="50259" customFormat="false" ht="12.8" hidden="false" customHeight="false" outlineLevel="0" collapsed="false">
      <c r="B50259" s="0" t="s">
        <v>17678</v>
      </c>
      <c r="C50259" s="0" t="s">
        <v>493</v>
      </c>
      <c r="D50259" s="0" t="s">
        <v>17679</v>
      </c>
      <c r="E50259" s="0" t="s">
        <v>17679</v>
      </c>
      <c r="F50259" s="0" t="s">
        <v>17679</v>
      </c>
    </row>
    <row r="50261" customFormat="false" ht="12.8" hidden="false" customHeight="false" outlineLevel="0" collapsed="false">
      <c r="A50261" s="0" t="s">
        <v>17680</v>
      </c>
      <c r="B50261" s="0" t="str">
        <f aca="false">HYPERLINK("https://lindat.mff.cuni.cz/services/teitok/pdtc10/index.php?action=vallex&amp;frame=v-w7085f2", "ujít (v-w7085f2)")</f>
        <v>ujít (v-w7085f2)</v>
      </c>
    </row>
    <row r="50262" customFormat="false" ht="12.8" hidden="false" customHeight="false" outlineLevel="0" collapsed="false">
      <c r="B50262" s="0" t="s">
        <v>7</v>
      </c>
    </row>
    <row r="50264" customFormat="false" ht="12.8" hidden="false" customHeight="false" outlineLevel="0" collapsed="false">
      <c r="A50264" s="0" t="s">
        <v>17681</v>
      </c>
      <c r="B50264" s="0" t="str">
        <f aca="false">HYPERLINK("https://lindat.mff.cuni.cz/services/teitok/pdtc10/index.php?action=vallex&amp;frame=v-w7086f1", "ujíždět (v-w7086f1)")</f>
        <v>ujíždět (v-w7086f1)</v>
      </c>
    </row>
    <row r="50265" customFormat="false" ht="12.8" hidden="false" customHeight="false" outlineLevel="0" collapsed="false">
      <c r="B50265" s="0" t="s">
        <v>7</v>
      </c>
    </row>
    <row r="50266" customFormat="false" ht="12.8" hidden="false" customHeight="false" outlineLevel="0" collapsed="false">
      <c r="B50266" s="0" t="s">
        <v>142</v>
      </c>
    </row>
    <row r="50268" customFormat="false" ht="12.8" hidden="false" customHeight="false" outlineLevel="0" collapsed="false">
      <c r="A50268" s="0" t="s">
        <v>17682</v>
      </c>
      <c r="B50268" s="0" t="str">
        <f aca="false">HYPERLINK("https://lindat.mff.cuni.cz/services/teitok/pdtc10/index.php?action=vallex&amp;frame=v-w7086f2", "ujíždět (v-w7086f2)")</f>
        <v>ujíždět (v-w7086f2)</v>
      </c>
    </row>
    <row r="50269" customFormat="false" ht="12.8" hidden="false" customHeight="false" outlineLevel="0" collapsed="false">
      <c r="B50269" s="0" t="s">
        <v>7</v>
      </c>
      <c r="D50269" s="0" t="s">
        <v>4783</v>
      </c>
      <c r="E50269" s="0" t="s">
        <v>4783</v>
      </c>
      <c r="F50269" s="0" t="s">
        <v>4783</v>
      </c>
    </row>
    <row r="50270" customFormat="false" ht="12.8" hidden="false" customHeight="false" outlineLevel="0" collapsed="false">
      <c r="B50270" s="0" t="s">
        <v>459</v>
      </c>
    </row>
    <row r="50272" customFormat="false" ht="12.8" hidden="false" customHeight="false" outlineLevel="0" collapsed="false">
      <c r="A50272" s="0" t="s">
        <v>17683</v>
      </c>
      <c r="B50272" s="0" t="str">
        <f aca="false">HYPERLINK("https://lindat.mff.cuni.cz/services/teitok/pdtc10/index.php?action=vallex&amp;frame=v-w7089f1", "ukamenovat (v-w7089f1)")</f>
        <v>ukamenovat (v-w7089f1)</v>
      </c>
    </row>
    <row r="50273" customFormat="false" ht="12.8" hidden="false" customHeight="false" outlineLevel="0" collapsed="false">
      <c r="B50273" s="0" t="s">
        <v>7</v>
      </c>
    </row>
    <row r="50274" customFormat="false" ht="12.8" hidden="false" customHeight="false" outlineLevel="0" collapsed="false">
      <c r="B50274" s="0" t="s">
        <v>14</v>
      </c>
    </row>
    <row r="50276" customFormat="false" ht="12.8" hidden="false" customHeight="false" outlineLevel="0" collapsed="false">
      <c r="A50276" s="0" t="s">
        <v>17684</v>
      </c>
      <c r="B50276" s="0" t="str">
        <f aca="false">HYPERLINK("https://lindat.mff.cuni.cz/services/teitok/pdtc10/index.php?action=vallex&amp;frame=v-w7090f1", "ukapávat (v-w7090f1)")</f>
        <v>ukapávat (v-w7090f1)</v>
      </c>
    </row>
    <row r="50277" customFormat="false" ht="12.8" hidden="false" customHeight="false" outlineLevel="0" collapsed="false">
      <c r="B50277" s="0" t="s">
        <v>7</v>
      </c>
    </row>
    <row r="50278" customFormat="false" ht="12.8" hidden="false" customHeight="false" outlineLevel="0" collapsed="false">
      <c r="B50278" s="0" t="s">
        <v>459</v>
      </c>
    </row>
    <row r="50280" customFormat="false" ht="12.8" hidden="false" customHeight="false" outlineLevel="0" collapsed="false">
      <c r="A50280" s="0" t="s">
        <v>17685</v>
      </c>
      <c r="B50280" s="0" t="str">
        <f aca="false">HYPERLINK("https://lindat.mff.cuni.cz/services/teitok/pdtc10/index.php?action=vallex&amp;frame=v-w7098f9_ZU", "ukazovat (v-w7098f9_ZU)")</f>
        <v>ukazovat (v-w7098f9_ZU)</v>
      </c>
    </row>
    <row r="50281" customFormat="false" ht="12.8" hidden="false" customHeight="false" outlineLevel="0" collapsed="false">
      <c r="B50281" s="0" t="s">
        <v>641</v>
      </c>
    </row>
    <row r="50282" customFormat="false" ht="12.8" hidden="false" customHeight="false" outlineLevel="0" collapsed="false">
      <c r="B50282" s="0" t="s">
        <v>1554</v>
      </c>
    </row>
    <row r="50283" customFormat="false" ht="12.8" hidden="false" customHeight="false" outlineLevel="0" collapsed="false">
      <c r="B50283" s="0" t="s">
        <v>48</v>
      </c>
    </row>
    <row r="50285" customFormat="false" ht="12.8" hidden="false" customHeight="false" outlineLevel="0" collapsed="false">
      <c r="A50285" s="0" t="s">
        <v>17685</v>
      </c>
      <c r="B50285" s="0" t="str">
        <f aca="false">HYPERLINK("https://lindat.mff.cuni.cz/services/teitok/pdtc10/index.php?action=vallex&amp;frame=v-w7098f1", "ukazovat (v-w7098f1) - substituted with v-w7098f9_ZU")</f>
        <v>ukazovat (v-w7098f1) - substituted with v-w7098f9_ZU</v>
      </c>
    </row>
    <row r="50286" customFormat="false" ht="12.8" hidden="false" customHeight="false" outlineLevel="0" collapsed="false">
      <c r="B50286" s="0" t="s">
        <v>641</v>
      </c>
      <c r="C50286" s="0" t="s">
        <v>17686</v>
      </c>
      <c r="D50286" s="0" t="s">
        <v>1553</v>
      </c>
      <c r="E50286" s="0" t="s">
        <v>1553</v>
      </c>
      <c r="F50286" s="0" t="s">
        <v>1553</v>
      </c>
    </row>
    <row r="50287" customFormat="false" ht="12.8" hidden="false" customHeight="false" outlineLevel="0" collapsed="false">
      <c r="B50287" s="0" t="s">
        <v>1554</v>
      </c>
      <c r="C50287" s="0" t="s">
        <v>17687</v>
      </c>
      <c r="D50287" s="0" t="s">
        <v>1555</v>
      </c>
      <c r="E50287" s="0" t="s">
        <v>1555</v>
      </c>
      <c r="F50287" s="0" t="s">
        <v>1555</v>
      </c>
    </row>
    <row r="50288" customFormat="false" ht="12.8" hidden="false" customHeight="false" outlineLevel="0" collapsed="false">
      <c r="B50288" s="0" t="s">
        <v>48</v>
      </c>
      <c r="C50288" s="0" t="s">
        <v>17688</v>
      </c>
      <c r="D50288" s="0" t="s">
        <v>1556</v>
      </c>
      <c r="E50288" s="0" t="s">
        <v>1556</v>
      </c>
      <c r="F50288" s="0" t="s">
        <v>1556</v>
      </c>
    </row>
    <row r="50290" customFormat="false" ht="12.8" hidden="false" customHeight="false" outlineLevel="0" collapsed="false">
      <c r="A50290" s="0" t="s">
        <v>17689</v>
      </c>
      <c r="B50290" s="0" t="str">
        <f aca="false">HYPERLINK("https://lindat.mff.cuni.cz/services/teitok/pdtc10/index.php?action=vallex&amp;frame=v-w7098f2", "ukazovat (v-w7098f2)")</f>
        <v>ukazovat (v-w7098f2)</v>
      </c>
    </row>
    <row r="50291" customFormat="false" ht="12.8" hidden="false" customHeight="false" outlineLevel="0" collapsed="false">
      <c r="B50291" s="0" t="s">
        <v>265</v>
      </c>
      <c r="C50291" s="0" t="s">
        <v>8529</v>
      </c>
      <c r="D50291" s="0" t="s">
        <v>1505</v>
      </c>
      <c r="E50291" s="0" t="s">
        <v>1505</v>
      </c>
      <c r="F50291" s="0" t="s">
        <v>1505</v>
      </c>
    </row>
    <row r="50292" customFormat="false" ht="12.8" hidden="false" customHeight="false" outlineLevel="0" collapsed="false">
      <c r="B50292" s="0" t="s">
        <v>41</v>
      </c>
      <c r="C50292" s="0" t="s">
        <v>17690</v>
      </c>
      <c r="D50292" s="0" t="s">
        <v>11123</v>
      </c>
      <c r="E50292" s="0" t="s">
        <v>11123</v>
      </c>
      <c r="F50292" s="0" t="s">
        <v>11123</v>
      </c>
    </row>
    <row r="50293" customFormat="false" ht="12.8" hidden="false" customHeight="false" outlineLevel="0" collapsed="false">
      <c r="B50293" s="0" t="s">
        <v>106</v>
      </c>
      <c r="C50293" s="0" t="s">
        <v>1843</v>
      </c>
      <c r="D50293" s="0" t="s">
        <v>17691</v>
      </c>
      <c r="E50293" s="0" t="s">
        <v>17691</v>
      </c>
      <c r="F50293" s="0" t="s">
        <v>17691</v>
      </c>
    </row>
    <row r="50295" customFormat="false" ht="12.8" hidden="false" customHeight="false" outlineLevel="0" collapsed="false">
      <c r="A50295" s="0" t="s">
        <v>17692</v>
      </c>
      <c r="B50295" s="0" t="str">
        <f aca="false">HYPERLINK("https://lindat.mff.cuni.cz/services/teitok/pdtc10/index.php?action=vallex&amp;frame=v-w7098f3", "ukazovat (v-w7098f3)")</f>
        <v>ukazovat (v-w7098f3)</v>
      </c>
    </row>
    <row r="50296" customFormat="false" ht="12.8" hidden="false" customHeight="false" outlineLevel="0" collapsed="false">
      <c r="B50296" s="0" t="s">
        <v>7</v>
      </c>
      <c r="D50296" s="0" t="s">
        <v>4179</v>
      </c>
      <c r="E50296" s="0" t="s">
        <v>4179</v>
      </c>
      <c r="F50296" s="0" t="s">
        <v>4179</v>
      </c>
    </row>
    <row r="50297" customFormat="false" ht="12.8" hidden="false" customHeight="false" outlineLevel="0" collapsed="false">
      <c r="B50297" s="0" t="s">
        <v>14</v>
      </c>
      <c r="C50297" s="0" t="s">
        <v>11865</v>
      </c>
      <c r="D50297" s="0" t="s">
        <v>4181</v>
      </c>
      <c r="E50297" s="0" t="s">
        <v>4181</v>
      </c>
      <c r="F50297" s="0" t="s">
        <v>4181</v>
      </c>
    </row>
    <row r="50299" customFormat="false" ht="12.8" hidden="false" customHeight="false" outlineLevel="0" collapsed="false">
      <c r="A50299" s="0" t="s">
        <v>17693</v>
      </c>
      <c r="B50299" s="0" t="str">
        <f aca="false">HYPERLINK("https://lindat.mff.cuni.cz/services/teitok/pdtc10/index.php?action=vallex&amp;frame=v-w7098f4", "ukazovat (v-w7098f4)")</f>
        <v>ukazovat (v-w7098f4)</v>
      </c>
    </row>
    <row r="50300" customFormat="false" ht="12.8" hidden="false" customHeight="false" outlineLevel="0" collapsed="false">
      <c r="B50300" s="0" t="s">
        <v>7</v>
      </c>
      <c r="C50300" s="0" t="s">
        <v>3803</v>
      </c>
      <c r="D50300" s="0" t="s">
        <v>1922</v>
      </c>
      <c r="E50300" s="0" t="s">
        <v>1922</v>
      </c>
      <c r="F50300" s="0" t="s">
        <v>1922</v>
      </c>
    </row>
    <row r="50301" customFormat="false" ht="12.8" hidden="false" customHeight="false" outlineLevel="0" collapsed="false">
      <c r="B50301" s="0" t="s">
        <v>5525</v>
      </c>
      <c r="C50301" s="0" t="s">
        <v>17694</v>
      </c>
      <c r="D50301" s="0" t="s">
        <v>16806</v>
      </c>
      <c r="E50301" s="0" t="s">
        <v>16806</v>
      </c>
      <c r="F50301" s="0" t="s">
        <v>16806</v>
      </c>
    </row>
    <row r="50302" customFormat="false" ht="12.8" hidden="false" customHeight="false" outlineLevel="0" collapsed="false">
      <c r="B50302" s="0" t="s">
        <v>363</v>
      </c>
      <c r="D50302" s="0" t="s">
        <v>899</v>
      </c>
      <c r="E50302" s="0" t="s">
        <v>899</v>
      </c>
      <c r="F50302" s="0" t="s">
        <v>899</v>
      </c>
    </row>
    <row r="50303" customFormat="false" ht="12.8" hidden="false" customHeight="false" outlineLevel="0" collapsed="false">
      <c r="B50303" s="0" t="s">
        <v>106</v>
      </c>
      <c r="D50303" s="0" t="s">
        <v>1927</v>
      </c>
      <c r="E50303" s="0" t="s">
        <v>1927</v>
      </c>
      <c r="F50303" s="0" t="s">
        <v>1927</v>
      </c>
    </row>
    <row r="50305" customFormat="false" ht="12.8" hidden="false" customHeight="false" outlineLevel="0" collapsed="false">
      <c r="A50305" s="0" t="s">
        <v>17695</v>
      </c>
      <c r="B50305" s="0" t="str">
        <f aca="false">HYPERLINK("https://lindat.mff.cuni.cz/services/teitok/pdtc10/index.php?action=vallex&amp;frame=v-w7098f5", "ukazovat (v-w7098f5)")</f>
        <v>ukazovat (v-w7098f5)</v>
      </c>
    </row>
    <row r="50306" customFormat="false" ht="12.8" hidden="false" customHeight="false" outlineLevel="0" collapsed="false">
      <c r="B50306" s="0" t="s">
        <v>7</v>
      </c>
    </row>
    <row r="50307" customFormat="false" ht="12.8" hidden="false" customHeight="false" outlineLevel="0" collapsed="false">
      <c r="B50307" s="0" t="s">
        <v>124</v>
      </c>
    </row>
    <row r="50308" customFormat="false" ht="12.8" hidden="false" customHeight="false" outlineLevel="0" collapsed="false">
      <c r="B50308" s="0" t="s">
        <v>119</v>
      </c>
    </row>
    <row r="50310" customFormat="false" ht="12.8" hidden="false" customHeight="false" outlineLevel="0" collapsed="false">
      <c r="A50310" s="0" t="s">
        <v>17696</v>
      </c>
      <c r="B50310" s="0" t="str">
        <f aca="false">HYPERLINK("https://lindat.mff.cuni.cz/services/teitok/pdtc10/index.php?action=vallex&amp;frame=v-w7098f6_ZU", "ukazovat (v-w7098f6_ZU)")</f>
        <v>ukazovat (v-w7098f6_ZU)</v>
      </c>
    </row>
    <row r="50311" customFormat="false" ht="12.8" hidden="false" customHeight="false" outlineLevel="0" collapsed="false">
      <c r="B50311" s="0" t="s">
        <v>7</v>
      </c>
    </row>
    <row r="50312" customFormat="false" ht="12.8" hidden="false" customHeight="false" outlineLevel="0" collapsed="false">
      <c r="B50312" s="0" t="s">
        <v>17697</v>
      </c>
      <c r="C50312" s="0" t="s">
        <v>11796</v>
      </c>
    </row>
    <row r="50313" customFormat="false" ht="12.8" hidden="false" customHeight="false" outlineLevel="0" collapsed="false">
      <c r="B50313" s="0" t="s">
        <v>106</v>
      </c>
    </row>
    <row r="50315" customFormat="false" ht="12.8" hidden="false" customHeight="false" outlineLevel="0" collapsed="false">
      <c r="A50315" s="0" t="s">
        <v>17698</v>
      </c>
      <c r="B50315" s="0" t="str">
        <f aca="false">HYPERLINK("https://lindat.mff.cuni.cz/services/teitok/pdtc10/index.php?action=vallex&amp;frame=v-w7098f8_ZU", "ukazovat (v-w7098f8_ZU)")</f>
        <v>ukazovat (v-w7098f8_ZU)</v>
      </c>
    </row>
    <row r="50316" customFormat="false" ht="12.8" hidden="false" customHeight="false" outlineLevel="0" collapsed="false">
      <c r="B50316" s="0" t="s">
        <v>7</v>
      </c>
      <c r="C50316" s="0" t="s">
        <v>4178</v>
      </c>
      <c r="D50316" s="0" t="s">
        <v>1553</v>
      </c>
      <c r="E50316" s="0" t="s">
        <v>1553</v>
      </c>
      <c r="F50316" s="0" t="s">
        <v>1553</v>
      </c>
    </row>
    <row r="50317" customFormat="false" ht="12.8" hidden="false" customHeight="false" outlineLevel="0" collapsed="false">
      <c r="B50317" s="0" t="s">
        <v>54</v>
      </c>
      <c r="C50317" s="0" t="s">
        <v>17699</v>
      </c>
      <c r="D50317" s="0" t="s">
        <v>1555</v>
      </c>
      <c r="E50317" s="0" t="s">
        <v>1555</v>
      </c>
      <c r="F50317" s="0" t="s">
        <v>1555</v>
      </c>
    </row>
    <row r="50318" customFormat="false" ht="12.8" hidden="false" customHeight="false" outlineLevel="0" collapsed="false">
      <c r="B50318" s="0" t="s">
        <v>106</v>
      </c>
      <c r="C50318" s="0" t="s">
        <v>1843</v>
      </c>
      <c r="D50318" s="0" t="s">
        <v>1556</v>
      </c>
      <c r="E50318" s="0" t="s">
        <v>1556</v>
      </c>
      <c r="F50318" s="0" t="s">
        <v>1556</v>
      </c>
    </row>
    <row r="50320" customFormat="false" ht="12.8" hidden="false" customHeight="false" outlineLevel="0" collapsed="false">
      <c r="A50320" s="0" t="s">
        <v>17698</v>
      </c>
      <c r="B50320" s="0" t="str">
        <f aca="false">HYPERLINK("https://lindat.mff.cuni.cz/services/teitok/pdtc10/index.php?action=vallex&amp;frame=v-w7098f7_ZU", "ukazovat (v-w7098f7_ZU) - substituted with v-w7098f8_ZU")</f>
        <v>ukazovat (v-w7098f7_ZU) - substituted with v-w7098f8_ZU</v>
      </c>
    </row>
    <row r="50321" customFormat="false" ht="12.8" hidden="false" customHeight="false" outlineLevel="0" collapsed="false">
      <c r="B50321" s="0" t="s">
        <v>7</v>
      </c>
    </row>
    <row r="50322" customFormat="false" ht="12.8" hidden="false" customHeight="false" outlineLevel="0" collapsed="false">
      <c r="B50322" s="0" t="s">
        <v>54</v>
      </c>
      <c r="C50322" s="0" t="s">
        <v>17700</v>
      </c>
    </row>
    <row r="50323" customFormat="false" ht="12.8" hidden="false" customHeight="false" outlineLevel="0" collapsed="false">
      <c r="B50323" s="0" t="s">
        <v>106</v>
      </c>
    </row>
    <row r="50325" customFormat="false" ht="12.8" hidden="false" customHeight="false" outlineLevel="0" collapsed="false">
      <c r="A50325" s="0" t="s">
        <v>17698</v>
      </c>
      <c r="B50325" s="0" t="str">
        <f aca="false">HYPERLINK("https://lindat.mff.cuni.cz/services/teitok/pdtc10/index.php?action=vallex&amp;frame=v-w7098hsa_814", "ukazovat (v-w7098hsa_814) - substituted with v-w7098f8_ZU")</f>
        <v>ukazovat (v-w7098hsa_814) - substituted with v-w7098f8_ZU</v>
      </c>
    </row>
    <row r="50326" customFormat="false" ht="12.8" hidden="false" customHeight="false" outlineLevel="0" collapsed="false">
      <c r="B50326" s="0" t="s">
        <v>7</v>
      </c>
    </row>
    <row r="50327" customFormat="false" ht="12.8" hidden="false" customHeight="false" outlineLevel="0" collapsed="false">
      <c r="B50327" s="0" t="s">
        <v>54</v>
      </c>
    </row>
    <row r="50328" customFormat="false" ht="12.8" hidden="false" customHeight="false" outlineLevel="0" collapsed="false">
      <c r="B50328" s="0" t="s">
        <v>106</v>
      </c>
    </row>
    <row r="50330" customFormat="false" ht="12.8" hidden="false" customHeight="false" outlineLevel="0" collapsed="false">
      <c r="A50330" s="0" t="s">
        <v>17701</v>
      </c>
      <c r="B50330" s="0" t="str">
        <f aca="false">HYPERLINK("https://lindat.mff.cuni.cz/services/teitok/pdtc10/index.php?action=vallex&amp;frame=v-w7099f2", "ukazovat se (v-w7099f2)")</f>
        <v>ukazovat se (v-w7099f2)</v>
      </c>
    </row>
    <row r="50331" customFormat="false" ht="12.8" hidden="false" customHeight="false" outlineLevel="0" collapsed="false">
      <c r="B50331" s="0" t="s">
        <v>641</v>
      </c>
      <c r="C50331" s="0" t="s">
        <v>17702</v>
      </c>
      <c r="D50331" s="0" t="s">
        <v>17703</v>
      </c>
      <c r="E50331" s="0" t="s">
        <v>17703</v>
      </c>
      <c r="F50331" s="0" t="s">
        <v>17703</v>
      </c>
    </row>
    <row r="50332" customFormat="false" ht="12.8" hidden="false" customHeight="false" outlineLevel="0" collapsed="false">
      <c r="B50332" s="0" t="s">
        <v>17704</v>
      </c>
      <c r="C50332" s="0" t="s">
        <v>17705</v>
      </c>
      <c r="D50332" s="0" t="s">
        <v>2641</v>
      </c>
      <c r="E50332" s="0" t="s">
        <v>2641</v>
      </c>
      <c r="F50332" s="0" t="s">
        <v>2641</v>
      </c>
    </row>
    <row r="50334" customFormat="false" ht="12.8" hidden="false" customHeight="false" outlineLevel="0" collapsed="false">
      <c r="A50334" s="0" t="s">
        <v>17706</v>
      </c>
      <c r="B50334" s="0" t="str">
        <f aca="false">HYPERLINK("https://lindat.mff.cuni.cz/services/teitok/pdtc10/index.php?action=vallex&amp;frame=v-w7099f5", "ukazovat se (v-w7099f5)")</f>
        <v>ukazovat se (v-w7099f5)</v>
      </c>
    </row>
    <row r="50335" customFormat="false" ht="12.8" hidden="false" customHeight="false" outlineLevel="0" collapsed="false">
      <c r="B50335" s="0" t="s">
        <v>7</v>
      </c>
    </row>
    <row r="50336" customFormat="false" ht="12.8" hidden="false" customHeight="false" outlineLevel="0" collapsed="false">
      <c r="B50336" s="0" t="s">
        <v>119</v>
      </c>
    </row>
    <row r="50338" customFormat="false" ht="12.8" hidden="false" customHeight="false" outlineLevel="0" collapsed="false">
      <c r="A50338" s="0" t="s">
        <v>17707</v>
      </c>
      <c r="B50338" s="0" t="str">
        <f aca="false">HYPERLINK("https://lindat.mff.cuni.cz/services/teitok/pdtc10/index.php?action=vallex&amp;frame=v-w7099f4", "ukazovat se (v-w7099f4)")</f>
        <v>ukazovat se (v-w7099f4)</v>
      </c>
    </row>
    <row r="50339" customFormat="false" ht="12.8" hidden="false" customHeight="false" outlineLevel="0" collapsed="false">
      <c r="B50339" s="0" t="s">
        <v>7</v>
      </c>
      <c r="C50339" s="0" t="s">
        <v>1715</v>
      </c>
      <c r="D50339" s="0" t="s">
        <v>7650</v>
      </c>
      <c r="E50339" s="0" t="s">
        <v>7650</v>
      </c>
      <c r="F50339" s="0" t="s">
        <v>7650</v>
      </c>
    </row>
    <row r="50340" customFormat="false" ht="12.8" hidden="false" customHeight="false" outlineLevel="0" collapsed="false">
      <c r="B50340" s="0" t="s">
        <v>11</v>
      </c>
    </row>
    <row r="50342" customFormat="false" ht="12.8" hidden="false" customHeight="false" outlineLevel="0" collapsed="false">
      <c r="A50342" s="0" t="s">
        <v>17708</v>
      </c>
      <c r="B50342" s="0" t="str">
        <f aca="false">HYPERLINK("https://lindat.mff.cuni.cz/services/teitok/pdtc10/index.php?action=vallex&amp;frame=v-w7099f3", "ukazovat se (v-w7099f3)")</f>
        <v>ukazovat se (v-w7099f3)</v>
      </c>
    </row>
    <row r="50343" customFormat="false" ht="12.8" hidden="false" customHeight="false" outlineLevel="0" collapsed="false">
      <c r="B50343" s="0" t="s">
        <v>7</v>
      </c>
    </row>
    <row r="50344" customFormat="false" ht="12.8" hidden="false" customHeight="false" outlineLevel="0" collapsed="false">
      <c r="B50344" s="0" t="s">
        <v>662</v>
      </c>
    </row>
    <row r="50346" customFormat="false" ht="12.8" hidden="false" customHeight="false" outlineLevel="0" collapsed="false">
      <c r="A50346" s="0" t="s">
        <v>17709</v>
      </c>
      <c r="B50346" s="0" t="str">
        <f aca="false">HYPERLINK("https://lindat.mff.cuni.cz/services/teitok/pdtc10/index.php?action=vallex&amp;frame=v-w7099f1", "ukazovat se (v-w7099f1)")</f>
        <v>ukazovat se (v-w7099f1)</v>
      </c>
    </row>
    <row r="50347" customFormat="false" ht="12.8" hidden="false" customHeight="false" outlineLevel="0" collapsed="false">
      <c r="B50347" s="0" t="s">
        <v>17710</v>
      </c>
      <c r="C50347" s="0" t="s">
        <v>17711</v>
      </c>
      <c r="D50347" s="0" t="s">
        <v>1715</v>
      </c>
      <c r="E50347" s="0" t="s">
        <v>1715</v>
      </c>
      <c r="F50347" s="0" t="s">
        <v>1715</v>
      </c>
    </row>
    <row r="50349" customFormat="false" ht="12.8" hidden="false" customHeight="false" outlineLevel="0" collapsed="false">
      <c r="A50349" s="0" t="s">
        <v>17712</v>
      </c>
      <c r="B50349" s="0" t="str">
        <f aca="false">HYPERLINK("https://lindat.mff.cuni.cz/services/teitok/pdtc10/index.php?action=vallex&amp;frame=v-whsa_139hsa_140", "ukecávat (v-whsa_139hsa_140)")</f>
        <v>ukecávat (v-whsa_139hsa_140)</v>
      </c>
    </row>
    <row r="50350" customFormat="false" ht="12.8" hidden="false" customHeight="false" outlineLevel="0" collapsed="false">
      <c r="B50350" s="0" t="s">
        <v>7</v>
      </c>
    </row>
    <row r="50351" customFormat="false" ht="12.8" hidden="false" customHeight="false" outlineLevel="0" collapsed="false">
      <c r="B50351" s="0" t="s">
        <v>81</v>
      </c>
    </row>
    <row r="50352" customFormat="false" ht="12.8" hidden="false" customHeight="false" outlineLevel="0" collapsed="false">
      <c r="B50352" s="0" t="s">
        <v>3809</v>
      </c>
    </row>
    <row r="50354" customFormat="false" ht="12.8" hidden="false" customHeight="false" outlineLevel="0" collapsed="false">
      <c r="A50354" s="0" t="s">
        <v>17713</v>
      </c>
      <c r="B50354" s="0" t="str">
        <f aca="false">HYPERLINK("https://lindat.mff.cuni.cz/services/teitok/pdtc10/index.php?action=vallex&amp;frame=v-w7105f1", "uklidit (v-w7105f1)")</f>
        <v>uklidit (v-w7105f1)</v>
      </c>
    </row>
    <row r="50355" customFormat="false" ht="12.8" hidden="false" customHeight="false" outlineLevel="0" collapsed="false">
      <c r="B50355" s="0" t="s">
        <v>7</v>
      </c>
      <c r="C50355" s="0" t="s">
        <v>3243</v>
      </c>
    </row>
    <row r="50356" customFormat="false" ht="12.8" hidden="false" customHeight="false" outlineLevel="0" collapsed="false">
      <c r="B50356" s="0" t="s">
        <v>14</v>
      </c>
      <c r="C50356" s="0" t="s">
        <v>3244</v>
      </c>
    </row>
    <row r="50358" customFormat="false" ht="12.8" hidden="false" customHeight="false" outlineLevel="0" collapsed="false">
      <c r="A50358" s="0" t="s">
        <v>17714</v>
      </c>
      <c r="B50358" s="0" t="str">
        <f aca="false">HYPERLINK("https://lindat.mff.cuni.cz/services/teitok/pdtc10/index.php?action=vallex&amp;frame=v-w7105f2_ZU", "uklidit (v-w7105f2_ZU)")</f>
        <v>uklidit (v-w7105f2_ZU)</v>
      </c>
    </row>
    <row r="50359" customFormat="false" ht="12.8" hidden="false" customHeight="false" outlineLevel="0" collapsed="false">
      <c r="B50359" s="0" t="s">
        <v>7</v>
      </c>
    </row>
    <row r="50360" customFormat="false" ht="12.8" hidden="false" customHeight="false" outlineLevel="0" collapsed="false">
      <c r="B50360" s="0" t="s">
        <v>17715</v>
      </c>
    </row>
    <row r="50361" customFormat="false" ht="12.8" hidden="false" customHeight="false" outlineLevel="0" collapsed="false">
      <c r="B50361" s="0" t="s">
        <v>14</v>
      </c>
    </row>
    <row r="50363" customFormat="false" ht="12.8" hidden="false" customHeight="false" outlineLevel="0" collapsed="false">
      <c r="A50363" s="0" t="s">
        <v>17716</v>
      </c>
      <c r="B50363" s="0" t="str">
        <f aca="false">HYPERLINK("https://lindat.mff.cuni.cz/services/teitok/pdtc10/index.php?action=vallex&amp;frame=v-w7107f1", "uklidnit (v-w7107f1)")</f>
        <v>uklidnit (v-w7107f1)</v>
      </c>
    </row>
    <row r="50364" customFormat="false" ht="12.8" hidden="false" customHeight="false" outlineLevel="0" collapsed="false">
      <c r="B50364" s="0" t="s">
        <v>7</v>
      </c>
      <c r="C50364" s="0" t="s">
        <v>2736</v>
      </c>
      <c r="D50364" s="0" t="s">
        <v>1167</v>
      </c>
      <c r="E50364" s="0" t="s">
        <v>1167</v>
      </c>
      <c r="F50364" s="0" t="s">
        <v>1167</v>
      </c>
    </row>
    <row r="50365" customFormat="false" ht="12.8" hidden="false" customHeight="false" outlineLevel="0" collapsed="false">
      <c r="B50365" s="0" t="s">
        <v>14</v>
      </c>
      <c r="C50365" s="0" t="s">
        <v>2641</v>
      </c>
      <c r="D50365" s="0" t="s">
        <v>1168</v>
      </c>
      <c r="E50365" s="0" t="s">
        <v>1168</v>
      </c>
      <c r="F50365" s="0" t="s">
        <v>1168</v>
      </c>
    </row>
    <row r="50367" customFormat="false" ht="12.8" hidden="false" customHeight="false" outlineLevel="0" collapsed="false">
      <c r="A50367" s="0" t="s">
        <v>17717</v>
      </c>
      <c r="B50367" s="0" t="str">
        <f aca="false">HYPERLINK("https://lindat.mff.cuni.cz/services/teitok/pdtc10/index.php?action=vallex&amp;frame=v-w7108f1", "uklidnit se (v-w7108f1)")</f>
        <v>uklidnit se (v-w7108f1)</v>
      </c>
    </row>
    <row r="50368" customFormat="false" ht="12.8" hidden="false" customHeight="false" outlineLevel="0" collapsed="false">
      <c r="B50368" s="0" t="s">
        <v>7</v>
      </c>
      <c r="C50368" s="0" t="s">
        <v>3675</v>
      </c>
      <c r="D50368" s="0" t="s">
        <v>5375</v>
      </c>
      <c r="E50368" s="0" t="s">
        <v>5375</v>
      </c>
      <c r="F50368" s="0" t="s">
        <v>5375</v>
      </c>
    </row>
    <row r="50370" customFormat="false" ht="12.8" hidden="false" customHeight="false" outlineLevel="0" collapsed="false">
      <c r="A50370" s="0" t="s">
        <v>17718</v>
      </c>
      <c r="B50370" s="0" t="str">
        <f aca="false">HYPERLINK("https://lindat.mff.cuni.cz/services/teitok/pdtc10/index.php?action=vallex&amp;frame=v-w11442f1", "uklidňovat (v-w11442f1)")</f>
        <v>uklidňovat (v-w11442f1)</v>
      </c>
    </row>
    <row r="50371" customFormat="false" ht="12.8" hidden="false" customHeight="false" outlineLevel="0" collapsed="false">
      <c r="B50371" s="0" t="s">
        <v>7</v>
      </c>
      <c r="D50371" s="0" t="s">
        <v>1167</v>
      </c>
      <c r="E50371" s="0" t="s">
        <v>1167</v>
      </c>
      <c r="F50371" s="0" t="s">
        <v>1167</v>
      </c>
    </row>
    <row r="50372" customFormat="false" ht="12.8" hidden="false" customHeight="false" outlineLevel="0" collapsed="false">
      <c r="B50372" s="0" t="s">
        <v>14</v>
      </c>
      <c r="C50372" s="0" t="s">
        <v>78</v>
      </c>
      <c r="D50372" s="0" t="s">
        <v>1168</v>
      </c>
      <c r="E50372" s="0" t="s">
        <v>1168</v>
      </c>
      <c r="F50372" s="0" t="s">
        <v>1168</v>
      </c>
    </row>
    <row r="50374" customFormat="false" ht="12.8" hidden="false" customHeight="false" outlineLevel="0" collapsed="false">
      <c r="A50374" s="0" t="s">
        <v>17719</v>
      </c>
      <c r="B50374" s="0" t="str">
        <f aca="false">HYPERLINK("https://lindat.mff.cuni.cz/services/teitok/pdtc10/index.php?action=vallex&amp;frame=v-w7110f2_ZU", "uklidňovat se (v-w7110f2_ZU)")</f>
        <v>uklidňovat se (v-w7110f2_ZU)</v>
      </c>
    </row>
    <row r="50375" customFormat="false" ht="12.8" hidden="false" customHeight="false" outlineLevel="0" collapsed="false">
      <c r="B50375" s="0" t="s">
        <v>7</v>
      </c>
      <c r="C50375" s="0" t="s">
        <v>396</v>
      </c>
      <c r="D50375" s="0" t="s">
        <v>5375</v>
      </c>
      <c r="E50375" s="0" t="s">
        <v>5375</v>
      </c>
      <c r="F50375" s="0" t="s">
        <v>5375</v>
      </c>
    </row>
    <row r="50377" customFormat="false" ht="12.8" hidden="false" customHeight="false" outlineLevel="0" collapsed="false">
      <c r="A50377" s="0" t="s">
        <v>17719</v>
      </c>
      <c r="B50377" s="0" t="str">
        <f aca="false">HYPERLINK("https://lindat.mff.cuni.cz/services/teitok/pdtc10/index.php?action=vallex&amp;frame=v-w7110f1", "uklidňovat se (v-w7110f1) - substituted with v-w7110f2_ZU")</f>
        <v>uklidňovat se (v-w7110f1) - substituted with v-w7110f2_ZU</v>
      </c>
    </row>
    <row r="50378" customFormat="false" ht="12.8" hidden="false" customHeight="false" outlineLevel="0" collapsed="false">
      <c r="B50378" s="0" t="s">
        <v>7</v>
      </c>
    </row>
    <row r="50380" customFormat="false" ht="12.8" hidden="false" customHeight="false" outlineLevel="0" collapsed="false">
      <c r="A50380" s="0" t="s">
        <v>17720</v>
      </c>
      <c r="B50380" s="0" t="str">
        <f aca="false">HYPERLINK("https://lindat.mff.cuni.cz/services/teitok/pdtc10/index.php?action=vallex&amp;frame=v-w7110hsa_413", "uklidňovat se (v-w7110hsa_413)")</f>
        <v>uklidňovat se (v-w7110hsa_413)</v>
      </c>
    </row>
    <row r="50381" customFormat="false" ht="12.8" hidden="false" customHeight="false" outlineLevel="0" collapsed="false">
      <c r="B50381" s="0" t="s">
        <v>7</v>
      </c>
    </row>
    <row r="50383" customFormat="false" ht="12.8" hidden="false" customHeight="false" outlineLevel="0" collapsed="false">
      <c r="A50383" s="0" t="s">
        <v>17721</v>
      </c>
      <c r="B50383" s="0" t="str">
        <f aca="false">HYPERLINK("https://lindat.mff.cuni.cz/services/teitok/pdtc10/index.php?action=vallex&amp;frame=v-w7111f1", "uklouznout (v-w7111f1)")</f>
        <v>uklouznout (v-w7111f1)</v>
      </c>
    </row>
    <row r="50384" customFormat="false" ht="12.8" hidden="false" customHeight="false" outlineLevel="0" collapsed="false">
      <c r="B50384" s="0" t="s">
        <v>7</v>
      </c>
      <c r="C50384" s="0" t="s">
        <v>1378</v>
      </c>
      <c r="D50384" s="0" t="s">
        <v>200</v>
      </c>
      <c r="E50384" s="0" t="s">
        <v>200</v>
      </c>
      <c r="F50384" s="0" t="s">
        <v>200</v>
      </c>
    </row>
    <row r="50386" customFormat="false" ht="12.8" hidden="false" customHeight="false" outlineLevel="0" collapsed="false">
      <c r="A50386" s="0" t="s">
        <v>17722</v>
      </c>
      <c r="B50386" s="0" t="str">
        <f aca="false">HYPERLINK("https://lindat.mff.cuni.cz/services/teitok/pdtc10/index.php?action=vallex&amp;frame=v-w7102f1", "ukládat (v-w7102f1)")</f>
        <v>ukládat (v-w7102f1)</v>
      </c>
    </row>
    <row r="50387" customFormat="false" ht="12.8" hidden="false" customHeight="false" outlineLevel="0" collapsed="false">
      <c r="B50387" s="0" t="s">
        <v>7</v>
      </c>
      <c r="C50387" s="0" t="s">
        <v>17723</v>
      </c>
      <c r="D50387" s="0" t="s">
        <v>10073</v>
      </c>
      <c r="E50387" s="0" t="s">
        <v>10073</v>
      </c>
      <c r="F50387" s="0" t="s">
        <v>10073</v>
      </c>
    </row>
    <row r="50388" customFormat="false" ht="12.8" hidden="false" customHeight="false" outlineLevel="0" collapsed="false">
      <c r="B50388" s="0" t="s">
        <v>2313</v>
      </c>
      <c r="C50388" s="0" t="s">
        <v>17724</v>
      </c>
      <c r="D50388" s="0" t="s">
        <v>10074</v>
      </c>
      <c r="E50388" s="0" t="s">
        <v>10074</v>
      </c>
      <c r="F50388" s="0" t="s">
        <v>10074</v>
      </c>
    </row>
    <row r="50389" customFormat="false" ht="12.8" hidden="false" customHeight="false" outlineLevel="0" collapsed="false">
      <c r="B50389" s="0" t="s">
        <v>48</v>
      </c>
      <c r="C50389" s="0" t="s">
        <v>13783</v>
      </c>
      <c r="D50389" s="0" t="s">
        <v>10075</v>
      </c>
      <c r="E50389" s="0" t="s">
        <v>10075</v>
      </c>
      <c r="F50389" s="0" t="s">
        <v>10075</v>
      </c>
    </row>
    <row r="50390" customFormat="false" ht="12.8" hidden="false" customHeight="false" outlineLevel="0" collapsed="false">
      <c r="B50390" s="0" t="s">
        <v>2943</v>
      </c>
    </row>
    <row r="50392" customFormat="false" ht="12.8" hidden="false" customHeight="false" outlineLevel="0" collapsed="false">
      <c r="A50392" s="0" t="s">
        <v>17725</v>
      </c>
      <c r="B50392" s="0" t="str">
        <f aca="false">HYPERLINK("https://lindat.mff.cuni.cz/services/teitok/pdtc10/index.php?action=vallex&amp;frame=v-w7102f4", "ukládat (v-w7102f4)")</f>
        <v>ukládat (v-w7102f4)</v>
      </c>
    </row>
    <row r="50393" customFormat="false" ht="12.8" hidden="false" customHeight="false" outlineLevel="0" collapsed="false">
      <c r="B50393" s="0" t="s">
        <v>7</v>
      </c>
      <c r="C50393" s="0" t="s">
        <v>17726</v>
      </c>
    </row>
    <row r="50394" customFormat="false" ht="12.8" hidden="false" customHeight="false" outlineLevel="0" collapsed="false">
      <c r="B50394" s="0" t="s">
        <v>712</v>
      </c>
      <c r="C50394" s="0" t="s">
        <v>17727</v>
      </c>
    </row>
    <row r="50395" customFormat="false" ht="12.8" hidden="false" customHeight="false" outlineLevel="0" collapsed="false">
      <c r="B50395" s="0" t="s">
        <v>48</v>
      </c>
      <c r="C50395" s="0" t="s">
        <v>17728</v>
      </c>
    </row>
    <row r="50397" customFormat="false" ht="12.8" hidden="false" customHeight="false" outlineLevel="0" collapsed="false">
      <c r="A50397" s="0" t="s">
        <v>17729</v>
      </c>
      <c r="B50397" s="0" t="str">
        <f aca="false">HYPERLINK("https://lindat.mff.cuni.cz/services/teitok/pdtc10/index.php?action=vallex&amp;frame=v-w7102f5", "ukládat (v-w7102f5)")</f>
        <v>ukládat (v-w7102f5)</v>
      </c>
    </row>
    <row r="50398" customFormat="false" ht="12.8" hidden="false" customHeight="false" outlineLevel="0" collapsed="false">
      <c r="B50398" s="0" t="s">
        <v>7</v>
      </c>
      <c r="C50398" s="0" t="s">
        <v>623</v>
      </c>
      <c r="D50398" s="0" t="s">
        <v>2101</v>
      </c>
      <c r="E50398" s="0" t="s">
        <v>2101</v>
      </c>
      <c r="F50398" s="0" t="s">
        <v>2101</v>
      </c>
    </row>
    <row r="50399" customFormat="false" ht="12.8" hidden="false" customHeight="false" outlineLevel="0" collapsed="false">
      <c r="B50399" s="0" t="s">
        <v>14</v>
      </c>
      <c r="C50399" s="0" t="s">
        <v>461</v>
      </c>
      <c r="D50399" s="0" t="s">
        <v>624</v>
      </c>
      <c r="E50399" s="0" t="s">
        <v>624</v>
      </c>
      <c r="F50399" s="0" t="s">
        <v>624</v>
      </c>
    </row>
    <row r="50400" customFormat="false" ht="12.8" hidden="false" customHeight="false" outlineLevel="0" collapsed="false">
      <c r="B50400" s="0" t="s">
        <v>11</v>
      </c>
    </row>
    <row r="50402" customFormat="false" ht="12.8" hidden="false" customHeight="false" outlineLevel="0" collapsed="false">
      <c r="A50402" s="0" t="s">
        <v>17730</v>
      </c>
      <c r="B50402" s="0" t="str">
        <f aca="false">HYPERLINK("https://lindat.mff.cuni.cz/services/teitok/pdtc10/index.php?action=vallex&amp;frame=v-w7102f3", "ukládat (v-w7102f3)")</f>
        <v>ukládat (v-w7102f3)</v>
      </c>
    </row>
    <row r="50403" customFormat="false" ht="12.8" hidden="false" customHeight="false" outlineLevel="0" collapsed="false">
      <c r="B50403" s="0" t="s">
        <v>7</v>
      </c>
      <c r="C50403" s="0" t="s">
        <v>10431</v>
      </c>
      <c r="D50403" s="0" t="s">
        <v>2101</v>
      </c>
      <c r="E50403" s="0" t="s">
        <v>2101</v>
      </c>
      <c r="F50403" s="0" t="s">
        <v>2101</v>
      </c>
    </row>
    <row r="50404" customFormat="false" ht="12.8" hidden="false" customHeight="false" outlineLevel="0" collapsed="false">
      <c r="B50404" s="0" t="s">
        <v>14</v>
      </c>
      <c r="C50404" s="0" t="s">
        <v>7533</v>
      </c>
      <c r="D50404" s="0" t="s">
        <v>624</v>
      </c>
      <c r="E50404" s="0" t="s">
        <v>624</v>
      </c>
      <c r="F50404" s="0" t="s">
        <v>624</v>
      </c>
    </row>
    <row r="50405" customFormat="false" ht="12.8" hidden="false" customHeight="false" outlineLevel="0" collapsed="false">
      <c r="B50405" s="0" t="s">
        <v>124</v>
      </c>
    </row>
    <row r="50407" customFormat="false" ht="12.8" hidden="false" customHeight="false" outlineLevel="0" collapsed="false">
      <c r="A50407" s="0" t="s">
        <v>17731</v>
      </c>
      <c r="B50407" s="0" t="str">
        <f aca="false">HYPERLINK("https://lindat.mff.cuni.cz/services/teitok/pdtc10/index.php?action=vallex&amp;frame=v-w7102f6_ZU", "ukládat (v-w7102f6_ZU)")</f>
        <v>ukládat (v-w7102f6_ZU)</v>
      </c>
    </row>
    <row r="50408" customFormat="false" ht="12.8" hidden="false" customHeight="false" outlineLevel="0" collapsed="false">
      <c r="B50408" s="0" t="s">
        <v>7</v>
      </c>
      <c r="C50408" s="0" t="s">
        <v>3051</v>
      </c>
    </row>
    <row r="50409" customFormat="false" ht="12.8" hidden="false" customHeight="false" outlineLevel="0" collapsed="false">
      <c r="B50409" s="0" t="s">
        <v>17732</v>
      </c>
      <c r="C50409" s="0" t="s">
        <v>1462</v>
      </c>
    </row>
    <row r="50410" customFormat="false" ht="12.8" hidden="false" customHeight="false" outlineLevel="0" collapsed="false">
      <c r="B50410" s="0" t="s">
        <v>48</v>
      </c>
      <c r="C50410" s="0" t="s">
        <v>3052</v>
      </c>
    </row>
    <row r="50412" customFormat="false" ht="12.8" hidden="false" customHeight="false" outlineLevel="0" collapsed="false">
      <c r="A50412" s="0" t="s">
        <v>17731</v>
      </c>
      <c r="B50412" s="0" t="str">
        <f aca="false">HYPERLINK("https://lindat.mff.cuni.cz/services/teitok/pdtc10/index.php?action=vallex&amp;frame=v-w7102f2", "ukládat (v-w7102f2) - substituted with v-w7102f6_ZU")</f>
        <v>ukládat (v-w7102f2) - substituted with v-w7102f6_ZU</v>
      </c>
    </row>
    <row r="50413" customFormat="false" ht="12.8" hidden="false" customHeight="false" outlineLevel="0" collapsed="false">
      <c r="B50413" s="0" t="s">
        <v>7</v>
      </c>
      <c r="C50413" s="0" t="s">
        <v>3844</v>
      </c>
    </row>
    <row r="50414" customFormat="false" ht="12.8" hidden="false" customHeight="false" outlineLevel="0" collapsed="false">
      <c r="B50414" s="0" t="s">
        <v>17732</v>
      </c>
      <c r="C50414" s="0" t="s">
        <v>5770</v>
      </c>
    </row>
    <row r="50415" customFormat="false" ht="12.8" hidden="false" customHeight="false" outlineLevel="0" collapsed="false">
      <c r="B50415" s="0" t="s">
        <v>48</v>
      </c>
      <c r="C50415" s="0" t="s">
        <v>3052</v>
      </c>
    </row>
    <row r="50417" customFormat="false" ht="12.8" hidden="false" customHeight="false" outlineLevel="0" collapsed="false">
      <c r="A50417" s="0" t="s">
        <v>17731</v>
      </c>
      <c r="B50417" s="0" t="str">
        <f aca="false">HYPERLINK("https://lindat.mff.cuni.cz/services/teitok/pdtc10/index.php?action=vallex&amp;frame=v-w7102hsa_1250", "ukládat (v-w7102hsa_1250) - substituted with v-w7102f6_ZU")</f>
        <v>ukládat (v-w7102hsa_1250) - substituted with v-w7102f6_ZU</v>
      </c>
    </row>
    <row r="50418" customFormat="false" ht="12.8" hidden="false" customHeight="false" outlineLevel="0" collapsed="false">
      <c r="B50418" s="0" t="s">
        <v>7</v>
      </c>
    </row>
    <row r="50419" customFormat="false" ht="12.8" hidden="false" customHeight="false" outlineLevel="0" collapsed="false">
      <c r="B50419" s="0" t="s">
        <v>17732</v>
      </c>
    </row>
    <row r="50420" customFormat="false" ht="12.8" hidden="false" customHeight="false" outlineLevel="0" collapsed="false">
      <c r="B50420" s="0" t="s">
        <v>48</v>
      </c>
    </row>
    <row r="50422" customFormat="false" ht="12.8" hidden="false" customHeight="false" outlineLevel="0" collapsed="false">
      <c r="A50422" s="0" t="s">
        <v>17733</v>
      </c>
      <c r="B50422" s="0" t="str">
        <f aca="false">HYPERLINK("https://lindat.mff.cuni.cz/services/teitok/pdtc10/index.php?action=vallex&amp;frame=v-w7103f1", "ukládat se (v-w7103f1)")</f>
        <v>ukládat se (v-w7103f1)</v>
      </c>
    </row>
    <row r="50423" customFormat="false" ht="12.8" hidden="false" customHeight="false" outlineLevel="0" collapsed="false">
      <c r="B50423" s="0" t="s">
        <v>7</v>
      </c>
    </row>
    <row r="50424" customFormat="false" ht="12.8" hidden="false" customHeight="false" outlineLevel="0" collapsed="false">
      <c r="B50424" s="0" t="s">
        <v>11</v>
      </c>
    </row>
    <row r="50426" customFormat="false" ht="12.8" hidden="false" customHeight="false" outlineLevel="0" collapsed="false">
      <c r="A50426" s="0" t="s">
        <v>17734</v>
      </c>
      <c r="B50426" s="0" t="str">
        <f aca="false">HYPERLINK("https://lindat.mff.cuni.cz/services/teitok/pdtc10/index.php?action=vallex&amp;frame=v-w10258f2", "uklízet (v-w10258f2)")</f>
        <v>uklízet (v-w10258f2)</v>
      </c>
    </row>
    <row r="50427" customFormat="false" ht="12.8" hidden="false" customHeight="false" outlineLevel="0" collapsed="false">
      <c r="B50427" s="0" t="s">
        <v>7</v>
      </c>
      <c r="C50427" s="0" t="s">
        <v>46</v>
      </c>
      <c r="D50427" s="0" t="s">
        <v>335</v>
      </c>
      <c r="E50427" s="0" t="s">
        <v>335</v>
      </c>
      <c r="F50427" s="0" t="s">
        <v>335</v>
      </c>
    </row>
    <row r="50428" customFormat="false" ht="12.8" hidden="false" customHeight="false" outlineLevel="0" collapsed="false">
      <c r="B50428" s="0" t="s">
        <v>14</v>
      </c>
      <c r="C50428" s="0" t="s">
        <v>1170</v>
      </c>
      <c r="D50428" s="0" t="s">
        <v>461</v>
      </c>
      <c r="E50428" s="0" t="s">
        <v>461</v>
      </c>
      <c r="F50428" s="0" t="s">
        <v>461</v>
      </c>
    </row>
    <row r="50430" customFormat="false" ht="12.8" hidden="false" customHeight="false" outlineLevel="0" collapsed="false">
      <c r="A50430" s="0" t="s">
        <v>17735</v>
      </c>
      <c r="B50430" s="0" t="str">
        <f aca="false">HYPERLINK("https://lindat.mff.cuni.cz/services/teitok/pdtc10/index.php?action=vallex&amp;frame=v-w10398f2", "ukojit (v-w10398f2)")</f>
        <v>ukojit (v-w10398f2)</v>
      </c>
    </row>
    <row r="50431" customFormat="false" ht="12.8" hidden="false" customHeight="false" outlineLevel="0" collapsed="false">
      <c r="B50431" s="0" t="s">
        <v>7</v>
      </c>
    </row>
    <row r="50432" customFormat="false" ht="12.8" hidden="false" customHeight="false" outlineLevel="0" collapsed="false">
      <c r="B50432" s="0" t="s">
        <v>14</v>
      </c>
    </row>
    <row r="50434" customFormat="false" ht="12.8" hidden="false" customHeight="false" outlineLevel="0" collapsed="false">
      <c r="A50434" s="0" t="s">
        <v>17736</v>
      </c>
      <c r="B50434" s="0" t="str">
        <f aca="false">HYPERLINK("https://lindat.mff.cuni.cz/services/teitok/pdtc10/index.php?action=vallex&amp;frame=v-w10671f2", "ukolébat (v-w10671f2)")</f>
        <v>ukolébat (v-w10671f2)</v>
      </c>
    </row>
    <row r="50435" customFormat="false" ht="12.8" hidden="false" customHeight="false" outlineLevel="0" collapsed="false">
      <c r="B50435" s="0" t="s">
        <v>7</v>
      </c>
      <c r="C50435" s="0" t="s">
        <v>1702</v>
      </c>
    </row>
    <row r="50436" customFormat="false" ht="12.8" hidden="false" customHeight="false" outlineLevel="0" collapsed="false">
      <c r="B50436" s="0" t="s">
        <v>14</v>
      </c>
    </row>
    <row r="50438" customFormat="false" ht="12.8" hidden="false" customHeight="false" outlineLevel="0" collapsed="false">
      <c r="A50438" s="0" t="s">
        <v>17737</v>
      </c>
      <c r="B50438" s="0" t="str">
        <f aca="false">HYPERLINK("https://lindat.mff.cuni.cz/services/teitok/pdtc10/index.php?action=vallex&amp;frame=v-w10779f2", "ukonejšit (v-w10779f2)")</f>
        <v>ukonejšit (v-w10779f2)</v>
      </c>
    </row>
    <row r="50439" customFormat="false" ht="12.8" hidden="false" customHeight="false" outlineLevel="0" collapsed="false">
      <c r="B50439" s="0" t="s">
        <v>7</v>
      </c>
    </row>
    <row r="50440" customFormat="false" ht="12.8" hidden="false" customHeight="false" outlineLevel="0" collapsed="false">
      <c r="B50440" s="0" t="s">
        <v>14</v>
      </c>
    </row>
    <row r="50442" customFormat="false" ht="12.8" hidden="false" customHeight="false" outlineLevel="0" collapsed="false">
      <c r="A50442" s="0" t="s">
        <v>17738</v>
      </c>
      <c r="B50442" s="0" t="str">
        <f aca="false">HYPERLINK("https://lindat.mff.cuni.cz/services/teitok/pdtc10/index.php?action=vallex&amp;frame=v-w7116f1", "ukončit (v-w7116f1)")</f>
        <v>ukončit (v-w7116f1)</v>
      </c>
    </row>
    <row r="50443" customFormat="false" ht="12.8" hidden="false" customHeight="false" outlineLevel="0" collapsed="false">
      <c r="B50443" s="0" t="s">
        <v>7</v>
      </c>
      <c r="C50443" s="0" t="s">
        <v>17739</v>
      </c>
      <c r="D50443" s="0" t="s">
        <v>1943</v>
      </c>
      <c r="E50443" s="0" t="s">
        <v>1944</v>
      </c>
      <c r="F50443" s="0" t="s">
        <v>1944</v>
      </c>
    </row>
    <row r="50444" customFormat="false" ht="12.8" hidden="false" customHeight="false" outlineLevel="0" collapsed="false">
      <c r="B50444" s="0" t="s">
        <v>14</v>
      </c>
      <c r="C50444" s="0" t="s">
        <v>17740</v>
      </c>
      <c r="D50444" s="0" t="s">
        <v>1946</v>
      </c>
      <c r="E50444" s="0" t="s">
        <v>1947</v>
      </c>
      <c r="F50444" s="0" t="s">
        <v>1947</v>
      </c>
    </row>
    <row r="50446" customFormat="false" ht="12.8" hidden="false" customHeight="false" outlineLevel="0" collapsed="false">
      <c r="A50446" s="0" t="s">
        <v>17741</v>
      </c>
      <c r="B50446" s="0" t="str">
        <f aca="false">HYPERLINK("https://lindat.mff.cuni.cz/services/teitok/pdtc10/index.php?action=vallex&amp;frame=v-w7116f3_ZU", "ukončit (v-w7116f3_ZU)")</f>
        <v>ukončit (v-w7116f3_ZU)</v>
      </c>
    </row>
    <row r="50447" customFormat="false" ht="12.8" hidden="false" customHeight="false" outlineLevel="0" collapsed="false">
      <c r="B50447" s="0" t="s">
        <v>7</v>
      </c>
      <c r="C50447" s="0" t="s">
        <v>17742</v>
      </c>
      <c r="D50447" s="0" t="s">
        <v>4854</v>
      </c>
      <c r="E50447" s="0" t="s">
        <v>4854</v>
      </c>
      <c r="F50447" s="0" t="s">
        <v>4854</v>
      </c>
    </row>
    <row r="50448" customFormat="false" ht="12.8" hidden="false" customHeight="false" outlineLevel="0" collapsed="false">
      <c r="B50448" s="0" t="s">
        <v>297</v>
      </c>
    </row>
    <row r="50449" customFormat="false" ht="12.8" hidden="false" customHeight="false" outlineLevel="0" collapsed="false">
      <c r="B50449" s="0" t="s">
        <v>1471</v>
      </c>
      <c r="C50449" s="0" t="s">
        <v>17743</v>
      </c>
      <c r="D50449" s="0" t="s">
        <v>4856</v>
      </c>
      <c r="E50449" s="0" t="s">
        <v>4856</v>
      </c>
      <c r="F50449" s="0" t="s">
        <v>4856</v>
      </c>
    </row>
    <row r="50450" customFormat="false" ht="12.8" hidden="false" customHeight="false" outlineLevel="0" collapsed="false">
      <c r="B50450" s="0" t="s">
        <v>474</v>
      </c>
      <c r="D50450" s="0" t="s">
        <v>4857</v>
      </c>
      <c r="E50450" s="0" t="s">
        <v>4857</v>
      </c>
      <c r="F50450" s="0" t="s">
        <v>4857</v>
      </c>
    </row>
    <row r="50451" customFormat="false" ht="12.8" hidden="false" customHeight="false" outlineLevel="0" collapsed="false">
      <c r="B50451" s="0" t="s">
        <v>479</v>
      </c>
      <c r="D50451" s="0" t="s">
        <v>4858</v>
      </c>
      <c r="E50451" s="0" t="s">
        <v>4858</v>
      </c>
      <c r="F50451" s="0" t="s">
        <v>4858</v>
      </c>
    </row>
    <row r="50453" customFormat="false" ht="12.8" hidden="false" customHeight="false" outlineLevel="0" collapsed="false">
      <c r="A50453" s="0" t="s">
        <v>17741</v>
      </c>
      <c r="B50453" s="0" t="str">
        <f aca="false">HYPERLINK("https://lindat.mff.cuni.cz/services/teitok/pdtc10/index.php?action=vallex&amp;frame=v-w7116hsa_380", "ukončit (v-w7116hsa_380) - substituted with v-w7116f3_ZU")</f>
        <v>ukončit (v-w7116hsa_380) - substituted with v-w7116f3_ZU</v>
      </c>
    </row>
    <row r="50454" customFormat="false" ht="12.8" hidden="false" customHeight="false" outlineLevel="0" collapsed="false">
      <c r="B50454" s="0" t="s">
        <v>7</v>
      </c>
      <c r="C50454" s="0" t="s">
        <v>17744</v>
      </c>
    </row>
    <row r="50455" customFormat="false" ht="12.8" hidden="false" customHeight="false" outlineLevel="0" collapsed="false">
      <c r="B50455" s="0" t="s">
        <v>297</v>
      </c>
    </row>
    <row r="50456" customFormat="false" ht="12.8" hidden="false" customHeight="false" outlineLevel="0" collapsed="false">
      <c r="B50456" s="0" t="s">
        <v>1471</v>
      </c>
      <c r="C50456" s="0" t="s">
        <v>17745</v>
      </c>
    </row>
    <row r="50457" customFormat="false" ht="12.8" hidden="false" customHeight="false" outlineLevel="0" collapsed="false">
      <c r="B50457" s="0" t="s">
        <v>474</v>
      </c>
      <c r="C50457" s="0" t="s">
        <v>17746</v>
      </c>
    </row>
    <row r="50458" customFormat="false" ht="12.8" hidden="false" customHeight="false" outlineLevel="0" collapsed="false">
      <c r="B50458" s="0" t="s">
        <v>479</v>
      </c>
      <c r="C50458" s="0" t="s">
        <v>17747</v>
      </c>
    </row>
    <row r="50460" customFormat="false" ht="12.8" hidden="false" customHeight="false" outlineLevel="0" collapsed="false">
      <c r="A50460" s="0" t="s">
        <v>17748</v>
      </c>
      <c r="B50460" s="0" t="str">
        <f aca="false">HYPERLINK("https://lindat.mff.cuni.cz/services/teitok/pdtc10/index.php?action=vallex&amp;frame=v-w7116f2_ZU", "ukončit (v-w7116f2_ZU)")</f>
        <v>ukončit (v-w7116f2_ZU)</v>
      </c>
    </row>
    <row r="50461" customFormat="false" ht="12.8" hidden="false" customHeight="false" outlineLevel="0" collapsed="false">
      <c r="B50461" s="0" t="s">
        <v>7</v>
      </c>
    </row>
    <row r="50462" customFormat="false" ht="12.8" hidden="false" customHeight="false" outlineLevel="0" collapsed="false">
      <c r="B50462" s="0" t="s">
        <v>14</v>
      </c>
    </row>
    <row r="50463" customFormat="false" ht="12.8" hidden="false" customHeight="false" outlineLevel="0" collapsed="false">
      <c r="B50463" s="0" t="s">
        <v>1059</v>
      </c>
    </row>
    <row r="50465" customFormat="false" ht="12.8" hidden="false" customHeight="false" outlineLevel="0" collapsed="false">
      <c r="A50465" s="0" t="s">
        <v>17749</v>
      </c>
      <c r="B50465" s="0" t="str">
        <f aca="false">HYPERLINK("https://lindat.mff.cuni.cz/services/teitok/pdtc10/index.php?action=vallex&amp;frame=v-w7117f1", "ukončovat (v-w7117f1)")</f>
        <v>ukončovat (v-w7117f1)</v>
      </c>
    </row>
    <row r="50466" customFormat="false" ht="12.8" hidden="false" customHeight="false" outlineLevel="0" collapsed="false">
      <c r="B50466" s="0" t="s">
        <v>7</v>
      </c>
      <c r="C50466" s="0" t="s">
        <v>1826</v>
      </c>
      <c r="D50466" s="0" t="s">
        <v>1943</v>
      </c>
      <c r="E50466" s="0" t="s">
        <v>1944</v>
      </c>
      <c r="F50466" s="0" t="s">
        <v>1944</v>
      </c>
    </row>
    <row r="50467" customFormat="false" ht="12.8" hidden="false" customHeight="false" outlineLevel="0" collapsed="false">
      <c r="B50467" s="0" t="s">
        <v>14</v>
      </c>
      <c r="C50467" s="0" t="s">
        <v>2850</v>
      </c>
      <c r="D50467" s="0" t="s">
        <v>1946</v>
      </c>
      <c r="E50467" s="0" t="s">
        <v>1947</v>
      </c>
      <c r="F50467" s="0" t="s">
        <v>1947</v>
      </c>
    </row>
    <row r="50469" customFormat="false" ht="12.8" hidden="false" customHeight="false" outlineLevel="0" collapsed="false">
      <c r="A50469" s="0" t="s">
        <v>17750</v>
      </c>
      <c r="B50469" s="0" t="str">
        <f aca="false">HYPERLINK("https://lindat.mff.cuni.cz/services/teitok/pdtc10/index.php?action=vallex&amp;frame=v-whsa_1491hsa_1492", "ukopnout (v-whsa_1491hsa_1492)")</f>
        <v>ukopnout (v-whsa_1491hsa_1492)</v>
      </c>
    </row>
    <row r="50470" customFormat="false" ht="12.8" hidden="false" customHeight="false" outlineLevel="0" collapsed="false">
      <c r="B50470" s="0" t="s">
        <v>7</v>
      </c>
    </row>
    <row r="50471" customFormat="false" ht="12.8" hidden="false" customHeight="false" outlineLevel="0" collapsed="false">
      <c r="B50471" s="0" t="s">
        <v>14</v>
      </c>
    </row>
    <row r="50473" customFormat="false" ht="12.8" hidden="false" customHeight="false" outlineLevel="0" collapsed="false">
      <c r="A50473" s="0" t="s">
        <v>17751</v>
      </c>
      <c r="B50473" s="0" t="str">
        <f aca="false">HYPERLINK("https://lindat.mff.cuni.cz/services/teitok/pdtc10/index.php?action=vallex&amp;frame=v-whsa_194hsa_195", "ukotvit (v-whsa_194hsa_195)")</f>
        <v>ukotvit (v-whsa_194hsa_195)</v>
      </c>
    </row>
    <row r="50474" customFormat="false" ht="12.8" hidden="false" customHeight="false" outlineLevel="0" collapsed="false">
      <c r="B50474" s="0" t="s">
        <v>7</v>
      </c>
      <c r="C50474" s="0" t="s">
        <v>46</v>
      </c>
      <c r="D50474" s="0" t="s">
        <v>46</v>
      </c>
      <c r="E50474" s="0" t="s">
        <v>46</v>
      </c>
      <c r="F50474" s="0" t="s">
        <v>46</v>
      </c>
    </row>
    <row r="50475" customFormat="false" ht="12.8" hidden="false" customHeight="false" outlineLevel="0" collapsed="false">
      <c r="B50475" s="0" t="s">
        <v>14</v>
      </c>
      <c r="C50475" s="0" t="s">
        <v>567</v>
      </c>
      <c r="D50475" s="0" t="s">
        <v>115</v>
      </c>
      <c r="E50475" s="0" t="s">
        <v>115</v>
      </c>
      <c r="F50475" s="0" t="s">
        <v>115</v>
      </c>
    </row>
    <row r="50476" customFormat="false" ht="12.8" hidden="false" customHeight="false" outlineLevel="0" collapsed="false">
      <c r="B50476" s="0" t="s">
        <v>11</v>
      </c>
      <c r="D50476" s="0" t="s">
        <v>5217</v>
      </c>
      <c r="E50476" s="0" t="s">
        <v>5217</v>
      </c>
      <c r="F50476" s="0" t="s">
        <v>5217</v>
      </c>
    </row>
    <row r="50478" customFormat="false" ht="12.8" hidden="false" customHeight="false" outlineLevel="0" collapsed="false">
      <c r="A50478" s="0" t="s">
        <v>17752</v>
      </c>
      <c r="B50478" s="0" t="str">
        <f aca="false">HYPERLINK("https://lindat.mff.cuni.cz/services/teitok/pdtc10/index.php?action=vallex&amp;frame=v-w10214f2", "ukousnout (v-w10214f2)")</f>
        <v>ukousnout (v-w10214f2)</v>
      </c>
    </row>
    <row r="50479" customFormat="false" ht="12.8" hidden="false" customHeight="false" outlineLevel="0" collapsed="false">
      <c r="B50479" s="0" t="s">
        <v>7</v>
      </c>
      <c r="C50479" s="0" t="s">
        <v>149</v>
      </c>
      <c r="D50479" s="0" t="s">
        <v>126</v>
      </c>
      <c r="E50479" s="0" t="s">
        <v>126</v>
      </c>
      <c r="F50479" s="0" t="s">
        <v>126</v>
      </c>
    </row>
    <row r="50480" customFormat="false" ht="12.8" hidden="false" customHeight="false" outlineLevel="0" collapsed="false">
      <c r="B50480" s="0" t="s">
        <v>14</v>
      </c>
      <c r="C50480" s="0" t="s">
        <v>159</v>
      </c>
      <c r="D50480" s="0" t="s">
        <v>1571</v>
      </c>
      <c r="E50480" s="0" t="s">
        <v>1571</v>
      </c>
      <c r="F50480" s="0" t="s">
        <v>1571</v>
      </c>
    </row>
    <row r="50481" customFormat="false" ht="12.8" hidden="false" customHeight="false" outlineLevel="0" collapsed="false">
      <c r="B50481" s="0" t="s">
        <v>459</v>
      </c>
      <c r="D50481" s="0" t="s">
        <v>17753</v>
      </c>
      <c r="E50481" s="0" t="s">
        <v>17753</v>
      </c>
      <c r="F50481" s="0" t="s">
        <v>17753</v>
      </c>
    </row>
    <row r="50483" customFormat="false" ht="12.8" hidden="false" customHeight="false" outlineLevel="0" collapsed="false">
      <c r="A50483" s="0" t="s">
        <v>17754</v>
      </c>
      <c r="B50483" s="0" t="str">
        <f aca="false">HYPERLINK("https://lindat.mff.cuni.cz/services/teitok/pdtc10/index.php?action=vallex&amp;frame=v-w10214f3_MM", "ukousnout (v-w10214f3_MM)")</f>
        <v>ukousnout (v-w10214f3_MM)</v>
      </c>
    </row>
    <row r="50484" customFormat="false" ht="12.8" hidden="false" customHeight="false" outlineLevel="0" collapsed="false">
      <c r="B50484" s="0" t="s">
        <v>7</v>
      </c>
    </row>
    <row r="50485" customFormat="false" ht="12.8" hidden="false" customHeight="false" outlineLevel="0" collapsed="false">
      <c r="B50485" s="0" t="s">
        <v>14</v>
      </c>
    </row>
    <row r="50487" customFormat="false" ht="12.8" hidden="false" customHeight="false" outlineLevel="0" collapsed="false">
      <c r="A50487" s="0" t="s">
        <v>17755</v>
      </c>
      <c r="B50487" s="0" t="str">
        <f aca="false">HYPERLINK("https://lindat.mff.cuni.cz/services/teitok/pdtc10/index.php?action=vallex&amp;frame=v-w10695f2", "ukout (v-w10695f2)")</f>
        <v>ukout (v-w10695f2)</v>
      </c>
    </row>
    <row r="50488" customFormat="false" ht="12.8" hidden="false" customHeight="false" outlineLevel="0" collapsed="false">
      <c r="B50488" s="0" t="s">
        <v>7</v>
      </c>
      <c r="C50488" s="0" t="s">
        <v>191</v>
      </c>
    </row>
    <row r="50489" customFormat="false" ht="12.8" hidden="false" customHeight="false" outlineLevel="0" collapsed="false">
      <c r="B50489" s="0" t="s">
        <v>14</v>
      </c>
      <c r="C50489" s="0" t="s">
        <v>47</v>
      </c>
    </row>
    <row r="50491" customFormat="false" ht="12.8" hidden="false" customHeight="false" outlineLevel="0" collapsed="false">
      <c r="A50491" s="0" t="s">
        <v>17756</v>
      </c>
      <c r="B50491" s="0" t="str">
        <f aca="false">HYPERLINK("https://lindat.mff.cuni.cz/services/teitok/pdtc10/index.php?action=vallex&amp;frame=v-w10490f2", "ukovat (v-w10490f2)")</f>
        <v>ukovat (v-w10490f2)</v>
      </c>
    </row>
    <row r="50492" customFormat="false" ht="12.8" hidden="false" customHeight="false" outlineLevel="0" collapsed="false">
      <c r="B50492" s="0" t="s">
        <v>7</v>
      </c>
      <c r="C50492" s="0" t="s">
        <v>191</v>
      </c>
      <c r="D50492" s="0" t="s">
        <v>16628</v>
      </c>
      <c r="E50492" s="0" t="s">
        <v>16628</v>
      </c>
      <c r="F50492" s="0" t="s">
        <v>16628</v>
      </c>
    </row>
    <row r="50493" customFormat="false" ht="12.8" hidden="false" customHeight="false" outlineLevel="0" collapsed="false">
      <c r="B50493" s="0" t="s">
        <v>14</v>
      </c>
      <c r="C50493" s="0" t="s">
        <v>47</v>
      </c>
      <c r="D50493" s="0" t="s">
        <v>3244</v>
      </c>
      <c r="E50493" s="0" t="s">
        <v>3244</v>
      </c>
      <c r="F50493" s="0" t="s">
        <v>3244</v>
      </c>
    </row>
    <row r="50495" customFormat="false" ht="12.8" hidden="false" customHeight="false" outlineLevel="0" collapsed="false">
      <c r="A50495" s="0" t="s">
        <v>17757</v>
      </c>
      <c r="B50495" s="0" t="str">
        <f aca="false">HYPERLINK("https://lindat.mff.cuni.cz/services/teitok/pdtc10/index.php?action=vallex&amp;frame=v-w7113f1", "ukočírovat (v-w7113f1)")</f>
        <v>ukočírovat (v-w7113f1)</v>
      </c>
    </row>
    <row r="50496" customFormat="false" ht="12.8" hidden="false" customHeight="false" outlineLevel="0" collapsed="false">
      <c r="B50496" s="0" t="s">
        <v>7</v>
      </c>
    </row>
    <row r="50497" customFormat="false" ht="12.8" hidden="false" customHeight="false" outlineLevel="0" collapsed="false">
      <c r="B50497" s="0" t="s">
        <v>14</v>
      </c>
    </row>
    <row r="50499" customFormat="false" ht="12.8" hidden="false" customHeight="false" outlineLevel="0" collapsed="false">
      <c r="A50499" s="0" t="s">
        <v>17758</v>
      </c>
      <c r="B50499" s="0" t="str">
        <f aca="false">HYPERLINK("https://lindat.mff.cuni.cz/services/teitok/pdtc10/index.php?action=vallex&amp;frame=v-w11167f2", "ukořistit (v-w11167f2)")</f>
        <v>ukořistit (v-w11167f2)</v>
      </c>
    </row>
    <row r="50500" customFormat="false" ht="12.8" hidden="false" customHeight="false" outlineLevel="0" collapsed="false">
      <c r="B50500" s="0" t="s">
        <v>7</v>
      </c>
      <c r="D50500" s="0" t="s">
        <v>6498</v>
      </c>
      <c r="E50500" s="0" t="s">
        <v>6498</v>
      </c>
      <c r="F50500" s="0" t="s">
        <v>6498</v>
      </c>
    </row>
    <row r="50501" customFormat="false" ht="12.8" hidden="false" customHeight="false" outlineLevel="0" collapsed="false">
      <c r="B50501" s="0" t="s">
        <v>14</v>
      </c>
      <c r="C50501" s="0" t="s">
        <v>155</v>
      </c>
      <c r="D50501" s="0" t="s">
        <v>1164</v>
      </c>
      <c r="E50501" s="0" t="s">
        <v>1164</v>
      </c>
      <c r="F50501" s="0" t="s">
        <v>1164</v>
      </c>
    </row>
    <row r="50503" customFormat="false" ht="12.8" hidden="false" customHeight="false" outlineLevel="0" collapsed="false">
      <c r="A50503" s="0" t="s">
        <v>17759</v>
      </c>
      <c r="B50503" s="0" t="str">
        <f aca="false">HYPERLINK("https://lindat.mff.cuni.cz/services/teitok/pdtc10/index.php?action=vallex&amp;frame=v-w7120f1", "ukradnout (v-w7120f1)")</f>
        <v>ukradnout (v-w7120f1)</v>
      </c>
    </row>
    <row r="50504" customFormat="false" ht="12.8" hidden="false" customHeight="false" outlineLevel="0" collapsed="false">
      <c r="B50504" s="0" t="s">
        <v>7</v>
      </c>
      <c r="C50504" s="0" t="s">
        <v>460</v>
      </c>
      <c r="D50504" s="0" t="s">
        <v>429</v>
      </c>
      <c r="E50504" s="0" t="s">
        <v>430</v>
      </c>
      <c r="F50504" s="0" t="s">
        <v>431</v>
      </c>
    </row>
    <row r="50505" customFormat="false" ht="12.8" hidden="false" customHeight="false" outlineLevel="0" collapsed="false">
      <c r="B50505" s="0" t="s">
        <v>14</v>
      </c>
      <c r="C50505" s="0" t="s">
        <v>1571</v>
      </c>
      <c r="D50505" s="0" t="s">
        <v>433</v>
      </c>
      <c r="E50505" s="0" t="s">
        <v>434</v>
      </c>
      <c r="F50505" s="0" t="s">
        <v>435</v>
      </c>
    </row>
    <row r="50506" customFormat="false" ht="12.8" hidden="false" customHeight="false" outlineLevel="0" collapsed="false">
      <c r="B50506" s="0" t="s">
        <v>48</v>
      </c>
      <c r="C50506" s="0" t="s">
        <v>4154</v>
      </c>
      <c r="D50506" s="0" t="s">
        <v>437</v>
      </c>
      <c r="E50506" s="0" t="s">
        <v>438</v>
      </c>
      <c r="F50506" s="0" t="s">
        <v>439</v>
      </c>
    </row>
    <row r="50508" customFormat="false" ht="12.8" hidden="false" customHeight="false" outlineLevel="0" collapsed="false">
      <c r="A50508" s="0" t="s">
        <v>17760</v>
      </c>
      <c r="B50508" s="0" t="str">
        <f aca="false">HYPERLINK("https://lindat.mff.cuni.cz/services/teitok/pdtc10/index.php?action=vallex&amp;frame=v-w11101f2", "ukrajovat (v-w11101f2)")</f>
        <v>ukrajovat (v-w11101f2)</v>
      </c>
    </row>
    <row r="50509" customFormat="false" ht="12.8" hidden="false" customHeight="false" outlineLevel="0" collapsed="false">
      <c r="B50509" s="0" t="s">
        <v>7</v>
      </c>
      <c r="C50509" s="0" t="s">
        <v>31</v>
      </c>
      <c r="D50509" s="0" t="s">
        <v>184</v>
      </c>
      <c r="E50509" s="0" t="s">
        <v>184</v>
      </c>
      <c r="F50509" s="0" t="s">
        <v>184</v>
      </c>
    </row>
    <row r="50510" customFormat="false" ht="12.8" hidden="false" customHeight="false" outlineLevel="0" collapsed="false">
      <c r="B50510" s="0" t="s">
        <v>14</v>
      </c>
      <c r="C50510" s="0" t="s">
        <v>33</v>
      </c>
      <c r="D50510" s="0" t="s">
        <v>567</v>
      </c>
      <c r="E50510" s="0" t="s">
        <v>567</v>
      </c>
      <c r="F50510" s="0" t="s">
        <v>567</v>
      </c>
    </row>
    <row r="50512" customFormat="false" ht="12.8" hidden="false" customHeight="false" outlineLevel="0" collapsed="false">
      <c r="A50512" s="0" t="s">
        <v>17761</v>
      </c>
      <c r="B50512" s="0" t="str">
        <f aca="false">HYPERLINK("https://lindat.mff.cuni.cz/services/teitok/pdtc10/index.php?action=vallex&amp;frame=v-w11101hsa_665", "ukrajovat (v-w11101hsa_665)")</f>
        <v>ukrajovat (v-w11101hsa_665)</v>
      </c>
    </row>
    <row r="50513" customFormat="false" ht="12.8" hidden="false" customHeight="false" outlineLevel="0" collapsed="false">
      <c r="B50513" s="0" t="s">
        <v>7</v>
      </c>
      <c r="D50513" s="0" t="s">
        <v>184</v>
      </c>
      <c r="E50513" s="0" t="s">
        <v>184</v>
      </c>
      <c r="F50513" s="0" t="s">
        <v>184</v>
      </c>
    </row>
    <row r="50514" customFormat="false" ht="12.8" hidden="false" customHeight="false" outlineLevel="0" collapsed="false">
      <c r="B50514" s="0" t="s">
        <v>14</v>
      </c>
      <c r="D50514" s="0" t="s">
        <v>567</v>
      </c>
      <c r="E50514" s="0" t="s">
        <v>567</v>
      </c>
      <c r="F50514" s="0" t="s">
        <v>567</v>
      </c>
    </row>
    <row r="50516" customFormat="false" ht="12.8" hidden="false" customHeight="false" outlineLevel="0" collapsed="false">
      <c r="A50516" s="0" t="s">
        <v>17762</v>
      </c>
      <c r="B50516" s="0" t="str">
        <f aca="false">HYPERLINK("https://lindat.mff.cuni.cz/services/teitok/pdtc10/index.php?action=vallex&amp;frame=v-w11608_ZUf1_ZU", "ukrojit (v-w11608_ZUf1_ZU)")</f>
        <v>ukrojit (v-w11608_ZUf1_ZU)</v>
      </c>
    </row>
    <row r="50517" customFormat="false" ht="12.8" hidden="false" customHeight="false" outlineLevel="0" collapsed="false">
      <c r="B50517" s="0" t="s">
        <v>7</v>
      </c>
      <c r="C50517" s="0" t="s">
        <v>335</v>
      </c>
      <c r="D50517" s="0" t="s">
        <v>184</v>
      </c>
      <c r="E50517" s="0" t="s">
        <v>184</v>
      </c>
      <c r="F50517" s="0" t="s">
        <v>184</v>
      </c>
    </row>
    <row r="50518" customFormat="false" ht="12.8" hidden="false" customHeight="false" outlineLevel="0" collapsed="false">
      <c r="B50518" s="0" t="s">
        <v>14</v>
      </c>
      <c r="C50518" s="0" t="s">
        <v>1170</v>
      </c>
      <c r="D50518" s="0" t="s">
        <v>567</v>
      </c>
      <c r="E50518" s="0" t="s">
        <v>567</v>
      </c>
      <c r="F50518" s="0" t="s">
        <v>567</v>
      </c>
    </row>
    <row r="50520" customFormat="false" ht="12.8" hidden="false" customHeight="false" outlineLevel="0" collapsed="false">
      <c r="A50520" s="0" t="s">
        <v>17763</v>
      </c>
      <c r="B50520" s="0" t="str">
        <f aca="false">HYPERLINK("https://lindat.mff.cuni.cz/services/teitok/pdtc10/index.php?action=vallex&amp;frame=v-whsa_0hsa_1", "ukrádat (v-whsa_0hsa_1)")</f>
        <v>ukrádat (v-whsa_0hsa_1)</v>
      </c>
    </row>
    <row r="50521" customFormat="false" ht="12.8" hidden="false" customHeight="false" outlineLevel="0" collapsed="false">
      <c r="B50521" s="0" t="s">
        <v>7</v>
      </c>
      <c r="C50521" s="0" t="s">
        <v>460</v>
      </c>
      <c r="D50521" s="0" t="s">
        <v>429</v>
      </c>
      <c r="E50521" s="0" t="s">
        <v>430</v>
      </c>
      <c r="F50521" s="0" t="s">
        <v>431</v>
      </c>
    </row>
    <row r="50522" customFormat="false" ht="12.8" hidden="false" customHeight="false" outlineLevel="0" collapsed="false">
      <c r="B50522" s="0" t="s">
        <v>14</v>
      </c>
      <c r="C50522" s="0" t="s">
        <v>3249</v>
      </c>
      <c r="D50522" s="0" t="s">
        <v>433</v>
      </c>
      <c r="E50522" s="0" t="s">
        <v>434</v>
      </c>
      <c r="F50522" s="0" t="s">
        <v>435</v>
      </c>
    </row>
    <row r="50523" customFormat="false" ht="12.8" hidden="false" customHeight="false" outlineLevel="0" collapsed="false">
      <c r="B50523" s="0" t="s">
        <v>48</v>
      </c>
      <c r="C50523" s="0" t="s">
        <v>4154</v>
      </c>
      <c r="D50523" s="0" t="s">
        <v>437</v>
      </c>
      <c r="E50523" s="0" t="s">
        <v>438</v>
      </c>
      <c r="F50523" s="0" t="s">
        <v>439</v>
      </c>
    </row>
    <row r="50525" customFormat="false" ht="12.8" hidden="false" customHeight="false" outlineLevel="0" collapsed="false">
      <c r="A50525" s="0" t="s">
        <v>17764</v>
      </c>
      <c r="B50525" s="0" t="str">
        <f aca="false">HYPERLINK("https://lindat.mff.cuni.cz/services/teitok/pdtc10/index.php?action=vallex&amp;frame=v-w7121f1", "ukrást (v-w7121f1)")</f>
        <v>ukrást (v-w7121f1)</v>
      </c>
    </row>
    <row r="50526" customFormat="false" ht="12.8" hidden="false" customHeight="false" outlineLevel="0" collapsed="false">
      <c r="B50526" s="0" t="s">
        <v>7</v>
      </c>
      <c r="C50526" s="0" t="s">
        <v>460</v>
      </c>
      <c r="D50526" s="0" t="s">
        <v>429</v>
      </c>
      <c r="E50526" s="0" t="s">
        <v>430</v>
      </c>
      <c r="F50526" s="0" t="s">
        <v>431</v>
      </c>
    </row>
    <row r="50527" customFormat="false" ht="12.8" hidden="false" customHeight="false" outlineLevel="0" collapsed="false">
      <c r="B50527" s="0" t="s">
        <v>14</v>
      </c>
      <c r="C50527" s="0" t="s">
        <v>3249</v>
      </c>
      <c r="D50527" s="0" t="s">
        <v>433</v>
      </c>
      <c r="E50527" s="0" t="s">
        <v>434</v>
      </c>
      <c r="F50527" s="0" t="s">
        <v>435</v>
      </c>
    </row>
    <row r="50528" customFormat="false" ht="12.8" hidden="false" customHeight="false" outlineLevel="0" collapsed="false">
      <c r="B50528" s="0" t="s">
        <v>48</v>
      </c>
      <c r="C50528" s="0" t="s">
        <v>4154</v>
      </c>
      <c r="D50528" s="0" t="s">
        <v>437</v>
      </c>
      <c r="E50528" s="0" t="s">
        <v>438</v>
      </c>
      <c r="F50528" s="0" t="s">
        <v>439</v>
      </c>
    </row>
    <row r="50530" customFormat="false" ht="12.8" hidden="false" customHeight="false" outlineLevel="0" collapsed="false">
      <c r="A50530" s="0" t="s">
        <v>17765</v>
      </c>
      <c r="B50530" s="0" t="str">
        <f aca="false">HYPERLINK("https://lindat.mff.cuni.cz/services/teitok/pdtc10/index.php?action=vallex&amp;frame=v-w7122f1", "ukrýt (v-w7122f1)")</f>
        <v>ukrýt (v-w7122f1)</v>
      </c>
    </row>
    <row r="50531" customFormat="false" ht="12.8" hidden="false" customHeight="false" outlineLevel="0" collapsed="false">
      <c r="B50531" s="0" t="s">
        <v>7</v>
      </c>
      <c r="C50531" s="0" t="s">
        <v>46</v>
      </c>
      <c r="E50531" s="0" t="s">
        <v>4999</v>
      </c>
      <c r="F50531" s="0" t="s">
        <v>4999</v>
      </c>
    </row>
    <row r="50532" customFormat="false" ht="12.8" hidden="false" customHeight="false" outlineLevel="0" collapsed="false">
      <c r="B50532" s="0" t="s">
        <v>3742</v>
      </c>
      <c r="C50532" s="0" t="s">
        <v>1170</v>
      </c>
      <c r="E50532" s="0" t="s">
        <v>5000</v>
      </c>
      <c r="F50532" s="0" t="s">
        <v>5000</v>
      </c>
    </row>
    <row r="50533" customFormat="false" ht="12.8" hidden="false" customHeight="false" outlineLevel="0" collapsed="false">
      <c r="B50533" s="0" t="s">
        <v>3743</v>
      </c>
      <c r="E50533" s="0" t="s">
        <v>5001</v>
      </c>
      <c r="F50533" s="0" t="s">
        <v>5001</v>
      </c>
    </row>
    <row r="50535" customFormat="false" ht="12.8" hidden="false" customHeight="false" outlineLevel="0" collapsed="false">
      <c r="A50535" s="0" t="s">
        <v>17766</v>
      </c>
      <c r="B50535" s="0" t="str">
        <f aca="false">HYPERLINK("https://lindat.mff.cuni.cz/services/teitok/pdtc10/index.php?action=vallex&amp;frame=v-w7124f1", "ukrývat (v-w7124f1)")</f>
        <v>ukrývat (v-w7124f1)</v>
      </c>
    </row>
    <row r="50536" customFormat="false" ht="12.8" hidden="false" customHeight="false" outlineLevel="0" collapsed="false">
      <c r="B50536" s="0" t="s">
        <v>7</v>
      </c>
    </row>
    <row r="50537" customFormat="false" ht="12.8" hidden="false" customHeight="false" outlineLevel="0" collapsed="false">
      <c r="B50537" s="0" t="s">
        <v>3742</v>
      </c>
    </row>
    <row r="50538" customFormat="false" ht="12.8" hidden="false" customHeight="false" outlineLevel="0" collapsed="false">
      <c r="B50538" s="0" t="s">
        <v>3743</v>
      </c>
    </row>
    <row r="50540" customFormat="false" ht="12.8" hidden="false" customHeight="false" outlineLevel="0" collapsed="false">
      <c r="A50540" s="0" t="s">
        <v>17767</v>
      </c>
      <c r="B50540" s="0" t="str">
        <f aca="false">HYPERLINK("https://lindat.mff.cuni.cz/services/teitok/pdtc10/index.php?action=vallex&amp;frame=v-whsa_582hsa_583", "ukrývat se (v-whsa_582hsa_583)")</f>
        <v>ukrývat se (v-whsa_582hsa_583)</v>
      </c>
    </row>
    <row r="50541" customFormat="false" ht="12.8" hidden="false" customHeight="false" outlineLevel="0" collapsed="false">
      <c r="B50541" s="0" t="s">
        <v>7</v>
      </c>
      <c r="C50541" s="0" t="s">
        <v>5149</v>
      </c>
      <c r="D50541" s="0" t="s">
        <v>396</v>
      </c>
      <c r="E50541" s="0" t="s">
        <v>396</v>
      </c>
      <c r="F50541" s="0" t="s">
        <v>396</v>
      </c>
    </row>
    <row r="50542" customFormat="false" ht="12.8" hidden="false" customHeight="false" outlineLevel="0" collapsed="false">
      <c r="B50542" s="0" t="s">
        <v>11</v>
      </c>
      <c r="C50542" s="0" t="s">
        <v>10425</v>
      </c>
    </row>
    <row r="50544" customFormat="false" ht="12.8" hidden="false" customHeight="false" outlineLevel="0" collapsed="false">
      <c r="A50544" s="0" t="s">
        <v>17768</v>
      </c>
      <c r="B50544" s="0" t="str">
        <f aca="false">HYPERLINK("https://lindat.mff.cuni.cz/services/teitok/pdtc10/index.php?action=vallex&amp;frame=v-whsa_364hsa_365", "ukuchtit (v-whsa_364hsa_365)")</f>
        <v>ukuchtit (v-whsa_364hsa_365)</v>
      </c>
    </row>
    <row r="50545" customFormat="false" ht="12.8" hidden="false" customHeight="false" outlineLevel="0" collapsed="false">
      <c r="B50545" s="0" t="s">
        <v>7</v>
      </c>
    </row>
    <row r="50546" customFormat="false" ht="12.8" hidden="false" customHeight="false" outlineLevel="0" collapsed="false">
      <c r="B50546" s="0" t="s">
        <v>14</v>
      </c>
    </row>
    <row r="50547" customFormat="false" ht="12.8" hidden="false" customHeight="false" outlineLevel="0" collapsed="false">
      <c r="B50547" s="0" t="s">
        <v>35</v>
      </c>
    </row>
    <row r="50549" customFormat="false" ht="12.8" hidden="false" customHeight="false" outlineLevel="0" collapsed="false">
      <c r="A50549" s="0" t="s">
        <v>17769</v>
      </c>
      <c r="B50549" s="0" t="str">
        <f aca="false">HYPERLINK("https://lindat.mff.cuni.cz/services/teitok/pdtc10/index.php?action=vallex&amp;frame=v-w7125f1", "ukvapit se (v-w7125f1)")</f>
        <v>ukvapit se (v-w7125f1)</v>
      </c>
    </row>
    <row r="50550" customFormat="false" ht="12.8" hidden="false" customHeight="false" outlineLevel="0" collapsed="false">
      <c r="B50550" s="0" t="s">
        <v>7</v>
      </c>
    </row>
    <row r="50552" customFormat="false" ht="12.8" hidden="false" customHeight="false" outlineLevel="0" collapsed="false">
      <c r="A50552" s="0" t="s">
        <v>17770</v>
      </c>
      <c r="B50552" s="0" t="str">
        <f aca="false">HYPERLINK("https://lindat.mff.cuni.cz/services/teitok/pdtc10/index.php?action=vallex&amp;frame=v-w10355f2", "ukájet (v-w10355f2)")</f>
        <v>ukájet (v-w10355f2)</v>
      </c>
    </row>
    <row r="50553" customFormat="false" ht="12.8" hidden="false" customHeight="false" outlineLevel="0" collapsed="false">
      <c r="B50553" s="0" t="s">
        <v>7</v>
      </c>
    </row>
    <row r="50554" customFormat="false" ht="12.8" hidden="false" customHeight="false" outlineLevel="0" collapsed="false">
      <c r="B50554" s="0" t="s">
        <v>14</v>
      </c>
    </row>
    <row r="50556" customFormat="false" ht="12.8" hidden="false" customHeight="false" outlineLevel="0" collapsed="false">
      <c r="A50556" s="0" t="s">
        <v>17771</v>
      </c>
      <c r="B50556" s="0" t="str">
        <f aca="false">HYPERLINK("https://lindat.mff.cuni.cz/services/teitok/pdtc10/index.php?action=vallex&amp;frame=v-w7092f1", "ukázat (v-w7092f1)")</f>
        <v>ukázat (v-w7092f1)</v>
      </c>
    </row>
    <row r="50557" customFormat="false" ht="12.8" hidden="false" customHeight="false" outlineLevel="0" collapsed="false">
      <c r="B50557" s="0" t="s">
        <v>7</v>
      </c>
      <c r="C50557" s="0" t="s">
        <v>17772</v>
      </c>
      <c r="D50557" s="0" t="s">
        <v>1553</v>
      </c>
      <c r="E50557" s="0" t="s">
        <v>1553</v>
      </c>
      <c r="F50557" s="0" t="s">
        <v>1553</v>
      </c>
    </row>
    <row r="50558" customFormat="false" ht="12.8" hidden="false" customHeight="false" outlineLevel="0" collapsed="false">
      <c r="B50558" s="0" t="s">
        <v>1554</v>
      </c>
      <c r="C50558" s="0" t="s">
        <v>17773</v>
      </c>
      <c r="D50558" s="0" t="s">
        <v>1555</v>
      </c>
      <c r="E50558" s="0" t="s">
        <v>1555</v>
      </c>
      <c r="F50558" s="0" t="s">
        <v>1555</v>
      </c>
    </row>
    <row r="50559" customFormat="false" ht="12.8" hidden="false" customHeight="false" outlineLevel="0" collapsed="false">
      <c r="B50559" s="0" t="s">
        <v>48</v>
      </c>
      <c r="C50559" s="0" t="s">
        <v>17774</v>
      </c>
      <c r="D50559" s="0" t="s">
        <v>1556</v>
      </c>
      <c r="E50559" s="0" t="s">
        <v>1556</v>
      </c>
      <c r="F50559" s="0" t="s">
        <v>1556</v>
      </c>
    </row>
    <row r="50561" customFormat="false" ht="12.8" hidden="false" customHeight="false" outlineLevel="0" collapsed="false">
      <c r="A50561" s="0" t="s">
        <v>17775</v>
      </c>
      <c r="B50561" s="0" t="str">
        <f aca="false">HYPERLINK("https://lindat.mff.cuni.cz/services/teitok/pdtc10/index.php?action=vallex&amp;frame=v-w7092f4", "ukázat (v-w7092f4)")</f>
        <v>ukázat (v-w7092f4)</v>
      </c>
    </row>
    <row r="50562" customFormat="false" ht="12.8" hidden="false" customHeight="false" outlineLevel="0" collapsed="false">
      <c r="B50562" s="0" t="s">
        <v>265</v>
      </c>
      <c r="C50562" s="0" t="s">
        <v>3293</v>
      </c>
      <c r="D50562" s="0" t="s">
        <v>1505</v>
      </c>
      <c r="E50562" s="0" t="s">
        <v>1505</v>
      </c>
      <c r="F50562" s="0" t="s">
        <v>1505</v>
      </c>
    </row>
    <row r="50563" customFormat="false" ht="12.8" hidden="false" customHeight="false" outlineLevel="0" collapsed="false">
      <c r="B50563" s="0" t="s">
        <v>41</v>
      </c>
      <c r="C50563" s="0" t="s">
        <v>17776</v>
      </c>
      <c r="D50563" s="0" t="s">
        <v>11123</v>
      </c>
      <c r="E50563" s="0" t="s">
        <v>11123</v>
      </c>
      <c r="F50563" s="0" t="s">
        <v>11123</v>
      </c>
    </row>
    <row r="50564" customFormat="false" ht="12.8" hidden="false" customHeight="false" outlineLevel="0" collapsed="false">
      <c r="B50564" s="0" t="s">
        <v>106</v>
      </c>
      <c r="C50564" s="0" t="s">
        <v>6692</v>
      </c>
      <c r="D50564" s="0" t="s">
        <v>17691</v>
      </c>
      <c r="E50564" s="0" t="s">
        <v>17691</v>
      </c>
      <c r="F50564" s="0" t="s">
        <v>17691</v>
      </c>
    </row>
    <row r="50566" customFormat="false" ht="12.8" hidden="false" customHeight="false" outlineLevel="0" collapsed="false">
      <c r="A50566" s="0" t="s">
        <v>17777</v>
      </c>
      <c r="B50566" s="0" t="str">
        <f aca="false">HYPERLINK("https://lindat.mff.cuni.cz/services/teitok/pdtc10/index.php?action=vallex&amp;frame=v-w7092f2", "ukázat (v-w7092f2)")</f>
        <v>ukázat (v-w7092f2)</v>
      </c>
    </row>
    <row r="50567" customFormat="false" ht="12.8" hidden="false" customHeight="false" outlineLevel="0" collapsed="false">
      <c r="B50567" s="0" t="s">
        <v>7</v>
      </c>
      <c r="D50567" s="0" t="s">
        <v>1922</v>
      </c>
      <c r="E50567" s="0" t="s">
        <v>1922</v>
      </c>
      <c r="F50567" s="0" t="s">
        <v>1922</v>
      </c>
    </row>
    <row r="50568" customFormat="false" ht="12.8" hidden="false" customHeight="false" outlineLevel="0" collapsed="false">
      <c r="B50568" s="0" t="s">
        <v>5525</v>
      </c>
      <c r="C50568" s="0" t="s">
        <v>17778</v>
      </c>
      <c r="D50568" s="0" t="s">
        <v>16806</v>
      </c>
      <c r="E50568" s="0" t="s">
        <v>16806</v>
      </c>
      <c r="F50568" s="0" t="s">
        <v>16806</v>
      </c>
    </row>
    <row r="50569" customFormat="false" ht="12.8" hidden="false" customHeight="false" outlineLevel="0" collapsed="false">
      <c r="B50569" s="0" t="s">
        <v>363</v>
      </c>
      <c r="D50569" s="0" t="s">
        <v>899</v>
      </c>
      <c r="E50569" s="0" t="s">
        <v>899</v>
      </c>
      <c r="F50569" s="0" t="s">
        <v>899</v>
      </c>
    </row>
    <row r="50570" customFormat="false" ht="12.8" hidden="false" customHeight="false" outlineLevel="0" collapsed="false">
      <c r="B50570" s="0" t="s">
        <v>106</v>
      </c>
      <c r="D50570" s="0" t="s">
        <v>1927</v>
      </c>
      <c r="E50570" s="0" t="s">
        <v>1927</v>
      </c>
      <c r="F50570" s="0" t="s">
        <v>1927</v>
      </c>
    </row>
    <row r="50572" customFormat="false" ht="12.8" hidden="false" customHeight="false" outlineLevel="0" collapsed="false">
      <c r="A50572" s="0" t="s">
        <v>17779</v>
      </c>
      <c r="B50572" s="0" t="str">
        <f aca="false">HYPERLINK("https://lindat.mff.cuni.cz/services/teitok/pdtc10/index.php?action=vallex&amp;frame=v-w7092f3", "ukázat (v-w7092f3)")</f>
        <v>ukázat (v-w7092f3)</v>
      </c>
    </row>
    <row r="50573" customFormat="false" ht="12.8" hidden="false" customHeight="false" outlineLevel="0" collapsed="false">
      <c r="B50573" s="0" t="s">
        <v>7</v>
      </c>
      <c r="C50573" s="0" t="s">
        <v>1287</v>
      </c>
    </row>
    <row r="50574" customFormat="false" ht="12.8" hidden="false" customHeight="false" outlineLevel="0" collapsed="false">
      <c r="B50574" s="0" t="s">
        <v>124</v>
      </c>
    </row>
    <row r="50575" customFormat="false" ht="12.8" hidden="false" customHeight="false" outlineLevel="0" collapsed="false">
      <c r="B50575" s="0" t="s">
        <v>119</v>
      </c>
    </row>
    <row r="50577" customFormat="false" ht="12.8" hidden="false" customHeight="false" outlineLevel="0" collapsed="false">
      <c r="A50577" s="0" t="s">
        <v>17780</v>
      </c>
      <c r="B50577" s="0" t="str">
        <f aca="false">HYPERLINK("https://lindat.mff.cuni.cz/services/teitok/pdtc10/index.php?action=vallex&amp;frame=v-w7092f5_ZU", "ukázat (v-w7092f5_ZU)")</f>
        <v>ukázat (v-w7092f5_ZU)</v>
      </c>
    </row>
    <row r="50578" customFormat="false" ht="12.8" hidden="false" customHeight="false" outlineLevel="0" collapsed="false">
      <c r="B50578" s="0" t="s">
        <v>7</v>
      </c>
    </row>
    <row r="50579" customFormat="false" ht="12.8" hidden="false" customHeight="false" outlineLevel="0" collapsed="false">
      <c r="B50579" s="0" t="s">
        <v>17781</v>
      </c>
      <c r="C50579" s="0" t="s">
        <v>17782</v>
      </c>
    </row>
    <row r="50580" customFormat="false" ht="12.8" hidden="false" customHeight="false" outlineLevel="0" collapsed="false">
      <c r="B50580" s="0" t="s">
        <v>142</v>
      </c>
    </row>
    <row r="50582" customFormat="false" ht="12.8" hidden="false" customHeight="false" outlineLevel="0" collapsed="false">
      <c r="A50582" s="0" t="s">
        <v>17783</v>
      </c>
      <c r="B50582" s="0" t="str">
        <f aca="false">HYPERLINK("https://lindat.mff.cuni.cz/services/teitok/pdtc10/index.php?action=vallex&amp;frame=v-w7092f7_ZU", "ukázat (v-w7092f7_ZU)")</f>
        <v>ukázat (v-w7092f7_ZU)</v>
      </c>
    </row>
    <row r="50583" customFormat="false" ht="12.8" hidden="false" customHeight="false" outlineLevel="0" collapsed="false">
      <c r="B50583" s="0" t="s">
        <v>7</v>
      </c>
      <c r="D50583" s="0" t="s">
        <v>4179</v>
      </c>
      <c r="E50583" s="0" t="s">
        <v>4179</v>
      </c>
      <c r="F50583" s="0" t="s">
        <v>4179</v>
      </c>
    </row>
    <row r="50584" customFormat="false" ht="12.8" hidden="false" customHeight="false" outlineLevel="0" collapsed="false">
      <c r="B50584" s="0" t="s">
        <v>14</v>
      </c>
      <c r="C50584" s="0" t="s">
        <v>11865</v>
      </c>
      <c r="D50584" s="0" t="s">
        <v>4181</v>
      </c>
      <c r="E50584" s="0" t="s">
        <v>4181</v>
      </c>
      <c r="F50584" s="0" t="s">
        <v>4181</v>
      </c>
    </row>
    <row r="50585" customFormat="false" ht="12.8" hidden="false" customHeight="false" outlineLevel="0" collapsed="false">
      <c r="B50585" s="0" t="s">
        <v>106</v>
      </c>
    </row>
    <row r="50587" customFormat="false" ht="12.8" hidden="false" customHeight="false" outlineLevel="0" collapsed="false">
      <c r="A50587" s="0" t="s">
        <v>17783</v>
      </c>
      <c r="B50587" s="0" t="str">
        <f aca="false">HYPERLINK("https://lindat.mff.cuni.cz/services/teitok/pdtc10/index.php?action=vallex&amp;frame=v-w7092f6_ZU", "ukázat (v-w7092f6_ZU) - substituted with v-w7092f7_ZU")</f>
        <v>ukázat (v-w7092f6_ZU) - substituted with v-w7092f7_ZU</v>
      </c>
    </row>
    <row r="50588" customFormat="false" ht="12.8" hidden="false" customHeight="false" outlineLevel="0" collapsed="false">
      <c r="B50588" s="0" t="s">
        <v>7</v>
      </c>
      <c r="C50588" s="0" t="s">
        <v>4178</v>
      </c>
    </row>
    <row r="50589" customFormat="false" ht="12.8" hidden="false" customHeight="false" outlineLevel="0" collapsed="false">
      <c r="B50589" s="0" t="s">
        <v>14</v>
      </c>
      <c r="C50589" s="0" t="s">
        <v>4180</v>
      </c>
    </row>
    <row r="50590" customFormat="false" ht="12.8" hidden="false" customHeight="false" outlineLevel="0" collapsed="false">
      <c r="B50590" s="0" t="s">
        <v>106</v>
      </c>
      <c r="C50590" s="0" t="s">
        <v>1843</v>
      </c>
    </row>
    <row r="50592" customFormat="false" ht="12.8" hidden="false" customHeight="false" outlineLevel="0" collapsed="false">
      <c r="A50592" s="0" t="s">
        <v>17783</v>
      </c>
      <c r="B50592" s="0" t="str">
        <f aca="false">HYPERLINK("https://lindat.mff.cuni.cz/services/teitok/pdtc10/index.php?action=vallex&amp;frame=v-w7092hsa_1080", "ukázat (v-w7092hsa_1080) - substituted with v-w7092f7_ZU")</f>
        <v>ukázat (v-w7092hsa_1080) - substituted with v-w7092f7_ZU</v>
      </c>
    </row>
    <row r="50593" customFormat="false" ht="12.8" hidden="false" customHeight="false" outlineLevel="0" collapsed="false">
      <c r="B50593" s="0" t="s">
        <v>7</v>
      </c>
    </row>
    <row r="50594" customFormat="false" ht="12.8" hidden="false" customHeight="false" outlineLevel="0" collapsed="false">
      <c r="B50594" s="0" t="s">
        <v>14</v>
      </c>
    </row>
    <row r="50595" customFormat="false" ht="12.8" hidden="false" customHeight="false" outlineLevel="0" collapsed="false">
      <c r="B50595" s="0" t="s">
        <v>106</v>
      </c>
    </row>
    <row r="50597" customFormat="false" ht="12.8" hidden="false" customHeight="false" outlineLevel="0" collapsed="false">
      <c r="A50597" s="0" t="s">
        <v>17784</v>
      </c>
      <c r="B50597" s="0" t="str">
        <f aca="false">HYPERLINK("https://lindat.mff.cuni.cz/services/teitok/pdtc10/index.php?action=vallex&amp;frame=v-w7094f2", "ukázat se (v-w7094f2)")</f>
        <v>ukázat se (v-w7094f2)</v>
      </c>
    </row>
    <row r="50598" customFormat="false" ht="12.8" hidden="false" customHeight="false" outlineLevel="0" collapsed="false">
      <c r="B50598" s="0" t="s">
        <v>641</v>
      </c>
      <c r="C50598" s="0" t="s">
        <v>11892</v>
      </c>
      <c r="D50598" s="0" t="s">
        <v>17703</v>
      </c>
      <c r="E50598" s="0" t="s">
        <v>17703</v>
      </c>
      <c r="F50598" s="0" t="s">
        <v>17703</v>
      </c>
    </row>
    <row r="50599" customFormat="false" ht="12.8" hidden="false" customHeight="false" outlineLevel="0" collapsed="false">
      <c r="B50599" s="0" t="s">
        <v>17785</v>
      </c>
      <c r="C50599" s="0" t="s">
        <v>17786</v>
      </c>
      <c r="D50599" s="0" t="s">
        <v>2641</v>
      </c>
      <c r="E50599" s="0" t="s">
        <v>2641</v>
      </c>
      <c r="F50599" s="0" t="s">
        <v>2641</v>
      </c>
    </row>
    <row r="50601" customFormat="false" ht="12.8" hidden="false" customHeight="false" outlineLevel="0" collapsed="false">
      <c r="A50601" s="0" t="s">
        <v>17787</v>
      </c>
      <c r="B50601" s="0" t="str">
        <f aca="false">HYPERLINK("https://lindat.mff.cuni.cz/services/teitok/pdtc10/index.php?action=vallex&amp;frame=v-w7094f4", "ukázat se (v-w7094f4)")</f>
        <v>ukázat se (v-w7094f4)</v>
      </c>
    </row>
    <row r="50602" customFormat="false" ht="12.8" hidden="false" customHeight="false" outlineLevel="0" collapsed="false">
      <c r="B50602" s="0" t="s">
        <v>7</v>
      </c>
    </row>
    <row r="50603" customFormat="false" ht="12.8" hidden="false" customHeight="false" outlineLevel="0" collapsed="false">
      <c r="B50603" s="0" t="s">
        <v>119</v>
      </c>
    </row>
    <row r="50605" customFormat="false" ht="12.8" hidden="false" customHeight="false" outlineLevel="0" collapsed="false">
      <c r="A50605" s="0" t="s">
        <v>17788</v>
      </c>
      <c r="B50605" s="0" t="str">
        <f aca="false">HYPERLINK("https://lindat.mff.cuni.cz/services/teitok/pdtc10/index.php?action=vallex&amp;frame=v-w7094f3", "ukázat se (v-w7094f3)")</f>
        <v>ukázat se (v-w7094f3)</v>
      </c>
    </row>
    <row r="50606" customFormat="false" ht="12.8" hidden="false" customHeight="false" outlineLevel="0" collapsed="false">
      <c r="B50606" s="0" t="s">
        <v>7</v>
      </c>
      <c r="C50606" s="0" t="s">
        <v>1715</v>
      </c>
      <c r="D50606" s="0" t="s">
        <v>7650</v>
      </c>
      <c r="E50606" s="0" t="s">
        <v>7650</v>
      </c>
      <c r="F50606" s="0" t="s">
        <v>7650</v>
      </c>
    </row>
    <row r="50607" customFormat="false" ht="12.8" hidden="false" customHeight="false" outlineLevel="0" collapsed="false">
      <c r="B50607" s="0" t="s">
        <v>11</v>
      </c>
    </row>
    <row r="50609" customFormat="false" ht="12.8" hidden="false" customHeight="false" outlineLevel="0" collapsed="false">
      <c r="A50609" s="0" t="s">
        <v>17789</v>
      </c>
      <c r="B50609" s="0" t="str">
        <f aca="false">HYPERLINK("https://lindat.mff.cuni.cz/services/teitok/pdtc10/index.php?action=vallex&amp;frame=v-w7094f1", "ukázat se (v-w7094f1)")</f>
        <v>ukázat se (v-w7094f1)</v>
      </c>
    </row>
    <row r="50610" customFormat="false" ht="12.8" hidden="false" customHeight="false" outlineLevel="0" collapsed="false">
      <c r="B50610" s="0" t="s">
        <v>17790</v>
      </c>
      <c r="C50610" s="0" t="s">
        <v>17791</v>
      </c>
      <c r="D50610" s="0" t="s">
        <v>1922</v>
      </c>
      <c r="E50610" s="0" t="s">
        <v>1922</v>
      </c>
      <c r="F50610" s="0" t="s">
        <v>1922</v>
      </c>
    </row>
    <row r="50612" customFormat="false" ht="12.8" hidden="false" customHeight="false" outlineLevel="0" collapsed="false">
      <c r="A50612" s="0" t="s">
        <v>17792</v>
      </c>
      <c r="B50612" s="0" t="str">
        <f aca="false">HYPERLINK("https://lindat.mff.cuni.cz/services/teitok/pdtc10/index.php?action=vallex&amp;frame=v-w7094hsa_719", "ukázat se (v-w7094hsa_719)")</f>
        <v>ukázat se (v-w7094hsa_719)</v>
      </c>
    </row>
    <row r="50613" customFormat="false" ht="12.8" hidden="false" customHeight="false" outlineLevel="0" collapsed="false">
      <c r="B50613" s="0" t="s">
        <v>7</v>
      </c>
      <c r="C50613" s="0" t="s">
        <v>1921</v>
      </c>
    </row>
    <row r="50614" customFormat="false" ht="12.8" hidden="false" customHeight="false" outlineLevel="0" collapsed="false">
      <c r="B50614" s="0" t="s">
        <v>1400</v>
      </c>
      <c r="C50614" s="0" t="s">
        <v>1628</v>
      </c>
    </row>
    <row r="50616" customFormat="false" ht="12.8" hidden="false" customHeight="false" outlineLevel="0" collapsed="false">
      <c r="A50616" s="0" t="s">
        <v>17793</v>
      </c>
      <c r="B50616" s="0" t="str">
        <f aca="false">HYPERLINK("https://lindat.mff.cuni.cz/services/teitok/pdtc10/index.php?action=vallex&amp;frame=v-w7096f1", "ukáznit (v-w7096f1)")</f>
        <v>ukáznit (v-w7096f1)</v>
      </c>
    </row>
    <row r="50617" customFormat="false" ht="12.8" hidden="false" customHeight="false" outlineLevel="0" collapsed="false">
      <c r="B50617" s="0" t="s">
        <v>7</v>
      </c>
    </row>
    <row r="50618" customFormat="false" ht="12.8" hidden="false" customHeight="false" outlineLevel="0" collapsed="false">
      <c r="B50618" s="0" t="s">
        <v>14</v>
      </c>
    </row>
    <row r="50620" customFormat="false" ht="12.8" hidden="false" customHeight="false" outlineLevel="0" collapsed="false">
      <c r="A50620" s="0" t="s">
        <v>17794</v>
      </c>
      <c r="B50620" s="0" t="str">
        <f aca="false">HYPERLINK("https://lindat.mff.cuni.cz/services/teitok/pdtc10/index.php?action=vallex&amp;frame=v-w7097f1", "ukáznit se (v-w7097f1)")</f>
        <v>ukáznit se (v-w7097f1)</v>
      </c>
    </row>
    <row r="50621" customFormat="false" ht="12.8" hidden="false" customHeight="false" outlineLevel="0" collapsed="false">
      <c r="B50621" s="0" t="s">
        <v>7</v>
      </c>
    </row>
    <row r="50623" customFormat="false" ht="12.8" hidden="false" customHeight="false" outlineLevel="0" collapsed="false">
      <c r="A50623" s="0" t="s">
        <v>17795</v>
      </c>
      <c r="B50623" s="0" t="str">
        <f aca="false">HYPERLINK("https://lindat.mff.cuni.cz/services/teitok/pdtc10/index.php?action=vallex&amp;frame=v-whsa_641f1_ZU", "ukřižovat (v-whsa_641f1_ZU)")</f>
        <v>ukřižovat (v-whsa_641f1_ZU)</v>
      </c>
    </row>
    <row r="50624" customFormat="false" ht="12.8" hidden="false" customHeight="false" outlineLevel="0" collapsed="false">
      <c r="B50624" s="0" t="s">
        <v>7</v>
      </c>
    </row>
    <row r="50625" customFormat="false" ht="12.8" hidden="false" customHeight="false" outlineLevel="0" collapsed="false">
      <c r="B50625" s="0" t="s">
        <v>14</v>
      </c>
    </row>
    <row r="50627" customFormat="false" ht="12.8" hidden="false" customHeight="false" outlineLevel="0" collapsed="false">
      <c r="A50627" s="0" t="s">
        <v>17795</v>
      </c>
      <c r="B50627" s="0" t="str">
        <f aca="false">HYPERLINK("https://lindat.mff.cuni.cz/services/teitok/pdtc10/index.php?action=vallex&amp;frame=v-whsa_641hsa_642", "ukřižovat (v-whsa_641hsa_642) - substituted with v-whsa_641f1_ZU")</f>
        <v>ukřižovat (v-whsa_641hsa_642) - substituted with v-whsa_641f1_ZU</v>
      </c>
    </row>
    <row r="50628" customFormat="false" ht="12.8" hidden="false" customHeight="false" outlineLevel="0" collapsed="false">
      <c r="B50628" s="0" t="s">
        <v>7</v>
      </c>
    </row>
    <row r="50629" customFormat="false" ht="12.8" hidden="false" customHeight="false" outlineLevel="0" collapsed="false">
      <c r="B50629" s="0" t="s">
        <v>14</v>
      </c>
    </row>
    <row r="50631" customFormat="false" ht="12.8" hidden="false" customHeight="false" outlineLevel="0" collapsed="false">
      <c r="A50631" s="0" t="s">
        <v>17796</v>
      </c>
      <c r="B50631" s="0" t="str">
        <f aca="false">HYPERLINK("https://lindat.mff.cuni.cz/services/teitok/pdtc10/index.php?action=vallex&amp;frame=v-w7129f1", "ulehnout (v-w7129f1)")</f>
        <v>ulehnout (v-w7129f1)</v>
      </c>
    </row>
    <row r="50632" customFormat="false" ht="12.8" hidden="false" customHeight="false" outlineLevel="0" collapsed="false">
      <c r="B50632" s="0" t="s">
        <v>7</v>
      </c>
    </row>
    <row r="50634" customFormat="false" ht="12.8" hidden="false" customHeight="false" outlineLevel="0" collapsed="false">
      <c r="A50634" s="0" t="s">
        <v>17797</v>
      </c>
      <c r="B50634" s="0" t="str">
        <f aca="false">HYPERLINK("https://lindat.mff.cuni.cz/services/teitok/pdtc10/index.php?action=vallex&amp;frame=v-w7129hsa_282", "ulehnout (v-w7129hsa_282)")</f>
        <v>ulehnout (v-w7129hsa_282)</v>
      </c>
    </row>
    <row r="50635" customFormat="false" ht="12.8" hidden="false" customHeight="false" outlineLevel="0" collapsed="false">
      <c r="B50635" s="0" t="s">
        <v>7</v>
      </c>
    </row>
    <row r="50637" customFormat="false" ht="12.8" hidden="false" customHeight="false" outlineLevel="0" collapsed="false">
      <c r="A50637" s="0" t="s">
        <v>17798</v>
      </c>
      <c r="B50637" s="0" t="str">
        <f aca="false">HYPERLINK("https://lindat.mff.cuni.cz/services/teitok/pdtc10/index.php?action=vallex&amp;frame=v-w7127f1", "ulehčit (v-w7127f1)")</f>
        <v>ulehčit (v-w7127f1)</v>
      </c>
    </row>
    <row r="50638" customFormat="false" ht="12.8" hidden="false" customHeight="false" outlineLevel="0" collapsed="false">
      <c r="B50638" s="0" t="s">
        <v>7</v>
      </c>
      <c r="C50638" s="0" t="s">
        <v>73</v>
      </c>
    </row>
    <row r="50639" customFormat="false" ht="12.8" hidden="false" customHeight="false" outlineLevel="0" collapsed="false">
      <c r="B50639" s="0" t="s">
        <v>14</v>
      </c>
      <c r="C50639" s="0" t="s">
        <v>3725</v>
      </c>
    </row>
    <row r="50640" customFormat="false" ht="12.8" hidden="false" customHeight="false" outlineLevel="0" collapsed="false">
      <c r="B50640" s="0" t="s">
        <v>48</v>
      </c>
    </row>
    <row r="50642" customFormat="false" ht="12.8" hidden="false" customHeight="false" outlineLevel="0" collapsed="false">
      <c r="A50642" s="0" t="s">
        <v>17799</v>
      </c>
      <c r="B50642" s="0" t="str">
        <f aca="false">HYPERLINK("https://lindat.mff.cuni.cz/services/teitok/pdtc10/index.php?action=vallex&amp;frame=v-w7128f1", "ulehčovat (v-w7128f1)")</f>
        <v>ulehčovat (v-w7128f1)</v>
      </c>
    </row>
    <row r="50643" customFormat="false" ht="12.8" hidden="false" customHeight="false" outlineLevel="0" collapsed="false">
      <c r="B50643" s="0" t="s">
        <v>7</v>
      </c>
    </row>
    <row r="50644" customFormat="false" ht="12.8" hidden="false" customHeight="false" outlineLevel="0" collapsed="false">
      <c r="B50644" s="0" t="s">
        <v>14</v>
      </c>
    </row>
    <row r="50645" customFormat="false" ht="12.8" hidden="false" customHeight="false" outlineLevel="0" collapsed="false">
      <c r="B50645" s="0" t="s">
        <v>106</v>
      </c>
    </row>
    <row r="50647" customFormat="false" ht="12.8" hidden="false" customHeight="false" outlineLevel="0" collapsed="false">
      <c r="A50647" s="0" t="s">
        <v>17800</v>
      </c>
      <c r="B50647" s="0" t="str">
        <f aca="false">HYPERLINK("https://lindat.mff.cuni.cz/services/teitok/pdtc10/index.php?action=vallex&amp;frame=v-w11775_ZUf1_ZU", "ulejvat se (v-w11775_ZUf1_ZU)")</f>
        <v>ulejvat se (v-w11775_ZUf1_ZU)</v>
      </c>
    </row>
    <row r="50648" customFormat="false" ht="12.8" hidden="false" customHeight="false" outlineLevel="0" collapsed="false">
      <c r="B50648" s="0" t="s">
        <v>7</v>
      </c>
    </row>
    <row r="50650" customFormat="false" ht="12.8" hidden="false" customHeight="false" outlineLevel="0" collapsed="false">
      <c r="A50650" s="0" t="s">
        <v>17801</v>
      </c>
      <c r="B50650" s="0" t="str">
        <f aca="false">HYPERLINK("https://lindat.mff.cuni.cz/services/teitok/pdtc10/index.php?action=vallex&amp;frame=v-whsa_683hsa_684", "uletět (v-whsa_683hsa_684)")</f>
        <v>uletět (v-whsa_683hsa_684)</v>
      </c>
    </row>
    <row r="50651" customFormat="false" ht="12.8" hidden="false" customHeight="false" outlineLevel="0" collapsed="false">
      <c r="B50651" s="0" t="s">
        <v>7</v>
      </c>
      <c r="C50651" s="0" t="s">
        <v>5274</v>
      </c>
    </row>
    <row r="50652" customFormat="false" ht="12.8" hidden="false" customHeight="false" outlineLevel="0" collapsed="false">
      <c r="B50652" s="0" t="s">
        <v>14</v>
      </c>
    </row>
    <row r="50654" customFormat="false" ht="12.8" hidden="false" customHeight="false" outlineLevel="0" collapsed="false">
      <c r="A50654" s="0" t="s">
        <v>17802</v>
      </c>
      <c r="B50654" s="0" t="str">
        <f aca="false">HYPERLINK("https://lindat.mff.cuni.cz/services/teitok/pdtc10/index.php?action=vallex&amp;frame=v-whsa_683f3_ZU", "uletět (v-whsa_683f3_ZU)")</f>
        <v>uletět (v-whsa_683f3_ZU)</v>
      </c>
    </row>
    <row r="50655" customFormat="false" ht="12.8" hidden="false" customHeight="false" outlineLevel="0" collapsed="false">
      <c r="B50655" s="0" t="s">
        <v>7</v>
      </c>
    </row>
    <row r="50656" customFormat="false" ht="12.8" hidden="false" customHeight="false" outlineLevel="0" collapsed="false">
      <c r="B50656" s="0" t="s">
        <v>5382</v>
      </c>
    </row>
    <row r="50658" customFormat="false" ht="12.8" hidden="false" customHeight="false" outlineLevel="0" collapsed="false">
      <c r="A50658" s="0" t="s">
        <v>17802</v>
      </c>
      <c r="B50658" s="0" t="str">
        <f aca="false">HYPERLINK("https://lindat.mff.cuni.cz/services/teitok/pdtc10/index.php?action=vallex&amp;frame=v-whsa_683f1_ZU", "uletět (v-whsa_683f1_ZU) - substituted with v-whsa_683f3_ZU")</f>
        <v>uletět (v-whsa_683f1_ZU) - substituted with v-whsa_683f3_ZU</v>
      </c>
    </row>
    <row r="50659" customFormat="false" ht="12.8" hidden="false" customHeight="false" outlineLevel="0" collapsed="false">
      <c r="B50659" s="0" t="s">
        <v>7</v>
      </c>
    </row>
    <row r="50660" customFormat="false" ht="12.8" hidden="false" customHeight="false" outlineLevel="0" collapsed="false">
      <c r="B50660" s="0" t="s">
        <v>5382</v>
      </c>
    </row>
    <row r="50662" customFormat="false" ht="12.8" hidden="false" customHeight="false" outlineLevel="0" collapsed="false">
      <c r="A50662" s="0" t="s">
        <v>17802</v>
      </c>
      <c r="B50662" s="0" t="str">
        <f aca="false">HYPERLINK("https://lindat.mff.cuni.cz/services/teitok/pdtc10/index.php?action=vallex&amp;frame=v-whsa_683f2_ZU", "uletět (v-whsa_683f2_ZU) - substituted with v-whsa_683f3_ZU")</f>
        <v>uletět (v-whsa_683f2_ZU) - substituted with v-whsa_683f3_ZU</v>
      </c>
    </row>
    <row r="50663" customFormat="false" ht="12.8" hidden="false" customHeight="false" outlineLevel="0" collapsed="false">
      <c r="B50663" s="0" t="s">
        <v>7</v>
      </c>
    </row>
    <row r="50664" customFormat="false" ht="12.8" hidden="false" customHeight="false" outlineLevel="0" collapsed="false">
      <c r="B50664" s="0" t="s">
        <v>5382</v>
      </c>
    </row>
    <row r="50666" customFormat="false" ht="12.8" hidden="false" customHeight="false" outlineLevel="0" collapsed="false">
      <c r="A50666" s="0" t="s">
        <v>17803</v>
      </c>
      <c r="B50666" s="0" t="str">
        <f aca="false">HYPERLINK("https://lindat.mff.cuni.cz/services/teitok/pdtc10/index.php?action=vallex&amp;frame=v-w7131f1", "ulevit (v-w7131f1)")</f>
        <v>ulevit (v-w7131f1)</v>
      </c>
    </row>
    <row r="50667" customFormat="false" ht="12.8" hidden="false" customHeight="false" outlineLevel="0" collapsed="false">
      <c r="B50667" s="0" t="s">
        <v>7</v>
      </c>
      <c r="C50667" s="0" t="s">
        <v>73</v>
      </c>
      <c r="D50667" s="0" t="s">
        <v>1624</v>
      </c>
      <c r="E50667" s="0" t="s">
        <v>1624</v>
      </c>
      <c r="F50667" s="0" t="s">
        <v>1624</v>
      </c>
    </row>
    <row r="50668" customFormat="false" ht="12.8" hidden="false" customHeight="false" outlineLevel="0" collapsed="false">
      <c r="B50668" s="0" t="s">
        <v>142</v>
      </c>
      <c r="C50668" s="0" t="s">
        <v>3816</v>
      </c>
      <c r="D50668" s="0" t="s">
        <v>4345</v>
      </c>
      <c r="E50668" s="0" t="s">
        <v>4345</v>
      </c>
      <c r="F50668" s="0" t="s">
        <v>4345</v>
      </c>
    </row>
    <row r="50670" customFormat="false" ht="12.8" hidden="false" customHeight="false" outlineLevel="0" collapsed="false">
      <c r="A50670" s="0" t="s">
        <v>17804</v>
      </c>
      <c r="B50670" s="0" t="str">
        <f aca="false">HYPERLINK("https://lindat.mff.cuni.cz/services/teitok/pdtc10/index.php?action=vallex&amp;frame=v-w7132f2_ZU", "ulevit se (v-w7132f2_ZU)")</f>
        <v>ulevit se (v-w7132f2_ZU)</v>
      </c>
    </row>
    <row r="50671" customFormat="false" ht="12.8" hidden="false" customHeight="false" outlineLevel="0" collapsed="false">
      <c r="B50671" s="0" t="s">
        <v>603</v>
      </c>
    </row>
    <row r="50673" customFormat="false" ht="12.8" hidden="false" customHeight="false" outlineLevel="0" collapsed="false">
      <c r="A50673" s="0" t="s">
        <v>17804</v>
      </c>
      <c r="B50673" s="0" t="str">
        <f aca="false">HYPERLINK("https://lindat.mff.cuni.cz/services/teitok/pdtc10/index.php?action=vallex&amp;frame=v-w7132f1", "ulevit se (v-w7132f1) - substituted with v-w7132f2_ZU")</f>
        <v>ulevit se (v-w7132f1) - substituted with v-w7132f2_ZU</v>
      </c>
    </row>
    <row r="50674" customFormat="false" ht="12.8" hidden="false" customHeight="false" outlineLevel="0" collapsed="false">
      <c r="B50674" s="0" t="s">
        <v>603</v>
      </c>
      <c r="C50674" s="0" t="s">
        <v>247</v>
      </c>
    </row>
    <row r="50676" customFormat="false" ht="12.8" hidden="false" customHeight="false" outlineLevel="0" collapsed="false">
      <c r="A50676" s="0" t="s">
        <v>17805</v>
      </c>
      <c r="B50676" s="0" t="str">
        <f aca="false">HYPERLINK("https://lindat.mff.cuni.cz/services/teitok/pdtc10/index.php?action=vallex&amp;frame=v-w7132hsa_171", "ulevit se (v-w7132hsa_171)")</f>
        <v>ulevit se (v-w7132hsa_171)</v>
      </c>
    </row>
    <row r="50677" customFormat="false" ht="12.8" hidden="false" customHeight="false" outlineLevel="0" collapsed="false">
      <c r="B50677" s="0" t="s">
        <v>7</v>
      </c>
    </row>
    <row r="50678" customFormat="false" ht="12.8" hidden="false" customHeight="false" outlineLevel="0" collapsed="false">
      <c r="B50678" s="0" t="s">
        <v>2933</v>
      </c>
    </row>
    <row r="50680" customFormat="false" ht="12.8" hidden="false" customHeight="false" outlineLevel="0" collapsed="false">
      <c r="A50680" s="0" t="s">
        <v>17806</v>
      </c>
      <c r="B50680" s="0" t="str">
        <f aca="false">HYPERLINK("https://lindat.mff.cuni.cz/services/teitok/pdtc10/index.php?action=vallex&amp;frame=v-w11609_ZUf1_ZU", "ulevit si (v-w11609_ZUf1_ZU)")</f>
        <v>ulevit si (v-w11609_ZUf1_ZU)</v>
      </c>
    </row>
    <row r="50681" customFormat="false" ht="12.8" hidden="false" customHeight="false" outlineLevel="0" collapsed="false">
      <c r="B50681" s="0" t="s">
        <v>7</v>
      </c>
    </row>
    <row r="50683" customFormat="false" ht="12.8" hidden="false" customHeight="false" outlineLevel="0" collapsed="false">
      <c r="A50683" s="0" t="s">
        <v>17807</v>
      </c>
      <c r="B50683" s="0" t="str">
        <f aca="false">HYPERLINK("https://lindat.mff.cuni.cz/services/teitok/pdtc10/index.php?action=vallex&amp;frame=v-w11842_ZUf1_ZU", "ulomit (v-w11842_ZUf1_ZU)")</f>
        <v>ulomit (v-w11842_ZUf1_ZU)</v>
      </c>
    </row>
    <row r="50684" customFormat="false" ht="12.8" hidden="false" customHeight="false" outlineLevel="0" collapsed="false">
      <c r="B50684" s="0" t="s">
        <v>7</v>
      </c>
    </row>
    <row r="50685" customFormat="false" ht="12.8" hidden="false" customHeight="false" outlineLevel="0" collapsed="false">
      <c r="B50685" s="0" t="s">
        <v>14</v>
      </c>
    </row>
    <row r="50687" customFormat="false" ht="12.8" hidden="false" customHeight="false" outlineLevel="0" collapsed="false">
      <c r="A50687" s="0" t="s">
        <v>17808</v>
      </c>
      <c r="B50687" s="0" t="str">
        <f aca="false">HYPERLINK("https://lindat.mff.cuni.cz/services/teitok/pdtc10/index.php?action=vallex&amp;frame=v-w12380_MMf1_MM", "ulomit se (v-w12380_MMf1_MM)")</f>
        <v>ulomit se (v-w12380_MMf1_MM)</v>
      </c>
    </row>
    <row r="50688" customFormat="false" ht="12.8" hidden="false" customHeight="false" outlineLevel="0" collapsed="false">
      <c r="B50688" s="0" t="s">
        <v>7</v>
      </c>
    </row>
    <row r="50690" customFormat="false" ht="12.8" hidden="false" customHeight="false" outlineLevel="0" collapsed="false">
      <c r="A50690" s="0" t="s">
        <v>17809</v>
      </c>
      <c r="B50690" s="0" t="str">
        <f aca="false">HYPERLINK("https://lindat.mff.cuni.cz/services/teitok/pdtc10/index.php?action=vallex&amp;frame=v-w10127f2", "uloupit (v-w10127f2)")</f>
        <v>uloupit (v-w10127f2)</v>
      </c>
    </row>
    <row r="50691" customFormat="false" ht="12.8" hidden="false" customHeight="false" outlineLevel="0" collapsed="false">
      <c r="B50691" s="0" t="s">
        <v>7</v>
      </c>
      <c r="C50691" s="0" t="s">
        <v>460</v>
      </c>
      <c r="D50691" s="0" t="s">
        <v>429</v>
      </c>
      <c r="E50691" s="0" t="s">
        <v>430</v>
      </c>
      <c r="F50691" s="0" t="s">
        <v>431</v>
      </c>
    </row>
    <row r="50692" customFormat="false" ht="12.8" hidden="false" customHeight="false" outlineLevel="0" collapsed="false">
      <c r="B50692" s="0" t="s">
        <v>14</v>
      </c>
      <c r="C50692" s="0" t="s">
        <v>3249</v>
      </c>
      <c r="D50692" s="0" t="s">
        <v>433</v>
      </c>
      <c r="E50692" s="0" t="s">
        <v>434</v>
      </c>
      <c r="F50692" s="0" t="s">
        <v>435</v>
      </c>
    </row>
    <row r="50693" customFormat="false" ht="12.8" hidden="false" customHeight="false" outlineLevel="0" collapsed="false">
      <c r="B50693" s="0" t="s">
        <v>48</v>
      </c>
      <c r="C50693" s="0" t="s">
        <v>4154</v>
      </c>
      <c r="D50693" s="0" t="s">
        <v>437</v>
      </c>
      <c r="E50693" s="0" t="s">
        <v>438</v>
      </c>
      <c r="F50693" s="0" t="s">
        <v>439</v>
      </c>
    </row>
    <row r="50695" customFormat="false" ht="12.8" hidden="false" customHeight="false" outlineLevel="0" collapsed="false">
      <c r="A50695" s="0" t="s">
        <v>17810</v>
      </c>
      <c r="B50695" s="0" t="str">
        <f aca="false">HYPERLINK("https://lindat.mff.cuni.cz/services/teitok/pdtc10/index.php?action=vallex&amp;frame=v-w7135f1", "uloupnout (v-w7135f1)")</f>
        <v>uloupnout (v-w7135f1)</v>
      </c>
    </row>
    <row r="50696" customFormat="false" ht="12.8" hidden="false" customHeight="false" outlineLevel="0" collapsed="false">
      <c r="B50696" s="0" t="s">
        <v>7</v>
      </c>
    </row>
    <row r="50697" customFormat="false" ht="12.8" hidden="false" customHeight="false" outlineLevel="0" collapsed="false">
      <c r="B50697" s="0" t="s">
        <v>14</v>
      </c>
    </row>
    <row r="50699" customFormat="false" ht="12.8" hidden="false" customHeight="false" outlineLevel="0" collapsed="false">
      <c r="A50699" s="0" t="s">
        <v>17811</v>
      </c>
      <c r="B50699" s="0" t="str">
        <f aca="false">HYPERLINK("https://lindat.mff.cuni.cz/services/teitok/pdtc10/index.php?action=vallex&amp;frame=v-w7137f1", "ulovit (v-w7137f1)")</f>
        <v>ulovit (v-w7137f1)</v>
      </c>
    </row>
    <row r="50700" customFormat="false" ht="12.8" hidden="false" customHeight="false" outlineLevel="0" collapsed="false">
      <c r="B50700" s="0" t="s">
        <v>7</v>
      </c>
    </row>
    <row r="50701" customFormat="false" ht="12.8" hidden="false" customHeight="false" outlineLevel="0" collapsed="false">
      <c r="B50701" s="0" t="s">
        <v>14</v>
      </c>
    </row>
    <row r="50703" customFormat="false" ht="12.8" hidden="false" customHeight="false" outlineLevel="0" collapsed="false">
      <c r="A50703" s="0" t="s">
        <v>17812</v>
      </c>
      <c r="B50703" s="0" t="str">
        <f aca="false">HYPERLINK("https://lindat.mff.cuni.cz/services/teitok/pdtc10/index.php?action=vallex&amp;frame=v-w7137f2", "ulovit (v-w7137f2)")</f>
        <v>ulovit (v-w7137f2)</v>
      </c>
    </row>
    <row r="50704" customFormat="false" ht="12.8" hidden="false" customHeight="false" outlineLevel="0" collapsed="false">
      <c r="B50704" s="0" t="s">
        <v>7</v>
      </c>
      <c r="C50704" s="0" t="s">
        <v>191</v>
      </c>
    </row>
    <row r="50705" customFormat="false" ht="12.8" hidden="false" customHeight="false" outlineLevel="0" collapsed="false">
      <c r="B50705" s="0" t="s">
        <v>14</v>
      </c>
      <c r="C50705" s="0" t="s">
        <v>78</v>
      </c>
    </row>
    <row r="50707" customFormat="false" ht="12.8" hidden="false" customHeight="false" outlineLevel="0" collapsed="false">
      <c r="A50707" s="0" t="s">
        <v>17813</v>
      </c>
      <c r="B50707" s="0" t="str">
        <f aca="false">HYPERLINK("https://lindat.mff.cuni.cz/services/teitok/pdtc10/index.php?action=vallex&amp;frame=v-w7140f1", "uložit (v-w7140f1)")</f>
        <v>uložit (v-w7140f1)</v>
      </c>
    </row>
    <row r="50708" customFormat="false" ht="12.8" hidden="false" customHeight="false" outlineLevel="0" collapsed="false">
      <c r="B50708" s="0" t="s">
        <v>7</v>
      </c>
      <c r="C50708" s="0" t="s">
        <v>1826</v>
      </c>
      <c r="D50708" s="0" t="s">
        <v>2940</v>
      </c>
      <c r="E50708" s="0" t="s">
        <v>2940</v>
      </c>
      <c r="F50708" s="0" t="s">
        <v>2940</v>
      </c>
    </row>
    <row r="50709" customFormat="false" ht="12.8" hidden="false" customHeight="false" outlineLevel="0" collapsed="false">
      <c r="B50709" s="0" t="s">
        <v>2313</v>
      </c>
      <c r="C50709" s="0" t="s">
        <v>7007</v>
      </c>
      <c r="D50709" s="0" t="s">
        <v>2941</v>
      </c>
      <c r="E50709" s="0" t="s">
        <v>2941</v>
      </c>
      <c r="F50709" s="0" t="s">
        <v>2941</v>
      </c>
    </row>
    <row r="50710" customFormat="false" ht="12.8" hidden="false" customHeight="false" outlineLevel="0" collapsed="false">
      <c r="B50710" s="0" t="s">
        <v>48</v>
      </c>
      <c r="C50710" s="0" t="s">
        <v>16953</v>
      </c>
      <c r="D50710" s="0" t="s">
        <v>2942</v>
      </c>
      <c r="E50710" s="0" t="s">
        <v>2942</v>
      </c>
      <c r="F50710" s="0" t="s">
        <v>2942</v>
      </c>
    </row>
    <row r="50711" customFormat="false" ht="12.8" hidden="false" customHeight="false" outlineLevel="0" collapsed="false">
      <c r="B50711" s="0" t="s">
        <v>2943</v>
      </c>
      <c r="D50711" s="0" t="s">
        <v>2944</v>
      </c>
      <c r="E50711" s="0" t="s">
        <v>2944</v>
      </c>
      <c r="F50711" s="0" t="s">
        <v>2944</v>
      </c>
    </row>
    <row r="50713" customFormat="false" ht="12.8" hidden="false" customHeight="false" outlineLevel="0" collapsed="false">
      <c r="A50713" s="0" t="s">
        <v>17814</v>
      </c>
      <c r="B50713" s="0" t="str">
        <f aca="false">HYPERLINK("https://lindat.mff.cuni.cz/services/teitok/pdtc10/index.php?action=vallex&amp;frame=v-w7140f3", "uložit (v-w7140f3)")</f>
        <v>uložit (v-w7140f3)</v>
      </c>
    </row>
    <row r="50714" customFormat="false" ht="12.8" hidden="false" customHeight="false" outlineLevel="0" collapsed="false">
      <c r="B50714" s="0" t="s">
        <v>7</v>
      </c>
      <c r="C50714" s="0" t="s">
        <v>17815</v>
      </c>
    </row>
    <row r="50715" customFormat="false" ht="12.8" hidden="false" customHeight="false" outlineLevel="0" collapsed="false">
      <c r="B50715" s="0" t="s">
        <v>14</v>
      </c>
      <c r="C50715" s="0" t="s">
        <v>17816</v>
      </c>
    </row>
    <row r="50716" customFormat="false" ht="12.8" hidden="false" customHeight="false" outlineLevel="0" collapsed="false">
      <c r="B50716" s="0" t="s">
        <v>11</v>
      </c>
      <c r="C50716" s="0" t="s">
        <v>17817</v>
      </c>
    </row>
    <row r="50718" customFormat="false" ht="12.8" hidden="false" customHeight="false" outlineLevel="0" collapsed="false">
      <c r="A50718" s="0" t="s">
        <v>17818</v>
      </c>
      <c r="B50718" s="0" t="str">
        <f aca="false">HYPERLINK("https://lindat.mff.cuni.cz/services/teitok/pdtc10/index.php?action=vallex&amp;frame=v-w7140f2", "uložit (v-w7140f2)")</f>
        <v>uložit (v-w7140f2)</v>
      </c>
    </row>
    <row r="50719" customFormat="false" ht="12.8" hidden="false" customHeight="false" outlineLevel="0" collapsed="false">
      <c r="B50719" s="0" t="s">
        <v>7</v>
      </c>
      <c r="C50719" s="0" t="s">
        <v>9355</v>
      </c>
      <c r="D50719" s="0" t="s">
        <v>2101</v>
      </c>
      <c r="E50719" s="0" t="s">
        <v>2101</v>
      </c>
      <c r="F50719" s="0" t="s">
        <v>2101</v>
      </c>
    </row>
    <row r="50720" customFormat="false" ht="12.8" hidden="false" customHeight="false" outlineLevel="0" collapsed="false">
      <c r="B50720" s="0" t="s">
        <v>14</v>
      </c>
      <c r="C50720" s="0" t="s">
        <v>518</v>
      </c>
      <c r="D50720" s="0" t="s">
        <v>624</v>
      </c>
      <c r="E50720" s="0" t="s">
        <v>624</v>
      </c>
      <c r="F50720" s="0" t="s">
        <v>624</v>
      </c>
    </row>
    <row r="50721" customFormat="false" ht="12.8" hidden="false" customHeight="false" outlineLevel="0" collapsed="false">
      <c r="B50721" s="0" t="s">
        <v>124</v>
      </c>
      <c r="C50721" s="0" t="s">
        <v>2238</v>
      </c>
    </row>
    <row r="50723" customFormat="false" ht="12.8" hidden="false" customHeight="false" outlineLevel="0" collapsed="false">
      <c r="A50723" s="0" t="s">
        <v>17819</v>
      </c>
      <c r="B50723" s="0" t="str">
        <f aca="false">HYPERLINK("https://lindat.mff.cuni.cz/services/teitok/pdtc10/index.php?action=vallex&amp;frame=v-w7140f4", "uložit (v-w7140f4)")</f>
        <v>uložit (v-w7140f4)</v>
      </c>
    </row>
    <row r="50724" customFormat="false" ht="12.8" hidden="false" customHeight="false" outlineLevel="0" collapsed="false">
      <c r="B50724" s="0" t="s">
        <v>7</v>
      </c>
      <c r="C50724" s="0" t="s">
        <v>118</v>
      </c>
    </row>
    <row r="50725" customFormat="false" ht="12.8" hidden="false" customHeight="false" outlineLevel="0" collapsed="false">
      <c r="B50725" s="0" t="s">
        <v>17820</v>
      </c>
      <c r="C50725" s="0" t="s">
        <v>17821</v>
      </c>
    </row>
    <row r="50726" customFormat="false" ht="12.8" hidden="false" customHeight="false" outlineLevel="0" collapsed="false">
      <c r="B50726" s="0" t="s">
        <v>48</v>
      </c>
      <c r="C50726" s="0" t="s">
        <v>17822</v>
      </c>
    </row>
    <row r="50728" customFormat="false" ht="12.8" hidden="false" customHeight="false" outlineLevel="0" collapsed="false">
      <c r="A50728" s="0" t="s">
        <v>17823</v>
      </c>
      <c r="B50728" s="0" t="str">
        <f aca="false">HYPERLINK("https://lindat.mff.cuni.cz/services/teitok/pdtc10/index.php?action=vallex&amp;frame=v-w7141f1", "ulpívat (v-w7141f1)")</f>
        <v>ulpívat (v-w7141f1)</v>
      </c>
    </row>
    <row r="50729" customFormat="false" ht="12.8" hidden="false" customHeight="false" outlineLevel="0" collapsed="false">
      <c r="B50729" s="0" t="s">
        <v>7</v>
      </c>
    </row>
    <row r="50730" customFormat="false" ht="12.8" hidden="false" customHeight="false" outlineLevel="0" collapsed="false">
      <c r="B50730" s="0" t="s">
        <v>220</v>
      </c>
    </row>
    <row r="50732" customFormat="false" ht="12.8" hidden="false" customHeight="false" outlineLevel="0" collapsed="false">
      <c r="A50732" s="0" t="s">
        <v>17824</v>
      </c>
      <c r="B50732" s="0" t="str">
        <f aca="false">HYPERLINK("https://lindat.mff.cuni.cz/services/teitok/pdtc10/index.php?action=vallex&amp;frame=v-w7141f2", "ulpívat (v-w7141f2)")</f>
        <v>ulpívat (v-w7141f2)</v>
      </c>
    </row>
    <row r="50733" customFormat="false" ht="12.8" hidden="false" customHeight="false" outlineLevel="0" collapsed="false">
      <c r="B50733" s="0" t="s">
        <v>7</v>
      </c>
    </row>
    <row r="50734" customFormat="false" ht="12.8" hidden="false" customHeight="false" outlineLevel="0" collapsed="false">
      <c r="B50734" s="0" t="s">
        <v>11</v>
      </c>
    </row>
    <row r="50736" customFormat="false" ht="12.8" hidden="false" customHeight="false" outlineLevel="0" collapsed="false">
      <c r="A50736" s="0" t="s">
        <v>17825</v>
      </c>
      <c r="B50736" s="0" t="str">
        <f aca="false">HYPERLINK("https://lindat.mff.cuni.cz/services/teitok/pdtc10/index.php?action=vallex&amp;frame=v-w11186f2", "ulpět (v-w11186f2)")</f>
        <v>ulpět (v-w11186f2)</v>
      </c>
    </row>
    <row r="50737" customFormat="false" ht="12.8" hidden="false" customHeight="false" outlineLevel="0" collapsed="false">
      <c r="B50737" s="0" t="s">
        <v>7</v>
      </c>
      <c r="D50737" s="0" t="s">
        <v>1386</v>
      </c>
      <c r="E50737" s="0" t="s">
        <v>1386</v>
      </c>
      <c r="F50737" s="0" t="s">
        <v>1386</v>
      </c>
    </row>
    <row r="50738" customFormat="false" ht="12.8" hidden="false" customHeight="false" outlineLevel="0" collapsed="false">
      <c r="B50738" s="0" t="s">
        <v>220</v>
      </c>
      <c r="D50738" s="0" t="s">
        <v>2182</v>
      </c>
      <c r="E50738" s="0" t="s">
        <v>2182</v>
      </c>
      <c r="F50738" s="0" t="s">
        <v>2182</v>
      </c>
    </row>
    <row r="50740" customFormat="false" ht="12.8" hidden="false" customHeight="false" outlineLevel="0" collapsed="false">
      <c r="A50740" s="0" t="s">
        <v>17826</v>
      </c>
      <c r="B50740" s="0" t="str">
        <f aca="false">HYPERLINK("https://lindat.mff.cuni.cz/services/teitok/pdtc10/index.php?action=vallex&amp;frame=v-w11753_ZUf1_ZU", "ulámat se (v-w11753_ZUf1_ZU)")</f>
        <v>ulámat se (v-w11753_ZUf1_ZU)</v>
      </c>
    </row>
    <row r="50741" customFormat="false" ht="12.8" hidden="false" customHeight="false" outlineLevel="0" collapsed="false">
      <c r="B50741" s="0" t="s">
        <v>7</v>
      </c>
    </row>
    <row r="50743" customFormat="false" ht="12.8" hidden="false" customHeight="false" outlineLevel="0" collapsed="false">
      <c r="A50743" s="0" t="s">
        <v>17827</v>
      </c>
      <c r="B50743" s="0" t="str">
        <f aca="false">HYPERLINK("https://lindat.mff.cuni.cz/services/teitok/pdtc10/index.php?action=vallex&amp;frame=v-w10536f2", "ulít (v-w10536f2)")</f>
        <v>ulít (v-w10536f2)</v>
      </c>
    </row>
    <row r="50744" customFormat="false" ht="12.8" hidden="false" customHeight="false" outlineLevel="0" collapsed="false">
      <c r="B50744" s="0" t="s">
        <v>7</v>
      </c>
    </row>
    <row r="50745" customFormat="false" ht="12.8" hidden="false" customHeight="false" outlineLevel="0" collapsed="false">
      <c r="B50745" s="0" t="s">
        <v>14</v>
      </c>
    </row>
    <row r="50747" customFormat="false" ht="12.8" hidden="false" customHeight="false" outlineLevel="0" collapsed="false">
      <c r="A50747" s="0" t="s">
        <v>17828</v>
      </c>
      <c r="B50747" s="0" t="str">
        <f aca="false">HYPERLINK("https://lindat.mff.cuni.cz/services/teitok/pdtc10/index.php?action=vallex&amp;frame=v-w7143f1", "umanout si (v-w7143f1)")</f>
        <v>umanout si (v-w7143f1)</v>
      </c>
    </row>
    <row r="50748" customFormat="false" ht="12.8" hidden="false" customHeight="false" outlineLevel="0" collapsed="false">
      <c r="B50748" s="0" t="s">
        <v>7</v>
      </c>
    </row>
    <row r="50749" customFormat="false" ht="12.8" hidden="false" customHeight="false" outlineLevel="0" collapsed="false">
      <c r="B50749" s="0" t="s">
        <v>367</v>
      </c>
    </row>
    <row r="50751" customFormat="false" ht="12.8" hidden="false" customHeight="false" outlineLevel="0" collapsed="false">
      <c r="A50751" s="0" t="s">
        <v>17829</v>
      </c>
      <c r="B50751" s="0" t="str">
        <f aca="false">HYPERLINK("https://lindat.mff.cuni.cz/services/teitok/pdtc10/index.php?action=vallex&amp;frame=v-w7154f1", "umisťovat (v-w7154f1)")</f>
        <v>umisťovat (v-w7154f1)</v>
      </c>
    </row>
    <row r="50752" customFormat="false" ht="12.8" hidden="false" customHeight="false" outlineLevel="0" collapsed="false">
      <c r="B50752" s="0" t="s">
        <v>7</v>
      </c>
      <c r="D50752" s="0" t="s">
        <v>17830</v>
      </c>
      <c r="E50752" s="0" t="s">
        <v>17830</v>
      </c>
      <c r="F50752" s="0" t="s">
        <v>17831</v>
      </c>
    </row>
    <row r="50753" customFormat="false" ht="12.8" hidden="false" customHeight="false" outlineLevel="0" collapsed="false">
      <c r="B50753" s="0" t="s">
        <v>14</v>
      </c>
      <c r="D50753" s="0" t="s">
        <v>17832</v>
      </c>
      <c r="E50753" s="0" t="s">
        <v>17832</v>
      </c>
      <c r="F50753" s="0" t="s">
        <v>17833</v>
      </c>
    </row>
    <row r="50754" customFormat="false" ht="12.8" hidden="false" customHeight="false" outlineLevel="0" collapsed="false">
      <c r="B50754" s="0" t="s">
        <v>11</v>
      </c>
      <c r="D50754" s="0" t="s">
        <v>5217</v>
      </c>
      <c r="E50754" s="0" t="s">
        <v>5217</v>
      </c>
      <c r="F50754" s="0" t="s">
        <v>17834</v>
      </c>
    </row>
    <row r="50756" customFormat="false" ht="12.8" hidden="false" customHeight="false" outlineLevel="0" collapsed="false">
      <c r="A50756" s="0" t="s">
        <v>17835</v>
      </c>
      <c r="B50756" s="0" t="str">
        <f aca="false">HYPERLINK("https://lindat.mff.cuni.cz/services/teitok/pdtc10/index.php?action=vallex&amp;frame=v-w7154f2", "umisťovat (v-w7154f2)")</f>
        <v>umisťovat (v-w7154f2)</v>
      </c>
    </row>
    <row r="50757" customFormat="false" ht="12.8" hidden="false" customHeight="false" outlineLevel="0" collapsed="false">
      <c r="B50757" s="0" t="s">
        <v>7</v>
      </c>
      <c r="C50757" s="0" t="s">
        <v>335</v>
      </c>
      <c r="D50757" s="0" t="s">
        <v>17830</v>
      </c>
      <c r="E50757" s="0" t="s">
        <v>17830</v>
      </c>
      <c r="F50757" s="0" t="s">
        <v>17831</v>
      </c>
    </row>
    <row r="50758" customFormat="false" ht="12.8" hidden="false" customHeight="false" outlineLevel="0" collapsed="false">
      <c r="B50758" s="0" t="s">
        <v>14</v>
      </c>
      <c r="C50758" s="0" t="s">
        <v>1170</v>
      </c>
      <c r="D50758" s="0" t="s">
        <v>17832</v>
      </c>
      <c r="E50758" s="0" t="s">
        <v>17832</v>
      </c>
      <c r="F50758" s="0" t="s">
        <v>17833</v>
      </c>
    </row>
    <row r="50759" customFormat="false" ht="12.8" hidden="false" customHeight="false" outlineLevel="0" collapsed="false">
      <c r="B50759" s="0" t="s">
        <v>124</v>
      </c>
      <c r="D50759" s="0" t="s">
        <v>2238</v>
      </c>
      <c r="E50759" s="0" t="s">
        <v>2238</v>
      </c>
      <c r="F50759" s="0" t="s">
        <v>17836</v>
      </c>
    </row>
    <row r="50761" customFormat="false" ht="12.8" hidden="false" customHeight="false" outlineLevel="0" collapsed="false">
      <c r="A50761" s="0" t="s">
        <v>17837</v>
      </c>
      <c r="B50761" s="0" t="str">
        <f aca="false">HYPERLINK("https://lindat.mff.cuni.cz/services/teitok/pdtc10/index.php?action=vallex&amp;frame=v-w11985_ZUf1_ZU", "umisťovat se (v-w11985_ZUf1_ZU)")</f>
        <v>umisťovat se (v-w11985_ZUf1_ZU)</v>
      </c>
    </row>
    <row r="50762" customFormat="false" ht="12.8" hidden="false" customHeight="false" outlineLevel="0" collapsed="false">
      <c r="B50762" s="0" t="s">
        <v>7</v>
      </c>
    </row>
    <row r="50763" customFormat="false" ht="12.8" hidden="false" customHeight="false" outlineLevel="0" collapsed="false">
      <c r="B50763" s="0" t="s">
        <v>1059</v>
      </c>
    </row>
    <row r="50765" customFormat="false" ht="12.8" hidden="false" customHeight="false" outlineLevel="0" collapsed="false">
      <c r="A50765" s="0" t="s">
        <v>17838</v>
      </c>
      <c r="B50765" s="0" t="str">
        <f aca="false">HYPERLINK("https://lindat.mff.cuni.cz/services/teitok/pdtc10/index.php?action=vallex&amp;frame=v-w11077f2", "umlknout (v-w11077f2)")</f>
        <v>umlknout (v-w11077f2)</v>
      </c>
    </row>
    <row r="50766" customFormat="false" ht="12.8" hidden="false" customHeight="false" outlineLevel="0" collapsed="false">
      <c r="B50766" s="0" t="s">
        <v>7</v>
      </c>
    </row>
    <row r="50768" customFormat="false" ht="12.8" hidden="false" customHeight="false" outlineLevel="0" collapsed="false">
      <c r="A50768" s="0" t="s">
        <v>17839</v>
      </c>
      <c r="B50768" s="0" t="str">
        <f aca="false">HYPERLINK("https://lindat.mff.cuni.cz/services/teitok/pdtc10/index.php?action=vallex&amp;frame=v-w11077f3_ZU", "umlknout (v-w11077f3_ZU)")</f>
        <v>umlknout (v-w11077f3_ZU)</v>
      </c>
    </row>
    <row r="50769" customFormat="false" ht="12.8" hidden="false" customHeight="false" outlineLevel="0" collapsed="false">
      <c r="B50769" s="0" t="s">
        <v>7</v>
      </c>
    </row>
    <row r="50771" customFormat="false" ht="12.8" hidden="false" customHeight="false" outlineLevel="0" collapsed="false">
      <c r="A50771" s="0" t="s">
        <v>17840</v>
      </c>
      <c r="B50771" s="0" t="str">
        <f aca="false">HYPERLINK("https://lindat.mff.cuni.cz/services/teitok/pdtc10/index.php?action=vallex&amp;frame=v-w11833_ZUf2_ZU", "umluvit (v-w11833_ZUf2_ZU)")</f>
        <v>umluvit (v-w11833_ZUf2_ZU)</v>
      </c>
    </row>
    <row r="50772" customFormat="false" ht="12.8" hidden="false" customHeight="false" outlineLevel="0" collapsed="false">
      <c r="B50772" s="0" t="s">
        <v>7</v>
      </c>
    </row>
    <row r="50773" customFormat="false" ht="12.8" hidden="false" customHeight="false" outlineLevel="0" collapsed="false">
      <c r="B50773" s="0" t="s">
        <v>81</v>
      </c>
    </row>
    <row r="50774" customFormat="false" ht="12.8" hidden="false" customHeight="false" outlineLevel="0" collapsed="false">
      <c r="B50774" s="0" t="s">
        <v>17841</v>
      </c>
    </row>
    <row r="50776" customFormat="false" ht="12.8" hidden="false" customHeight="false" outlineLevel="0" collapsed="false">
      <c r="A50776" s="0" t="s">
        <v>17840</v>
      </c>
      <c r="B50776" s="0" t="str">
        <f aca="false">HYPERLINK("https://lindat.mff.cuni.cz/services/teitok/pdtc10/index.php?action=vallex&amp;frame=v-w11833_ZUf1_ZU", "umluvit (v-w11833_ZUf1_ZU) - substituted with v-w11833_ZUf2_ZU")</f>
        <v>umluvit (v-w11833_ZUf1_ZU) - substituted with v-w11833_ZUf2_ZU</v>
      </c>
    </row>
    <row r="50777" customFormat="false" ht="12.8" hidden="false" customHeight="false" outlineLevel="0" collapsed="false">
      <c r="B50777" s="0" t="s">
        <v>7</v>
      </c>
    </row>
    <row r="50778" customFormat="false" ht="12.8" hidden="false" customHeight="false" outlineLevel="0" collapsed="false">
      <c r="B50778" s="0" t="s">
        <v>81</v>
      </c>
    </row>
    <row r="50779" customFormat="false" ht="12.8" hidden="false" customHeight="false" outlineLevel="0" collapsed="false">
      <c r="B50779" s="0" t="s">
        <v>17841</v>
      </c>
    </row>
    <row r="50781" customFormat="false" ht="12.8" hidden="false" customHeight="false" outlineLevel="0" collapsed="false">
      <c r="A50781" s="0" t="s">
        <v>17842</v>
      </c>
      <c r="B50781" s="0" t="str">
        <f aca="false">HYPERLINK("https://lindat.mff.cuni.cz/services/teitok/pdtc10/index.php?action=vallex&amp;frame=v-w7157f1", "umlčet (v-w7157f1)")</f>
        <v>umlčet (v-w7157f1)</v>
      </c>
    </row>
    <row r="50782" customFormat="false" ht="12.8" hidden="false" customHeight="false" outlineLevel="0" collapsed="false">
      <c r="B50782" s="0" t="s">
        <v>7</v>
      </c>
      <c r="C50782" s="0" t="s">
        <v>17843</v>
      </c>
      <c r="D50782" s="0" t="s">
        <v>113</v>
      </c>
      <c r="E50782" s="0" t="s">
        <v>113</v>
      </c>
      <c r="F50782" s="0" t="s">
        <v>113</v>
      </c>
    </row>
    <row r="50783" customFormat="false" ht="12.8" hidden="false" customHeight="false" outlineLevel="0" collapsed="false">
      <c r="B50783" s="0" t="s">
        <v>14</v>
      </c>
      <c r="C50783" s="0" t="s">
        <v>17844</v>
      </c>
      <c r="D50783" s="0" t="s">
        <v>487</v>
      </c>
      <c r="E50783" s="0" t="s">
        <v>487</v>
      </c>
      <c r="F50783" s="0" t="s">
        <v>487</v>
      </c>
    </row>
    <row r="50785" customFormat="false" ht="12.8" hidden="false" customHeight="false" outlineLevel="0" collapsed="false">
      <c r="A50785" s="0" t="s">
        <v>17845</v>
      </c>
      <c r="B50785" s="0" t="str">
        <f aca="false">HYPERLINK("https://lindat.mff.cuni.cz/services/teitok/pdtc10/index.php?action=vallex&amp;frame=v-w7158f1", "umlčovat (v-w7158f1)")</f>
        <v>umlčovat (v-w7158f1)</v>
      </c>
    </row>
    <row r="50786" customFormat="false" ht="12.8" hidden="false" customHeight="false" outlineLevel="0" collapsed="false">
      <c r="B50786" s="0" t="s">
        <v>7</v>
      </c>
      <c r="C50786" s="0" t="s">
        <v>191</v>
      </c>
      <c r="D50786" s="0" t="s">
        <v>113</v>
      </c>
      <c r="E50786" s="0" t="s">
        <v>113</v>
      </c>
      <c r="F50786" s="0" t="s">
        <v>113</v>
      </c>
    </row>
    <row r="50787" customFormat="false" ht="12.8" hidden="false" customHeight="false" outlineLevel="0" collapsed="false">
      <c r="B50787" s="0" t="s">
        <v>14</v>
      </c>
      <c r="C50787" s="0" t="s">
        <v>155</v>
      </c>
      <c r="D50787" s="0" t="s">
        <v>487</v>
      </c>
      <c r="E50787" s="0" t="s">
        <v>487</v>
      </c>
      <c r="F50787" s="0" t="s">
        <v>487</v>
      </c>
    </row>
    <row r="50789" customFormat="false" ht="12.8" hidden="false" customHeight="false" outlineLevel="0" collapsed="false">
      <c r="A50789" s="0" t="s">
        <v>17846</v>
      </c>
      <c r="B50789" s="0" t="str">
        <f aca="false">HYPERLINK("https://lindat.mff.cuni.cz/services/teitok/pdtc10/index.php?action=vallex&amp;frame=v-w7161f1", "umocnit (v-w7161f1)")</f>
        <v>umocnit (v-w7161f1)</v>
      </c>
    </row>
    <row r="50790" customFormat="false" ht="12.8" hidden="false" customHeight="false" outlineLevel="0" collapsed="false">
      <c r="B50790" s="0" t="s">
        <v>7</v>
      </c>
      <c r="C50790" s="0" t="s">
        <v>31</v>
      </c>
      <c r="D50790" s="0" t="s">
        <v>2012</v>
      </c>
      <c r="E50790" s="0" t="s">
        <v>2012</v>
      </c>
      <c r="F50790" s="0" t="s">
        <v>2012</v>
      </c>
    </row>
    <row r="50791" customFormat="false" ht="12.8" hidden="false" customHeight="false" outlineLevel="0" collapsed="false">
      <c r="B50791" s="0" t="s">
        <v>14</v>
      </c>
      <c r="C50791" s="0" t="s">
        <v>33</v>
      </c>
      <c r="D50791" s="0" t="s">
        <v>11703</v>
      </c>
      <c r="E50791" s="0" t="s">
        <v>11703</v>
      </c>
      <c r="F50791" s="0" t="s">
        <v>11703</v>
      </c>
    </row>
    <row r="50793" customFormat="false" ht="12.8" hidden="false" customHeight="false" outlineLevel="0" collapsed="false">
      <c r="A50793" s="0" t="s">
        <v>17847</v>
      </c>
      <c r="B50793" s="0" t="str">
        <f aca="false">HYPERLINK("https://lindat.mff.cuni.cz/services/teitok/pdtc10/index.php?action=vallex&amp;frame=v-w7161f2", "umocnit (v-w7161f2)")</f>
        <v>umocnit (v-w7161f2)</v>
      </c>
    </row>
    <row r="50794" customFormat="false" ht="12.8" hidden="false" customHeight="false" outlineLevel="0" collapsed="false">
      <c r="B50794" s="0" t="s">
        <v>7</v>
      </c>
    </row>
    <row r="50795" customFormat="false" ht="12.8" hidden="false" customHeight="false" outlineLevel="0" collapsed="false">
      <c r="B50795" s="0" t="s">
        <v>14</v>
      </c>
    </row>
    <row r="50797" customFormat="false" ht="12.8" hidden="false" customHeight="false" outlineLevel="0" collapsed="false">
      <c r="A50797" s="0" t="s">
        <v>17848</v>
      </c>
      <c r="B50797" s="0" t="str">
        <f aca="false">HYPERLINK("https://lindat.mff.cuni.cz/services/teitok/pdtc10/index.php?action=vallex&amp;frame=v-w7162f1", "umocňovat (v-w7162f1)")</f>
        <v>umocňovat (v-w7162f1)</v>
      </c>
    </row>
    <row r="50798" customFormat="false" ht="12.8" hidden="false" customHeight="false" outlineLevel="0" collapsed="false">
      <c r="B50798" s="0" t="s">
        <v>7</v>
      </c>
    </row>
    <row r="50799" customFormat="false" ht="12.8" hidden="false" customHeight="false" outlineLevel="0" collapsed="false">
      <c r="B50799" s="0" t="s">
        <v>14</v>
      </c>
    </row>
    <row r="50801" customFormat="false" ht="12.8" hidden="false" customHeight="false" outlineLevel="0" collapsed="false">
      <c r="A50801" s="0" t="s">
        <v>17849</v>
      </c>
      <c r="B50801" s="0" t="str">
        <f aca="false">HYPERLINK("https://lindat.mff.cuni.cz/services/teitok/pdtc10/index.php?action=vallex&amp;frame=v-w7162f2", "umocňovat (v-w7162f2)")</f>
        <v>umocňovat (v-w7162f2)</v>
      </c>
    </row>
    <row r="50802" customFormat="false" ht="12.8" hidden="false" customHeight="false" outlineLevel="0" collapsed="false">
      <c r="B50802" s="0" t="s">
        <v>7</v>
      </c>
    </row>
    <row r="50803" customFormat="false" ht="12.8" hidden="false" customHeight="false" outlineLevel="0" collapsed="false">
      <c r="B50803" s="0" t="s">
        <v>14</v>
      </c>
    </row>
    <row r="50805" customFormat="false" ht="12.8" hidden="false" customHeight="false" outlineLevel="0" collapsed="false">
      <c r="A50805" s="0" t="s">
        <v>17850</v>
      </c>
      <c r="B50805" s="0" t="str">
        <f aca="false">HYPERLINK("https://lindat.mff.cuni.cz/services/teitok/pdtc10/index.php?action=vallex&amp;frame=v-w7165f1", "umoudřit se (v-w7165f1)")</f>
        <v>umoudřit se (v-w7165f1)</v>
      </c>
    </row>
    <row r="50806" customFormat="false" ht="12.8" hidden="false" customHeight="false" outlineLevel="0" collapsed="false">
      <c r="B50806" s="0" t="s">
        <v>7</v>
      </c>
    </row>
    <row r="50808" customFormat="false" ht="12.8" hidden="false" customHeight="false" outlineLevel="0" collapsed="false">
      <c r="A50808" s="0" t="s">
        <v>17851</v>
      </c>
      <c r="B50808" s="0" t="str">
        <f aca="false">HYPERLINK("https://lindat.mff.cuni.cz/services/teitok/pdtc10/index.php?action=vallex&amp;frame=v-w7165f2", "umoudřit se (v-w7165f2)")</f>
        <v>umoudřit se (v-w7165f2)</v>
      </c>
    </row>
    <row r="50809" customFormat="false" ht="12.8" hidden="false" customHeight="false" outlineLevel="0" collapsed="false">
      <c r="B50809" s="0" t="s">
        <v>7</v>
      </c>
    </row>
    <row r="50811" customFormat="false" ht="12.8" hidden="false" customHeight="false" outlineLevel="0" collapsed="false">
      <c r="A50811" s="0" t="s">
        <v>17852</v>
      </c>
      <c r="B50811" s="0" t="str">
        <f aca="false">HYPERLINK("https://lindat.mff.cuni.cz/services/teitok/pdtc10/index.php?action=vallex&amp;frame=v-w10952f2", "umořit (v-w10952f2)")</f>
        <v>umořit (v-w10952f2)</v>
      </c>
    </row>
    <row r="50812" customFormat="false" ht="12.8" hidden="false" customHeight="false" outlineLevel="0" collapsed="false">
      <c r="B50812" s="0" t="s">
        <v>7</v>
      </c>
      <c r="C50812" s="0" t="s">
        <v>108</v>
      </c>
      <c r="D50812" s="0" t="s">
        <v>2088</v>
      </c>
      <c r="E50812" s="0" t="s">
        <v>2088</v>
      </c>
      <c r="F50812" s="0" t="s">
        <v>2088</v>
      </c>
    </row>
    <row r="50813" customFormat="false" ht="12.8" hidden="false" customHeight="false" outlineLevel="0" collapsed="false">
      <c r="B50813" s="0" t="s">
        <v>14</v>
      </c>
      <c r="C50813" s="0" t="s">
        <v>1146</v>
      </c>
      <c r="D50813" s="0" t="s">
        <v>2089</v>
      </c>
      <c r="E50813" s="0" t="s">
        <v>2089</v>
      </c>
      <c r="F50813" s="0" t="s">
        <v>2089</v>
      </c>
    </row>
    <row r="50815" customFormat="false" ht="12.8" hidden="false" customHeight="false" outlineLevel="0" collapsed="false">
      <c r="A50815" s="0" t="s">
        <v>17853</v>
      </c>
      <c r="B50815" s="0" t="str">
        <f aca="false">HYPERLINK("https://lindat.mff.cuni.cz/services/teitok/pdtc10/index.php?action=vallex&amp;frame=v-w7164f1", "umořovat (v-w7164f1)")</f>
        <v>umořovat (v-w7164f1)</v>
      </c>
    </row>
    <row r="50816" customFormat="false" ht="12.8" hidden="false" customHeight="false" outlineLevel="0" collapsed="false">
      <c r="B50816" s="0" t="s">
        <v>7</v>
      </c>
      <c r="D50816" s="0" t="s">
        <v>2088</v>
      </c>
      <c r="E50816" s="0" t="s">
        <v>2088</v>
      </c>
      <c r="F50816" s="0" t="s">
        <v>2088</v>
      </c>
    </row>
    <row r="50817" customFormat="false" ht="12.8" hidden="false" customHeight="false" outlineLevel="0" collapsed="false">
      <c r="B50817" s="0" t="s">
        <v>14</v>
      </c>
      <c r="D50817" s="0" t="s">
        <v>2089</v>
      </c>
      <c r="E50817" s="0" t="s">
        <v>2089</v>
      </c>
      <c r="F50817" s="0" t="s">
        <v>2089</v>
      </c>
    </row>
    <row r="50819" customFormat="false" ht="12.8" hidden="false" customHeight="false" outlineLevel="0" collapsed="false">
      <c r="A50819" s="0" t="s">
        <v>17854</v>
      </c>
      <c r="B50819" s="0" t="str">
        <f aca="false">HYPERLINK("https://lindat.mff.cuni.cz/services/teitok/pdtc10/index.php?action=vallex&amp;frame=v-w7167f3_ZU", "umožnit (v-w7167f3_ZU)")</f>
        <v>umožnit (v-w7167f3_ZU)</v>
      </c>
    </row>
    <row r="50820" customFormat="false" ht="12.8" hidden="false" customHeight="false" outlineLevel="0" collapsed="false">
      <c r="B50820" s="0" t="s">
        <v>7</v>
      </c>
      <c r="C50820" s="0" t="s">
        <v>3633</v>
      </c>
      <c r="D50820" s="0" t="s">
        <v>3014</v>
      </c>
      <c r="E50820" s="0" t="s">
        <v>3014</v>
      </c>
      <c r="F50820" s="0" t="s">
        <v>3014</v>
      </c>
    </row>
    <row r="50821" customFormat="false" ht="12.8" hidden="false" customHeight="false" outlineLevel="0" collapsed="false">
      <c r="B50821" s="0" t="s">
        <v>17855</v>
      </c>
      <c r="C50821" s="0" t="s">
        <v>3634</v>
      </c>
      <c r="D50821" s="0" t="s">
        <v>17856</v>
      </c>
      <c r="E50821" s="0" t="s">
        <v>17856</v>
      </c>
      <c r="F50821" s="0" t="s">
        <v>17856</v>
      </c>
    </row>
    <row r="50822" customFormat="false" ht="12.8" hidden="false" customHeight="false" outlineLevel="0" collapsed="false">
      <c r="B50822" s="0" t="s">
        <v>48</v>
      </c>
      <c r="D50822" s="0" t="s">
        <v>3019</v>
      </c>
      <c r="E50822" s="0" t="s">
        <v>3019</v>
      </c>
      <c r="F50822" s="0" t="s">
        <v>3019</v>
      </c>
    </row>
    <row r="50824" customFormat="false" ht="12.8" hidden="false" customHeight="false" outlineLevel="0" collapsed="false">
      <c r="A50824" s="0" t="s">
        <v>17854</v>
      </c>
      <c r="B50824" s="0" t="str">
        <f aca="false">HYPERLINK("https://lindat.mff.cuni.cz/services/teitok/pdtc10/index.php?action=vallex&amp;frame=v-w7167f1", "umožnit (v-w7167f1) - substituted with v-w7167f3_ZU")</f>
        <v>umožnit (v-w7167f1) - substituted with v-w7167f3_ZU</v>
      </c>
    </row>
    <row r="50825" customFormat="false" ht="12.8" hidden="false" customHeight="false" outlineLevel="0" collapsed="false">
      <c r="B50825" s="0" t="s">
        <v>7</v>
      </c>
      <c r="C50825" s="0" t="s">
        <v>17857</v>
      </c>
    </row>
    <row r="50826" customFormat="false" ht="12.8" hidden="false" customHeight="false" outlineLevel="0" collapsed="false">
      <c r="B50826" s="0" t="s">
        <v>17855</v>
      </c>
      <c r="C50826" s="0" t="s">
        <v>17858</v>
      </c>
    </row>
    <row r="50827" customFormat="false" ht="12.8" hidden="false" customHeight="false" outlineLevel="0" collapsed="false">
      <c r="B50827" s="0" t="s">
        <v>48</v>
      </c>
      <c r="C50827" s="0" t="s">
        <v>17859</v>
      </c>
    </row>
    <row r="50829" customFormat="false" ht="12.8" hidden="false" customHeight="false" outlineLevel="0" collapsed="false">
      <c r="A50829" s="0" t="s">
        <v>17854</v>
      </c>
      <c r="B50829" s="0" t="str">
        <f aca="false">HYPERLINK("https://lindat.mff.cuni.cz/services/teitok/pdtc10/index.php?action=vallex&amp;frame=v-w7167hsa_182", "umožnit (v-w7167hsa_182) - substituted with v-w7167f3_ZU")</f>
        <v>umožnit (v-w7167hsa_182) - substituted with v-w7167f3_ZU</v>
      </c>
    </row>
    <row r="50830" customFormat="false" ht="12.8" hidden="false" customHeight="false" outlineLevel="0" collapsed="false">
      <c r="B50830" s="0" t="s">
        <v>7</v>
      </c>
    </row>
    <row r="50831" customFormat="false" ht="12.8" hidden="false" customHeight="false" outlineLevel="0" collapsed="false">
      <c r="B50831" s="0" t="s">
        <v>17855</v>
      </c>
    </row>
    <row r="50832" customFormat="false" ht="12.8" hidden="false" customHeight="false" outlineLevel="0" collapsed="false">
      <c r="B50832" s="0" t="s">
        <v>48</v>
      </c>
    </row>
    <row r="50834" customFormat="false" ht="12.8" hidden="false" customHeight="false" outlineLevel="0" collapsed="false">
      <c r="A50834" s="0" t="s">
        <v>17860</v>
      </c>
      <c r="B50834" s="0" t="str">
        <f aca="false">HYPERLINK("https://lindat.mff.cuni.cz/services/teitok/pdtc10/index.php?action=vallex&amp;frame=v-w7167f2", "umožnit (v-w7167f2)")</f>
        <v>umožnit (v-w7167f2)</v>
      </c>
    </row>
    <row r="50835" customFormat="false" ht="12.8" hidden="false" customHeight="false" outlineLevel="0" collapsed="false">
      <c r="B50835" s="0" t="s">
        <v>7</v>
      </c>
      <c r="C50835" s="0" t="s">
        <v>15644</v>
      </c>
      <c r="D50835" s="0" t="s">
        <v>2629</v>
      </c>
      <c r="E50835" s="0" t="s">
        <v>2629</v>
      </c>
      <c r="F50835" s="0" t="s">
        <v>2629</v>
      </c>
    </row>
    <row r="50836" customFormat="false" ht="12.8" hidden="false" customHeight="false" outlineLevel="0" collapsed="false">
      <c r="B50836" s="0" t="s">
        <v>14</v>
      </c>
      <c r="C50836" s="0" t="s">
        <v>17861</v>
      </c>
      <c r="D50836" s="0" t="s">
        <v>17862</v>
      </c>
      <c r="E50836" s="0" t="s">
        <v>17862</v>
      </c>
      <c r="F50836" s="0" t="s">
        <v>17862</v>
      </c>
    </row>
    <row r="50838" customFormat="false" ht="12.8" hidden="false" customHeight="false" outlineLevel="0" collapsed="false">
      <c r="A50838" s="0" t="s">
        <v>17863</v>
      </c>
      <c r="B50838" s="0" t="str">
        <f aca="false">HYPERLINK("https://lindat.mff.cuni.cz/services/teitok/pdtc10/index.php?action=vallex&amp;frame=v-w7168f1", "umožňovat (v-w7168f1)")</f>
        <v>umožňovat (v-w7168f1)</v>
      </c>
    </row>
    <row r="50839" customFormat="false" ht="12.8" hidden="false" customHeight="false" outlineLevel="0" collapsed="false">
      <c r="B50839" s="0" t="s">
        <v>7</v>
      </c>
      <c r="C50839" s="0" t="s">
        <v>17864</v>
      </c>
      <c r="D50839" s="0" t="s">
        <v>3014</v>
      </c>
      <c r="E50839" s="0" t="s">
        <v>3014</v>
      </c>
      <c r="F50839" s="0" t="s">
        <v>3014</v>
      </c>
    </row>
    <row r="50840" customFormat="false" ht="12.8" hidden="false" customHeight="false" outlineLevel="0" collapsed="false">
      <c r="B50840" s="0" t="s">
        <v>5859</v>
      </c>
      <c r="C50840" s="0" t="s">
        <v>17865</v>
      </c>
      <c r="D50840" s="0" t="s">
        <v>17856</v>
      </c>
      <c r="E50840" s="0" t="s">
        <v>17856</v>
      </c>
      <c r="F50840" s="0" t="s">
        <v>17856</v>
      </c>
    </row>
    <row r="50841" customFormat="false" ht="12.8" hidden="false" customHeight="false" outlineLevel="0" collapsed="false">
      <c r="B50841" s="0" t="s">
        <v>48</v>
      </c>
      <c r="C50841" s="0" t="s">
        <v>17866</v>
      </c>
      <c r="D50841" s="0" t="s">
        <v>3019</v>
      </c>
      <c r="E50841" s="0" t="s">
        <v>3019</v>
      </c>
      <c r="F50841" s="0" t="s">
        <v>3019</v>
      </c>
    </row>
    <row r="50843" customFormat="false" ht="12.8" hidden="false" customHeight="false" outlineLevel="0" collapsed="false">
      <c r="A50843" s="0" t="s">
        <v>17867</v>
      </c>
      <c r="B50843" s="0" t="str">
        <f aca="false">HYPERLINK("https://lindat.mff.cuni.cz/services/teitok/pdtc10/index.php?action=vallex&amp;frame=v-w7168f2", "umožňovat (v-w7168f2)")</f>
        <v>umožňovat (v-w7168f2)</v>
      </c>
    </row>
    <row r="50844" customFormat="false" ht="12.8" hidden="false" customHeight="false" outlineLevel="0" collapsed="false">
      <c r="B50844" s="0" t="s">
        <v>7</v>
      </c>
      <c r="C50844" s="0" t="s">
        <v>17868</v>
      </c>
      <c r="D50844" s="0" t="s">
        <v>2629</v>
      </c>
      <c r="E50844" s="0" t="s">
        <v>2629</v>
      </c>
      <c r="F50844" s="0" t="s">
        <v>2629</v>
      </c>
    </row>
    <row r="50845" customFormat="false" ht="12.8" hidden="false" customHeight="false" outlineLevel="0" collapsed="false">
      <c r="B50845" s="0" t="s">
        <v>4100</v>
      </c>
      <c r="C50845" s="0" t="s">
        <v>17869</v>
      </c>
      <c r="D50845" s="0" t="s">
        <v>17862</v>
      </c>
      <c r="E50845" s="0" t="s">
        <v>17862</v>
      </c>
      <c r="F50845" s="0" t="s">
        <v>17862</v>
      </c>
    </row>
    <row r="50847" customFormat="false" ht="12.8" hidden="false" customHeight="false" outlineLevel="0" collapsed="false">
      <c r="A50847" s="0" t="s">
        <v>17870</v>
      </c>
      <c r="B50847" s="0" t="str">
        <f aca="false">HYPERLINK("https://lindat.mff.cuni.cz/services/teitok/pdtc10/index.php?action=vallex&amp;frame=v-w11765_ZUf1_ZU", "umíchat (v-w11765_ZUf1_ZU)")</f>
        <v>umíchat (v-w11765_ZUf1_ZU)</v>
      </c>
    </row>
    <row r="50848" customFormat="false" ht="12.8" hidden="false" customHeight="false" outlineLevel="0" collapsed="false">
      <c r="B50848" s="0" t="s">
        <v>7</v>
      </c>
    </row>
    <row r="50849" customFormat="false" ht="12.8" hidden="false" customHeight="false" outlineLevel="0" collapsed="false">
      <c r="B50849" s="0" t="s">
        <v>14</v>
      </c>
    </row>
    <row r="50851" customFormat="false" ht="12.8" hidden="false" customHeight="false" outlineLevel="0" collapsed="false">
      <c r="A50851" s="0" t="s">
        <v>17871</v>
      </c>
      <c r="B50851" s="0" t="str">
        <f aca="false">HYPERLINK("https://lindat.mff.cuni.cz/services/teitok/pdtc10/index.php?action=vallex&amp;frame=v-w7147f1", "umínit si (v-w7147f1)")</f>
        <v>umínit si (v-w7147f1)</v>
      </c>
    </row>
    <row r="50852" customFormat="false" ht="12.8" hidden="false" customHeight="false" outlineLevel="0" collapsed="false">
      <c r="B50852" s="0" t="s">
        <v>7</v>
      </c>
    </row>
    <row r="50853" customFormat="false" ht="12.8" hidden="false" customHeight="false" outlineLevel="0" collapsed="false">
      <c r="B50853" s="0" t="s">
        <v>17872</v>
      </c>
    </row>
    <row r="50855" customFormat="false" ht="12.8" hidden="false" customHeight="false" outlineLevel="0" collapsed="false">
      <c r="A50855" s="0" t="s">
        <v>17873</v>
      </c>
      <c r="B50855" s="0" t="str">
        <f aca="false">HYPERLINK("https://lindat.mff.cuni.cz/services/teitok/pdtc10/index.php?action=vallex&amp;frame=v-w7148f1", "umírat (v-w7148f1)")</f>
        <v>umírat (v-w7148f1)</v>
      </c>
    </row>
    <row r="50856" customFormat="false" ht="12.8" hidden="false" customHeight="false" outlineLevel="0" collapsed="false">
      <c r="B50856" s="0" t="s">
        <v>7</v>
      </c>
      <c r="C50856" s="0" t="s">
        <v>8602</v>
      </c>
      <c r="D50856" s="0" t="s">
        <v>8602</v>
      </c>
      <c r="E50856" s="0" t="s">
        <v>8602</v>
      </c>
      <c r="F50856" s="0" t="s">
        <v>8602</v>
      </c>
    </row>
    <row r="50858" customFormat="false" ht="12.8" hidden="false" customHeight="false" outlineLevel="0" collapsed="false">
      <c r="A50858" s="0" t="s">
        <v>17874</v>
      </c>
      <c r="B50858" s="0" t="str">
        <f aca="false">HYPERLINK("https://lindat.mff.cuni.cz/services/teitok/pdtc10/index.php?action=vallex&amp;frame=v-whsa_687hsa_688", "umírnit (v-whsa_687hsa_688)")</f>
        <v>umírnit (v-whsa_687hsa_688)</v>
      </c>
    </row>
    <row r="50859" customFormat="false" ht="12.8" hidden="false" customHeight="false" outlineLevel="0" collapsed="false">
      <c r="B50859" s="0" t="s">
        <v>7</v>
      </c>
      <c r="D50859" s="0" t="s">
        <v>1167</v>
      </c>
      <c r="E50859" s="0" t="s">
        <v>1167</v>
      </c>
      <c r="F50859" s="0" t="s">
        <v>1167</v>
      </c>
    </row>
    <row r="50860" customFormat="false" ht="12.8" hidden="false" customHeight="false" outlineLevel="0" collapsed="false">
      <c r="B50860" s="0" t="s">
        <v>14</v>
      </c>
      <c r="D50860" s="0" t="s">
        <v>1168</v>
      </c>
      <c r="E50860" s="0" t="s">
        <v>1168</v>
      </c>
      <c r="F50860" s="0" t="s">
        <v>1168</v>
      </c>
    </row>
    <row r="50862" customFormat="false" ht="12.8" hidden="false" customHeight="false" outlineLevel="0" collapsed="false">
      <c r="A50862" s="0" t="s">
        <v>17875</v>
      </c>
      <c r="B50862" s="0" t="str">
        <f aca="false">HYPERLINK("https://lindat.mff.cuni.cz/services/teitok/pdtc10/index.php?action=vallex&amp;frame=v-w7150f1", "umístit (v-w7150f1)")</f>
        <v>umístit (v-w7150f1)</v>
      </c>
    </row>
    <row r="50863" customFormat="false" ht="12.8" hidden="false" customHeight="false" outlineLevel="0" collapsed="false">
      <c r="B50863" s="0" t="s">
        <v>7</v>
      </c>
      <c r="C50863" s="0" t="s">
        <v>9055</v>
      </c>
      <c r="D50863" s="0" t="s">
        <v>17830</v>
      </c>
      <c r="E50863" s="0" t="s">
        <v>17830</v>
      </c>
      <c r="F50863" s="0" t="s">
        <v>17831</v>
      </c>
    </row>
    <row r="50864" customFormat="false" ht="12.8" hidden="false" customHeight="false" outlineLevel="0" collapsed="false">
      <c r="B50864" s="0" t="s">
        <v>14</v>
      </c>
      <c r="C50864" s="0" t="s">
        <v>17876</v>
      </c>
      <c r="D50864" s="0" t="s">
        <v>17832</v>
      </c>
      <c r="E50864" s="0" t="s">
        <v>17832</v>
      </c>
      <c r="F50864" s="0" t="s">
        <v>17833</v>
      </c>
    </row>
    <row r="50865" customFormat="false" ht="12.8" hidden="false" customHeight="false" outlineLevel="0" collapsed="false">
      <c r="B50865" s="0" t="s">
        <v>11</v>
      </c>
      <c r="C50865" s="0" t="s">
        <v>5216</v>
      </c>
      <c r="D50865" s="0" t="s">
        <v>5217</v>
      </c>
      <c r="E50865" s="0" t="s">
        <v>5217</v>
      </c>
      <c r="F50865" s="0" t="s">
        <v>17834</v>
      </c>
    </row>
    <row r="50867" customFormat="false" ht="12.8" hidden="false" customHeight="false" outlineLevel="0" collapsed="false">
      <c r="A50867" s="0" t="s">
        <v>17877</v>
      </c>
      <c r="B50867" s="0" t="str">
        <f aca="false">HYPERLINK("https://lindat.mff.cuni.cz/services/teitok/pdtc10/index.php?action=vallex&amp;frame=v-w7150f2", "umístit (v-w7150f2)")</f>
        <v>umístit (v-w7150f2)</v>
      </c>
    </row>
    <row r="50868" customFormat="false" ht="12.8" hidden="false" customHeight="false" outlineLevel="0" collapsed="false">
      <c r="B50868" s="0" t="s">
        <v>7</v>
      </c>
      <c r="C50868" s="0" t="s">
        <v>11779</v>
      </c>
      <c r="D50868" s="0" t="s">
        <v>17830</v>
      </c>
      <c r="E50868" s="0" t="s">
        <v>17830</v>
      </c>
      <c r="F50868" s="0" t="s">
        <v>17831</v>
      </c>
    </row>
    <row r="50869" customFormat="false" ht="12.8" hidden="false" customHeight="false" outlineLevel="0" collapsed="false">
      <c r="B50869" s="0" t="s">
        <v>14</v>
      </c>
      <c r="C50869" s="0" t="s">
        <v>1918</v>
      </c>
      <c r="D50869" s="0" t="s">
        <v>17832</v>
      </c>
      <c r="E50869" s="0" t="s">
        <v>17832</v>
      </c>
      <c r="F50869" s="0" t="s">
        <v>17833</v>
      </c>
    </row>
    <row r="50870" customFormat="false" ht="12.8" hidden="false" customHeight="false" outlineLevel="0" collapsed="false">
      <c r="B50870" s="0" t="s">
        <v>124</v>
      </c>
      <c r="D50870" s="0" t="s">
        <v>2238</v>
      </c>
      <c r="E50870" s="0" t="s">
        <v>2238</v>
      </c>
      <c r="F50870" s="0" t="s">
        <v>17836</v>
      </c>
    </row>
    <row r="50872" customFormat="false" ht="12.8" hidden="false" customHeight="false" outlineLevel="0" collapsed="false">
      <c r="A50872" s="0" t="s">
        <v>17878</v>
      </c>
      <c r="B50872" s="0" t="str">
        <f aca="false">HYPERLINK("https://lindat.mff.cuni.cz/services/teitok/pdtc10/index.php?action=vallex&amp;frame=v-w7151f1", "umístit se (v-w7151f1)")</f>
        <v>umístit se (v-w7151f1)</v>
      </c>
    </row>
    <row r="50873" customFormat="false" ht="12.8" hidden="false" customHeight="false" outlineLevel="0" collapsed="false">
      <c r="B50873" s="0" t="s">
        <v>7</v>
      </c>
      <c r="C50873" s="0" t="s">
        <v>17879</v>
      </c>
    </row>
    <row r="50874" customFormat="false" ht="12.8" hidden="false" customHeight="false" outlineLevel="0" collapsed="false">
      <c r="B50874" s="0" t="s">
        <v>11</v>
      </c>
      <c r="C50874" s="0" t="s">
        <v>17880</v>
      </c>
    </row>
    <row r="50876" customFormat="false" ht="12.8" hidden="false" customHeight="false" outlineLevel="0" collapsed="false">
      <c r="A50876" s="0" t="s">
        <v>17881</v>
      </c>
      <c r="B50876" s="0" t="str">
        <f aca="false">HYPERLINK("https://lindat.mff.cuni.cz/services/teitok/pdtc10/index.php?action=vallex&amp;frame=v-w7155f1", "umísťovat (v-w7155f1)")</f>
        <v>umísťovat (v-w7155f1)</v>
      </c>
    </row>
    <row r="50877" customFormat="false" ht="12.8" hidden="false" customHeight="false" outlineLevel="0" collapsed="false">
      <c r="B50877" s="0" t="s">
        <v>7</v>
      </c>
      <c r="C50877" s="0" t="s">
        <v>3051</v>
      </c>
      <c r="D50877" s="0" t="s">
        <v>1758</v>
      </c>
      <c r="E50877" s="0" t="s">
        <v>1758</v>
      </c>
      <c r="F50877" s="0" t="s">
        <v>17882</v>
      </c>
    </row>
    <row r="50878" customFormat="false" ht="12.8" hidden="false" customHeight="false" outlineLevel="0" collapsed="false">
      <c r="B50878" s="0" t="s">
        <v>14</v>
      </c>
      <c r="C50878" s="0" t="s">
        <v>342</v>
      </c>
      <c r="D50878" s="0" t="s">
        <v>12688</v>
      </c>
      <c r="E50878" s="0" t="s">
        <v>12688</v>
      </c>
      <c r="F50878" s="0" t="s">
        <v>17883</v>
      </c>
    </row>
    <row r="50879" customFormat="false" ht="12.8" hidden="false" customHeight="false" outlineLevel="0" collapsed="false">
      <c r="B50879" s="0" t="s">
        <v>11</v>
      </c>
      <c r="D50879" s="0" t="s">
        <v>17884</v>
      </c>
      <c r="E50879" s="0" t="s">
        <v>17884</v>
      </c>
      <c r="F50879" s="0" t="s">
        <v>17885</v>
      </c>
    </row>
    <row r="50881" customFormat="false" ht="12.8" hidden="false" customHeight="false" outlineLevel="0" collapsed="false">
      <c r="A50881" s="0" t="s">
        <v>17886</v>
      </c>
      <c r="B50881" s="0" t="str">
        <f aca="false">HYPERLINK("https://lindat.mff.cuni.cz/services/teitok/pdtc10/index.php?action=vallex&amp;frame=v-w7155f2", "umísťovat (v-w7155f2)")</f>
        <v>umísťovat (v-w7155f2)</v>
      </c>
    </row>
    <row r="50882" customFormat="false" ht="12.8" hidden="false" customHeight="false" outlineLevel="0" collapsed="false">
      <c r="B50882" s="0" t="s">
        <v>7</v>
      </c>
      <c r="F50882" s="0" t="s">
        <v>16796</v>
      </c>
    </row>
    <row r="50883" customFormat="false" ht="12.8" hidden="false" customHeight="false" outlineLevel="0" collapsed="false">
      <c r="B50883" s="0" t="s">
        <v>14</v>
      </c>
      <c r="F50883" s="0" t="s">
        <v>16797</v>
      </c>
    </row>
    <row r="50884" customFormat="false" ht="12.8" hidden="false" customHeight="false" outlineLevel="0" collapsed="false">
      <c r="B50884" s="0" t="s">
        <v>124</v>
      </c>
      <c r="F50884" s="0" t="s">
        <v>16800</v>
      </c>
    </row>
    <row r="50886" customFormat="false" ht="12.8" hidden="false" customHeight="false" outlineLevel="0" collapsed="false">
      <c r="A50886" s="0" t="s">
        <v>17887</v>
      </c>
      <c r="B50886" s="0" t="str">
        <f aca="false">HYPERLINK("https://lindat.mff.cuni.cz/services/teitok/pdtc10/index.php?action=vallex&amp;frame=v-w7156f1", "umísťovat se (v-w7156f1)")</f>
        <v>umísťovat se (v-w7156f1)</v>
      </c>
    </row>
    <row r="50887" customFormat="false" ht="12.8" hidden="false" customHeight="false" outlineLevel="0" collapsed="false">
      <c r="B50887" s="0" t="s">
        <v>7</v>
      </c>
    </row>
    <row r="50888" customFormat="false" ht="12.8" hidden="false" customHeight="false" outlineLevel="0" collapsed="false">
      <c r="B50888" s="0" t="s">
        <v>11</v>
      </c>
    </row>
    <row r="50890" customFormat="false" ht="12.8" hidden="false" customHeight="false" outlineLevel="0" collapsed="false">
      <c r="A50890" s="0" t="s">
        <v>17888</v>
      </c>
      <c r="B50890" s="0" t="str">
        <f aca="false">HYPERLINK("https://lindat.mff.cuni.cz/services/teitok/pdtc10/index.php?action=vallex&amp;frame=v-w7174f1", "umýt (v-w7174f1)")</f>
        <v>umýt (v-w7174f1)</v>
      </c>
    </row>
    <row r="50891" customFormat="false" ht="12.8" hidden="false" customHeight="false" outlineLevel="0" collapsed="false">
      <c r="B50891" s="0" t="s">
        <v>7</v>
      </c>
      <c r="D50891" s="0" t="s">
        <v>157</v>
      </c>
      <c r="E50891" s="0" t="s">
        <v>157</v>
      </c>
      <c r="F50891" s="0" t="s">
        <v>157</v>
      </c>
    </row>
    <row r="50892" customFormat="false" ht="12.8" hidden="false" customHeight="false" outlineLevel="0" collapsed="false">
      <c r="B50892" s="0" t="s">
        <v>14</v>
      </c>
      <c r="D50892" s="0" t="s">
        <v>17889</v>
      </c>
      <c r="E50892" s="0" t="s">
        <v>17889</v>
      </c>
      <c r="F50892" s="0" t="s">
        <v>17889</v>
      </c>
    </row>
    <row r="50894" customFormat="false" ht="12.8" hidden="false" customHeight="false" outlineLevel="0" collapsed="false">
      <c r="A50894" s="0" t="s">
        <v>17890</v>
      </c>
      <c r="B50894" s="0" t="str">
        <f aca="false">HYPERLINK("https://lindat.mff.cuni.cz/services/teitok/pdtc10/index.php?action=vallex&amp;frame=v-w11282f2", "umýt si (v-w11282f2)")</f>
        <v>umýt si (v-w11282f2)</v>
      </c>
    </row>
    <row r="50895" customFormat="false" ht="12.8" hidden="false" customHeight="false" outlineLevel="0" collapsed="false">
      <c r="B50895" s="0" t="s">
        <v>7</v>
      </c>
      <c r="C50895" s="0" t="s">
        <v>46</v>
      </c>
      <c r="D50895" s="0" t="s">
        <v>46</v>
      </c>
      <c r="E50895" s="0" t="s">
        <v>46</v>
      </c>
      <c r="F50895" s="0" t="s">
        <v>46</v>
      </c>
    </row>
    <row r="50896" customFormat="false" ht="12.8" hidden="false" customHeight="false" outlineLevel="0" collapsed="false">
      <c r="B50896" s="0" t="s">
        <v>17891</v>
      </c>
      <c r="C50896" s="0" t="s">
        <v>17892</v>
      </c>
    </row>
    <row r="50897" customFormat="false" ht="12.8" hidden="false" customHeight="false" outlineLevel="0" collapsed="false">
      <c r="B50897" s="0" t="s">
        <v>3620</v>
      </c>
      <c r="C50897" s="0" t="s">
        <v>47</v>
      </c>
      <c r="D50897" s="0" t="s">
        <v>47</v>
      </c>
      <c r="E50897" s="0" t="s">
        <v>47</v>
      </c>
      <c r="F50897" s="0" t="s">
        <v>47</v>
      </c>
    </row>
    <row r="50899" customFormat="false" ht="12.8" hidden="false" customHeight="false" outlineLevel="0" collapsed="false">
      <c r="A50899" s="0" t="s">
        <v>17893</v>
      </c>
      <c r="B50899" s="0" t="str">
        <f aca="false">HYPERLINK("https://lindat.mff.cuni.cz/services/teitok/pdtc10/index.php?action=vallex&amp;frame=v-w11226f2", "umývat (v-w11226f2)")</f>
        <v>umývat (v-w11226f2)</v>
      </c>
    </row>
    <row r="50900" customFormat="false" ht="12.8" hidden="false" customHeight="false" outlineLevel="0" collapsed="false">
      <c r="B50900" s="0" t="s">
        <v>7</v>
      </c>
      <c r="D50900" s="0" t="s">
        <v>31</v>
      </c>
      <c r="E50900" s="0" t="s">
        <v>31</v>
      </c>
      <c r="F50900" s="0" t="s">
        <v>31</v>
      </c>
    </row>
    <row r="50901" customFormat="false" ht="12.8" hidden="false" customHeight="false" outlineLevel="0" collapsed="false">
      <c r="B50901" s="0" t="s">
        <v>14</v>
      </c>
      <c r="D50901" s="0" t="s">
        <v>4921</v>
      </c>
      <c r="E50901" s="0" t="s">
        <v>4921</v>
      </c>
      <c r="F50901" s="0" t="s">
        <v>4921</v>
      </c>
    </row>
    <row r="50903" customFormat="false" ht="12.8" hidden="false" customHeight="false" outlineLevel="0" collapsed="false">
      <c r="A50903" s="0" t="s">
        <v>17894</v>
      </c>
      <c r="B50903" s="0" t="str">
        <f aca="false">HYPERLINK("https://lindat.mff.cuni.cz/services/teitok/pdtc10/index.php?action=vallex&amp;frame=v-w7146f1", "umět (v-w7146f1)")</f>
        <v>umět (v-w7146f1)</v>
      </c>
    </row>
    <row r="50904" customFormat="false" ht="12.8" hidden="false" customHeight="false" outlineLevel="0" collapsed="false">
      <c r="B50904" s="0" t="s">
        <v>7</v>
      </c>
      <c r="C50904" s="0" t="s">
        <v>17895</v>
      </c>
      <c r="D50904" s="0" t="s">
        <v>714</v>
      </c>
      <c r="E50904" s="0" t="s">
        <v>714</v>
      </c>
      <c r="F50904" s="0" t="s">
        <v>714</v>
      </c>
    </row>
    <row r="50905" customFormat="false" ht="12.8" hidden="false" customHeight="false" outlineLevel="0" collapsed="false">
      <c r="B50905" s="0" t="s">
        <v>306</v>
      </c>
      <c r="C50905" s="0" t="s">
        <v>17896</v>
      </c>
      <c r="D50905" s="0" t="s">
        <v>716</v>
      </c>
      <c r="E50905" s="0" t="s">
        <v>716</v>
      </c>
      <c r="F50905" s="0" t="s">
        <v>716</v>
      </c>
    </row>
    <row r="50907" customFormat="false" ht="12.8" hidden="false" customHeight="false" outlineLevel="0" collapsed="false">
      <c r="A50907" s="0" t="s">
        <v>17897</v>
      </c>
      <c r="B50907" s="0" t="str">
        <f aca="false">HYPERLINK("https://lindat.mff.cuni.cz/services/teitok/pdtc10/index.php?action=vallex&amp;frame=v-w7172f1", "umřít (v-w7172f1)")</f>
        <v>umřít (v-w7172f1)</v>
      </c>
    </row>
    <row r="50908" customFormat="false" ht="12.8" hidden="false" customHeight="false" outlineLevel="0" collapsed="false">
      <c r="B50908" s="0" t="s">
        <v>7</v>
      </c>
      <c r="D50908" s="0" t="s">
        <v>8602</v>
      </c>
      <c r="E50908" s="0" t="s">
        <v>8602</v>
      </c>
      <c r="F50908" s="0" t="s">
        <v>8602</v>
      </c>
    </row>
    <row r="50910" customFormat="false" ht="12.8" hidden="false" customHeight="false" outlineLevel="0" collapsed="false">
      <c r="A50910" s="0" t="s">
        <v>17898</v>
      </c>
      <c r="B50910" s="0" t="str">
        <f aca="false">HYPERLINK("https://lindat.mff.cuni.cz/services/teitok/pdtc10/index.php?action=vallex&amp;frame=v-w7178f1", "unavit (v-w7178f1)")</f>
        <v>unavit (v-w7178f1)</v>
      </c>
    </row>
    <row r="50911" customFormat="false" ht="12.8" hidden="false" customHeight="false" outlineLevel="0" collapsed="false">
      <c r="B50911" s="0" t="s">
        <v>768</v>
      </c>
      <c r="F50911" s="0" t="s">
        <v>335</v>
      </c>
    </row>
    <row r="50912" customFormat="false" ht="12.8" hidden="false" customHeight="false" outlineLevel="0" collapsed="false">
      <c r="B50912" s="0" t="s">
        <v>14</v>
      </c>
      <c r="F50912" s="0" t="s">
        <v>461</v>
      </c>
    </row>
    <row r="50914" customFormat="false" ht="12.8" hidden="false" customHeight="false" outlineLevel="0" collapsed="false">
      <c r="A50914" s="0" t="s">
        <v>17899</v>
      </c>
      <c r="B50914" s="0" t="str">
        <f aca="false">HYPERLINK("https://lindat.mff.cuni.cz/services/teitok/pdtc10/index.php?action=vallex&amp;frame=v-w7179f1", "unavit se (v-w7179f1)")</f>
        <v>unavit se (v-w7179f1)</v>
      </c>
    </row>
    <row r="50915" customFormat="false" ht="12.8" hidden="false" customHeight="false" outlineLevel="0" collapsed="false">
      <c r="B50915" s="0" t="s">
        <v>7</v>
      </c>
      <c r="D50915" s="0" t="s">
        <v>17900</v>
      </c>
      <c r="E50915" s="0" t="s">
        <v>17900</v>
      </c>
      <c r="F50915" s="0" t="s">
        <v>17900</v>
      </c>
    </row>
    <row r="50917" customFormat="false" ht="12.8" hidden="false" customHeight="false" outlineLevel="0" collapsed="false">
      <c r="A50917" s="0" t="s">
        <v>17901</v>
      </c>
      <c r="B50917" s="0" t="str">
        <f aca="false">HYPERLINK("https://lindat.mff.cuni.cz/services/teitok/pdtc10/index.php?action=vallex&amp;frame=v-w7180f1", "unavovat (v-w7180f1)")</f>
        <v>unavovat (v-w7180f1)</v>
      </c>
    </row>
    <row r="50918" customFormat="false" ht="12.8" hidden="false" customHeight="false" outlineLevel="0" collapsed="false">
      <c r="B50918" s="0" t="s">
        <v>768</v>
      </c>
      <c r="E50918" s="0" t="s">
        <v>6737</v>
      </c>
      <c r="F50918" s="0" t="s">
        <v>9252</v>
      </c>
    </row>
    <row r="50919" customFormat="false" ht="12.8" hidden="false" customHeight="false" outlineLevel="0" collapsed="false">
      <c r="B50919" s="0" t="s">
        <v>14</v>
      </c>
      <c r="E50919" s="0" t="s">
        <v>625</v>
      </c>
      <c r="F50919" s="0" t="s">
        <v>110</v>
      </c>
    </row>
    <row r="50921" customFormat="false" ht="12.8" hidden="false" customHeight="false" outlineLevel="0" collapsed="false">
      <c r="A50921" s="0" t="s">
        <v>17902</v>
      </c>
      <c r="B50921" s="0" t="str">
        <f aca="false">HYPERLINK("https://lindat.mff.cuni.cz/services/teitok/pdtc10/index.php?action=vallex&amp;frame=v-w7185f2", "unikat (v-w7185f2)")</f>
        <v>unikat (v-w7185f2)</v>
      </c>
    </row>
    <row r="50922" customFormat="false" ht="12.8" hidden="false" customHeight="false" outlineLevel="0" collapsed="false">
      <c r="B50922" s="0" t="s">
        <v>7</v>
      </c>
    </row>
    <row r="50923" customFormat="false" ht="12.8" hidden="false" customHeight="false" outlineLevel="0" collapsed="false">
      <c r="B50923" s="0" t="s">
        <v>142</v>
      </c>
    </row>
    <row r="50925" customFormat="false" ht="12.8" hidden="false" customHeight="false" outlineLevel="0" collapsed="false">
      <c r="A50925" s="0" t="s">
        <v>17903</v>
      </c>
      <c r="B50925" s="0" t="str">
        <f aca="false">HYPERLINK("https://lindat.mff.cuni.cz/services/teitok/pdtc10/index.php?action=vallex&amp;frame=v-w7185f4", "unikat (v-w7185f4)")</f>
        <v>unikat (v-w7185f4)</v>
      </c>
    </row>
    <row r="50926" customFormat="false" ht="12.8" hidden="false" customHeight="false" outlineLevel="0" collapsed="false">
      <c r="B50926" s="0" t="s">
        <v>603</v>
      </c>
    </row>
    <row r="50927" customFormat="false" ht="12.8" hidden="false" customHeight="false" outlineLevel="0" collapsed="false">
      <c r="B50927" s="0" t="s">
        <v>17678</v>
      </c>
    </row>
    <row r="50929" customFormat="false" ht="12.8" hidden="false" customHeight="false" outlineLevel="0" collapsed="false">
      <c r="A50929" s="0" t="s">
        <v>17904</v>
      </c>
      <c r="B50929" s="0" t="str">
        <f aca="false">HYPERLINK("https://lindat.mff.cuni.cz/services/teitok/pdtc10/index.php?action=vallex&amp;frame=v-w7185f1", "unikat (v-w7185f1)")</f>
        <v>unikat (v-w7185f1)</v>
      </c>
    </row>
    <row r="50930" customFormat="false" ht="12.8" hidden="false" customHeight="false" outlineLevel="0" collapsed="false">
      <c r="B50930" s="0" t="s">
        <v>7</v>
      </c>
      <c r="E50930" s="0" t="s">
        <v>7000</v>
      </c>
      <c r="F50930" s="0" t="s">
        <v>7000</v>
      </c>
    </row>
    <row r="50931" customFormat="false" ht="12.8" hidden="false" customHeight="false" outlineLevel="0" collapsed="false">
      <c r="B50931" s="0" t="s">
        <v>11530</v>
      </c>
      <c r="E50931" s="0" t="s">
        <v>12969</v>
      </c>
      <c r="F50931" s="0" t="s">
        <v>12969</v>
      </c>
    </row>
    <row r="50933" customFormat="false" ht="12.8" hidden="false" customHeight="false" outlineLevel="0" collapsed="false">
      <c r="A50933" s="0" t="s">
        <v>17905</v>
      </c>
      <c r="B50933" s="0" t="str">
        <f aca="false">HYPERLINK("https://lindat.mff.cuni.cz/services/teitok/pdtc10/index.php?action=vallex&amp;frame=v-w7185f3", "unikat (v-w7185f3)")</f>
        <v>unikat (v-w7185f3)</v>
      </c>
    </row>
    <row r="50934" customFormat="false" ht="12.8" hidden="false" customHeight="false" outlineLevel="0" collapsed="false">
      <c r="B50934" s="0" t="s">
        <v>7</v>
      </c>
      <c r="E50934" s="0" t="s">
        <v>3601</v>
      </c>
      <c r="F50934" s="0" t="s">
        <v>3601</v>
      </c>
    </row>
    <row r="50935" customFormat="false" ht="12.8" hidden="false" customHeight="false" outlineLevel="0" collapsed="false">
      <c r="B50935" s="0" t="s">
        <v>459</v>
      </c>
      <c r="E50935" s="0" t="s">
        <v>1583</v>
      </c>
      <c r="F50935" s="0" t="s">
        <v>1583</v>
      </c>
    </row>
    <row r="50937" customFormat="false" ht="12.8" hidden="false" customHeight="false" outlineLevel="0" collapsed="false">
      <c r="A50937" s="0" t="s">
        <v>17906</v>
      </c>
      <c r="B50937" s="0" t="str">
        <f aca="false">HYPERLINK("https://lindat.mff.cuni.cz/services/teitok/pdtc10/index.php?action=vallex&amp;frame=v-w7186f2", "uniknout (v-w7186f2)")</f>
        <v>uniknout (v-w7186f2)</v>
      </c>
    </row>
    <row r="50938" customFormat="false" ht="12.8" hidden="false" customHeight="false" outlineLevel="0" collapsed="false">
      <c r="B50938" s="0" t="s">
        <v>7</v>
      </c>
      <c r="C50938" s="0" t="s">
        <v>4231</v>
      </c>
    </row>
    <row r="50939" customFormat="false" ht="12.8" hidden="false" customHeight="false" outlineLevel="0" collapsed="false">
      <c r="B50939" s="0" t="s">
        <v>9258</v>
      </c>
      <c r="C50939" s="0" t="s">
        <v>7053</v>
      </c>
    </row>
    <row r="50941" customFormat="false" ht="12.8" hidden="false" customHeight="false" outlineLevel="0" collapsed="false">
      <c r="A50941" s="0" t="s">
        <v>17907</v>
      </c>
      <c r="B50941" s="0" t="str">
        <f aca="false">HYPERLINK("https://lindat.mff.cuni.cz/services/teitok/pdtc10/index.php?action=vallex&amp;frame=v-w7186f3", "uniknout (v-w7186f3)")</f>
        <v>uniknout (v-w7186f3)</v>
      </c>
    </row>
    <row r="50942" customFormat="false" ht="12.8" hidden="false" customHeight="false" outlineLevel="0" collapsed="false">
      <c r="B50942" s="0" t="s">
        <v>603</v>
      </c>
    </row>
    <row r="50943" customFormat="false" ht="12.8" hidden="false" customHeight="false" outlineLevel="0" collapsed="false">
      <c r="B50943" s="0" t="s">
        <v>17678</v>
      </c>
    </row>
    <row r="50945" customFormat="false" ht="12.8" hidden="false" customHeight="false" outlineLevel="0" collapsed="false">
      <c r="A50945" s="0" t="s">
        <v>17908</v>
      </c>
      <c r="B50945" s="0" t="str">
        <f aca="false">HYPERLINK("https://lindat.mff.cuni.cz/services/teitok/pdtc10/index.php?action=vallex&amp;frame=v-w7186f1", "uniknout (v-w7186f1)")</f>
        <v>uniknout (v-w7186f1)</v>
      </c>
    </row>
    <row r="50946" customFormat="false" ht="12.8" hidden="false" customHeight="false" outlineLevel="0" collapsed="false">
      <c r="B50946" s="0" t="s">
        <v>7</v>
      </c>
      <c r="C50946" s="0" t="s">
        <v>118</v>
      </c>
      <c r="D50946" s="0" t="s">
        <v>1582</v>
      </c>
      <c r="E50946" s="0" t="s">
        <v>1582</v>
      </c>
      <c r="F50946" s="0" t="s">
        <v>1582</v>
      </c>
    </row>
    <row r="50947" customFormat="false" ht="12.8" hidden="false" customHeight="false" outlineLevel="0" collapsed="false">
      <c r="B50947" s="0" t="s">
        <v>459</v>
      </c>
      <c r="D50947" s="0" t="s">
        <v>1583</v>
      </c>
      <c r="E50947" s="0" t="s">
        <v>1583</v>
      </c>
      <c r="F50947" s="0" t="s">
        <v>1583</v>
      </c>
    </row>
    <row r="50949" customFormat="false" ht="12.8" hidden="false" customHeight="false" outlineLevel="0" collapsed="false">
      <c r="A50949" s="0" t="s">
        <v>17909</v>
      </c>
      <c r="B50949" s="0" t="str">
        <f aca="false">HYPERLINK("https://lindat.mff.cuni.cz/services/teitok/pdtc10/index.php?action=vallex&amp;frame=v-w7186hsa_520", "uniknout (v-w7186hsa_520)")</f>
        <v>uniknout (v-w7186hsa_520)</v>
      </c>
    </row>
    <row r="50950" customFormat="false" ht="12.8" hidden="false" customHeight="false" outlineLevel="0" collapsed="false">
      <c r="B50950" s="0" t="s">
        <v>7</v>
      </c>
      <c r="C50950" s="0" t="s">
        <v>149</v>
      </c>
    </row>
    <row r="50951" customFormat="false" ht="12.8" hidden="false" customHeight="false" outlineLevel="0" collapsed="false">
      <c r="B50951" s="0" t="s">
        <v>124</v>
      </c>
    </row>
    <row r="50953" customFormat="false" ht="12.8" hidden="false" customHeight="false" outlineLevel="0" collapsed="false">
      <c r="A50953" s="0" t="s">
        <v>17910</v>
      </c>
      <c r="B50953" s="0" t="str">
        <f aca="false">HYPERLINK("https://lindat.mff.cuni.cz/services/teitok/pdtc10/index.php?action=vallex&amp;frame=v-w7186f4_ZU", "uniknout (v-w7186f4_ZU)")</f>
        <v>uniknout (v-w7186f4_ZU)</v>
      </c>
    </row>
    <row r="50954" customFormat="false" ht="12.8" hidden="false" customHeight="false" outlineLevel="0" collapsed="false">
      <c r="B50954" s="0" t="s">
        <v>7</v>
      </c>
      <c r="C50954" s="0" t="s">
        <v>118</v>
      </c>
      <c r="D50954" s="0" t="s">
        <v>7000</v>
      </c>
      <c r="E50954" s="0" t="s">
        <v>7000</v>
      </c>
      <c r="F50954" s="0" t="s">
        <v>7000</v>
      </c>
    </row>
    <row r="50955" customFormat="false" ht="12.8" hidden="false" customHeight="false" outlineLevel="0" collapsed="false">
      <c r="B50955" s="0" t="s">
        <v>459</v>
      </c>
      <c r="C50955" s="0" t="s">
        <v>17911</v>
      </c>
      <c r="D50955" s="0" t="s">
        <v>2411</v>
      </c>
      <c r="E50955" s="0" t="s">
        <v>2411</v>
      </c>
      <c r="F50955" s="0" t="s">
        <v>2411</v>
      </c>
    </row>
    <row r="50957" customFormat="false" ht="12.8" hidden="false" customHeight="false" outlineLevel="0" collapsed="false">
      <c r="A50957" s="0" t="s">
        <v>17910</v>
      </c>
      <c r="B50957" s="0" t="str">
        <f aca="false">HYPERLINK("https://lindat.mff.cuni.cz/services/teitok/pdtc10/index.php?action=vallex&amp;frame=v-w7186hsa_521", "uniknout (v-w7186hsa_521) - substituted with v-w7186f4_ZU")</f>
        <v>uniknout (v-w7186hsa_521) - substituted with v-w7186f4_ZU</v>
      </c>
    </row>
    <row r="50958" customFormat="false" ht="12.8" hidden="false" customHeight="false" outlineLevel="0" collapsed="false">
      <c r="B50958" s="0" t="s">
        <v>7</v>
      </c>
    </row>
    <row r="50959" customFormat="false" ht="12.8" hidden="false" customHeight="false" outlineLevel="0" collapsed="false">
      <c r="B50959" s="0" t="s">
        <v>459</v>
      </c>
    </row>
    <row r="50961" customFormat="false" ht="12.8" hidden="false" customHeight="false" outlineLevel="0" collapsed="false">
      <c r="A50961" s="0" t="s">
        <v>17912</v>
      </c>
      <c r="B50961" s="0" t="str">
        <f aca="false">HYPERLINK("https://lindat.mff.cuni.cz/services/teitok/pdtc10/index.php?action=vallex&amp;frame=v-w7176f2", "unášet (v-w7176f2)")</f>
        <v>unášet (v-w7176f2)</v>
      </c>
    </row>
    <row r="50962" customFormat="false" ht="12.8" hidden="false" customHeight="false" outlineLevel="0" collapsed="false">
      <c r="B50962" s="0" t="s">
        <v>765</v>
      </c>
      <c r="C50962" s="0" t="s">
        <v>46</v>
      </c>
    </row>
    <row r="50963" customFormat="false" ht="12.8" hidden="false" customHeight="false" outlineLevel="0" collapsed="false">
      <c r="B50963" s="0" t="s">
        <v>14</v>
      </c>
      <c r="C50963" s="0" t="s">
        <v>567</v>
      </c>
    </row>
    <row r="50965" customFormat="false" ht="12.8" hidden="false" customHeight="false" outlineLevel="0" collapsed="false">
      <c r="A50965" s="0" t="s">
        <v>17913</v>
      </c>
      <c r="B50965" s="0" t="str">
        <f aca="false">HYPERLINK("https://lindat.mff.cuni.cz/services/teitok/pdtc10/index.php?action=vallex&amp;frame=v-w7176f1", "unášet (v-w7176f1)")</f>
        <v>unášet (v-w7176f1)</v>
      </c>
    </row>
    <row r="50966" customFormat="false" ht="12.8" hidden="false" customHeight="false" outlineLevel="0" collapsed="false">
      <c r="B50966" s="0" t="s">
        <v>7</v>
      </c>
    </row>
    <row r="50967" customFormat="false" ht="12.8" hidden="false" customHeight="false" outlineLevel="0" collapsed="false">
      <c r="B50967" s="0" t="s">
        <v>54</v>
      </c>
    </row>
    <row r="50969" customFormat="false" ht="12.8" hidden="false" customHeight="false" outlineLevel="0" collapsed="false">
      <c r="A50969" s="0" t="s">
        <v>17914</v>
      </c>
      <c r="B50969" s="0" t="str">
        <f aca="false">HYPERLINK("https://lindat.mff.cuni.cz/services/teitok/pdtc10/index.php?action=vallex&amp;frame=v-w7176f3_ZU", "unášet (v-w7176f3_ZU)")</f>
        <v>unášet (v-w7176f3_ZU)</v>
      </c>
    </row>
    <row r="50970" customFormat="false" ht="12.8" hidden="false" customHeight="false" outlineLevel="0" collapsed="false">
      <c r="B50970" s="0" t="s">
        <v>7</v>
      </c>
    </row>
    <row r="50971" customFormat="false" ht="12.8" hidden="false" customHeight="false" outlineLevel="0" collapsed="false">
      <c r="B50971" s="0" t="s">
        <v>14</v>
      </c>
    </row>
    <row r="50973" customFormat="false" ht="12.8" hidden="false" customHeight="false" outlineLevel="0" collapsed="false">
      <c r="A50973" s="0" t="s">
        <v>17915</v>
      </c>
      <c r="B50973" s="0" t="str">
        <f aca="false">HYPERLINK("https://lindat.mff.cuni.cz/services/teitok/pdtc10/index.php?action=vallex&amp;frame=v-w7181f2", "unést (v-w7181f2)")</f>
        <v>unést (v-w7181f2)</v>
      </c>
    </row>
    <row r="50974" customFormat="false" ht="12.8" hidden="false" customHeight="false" outlineLevel="0" collapsed="false">
      <c r="B50974" s="0" t="s">
        <v>7</v>
      </c>
      <c r="C50974" s="0" t="s">
        <v>46</v>
      </c>
      <c r="D50974" s="0" t="s">
        <v>46</v>
      </c>
      <c r="E50974" s="0" t="s">
        <v>46</v>
      </c>
      <c r="F50974" s="0" t="s">
        <v>46</v>
      </c>
    </row>
    <row r="50975" customFormat="false" ht="12.8" hidden="false" customHeight="false" outlineLevel="0" collapsed="false">
      <c r="B50975" s="0" t="s">
        <v>14</v>
      </c>
      <c r="C50975" s="0" t="s">
        <v>567</v>
      </c>
      <c r="D50975" s="0" t="s">
        <v>567</v>
      </c>
      <c r="E50975" s="0" t="s">
        <v>567</v>
      </c>
      <c r="F50975" s="0" t="s">
        <v>567</v>
      </c>
    </row>
    <row r="50976" customFormat="false" ht="12.8" hidden="false" customHeight="false" outlineLevel="0" collapsed="false">
      <c r="B50976" s="0" t="s">
        <v>106</v>
      </c>
    </row>
    <row r="50978" customFormat="false" ht="12.8" hidden="false" customHeight="false" outlineLevel="0" collapsed="false">
      <c r="A50978" s="0" t="s">
        <v>17916</v>
      </c>
      <c r="B50978" s="0" t="str">
        <f aca="false">HYPERLINK("https://lindat.mff.cuni.cz/services/teitok/pdtc10/index.php?action=vallex&amp;frame=v-w7181f3", "unést (v-w7181f3)")</f>
        <v>unést (v-w7181f3)</v>
      </c>
    </row>
    <row r="50979" customFormat="false" ht="12.8" hidden="false" customHeight="false" outlineLevel="0" collapsed="false">
      <c r="B50979" s="0" t="s">
        <v>7</v>
      </c>
      <c r="C50979" s="0" t="s">
        <v>46</v>
      </c>
      <c r="D50979" s="0" t="s">
        <v>46</v>
      </c>
      <c r="E50979" s="0" t="s">
        <v>46</v>
      </c>
      <c r="F50979" s="0" t="s">
        <v>46</v>
      </c>
    </row>
    <row r="50980" customFormat="false" ht="12.8" hidden="false" customHeight="false" outlineLevel="0" collapsed="false">
      <c r="B50980" s="0" t="s">
        <v>14</v>
      </c>
      <c r="C50980" s="0" t="s">
        <v>567</v>
      </c>
      <c r="D50980" s="0" t="s">
        <v>567</v>
      </c>
      <c r="E50980" s="0" t="s">
        <v>567</v>
      </c>
      <c r="F50980" s="0" t="s">
        <v>567</v>
      </c>
    </row>
    <row r="50981" customFormat="false" ht="12.8" hidden="false" customHeight="false" outlineLevel="0" collapsed="false">
      <c r="B50981" s="0" t="s">
        <v>459</v>
      </c>
    </row>
    <row r="50983" customFormat="false" ht="12.8" hidden="false" customHeight="false" outlineLevel="0" collapsed="false">
      <c r="A50983" s="0" t="s">
        <v>17917</v>
      </c>
      <c r="B50983" s="0" t="str">
        <f aca="false">HYPERLINK("https://lindat.mff.cuni.cz/services/teitok/pdtc10/index.php?action=vallex&amp;frame=v-w7181f5", "unést (v-w7181f5)")</f>
        <v>unést (v-w7181f5)</v>
      </c>
    </row>
    <row r="50984" customFormat="false" ht="12.8" hidden="false" customHeight="false" outlineLevel="0" collapsed="false">
      <c r="B50984" s="0" t="s">
        <v>765</v>
      </c>
    </row>
    <row r="50985" customFormat="false" ht="12.8" hidden="false" customHeight="false" outlineLevel="0" collapsed="false">
      <c r="B50985" s="0" t="s">
        <v>14</v>
      </c>
    </row>
    <row r="50987" customFormat="false" ht="12.8" hidden="false" customHeight="false" outlineLevel="0" collapsed="false">
      <c r="A50987" s="0" t="s">
        <v>17918</v>
      </c>
      <c r="B50987" s="0" t="str">
        <f aca="false">HYPERLINK("https://lindat.mff.cuni.cz/services/teitok/pdtc10/index.php?action=vallex&amp;frame=v-w7181f1", "unést (v-w7181f1)")</f>
        <v>unést (v-w7181f1)</v>
      </c>
    </row>
    <row r="50988" customFormat="false" ht="12.8" hidden="false" customHeight="false" outlineLevel="0" collapsed="false">
      <c r="B50988" s="0" t="s">
        <v>7</v>
      </c>
      <c r="C50988" s="0" t="s">
        <v>108</v>
      </c>
    </row>
    <row r="50989" customFormat="false" ht="12.8" hidden="false" customHeight="false" outlineLevel="0" collapsed="false">
      <c r="B50989" s="0" t="s">
        <v>54</v>
      </c>
      <c r="C50989" s="0" t="s">
        <v>120</v>
      </c>
    </row>
    <row r="50991" customFormat="false" ht="12.8" hidden="false" customHeight="false" outlineLevel="0" collapsed="false">
      <c r="A50991" s="0" t="s">
        <v>17919</v>
      </c>
      <c r="B50991" s="0" t="str">
        <f aca="false">HYPERLINK("https://lindat.mff.cuni.cz/services/teitok/pdtc10/index.php?action=vallex&amp;frame=v-w7181f4", "unést (v-w7181f4)")</f>
        <v>unést (v-w7181f4)</v>
      </c>
    </row>
    <row r="50992" customFormat="false" ht="12.8" hidden="false" customHeight="false" outlineLevel="0" collapsed="false">
      <c r="B50992" s="0" t="s">
        <v>7</v>
      </c>
      <c r="C50992" s="0" t="s">
        <v>2820</v>
      </c>
    </row>
    <row r="50993" customFormat="false" ht="12.8" hidden="false" customHeight="false" outlineLevel="0" collapsed="false">
      <c r="B50993" s="0" t="s">
        <v>14</v>
      </c>
      <c r="C50993" s="0" t="s">
        <v>1294</v>
      </c>
    </row>
    <row r="50995" customFormat="false" ht="12.8" hidden="false" customHeight="false" outlineLevel="0" collapsed="false">
      <c r="A50995" s="0" t="s">
        <v>17920</v>
      </c>
      <c r="B50995" s="0" t="str">
        <f aca="false">HYPERLINK("https://lindat.mff.cuni.cz/services/teitok/pdtc10/index.php?action=vallex&amp;frame=v-w7188f1", "upadat (v-w7188f1)")</f>
        <v>upadat (v-w7188f1)</v>
      </c>
    </row>
    <row r="50996" customFormat="false" ht="12.8" hidden="false" customHeight="false" outlineLevel="0" collapsed="false">
      <c r="B50996" s="0" t="s">
        <v>7</v>
      </c>
      <c r="C50996" s="0" t="s">
        <v>17921</v>
      </c>
      <c r="D50996" s="0" t="s">
        <v>10184</v>
      </c>
      <c r="E50996" s="0" t="s">
        <v>10184</v>
      </c>
      <c r="F50996" s="0" t="s">
        <v>10184</v>
      </c>
    </row>
    <row r="50998" customFormat="false" ht="12.8" hidden="false" customHeight="false" outlineLevel="0" collapsed="false">
      <c r="A50998" s="0" t="s">
        <v>17922</v>
      </c>
      <c r="B50998" s="0" t="str">
        <f aca="false">HYPERLINK("https://lindat.mff.cuni.cz/services/teitok/pdtc10/index.php?action=vallex&amp;frame=v-w7190f3_ZU", "upadnout (v-w7190f3_ZU)")</f>
        <v>upadnout (v-w7190f3_ZU)</v>
      </c>
    </row>
    <row r="50999" customFormat="false" ht="12.8" hidden="false" customHeight="false" outlineLevel="0" collapsed="false">
      <c r="B50999" s="0" t="s">
        <v>7</v>
      </c>
      <c r="C50999" s="0" t="s">
        <v>10302</v>
      </c>
    </row>
    <row r="51000" customFormat="false" ht="12.8" hidden="false" customHeight="false" outlineLevel="0" collapsed="false">
      <c r="B51000" s="0" t="s">
        <v>63</v>
      </c>
    </row>
    <row r="51001" customFormat="false" ht="12.8" hidden="false" customHeight="false" outlineLevel="0" collapsed="false">
      <c r="B51001" s="0" t="s">
        <v>35</v>
      </c>
    </row>
    <row r="51003" customFormat="false" ht="12.8" hidden="false" customHeight="false" outlineLevel="0" collapsed="false">
      <c r="A51003" s="0" t="s">
        <v>17923</v>
      </c>
      <c r="B51003" s="0" t="str">
        <f aca="false">HYPERLINK("https://lindat.mff.cuni.cz/services/teitok/pdtc10/index.php?action=vallex&amp;frame=v-w7190f2", "upadnout (v-w7190f2)")</f>
        <v>upadnout (v-w7190f2)</v>
      </c>
    </row>
    <row r="51004" customFormat="false" ht="12.8" hidden="false" customHeight="false" outlineLevel="0" collapsed="false">
      <c r="B51004" s="0" t="s">
        <v>7</v>
      </c>
      <c r="C51004" s="0" t="s">
        <v>723</v>
      </c>
      <c r="D51004" s="0" t="s">
        <v>272</v>
      </c>
      <c r="E51004" s="0" t="s">
        <v>272</v>
      </c>
      <c r="F51004" s="0" t="s">
        <v>272</v>
      </c>
    </row>
    <row r="51005" customFormat="false" ht="12.8" hidden="false" customHeight="false" outlineLevel="0" collapsed="false">
      <c r="B51005" s="0" t="s">
        <v>279</v>
      </c>
      <c r="D51005" s="0" t="s">
        <v>1337</v>
      </c>
      <c r="E51005" s="0" t="s">
        <v>1337</v>
      </c>
      <c r="F51005" s="0" t="s">
        <v>1337</v>
      </c>
    </row>
    <row r="51007" customFormat="false" ht="12.8" hidden="false" customHeight="false" outlineLevel="0" collapsed="false">
      <c r="A51007" s="0" t="s">
        <v>17924</v>
      </c>
      <c r="B51007" s="0" t="str">
        <f aca="false">HYPERLINK("https://lindat.mff.cuni.cz/services/teitok/pdtc10/index.php?action=vallex&amp;frame=v-w7190f1", "upadnout (v-w7190f1)")</f>
        <v>upadnout (v-w7190f1)</v>
      </c>
    </row>
    <row r="51008" customFormat="false" ht="12.8" hidden="false" customHeight="false" outlineLevel="0" collapsed="false">
      <c r="B51008" s="0" t="s">
        <v>7</v>
      </c>
    </row>
    <row r="51010" customFormat="false" ht="12.8" hidden="false" customHeight="false" outlineLevel="0" collapsed="false">
      <c r="A51010" s="0" t="s">
        <v>17925</v>
      </c>
      <c r="B51010" s="0" t="str">
        <f aca="false">HYPERLINK("https://lindat.mff.cuni.cz/services/teitok/pdtc10/index.php?action=vallex&amp;frame=v-w7192f1", "upalovat (v-w7192f1)")</f>
        <v>upalovat (v-w7192f1)</v>
      </c>
    </row>
    <row r="51011" customFormat="false" ht="12.8" hidden="false" customHeight="false" outlineLevel="0" collapsed="false">
      <c r="B51011" s="0" t="s">
        <v>7</v>
      </c>
    </row>
    <row r="51013" customFormat="false" ht="12.8" hidden="false" customHeight="false" outlineLevel="0" collapsed="false">
      <c r="A51013" s="0" t="s">
        <v>17926</v>
      </c>
      <c r="B51013" s="0" t="str">
        <f aca="false">HYPERLINK("https://lindat.mff.cuni.cz/services/teitok/pdtc10/index.php?action=vallex&amp;frame=v-w12376_MMf1_MM", "upamatovat si (v-w12376_MMf1_MM)")</f>
        <v>upamatovat si (v-w12376_MMf1_MM)</v>
      </c>
    </row>
    <row r="51014" customFormat="false" ht="12.8" hidden="false" customHeight="false" outlineLevel="0" collapsed="false">
      <c r="B51014" s="0" t="s">
        <v>7</v>
      </c>
    </row>
    <row r="51015" customFormat="false" ht="12.8" hidden="false" customHeight="false" outlineLevel="0" collapsed="false">
      <c r="B51015" s="0" t="s">
        <v>17927</v>
      </c>
    </row>
    <row r="51017" customFormat="false" ht="12.8" hidden="false" customHeight="false" outlineLevel="0" collapsed="false">
      <c r="A51017" s="0" t="s">
        <v>17928</v>
      </c>
      <c r="B51017" s="0" t="str">
        <f aca="false">HYPERLINK("https://lindat.mff.cuni.cz/services/teitok/pdtc10/index.php?action=vallex&amp;frame=v-w7195f1", "upevnit (v-w7195f1)")</f>
        <v>upevnit (v-w7195f1)</v>
      </c>
    </row>
    <row r="51018" customFormat="false" ht="12.8" hidden="false" customHeight="false" outlineLevel="0" collapsed="false">
      <c r="B51018" s="0" t="s">
        <v>7</v>
      </c>
      <c r="C51018" s="0" t="s">
        <v>1822</v>
      </c>
      <c r="D51018" s="0" t="s">
        <v>10736</v>
      </c>
      <c r="E51018" s="0" t="s">
        <v>10736</v>
      </c>
      <c r="F51018" s="0" t="s">
        <v>10736</v>
      </c>
    </row>
    <row r="51019" customFormat="false" ht="12.8" hidden="false" customHeight="false" outlineLevel="0" collapsed="false">
      <c r="B51019" s="0" t="s">
        <v>14</v>
      </c>
      <c r="C51019" s="0" t="s">
        <v>8573</v>
      </c>
      <c r="D51019" s="0" t="s">
        <v>7533</v>
      </c>
      <c r="E51019" s="0" t="s">
        <v>7533</v>
      </c>
      <c r="F51019" s="0" t="s">
        <v>7533</v>
      </c>
    </row>
    <row r="51021" customFormat="false" ht="12.8" hidden="false" customHeight="false" outlineLevel="0" collapsed="false">
      <c r="A51021" s="0" t="s">
        <v>17929</v>
      </c>
      <c r="B51021" s="0" t="str">
        <f aca="false">HYPERLINK("https://lindat.mff.cuni.cz/services/teitok/pdtc10/index.php?action=vallex&amp;frame=v-w7195f2", "upevnit (v-w7195f2)")</f>
        <v>upevnit (v-w7195f2)</v>
      </c>
    </row>
    <row r="51022" customFormat="false" ht="12.8" hidden="false" customHeight="false" outlineLevel="0" collapsed="false">
      <c r="B51022" s="0" t="s">
        <v>7</v>
      </c>
    </row>
    <row r="51023" customFormat="false" ht="12.8" hidden="false" customHeight="false" outlineLevel="0" collapsed="false">
      <c r="B51023" s="0" t="s">
        <v>14</v>
      </c>
    </row>
    <row r="51025" customFormat="false" ht="12.8" hidden="false" customHeight="false" outlineLevel="0" collapsed="false">
      <c r="A51025" s="0" t="s">
        <v>17930</v>
      </c>
      <c r="B51025" s="0" t="str">
        <f aca="false">HYPERLINK("https://lindat.mff.cuni.cz/services/teitok/pdtc10/index.php?action=vallex&amp;frame=v-w7195f3", "upevnit (v-w7195f3)")</f>
        <v>upevnit (v-w7195f3)</v>
      </c>
    </row>
    <row r="51026" customFormat="false" ht="12.8" hidden="false" customHeight="false" outlineLevel="0" collapsed="false">
      <c r="B51026" s="0" t="s">
        <v>7</v>
      </c>
    </row>
    <row r="51027" customFormat="false" ht="12.8" hidden="false" customHeight="false" outlineLevel="0" collapsed="false">
      <c r="B51027" s="0" t="s">
        <v>14</v>
      </c>
    </row>
    <row r="51029" customFormat="false" ht="12.8" hidden="false" customHeight="false" outlineLevel="0" collapsed="false">
      <c r="A51029" s="0" t="s">
        <v>17931</v>
      </c>
      <c r="B51029" s="0" t="str">
        <f aca="false">HYPERLINK("https://lindat.mff.cuni.cz/services/teitok/pdtc10/index.php?action=vallex&amp;frame=v-w7195hsa_817", "upevnit (v-w7195hsa_817)")</f>
        <v>upevnit (v-w7195hsa_817)</v>
      </c>
    </row>
    <row r="51030" customFormat="false" ht="12.8" hidden="false" customHeight="false" outlineLevel="0" collapsed="false">
      <c r="B51030" s="0" t="s">
        <v>7</v>
      </c>
      <c r="C51030" s="0" t="s">
        <v>1371</v>
      </c>
    </row>
    <row r="51031" customFormat="false" ht="12.8" hidden="false" customHeight="false" outlineLevel="0" collapsed="false">
      <c r="B51031" s="0" t="s">
        <v>3200</v>
      </c>
      <c r="C51031" s="0" t="s">
        <v>10567</v>
      </c>
    </row>
    <row r="51032" customFormat="false" ht="12.8" hidden="false" customHeight="false" outlineLevel="0" collapsed="false">
      <c r="B51032" s="0" t="s">
        <v>35</v>
      </c>
    </row>
    <row r="51034" customFormat="false" ht="12.8" hidden="false" customHeight="false" outlineLevel="0" collapsed="false">
      <c r="A51034" s="0" t="s">
        <v>17932</v>
      </c>
      <c r="B51034" s="0" t="str">
        <f aca="false">HYPERLINK("https://lindat.mff.cuni.cz/services/teitok/pdtc10/index.php?action=vallex&amp;frame=v-w7196f1", "upevnit se (v-w7196f1)")</f>
        <v>upevnit se (v-w7196f1)</v>
      </c>
    </row>
    <row r="51035" customFormat="false" ht="12.8" hidden="false" customHeight="false" outlineLevel="0" collapsed="false">
      <c r="B51035" s="0" t="s">
        <v>7</v>
      </c>
      <c r="D51035" s="0" t="s">
        <v>16431</v>
      </c>
      <c r="E51035" s="0" t="s">
        <v>16431</v>
      </c>
      <c r="F51035" s="0" t="s">
        <v>16431</v>
      </c>
    </row>
    <row r="51037" customFormat="false" ht="12.8" hidden="false" customHeight="false" outlineLevel="0" collapsed="false">
      <c r="A51037" s="0" t="s">
        <v>17933</v>
      </c>
      <c r="B51037" s="0" t="str">
        <f aca="false">HYPERLINK("https://lindat.mff.cuni.cz/services/teitok/pdtc10/index.php?action=vallex&amp;frame=v-w7198f1", "upevňovat (v-w7198f1)")</f>
        <v>upevňovat (v-w7198f1)</v>
      </c>
    </row>
    <row r="51038" customFormat="false" ht="12.8" hidden="false" customHeight="false" outlineLevel="0" collapsed="false">
      <c r="B51038" s="0" t="s">
        <v>7</v>
      </c>
      <c r="C51038" s="0" t="s">
        <v>1332</v>
      </c>
      <c r="D51038" s="0" t="s">
        <v>10736</v>
      </c>
      <c r="E51038" s="0" t="s">
        <v>10736</v>
      </c>
      <c r="F51038" s="0" t="s">
        <v>10736</v>
      </c>
    </row>
    <row r="51039" customFormat="false" ht="12.8" hidden="false" customHeight="false" outlineLevel="0" collapsed="false">
      <c r="B51039" s="0" t="s">
        <v>14</v>
      </c>
      <c r="C51039" s="0" t="s">
        <v>89</v>
      </c>
      <c r="D51039" s="0" t="s">
        <v>7533</v>
      </c>
      <c r="E51039" s="0" t="s">
        <v>7533</v>
      </c>
      <c r="F51039" s="0" t="s">
        <v>7533</v>
      </c>
    </row>
    <row r="51041" customFormat="false" ht="12.8" hidden="false" customHeight="false" outlineLevel="0" collapsed="false">
      <c r="A51041" s="0" t="s">
        <v>17934</v>
      </c>
      <c r="B51041" s="0" t="str">
        <f aca="false">HYPERLINK("https://lindat.mff.cuni.cz/services/teitok/pdtc10/index.php?action=vallex&amp;frame=v-whsa_435f1_ZU", "upgradovat (v-whsa_435f1_ZU)")</f>
        <v>upgradovat (v-whsa_435f1_ZU)</v>
      </c>
    </row>
    <row r="51042" customFormat="false" ht="12.8" hidden="false" customHeight="false" outlineLevel="0" collapsed="false">
      <c r="B51042" s="0" t="s">
        <v>7</v>
      </c>
      <c r="C51042" s="0" t="s">
        <v>335</v>
      </c>
      <c r="D51042" s="0" t="s">
        <v>5017</v>
      </c>
      <c r="E51042" s="0" t="s">
        <v>5017</v>
      </c>
      <c r="F51042" s="0" t="s">
        <v>5017</v>
      </c>
    </row>
    <row r="51043" customFormat="false" ht="12.8" hidden="false" customHeight="false" outlineLevel="0" collapsed="false">
      <c r="B51043" s="0" t="s">
        <v>14</v>
      </c>
      <c r="C51043" s="0" t="s">
        <v>1405</v>
      </c>
      <c r="D51043" s="0" t="s">
        <v>5018</v>
      </c>
      <c r="E51043" s="0" t="s">
        <v>5018</v>
      </c>
      <c r="F51043" s="0" t="s">
        <v>5018</v>
      </c>
    </row>
    <row r="51044" customFormat="false" ht="12.8" hidden="false" customHeight="false" outlineLevel="0" collapsed="false">
      <c r="B51044" s="0" t="s">
        <v>35</v>
      </c>
      <c r="D51044" s="0" t="s">
        <v>17935</v>
      </c>
      <c r="E51044" s="0" t="s">
        <v>17935</v>
      </c>
      <c r="F51044" s="0" t="s">
        <v>17935</v>
      </c>
    </row>
    <row r="51045" customFormat="false" ht="12.8" hidden="false" customHeight="false" outlineLevel="0" collapsed="false">
      <c r="B51045" s="0" t="s">
        <v>84</v>
      </c>
      <c r="C51045" s="0" t="s">
        <v>6439</v>
      </c>
      <c r="D51045" s="0" t="s">
        <v>17936</v>
      </c>
      <c r="E51045" s="0" t="s">
        <v>17936</v>
      </c>
      <c r="F51045" s="0" t="s">
        <v>17936</v>
      </c>
    </row>
    <row r="51047" customFormat="false" ht="12.8" hidden="false" customHeight="false" outlineLevel="0" collapsed="false">
      <c r="A51047" s="0" t="s">
        <v>17934</v>
      </c>
      <c r="B51047" s="0" t="str">
        <f aca="false">HYPERLINK("https://lindat.mff.cuni.cz/services/teitok/pdtc10/index.php?action=vallex&amp;frame=v-whsa_435hsa_436", "upgradovat (v-whsa_435hsa_436) - substituted with v-whsa_435f1_ZU")</f>
        <v>upgradovat (v-whsa_435hsa_436) - substituted with v-whsa_435f1_ZU</v>
      </c>
    </row>
    <row r="51048" customFormat="false" ht="12.8" hidden="false" customHeight="false" outlineLevel="0" collapsed="false">
      <c r="B51048" s="0" t="s">
        <v>7</v>
      </c>
    </row>
    <row r="51049" customFormat="false" ht="12.8" hidden="false" customHeight="false" outlineLevel="0" collapsed="false">
      <c r="B51049" s="0" t="s">
        <v>14</v>
      </c>
    </row>
    <row r="51050" customFormat="false" ht="12.8" hidden="false" customHeight="false" outlineLevel="0" collapsed="false">
      <c r="B51050" s="0" t="s">
        <v>35</v>
      </c>
    </row>
    <row r="51051" customFormat="false" ht="12.8" hidden="false" customHeight="false" outlineLevel="0" collapsed="false">
      <c r="B51051" s="0" t="s">
        <v>84</v>
      </c>
    </row>
    <row r="51053" customFormat="false" ht="12.8" hidden="false" customHeight="false" outlineLevel="0" collapsed="false">
      <c r="A51053" s="0" t="s">
        <v>17937</v>
      </c>
      <c r="B51053" s="0" t="str">
        <f aca="false">HYPERLINK("https://lindat.mff.cuni.cz/services/teitok/pdtc10/index.php?action=vallex&amp;frame=v-w11456f1", "upisovat (v-w11456f1)")</f>
        <v>upisovat (v-w11456f1)</v>
      </c>
    </row>
    <row r="51054" customFormat="false" ht="12.8" hidden="false" customHeight="false" outlineLevel="0" collapsed="false">
      <c r="B51054" s="0" t="s">
        <v>7</v>
      </c>
      <c r="C51054" s="0" t="s">
        <v>2736</v>
      </c>
      <c r="D51054" s="0" t="s">
        <v>176</v>
      </c>
      <c r="E51054" s="0" t="s">
        <v>176</v>
      </c>
      <c r="F51054" s="0" t="s">
        <v>176</v>
      </c>
    </row>
    <row r="51055" customFormat="false" ht="12.8" hidden="false" customHeight="false" outlineLevel="0" collapsed="false">
      <c r="B51055" s="0" t="s">
        <v>14</v>
      </c>
      <c r="C51055" s="0" t="s">
        <v>1405</v>
      </c>
      <c r="D51055" s="0" t="s">
        <v>13600</v>
      </c>
      <c r="E51055" s="0" t="s">
        <v>13600</v>
      </c>
      <c r="F51055" s="0" t="s">
        <v>13600</v>
      </c>
    </row>
    <row r="51057" customFormat="false" ht="12.8" hidden="false" customHeight="false" outlineLevel="0" collapsed="false">
      <c r="A51057" s="0" t="s">
        <v>17938</v>
      </c>
      <c r="B51057" s="0" t="str">
        <f aca="false">HYPERLINK("https://lindat.mff.cuni.cz/services/teitok/pdtc10/index.php?action=vallex&amp;frame=v-w7204f1", "upisovat se (v-w7204f1)")</f>
        <v>upisovat se (v-w7204f1)</v>
      </c>
    </row>
    <row r="51058" customFormat="false" ht="12.8" hidden="false" customHeight="false" outlineLevel="0" collapsed="false">
      <c r="B51058" s="0" t="s">
        <v>7</v>
      </c>
    </row>
    <row r="51059" customFormat="false" ht="12.8" hidden="false" customHeight="false" outlineLevel="0" collapsed="false">
      <c r="B51059" s="0" t="s">
        <v>17939</v>
      </c>
    </row>
    <row r="51060" customFormat="false" ht="12.8" hidden="false" customHeight="false" outlineLevel="0" collapsed="false">
      <c r="B51060" s="0" t="s">
        <v>106</v>
      </c>
    </row>
    <row r="51062" customFormat="false" ht="12.8" hidden="false" customHeight="false" outlineLevel="0" collapsed="false">
      <c r="A51062" s="0" t="s">
        <v>17940</v>
      </c>
      <c r="B51062" s="0" t="str">
        <f aca="false">HYPERLINK("https://lindat.mff.cuni.cz/services/teitok/pdtc10/index.php?action=vallex&amp;frame=v-w7210f1", "uplatit (v-w7210f1)")</f>
        <v>uplatit (v-w7210f1)</v>
      </c>
    </row>
    <row r="51063" customFormat="false" ht="12.8" hidden="false" customHeight="false" outlineLevel="0" collapsed="false">
      <c r="B51063" s="0" t="s">
        <v>7</v>
      </c>
      <c r="C51063" s="0" t="s">
        <v>623</v>
      </c>
      <c r="D51063" s="0" t="s">
        <v>623</v>
      </c>
      <c r="E51063" s="0" t="s">
        <v>623</v>
      </c>
      <c r="F51063" s="0" t="s">
        <v>623</v>
      </c>
    </row>
    <row r="51064" customFormat="false" ht="12.8" hidden="false" customHeight="false" outlineLevel="0" collapsed="false">
      <c r="B51064" s="0" t="s">
        <v>14</v>
      </c>
      <c r="C51064" s="0" t="s">
        <v>1209</v>
      </c>
      <c r="D51064" s="0" t="s">
        <v>1209</v>
      </c>
      <c r="E51064" s="0" t="s">
        <v>1209</v>
      </c>
      <c r="F51064" s="0" t="s">
        <v>1209</v>
      </c>
    </row>
    <row r="51066" customFormat="false" ht="12.8" hidden="false" customHeight="false" outlineLevel="0" collapsed="false">
      <c r="A51066" s="0" t="s">
        <v>17941</v>
      </c>
      <c r="B51066" s="0" t="str">
        <f aca="false">HYPERLINK("https://lindat.mff.cuni.cz/services/teitok/pdtc10/index.php?action=vallex&amp;frame=v-w7213f2_ZU", "uplatnit (v-w7213f2_ZU)")</f>
        <v>uplatnit (v-w7213f2_ZU)</v>
      </c>
    </row>
    <row r="51067" customFormat="false" ht="12.8" hidden="false" customHeight="false" outlineLevel="0" collapsed="false">
      <c r="B51067" s="0" t="s">
        <v>7</v>
      </c>
      <c r="C51067" s="0" t="s">
        <v>10044</v>
      </c>
      <c r="D51067" s="0" t="s">
        <v>17942</v>
      </c>
      <c r="E51067" s="0" t="s">
        <v>17942</v>
      </c>
      <c r="F51067" s="0" t="s">
        <v>17942</v>
      </c>
    </row>
    <row r="51068" customFormat="false" ht="12.8" hidden="false" customHeight="false" outlineLevel="0" collapsed="false">
      <c r="B51068" s="0" t="s">
        <v>14</v>
      </c>
      <c r="C51068" s="0" t="s">
        <v>17943</v>
      </c>
    </row>
    <row r="51069" customFormat="false" ht="12.8" hidden="false" customHeight="false" outlineLevel="0" collapsed="false">
      <c r="B51069" s="0" t="s">
        <v>84</v>
      </c>
      <c r="C51069" s="0" t="s">
        <v>17944</v>
      </c>
    </row>
    <row r="51071" customFormat="false" ht="12.8" hidden="false" customHeight="false" outlineLevel="0" collapsed="false">
      <c r="A51071" s="0" t="s">
        <v>17941</v>
      </c>
      <c r="B51071" s="0" t="str">
        <f aca="false">HYPERLINK("https://lindat.mff.cuni.cz/services/teitok/pdtc10/index.php?action=vallex&amp;frame=v-w7213f1", "uplatnit (v-w7213f1) - substituted with v-w7213f2_ZU")</f>
        <v>uplatnit (v-w7213f1) - substituted with v-w7213f2_ZU</v>
      </c>
    </row>
    <row r="51072" customFormat="false" ht="12.8" hidden="false" customHeight="false" outlineLevel="0" collapsed="false">
      <c r="B51072" s="0" t="s">
        <v>7</v>
      </c>
      <c r="C51072" s="0" t="s">
        <v>17945</v>
      </c>
    </row>
    <row r="51073" customFormat="false" ht="12.8" hidden="false" customHeight="false" outlineLevel="0" collapsed="false">
      <c r="B51073" s="0" t="s">
        <v>14</v>
      </c>
      <c r="C51073" s="0" t="s">
        <v>17946</v>
      </c>
    </row>
    <row r="51074" customFormat="false" ht="12.8" hidden="false" customHeight="false" outlineLevel="0" collapsed="false">
      <c r="B51074" s="0" t="s">
        <v>84</v>
      </c>
    </row>
    <row r="51076" customFormat="false" ht="12.8" hidden="false" customHeight="false" outlineLevel="0" collapsed="false">
      <c r="A51076" s="0" t="s">
        <v>17947</v>
      </c>
      <c r="B51076" s="0" t="str">
        <f aca="false">HYPERLINK("https://lindat.mff.cuni.cz/services/teitok/pdtc10/index.php?action=vallex&amp;frame=v-w7214f1", "uplatnit se (v-w7214f1)")</f>
        <v>uplatnit se (v-w7214f1)</v>
      </c>
    </row>
    <row r="51077" customFormat="false" ht="12.8" hidden="false" customHeight="false" outlineLevel="0" collapsed="false">
      <c r="B51077" s="0" t="s">
        <v>7</v>
      </c>
    </row>
    <row r="51079" customFormat="false" ht="12.8" hidden="false" customHeight="false" outlineLevel="0" collapsed="false">
      <c r="A51079" s="0" t="s">
        <v>17948</v>
      </c>
      <c r="B51079" s="0" t="str">
        <f aca="false">HYPERLINK("https://lindat.mff.cuni.cz/services/teitok/pdtc10/index.php?action=vallex&amp;frame=v-w10043f3", "uplatňovat (v-w10043f3)")</f>
        <v>uplatňovat (v-w10043f3)</v>
      </c>
    </row>
    <row r="51080" customFormat="false" ht="12.8" hidden="false" customHeight="false" outlineLevel="0" collapsed="false">
      <c r="B51080" s="0" t="s">
        <v>7</v>
      </c>
    </row>
    <row r="51081" customFormat="false" ht="12.8" hidden="false" customHeight="false" outlineLevel="0" collapsed="false">
      <c r="B51081" s="0" t="s">
        <v>14</v>
      </c>
    </row>
    <row r="51083" customFormat="false" ht="12.8" hidden="false" customHeight="false" outlineLevel="0" collapsed="false">
      <c r="A51083" s="0" t="s">
        <v>17949</v>
      </c>
      <c r="B51083" s="0" t="str">
        <f aca="false">HYPERLINK("https://lindat.mff.cuni.cz/services/teitok/pdtc10/index.php?action=vallex&amp;frame=v-w7216f1", "uplatňovat (v-w7216f1)")</f>
        <v>uplatňovat (v-w7216f1)</v>
      </c>
    </row>
    <row r="51084" customFormat="false" ht="12.8" hidden="false" customHeight="false" outlineLevel="0" collapsed="false">
      <c r="B51084" s="0" t="s">
        <v>7</v>
      </c>
      <c r="C51084" s="0" t="s">
        <v>17950</v>
      </c>
      <c r="D51084" s="0" t="s">
        <v>17951</v>
      </c>
      <c r="E51084" s="0" t="s">
        <v>17951</v>
      </c>
      <c r="F51084" s="0" t="s">
        <v>17951</v>
      </c>
    </row>
    <row r="51085" customFormat="false" ht="12.8" hidden="false" customHeight="false" outlineLevel="0" collapsed="false">
      <c r="B51085" s="0" t="s">
        <v>14</v>
      </c>
      <c r="C51085" s="0" t="s">
        <v>17952</v>
      </c>
      <c r="D51085" s="0" t="s">
        <v>17953</v>
      </c>
      <c r="E51085" s="0" t="s">
        <v>17953</v>
      </c>
      <c r="F51085" s="0" t="s">
        <v>17953</v>
      </c>
    </row>
    <row r="51087" customFormat="false" ht="12.8" hidden="false" customHeight="false" outlineLevel="0" collapsed="false">
      <c r="A51087" s="0" t="s">
        <v>17954</v>
      </c>
      <c r="B51087" s="0" t="str">
        <f aca="false">HYPERLINK("https://lindat.mff.cuni.cz/services/teitok/pdtc10/index.php?action=vallex&amp;frame=v-w7217f1", "uplatňovat se (v-w7217f1)")</f>
        <v>uplatňovat se (v-w7217f1)</v>
      </c>
    </row>
    <row r="51088" customFormat="false" ht="12.8" hidden="false" customHeight="false" outlineLevel="0" collapsed="false">
      <c r="B51088" s="0" t="s">
        <v>7</v>
      </c>
    </row>
    <row r="51090" customFormat="false" ht="12.8" hidden="false" customHeight="false" outlineLevel="0" collapsed="false">
      <c r="A51090" s="0" t="s">
        <v>17955</v>
      </c>
      <c r="B51090" s="0" t="str">
        <f aca="false">HYPERLINK("https://lindat.mff.cuni.cz/services/teitok/pdtc10/index.php?action=vallex&amp;frame=v-whsa_875f1_ZU", "uplavat (v-whsa_875f1_ZU)")</f>
        <v>uplavat (v-whsa_875f1_ZU)</v>
      </c>
    </row>
    <row r="51091" customFormat="false" ht="12.8" hidden="false" customHeight="false" outlineLevel="0" collapsed="false">
      <c r="B51091" s="0" t="s">
        <v>7</v>
      </c>
    </row>
    <row r="51092" customFormat="false" ht="12.8" hidden="false" customHeight="false" outlineLevel="0" collapsed="false">
      <c r="B51092" s="0" t="s">
        <v>11530</v>
      </c>
    </row>
    <row r="51094" customFormat="false" ht="12.8" hidden="false" customHeight="false" outlineLevel="0" collapsed="false">
      <c r="A51094" s="0" t="s">
        <v>17955</v>
      </c>
      <c r="B51094" s="0" t="str">
        <f aca="false">HYPERLINK("https://lindat.mff.cuni.cz/services/teitok/pdtc10/index.php?action=vallex&amp;frame=v-whsa_875hsa_876", "uplavat (v-whsa_875hsa_876) - substituted with v-whsa_875f1_ZU")</f>
        <v>uplavat (v-whsa_875hsa_876) - substituted with v-whsa_875f1_ZU</v>
      </c>
    </row>
    <row r="51095" customFormat="false" ht="12.8" hidden="false" customHeight="false" outlineLevel="0" collapsed="false">
      <c r="B51095" s="0" t="s">
        <v>7</v>
      </c>
    </row>
    <row r="51096" customFormat="false" ht="12.8" hidden="false" customHeight="false" outlineLevel="0" collapsed="false">
      <c r="B51096" s="0" t="s">
        <v>11530</v>
      </c>
    </row>
    <row r="51098" customFormat="false" ht="12.8" hidden="false" customHeight="false" outlineLevel="0" collapsed="false">
      <c r="A51098" s="0" t="s">
        <v>17956</v>
      </c>
      <c r="B51098" s="0" t="str">
        <f aca="false">HYPERLINK("https://lindat.mff.cuni.cz/services/teitok/pdtc10/index.php?action=vallex&amp;frame=v-whsa_875f2_ZU", "uplavat (v-whsa_875f2_ZU)")</f>
        <v>uplavat (v-whsa_875f2_ZU)</v>
      </c>
    </row>
    <row r="51099" customFormat="false" ht="12.8" hidden="false" customHeight="false" outlineLevel="0" collapsed="false">
      <c r="B51099" s="0" t="s">
        <v>7</v>
      </c>
    </row>
    <row r="51100" customFormat="false" ht="12.8" hidden="false" customHeight="false" outlineLevel="0" collapsed="false">
      <c r="B51100" s="0" t="s">
        <v>119</v>
      </c>
    </row>
    <row r="51102" customFormat="false" ht="12.8" hidden="false" customHeight="false" outlineLevel="0" collapsed="false">
      <c r="A51102" s="0" t="s">
        <v>17957</v>
      </c>
      <c r="B51102" s="0" t="str">
        <f aca="false">HYPERLINK("https://lindat.mff.cuni.cz/services/teitok/pdtc10/index.php?action=vallex&amp;frame=v-w7218f1", "uplynout (v-w7218f1)")</f>
        <v>uplynout (v-w7218f1)</v>
      </c>
    </row>
    <row r="51103" customFormat="false" ht="12.8" hidden="false" customHeight="false" outlineLevel="0" collapsed="false">
      <c r="B51103" s="0" t="s">
        <v>7</v>
      </c>
      <c r="C51103" s="0" t="s">
        <v>2894</v>
      </c>
      <c r="F51103" s="0" t="s">
        <v>5375</v>
      </c>
    </row>
    <row r="51105" customFormat="false" ht="12.8" hidden="false" customHeight="false" outlineLevel="0" collapsed="false">
      <c r="A51105" s="0" t="s">
        <v>17958</v>
      </c>
      <c r="B51105" s="0" t="str">
        <f aca="false">HYPERLINK("https://lindat.mff.cuni.cz/services/teitok/pdtc10/index.php?action=vallex&amp;frame=v-w7207f1", "uplácet (v-w7207f1)")</f>
        <v>uplácet (v-w7207f1)</v>
      </c>
    </row>
    <row r="51106" customFormat="false" ht="12.8" hidden="false" customHeight="false" outlineLevel="0" collapsed="false">
      <c r="B51106" s="0" t="s">
        <v>7</v>
      </c>
      <c r="C51106" s="0" t="s">
        <v>623</v>
      </c>
      <c r="D51106" s="0" t="s">
        <v>623</v>
      </c>
      <c r="E51106" s="0" t="s">
        <v>623</v>
      </c>
      <c r="F51106" s="0" t="s">
        <v>623</v>
      </c>
    </row>
    <row r="51107" customFormat="false" ht="12.8" hidden="false" customHeight="false" outlineLevel="0" collapsed="false">
      <c r="B51107" s="0" t="s">
        <v>14</v>
      </c>
      <c r="C51107" s="0" t="s">
        <v>1209</v>
      </c>
      <c r="D51107" s="0" t="s">
        <v>1209</v>
      </c>
      <c r="E51107" s="0" t="s">
        <v>1209</v>
      </c>
      <c r="F51107" s="0" t="s">
        <v>1209</v>
      </c>
    </row>
    <row r="51109" customFormat="false" ht="12.8" hidden="false" customHeight="false" outlineLevel="0" collapsed="false">
      <c r="A51109" s="0" t="s">
        <v>17959</v>
      </c>
      <c r="B51109" s="0" t="str">
        <f aca="false">HYPERLINK("https://lindat.mff.cuni.cz/services/teitok/pdtc10/index.php?action=vallex&amp;frame=v-w11817_ZUf2_ZU", "uplést (v-w11817_ZUf2_ZU)")</f>
        <v>uplést (v-w11817_ZUf2_ZU)</v>
      </c>
    </row>
    <row r="51110" customFormat="false" ht="12.8" hidden="false" customHeight="false" outlineLevel="0" collapsed="false">
      <c r="B51110" s="0" t="s">
        <v>7</v>
      </c>
    </row>
    <row r="51111" customFormat="false" ht="12.8" hidden="false" customHeight="false" outlineLevel="0" collapsed="false">
      <c r="B51111" s="0" t="s">
        <v>14</v>
      </c>
    </row>
    <row r="51112" customFormat="false" ht="12.8" hidden="false" customHeight="false" outlineLevel="0" collapsed="false">
      <c r="B51112" s="0" t="s">
        <v>35</v>
      </c>
    </row>
    <row r="51114" customFormat="false" ht="12.8" hidden="false" customHeight="false" outlineLevel="0" collapsed="false">
      <c r="A51114" s="0" t="s">
        <v>17959</v>
      </c>
      <c r="B51114" s="0" t="str">
        <f aca="false">HYPERLINK("https://lindat.mff.cuni.cz/services/teitok/pdtc10/index.php?action=vallex&amp;frame=v-w11817_ZUf1_ZU", "uplést (v-w11817_ZUf1_ZU) - substituted with v-w11817_ZUf2_ZU")</f>
        <v>uplést (v-w11817_ZUf1_ZU) - substituted with v-w11817_ZUf2_ZU</v>
      </c>
    </row>
    <row r="51115" customFormat="false" ht="12.8" hidden="false" customHeight="false" outlineLevel="0" collapsed="false">
      <c r="B51115" s="0" t="s">
        <v>7</v>
      </c>
    </row>
    <row r="51116" customFormat="false" ht="12.8" hidden="false" customHeight="false" outlineLevel="0" collapsed="false">
      <c r="B51116" s="0" t="s">
        <v>14</v>
      </c>
    </row>
    <row r="51117" customFormat="false" ht="12.8" hidden="false" customHeight="false" outlineLevel="0" collapsed="false">
      <c r="B51117" s="0" t="s">
        <v>35</v>
      </c>
    </row>
    <row r="51119" customFormat="false" ht="12.8" hidden="false" customHeight="false" outlineLevel="0" collapsed="false">
      <c r="A51119" s="0" t="s">
        <v>17960</v>
      </c>
      <c r="B51119" s="0" t="str">
        <f aca="false">HYPERLINK("https://lindat.mff.cuni.cz/services/teitok/pdtc10/index.php?action=vallex&amp;frame=v-w11494f2", "uplést si (v-w11494f2)")</f>
        <v>uplést si (v-w11494f2)</v>
      </c>
    </row>
    <row r="51120" customFormat="false" ht="12.8" hidden="false" customHeight="false" outlineLevel="0" collapsed="false">
      <c r="B51120" s="0" t="s">
        <v>7</v>
      </c>
    </row>
    <row r="51121" customFormat="false" ht="12.8" hidden="false" customHeight="false" outlineLevel="0" collapsed="false">
      <c r="B51121" s="0" t="s">
        <v>17961</v>
      </c>
    </row>
    <row r="51123" customFormat="false" ht="12.8" hidden="false" customHeight="false" outlineLevel="0" collapsed="false">
      <c r="A51123" s="0" t="s">
        <v>17962</v>
      </c>
      <c r="B51123" s="0" t="str">
        <f aca="false">HYPERLINK("https://lindat.mff.cuni.cz/services/teitok/pdtc10/index.php?action=vallex&amp;frame=v-w7220f2", "upnout se (v-w7220f2)")</f>
        <v>upnout se (v-w7220f2)</v>
      </c>
    </row>
    <row r="51124" customFormat="false" ht="12.8" hidden="false" customHeight="false" outlineLevel="0" collapsed="false">
      <c r="B51124" s="0" t="s">
        <v>7</v>
      </c>
      <c r="C51124" s="0" t="s">
        <v>31</v>
      </c>
    </row>
    <row r="51125" customFormat="false" ht="12.8" hidden="false" customHeight="false" outlineLevel="0" collapsed="false">
      <c r="B51125" s="0" t="s">
        <v>5029</v>
      </c>
    </row>
    <row r="51127" customFormat="false" ht="12.8" hidden="false" customHeight="false" outlineLevel="0" collapsed="false">
      <c r="A51127" s="0" t="s">
        <v>17963</v>
      </c>
      <c r="B51127" s="0" t="str">
        <f aca="false">HYPERLINK("https://lindat.mff.cuni.cz/services/teitok/pdtc10/index.php?action=vallex&amp;frame=v-w7222f1", "upomínat (v-w7222f1)")</f>
        <v>upomínat (v-w7222f1)</v>
      </c>
    </row>
    <row r="51128" customFormat="false" ht="12.8" hidden="false" customHeight="false" outlineLevel="0" collapsed="false">
      <c r="B51128" s="0" t="s">
        <v>7</v>
      </c>
    </row>
    <row r="51129" customFormat="false" ht="12.8" hidden="false" customHeight="false" outlineLevel="0" collapsed="false">
      <c r="B51129" s="0" t="s">
        <v>17964</v>
      </c>
    </row>
    <row r="51130" customFormat="false" ht="12.8" hidden="false" customHeight="false" outlineLevel="0" collapsed="false">
      <c r="B51130" s="0" t="s">
        <v>81</v>
      </c>
    </row>
    <row r="51132" customFormat="false" ht="12.8" hidden="false" customHeight="false" outlineLevel="0" collapsed="false">
      <c r="A51132" s="0" t="s">
        <v>17965</v>
      </c>
      <c r="B51132" s="0" t="str">
        <f aca="false">HYPERLINK("https://lindat.mff.cuni.cz/services/teitok/pdtc10/index.php?action=vallex&amp;frame=v-w7224f1", "uposlechnout (v-w7224f1)")</f>
        <v>uposlechnout (v-w7224f1)</v>
      </c>
    </row>
    <row r="51133" customFormat="false" ht="12.8" hidden="false" customHeight="false" outlineLevel="0" collapsed="false">
      <c r="B51133" s="0" t="s">
        <v>7</v>
      </c>
      <c r="C51133" s="0" t="s">
        <v>569</v>
      </c>
      <c r="D51133" s="0" t="s">
        <v>17966</v>
      </c>
      <c r="E51133" s="0" t="s">
        <v>17966</v>
      </c>
      <c r="F51133" s="0" t="s">
        <v>17966</v>
      </c>
    </row>
    <row r="51134" customFormat="false" ht="12.8" hidden="false" customHeight="false" outlineLevel="0" collapsed="false">
      <c r="B51134" s="0" t="s">
        <v>4381</v>
      </c>
      <c r="C51134" s="0" t="s">
        <v>120</v>
      </c>
      <c r="D51134" s="0" t="s">
        <v>17967</v>
      </c>
      <c r="E51134" s="0" t="s">
        <v>17967</v>
      </c>
      <c r="F51134" s="0" t="s">
        <v>17967</v>
      </c>
    </row>
    <row r="51136" customFormat="false" ht="12.8" hidden="false" customHeight="false" outlineLevel="0" collapsed="false">
      <c r="A51136" s="0" t="s">
        <v>17968</v>
      </c>
      <c r="B51136" s="0" t="str">
        <f aca="false">HYPERLINK("https://lindat.mff.cuni.cz/services/teitok/pdtc10/index.php?action=vallex&amp;frame=v-w10219f2", "upotřebit (v-w10219f2)")</f>
        <v>upotřebit (v-w10219f2)</v>
      </c>
    </row>
    <row r="51137" customFormat="false" ht="12.8" hidden="false" customHeight="false" outlineLevel="0" collapsed="false">
      <c r="B51137" s="0" t="s">
        <v>7</v>
      </c>
    </row>
    <row r="51138" customFormat="false" ht="12.8" hidden="false" customHeight="false" outlineLevel="0" collapsed="false">
      <c r="B51138" s="0" t="s">
        <v>1145</v>
      </c>
    </row>
    <row r="51140" customFormat="false" ht="12.8" hidden="false" customHeight="false" outlineLevel="0" collapsed="false">
      <c r="A51140" s="0" t="s">
        <v>17969</v>
      </c>
      <c r="B51140" s="0" t="str">
        <f aca="false">HYPERLINK("https://lindat.mff.cuni.cz/services/teitok/pdtc10/index.php?action=vallex&amp;frame=v-w11770_ZUf1_ZU", "upotřebovat (v-w11770_ZUf1_ZU)")</f>
        <v>upotřebovat (v-w11770_ZUf1_ZU)</v>
      </c>
    </row>
    <row r="51141" customFormat="false" ht="12.8" hidden="false" customHeight="false" outlineLevel="0" collapsed="false">
      <c r="B51141" s="0" t="s">
        <v>7</v>
      </c>
    </row>
    <row r="51142" customFormat="false" ht="12.8" hidden="false" customHeight="false" outlineLevel="0" collapsed="false">
      <c r="B51142" s="0" t="s">
        <v>14</v>
      </c>
    </row>
    <row r="51144" customFormat="false" ht="12.8" hidden="false" customHeight="false" outlineLevel="0" collapsed="false">
      <c r="A51144" s="0" t="s">
        <v>17970</v>
      </c>
      <c r="B51144" s="0" t="str">
        <f aca="false">HYPERLINK("https://lindat.mff.cuni.cz/services/teitok/pdtc10/index.php?action=vallex&amp;frame=v-w7226f1", "upoutat (v-w7226f1)")</f>
        <v>upoutat (v-w7226f1)</v>
      </c>
    </row>
    <row r="51145" customFormat="false" ht="12.8" hidden="false" customHeight="false" outlineLevel="0" collapsed="false">
      <c r="B51145" s="0" t="s">
        <v>7</v>
      </c>
      <c r="D51145" s="0" t="s">
        <v>9144</v>
      </c>
      <c r="E51145" s="0" t="s">
        <v>9144</v>
      </c>
      <c r="F51145" s="0" t="s">
        <v>9144</v>
      </c>
    </row>
    <row r="51146" customFormat="false" ht="12.8" hidden="false" customHeight="false" outlineLevel="0" collapsed="false">
      <c r="B51146" s="0" t="s">
        <v>14</v>
      </c>
      <c r="D51146" s="0" t="s">
        <v>78</v>
      </c>
      <c r="E51146" s="0" t="s">
        <v>78</v>
      </c>
      <c r="F51146" s="0" t="s">
        <v>78</v>
      </c>
    </row>
    <row r="51148" customFormat="false" ht="12.8" hidden="false" customHeight="false" outlineLevel="0" collapsed="false">
      <c r="A51148" s="0" t="s">
        <v>17971</v>
      </c>
      <c r="B51148" s="0" t="str">
        <f aca="false">HYPERLINK("https://lindat.mff.cuni.cz/services/teitok/pdtc10/index.php?action=vallex&amp;frame=v-w7226f2", "upoutat (v-w7226f2)")</f>
        <v>upoutat (v-w7226f2)</v>
      </c>
    </row>
    <row r="51149" customFormat="false" ht="12.8" hidden="false" customHeight="false" outlineLevel="0" collapsed="false">
      <c r="B51149" s="0" t="s">
        <v>7</v>
      </c>
    </row>
    <row r="51150" customFormat="false" ht="12.8" hidden="false" customHeight="false" outlineLevel="0" collapsed="false">
      <c r="B51150" s="0" t="s">
        <v>14</v>
      </c>
      <c r="C51150" s="0" t="s">
        <v>721</v>
      </c>
    </row>
    <row r="51152" customFormat="false" ht="12.8" hidden="false" customHeight="false" outlineLevel="0" collapsed="false">
      <c r="A51152" s="0" t="s">
        <v>17972</v>
      </c>
      <c r="B51152" s="0" t="str">
        <f aca="false">HYPERLINK("https://lindat.mff.cuni.cz/services/teitok/pdtc10/index.php?action=vallex&amp;frame=v-w7226f4_ZU", "upoutat (v-w7226f4_ZU)")</f>
        <v>upoutat (v-w7226f4_ZU)</v>
      </c>
    </row>
    <row r="51153" customFormat="false" ht="12.8" hidden="false" customHeight="false" outlineLevel="0" collapsed="false">
      <c r="B51153" s="0" t="s">
        <v>457</v>
      </c>
      <c r="C51153" s="0" t="s">
        <v>77</v>
      </c>
      <c r="D51153" s="0" t="s">
        <v>5251</v>
      </c>
      <c r="E51153" s="0" t="s">
        <v>5251</v>
      </c>
      <c r="F51153" s="0" t="s">
        <v>5251</v>
      </c>
    </row>
    <row r="51154" customFormat="false" ht="12.8" hidden="false" customHeight="false" outlineLevel="0" collapsed="false">
      <c r="B51154" s="0" t="s">
        <v>17973</v>
      </c>
    </row>
    <row r="51155" customFormat="false" ht="12.8" hidden="false" customHeight="false" outlineLevel="0" collapsed="false">
      <c r="B51155" s="0" t="s">
        <v>12460</v>
      </c>
      <c r="C51155" s="0" t="s">
        <v>17974</v>
      </c>
      <c r="D51155" s="0" t="s">
        <v>5253</v>
      </c>
      <c r="E51155" s="0" t="s">
        <v>5253</v>
      </c>
      <c r="F51155" s="0" t="s">
        <v>5253</v>
      </c>
    </row>
    <row r="51156" customFormat="false" ht="12.8" hidden="false" customHeight="false" outlineLevel="0" collapsed="false">
      <c r="B51156" s="0" t="s">
        <v>63</v>
      </c>
      <c r="D51156" s="0" t="s">
        <v>5254</v>
      </c>
      <c r="E51156" s="0" t="s">
        <v>5254</v>
      </c>
      <c r="F51156" s="0" t="s">
        <v>5254</v>
      </c>
    </row>
    <row r="51158" customFormat="false" ht="12.8" hidden="false" customHeight="false" outlineLevel="0" collapsed="false">
      <c r="A51158" s="0" t="s">
        <v>17972</v>
      </c>
      <c r="B51158" s="0" t="str">
        <f aca="false">HYPERLINK("https://lindat.mff.cuni.cz/services/teitok/pdtc10/index.php?action=vallex&amp;frame=v-w7226f3", "upoutat (v-w7226f3) - substituted with v-w7226f4_ZU")</f>
        <v>upoutat (v-w7226f3) - substituted with v-w7226f4_ZU</v>
      </c>
    </row>
    <row r="51159" customFormat="false" ht="12.8" hidden="false" customHeight="false" outlineLevel="0" collapsed="false">
      <c r="B51159" s="0" t="s">
        <v>457</v>
      </c>
      <c r="C51159" s="0" t="s">
        <v>17975</v>
      </c>
    </row>
    <row r="51160" customFormat="false" ht="12.8" hidden="false" customHeight="false" outlineLevel="0" collapsed="false">
      <c r="B51160" s="0" t="s">
        <v>17973</v>
      </c>
      <c r="C51160" s="0" t="s">
        <v>17976</v>
      </c>
    </row>
    <row r="51161" customFormat="false" ht="12.8" hidden="false" customHeight="false" outlineLevel="0" collapsed="false">
      <c r="B51161" s="0" t="s">
        <v>12460</v>
      </c>
    </row>
    <row r="51162" customFormat="false" ht="12.8" hidden="false" customHeight="false" outlineLevel="0" collapsed="false">
      <c r="B51162" s="0" t="s">
        <v>63</v>
      </c>
    </row>
    <row r="51164" customFormat="false" ht="12.8" hidden="false" customHeight="false" outlineLevel="0" collapsed="false">
      <c r="A51164" s="0" t="s">
        <v>17977</v>
      </c>
      <c r="B51164" s="0" t="str">
        <f aca="false">HYPERLINK("https://lindat.mff.cuni.cz/services/teitok/pdtc10/index.php?action=vallex&amp;frame=v-w7226hsa_385", "upoutat (v-w7226hsa_385)")</f>
        <v>upoutat (v-w7226hsa_385)</v>
      </c>
    </row>
    <row r="51165" customFormat="false" ht="12.8" hidden="false" customHeight="false" outlineLevel="0" collapsed="false">
      <c r="B51165" s="0" t="s">
        <v>7</v>
      </c>
    </row>
    <row r="51166" customFormat="false" ht="12.8" hidden="false" customHeight="false" outlineLevel="0" collapsed="false">
      <c r="B51166" s="0" t="s">
        <v>17978</v>
      </c>
    </row>
    <row r="51167" customFormat="false" ht="12.8" hidden="false" customHeight="false" outlineLevel="0" collapsed="false">
      <c r="B51167" s="0" t="s">
        <v>2538</v>
      </c>
    </row>
    <row r="51168" customFormat="false" ht="12.8" hidden="false" customHeight="false" outlineLevel="0" collapsed="false">
      <c r="B51168" s="0" t="s">
        <v>41</v>
      </c>
    </row>
    <row r="51170" customFormat="false" ht="12.8" hidden="false" customHeight="false" outlineLevel="0" collapsed="false">
      <c r="A51170" s="0" t="s">
        <v>17979</v>
      </c>
      <c r="B51170" s="0" t="str">
        <f aca="false">HYPERLINK("https://lindat.mff.cuni.cz/services/teitok/pdtc10/index.php?action=vallex&amp;frame=v-whsa_1103f1_ZU", "upoutávat (v-whsa_1103f1_ZU)")</f>
        <v>upoutávat (v-whsa_1103f1_ZU)</v>
      </c>
    </row>
    <row r="51171" customFormat="false" ht="12.8" hidden="false" customHeight="false" outlineLevel="0" collapsed="false">
      <c r="B51171" s="0" t="s">
        <v>7</v>
      </c>
    </row>
    <row r="51172" customFormat="false" ht="12.8" hidden="false" customHeight="false" outlineLevel="0" collapsed="false">
      <c r="B51172" s="0" t="s">
        <v>17973</v>
      </c>
    </row>
    <row r="51173" customFormat="false" ht="12.8" hidden="false" customHeight="false" outlineLevel="0" collapsed="false">
      <c r="B51173" s="0" t="s">
        <v>12460</v>
      </c>
    </row>
    <row r="51174" customFormat="false" ht="12.8" hidden="false" customHeight="false" outlineLevel="0" collapsed="false">
      <c r="B51174" s="0" t="s">
        <v>63</v>
      </c>
    </row>
    <row r="51176" customFormat="false" ht="12.8" hidden="false" customHeight="false" outlineLevel="0" collapsed="false">
      <c r="A51176" s="0" t="s">
        <v>17979</v>
      </c>
      <c r="B51176" s="0" t="str">
        <f aca="false">HYPERLINK("https://lindat.mff.cuni.cz/services/teitok/pdtc10/index.php?action=vallex&amp;frame=v-whsa_1103hsa_1104", "upoutávat (v-whsa_1103hsa_1104) - substituted with v-whsa_1103f1_ZU")</f>
        <v>upoutávat (v-whsa_1103hsa_1104) - substituted with v-whsa_1103f1_ZU</v>
      </c>
    </row>
    <row r="51177" customFormat="false" ht="12.8" hidden="false" customHeight="false" outlineLevel="0" collapsed="false">
      <c r="B51177" s="0" t="s">
        <v>7</v>
      </c>
    </row>
    <row r="51178" customFormat="false" ht="12.8" hidden="false" customHeight="false" outlineLevel="0" collapsed="false">
      <c r="B51178" s="0" t="s">
        <v>17973</v>
      </c>
    </row>
    <row r="51179" customFormat="false" ht="12.8" hidden="false" customHeight="false" outlineLevel="0" collapsed="false">
      <c r="B51179" s="0" t="s">
        <v>12460</v>
      </c>
    </row>
    <row r="51180" customFormat="false" ht="12.8" hidden="false" customHeight="false" outlineLevel="0" collapsed="false">
      <c r="B51180" s="0" t="s">
        <v>63</v>
      </c>
    </row>
    <row r="51182" customFormat="false" ht="12.8" hidden="false" customHeight="false" outlineLevel="0" collapsed="false">
      <c r="A51182" s="0" t="s">
        <v>17980</v>
      </c>
      <c r="B51182" s="0" t="str">
        <f aca="false">HYPERLINK("https://lindat.mff.cuni.cz/services/teitok/pdtc10/index.php?action=vallex&amp;frame=v-w7225f2", "upouštět (v-w7225f2)")</f>
        <v>upouštět (v-w7225f2)</v>
      </c>
    </row>
    <row r="51183" customFormat="false" ht="12.8" hidden="false" customHeight="false" outlineLevel="0" collapsed="false">
      <c r="B51183" s="0" t="s">
        <v>7</v>
      </c>
    </row>
    <row r="51184" customFormat="false" ht="12.8" hidden="false" customHeight="false" outlineLevel="0" collapsed="false">
      <c r="B51184" s="0" t="s">
        <v>14</v>
      </c>
    </row>
    <row r="51186" customFormat="false" ht="12.8" hidden="false" customHeight="false" outlineLevel="0" collapsed="false">
      <c r="A51186" s="0" t="s">
        <v>17981</v>
      </c>
      <c r="B51186" s="0" t="str">
        <f aca="false">HYPERLINK("https://lindat.mff.cuni.cz/services/teitok/pdtc10/index.php?action=vallex&amp;frame=v-w7225f1", "upouštět (v-w7225f1)")</f>
        <v>upouštět (v-w7225f1)</v>
      </c>
    </row>
    <row r="51187" customFormat="false" ht="12.8" hidden="false" customHeight="false" outlineLevel="0" collapsed="false">
      <c r="B51187" s="0" t="s">
        <v>7</v>
      </c>
      <c r="C51187" s="0" t="s">
        <v>118</v>
      </c>
      <c r="D51187" s="0" t="s">
        <v>1399</v>
      </c>
      <c r="E51187" s="0" t="s">
        <v>1399</v>
      </c>
      <c r="F51187" s="0" t="s">
        <v>1399</v>
      </c>
    </row>
    <row r="51188" customFormat="false" ht="12.8" hidden="false" customHeight="false" outlineLevel="0" collapsed="false">
      <c r="B51188" s="0" t="s">
        <v>28</v>
      </c>
      <c r="C51188" s="0" t="s">
        <v>3816</v>
      </c>
      <c r="D51188" s="0" t="s">
        <v>1401</v>
      </c>
      <c r="E51188" s="0" t="s">
        <v>1401</v>
      </c>
      <c r="F51188" s="0" t="s">
        <v>1401</v>
      </c>
    </row>
    <row r="51190" customFormat="false" ht="12.8" hidden="false" customHeight="false" outlineLevel="0" collapsed="false">
      <c r="A51190" s="0" t="s">
        <v>17982</v>
      </c>
      <c r="B51190" s="0" t="str">
        <f aca="false">HYPERLINK("https://lindat.mff.cuni.cz/services/teitok/pdtc10/index.php?action=vallex&amp;frame=v-w12353_MMf1_MM", "upozadit (v-w12353_MMf1_MM)")</f>
        <v>upozadit (v-w12353_MMf1_MM)</v>
      </c>
    </row>
    <row r="51191" customFormat="false" ht="12.8" hidden="false" customHeight="false" outlineLevel="0" collapsed="false">
      <c r="B51191" s="0" t="s">
        <v>7</v>
      </c>
    </row>
    <row r="51192" customFormat="false" ht="12.8" hidden="false" customHeight="false" outlineLevel="0" collapsed="false">
      <c r="B51192" s="0" t="s">
        <v>14</v>
      </c>
    </row>
    <row r="51194" customFormat="false" ht="12.8" hidden="false" customHeight="false" outlineLevel="0" collapsed="false">
      <c r="A51194" s="0" t="s">
        <v>17983</v>
      </c>
      <c r="B51194" s="0" t="str">
        <f aca="false">HYPERLINK("https://lindat.mff.cuni.cz/services/teitok/pdtc10/index.php?action=vallex&amp;frame=v-w7228f2_ZU", "upozornit (v-w7228f2_ZU)")</f>
        <v>upozornit (v-w7228f2_ZU)</v>
      </c>
    </row>
    <row r="51195" customFormat="false" ht="12.8" hidden="false" customHeight="false" outlineLevel="0" collapsed="false">
      <c r="B51195" s="0" t="s">
        <v>7</v>
      </c>
    </row>
    <row r="51196" customFormat="false" ht="12.8" hidden="false" customHeight="false" outlineLevel="0" collapsed="false">
      <c r="B51196" s="0" t="s">
        <v>17984</v>
      </c>
    </row>
    <row r="51197" customFormat="false" ht="12.8" hidden="false" customHeight="false" outlineLevel="0" collapsed="false">
      <c r="B51197" s="0" t="s">
        <v>81</v>
      </c>
    </row>
    <row r="51199" customFormat="false" ht="12.8" hidden="false" customHeight="false" outlineLevel="0" collapsed="false">
      <c r="A51199" s="0" t="s">
        <v>17983</v>
      </c>
      <c r="B51199" s="0" t="str">
        <f aca="false">HYPERLINK("https://lindat.mff.cuni.cz/services/teitok/pdtc10/index.php?action=vallex&amp;frame=v-w7228f1", "upozornit (v-w7228f1) - substituted with v-w7228f2_ZU")</f>
        <v>upozornit (v-w7228f1) - substituted with v-w7228f2_ZU</v>
      </c>
    </row>
    <row r="51200" customFormat="false" ht="12.8" hidden="false" customHeight="false" outlineLevel="0" collapsed="false">
      <c r="B51200" s="0" t="s">
        <v>7</v>
      </c>
      <c r="C51200" s="0" t="s">
        <v>17985</v>
      </c>
      <c r="D51200" s="0" t="s">
        <v>1505</v>
      </c>
      <c r="E51200" s="0" t="s">
        <v>1505</v>
      </c>
      <c r="F51200" s="0" t="s">
        <v>1505</v>
      </c>
    </row>
    <row r="51201" customFormat="false" ht="12.8" hidden="false" customHeight="false" outlineLevel="0" collapsed="false">
      <c r="B51201" s="0" t="s">
        <v>17984</v>
      </c>
      <c r="C51201" s="0" t="s">
        <v>17986</v>
      </c>
      <c r="D51201" s="0" t="s">
        <v>11123</v>
      </c>
      <c r="E51201" s="0" t="s">
        <v>11123</v>
      </c>
      <c r="F51201" s="0" t="s">
        <v>11123</v>
      </c>
    </row>
    <row r="51202" customFormat="false" ht="12.8" hidden="false" customHeight="false" outlineLevel="0" collapsed="false">
      <c r="B51202" s="0" t="s">
        <v>81</v>
      </c>
      <c r="C51202" s="0" t="s">
        <v>17987</v>
      </c>
      <c r="D51202" s="0" t="s">
        <v>17691</v>
      </c>
      <c r="E51202" s="0" t="s">
        <v>17691</v>
      </c>
      <c r="F51202" s="0" t="s">
        <v>17691</v>
      </c>
    </row>
    <row r="51204" customFormat="false" ht="12.8" hidden="false" customHeight="false" outlineLevel="0" collapsed="false">
      <c r="A51204" s="0" t="s">
        <v>17988</v>
      </c>
      <c r="B51204" s="0" t="str">
        <f aca="false">HYPERLINK("https://lindat.mff.cuni.cz/services/teitok/pdtc10/index.php?action=vallex&amp;frame=v-w7230f1", "upozorňovat (v-w7230f1)")</f>
        <v>upozorňovat (v-w7230f1)</v>
      </c>
    </row>
    <row r="51205" customFormat="false" ht="12.8" hidden="false" customHeight="false" outlineLevel="0" collapsed="false">
      <c r="B51205" s="0" t="s">
        <v>7</v>
      </c>
      <c r="C51205" s="0" t="s">
        <v>17989</v>
      </c>
      <c r="D51205" s="0" t="s">
        <v>1505</v>
      </c>
      <c r="E51205" s="0" t="s">
        <v>1505</v>
      </c>
      <c r="F51205" s="0" t="s">
        <v>1505</v>
      </c>
    </row>
    <row r="51206" customFormat="false" ht="12.8" hidden="false" customHeight="false" outlineLevel="0" collapsed="false">
      <c r="B51206" s="0" t="s">
        <v>17964</v>
      </c>
      <c r="C51206" s="0" t="s">
        <v>17990</v>
      </c>
      <c r="D51206" s="0" t="s">
        <v>11123</v>
      </c>
      <c r="E51206" s="0" t="s">
        <v>11123</v>
      </c>
      <c r="F51206" s="0" t="s">
        <v>11123</v>
      </c>
    </row>
    <row r="51207" customFormat="false" ht="12.8" hidden="false" customHeight="false" outlineLevel="0" collapsed="false">
      <c r="B51207" s="0" t="s">
        <v>81</v>
      </c>
      <c r="C51207" s="0" t="s">
        <v>17991</v>
      </c>
      <c r="D51207" s="0" t="s">
        <v>17691</v>
      </c>
      <c r="E51207" s="0" t="s">
        <v>17691</v>
      </c>
      <c r="F51207" s="0" t="s">
        <v>17691</v>
      </c>
    </row>
    <row r="51209" customFormat="false" ht="12.8" hidden="false" customHeight="false" outlineLevel="0" collapsed="false">
      <c r="A51209" s="0" t="s">
        <v>17992</v>
      </c>
      <c r="B51209" s="0" t="str">
        <f aca="false">HYPERLINK("https://lindat.mff.cuni.cz/services/teitok/pdtc10/index.php?action=vallex&amp;frame=v-w7234f1", "upravit (v-w7234f1)")</f>
        <v>upravit (v-w7234f1)</v>
      </c>
    </row>
    <row r="51210" customFormat="false" ht="12.8" hidden="false" customHeight="false" outlineLevel="0" collapsed="false">
      <c r="B51210" s="0" t="s">
        <v>7</v>
      </c>
      <c r="C51210" s="0" t="s">
        <v>17993</v>
      </c>
      <c r="D51210" s="0" t="s">
        <v>32</v>
      </c>
      <c r="E51210" s="0" t="s">
        <v>32</v>
      </c>
      <c r="F51210" s="0" t="s">
        <v>32</v>
      </c>
    </row>
    <row r="51211" customFormat="false" ht="12.8" hidden="false" customHeight="false" outlineLevel="0" collapsed="false">
      <c r="B51211" s="0" t="s">
        <v>232</v>
      </c>
      <c r="C51211" s="0" t="s">
        <v>17994</v>
      </c>
      <c r="D51211" s="0" t="s">
        <v>34</v>
      </c>
      <c r="E51211" s="0" t="s">
        <v>34</v>
      </c>
      <c r="F51211" s="0" t="s">
        <v>34</v>
      </c>
    </row>
    <row r="51212" customFormat="false" ht="12.8" hidden="false" customHeight="false" outlineLevel="0" collapsed="false">
      <c r="B51212" s="0" t="s">
        <v>35</v>
      </c>
      <c r="C51212" s="0" t="s">
        <v>11714</v>
      </c>
      <c r="D51212" s="0" t="s">
        <v>36</v>
      </c>
      <c r="E51212" s="0" t="s">
        <v>36</v>
      </c>
      <c r="F51212" s="0" t="s">
        <v>36</v>
      </c>
    </row>
    <row r="51213" customFormat="false" ht="12.8" hidden="false" customHeight="false" outlineLevel="0" collapsed="false">
      <c r="B51213" s="0" t="s">
        <v>37</v>
      </c>
      <c r="C51213" s="0" t="s">
        <v>17995</v>
      </c>
      <c r="D51213" s="0" t="s">
        <v>39</v>
      </c>
      <c r="E51213" s="0" t="s">
        <v>39</v>
      </c>
      <c r="F51213" s="0" t="s">
        <v>39</v>
      </c>
    </row>
    <row r="51215" customFormat="false" ht="12.8" hidden="false" customHeight="false" outlineLevel="0" collapsed="false">
      <c r="A51215" s="0" t="s">
        <v>17996</v>
      </c>
      <c r="B51215" s="0" t="str">
        <f aca="false">HYPERLINK("https://lindat.mff.cuni.cz/services/teitok/pdtc10/index.php?action=vallex&amp;frame=v-w7234f2", "upravit (v-w7234f2)")</f>
        <v>upravit (v-w7234f2)</v>
      </c>
    </row>
    <row r="51216" customFormat="false" ht="12.8" hidden="false" customHeight="false" outlineLevel="0" collapsed="false">
      <c r="B51216" s="0" t="s">
        <v>7</v>
      </c>
      <c r="C51216" s="0" t="s">
        <v>17997</v>
      </c>
      <c r="D51216" s="0" t="s">
        <v>32</v>
      </c>
      <c r="E51216" s="0" t="s">
        <v>32</v>
      </c>
      <c r="F51216" s="0" t="s">
        <v>32</v>
      </c>
    </row>
    <row r="51217" customFormat="false" ht="12.8" hidden="false" customHeight="false" outlineLevel="0" collapsed="false">
      <c r="B51217" s="0" t="s">
        <v>14</v>
      </c>
      <c r="C51217" s="0" t="s">
        <v>17998</v>
      </c>
      <c r="D51217" s="0" t="s">
        <v>34</v>
      </c>
      <c r="E51217" s="0" t="s">
        <v>34</v>
      </c>
      <c r="F51217" s="0" t="s">
        <v>34</v>
      </c>
    </row>
    <row r="51219" customFormat="false" ht="12.8" hidden="false" customHeight="false" outlineLevel="0" collapsed="false">
      <c r="A51219" s="0" t="s">
        <v>17999</v>
      </c>
      <c r="B51219" s="0" t="str">
        <f aca="false">HYPERLINK("https://lindat.mff.cuni.cz/services/teitok/pdtc10/index.php?action=vallex&amp;frame=v-w7234f3_MM", "upravit (v-w7234f3_MM)")</f>
        <v>upravit (v-w7234f3_MM)</v>
      </c>
    </row>
    <row r="51220" customFormat="false" ht="12.8" hidden="false" customHeight="false" outlineLevel="0" collapsed="false">
      <c r="B51220" s="0" t="s">
        <v>7</v>
      </c>
    </row>
    <row r="51221" customFormat="false" ht="12.8" hidden="false" customHeight="false" outlineLevel="0" collapsed="false">
      <c r="B51221" s="0" t="s">
        <v>14</v>
      </c>
    </row>
    <row r="51223" customFormat="false" ht="12.8" hidden="false" customHeight="false" outlineLevel="0" collapsed="false">
      <c r="A51223" s="0" t="s">
        <v>18000</v>
      </c>
      <c r="B51223" s="0" t="str">
        <f aca="false">HYPERLINK("https://lindat.mff.cuni.cz/services/teitok/pdtc10/index.php?action=vallex&amp;frame=v-w7236f1", "upravovat (v-w7236f1)")</f>
        <v>upravovat (v-w7236f1)</v>
      </c>
    </row>
    <row r="51224" customFormat="false" ht="12.8" hidden="false" customHeight="false" outlineLevel="0" collapsed="false">
      <c r="B51224" s="0" t="s">
        <v>7</v>
      </c>
      <c r="C51224" s="0" t="s">
        <v>6372</v>
      </c>
      <c r="D51224" s="0" t="s">
        <v>32</v>
      </c>
      <c r="E51224" s="0" t="s">
        <v>32</v>
      </c>
      <c r="F51224" s="0" t="s">
        <v>32</v>
      </c>
    </row>
    <row r="51225" customFormat="false" ht="12.8" hidden="false" customHeight="false" outlineLevel="0" collapsed="false">
      <c r="B51225" s="0" t="s">
        <v>232</v>
      </c>
      <c r="C51225" s="0" t="s">
        <v>7007</v>
      </c>
      <c r="D51225" s="0" t="s">
        <v>34</v>
      </c>
      <c r="E51225" s="0" t="s">
        <v>34</v>
      </c>
      <c r="F51225" s="0" t="s">
        <v>34</v>
      </c>
    </row>
    <row r="51226" customFormat="false" ht="12.8" hidden="false" customHeight="false" outlineLevel="0" collapsed="false">
      <c r="B51226" s="0" t="s">
        <v>35</v>
      </c>
      <c r="D51226" s="0" t="s">
        <v>36</v>
      </c>
      <c r="E51226" s="0" t="s">
        <v>36</v>
      </c>
      <c r="F51226" s="0" t="s">
        <v>36</v>
      </c>
    </row>
    <row r="51227" customFormat="false" ht="12.8" hidden="false" customHeight="false" outlineLevel="0" collapsed="false">
      <c r="B51227" s="0" t="s">
        <v>37</v>
      </c>
      <c r="C51227" s="0" t="s">
        <v>18001</v>
      </c>
      <c r="D51227" s="0" t="s">
        <v>39</v>
      </c>
      <c r="E51227" s="0" t="s">
        <v>39</v>
      </c>
      <c r="F51227" s="0" t="s">
        <v>39</v>
      </c>
    </row>
    <row r="51229" customFormat="false" ht="12.8" hidden="false" customHeight="false" outlineLevel="0" collapsed="false">
      <c r="A51229" s="0" t="s">
        <v>18002</v>
      </c>
      <c r="B51229" s="0" t="str">
        <f aca="false">HYPERLINK("https://lindat.mff.cuni.cz/services/teitok/pdtc10/index.php?action=vallex&amp;frame=v-w7236f2", "upravovat (v-w7236f2)")</f>
        <v>upravovat (v-w7236f2)</v>
      </c>
    </row>
    <row r="51230" customFormat="false" ht="12.8" hidden="false" customHeight="false" outlineLevel="0" collapsed="false">
      <c r="B51230" s="0" t="s">
        <v>7</v>
      </c>
      <c r="C51230" s="0" t="s">
        <v>6372</v>
      </c>
      <c r="D51230" s="0" t="s">
        <v>2998</v>
      </c>
      <c r="E51230" s="0" t="s">
        <v>2998</v>
      </c>
      <c r="F51230" s="0" t="s">
        <v>2998</v>
      </c>
    </row>
    <row r="51231" customFormat="false" ht="12.8" hidden="false" customHeight="false" outlineLevel="0" collapsed="false">
      <c r="B51231" s="0" t="s">
        <v>14</v>
      </c>
      <c r="C51231" s="0" t="s">
        <v>1605</v>
      </c>
      <c r="D51231" s="0" t="s">
        <v>3001</v>
      </c>
      <c r="E51231" s="0" t="s">
        <v>3001</v>
      </c>
      <c r="F51231" s="0" t="s">
        <v>3001</v>
      </c>
    </row>
    <row r="51233" customFormat="false" ht="12.8" hidden="false" customHeight="false" outlineLevel="0" collapsed="false">
      <c r="A51233" s="0" t="s">
        <v>18003</v>
      </c>
      <c r="B51233" s="0" t="str">
        <f aca="false">HYPERLINK("https://lindat.mff.cuni.cz/services/teitok/pdtc10/index.php?action=vallex&amp;frame=v-w7239f1", "uprchnout (v-w7239f1)")</f>
        <v>uprchnout (v-w7239f1)</v>
      </c>
    </row>
    <row r="51234" customFormat="false" ht="12.8" hidden="false" customHeight="false" outlineLevel="0" collapsed="false">
      <c r="B51234" s="0" t="s">
        <v>7</v>
      </c>
      <c r="C51234" s="0" t="s">
        <v>391</v>
      </c>
    </row>
    <row r="51235" customFormat="false" ht="12.8" hidden="false" customHeight="false" outlineLevel="0" collapsed="false">
      <c r="B51235" s="0" t="s">
        <v>11530</v>
      </c>
    </row>
    <row r="51237" customFormat="false" ht="12.8" hidden="false" customHeight="false" outlineLevel="0" collapsed="false">
      <c r="A51237" s="0" t="s">
        <v>18004</v>
      </c>
      <c r="B51237" s="0" t="str">
        <f aca="false">HYPERLINK("https://lindat.mff.cuni.cz/services/teitok/pdtc10/index.php?action=vallex&amp;frame=v-whsa_2011hsa_2012", "uprosit (v-whsa_2011hsa_2012)")</f>
        <v>uprosit (v-whsa_2011hsa_2012)</v>
      </c>
    </row>
    <row r="51238" customFormat="false" ht="12.8" hidden="false" customHeight="false" outlineLevel="0" collapsed="false">
      <c r="B51238" s="0" t="s">
        <v>7</v>
      </c>
    </row>
    <row r="51239" customFormat="false" ht="12.8" hidden="false" customHeight="false" outlineLevel="0" collapsed="false">
      <c r="B51239" s="0" t="s">
        <v>14</v>
      </c>
    </row>
    <row r="51241" customFormat="false" ht="12.8" hidden="false" customHeight="false" outlineLevel="0" collapsed="false">
      <c r="A51241" s="0" t="s">
        <v>18005</v>
      </c>
      <c r="B51241" s="0" t="str">
        <f aca="false">HYPERLINK("https://lindat.mff.cuni.cz/services/teitok/pdtc10/index.php?action=vallex&amp;frame=v-w7238f1", "uprázdnit (v-w7238f1)")</f>
        <v>uprázdnit (v-w7238f1)</v>
      </c>
    </row>
    <row r="51242" customFormat="false" ht="12.8" hidden="false" customHeight="false" outlineLevel="0" collapsed="false">
      <c r="B51242" s="0" t="s">
        <v>7</v>
      </c>
    </row>
    <row r="51243" customFormat="false" ht="12.8" hidden="false" customHeight="false" outlineLevel="0" collapsed="false">
      <c r="B51243" s="0" t="s">
        <v>14</v>
      </c>
    </row>
    <row r="51245" customFormat="false" ht="12.8" hidden="false" customHeight="false" outlineLevel="0" collapsed="false">
      <c r="A51245" s="0" t="s">
        <v>18006</v>
      </c>
      <c r="B51245" s="0" t="str">
        <f aca="false">HYPERLINK("https://lindat.mff.cuni.cz/services/teitok/pdtc10/index.php?action=vallex&amp;frame=v-w7246f1", "upsat (v-w7246f1)")</f>
        <v>upsat (v-w7246f1)</v>
      </c>
    </row>
    <row r="51246" customFormat="false" ht="12.8" hidden="false" customHeight="false" outlineLevel="0" collapsed="false">
      <c r="B51246" s="0" t="s">
        <v>7</v>
      </c>
      <c r="C51246" s="0" t="s">
        <v>16014</v>
      </c>
      <c r="D51246" s="0" t="s">
        <v>176</v>
      </c>
      <c r="E51246" s="0" t="s">
        <v>176</v>
      </c>
      <c r="F51246" s="0" t="s">
        <v>176</v>
      </c>
    </row>
    <row r="51247" customFormat="false" ht="12.8" hidden="false" customHeight="false" outlineLevel="0" collapsed="false">
      <c r="B51247" s="0" t="s">
        <v>14</v>
      </c>
      <c r="C51247" s="0" t="s">
        <v>18007</v>
      </c>
      <c r="D51247" s="0" t="s">
        <v>13600</v>
      </c>
      <c r="E51247" s="0" t="s">
        <v>13600</v>
      </c>
      <c r="F51247" s="0" t="s">
        <v>13600</v>
      </c>
    </row>
    <row r="51248" customFormat="false" ht="12.8" hidden="false" customHeight="false" outlineLevel="0" collapsed="false">
      <c r="B51248" s="0" t="s">
        <v>106</v>
      </c>
    </row>
    <row r="51250" customFormat="false" ht="12.8" hidden="false" customHeight="false" outlineLevel="0" collapsed="false">
      <c r="A51250" s="0" t="s">
        <v>18008</v>
      </c>
      <c r="B51250" s="0" t="str">
        <f aca="false">HYPERLINK("https://lindat.mff.cuni.cz/services/teitok/pdtc10/index.php?action=vallex&amp;frame=v-w7246hsa_1022", "upsat (v-w7246hsa_1022)")</f>
        <v>upsat (v-w7246hsa_1022)</v>
      </c>
    </row>
    <row r="51251" customFormat="false" ht="12.8" hidden="false" customHeight="false" outlineLevel="0" collapsed="false">
      <c r="B51251" s="0" t="s">
        <v>7</v>
      </c>
      <c r="C51251" s="0" t="s">
        <v>1263</v>
      </c>
      <c r="D51251" s="0" t="s">
        <v>1135</v>
      </c>
      <c r="E51251" s="0" t="s">
        <v>1135</v>
      </c>
      <c r="F51251" s="0" t="s">
        <v>1135</v>
      </c>
    </row>
    <row r="51252" customFormat="false" ht="12.8" hidden="false" customHeight="false" outlineLevel="0" collapsed="false">
      <c r="B51252" s="0" t="s">
        <v>14</v>
      </c>
      <c r="C51252" s="0" t="s">
        <v>1289</v>
      </c>
      <c r="D51252" s="0" t="s">
        <v>1137</v>
      </c>
      <c r="E51252" s="0" t="s">
        <v>1137</v>
      </c>
      <c r="F51252" s="0" t="s">
        <v>1137</v>
      </c>
    </row>
    <row r="51253" customFormat="false" ht="12.8" hidden="false" customHeight="false" outlineLevel="0" collapsed="false">
      <c r="B51253" s="0" t="s">
        <v>84</v>
      </c>
      <c r="C51253" s="0" t="s">
        <v>4595</v>
      </c>
      <c r="D51253" s="0" t="s">
        <v>1139</v>
      </c>
      <c r="E51253" s="0" t="s">
        <v>1139</v>
      </c>
      <c r="F51253" s="0" t="s">
        <v>1139</v>
      </c>
    </row>
    <row r="51255" customFormat="false" ht="12.8" hidden="false" customHeight="false" outlineLevel="0" collapsed="false">
      <c r="A51255" s="0" t="s">
        <v>18009</v>
      </c>
      <c r="B51255" s="0" t="str">
        <f aca="false">HYPERLINK("https://lindat.mff.cuni.cz/services/teitok/pdtc10/index.php?action=vallex&amp;frame=v-w7247f1", "upsat se (v-w7247f1)")</f>
        <v>upsat se (v-w7247f1)</v>
      </c>
    </row>
    <row r="51256" customFormat="false" ht="12.8" hidden="false" customHeight="false" outlineLevel="0" collapsed="false">
      <c r="B51256" s="0" t="s">
        <v>7</v>
      </c>
    </row>
    <row r="51257" customFormat="false" ht="12.8" hidden="false" customHeight="false" outlineLevel="0" collapsed="false">
      <c r="B51257" s="0" t="s">
        <v>17939</v>
      </c>
    </row>
    <row r="51258" customFormat="false" ht="12.8" hidden="false" customHeight="false" outlineLevel="0" collapsed="false">
      <c r="B51258" s="0" t="s">
        <v>106</v>
      </c>
    </row>
    <row r="51260" customFormat="false" ht="12.8" hidden="false" customHeight="false" outlineLevel="0" collapsed="false">
      <c r="A51260" s="0" t="s">
        <v>18010</v>
      </c>
      <c r="B51260" s="0" t="str">
        <f aca="false">HYPERLINK("https://lindat.mff.cuni.cz/services/teitok/pdtc10/index.php?action=vallex&amp;frame=v-w10600f2", "upustit (v-w10600f2)")</f>
        <v>upustit (v-w10600f2)</v>
      </c>
    </row>
    <row r="51261" customFormat="false" ht="12.8" hidden="false" customHeight="false" outlineLevel="0" collapsed="false">
      <c r="B51261" s="0" t="s">
        <v>7</v>
      </c>
      <c r="C51261" s="0" t="s">
        <v>4161</v>
      </c>
      <c r="D51261" s="0" t="s">
        <v>1399</v>
      </c>
      <c r="E51261" s="0" t="s">
        <v>1399</v>
      </c>
      <c r="F51261" s="0" t="s">
        <v>1399</v>
      </c>
    </row>
    <row r="51262" customFormat="false" ht="12.8" hidden="false" customHeight="false" outlineLevel="0" collapsed="false">
      <c r="B51262" s="0" t="s">
        <v>28</v>
      </c>
      <c r="C51262" s="0" t="s">
        <v>3244</v>
      </c>
      <c r="D51262" s="0" t="s">
        <v>1401</v>
      </c>
      <c r="E51262" s="0" t="s">
        <v>1401</v>
      </c>
      <c r="F51262" s="0" t="s">
        <v>1401</v>
      </c>
    </row>
    <row r="51264" customFormat="false" ht="12.8" hidden="false" customHeight="false" outlineLevel="0" collapsed="false">
      <c r="A51264" s="0" t="s">
        <v>18011</v>
      </c>
      <c r="B51264" s="0" t="str">
        <f aca="false">HYPERLINK("https://lindat.mff.cuni.cz/services/teitok/pdtc10/index.php?action=vallex&amp;frame=v-w10600hsa_240", "upustit (v-w10600hsa_240)")</f>
        <v>upustit (v-w10600hsa_240)</v>
      </c>
    </row>
    <row r="51265" customFormat="false" ht="12.8" hidden="false" customHeight="false" outlineLevel="0" collapsed="false">
      <c r="B51265" s="0" t="s">
        <v>7</v>
      </c>
    </row>
    <row r="51266" customFormat="false" ht="12.8" hidden="false" customHeight="false" outlineLevel="0" collapsed="false">
      <c r="B51266" s="0" t="s">
        <v>14</v>
      </c>
    </row>
    <row r="51268" customFormat="false" ht="12.8" hidden="false" customHeight="false" outlineLevel="0" collapsed="false">
      <c r="A51268" s="0" t="s">
        <v>18012</v>
      </c>
      <c r="B51268" s="0" t="str">
        <f aca="false">HYPERLINK("https://lindat.mff.cuni.cz/services/teitok/pdtc10/index.php?action=vallex&amp;frame=v-w7191f1", "upálit (v-w7191f1)")</f>
        <v>upálit (v-w7191f1)</v>
      </c>
    </row>
    <row r="51269" customFormat="false" ht="12.8" hidden="false" customHeight="false" outlineLevel="0" collapsed="false">
      <c r="B51269" s="0" t="s">
        <v>7</v>
      </c>
    </row>
    <row r="51270" customFormat="false" ht="12.8" hidden="false" customHeight="false" outlineLevel="0" collapsed="false">
      <c r="B51270" s="0" t="s">
        <v>14</v>
      </c>
    </row>
    <row r="51272" customFormat="false" ht="12.8" hidden="false" customHeight="false" outlineLevel="0" collapsed="false">
      <c r="A51272" s="0" t="s">
        <v>18013</v>
      </c>
      <c r="B51272" s="0" t="str">
        <f aca="false">HYPERLINK("https://lindat.mff.cuni.cz/services/teitok/pdtc10/index.php?action=vallex&amp;frame=v-w7193f3_ZU", "upéci (v-w7193f3_ZU)")</f>
        <v>upéci (v-w7193f3_ZU)</v>
      </c>
    </row>
    <row r="51273" customFormat="false" ht="12.8" hidden="false" customHeight="false" outlineLevel="0" collapsed="false">
      <c r="B51273" s="0" t="s">
        <v>7</v>
      </c>
    </row>
    <row r="51274" customFormat="false" ht="12.8" hidden="false" customHeight="false" outlineLevel="0" collapsed="false">
      <c r="B51274" s="0" t="s">
        <v>14</v>
      </c>
    </row>
    <row r="51275" customFormat="false" ht="12.8" hidden="false" customHeight="false" outlineLevel="0" collapsed="false">
      <c r="B51275" s="0" t="s">
        <v>35</v>
      </c>
    </row>
    <row r="51277" customFormat="false" ht="12.8" hidden="false" customHeight="false" outlineLevel="0" collapsed="false">
      <c r="A51277" s="0" t="s">
        <v>18013</v>
      </c>
      <c r="B51277" s="0" t="str">
        <f aca="false">HYPERLINK("https://lindat.mff.cuni.cz/services/teitok/pdtc10/index.php?action=vallex&amp;frame=v-w7193f1", "upéci (v-w7193f1) - substituted with v-w7193f3_ZU")</f>
        <v>upéci (v-w7193f1) - substituted with v-w7193f3_ZU</v>
      </c>
    </row>
    <row r="51278" customFormat="false" ht="12.8" hidden="false" customHeight="false" outlineLevel="0" collapsed="false">
      <c r="B51278" s="0" t="s">
        <v>7</v>
      </c>
    </row>
    <row r="51279" customFormat="false" ht="12.8" hidden="false" customHeight="false" outlineLevel="0" collapsed="false">
      <c r="B51279" s="0" t="s">
        <v>14</v>
      </c>
    </row>
    <row r="51280" customFormat="false" ht="12.8" hidden="false" customHeight="false" outlineLevel="0" collapsed="false">
      <c r="B51280" s="0" t="s">
        <v>35</v>
      </c>
    </row>
    <row r="51282" customFormat="false" ht="12.8" hidden="false" customHeight="false" outlineLevel="0" collapsed="false">
      <c r="A51282" s="0" t="s">
        <v>18014</v>
      </c>
      <c r="B51282" s="0" t="str">
        <f aca="false">HYPERLINK("https://lindat.mff.cuni.cz/services/teitok/pdtc10/index.php?action=vallex&amp;frame=v-w7193f2", "upéci (v-w7193f2)")</f>
        <v>upéci (v-w7193f2)</v>
      </c>
    </row>
    <row r="51283" customFormat="false" ht="12.8" hidden="false" customHeight="false" outlineLevel="0" collapsed="false">
      <c r="B51283" s="0" t="s">
        <v>7</v>
      </c>
    </row>
    <row r="51284" customFormat="false" ht="12.8" hidden="false" customHeight="false" outlineLevel="0" collapsed="false">
      <c r="B51284" s="0" t="s">
        <v>14</v>
      </c>
    </row>
    <row r="51285" customFormat="false" ht="12.8" hidden="false" customHeight="false" outlineLevel="0" collapsed="false">
      <c r="B51285" s="0" t="s">
        <v>35</v>
      </c>
    </row>
    <row r="51287" customFormat="false" ht="12.8" hidden="false" customHeight="false" outlineLevel="0" collapsed="false">
      <c r="A51287" s="0" t="s">
        <v>18015</v>
      </c>
      <c r="B51287" s="0" t="str">
        <f aca="false">HYPERLINK("https://lindat.mff.cuni.cz/services/teitok/pdtc10/index.php?action=vallex&amp;frame=v-whsa_417hsa_418", "upíchnout se (v-whsa_417hsa_418)")</f>
        <v>upíchnout se (v-whsa_417hsa_418)</v>
      </c>
    </row>
    <row r="51288" customFormat="false" ht="12.8" hidden="false" customHeight="false" outlineLevel="0" collapsed="false">
      <c r="B51288" s="0" t="s">
        <v>7</v>
      </c>
    </row>
    <row r="51289" customFormat="false" ht="12.8" hidden="false" customHeight="false" outlineLevel="0" collapsed="false">
      <c r="B51289" s="0" t="s">
        <v>124</v>
      </c>
    </row>
    <row r="51291" customFormat="false" ht="12.8" hidden="false" customHeight="false" outlineLevel="0" collapsed="false">
      <c r="A51291" s="0" t="s">
        <v>18016</v>
      </c>
      <c r="B51291" s="0" t="str">
        <f aca="false">HYPERLINK("https://lindat.mff.cuni.cz/services/teitok/pdtc10/index.php?action=vallex&amp;frame=v-w11060f2", "upíjet (v-w11060f2)")</f>
        <v>upíjet (v-w11060f2)</v>
      </c>
    </row>
    <row r="51292" customFormat="false" ht="12.8" hidden="false" customHeight="false" outlineLevel="0" collapsed="false">
      <c r="B51292" s="0" t="s">
        <v>7</v>
      </c>
      <c r="C51292" s="0" t="s">
        <v>191</v>
      </c>
      <c r="D51292" s="0" t="s">
        <v>88</v>
      </c>
      <c r="E51292" s="0" t="s">
        <v>88</v>
      </c>
      <c r="F51292" s="0" t="s">
        <v>88</v>
      </c>
    </row>
    <row r="51293" customFormat="false" ht="12.8" hidden="false" customHeight="false" outlineLevel="0" collapsed="false">
      <c r="B51293" s="0" t="s">
        <v>14</v>
      </c>
      <c r="C51293" s="0" t="s">
        <v>155</v>
      </c>
      <c r="D51293" s="0" t="s">
        <v>74</v>
      </c>
      <c r="E51293" s="0" t="s">
        <v>74</v>
      </c>
      <c r="F51293" s="0" t="s">
        <v>74</v>
      </c>
    </row>
    <row r="51295" customFormat="false" ht="12.8" hidden="false" customHeight="false" outlineLevel="0" collapsed="false">
      <c r="A51295" s="0" t="s">
        <v>18017</v>
      </c>
      <c r="B51295" s="0" t="str">
        <f aca="false">HYPERLINK("https://lindat.mff.cuni.cz/services/teitok/pdtc10/index.php?action=vallex&amp;frame=v-w7200f1", "upínat se (v-w7200f1)")</f>
        <v>upínat se (v-w7200f1)</v>
      </c>
    </row>
    <row r="51296" customFormat="false" ht="12.8" hidden="false" customHeight="false" outlineLevel="0" collapsed="false">
      <c r="B51296" s="0" t="s">
        <v>7</v>
      </c>
    </row>
    <row r="51297" customFormat="false" ht="12.8" hidden="false" customHeight="false" outlineLevel="0" collapsed="false">
      <c r="B51297" s="0" t="s">
        <v>237</v>
      </c>
    </row>
    <row r="51299" customFormat="false" ht="12.8" hidden="false" customHeight="false" outlineLevel="0" collapsed="false">
      <c r="A51299" s="0" t="s">
        <v>18018</v>
      </c>
      <c r="B51299" s="0" t="str">
        <f aca="false">HYPERLINK("https://lindat.mff.cuni.cz/services/teitok/pdtc10/index.php?action=vallex&amp;frame=v-w7201f1", "upírat (v-w7201f1)")</f>
        <v>upírat (v-w7201f1)</v>
      </c>
    </row>
    <row r="51300" customFormat="false" ht="12.8" hidden="false" customHeight="false" outlineLevel="0" collapsed="false">
      <c r="B51300" s="0" t="s">
        <v>7</v>
      </c>
    </row>
    <row r="51301" customFormat="false" ht="12.8" hidden="false" customHeight="false" outlineLevel="0" collapsed="false">
      <c r="B51301" s="0" t="s">
        <v>5859</v>
      </c>
      <c r="C51301" s="0" t="s">
        <v>4407</v>
      </c>
    </row>
    <row r="51302" customFormat="false" ht="12.8" hidden="false" customHeight="false" outlineLevel="0" collapsed="false">
      <c r="B51302" s="0" t="s">
        <v>48</v>
      </c>
      <c r="C51302" s="0" t="s">
        <v>18019</v>
      </c>
    </row>
    <row r="51304" customFormat="false" ht="12.8" hidden="false" customHeight="false" outlineLevel="0" collapsed="false">
      <c r="A51304" s="0" t="s">
        <v>18020</v>
      </c>
      <c r="B51304" s="0" t="str">
        <f aca="false">HYPERLINK("https://lindat.mff.cuni.cz/services/teitok/pdtc10/index.php?action=vallex&amp;frame=v-w7201f2_ZU", "upírat (v-w7201f2_ZU)")</f>
        <v>upírat (v-w7201f2_ZU)</v>
      </c>
    </row>
    <row r="51305" customFormat="false" ht="12.8" hidden="false" customHeight="false" outlineLevel="0" collapsed="false">
      <c r="B51305" s="0" t="s">
        <v>7</v>
      </c>
      <c r="C51305" s="0" t="s">
        <v>184</v>
      </c>
      <c r="D51305" s="0" t="s">
        <v>1435</v>
      </c>
      <c r="E51305" s="0" t="s">
        <v>1435</v>
      </c>
      <c r="F51305" s="0" t="s">
        <v>1435</v>
      </c>
    </row>
    <row r="51306" customFormat="false" ht="12.8" hidden="false" customHeight="false" outlineLevel="0" collapsed="false">
      <c r="B51306" s="0" t="s">
        <v>14</v>
      </c>
      <c r="C51306" s="0" t="s">
        <v>5444</v>
      </c>
      <c r="D51306" s="0" t="s">
        <v>1437</v>
      </c>
      <c r="E51306" s="0" t="s">
        <v>1437</v>
      </c>
      <c r="F51306" s="0" t="s">
        <v>1437</v>
      </c>
    </row>
    <row r="51307" customFormat="false" ht="12.8" hidden="false" customHeight="false" outlineLevel="0" collapsed="false">
      <c r="B51307" s="0" t="s">
        <v>6881</v>
      </c>
      <c r="C51307" s="0" t="s">
        <v>18021</v>
      </c>
      <c r="D51307" s="0" t="s">
        <v>1440</v>
      </c>
      <c r="E51307" s="0" t="s">
        <v>1440</v>
      </c>
      <c r="F51307" s="0" t="s">
        <v>1440</v>
      </c>
    </row>
    <row r="51309" customFormat="false" ht="12.8" hidden="false" customHeight="false" outlineLevel="0" collapsed="false">
      <c r="A51309" s="0" t="s">
        <v>18022</v>
      </c>
      <c r="B51309" s="0" t="str">
        <f aca="false">HYPERLINK("https://lindat.mff.cuni.cz/services/teitok/pdtc10/index.php?action=vallex&amp;frame=v-whsa_1213hsa_1214", "upít (v-whsa_1213hsa_1214)")</f>
        <v>upít (v-whsa_1213hsa_1214)</v>
      </c>
    </row>
    <row r="51310" customFormat="false" ht="12.8" hidden="false" customHeight="false" outlineLevel="0" collapsed="false">
      <c r="B51310" s="0" t="s">
        <v>7</v>
      </c>
    </row>
    <row r="51311" customFormat="false" ht="12.8" hidden="false" customHeight="false" outlineLevel="0" collapsed="false">
      <c r="B51311" s="0" t="s">
        <v>1145</v>
      </c>
    </row>
    <row r="51313" customFormat="false" ht="12.8" hidden="false" customHeight="false" outlineLevel="0" collapsed="false">
      <c r="A51313" s="0" t="s">
        <v>18023</v>
      </c>
      <c r="B51313" s="0" t="str">
        <f aca="false">HYPERLINK("https://lindat.mff.cuni.cz/services/teitok/pdtc10/index.php?action=vallex&amp;frame=v-w7205f1", "upít se (v-w7205f1)")</f>
        <v>upít se (v-w7205f1)</v>
      </c>
    </row>
    <row r="51314" customFormat="false" ht="12.8" hidden="false" customHeight="false" outlineLevel="0" collapsed="false">
      <c r="B51314" s="0" t="s">
        <v>7</v>
      </c>
    </row>
    <row r="51315" customFormat="false" ht="12.8" hidden="false" customHeight="false" outlineLevel="0" collapsed="false">
      <c r="B51315" s="0" t="s">
        <v>1767</v>
      </c>
    </row>
    <row r="51317" customFormat="false" ht="12.8" hidden="false" customHeight="false" outlineLevel="0" collapsed="false">
      <c r="A51317" s="0" t="s">
        <v>18024</v>
      </c>
      <c r="B51317" s="0" t="str">
        <f aca="false">HYPERLINK("https://lindat.mff.cuni.cz/services/teitok/pdtc10/index.php?action=vallex&amp;frame=v-w11081f2", "upřednostnit (v-w11081f2)")</f>
        <v>upřednostnit (v-w11081f2)</v>
      </c>
    </row>
    <row r="51318" customFormat="false" ht="12.8" hidden="false" customHeight="false" outlineLevel="0" collapsed="false">
      <c r="B51318" s="0" t="s">
        <v>7</v>
      </c>
      <c r="C51318" s="0" t="s">
        <v>3042</v>
      </c>
      <c r="D51318" s="0" t="s">
        <v>3054</v>
      </c>
      <c r="E51318" s="0" t="s">
        <v>3054</v>
      </c>
      <c r="F51318" s="0" t="s">
        <v>3054</v>
      </c>
    </row>
    <row r="51319" customFormat="false" ht="12.8" hidden="false" customHeight="false" outlineLevel="0" collapsed="false">
      <c r="B51319" s="0" t="s">
        <v>306</v>
      </c>
      <c r="C51319" s="0" t="s">
        <v>4344</v>
      </c>
      <c r="D51319" s="0" t="s">
        <v>4344</v>
      </c>
      <c r="E51319" s="0" t="s">
        <v>4344</v>
      </c>
      <c r="F51319" s="0" t="s">
        <v>4344</v>
      </c>
    </row>
    <row r="51320" customFormat="false" ht="12.8" hidden="false" customHeight="false" outlineLevel="0" collapsed="false">
      <c r="B51320" s="0" t="s">
        <v>8558</v>
      </c>
      <c r="C51320" s="0" t="s">
        <v>10846</v>
      </c>
      <c r="D51320" s="0" t="s">
        <v>10846</v>
      </c>
      <c r="E51320" s="0" t="s">
        <v>10846</v>
      </c>
      <c r="F51320" s="0" t="s">
        <v>10846</v>
      </c>
    </row>
    <row r="51322" customFormat="false" ht="12.8" hidden="false" customHeight="false" outlineLevel="0" collapsed="false">
      <c r="A51322" s="0" t="s">
        <v>18025</v>
      </c>
      <c r="B51322" s="0" t="str">
        <f aca="false">HYPERLINK("https://lindat.mff.cuni.cz/services/teitok/pdtc10/index.php?action=vallex&amp;frame=v-w7241f1", "upřednostňovat (v-w7241f1)")</f>
        <v>upřednostňovat (v-w7241f1)</v>
      </c>
    </row>
    <row r="51323" customFormat="false" ht="12.8" hidden="false" customHeight="false" outlineLevel="0" collapsed="false">
      <c r="B51323" s="0" t="s">
        <v>7</v>
      </c>
      <c r="C51323" s="0" t="s">
        <v>18026</v>
      </c>
      <c r="D51323" s="0" t="s">
        <v>3054</v>
      </c>
      <c r="E51323" s="0" t="s">
        <v>3054</v>
      </c>
      <c r="F51323" s="0" t="s">
        <v>3054</v>
      </c>
    </row>
    <row r="51324" customFormat="false" ht="12.8" hidden="false" customHeight="false" outlineLevel="0" collapsed="false">
      <c r="B51324" s="0" t="s">
        <v>14</v>
      </c>
      <c r="C51324" s="0" t="s">
        <v>4729</v>
      </c>
      <c r="D51324" s="0" t="s">
        <v>4344</v>
      </c>
      <c r="E51324" s="0" t="s">
        <v>4344</v>
      </c>
      <c r="F51324" s="0" t="s">
        <v>4344</v>
      </c>
    </row>
    <row r="51325" customFormat="false" ht="12.8" hidden="false" customHeight="false" outlineLevel="0" collapsed="false">
      <c r="B51325" s="0" t="s">
        <v>8558</v>
      </c>
      <c r="C51325" s="0" t="s">
        <v>10846</v>
      </c>
      <c r="D51325" s="0" t="s">
        <v>10846</v>
      </c>
      <c r="E51325" s="0" t="s">
        <v>10846</v>
      </c>
      <c r="F51325" s="0" t="s">
        <v>10846</v>
      </c>
    </row>
    <row r="51327" customFormat="false" ht="12.8" hidden="false" customHeight="false" outlineLevel="0" collapsed="false">
      <c r="A51327" s="0" t="s">
        <v>18027</v>
      </c>
      <c r="B51327" s="0" t="str">
        <f aca="false">HYPERLINK("https://lindat.mff.cuni.cz/services/teitok/pdtc10/index.php?action=vallex&amp;frame=v-w7243f1", "upřesnit (v-w7243f1)")</f>
        <v>upřesnit (v-w7243f1)</v>
      </c>
    </row>
    <row r="51328" customFormat="false" ht="12.8" hidden="false" customHeight="false" outlineLevel="0" collapsed="false">
      <c r="B51328" s="0" t="s">
        <v>7</v>
      </c>
      <c r="C51328" s="0" t="s">
        <v>4231</v>
      </c>
      <c r="D51328" s="0" t="s">
        <v>4783</v>
      </c>
      <c r="E51328" s="0" t="s">
        <v>4783</v>
      </c>
      <c r="F51328" s="0" t="s">
        <v>4783</v>
      </c>
    </row>
    <row r="51329" customFormat="false" ht="12.8" hidden="false" customHeight="false" outlineLevel="0" collapsed="false">
      <c r="B51329" s="0" t="s">
        <v>2573</v>
      </c>
      <c r="C51329" s="0" t="s">
        <v>5058</v>
      </c>
      <c r="D51329" s="0" t="s">
        <v>152</v>
      </c>
      <c r="E51329" s="0" t="s">
        <v>152</v>
      </c>
      <c r="F51329" s="0" t="s">
        <v>152</v>
      </c>
    </row>
    <row r="51331" customFormat="false" ht="12.8" hidden="false" customHeight="false" outlineLevel="0" collapsed="false">
      <c r="A51331" s="0" t="s">
        <v>18028</v>
      </c>
      <c r="B51331" s="0" t="str">
        <f aca="false">HYPERLINK("https://lindat.mff.cuni.cz/services/teitok/pdtc10/index.php?action=vallex&amp;frame=v-w7244f1", "upřesňovat (v-w7244f1)")</f>
        <v>upřesňovat (v-w7244f1)</v>
      </c>
    </row>
    <row r="51332" customFormat="false" ht="12.8" hidden="false" customHeight="false" outlineLevel="0" collapsed="false">
      <c r="B51332" s="0" t="s">
        <v>7</v>
      </c>
      <c r="C51332" s="0" t="s">
        <v>2736</v>
      </c>
      <c r="D51332" s="0" t="s">
        <v>4783</v>
      </c>
      <c r="E51332" s="0" t="s">
        <v>4783</v>
      </c>
      <c r="F51332" s="0" t="s">
        <v>4783</v>
      </c>
    </row>
    <row r="51333" customFormat="false" ht="12.8" hidden="false" customHeight="false" outlineLevel="0" collapsed="false">
      <c r="B51333" s="0" t="s">
        <v>2573</v>
      </c>
      <c r="C51333" s="0" t="s">
        <v>151</v>
      </c>
      <c r="D51333" s="0" t="s">
        <v>152</v>
      </c>
      <c r="E51333" s="0" t="s">
        <v>152</v>
      </c>
      <c r="F51333" s="0" t="s">
        <v>152</v>
      </c>
    </row>
    <row r="51335" customFormat="false" ht="12.8" hidden="false" customHeight="false" outlineLevel="0" collapsed="false">
      <c r="A51335" s="0" t="s">
        <v>18029</v>
      </c>
      <c r="B51335" s="0" t="str">
        <f aca="false">HYPERLINK("https://lindat.mff.cuni.cz/services/teitok/pdtc10/index.php?action=vallex&amp;frame=v-w7245f1", "upřít (v-w7245f1)")</f>
        <v>upřít (v-w7245f1)</v>
      </c>
    </row>
    <row r="51336" customFormat="false" ht="12.8" hidden="false" customHeight="false" outlineLevel="0" collapsed="false">
      <c r="B51336" s="0" t="s">
        <v>7</v>
      </c>
      <c r="C51336" s="0" t="s">
        <v>8730</v>
      </c>
    </row>
    <row r="51337" customFormat="false" ht="12.8" hidden="false" customHeight="false" outlineLevel="0" collapsed="false">
      <c r="B51337" s="0" t="s">
        <v>54</v>
      </c>
      <c r="C51337" s="0" t="s">
        <v>18030</v>
      </c>
    </row>
    <row r="51338" customFormat="false" ht="12.8" hidden="false" customHeight="false" outlineLevel="0" collapsed="false">
      <c r="B51338" s="0" t="s">
        <v>48</v>
      </c>
      <c r="C51338" s="0" t="s">
        <v>2942</v>
      </c>
    </row>
    <row r="51340" customFormat="false" ht="12.8" hidden="false" customHeight="false" outlineLevel="0" collapsed="false">
      <c r="A51340" s="0" t="s">
        <v>18031</v>
      </c>
      <c r="B51340" s="0" t="str">
        <f aca="false">HYPERLINK("https://lindat.mff.cuni.cz/services/teitok/pdtc10/index.php?action=vallex&amp;frame=v-w7245f2", "upřít (v-w7245f2)")</f>
        <v>upřít (v-w7245f2)</v>
      </c>
    </row>
    <row r="51341" customFormat="false" ht="12.8" hidden="false" customHeight="false" outlineLevel="0" collapsed="false">
      <c r="B51341" s="0" t="s">
        <v>7</v>
      </c>
      <c r="E51341" s="0" t="s">
        <v>18032</v>
      </c>
      <c r="F51341" s="0" t="s">
        <v>18032</v>
      </c>
    </row>
    <row r="51342" customFormat="false" ht="12.8" hidden="false" customHeight="false" outlineLevel="0" collapsed="false">
      <c r="B51342" s="0" t="s">
        <v>18033</v>
      </c>
      <c r="E51342" s="0" t="s">
        <v>18034</v>
      </c>
      <c r="F51342" s="0" t="s">
        <v>18034</v>
      </c>
    </row>
    <row r="51343" customFormat="false" ht="12.8" hidden="false" customHeight="false" outlineLevel="0" collapsed="false">
      <c r="B51343" s="0" t="s">
        <v>124</v>
      </c>
      <c r="E51343" s="0" t="s">
        <v>18035</v>
      </c>
      <c r="F51343" s="0" t="s">
        <v>18035</v>
      </c>
    </row>
    <row r="51345" customFormat="false" ht="12.8" hidden="false" customHeight="false" outlineLevel="0" collapsed="false">
      <c r="A51345" s="0" t="s">
        <v>18036</v>
      </c>
      <c r="B51345" s="0" t="str">
        <f aca="false">HYPERLINK("https://lindat.mff.cuni.cz/services/teitok/pdtc10/index.php?action=vallex&amp;frame=v-w7249f1", "urazit (v-w7249f1)")</f>
        <v>urazit (v-w7249f1)</v>
      </c>
    </row>
    <row r="51346" customFormat="false" ht="12.8" hidden="false" customHeight="false" outlineLevel="0" collapsed="false">
      <c r="B51346" s="0" t="s">
        <v>7</v>
      </c>
      <c r="C51346" s="0" t="s">
        <v>569</v>
      </c>
      <c r="D51346" s="0" t="s">
        <v>335</v>
      </c>
      <c r="E51346" s="0" t="s">
        <v>335</v>
      </c>
      <c r="F51346" s="0" t="s">
        <v>335</v>
      </c>
    </row>
    <row r="51347" customFormat="false" ht="12.8" hidden="false" customHeight="false" outlineLevel="0" collapsed="false">
      <c r="B51347" s="0" t="s">
        <v>14</v>
      </c>
      <c r="C51347" s="0" t="s">
        <v>1405</v>
      </c>
      <c r="D51347" s="0" t="s">
        <v>74</v>
      </c>
      <c r="E51347" s="0" t="s">
        <v>74</v>
      </c>
      <c r="F51347" s="0" t="s">
        <v>74</v>
      </c>
    </row>
    <row r="51349" customFormat="false" ht="12.8" hidden="false" customHeight="false" outlineLevel="0" collapsed="false">
      <c r="A51349" s="0" t="s">
        <v>18037</v>
      </c>
      <c r="B51349" s="0" t="str">
        <f aca="false">HYPERLINK("https://lindat.mff.cuni.cz/services/teitok/pdtc10/index.php?action=vallex&amp;frame=v-w7249f2", "urazit (v-w7249f2)")</f>
        <v>urazit (v-w7249f2)</v>
      </c>
    </row>
    <row r="51350" customFormat="false" ht="12.8" hidden="false" customHeight="false" outlineLevel="0" collapsed="false">
      <c r="B51350" s="0" t="s">
        <v>7</v>
      </c>
    </row>
    <row r="51351" customFormat="false" ht="12.8" hidden="false" customHeight="false" outlineLevel="0" collapsed="false">
      <c r="B51351" s="0" t="s">
        <v>14</v>
      </c>
    </row>
    <row r="51353" customFormat="false" ht="12.8" hidden="false" customHeight="false" outlineLevel="0" collapsed="false">
      <c r="A51353" s="0" t="s">
        <v>18038</v>
      </c>
      <c r="B51353" s="0" t="str">
        <f aca="false">HYPERLINK("https://lindat.mff.cuni.cz/services/teitok/pdtc10/index.php?action=vallex&amp;frame=v-w7249f3", "urazit (v-w7249f3)")</f>
        <v>urazit (v-w7249f3)</v>
      </c>
    </row>
    <row r="51354" customFormat="false" ht="12.8" hidden="false" customHeight="false" outlineLevel="0" collapsed="false">
      <c r="B51354" s="0" t="s">
        <v>7</v>
      </c>
    </row>
    <row r="51355" customFormat="false" ht="12.8" hidden="false" customHeight="false" outlineLevel="0" collapsed="false">
      <c r="B51355" s="0" t="s">
        <v>14</v>
      </c>
    </row>
    <row r="51357" customFormat="false" ht="12.8" hidden="false" customHeight="false" outlineLevel="0" collapsed="false">
      <c r="A51357" s="0" t="s">
        <v>18039</v>
      </c>
      <c r="B51357" s="0" t="str">
        <f aca="false">HYPERLINK("https://lindat.mff.cuni.cz/services/teitok/pdtc10/index.php?action=vallex&amp;frame=v-w7250f1", "urazit se (v-w7250f1)")</f>
        <v>urazit se (v-w7250f1)</v>
      </c>
    </row>
    <row r="51358" customFormat="false" ht="12.8" hidden="false" customHeight="false" outlineLevel="0" collapsed="false">
      <c r="B51358" s="0" t="s">
        <v>7</v>
      </c>
    </row>
    <row r="51360" customFormat="false" ht="12.8" hidden="false" customHeight="false" outlineLevel="0" collapsed="false">
      <c r="A51360" s="0" t="s">
        <v>18040</v>
      </c>
      <c r="B51360" s="0" t="str">
        <f aca="false">HYPERLINK("https://lindat.mff.cuni.cz/services/teitok/pdtc10/index.php?action=vallex&amp;frame=v-w7259f1", "urgovat (v-w7259f1)")</f>
        <v>urgovat (v-w7259f1)</v>
      </c>
    </row>
    <row r="51361" customFormat="false" ht="12.8" hidden="false" customHeight="false" outlineLevel="0" collapsed="false">
      <c r="B51361" s="0" t="s">
        <v>7</v>
      </c>
      <c r="D51361" s="0" t="s">
        <v>18041</v>
      </c>
      <c r="E51361" s="0" t="s">
        <v>18041</v>
      </c>
      <c r="F51361" s="0" t="s">
        <v>18041</v>
      </c>
    </row>
    <row r="51362" customFormat="false" ht="12.8" hidden="false" customHeight="false" outlineLevel="0" collapsed="false">
      <c r="B51362" s="0" t="s">
        <v>14</v>
      </c>
      <c r="D51362" s="0" t="s">
        <v>18042</v>
      </c>
      <c r="E51362" s="0" t="s">
        <v>18043</v>
      </c>
      <c r="F51362" s="0" t="s">
        <v>18043</v>
      </c>
    </row>
    <row r="51364" customFormat="false" ht="12.8" hidden="false" customHeight="false" outlineLevel="0" collapsed="false">
      <c r="A51364" s="0" t="s">
        <v>18044</v>
      </c>
      <c r="B51364" s="0" t="str">
        <f aca="false">HYPERLINK("https://lindat.mff.cuni.cz/services/teitok/pdtc10/index.php?action=vallex&amp;frame=v-whsa_390hsa_391", "urodit se (v-whsa_390hsa_391)")</f>
        <v>urodit se (v-whsa_390hsa_391)</v>
      </c>
    </row>
    <row r="51365" customFormat="false" ht="12.8" hidden="false" customHeight="false" outlineLevel="0" collapsed="false">
      <c r="B51365" s="0" t="s">
        <v>7</v>
      </c>
    </row>
    <row r="51367" customFormat="false" ht="12.8" hidden="false" customHeight="false" outlineLevel="0" collapsed="false">
      <c r="A51367" s="0" t="s">
        <v>18045</v>
      </c>
      <c r="B51367" s="0" t="str">
        <f aca="false">HYPERLINK("https://lindat.mff.cuni.cz/services/teitok/pdtc10/index.php?action=vallex&amp;frame=v-whsa_1894f1_ZU", "uronit (v-whsa_1894f1_ZU)")</f>
        <v>uronit (v-whsa_1894f1_ZU)</v>
      </c>
    </row>
    <row r="51368" customFormat="false" ht="12.8" hidden="false" customHeight="false" outlineLevel="0" collapsed="false">
      <c r="B51368" s="0" t="s">
        <v>7</v>
      </c>
    </row>
    <row r="51369" customFormat="false" ht="12.8" hidden="false" customHeight="false" outlineLevel="0" collapsed="false">
      <c r="B51369" s="0" t="s">
        <v>18046</v>
      </c>
    </row>
    <row r="51371" customFormat="false" ht="12.8" hidden="false" customHeight="false" outlineLevel="0" collapsed="false">
      <c r="A51371" s="0" t="s">
        <v>18045</v>
      </c>
      <c r="B51371" s="0" t="str">
        <f aca="false">HYPERLINK("https://lindat.mff.cuni.cz/services/teitok/pdtc10/index.php?action=vallex&amp;frame=v-whsa_1894hsa_1895", "uronit (v-whsa_1894hsa_1895) - substituted with v-whsa_1894f1_ZU")</f>
        <v>uronit (v-whsa_1894hsa_1895) - substituted with v-whsa_1894f1_ZU</v>
      </c>
    </row>
    <row r="51372" customFormat="false" ht="12.8" hidden="false" customHeight="false" outlineLevel="0" collapsed="false">
      <c r="B51372" s="0" t="s">
        <v>7</v>
      </c>
    </row>
    <row r="51373" customFormat="false" ht="12.8" hidden="false" customHeight="false" outlineLevel="0" collapsed="false">
      <c r="B51373" s="0" t="s">
        <v>18046</v>
      </c>
    </row>
    <row r="51375" customFormat="false" ht="12.8" hidden="false" customHeight="false" outlineLevel="0" collapsed="false">
      <c r="A51375" s="0" t="s">
        <v>18047</v>
      </c>
      <c r="B51375" s="0" t="str">
        <f aca="false">HYPERLINK("https://lindat.mff.cuni.cz/services/teitok/pdtc10/index.php?action=vallex&amp;frame=v-w7265f2_ZU", "urovnat (v-w7265f2_ZU)")</f>
        <v>urovnat (v-w7265f2_ZU)</v>
      </c>
    </row>
    <row r="51376" customFormat="false" ht="12.8" hidden="false" customHeight="false" outlineLevel="0" collapsed="false">
      <c r="B51376" s="0" t="s">
        <v>7</v>
      </c>
      <c r="D51376" s="0" t="s">
        <v>18048</v>
      </c>
      <c r="E51376" s="0" t="s">
        <v>18048</v>
      </c>
      <c r="F51376" s="0" t="s">
        <v>18049</v>
      </c>
    </row>
    <row r="51377" customFormat="false" ht="12.8" hidden="false" customHeight="false" outlineLevel="0" collapsed="false">
      <c r="B51377" s="0" t="s">
        <v>14</v>
      </c>
      <c r="D51377" s="0" t="s">
        <v>18050</v>
      </c>
      <c r="E51377" s="0" t="s">
        <v>18050</v>
      </c>
      <c r="F51377" s="0" t="s">
        <v>18051</v>
      </c>
    </row>
    <row r="51379" customFormat="false" ht="12.8" hidden="false" customHeight="false" outlineLevel="0" collapsed="false">
      <c r="A51379" s="0" t="s">
        <v>18047</v>
      </c>
      <c r="B51379" s="0" t="str">
        <f aca="false">HYPERLINK("https://lindat.mff.cuni.cz/services/teitok/pdtc10/index.php?action=vallex&amp;frame=v-w7265f1", "urovnat (v-w7265f1) - substituted with v-w7265f2_ZU")</f>
        <v>urovnat (v-w7265f1) - substituted with v-w7265f2_ZU</v>
      </c>
    </row>
    <row r="51380" customFormat="false" ht="12.8" hidden="false" customHeight="false" outlineLevel="0" collapsed="false">
      <c r="B51380" s="0" t="s">
        <v>7</v>
      </c>
      <c r="C51380" s="0" t="s">
        <v>4783</v>
      </c>
    </row>
    <row r="51381" customFormat="false" ht="12.8" hidden="false" customHeight="false" outlineLevel="0" collapsed="false">
      <c r="B51381" s="0" t="s">
        <v>14</v>
      </c>
      <c r="C51381" s="0" t="s">
        <v>18052</v>
      </c>
    </row>
    <row r="51383" customFormat="false" ht="12.8" hidden="false" customHeight="false" outlineLevel="0" collapsed="false">
      <c r="A51383" s="0" t="s">
        <v>18053</v>
      </c>
      <c r="B51383" s="0" t="str">
        <f aca="false">HYPERLINK("https://lindat.mff.cuni.cz/services/teitok/pdtc10/index.php?action=vallex&amp;frame=v-whsa_20hsa_21", "urovnávat (v-whsa_20hsa_21)")</f>
        <v>urovnávat (v-whsa_20hsa_21)</v>
      </c>
    </row>
    <row r="51384" customFormat="false" ht="12.8" hidden="false" customHeight="false" outlineLevel="0" collapsed="false">
      <c r="B51384" s="0" t="s">
        <v>7</v>
      </c>
      <c r="C51384" s="0" t="s">
        <v>1263</v>
      </c>
      <c r="D51384" s="0" t="s">
        <v>4732</v>
      </c>
      <c r="E51384" s="0" t="s">
        <v>4732</v>
      </c>
      <c r="F51384" s="0" t="s">
        <v>18054</v>
      </c>
    </row>
    <row r="51385" customFormat="false" ht="12.8" hidden="false" customHeight="false" outlineLevel="0" collapsed="false">
      <c r="B51385" s="0" t="s">
        <v>14</v>
      </c>
      <c r="C51385" s="0" t="s">
        <v>12750</v>
      </c>
      <c r="D51385" s="0" t="s">
        <v>4737</v>
      </c>
      <c r="E51385" s="0" t="s">
        <v>4737</v>
      </c>
      <c r="F51385" s="0" t="s">
        <v>10824</v>
      </c>
    </row>
    <row r="51387" customFormat="false" ht="12.8" hidden="false" customHeight="false" outlineLevel="0" collapsed="false">
      <c r="A51387" s="0" t="s">
        <v>18055</v>
      </c>
      <c r="B51387" s="0" t="str">
        <f aca="false">HYPERLINK("https://lindat.mff.cuni.cz/services/teitok/pdtc10/index.php?action=vallex&amp;frame=v-w10481f2", "urvat (v-w10481f2)")</f>
        <v>urvat (v-w10481f2)</v>
      </c>
    </row>
    <row r="51388" customFormat="false" ht="12.8" hidden="false" customHeight="false" outlineLevel="0" collapsed="false">
      <c r="B51388" s="0" t="s">
        <v>7</v>
      </c>
    </row>
    <row r="51389" customFormat="false" ht="12.8" hidden="false" customHeight="false" outlineLevel="0" collapsed="false">
      <c r="B51389" s="0" t="s">
        <v>14</v>
      </c>
    </row>
    <row r="51390" customFormat="false" ht="12.8" hidden="false" customHeight="false" outlineLevel="0" collapsed="false">
      <c r="B51390" s="0" t="s">
        <v>35</v>
      </c>
    </row>
    <row r="51392" customFormat="false" ht="12.8" hidden="false" customHeight="false" outlineLevel="0" collapsed="false">
      <c r="A51392" s="0" t="s">
        <v>18056</v>
      </c>
      <c r="B51392" s="0" t="str">
        <f aca="false">HYPERLINK("https://lindat.mff.cuni.cz/services/teitok/pdtc10/index.php?action=vallex&amp;frame=v-w7267f1", "urychlit (v-w7267f1)")</f>
        <v>urychlit (v-w7267f1)</v>
      </c>
    </row>
    <row r="51393" customFormat="false" ht="12.8" hidden="false" customHeight="false" outlineLevel="0" collapsed="false">
      <c r="B51393" s="0" t="s">
        <v>7</v>
      </c>
      <c r="C51393" s="0" t="s">
        <v>18057</v>
      </c>
      <c r="D51393" s="0" t="s">
        <v>10610</v>
      </c>
      <c r="E51393" s="0" t="s">
        <v>10610</v>
      </c>
      <c r="F51393" s="0" t="s">
        <v>10610</v>
      </c>
    </row>
    <row r="51394" customFormat="false" ht="12.8" hidden="false" customHeight="false" outlineLevel="0" collapsed="false">
      <c r="B51394" s="0" t="s">
        <v>14</v>
      </c>
      <c r="C51394" s="0" t="s">
        <v>18058</v>
      </c>
      <c r="D51394" s="0" t="s">
        <v>5103</v>
      </c>
      <c r="E51394" s="0" t="s">
        <v>5103</v>
      </c>
      <c r="F51394" s="0" t="s">
        <v>5103</v>
      </c>
    </row>
    <row r="51395" customFormat="false" ht="12.8" hidden="false" customHeight="false" outlineLevel="0" collapsed="false">
      <c r="B51395" s="0" t="s">
        <v>35</v>
      </c>
    </row>
    <row r="51396" customFormat="false" ht="12.8" hidden="false" customHeight="false" outlineLevel="0" collapsed="false">
      <c r="B51396" s="0" t="s">
        <v>84</v>
      </c>
    </row>
    <row r="51398" customFormat="false" ht="12.8" hidden="false" customHeight="false" outlineLevel="0" collapsed="false">
      <c r="A51398" s="0" t="s">
        <v>18059</v>
      </c>
      <c r="B51398" s="0" t="str">
        <f aca="false">HYPERLINK("https://lindat.mff.cuni.cz/services/teitok/pdtc10/index.php?action=vallex&amp;frame=v-w7268f1", "urychlovat (v-w7268f1)")</f>
        <v>urychlovat (v-w7268f1)</v>
      </c>
    </row>
    <row r="51399" customFormat="false" ht="12.8" hidden="false" customHeight="false" outlineLevel="0" collapsed="false">
      <c r="B51399" s="0" t="s">
        <v>7</v>
      </c>
      <c r="C51399" s="0" t="s">
        <v>2170</v>
      </c>
      <c r="D51399" s="0" t="s">
        <v>10610</v>
      </c>
      <c r="E51399" s="0" t="s">
        <v>10610</v>
      </c>
      <c r="F51399" s="0" t="s">
        <v>10610</v>
      </c>
    </row>
    <row r="51400" customFormat="false" ht="12.8" hidden="false" customHeight="false" outlineLevel="0" collapsed="false">
      <c r="B51400" s="0" t="s">
        <v>14</v>
      </c>
      <c r="C51400" s="0" t="s">
        <v>2642</v>
      </c>
      <c r="D51400" s="0" t="s">
        <v>5103</v>
      </c>
      <c r="E51400" s="0" t="s">
        <v>5103</v>
      </c>
      <c r="F51400" s="0" t="s">
        <v>5103</v>
      </c>
    </row>
    <row r="51401" customFormat="false" ht="12.8" hidden="false" customHeight="false" outlineLevel="0" collapsed="false">
      <c r="B51401" s="0" t="s">
        <v>35</v>
      </c>
    </row>
    <row r="51402" customFormat="false" ht="12.8" hidden="false" customHeight="false" outlineLevel="0" collapsed="false">
      <c r="B51402" s="0" t="s">
        <v>84</v>
      </c>
    </row>
    <row r="51404" customFormat="false" ht="12.8" hidden="false" customHeight="false" outlineLevel="0" collapsed="false">
      <c r="A51404" s="0" t="s">
        <v>18060</v>
      </c>
      <c r="B51404" s="0" t="str">
        <f aca="false">HYPERLINK("https://lindat.mff.cuni.cz/services/teitok/pdtc10/index.php?action=vallex&amp;frame=v-w7251f1", "urážet (v-w7251f1)")</f>
        <v>urážet (v-w7251f1)</v>
      </c>
    </row>
    <row r="51405" customFormat="false" ht="12.8" hidden="false" customHeight="false" outlineLevel="0" collapsed="false">
      <c r="B51405" s="0" t="s">
        <v>7</v>
      </c>
      <c r="C51405" s="0" t="s">
        <v>335</v>
      </c>
      <c r="D51405" s="0" t="s">
        <v>335</v>
      </c>
      <c r="E51405" s="0" t="s">
        <v>335</v>
      </c>
      <c r="F51405" s="0" t="s">
        <v>335</v>
      </c>
    </row>
    <row r="51406" customFormat="false" ht="12.8" hidden="false" customHeight="false" outlineLevel="0" collapsed="false">
      <c r="B51406" s="0" t="s">
        <v>14</v>
      </c>
      <c r="C51406" s="0" t="s">
        <v>33</v>
      </c>
      <c r="D51406" s="0" t="s">
        <v>74</v>
      </c>
      <c r="E51406" s="0" t="s">
        <v>74</v>
      </c>
      <c r="F51406" s="0" t="s">
        <v>74</v>
      </c>
    </row>
    <row r="51408" customFormat="false" ht="12.8" hidden="false" customHeight="false" outlineLevel="0" collapsed="false">
      <c r="A51408" s="0" t="s">
        <v>18061</v>
      </c>
      <c r="B51408" s="0" t="str">
        <f aca="false">HYPERLINK("https://lindat.mff.cuni.cz/services/teitok/pdtc10/index.php?action=vallex&amp;frame=v-w7251f2", "urážet (v-w7251f2)")</f>
        <v>urážet (v-w7251f2)</v>
      </c>
    </row>
    <row r="51409" customFormat="false" ht="12.8" hidden="false" customHeight="false" outlineLevel="0" collapsed="false">
      <c r="B51409" s="0" t="s">
        <v>7</v>
      </c>
    </row>
    <row r="51410" customFormat="false" ht="12.8" hidden="false" customHeight="false" outlineLevel="0" collapsed="false">
      <c r="B51410" s="0" t="s">
        <v>14</v>
      </c>
    </row>
    <row r="51412" customFormat="false" ht="12.8" hidden="false" customHeight="false" outlineLevel="0" collapsed="false">
      <c r="A51412" s="0" t="s">
        <v>18062</v>
      </c>
      <c r="B51412" s="0" t="str">
        <f aca="false">HYPERLINK("https://lindat.mff.cuni.cz/services/teitok/pdtc10/index.php?action=vallex&amp;frame=v-w7255f8_ZU", "určit (v-w7255f8_ZU)")</f>
        <v>určit (v-w7255f8_ZU)</v>
      </c>
    </row>
    <row r="51413" customFormat="false" ht="12.8" hidden="false" customHeight="false" outlineLevel="0" collapsed="false">
      <c r="B51413" s="0" t="s">
        <v>7</v>
      </c>
    </row>
    <row r="51414" customFormat="false" ht="12.8" hidden="false" customHeight="false" outlineLevel="0" collapsed="false">
      <c r="B51414" s="0" t="s">
        <v>54</v>
      </c>
    </row>
    <row r="51415" customFormat="false" ht="12.8" hidden="false" customHeight="false" outlineLevel="0" collapsed="false">
      <c r="B51415" s="0" t="s">
        <v>106</v>
      </c>
    </row>
    <row r="51416" customFormat="false" ht="12.8" hidden="false" customHeight="false" outlineLevel="0" collapsed="false">
      <c r="B51416" s="0" t="s">
        <v>2946</v>
      </c>
    </row>
    <row r="51418" customFormat="false" ht="12.8" hidden="false" customHeight="false" outlineLevel="0" collapsed="false">
      <c r="A51418" s="0" t="s">
        <v>18062</v>
      </c>
      <c r="B51418" s="0" t="str">
        <f aca="false">HYPERLINK("https://lindat.mff.cuni.cz/services/teitok/pdtc10/index.php?action=vallex&amp;frame=v-w7255f5", "určit (v-w7255f5) - substituted with v-w7255f8_ZU")</f>
        <v>určit (v-w7255f5) - substituted with v-w7255f8_ZU</v>
      </c>
    </row>
    <row r="51419" customFormat="false" ht="12.8" hidden="false" customHeight="false" outlineLevel="0" collapsed="false">
      <c r="B51419" s="0" t="s">
        <v>7</v>
      </c>
      <c r="C51419" s="0" t="s">
        <v>10190</v>
      </c>
    </row>
    <row r="51420" customFormat="false" ht="12.8" hidden="false" customHeight="false" outlineLevel="0" collapsed="false">
      <c r="B51420" s="0" t="s">
        <v>54</v>
      </c>
      <c r="C51420" s="0" t="s">
        <v>18063</v>
      </c>
    </row>
    <row r="51421" customFormat="false" ht="12.8" hidden="false" customHeight="false" outlineLevel="0" collapsed="false">
      <c r="B51421" s="0" t="s">
        <v>106</v>
      </c>
    </row>
    <row r="51422" customFormat="false" ht="12.8" hidden="false" customHeight="false" outlineLevel="0" collapsed="false">
      <c r="B51422" s="0" t="s">
        <v>2946</v>
      </c>
    </row>
    <row r="51424" customFormat="false" ht="12.8" hidden="false" customHeight="false" outlineLevel="0" collapsed="false">
      <c r="A51424" s="0" t="s">
        <v>18064</v>
      </c>
      <c r="B51424" s="0" t="str">
        <f aca="false">HYPERLINK("https://lindat.mff.cuni.cz/services/teitok/pdtc10/index.php?action=vallex&amp;frame=v-w7255f3", "určit (v-w7255f3)")</f>
        <v>určit (v-w7255f3)</v>
      </c>
    </row>
    <row r="51425" customFormat="false" ht="12.8" hidden="false" customHeight="false" outlineLevel="0" collapsed="false">
      <c r="B51425" s="0" t="s">
        <v>7</v>
      </c>
      <c r="C51425" s="0" t="s">
        <v>4783</v>
      </c>
      <c r="D51425" s="0" t="s">
        <v>2530</v>
      </c>
      <c r="E51425" s="0" t="s">
        <v>2530</v>
      </c>
      <c r="F51425" s="0" t="s">
        <v>2530</v>
      </c>
    </row>
    <row r="51426" customFormat="false" ht="12.8" hidden="false" customHeight="false" outlineLevel="0" collapsed="false">
      <c r="B51426" s="0" t="s">
        <v>2313</v>
      </c>
      <c r="C51426" s="0" t="s">
        <v>18065</v>
      </c>
      <c r="D51426" s="0" t="s">
        <v>8362</v>
      </c>
      <c r="E51426" s="0" t="s">
        <v>8362</v>
      </c>
      <c r="F51426" s="0" t="s">
        <v>8362</v>
      </c>
    </row>
    <row r="51427" customFormat="false" ht="12.8" hidden="false" customHeight="false" outlineLevel="0" collapsed="false">
      <c r="B51427" s="0" t="s">
        <v>3012</v>
      </c>
      <c r="C51427" s="0" t="s">
        <v>18066</v>
      </c>
      <c r="D51427" s="0" t="s">
        <v>1486</v>
      </c>
      <c r="E51427" s="0" t="s">
        <v>1486</v>
      </c>
      <c r="F51427" s="0" t="s">
        <v>1486</v>
      </c>
    </row>
    <row r="51429" customFormat="false" ht="12.8" hidden="false" customHeight="false" outlineLevel="0" collapsed="false">
      <c r="A51429" s="0" t="s">
        <v>18067</v>
      </c>
      <c r="B51429" s="0" t="str">
        <f aca="false">HYPERLINK("https://lindat.mff.cuni.cz/services/teitok/pdtc10/index.php?action=vallex&amp;frame=v-w7255f6", "určit (v-w7255f6)")</f>
        <v>určit (v-w7255f6)</v>
      </c>
    </row>
    <row r="51430" customFormat="false" ht="12.8" hidden="false" customHeight="false" outlineLevel="0" collapsed="false">
      <c r="B51430" s="0" t="s">
        <v>7</v>
      </c>
      <c r="D51430" s="0" t="s">
        <v>1435</v>
      </c>
      <c r="E51430" s="0" t="s">
        <v>1435</v>
      </c>
      <c r="F51430" s="0" t="s">
        <v>1435</v>
      </c>
    </row>
    <row r="51431" customFormat="false" ht="12.8" hidden="false" customHeight="false" outlineLevel="0" collapsed="false">
      <c r="B51431" s="0" t="s">
        <v>14</v>
      </c>
      <c r="D51431" s="0" t="s">
        <v>1437</v>
      </c>
      <c r="E51431" s="0" t="s">
        <v>1437</v>
      </c>
      <c r="F51431" s="0" t="s">
        <v>1437</v>
      </c>
    </row>
    <row r="51432" customFormat="false" ht="12.8" hidden="false" customHeight="false" outlineLevel="0" collapsed="false">
      <c r="B51432" s="0" t="s">
        <v>122</v>
      </c>
      <c r="D51432" s="0" t="s">
        <v>7726</v>
      </c>
      <c r="E51432" s="0" t="s">
        <v>7726</v>
      </c>
      <c r="F51432" s="0" t="s">
        <v>7726</v>
      </c>
    </row>
    <row r="51434" customFormat="false" ht="12.8" hidden="false" customHeight="false" outlineLevel="0" collapsed="false">
      <c r="A51434" s="0" t="s">
        <v>18068</v>
      </c>
      <c r="B51434" s="0" t="str">
        <f aca="false">HYPERLINK("https://lindat.mff.cuni.cz/services/teitok/pdtc10/index.php?action=vallex&amp;frame=v-w7255f4", "určit (v-w7255f4)")</f>
        <v>určit (v-w7255f4)</v>
      </c>
    </row>
    <row r="51435" customFormat="false" ht="12.8" hidden="false" customHeight="false" outlineLevel="0" collapsed="false">
      <c r="B51435" s="0" t="s">
        <v>7</v>
      </c>
    </row>
    <row r="51436" customFormat="false" ht="12.8" hidden="false" customHeight="false" outlineLevel="0" collapsed="false">
      <c r="B51436" s="0" t="s">
        <v>14</v>
      </c>
    </row>
    <row r="51437" customFormat="false" ht="12.8" hidden="false" customHeight="false" outlineLevel="0" collapsed="false">
      <c r="B51437" s="0" t="s">
        <v>18069</v>
      </c>
    </row>
    <row r="51439" customFormat="false" ht="12.8" hidden="false" customHeight="false" outlineLevel="0" collapsed="false">
      <c r="A51439" s="0" t="s">
        <v>18070</v>
      </c>
      <c r="B51439" s="0" t="str">
        <f aca="false">HYPERLINK("https://lindat.mff.cuni.cz/services/teitok/pdtc10/index.php?action=vallex&amp;frame=v-w7255f1", "určit (v-w7255f1)")</f>
        <v>určit (v-w7255f1)</v>
      </c>
    </row>
    <row r="51440" customFormat="false" ht="12.8" hidden="false" customHeight="false" outlineLevel="0" collapsed="false">
      <c r="B51440" s="0" t="s">
        <v>7</v>
      </c>
      <c r="C51440" s="0" t="s">
        <v>18071</v>
      </c>
      <c r="D51440" s="0" t="s">
        <v>18072</v>
      </c>
      <c r="E51440" s="0" t="s">
        <v>18072</v>
      </c>
      <c r="F51440" s="0" t="s">
        <v>18072</v>
      </c>
    </row>
    <row r="51441" customFormat="false" ht="12.8" hidden="false" customHeight="false" outlineLevel="0" collapsed="false">
      <c r="B51441" s="0" t="s">
        <v>14</v>
      </c>
      <c r="C51441" s="0" t="s">
        <v>18073</v>
      </c>
      <c r="D51441" s="0" t="s">
        <v>18074</v>
      </c>
      <c r="E51441" s="0" t="s">
        <v>18074</v>
      </c>
      <c r="F51441" s="0" t="s">
        <v>18074</v>
      </c>
    </row>
    <row r="51442" customFormat="false" ht="12.8" hidden="false" customHeight="false" outlineLevel="0" collapsed="false">
      <c r="B51442" s="0" t="s">
        <v>84</v>
      </c>
      <c r="C51442" s="0" t="s">
        <v>18075</v>
      </c>
      <c r="D51442" s="0" t="s">
        <v>1139</v>
      </c>
      <c r="E51442" s="0" t="s">
        <v>1139</v>
      </c>
      <c r="F51442" s="0" t="s">
        <v>1139</v>
      </c>
    </row>
    <row r="51444" customFormat="false" ht="12.8" hidden="false" customHeight="false" outlineLevel="0" collapsed="false">
      <c r="A51444" s="0" t="s">
        <v>18076</v>
      </c>
      <c r="B51444" s="0" t="str">
        <f aca="false">HYPERLINK("https://lindat.mff.cuni.cz/services/teitok/pdtc10/index.php?action=vallex&amp;frame=v-w7255f2", "určit (v-w7255f2)")</f>
        <v>určit (v-w7255f2)</v>
      </c>
    </row>
    <row r="51445" customFormat="false" ht="12.8" hidden="false" customHeight="false" outlineLevel="0" collapsed="false">
      <c r="B51445" s="0" t="s">
        <v>7</v>
      </c>
      <c r="C51445" s="0" t="s">
        <v>6495</v>
      </c>
      <c r="D51445" s="0" t="s">
        <v>18077</v>
      </c>
      <c r="E51445" s="0" t="s">
        <v>18077</v>
      </c>
      <c r="F51445" s="0" t="s">
        <v>18077</v>
      </c>
    </row>
    <row r="51446" customFormat="false" ht="12.8" hidden="false" customHeight="false" outlineLevel="0" collapsed="false">
      <c r="B51446" s="0" t="s">
        <v>8144</v>
      </c>
      <c r="C51446" s="0" t="s">
        <v>18078</v>
      </c>
      <c r="D51446" s="0" t="s">
        <v>18079</v>
      </c>
      <c r="E51446" s="0" t="s">
        <v>18079</v>
      </c>
      <c r="F51446" s="0" t="s">
        <v>18079</v>
      </c>
    </row>
    <row r="51448" customFormat="false" ht="12.8" hidden="false" customHeight="false" outlineLevel="0" collapsed="false">
      <c r="A51448" s="0" t="s">
        <v>18080</v>
      </c>
      <c r="B51448" s="0" t="str">
        <f aca="false">HYPERLINK("https://lindat.mff.cuni.cz/services/teitok/pdtc10/index.php?action=vallex&amp;frame=v-w7255f7_ZU", "určit (v-w7255f7_ZU)")</f>
        <v>určit (v-w7255f7_ZU)</v>
      </c>
    </row>
    <row r="51449" customFormat="false" ht="12.8" hidden="false" customHeight="false" outlineLevel="0" collapsed="false">
      <c r="B51449" s="0" t="s">
        <v>7</v>
      </c>
      <c r="C51449" s="0" t="s">
        <v>18081</v>
      </c>
      <c r="D51449" s="0" t="s">
        <v>2998</v>
      </c>
      <c r="E51449" s="0" t="s">
        <v>2998</v>
      </c>
      <c r="F51449" s="0" t="s">
        <v>2998</v>
      </c>
    </row>
    <row r="51450" customFormat="false" ht="12.8" hidden="false" customHeight="false" outlineLevel="0" collapsed="false">
      <c r="B51450" s="0" t="s">
        <v>232</v>
      </c>
      <c r="C51450" s="0" t="s">
        <v>18082</v>
      </c>
      <c r="D51450" s="0" t="s">
        <v>3001</v>
      </c>
      <c r="E51450" s="0" t="s">
        <v>3001</v>
      </c>
      <c r="F51450" s="0" t="s">
        <v>3001</v>
      </c>
    </row>
    <row r="51452" customFormat="false" ht="12.8" hidden="false" customHeight="false" outlineLevel="0" collapsed="false">
      <c r="A51452" s="0" t="s">
        <v>18083</v>
      </c>
      <c r="B51452" s="0" t="str">
        <f aca="false">HYPERLINK("https://lindat.mff.cuni.cz/services/teitok/pdtc10/index.php?action=vallex&amp;frame=v-w7257f5", "určovat (v-w7257f5)")</f>
        <v>určovat (v-w7257f5)</v>
      </c>
    </row>
    <row r="51453" customFormat="false" ht="12.8" hidden="false" customHeight="false" outlineLevel="0" collapsed="false">
      <c r="B51453" s="0" t="s">
        <v>7</v>
      </c>
    </row>
    <row r="51454" customFormat="false" ht="12.8" hidden="false" customHeight="false" outlineLevel="0" collapsed="false">
      <c r="B51454" s="0" t="s">
        <v>5854</v>
      </c>
    </row>
    <row r="51455" customFormat="false" ht="12.8" hidden="false" customHeight="false" outlineLevel="0" collapsed="false">
      <c r="B51455" s="0" t="s">
        <v>106</v>
      </c>
    </row>
    <row r="51456" customFormat="false" ht="12.8" hidden="false" customHeight="false" outlineLevel="0" collapsed="false">
      <c r="B51456" s="0" t="s">
        <v>2946</v>
      </c>
    </row>
    <row r="51458" customFormat="false" ht="12.8" hidden="false" customHeight="false" outlineLevel="0" collapsed="false">
      <c r="A51458" s="0" t="s">
        <v>18084</v>
      </c>
      <c r="B51458" s="0" t="str">
        <f aca="false">HYPERLINK("https://lindat.mff.cuni.cz/services/teitok/pdtc10/index.php?action=vallex&amp;frame=v-w7257f2", "určovat (v-w7257f2)")</f>
        <v>určovat (v-w7257f2)</v>
      </c>
    </row>
    <row r="51459" customFormat="false" ht="12.8" hidden="false" customHeight="false" outlineLevel="0" collapsed="false">
      <c r="B51459" s="0" t="s">
        <v>7</v>
      </c>
      <c r="D51459" s="0" t="s">
        <v>1435</v>
      </c>
      <c r="E51459" s="0" t="s">
        <v>1435</v>
      </c>
      <c r="F51459" s="0" t="s">
        <v>1435</v>
      </c>
    </row>
    <row r="51460" customFormat="false" ht="12.8" hidden="false" customHeight="false" outlineLevel="0" collapsed="false">
      <c r="B51460" s="0" t="s">
        <v>2313</v>
      </c>
      <c r="D51460" s="0" t="s">
        <v>1437</v>
      </c>
      <c r="E51460" s="0" t="s">
        <v>1437</v>
      </c>
      <c r="F51460" s="0" t="s">
        <v>1437</v>
      </c>
    </row>
    <row r="51461" customFormat="false" ht="12.8" hidden="false" customHeight="false" outlineLevel="0" collapsed="false">
      <c r="B51461" s="0" t="s">
        <v>3012</v>
      </c>
      <c r="D51461" s="0" t="s">
        <v>7726</v>
      </c>
      <c r="E51461" s="0" t="s">
        <v>7726</v>
      </c>
      <c r="F51461" s="0" t="s">
        <v>7726</v>
      </c>
    </row>
    <row r="51463" customFormat="false" ht="12.8" hidden="false" customHeight="false" outlineLevel="0" collapsed="false">
      <c r="A51463" s="0" t="s">
        <v>18085</v>
      </c>
      <c r="B51463" s="0" t="str">
        <f aca="false">HYPERLINK("https://lindat.mff.cuni.cz/services/teitok/pdtc10/index.php?action=vallex&amp;frame=v-w7257f3", "určovat (v-w7257f3)")</f>
        <v>určovat (v-w7257f3)</v>
      </c>
    </row>
    <row r="51464" customFormat="false" ht="12.8" hidden="false" customHeight="false" outlineLevel="0" collapsed="false">
      <c r="B51464" s="0" t="s">
        <v>7</v>
      </c>
    </row>
    <row r="51465" customFormat="false" ht="12.8" hidden="false" customHeight="false" outlineLevel="0" collapsed="false">
      <c r="B51465" s="0" t="s">
        <v>14</v>
      </c>
    </row>
    <row r="51466" customFormat="false" ht="12.8" hidden="false" customHeight="false" outlineLevel="0" collapsed="false">
      <c r="B51466" s="0" t="s">
        <v>18069</v>
      </c>
    </row>
    <row r="51468" customFormat="false" ht="12.8" hidden="false" customHeight="false" outlineLevel="0" collapsed="false">
      <c r="A51468" s="0" t="s">
        <v>18086</v>
      </c>
      <c r="B51468" s="0" t="str">
        <f aca="false">HYPERLINK("https://lindat.mff.cuni.cz/services/teitok/pdtc10/index.php?action=vallex&amp;frame=v-w7257f4", "určovat (v-w7257f4)")</f>
        <v>určovat (v-w7257f4)</v>
      </c>
    </row>
    <row r="51469" customFormat="false" ht="12.8" hidden="false" customHeight="false" outlineLevel="0" collapsed="false">
      <c r="B51469" s="0" t="s">
        <v>7</v>
      </c>
      <c r="C51469" s="0" t="s">
        <v>3410</v>
      </c>
      <c r="D51469" s="0" t="s">
        <v>18072</v>
      </c>
      <c r="E51469" s="0" t="s">
        <v>18072</v>
      </c>
      <c r="F51469" s="0" t="s">
        <v>18072</v>
      </c>
    </row>
    <row r="51470" customFormat="false" ht="12.8" hidden="false" customHeight="false" outlineLevel="0" collapsed="false">
      <c r="B51470" s="0" t="s">
        <v>14</v>
      </c>
      <c r="C51470" s="0" t="s">
        <v>4345</v>
      </c>
      <c r="D51470" s="0" t="s">
        <v>18074</v>
      </c>
      <c r="E51470" s="0" t="s">
        <v>18074</v>
      </c>
      <c r="F51470" s="0" t="s">
        <v>18074</v>
      </c>
    </row>
    <row r="51471" customFormat="false" ht="12.8" hidden="false" customHeight="false" outlineLevel="0" collapsed="false">
      <c r="B51471" s="0" t="s">
        <v>84</v>
      </c>
      <c r="D51471" s="0" t="s">
        <v>1139</v>
      </c>
      <c r="E51471" s="0" t="s">
        <v>1139</v>
      </c>
      <c r="F51471" s="0" t="s">
        <v>1139</v>
      </c>
    </row>
    <row r="51473" customFormat="false" ht="12.8" hidden="false" customHeight="false" outlineLevel="0" collapsed="false">
      <c r="A51473" s="0" t="s">
        <v>18087</v>
      </c>
      <c r="B51473" s="0" t="str">
        <f aca="false">HYPERLINK("https://lindat.mff.cuni.cz/services/teitok/pdtc10/index.php?action=vallex&amp;frame=v-w7257f1", "určovat (v-w7257f1)")</f>
        <v>určovat (v-w7257f1)</v>
      </c>
    </row>
    <row r="51474" customFormat="false" ht="12.8" hidden="false" customHeight="false" outlineLevel="0" collapsed="false">
      <c r="B51474" s="0" t="s">
        <v>7</v>
      </c>
      <c r="C51474" s="0" t="s">
        <v>12619</v>
      </c>
      <c r="D51474" s="0" t="s">
        <v>2998</v>
      </c>
      <c r="E51474" s="0" t="s">
        <v>2998</v>
      </c>
      <c r="F51474" s="0" t="s">
        <v>2998</v>
      </c>
    </row>
    <row r="51475" customFormat="false" ht="12.8" hidden="false" customHeight="false" outlineLevel="0" collapsed="false">
      <c r="B51475" s="0" t="s">
        <v>1520</v>
      </c>
      <c r="C51475" s="0" t="s">
        <v>7436</v>
      </c>
      <c r="D51475" s="0" t="s">
        <v>3001</v>
      </c>
      <c r="E51475" s="0" t="s">
        <v>3001</v>
      </c>
      <c r="F51475" s="0" t="s">
        <v>3001</v>
      </c>
    </row>
    <row r="51477" customFormat="false" ht="12.8" hidden="false" customHeight="false" outlineLevel="0" collapsed="false">
      <c r="A51477" s="0" t="s">
        <v>18088</v>
      </c>
      <c r="B51477" s="0" t="str">
        <f aca="false">HYPERLINK("https://lindat.mff.cuni.cz/services/teitok/pdtc10/index.php?action=vallex&amp;frame=v-w7272f1", "usadit (v-w7272f1)")</f>
        <v>usadit (v-w7272f1)</v>
      </c>
    </row>
    <row r="51478" customFormat="false" ht="12.8" hidden="false" customHeight="false" outlineLevel="0" collapsed="false">
      <c r="B51478" s="0" t="s">
        <v>7</v>
      </c>
      <c r="C51478" s="0" t="s">
        <v>335</v>
      </c>
    </row>
    <row r="51479" customFormat="false" ht="12.8" hidden="false" customHeight="false" outlineLevel="0" collapsed="false">
      <c r="B51479" s="0" t="s">
        <v>14</v>
      </c>
      <c r="C51479" s="0" t="s">
        <v>115</v>
      </c>
    </row>
    <row r="51481" customFormat="false" ht="12.8" hidden="false" customHeight="false" outlineLevel="0" collapsed="false">
      <c r="A51481" s="0" t="s">
        <v>18089</v>
      </c>
      <c r="B51481" s="0" t="str">
        <f aca="false">HYPERLINK("https://lindat.mff.cuni.cz/services/teitok/pdtc10/index.php?action=vallex&amp;frame=v-w7272f2_ZU", "usadit (v-w7272f2_ZU)")</f>
        <v>usadit (v-w7272f2_ZU)</v>
      </c>
    </row>
    <row r="51482" customFormat="false" ht="12.8" hidden="false" customHeight="false" outlineLevel="0" collapsed="false">
      <c r="B51482" s="0" t="s">
        <v>7</v>
      </c>
    </row>
    <row r="51483" customFormat="false" ht="12.8" hidden="false" customHeight="false" outlineLevel="0" collapsed="false">
      <c r="B51483" s="0" t="s">
        <v>14</v>
      </c>
    </row>
    <row r="51484" customFormat="false" ht="12.8" hidden="false" customHeight="false" outlineLevel="0" collapsed="false">
      <c r="B51484" s="0" t="s">
        <v>338</v>
      </c>
    </row>
    <row r="51486" customFormat="false" ht="12.8" hidden="false" customHeight="false" outlineLevel="0" collapsed="false">
      <c r="A51486" s="0" t="s">
        <v>18090</v>
      </c>
      <c r="B51486" s="0" t="str">
        <f aca="false">HYPERLINK("https://lindat.mff.cuni.cz/services/teitok/pdtc10/index.php?action=vallex&amp;frame=v-w7273f1", "usadit se (v-w7273f1)")</f>
        <v>usadit se (v-w7273f1)</v>
      </c>
    </row>
    <row r="51487" customFormat="false" ht="12.8" hidden="false" customHeight="false" outlineLevel="0" collapsed="false">
      <c r="B51487" s="0" t="s">
        <v>7</v>
      </c>
      <c r="C51487" s="0" t="s">
        <v>18091</v>
      </c>
      <c r="D51487" s="0" t="s">
        <v>5154</v>
      </c>
      <c r="E51487" s="0" t="s">
        <v>5155</v>
      </c>
      <c r="F51487" s="0" t="s">
        <v>18092</v>
      </c>
    </row>
    <row r="51488" customFormat="false" ht="12.8" hidden="false" customHeight="false" outlineLevel="0" collapsed="false">
      <c r="B51488" s="0" t="s">
        <v>11</v>
      </c>
      <c r="C51488" s="0" t="s">
        <v>18093</v>
      </c>
      <c r="D51488" s="0" t="s">
        <v>5157</v>
      </c>
      <c r="E51488" s="0" t="s">
        <v>5158</v>
      </c>
      <c r="F51488" s="0" t="s">
        <v>18094</v>
      </c>
    </row>
    <row r="51490" customFormat="false" ht="12.8" hidden="false" customHeight="false" outlineLevel="0" collapsed="false">
      <c r="A51490" s="0" t="s">
        <v>18095</v>
      </c>
      <c r="B51490" s="0" t="str">
        <f aca="false">HYPERLINK("https://lindat.mff.cuni.cz/services/teitok/pdtc10/index.php?action=vallex&amp;frame=v-w7273f3", "usadit se (v-w7273f3)")</f>
        <v>usadit se (v-w7273f3)</v>
      </c>
    </row>
    <row r="51491" customFormat="false" ht="12.8" hidden="false" customHeight="false" outlineLevel="0" collapsed="false">
      <c r="B51491" s="0" t="s">
        <v>7</v>
      </c>
    </row>
    <row r="51492" customFormat="false" ht="12.8" hidden="false" customHeight="false" outlineLevel="0" collapsed="false">
      <c r="B51492" s="0" t="s">
        <v>124</v>
      </c>
    </row>
    <row r="51494" customFormat="false" ht="12.8" hidden="false" customHeight="false" outlineLevel="0" collapsed="false">
      <c r="A51494" s="0" t="s">
        <v>18096</v>
      </c>
      <c r="B51494" s="0" t="str">
        <f aca="false">HYPERLINK("https://lindat.mff.cuni.cz/services/teitok/pdtc10/index.php?action=vallex&amp;frame=v-w7273f2", "usadit se (v-w7273f2)")</f>
        <v>usadit se (v-w7273f2)</v>
      </c>
    </row>
    <row r="51495" customFormat="false" ht="12.8" hidden="false" customHeight="false" outlineLevel="0" collapsed="false">
      <c r="B51495" s="0" t="s">
        <v>7</v>
      </c>
      <c r="C51495" s="0" t="s">
        <v>18097</v>
      </c>
      <c r="D51495" s="0" t="s">
        <v>16431</v>
      </c>
      <c r="E51495" s="0" t="s">
        <v>16431</v>
      </c>
      <c r="F51495" s="0" t="s">
        <v>18098</v>
      </c>
    </row>
    <row r="51497" customFormat="false" ht="12.8" hidden="false" customHeight="false" outlineLevel="0" collapsed="false">
      <c r="A51497" s="0" t="s">
        <v>18099</v>
      </c>
      <c r="B51497" s="0" t="str">
        <f aca="false">HYPERLINK("https://lindat.mff.cuni.cz/services/teitok/pdtc10/index.php?action=vallex&amp;frame=v-w7273f4_ZU", "usadit se (v-w7273f4_ZU)")</f>
        <v>usadit se (v-w7273f4_ZU)</v>
      </c>
    </row>
    <row r="51498" customFormat="false" ht="12.8" hidden="false" customHeight="false" outlineLevel="0" collapsed="false">
      <c r="B51498" s="0" t="s">
        <v>7</v>
      </c>
      <c r="C51498" s="0" t="s">
        <v>18100</v>
      </c>
      <c r="D51498" s="0" t="s">
        <v>15733</v>
      </c>
      <c r="E51498" s="0" t="s">
        <v>15733</v>
      </c>
      <c r="F51498" s="0" t="s">
        <v>15733</v>
      </c>
    </row>
    <row r="51499" customFormat="false" ht="12.8" hidden="false" customHeight="false" outlineLevel="0" collapsed="false">
      <c r="B51499" s="0" t="s">
        <v>11</v>
      </c>
      <c r="C51499" s="0" t="s">
        <v>18101</v>
      </c>
      <c r="D51499" s="0" t="s">
        <v>15735</v>
      </c>
      <c r="E51499" s="0" t="s">
        <v>15735</v>
      </c>
      <c r="F51499" s="0" t="s">
        <v>15735</v>
      </c>
    </row>
    <row r="51501" customFormat="false" ht="12.8" hidden="false" customHeight="false" outlineLevel="0" collapsed="false">
      <c r="A51501" s="0" t="s">
        <v>18099</v>
      </c>
      <c r="B51501" s="0" t="str">
        <f aca="false">HYPERLINK("https://lindat.mff.cuni.cz/services/teitok/pdtc10/index.php?action=vallex&amp;frame=v-w7273hsa_1315", "usadit se (v-w7273hsa_1315) - substituted with v-w7273f4_ZU")</f>
        <v>usadit se (v-w7273hsa_1315) - substituted with v-w7273f4_ZU</v>
      </c>
    </row>
    <row r="51502" customFormat="false" ht="12.8" hidden="false" customHeight="false" outlineLevel="0" collapsed="false">
      <c r="B51502" s="0" t="s">
        <v>7</v>
      </c>
    </row>
    <row r="51503" customFormat="false" ht="12.8" hidden="false" customHeight="false" outlineLevel="0" collapsed="false">
      <c r="B51503" s="0" t="s">
        <v>11</v>
      </c>
    </row>
    <row r="51505" customFormat="false" ht="12.8" hidden="false" customHeight="false" outlineLevel="0" collapsed="false">
      <c r="A51505" s="0" t="s">
        <v>18102</v>
      </c>
      <c r="B51505" s="0" t="str">
        <f aca="false">HYPERLINK("https://lindat.mff.cuni.cz/services/teitok/pdtc10/index.php?action=vallex&amp;frame=v-w7273f5_ZU", "usadit se (v-w7273f5_ZU)")</f>
        <v>usadit se (v-w7273f5_ZU)</v>
      </c>
    </row>
    <row r="51506" customFormat="false" ht="12.8" hidden="false" customHeight="false" outlineLevel="0" collapsed="false">
      <c r="B51506" s="0" t="s">
        <v>7</v>
      </c>
      <c r="C51506" s="0" t="s">
        <v>18103</v>
      </c>
    </row>
    <row r="51508" customFormat="false" ht="12.8" hidden="false" customHeight="false" outlineLevel="0" collapsed="false">
      <c r="A51508" s="0" t="s">
        <v>18104</v>
      </c>
      <c r="B51508" s="0" t="str">
        <f aca="false">HYPERLINK("https://lindat.mff.cuni.cz/services/teitok/pdtc10/index.php?action=vallex&amp;frame=v-whsa_1257hsa_1258", "usazovat (v-whsa_1257hsa_1258)")</f>
        <v>usazovat (v-whsa_1257hsa_1258)</v>
      </c>
    </row>
    <row r="51509" customFormat="false" ht="12.8" hidden="false" customHeight="false" outlineLevel="0" collapsed="false">
      <c r="B51509" s="0" t="s">
        <v>7</v>
      </c>
    </row>
    <row r="51510" customFormat="false" ht="12.8" hidden="false" customHeight="false" outlineLevel="0" collapsed="false">
      <c r="B51510" s="0" t="s">
        <v>14</v>
      </c>
    </row>
    <row r="51511" customFormat="false" ht="12.8" hidden="false" customHeight="false" outlineLevel="0" collapsed="false">
      <c r="B51511" s="0" t="s">
        <v>124</v>
      </c>
    </row>
    <row r="51513" customFormat="false" ht="12.8" hidden="false" customHeight="false" outlineLevel="0" collapsed="false">
      <c r="A51513" s="0" t="s">
        <v>18105</v>
      </c>
      <c r="B51513" s="0" t="str">
        <f aca="false">HYPERLINK("https://lindat.mff.cuni.cz/services/teitok/pdtc10/index.php?action=vallex&amp;frame=v-w7274f1", "usazovat se (v-w7274f1)")</f>
        <v>usazovat se (v-w7274f1)</v>
      </c>
    </row>
    <row r="51514" customFormat="false" ht="12.8" hidden="false" customHeight="false" outlineLevel="0" collapsed="false">
      <c r="B51514" s="0" t="s">
        <v>7</v>
      </c>
      <c r="C51514" s="0" t="s">
        <v>176</v>
      </c>
      <c r="F51514" s="0" t="s">
        <v>18106</v>
      </c>
    </row>
    <row r="51515" customFormat="false" ht="12.8" hidden="false" customHeight="false" outlineLevel="0" collapsed="false">
      <c r="B51515" s="0" t="s">
        <v>11</v>
      </c>
      <c r="F51515" s="0" t="s">
        <v>18107</v>
      </c>
    </row>
    <row r="51517" customFormat="false" ht="12.8" hidden="false" customHeight="false" outlineLevel="0" collapsed="false">
      <c r="A51517" s="0" t="s">
        <v>18108</v>
      </c>
      <c r="B51517" s="0" t="str">
        <f aca="false">HYPERLINK("https://lindat.mff.cuni.cz/services/teitok/pdtc10/index.php?action=vallex&amp;frame=v-w7274f3", "usazovat se (v-w7274f3)")</f>
        <v>usazovat se (v-w7274f3)</v>
      </c>
    </row>
    <row r="51518" customFormat="false" ht="12.8" hidden="false" customHeight="false" outlineLevel="0" collapsed="false">
      <c r="B51518" s="0" t="s">
        <v>7</v>
      </c>
    </row>
    <row r="51519" customFormat="false" ht="12.8" hidden="false" customHeight="false" outlineLevel="0" collapsed="false">
      <c r="B51519" s="0" t="s">
        <v>124</v>
      </c>
    </row>
    <row r="51521" customFormat="false" ht="12.8" hidden="false" customHeight="false" outlineLevel="0" collapsed="false">
      <c r="A51521" s="0" t="s">
        <v>18109</v>
      </c>
      <c r="B51521" s="0" t="str">
        <f aca="false">HYPERLINK("https://lindat.mff.cuni.cz/services/teitok/pdtc10/index.php?action=vallex&amp;frame=v-w7274f2", "usazovat se (v-w7274f2)")</f>
        <v>usazovat se (v-w7274f2)</v>
      </c>
    </row>
    <row r="51522" customFormat="false" ht="12.8" hidden="false" customHeight="false" outlineLevel="0" collapsed="false">
      <c r="B51522" s="0" t="s">
        <v>7</v>
      </c>
      <c r="D51522" s="0" t="s">
        <v>16431</v>
      </c>
      <c r="E51522" s="0" t="s">
        <v>16431</v>
      </c>
      <c r="F51522" s="0" t="s">
        <v>16431</v>
      </c>
    </row>
    <row r="51524" customFormat="false" ht="12.8" hidden="false" customHeight="false" outlineLevel="0" collapsed="false">
      <c r="A51524" s="0" t="s">
        <v>18110</v>
      </c>
      <c r="B51524" s="0" t="str">
        <f aca="false">HYPERLINK("https://lindat.mff.cuni.cz/services/teitok/pdtc10/index.php?action=vallex&amp;frame=v-w12026_ZUf2_ZU", "uschnout (v-w12026_ZUf2_ZU)")</f>
        <v>uschnout (v-w12026_ZUf2_ZU)</v>
      </c>
    </row>
    <row r="51525" customFormat="false" ht="12.8" hidden="false" customHeight="false" outlineLevel="0" collapsed="false">
      <c r="B51525" s="0" t="s">
        <v>7</v>
      </c>
    </row>
    <row r="51527" customFormat="false" ht="12.8" hidden="false" customHeight="false" outlineLevel="0" collapsed="false">
      <c r="A51527" s="0" t="s">
        <v>18110</v>
      </c>
      <c r="B51527" s="0" t="str">
        <f aca="false">HYPERLINK("https://lindat.mff.cuni.cz/services/teitok/pdtc10/index.php?action=vallex&amp;frame=v-w12026_ZUf1_ZU", "uschnout (v-w12026_ZUf1_ZU) - substituted with v-w12026_ZUf2_ZU")</f>
        <v>uschnout (v-w12026_ZUf1_ZU) - substituted with v-w12026_ZUf2_ZU</v>
      </c>
    </row>
    <row r="51528" customFormat="false" ht="12.8" hidden="false" customHeight="false" outlineLevel="0" collapsed="false">
      <c r="B51528" s="0" t="s">
        <v>7</v>
      </c>
    </row>
    <row r="51530" customFormat="false" ht="12.8" hidden="false" customHeight="false" outlineLevel="0" collapsed="false">
      <c r="A51530" s="0" t="s">
        <v>18111</v>
      </c>
      <c r="B51530" s="0" t="str">
        <f aca="false">HYPERLINK("https://lindat.mff.cuni.cz/services/teitok/pdtc10/index.php?action=vallex&amp;frame=v-w7279f1", "uschovat (v-w7279f1)")</f>
        <v>uschovat (v-w7279f1)</v>
      </c>
    </row>
    <row r="51531" customFormat="false" ht="12.8" hidden="false" customHeight="false" outlineLevel="0" collapsed="false">
      <c r="B51531" s="0" t="s">
        <v>7</v>
      </c>
      <c r="C51531" s="0" t="s">
        <v>1826</v>
      </c>
    </row>
    <row r="51532" customFormat="false" ht="12.8" hidden="false" customHeight="false" outlineLevel="0" collapsed="false">
      <c r="B51532" s="0" t="s">
        <v>172</v>
      </c>
      <c r="C51532" s="0" t="s">
        <v>7728</v>
      </c>
    </row>
    <row r="51533" customFormat="false" ht="12.8" hidden="false" customHeight="false" outlineLevel="0" collapsed="false">
      <c r="B51533" s="0" t="s">
        <v>3743</v>
      </c>
    </row>
    <row r="51535" customFormat="false" ht="12.8" hidden="false" customHeight="false" outlineLevel="0" collapsed="false">
      <c r="A51535" s="0" t="s">
        <v>18112</v>
      </c>
      <c r="B51535" s="0" t="str">
        <f aca="false">HYPERLINK("https://lindat.mff.cuni.cz/services/teitok/pdtc10/index.php?action=vallex&amp;frame=v-w7280f1", "uschovávat (v-w7280f1)")</f>
        <v>uschovávat (v-w7280f1)</v>
      </c>
    </row>
    <row r="51536" customFormat="false" ht="12.8" hidden="false" customHeight="false" outlineLevel="0" collapsed="false">
      <c r="B51536" s="0" t="s">
        <v>7</v>
      </c>
    </row>
    <row r="51537" customFormat="false" ht="12.8" hidden="false" customHeight="false" outlineLevel="0" collapsed="false">
      <c r="B51537" s="0" t="s">
        <v>172</v>
      </c>
    </row>
    <row r="51538" customFormat="false" ht="12.8" hidden="false" customHeight="false" outlineLevel="0" collapsed="false">
      <c r="B51538" s="0" t="s">
        <v>3743</v>
      </c>
    </row>
    <row r="51540" customFormat="false" ht="12.8" hidden="false" customHeight="false" outlineLevel="0" collapsed="false">
      <c r="A51540" s="0" t="s">
        <v>18113</v>
      </c>
      <c r="B51540" s="0" t="str">
        <f aca="false">HYPERLINK("https://lindat.mff.cuni.cz/services/teitok/pdtc10/index.php?action=vallex&amp;frame=v-w7276f2", "usedat (v-w7276f2)")</f>
        <v>usedat (v-w7276f2)</v>
      </c>
    </row>
    <row r="51541" customFormat="false" ht="12.8" hidden="false" customHeight="false" outlineLevel="0" collapsed="false">
      <c r="B51541" s="0" t="s">
        <v>7</v>
      </c>
    </row>
    <row r="51542" customFormat="false" ht="12.8" hidden="false" customHeight="false" outlineLevel="0" collapsed="false">
      <c r="B51542" s="0" t="s">
        <v>11</v>
      </c>
    </row>
    <row r="51544" customFormat="false" ht="12.8" hidden="false" customHeight="false" outlineLevel="0" collapsed="false">
      <c r="A51544" s="0" t="s">
        <v>18114</v>
      </c>
      <c r="B51544" s="0" t="str">
        <f aca="false">HYPERLINK("https://lindat.mff.cuni.cz/services/teitok/pdtc10/index.php?action=vallex&amp;frame=v-w7276f1", "usedat (v-w7276f1)")</f>
        <v>usedat (v-w7276f1)</v>
      </c>
    </row>
    <row r="51545" customFormat="false" ht="12.8" hidden="false" customHeight="false" outlineLevel="0" collapsed="false">
      <c r="B51545" s="0" t="s">
        <v>7</v>
      </c>
    </row>
    <row r="51546" customFormat="false" ht="12.8" hidden="false" customHeight="false" outlineLevel="0" collapsed="false">
      <c r="B51546" s="0" t="s">
        <v>124</v>
      </c>
    </row>
    <row r="51548" customFormat="false" ht="12.8" hidden="false" customHeight="false" outlineLevel="0" collapsed="false">
      <c r="A51548" s="0" t="s">
        <v>18115</v>
      </c>
      <c r="B51548" s="0" t="str">
        <f aca="false">HYPERLINK("https://lindat.mff.cuni.cz/services/teitok/pdtc10/index.php?action=vallex&amp;frame=v-w7277f2", "usednout (v-w7277f2)")</f>
        <v>usednout (v-w7277f2)</v>
      </c>
    </row>
    <row r="51549" customFormat="false" ht="12.8" hidden="false" customHeight="false" outlineLevel="0" collapsed="false">
      <c r="B51549" s="0" t="s">
        <v>7</v>
      </c>
      <c r="E51549" s="0" t="s">
        <v>5673</v>
      </c>
      <c r="F51549" s="0" t="s">
        <v>5673</v>
      </c>
    </row>
    <row r="51550" customFormat="false" ht="12.8" hidden="false" customHeight="false" outlineLevel="0" collapsed="false">
      <c r="B51550" s="0" t="s">
        <v>11</v>
      </c>
    </row>
    <row r="51552" customFormat="false" ht="12.8" hidden="false" customHeight="false" outlineLevel="0" collapsed="false">
      <c r="A51552" s="0" t="s">
        <v>18116</v>
      </c>
      <c r="B51552" s="0" t="str">
        <f aca="false">HYPERLINK("https://lindat.mff.cuni.cz/services/teitok/pdtc10/index.php?action=vallex&amp;frame=v-w7277f1", "usednout (v-w7277f1)")</f>
        <v>usednout (v-w7277f1)</v>
      </c>
    </row>
    <row r="51553" customFormat="false" ht="12.8" hidden="false" customHeight="false" outlineLevel="0" collapsed="false">
      <c r="B51553" s="0" t="s">
        <v>7</v>
      </c>
      <c r="E51553" s="0" t="s">
        <v>176</v>
      </c>
      <c r="F51553" s="0" t="s">
        <v>176</v>
      </c>
    </row>
    <row r="51554" customFormat="false" ht="12.8" hidden="false" customHeight="false" outlineLevel="0" collapsed="false">
      <c r="B51554" s="0" t="s">
        <v>124</v>
      </c>
    </row>
    <row r="51556" customFormat="false" ht="12.8" hidden="false" customHeight="false" outlineLevel="0" collapsed="false">
      <c r="A51556" s="0" t="s">
        <v>18117</v>
      </c>
      <c r="B51556" s="0" t="str">
        <f aca="false">HYPERLINK("https://lindat.mff.cuni.cz/services/teitok/pdtc10/index.php?action=vallex&amp;frame=v-w11109f2", "useknout (v-w11109f2)")</f>
        <v>useknout (v-w11109f2)</v>
      </c>
    </row>
    <row r="51557" customFormat="false" ht="12.8" hidden="false" customHeight="false" outlineLevel="0" collapsed="false">
      <c r="B51557" s="0" t="s">
        <v>7</v>
      </c>
    </row>
    <row r="51558" customFormat="false" ht="12.8" hidden="false" customHeight="false" outlineLevel="0" collapsed="false">
      <c r="B51558" s="0" t="s">
        <v>14</v>
      </c>
    </row>
    <row r="51560" customFormat="false" ht="12.8" hidden="false" customHeight="false" outlineLevel="0" collapsed="false">
      <c r="A51560" s="0" t="s">
        <v>18118</v>
      </c>
      <c r="B51560" s="0" t="str">
        <f aca="false">HYPERLINK("https://lindat.mff.cuni.cz/services/teitok/pdtc10/index.php?action=vallex&amp;frame=v-w11109hsa_660", "useknout (v-w11109hsa_660)")</f>
        <v>useknout (v-w11109hsa_660)</v>
      </c>
    </row>
    <row r="51561" customFormat="false" ht="12.8" hidden="false" customHeight="false" outlineLevel="0" collapsed="false">
      <c r="B51561" s="0" t="s">
        <v>7</v>
      </c>
      <c r="D51561" s="0" t="s">
        <v>88</v>
      </c>
      <c r="E51561" s="0" t="s">
        <v>88</v>
      </c>
      <c r="F51561" s="0" t="s">
        <v>88</v>
      </c>
    </row>
    <row r="51562" customFormat="false" ht="12.8" hidden="false" customHeight="false" outlineLevel="0" collapsed="false">
      <c r="B51562" s="0" t="s">
        <v>14</v>
      </c>
      <c r="C51562" s="0" t="s">
        <v>155</v>
      </c>
      <c r="D51562" s="0" t="s">
        <v>89</v>
      </c>
      <c r="E51562" s="0" t="s">
        <v>89</v>
      </c>
      <c r="F51562" s="0" t="s">
        <v>89</v>
      </c>
    </row>
    <row r="51564" customFormat="false" ht="12.8" hidden="false" customHeight="false" outlineLevel="0" collapsed="false">
      <c r="A51564" s="0" t="s">
        <v>18119</v>
      </c>
      <c r="B51564" s="0" t="str">
        <f aca="false">HYPERLINK("https://lindat.mff.cuni.cz/services/teitok/pdtc10/index.php?action=vallex&amp;frame=v-w7284hsa_1448", "usilovat (v-w7284hsa_1448)")</f>
        <v>usilovat (v-w7284hsa_1448)</v>
      </c>
    </row>
    <row r="51565" customFormat="false" ht="12.8" hidden="false" customHeight="false" outlineLevel="0" collapsed="false">
      <c r="B51565" s="0" t="s">
        <v>7</v>
      </c>
    </row>
    <row r="51566" customFormat="false" ht="12.8" hidden="false" customHeight="false" outlineLevel="0" collapsed="false">
      <c r="B51566" s="0" t="s">
        <v>18120</v>
      </c>
    </row>
    <row r="51568" customFormat="false" ht="12.8" hidden="false" customHeight="false" outlineLevel="0" collapsed="false">
      <c r="A51568" s="0" t="s">
        <v>18119</v>
      </c>
      <c r="B51568" s="0" t="str">
        <f aca="false">HYPERLINK("https://lindat.mff.cuni.cz/services/teitok/pdtc10/index.php?action=vallex&amp;frame=v-w7284f1", "usilovat (v-w7284f1) - substituted with v-w7284hsa_1448")</f>
        <v>usilovat (v-w7284f1) - substituted with v-w7284hsa_1448</v>
      </c>
    </row>
    <row r="51569" customFormat="false" ht="12.8" hidden="false" customHeight="false" outlineLevel="0" collapsed="false">
      <c r="B51569" s="0" t="s">
        <v>7</v>
      </c>
      <c r="C51569" s="0" t="s">
        <v>18121</v>
      </c>
      <c r="D51569" s="0" t="s">
        <v>18122</v>
      </c>
      <c r="E51569" s="0" t="s">
        <v>18122</v>
      </c>
      <c r="F51569" s="0" t="s">
        <v>18123</v>
      </c>
    </row>
    <row r="51570" customFormat="false" ht="12.8" hidden="false" customHeight="false" outlineLevel="0" collapsed="false">
      <c r="B51570" s="0" t="s">
        <v>18120</v>
      </c>
      <c r="C51570" s="0" t="s">
        <v>18124</v>
      </c>
      <c r="D51570" s="0" t="s">
        <v>18125</v>
      </c>
      <c r="E51570" s="0" t="s">
        <v>18125</v>
      </c>
      <c r="F51570" s="0" t="s">
        <v>18126</v>
      </c>
    </row>
    <row r="51572" customFormat="false" ht="12.8" hidden="false" customHeight="false" outlineLevel="0" collapsed="false">
      <c r="A51572" s="0" t="s">
        <v>18127</v>
      </c>
      <c r="B51572" s="0" t="str">
        <f aca="false">HYPERLINK("https://lindat.mff.cuni.cz/services/teitok/pdtc10/index.php?action=vallex&amp;frame=v-whsa_761hsa_762", "uskladnit (v-whsa_761hsa_762)")</f>
        <v>uskladnit (v-whsa_761hsa_762)</v>
      </c>
    </row>
    <row r="51573" customFormat="false" ht="12.8" hidden="false" customHeight="false" outlineLevel="0" collapsed="false">
      <c r="B51573" s="0" t="s">
        <v>7</v>
      </c>
    </row>
    <row r="51574" customFormat="false" ht="12.8" hidden="false" customHeight="false" outlineLevel="0" collapsed="false">
      <c r="B51574" s="0" t="s">
        <v>14</v>
      </c>
    </row>
    <row r="51576" customFormat="false" ht="12.8" hidden="false" customHeight="false" outlineLevel="0" collapsed="false">
      <c r="A51576" s="0" t="s">
        <v>18128</v>
      </c>
      <c r="B51576" s="0" t="str">
        <f aca="false">HYPERLINK("https://lindat.mff.cuni.cz/services/teitok/pdtc10/index.php?action=vallex&amp;frame=v-w10117f2", "uskladňovat (v-w10117f2)")</f>
        <v>uskladňovat (v-w10117f2)</v>
      </c>
    </row>
    <row r="51577" customFormat="false" ht="12.8" hidden="false" customHeight="false" outlineLevel="0" collapsed="false">
      <c r="B51577" s="0" t="s">
        <v>7</v>
      </c>
    </row>
    <row r="51578" customFormat="false" ht="12.8" hidden="false" customHeight="false" outlineLevel="0" collapsed="false">
      <c r="B51578" s="0" t="s">
        <v>14</v>
      </c>
    </row>
    <row r="51580" customFormat="false" ht="12.8" hidden="false" customHeight="false" outlineLevel="0" collapsed="false">
      <c r="A51580" s="0" t="s">
        <v>18129</v>
      </c>
      <c r="B51580" s="0" t="str">
        <f aca="false">HYPERLINK("https://lindat.mff.cuni.cz/services/teitok/pdtc10/index.php?action=vallex&amp;frame=v-w12272_ZUf1_ZU", "uskočit (v-w12272_ZUf1_ZU)")</f>
        <v>uskočit (v-w12272_ZUf1_ZU)</v>
      </c>
    </row>
    <row r="51581" customFormat="false" ht="12.8" hidden="false" customHeight="false" outlineLevel="0" collapsed="false">
      <c r="B51581" s="0" t="s">
        <v>7</v>
      </c>
    </row>
    <row r="51582" customFormat="false" ht="12.8" hidden="false" customHeight="false" outlineLevel="0" collapsed="false">
      <c r="B51582" s="0" t="s">
        <v>1400</v>
      </c>
    </row>
    <row r="51584" customFormat="false" ht="12.8" hidden="false" customHeight="false" outlineLevel="0" collapsed="false">
      <c r="A51584" s="0" t="s">
        <v>18130</v>
      </c>
      <c r="B51584" s="0" t="str">
        <f aca="false">HYPERLINK("https://lindat.mff.cuni.cz/services/teitok/pdtc10/index.php?action=vallex&amp;frame=v-w7287f1", "uskromnit se (v-w7287f1)")</f>
        <v>uskromnit se (v-w7287f1)</v>
      </c>
    </row>
    <row r="51585" customFormat="false" ht="12.8" hidden="false" customHeight="false" outlineLevel="0" collapsed="false">
      <c r="B51585" s="0" t="s">
        <v>7</v>
      </c>
    </row>
    <row r="51587" customFormat="false" ht="12.8" hidden="false" customHeight="false" outlineLevel="0" collapsed="false">
      <c r="A51587" s="0" t="s">
        <v>18131</v>
      </c>
      <c r="B51587" s="0" t="str">
        <f aca="false">HYPERLINK("https://lindat.mff.cuni.cz/services/teitok/pdtc10/index.php?action=vallex&amp;frame=v-w7288f1", "uskrovnit se (v-w7288f1)")</f>
        <v>uskrovnit se (v-w7288f1)</v>
      </c>
    </row>
    <row r="51588" customFormat="false" ht="12.8" hidden="false" customHeight="false" outlineLevel="0" collapsed="false">
      <c r="B51588" s="0" t="s">
        <v>7</v>
      </c>
    </row>
    <row r="51590" customFormat="false" ht="12.8" hidden="false" customHeight="false" outlineLevel="0" collapsed="false">
      <c r="A51590" s="0" t="s">
        <v>18132</v>
      </c>
      <c r="B51590" s="0" t="str">
        <f aca="false">HYPERLINK("https://lindat.mff.cuni.cz/services/teitok/pdtc10/index.php?action=vallex&amp;frame=v-w12059_ZUf1_ZU", "uskrovňovat se (v-w12059_ZUf1_ZU)")</f>
        <v>uskrovňovat se (v-w12059_ZUf1_ZU)</v>
      </c>
    </row>
    <row r="51591" customFormat="false" ht="12.8" hidden="false" customHeight="false" outlineLevel="0" collapsed="false">
      <c r="B51591" s="0" t="s">
        <v>7</v>
      </c>
    </row>
    <row r="51593" customFormat="false" ht="12.8" hidden="false" customHeight="false" outlineLevel="0" collapsed="false">
      <c r="A51593" s="0" t="s">
        <v>18133</v>
      </c>
      <c r="B51593" s="0" t="str">
        <f aca="false">HYPERLINK("https://lindat.mff.cuni.cz/services/teitok/pdtc10/index.php?action=vallex&amp;frame=v-w7290f1", "uskutečnit (v-w7290f1)")</f>
        <v>uskutečnit (v-w7290f1)</v>
      </c>
    </row>
    <row r="51594" customFormat="false" ht="12.8" hidden="false" customHeight="false" outlineLevel="0" collapsed="false">
      <c r="B51594" s="0" t="s">
        <v>7</v>
      </c>
      <c r="C51594" s="0" t="s">
        <v>18134</v>
      </c>
      <c r="D51594" s="0" t="s">
        <v>2156</v>
      </c>
      <c r="E51594" s="0" t="s">
        <v>2156</v>
      </c>
      <c r="F51594" s="0" t="s">
        <v>2156</v>
      </c>
    </row>
    <row r="51595" customFormat="false" ht="12.8" hidden="false" customHeight="false" outlineLevel="0" collapsed="false">
      <c r="B51595" s="0" t="s">
        <v>14</v>
      </c>
      <c r="C51595" s="0" t="s">
        <v>18135</v>
      </c>
      <c r="D51595" s="0" t="s">
        <v>14499</v>
      </c>
      <c r="E51595" s="0" t="s">
        <v>14499</v>
      </c>
      <c r="F51595" s="0" t="s">
        <v>14499</v>
      </c>
    </row>
    <row r="51597" customFormat="false" ht="12.8" hidden="false" customHeight="false" outlineLevel="0" collapsed="false">
      <c r="A51597" s="0" t="s">
        <v>18136</v>
      </c>
      <c r="B51597" s="0" t="str">
        <f aca="false">HYPERLINK("https://lindat.mff.cuni.cz/services/teitok/pdtc10/index.php?action=vallex&amp;frame=v-w7290f3_ZU", "uskutečnit (v-w7290f3_ZU)")</f>
        <v>uskutečnit (v-w7290f3_ZU)</v>
      </c>
    </row>
    <row r="51598" customFormat="false" ht="12.8" hidden="false" customHeight="false" outlineLevel="0" collapsed="false">
      <c r="B51598" s="0" t="s">
        <v>7</v>
      </c>
      <c r="C51598" s="0" t="s">
        <v>6780</v>
      </c>
      <c r="D51598" s="0" t="s">
        <v>2156</v>
      </c>
      <c r="E51598" s="0" t="s">
        <v>2156</v>
      </c>
      <c r="F51598" s="0" t="s">
        <v>2156</v>
      </c>
    </row>
    <row r="51599" customFormat="false" ht="12.8" hidden="false" customHeight="false" outlineLevel="0" collapsed="false">
      <c r="B51599" s="0" t="s">
        <v>18137</v>
      </c>
      <c r="C51599" s="0" t="s">
        <v>18138</v>
      </c>
      <c r="D51599" s="0" t="s">
        <v>9974</v>
      </c>
      <c r="E51599" s="0" t="s">
        <v>9974</v>
      </c>
      <c r="F51599" s="0" t="s">
        <v>9974</v>
      </c>
    </row>
    <row r="51601" customFormat="false" ht="12.8" hidden="false" customHeight="false" outlineLevel="0" collapsed="false">
      <c r="A51601" s="0" t="s">
        <v>18136</v>
      </c>
      <c r="B51601" s="0" t="str">
        <f aca="false">HYPERLINK("https://lindat.mff.cuni.cz/services/teitok/pdtc10/index.php?action=vallex&amp;frame=v-w7290hsa_1029", "uskutečnit (v-w7290hsa_1029) - substituted with v-w7290f3_ZU")</f>
        <v>uskutečnit (v-w7290hsa_1029) - substituted with v-w7290f3_ZU</v>
      </c>
    </row>
    <row r="51602" customFormat="false" ht="12.8" hidden="false" customHeight="false" outlineLevel="0" collapsed="false">
      <c r="B51602" s="0" t="s">
        <v>7</v>
      </c>
    </row>
    <row r="51603" customFormat="false" ht="12.8" hidden="false" customHeight="false" outlineLevel="0" collapsed="false">
      <c r="B51603" s="0" t="s">
        <v>18137</v>
      </c>
    </row>
    <row r="51605" customFormat="false" ht="12.8" hidden="false" customHeight="false" outlineLevel="0" collapsed="false">
      <c r="A51605" s="0" t="s">
        <v>18139</v>
      </c>
      <c r="B51605" s="0" t="str">
        <f aca="false">HYPERLINK("https://lindat.mff.cuni.cz/services/teitok/pdtc10/index.php?action=vallex&amp;frame=v-w7290hsa_1028", "uskutečnit (v-w7290hsa_1028)")</f>
        <v>uskutečnit (v-w7290hsa_1028)</v>
      </c>
    </row>
    <row r="51606" customFormat="false" ht="12.8" hidden="false" customHeight="false" outlineLevel="0" collapsed="false">
      <c r="B51606" s="0" t="s">
        <v>7</v>
      </c>
    </row>
    <row r="51607" customFormat="false" ht="12.8" hidden="false" customHeight="false" outlineLevel="0" collapsed="false">
      <c r="B51607" s="0" t="s">
        <v>18140</v>
      </c>
    </row>
    <row r="51609" customFormat="false" ht="12.8" hidden="false" customHeight="false" outlineLevel="0" collapsed="false">
      <c r="A51609" s="0" t="s">
        <v>18139</v>
      </c>
      <c r="B51609" s="0" t="str">
        <f aca="false">HYPERLINK("https://lindat.mff.cuni.cz/services/teitok/pdtc10/index.php?action=vallex&amp;frame=v-w7290f2_ZU", "uskutečnit (v-w7290f2_ZU) - substituted with v-w7290hsa_1028")</f>
        <v>uskutečnit (v-w7290f2_ZU) - substituted with v-w7290hsa_1028</v>
      </c>
    </row>
    <row r="51610" customFormat="false" ht="12.8" hidden="false" customHeight="false" outlineLevel="0" collapsed="false">
      <c r="B51610" s="0" t="s">
        <v>7</v>
      </c>
    </row>
    <row r="51611" customFormat="false" ht="12.8" hidden="false" customHeight="false" outlineLevel="0" collapsed="false">
      <c r="B51611" s="0" t="s">
        <v>18140</v>
      </c>
    </row>
    <row r="51613" customFormat="false" ht="12.8" hidden="false" customHeight="false" outlineLevel="0" collapsed="false">
      <c r="A51613" s="0" t="s">
        <v>18141</v>
      </c>
      <c r="B51613" s="0" t="str">
        <f aca="false">HYPERLINK("https://lindat.mff.cuni.cz/services/teitok/pdtc10/index.php?action=vallex&amp;frame=v-w7291f1", "uskutečnit se (v-w7291f1)")</f>
        <v>uskutečnit se (v-w7291f1)</v>
      </c>
    </row>
    <row r="51614" customFormat="false" ht="12.8" hidden="false" customHeight="false" outlineLevel="0" collapsed="false">
      <c r="B51614" s="0" t="s">
        <v>7</v>
      </c>
      <c r="C51614" s="0" t="s">
        <v>18142</v>
      </c>
      <c r="D51614" s="0" t="s">
        <v>288</v>
      </c>
      <c r="E51614" s="0" t="s">
        <v>288</v>
      </c>
      <c r="F51614" s="0" t="s">
        <v>18143</v>
      </c>
    </row>
    <row r="51616" customFormat="false" ht="12.8" hidden="false" customHeight="false" outlineLevel="0" collapsed="false">
      <c r="A51616" s="0" t="s">
        <v>18144</v>
      </c>
      <c r="B51616" s="0" t="str">
        <f aca="false">HYPERLINK("https://lindat.mff.cuni.cz/services/teitok/pdtc10/index.php?action=vallex&amp;frame=v-w7293f1", "uskutečňovat (v-w7293f1)")</f>
        <v>uskutečňovat (v-w7293f1)</v>
      </c>
    </row>
    <row r="51617" customFormat="false" ht="12.8" hidden="false" customHeight="false" outlineLevel="0" collapsed="false">
      <c r="B51617" s="0" t="s">
        <v>7</v>
      </c>
      <c r="C51617" s="0" t="s">
        <v>18145</v>
      </c>
      <c r="D51617" s="0" t="s">
        <v>2156</v>
      </c>
      <c r="E51617" s="0" t="s">
        <v>2156</v>
      </c>
      <c r="F51617" s="0" t="s">
        <v>2156</v>
      </c>
    </row>
    <row r="51618" customFormat="false" ht="12.8" hidden="false" customHeight="false" outlineLevel="0" collapsed="false">
      <c r="B51618" s="0" t="s">
        <v>14</v>
      </c>
      <c r="C51618" s="0" t="s">
        <v>4749</v>
      </c>
      <c r="D51618" s="0" t="s">
        <v>14499</v>
      </c>
      <c r="E51618" s="0" t="s">
        <v>14499</v>
      </c>
      <c r="F51618" s="0" t="s">
        <v>14499</v>
      </c>
    </row>
    <row r="51620" customFormat="false" ht="12.8" hidden="false" customHeight="false" outlineLevel="0" collapsed="false">
      <c r="A51620" s="0" t="s">
        <v>18146</v>
      </c>
      <c r="B51620" s="0" t="str">
        <f aca="false">HYPERLINK("https://lindat.mff.cuni.cz/services/teitok/pdtc10/index.php?action=vallex&amp;frame=v-w7294f1", "uskutečňovat se (v-w7294f1)")</f>
        <v>uskutečňovat se (v-w7294f1)</v>
      </c>
    </row>
    <row r="51621" customFormat="false" ht="12.8" hidden="false" customHeight="false" outlineLevel="0" collapsed="false">
      <c r="B51621" s="0" t="s">
        <v>7</v>
      </c>
      <c r="C51621" s="0" t="s">
        <v>3205</v>
      </c>
      <c r="D51621" s="0" t="s">
        <v>288</v>
      </c>
      <c r="E51621" s="0" t="s">
        <v>288</v>
      </c>
      <c r="F51621" s="0" t="s">
        <v>18143</v>
      </c>
    </row>
    <row r="51623" customFormat="false" ht="12.8" hidden="false" customHeight="false" outlineLevel="0" collapsed="false">
      <c r="A51623" s="0" t="s">
        <v>18147</v>
      </c>
      <c r="B51623" s="0" t="str">
        <f aca="false">HYPERLINK("https://lindat.mff.cuni.cz/services/teitok/pdtc10/index.php?action=vallex&amp;frame=v-w7296f3", "uslyšet (v-w7296f3)")</f>
        <v>uslyšet (v-w7296f3)</v>
      </c>
    </row>
    <row r="51624" customFormat="false" ht="12.8" hidden="false" customHeight="false" outlineLevel="0" collapsed="false">
      <c r="B51624" s="0" t="s">
        <v>7</v>
      </c>
      <c r="D51624" s="0" t="s">
        <v>10431</v>
      </c>
      <c r="E51624" s="0" t="s">
        <v>10431</v>
      </c>
      <c r="F51624" s="0" t="s">
        <v>10431</v>
      </c>
    </row>
    <row r="51625" customFormat="false" ht="12.8" hidden="false" customHeight="false" outlineLevel="0" collapsed="false">
      <c r="B51625" s="0" t="s">
        <v>15897</v>
      </c>
      <c r="D51625" s="0" t="s">
        <v>5185</v>
      </c>
      <c r="E51625" s="0" t="s">
        <v>5185</v>
      </c>
      <c r="F51625" s="0" t="s">
        <v>5185</v>
      </c>
    </row>
    <row r="51626" customFormat="false" ht="12.8" hidden="false" customHeight="false" outlineLevel="0" collapsed="false">
      <c r="B51626" s="0" t="s">
        <v>441</v>
      </c>
      <c r="D51626" s="0" t="s">
        <v>10841</v>
      </c>
      <c r="E51626" s="0" t="s">
        <v>10841</v>
      </c>
      <c r="F51626" s="0" t="s">
        <v>10841</v>
      </c>
    </row>
    <row r="51628" customFormat="false" ht="12.8" hidden="false" customHeight="false" outlineLevel="0" collapsed="false">
      <c r="A51628" s="0" t="s">
        <v>18148</v>
      </c>
      <c r="B51628" s="0" t="str">
        <f aca="false">HYPERLINK("https://lindat.mff.cuni.cz/services/teitok/pdtc10/index.php?action=vallex&amp;frame=v-w7296f4", "uslyšet (v-w7296f4)")</f>
        <v>uslyšet (v-w7296f4)</v>
      </c>
    </row>
    <row r="51629" customFormat="false" ht="12.8" hidden="false" customHeight="false" outlineLevel="0" collapsed="false">
      <c r="B51629" s="0" t="s">
        <v>7</v>
      </c>
      <c r="C51629" s="0" t="s">
        <v>23</v>
      </c>
    </row>
    <row r="51630" customFormat="false" ht="12.8" hidden="false" customHeight="false" outlineLevel="0" collapsed="false">
      <c r="B51630" s="0" t="s">
        <v>14</v>
      </c>
    </row>
    <row r="51631" customFormat="false" ht="12.8" hidden="false" customHeight="false" outlineLevel="0" collapsed="false">
      <c r="B51631" s="0" t="s">
        <v>16159</v>
      </c>
      <c r="C51631" s="0" t="s">
        <v>15903</v>
      </c>
    </row>
    <row r="51633" customFormat="false" ht="12.8" hidden="false" customHeight="false" outlineLevel="0" collapsed="false">
      <c r="A51633" s="0" t="s">
        <v>18149</v>
      </c>
      <c r="B51633" s="0" t="str">
        <f aca="false">HYPERLINK("https://lindat.mff.cuni.cz/services/teitok/pdtc10/index.php?action=vallex&amp;frame=v-w7296f1", "uslyšet (v-w7296f1)")</f>
        <v>uslyšet (v-w7296f1)</v>
      </c>
    </row>
    <row r="51634" customFormat="false" ht="12.8" hidden="false" customHeight="false" outlineLevel="0" collapsed="false">
      <c r="B51634" s="0" t="s">
        <v>7</v>
      </c>
      <c r="C51634" s="0" t="s">
        <v>18150</v>
      </c>
      <c r="D51634" s="0" t="s">
        <v>23</v>
      </c>
      <c r="E51634" s="0" t="s">
        <v>23</v>
      </c>
      <c r="F51634" s="0" t="s">
        <v>23</v>
      </c>
    </row>
    <row r="51635" customFormat="false" ht="12.8" hidden="false" customHeight="false" outlineLevel="0" collapsed="false">
      <c r="B51635" s="0" t="s">
        <v>14982</v>
      </c>
      <c r="C51635" s="0" t="s">
        <v>18151</v>
      </c>
      <c r="D51635" s="0" t="s">
        <v>15901</v>
      </c>
      <c r="E51635" s="0" t="s">
        <v>15901</v>
      </c>
      <c r="F51635" s="0" t="s">
        <v>15901</v>
      </c>
    </row>
    <row r="51637" customFormat="false" ht="12.8" hidden="false" customHeight="false" outlineLevel="0" collapsed="false">
      <c r="A51637" s="0" t="s">
        <v>18152</v>
      </c>
      <c r="B51637" s="0" t="str">
        <f aca="false">HYPERLINK("https://lindat.mff.cuni.cz/services/teitok/pdtc10/index.php?action=vallex&amp;frame=v-w7296f2", "uslyšet (v-w7296f2)")</f>
        <v>uslyšet (v-w7296f2)</v>
      </c>
    </row>
    <row r="51638" customFormat="false" ht="12.8" hidden="false" customHeight="false" outlineLevel="0" collapsed="false">
      <c r="B51638" s="0" t="s">
        <v>7</v>
      </c>
      <c r="C51638" s="0" t="s">
        <v>23</v>
      </c>
      <c r="D51638" s="0" t="s">
        <v>2266</v>
      </c>
      <c r="E51638" s="0" t="s">
        <v>2266</v>
      </c>
      <c r="F51638" s="0" t="s">
        <v>2266</v>
      </c>
    </row>
    <row r="51639" customFormat="false" ht="12.8" hidden="false" customHeight="false" outlineLevel="0" collapsed="false">
      <c r="B51639" s="0" t="s">
        <v>2267</v>
      </c>
      <c r="C51639" s="0" t="s">
        <v>15903</v>
      </c>
      <c r="D51639" s="0" t="s">
        <v>2269</v>
      </c>
      <c r="E51639" s="0" t="s">
        <v>2269</v>
      </c>
      <c r="F51639" s="0" t="s">
        <v>2269</v>
      </c>
    </row>
    <row r="51640" customFormat="false" ht="12.8" hidden="false" customHeight="false" outlineLevel="0" collapsed="false">
      <c r="B51640" s="0" t="s">
        <v>363</v>
      </c>
      <c r="D51640" s="0" t="s">
        <v>2270</v>
      </c>
      <c r="E51640" s="0" t="s">
        <v>2270</v>
      </c>
      <c r="F51640" s="0" t="s">
        <v>2270</v>
      </c>
    </row>
    <row r="51641" customFormat="false" ht="12.8" hidden="false" customHeight="false" outlineLevel="0" collapsed="false">
      <c r="B51641" s="0" t="s">
        <v>441</v>
      </c>
      <c r="D51641" s="0" t="s">
        <v>2273</v>
      </c>
      <c r="E51641" s="0" t="s">
        <v>2273</v>
      </c>
      <c r="F51641" s="0" t="s">
        <v>2273</v>
      </c>
    </row>
    <row r="51643" customFormat="false" ht="12.8" hidden="false" customHeight="false" outlineLevel="0" collapsed="false">
      <c r="A51643" s="0" t="s">
        <v>18153</v>
      </c>
      <c r="B51643" s="0" t="str">
        <f aca="false">HYPERLINK("https://lindat.mff.cuni.cz/services/teitok/pdtc10/index.php?action=vallex&amp;frame=v-w11610_ZUf1_ZU", "usmažit (v-w11610_ZUf1_ZU)")</f>
        <v>usmažit (v-w11610_ZUf1_ZU)</v>
      </c>
    </row>
    <row r="51644" customFormat="false" ht="12.8" hidden="false" customHeight="false" outlineLevel="0" collapsed="false">
      <c r="B51644" s="0" t="s">
        <v>7</v>
      </c>
    </row>
    <row r="51645" customFormat="false" ht="12.8" hidden="false" customHeight="false" outlineLevel="0" collapsed="false">
      <c r="B51645" s="0" t="s">
        <v>14</v>
      </c>
      <c r="C51645" s="0" t="s">
        <v>155</v>
      </c>
      <c r="D51645" s="0" t="s">
        <v>155</v>
      </c>
      <c r="E51645" s="0" t="s">
        <v>155</v>
      </c>
      <c r="F51645" s="0" t="s">
        <v>155</v>
      </c>
    </row>
    <row r="51647" customFormat="false" ht="12.8" hidden="false" customHeight="false" outlineLevel="0" collapsed="false">
      <c r="A51647" s="0" t="s">
        <v>18154</v>
      </c>
      <c r="B51647" s="0" t="str">
        <f aca="false">HYPERLINK("https://lindat.mff.cuni.cz/services/teitok/pdtc10/index.php?action=vallex&amp;frame=v-w10900f2", "usmlouvat (v-w10900f2)")</f>
        <v>usmlouvat (v-w10900f2)</v>
      </c>
    </row>
    <row r="51648" customFormat="false" ht="12.8" hidden="false" customHeight="false" outlineLevel="0" collapsed="false">
      <c r="B51648" s="0" t="s">
        <v>7</v>
      </c>
      <c r="C51648" s="0" t="s">
        <v>411</v>
      </c>
    </row>
    <row r="51649" customFormat="false" ht="12.8" hidden="false" customHeight="false" outlineLevel="0" collapsed="false">
      <c r="B51649" s="0" t="s">
        <v>1865</v>
      </c>
      <c r="C51649" s="0" t="s">
        <v>1803</v>
      </c>
    </row>
    <row r="51650" customFormat="false" ht="12.8" hidden="false" customHeight="false" outlineLevel="0" collapsed="false">
      <c r="B51650" s="0" t="s">
        <v>207</v>
      </c>
      <c r="C51650" s="0" t="s">
        <v>1805</v>
      </c>
    </row>
    <row r="51652" customFormat="false" ht="12.8" hidden="false" customHeight="false" outlineLevel="0" collapsed="false">
      <c r="A51652" s="0" t="s">
        <v>18155</v>
      </c>
      <c r="B51652" s="0" t="str">
        <f aca="false">HYPERLINK("https://lindat.mff.cuni.cz/services/teitok/pdtc10/index.php?action=vallex&amp;frame=v-w10679f2", "usmolit (v-w10679f2)")</f>
        <v>usmolit (v-w10679f2)</v>
      </c>
    </row>
    <row r="51653" customFormat="false" ht="12.8" hidden="false" customHeight="false" outlineLevel="0" collapsed="false">
      <c r="B51653" s="0" t="s">
        <v>7</v>
      </c>
    </row>
    <row r="51654" customFormat="false" ht="12.8" hidden="false" customHeight="false" outlineLevel="0" collapsed="false">
      <c r="B51654" s="0" t="s">
        <v>14</v>
      </c>
    </row>
    <row r="51655" customFormat="false" ht="12.8" hidden="false" customHeight="false" outlineLevel="0" collapsed="false">
      <c r="B51655" s="0" t="s">
        <v>1953</v>
      </c>
    </row>
    <row r="51656" customFormat="false" ht="12.8" hidden="false" customHeight="false" outlineLevel="0" collapsed="false">
      <c r="B51656" s="0" t="s">
        <v>35</v>
      </c>
    </row>
    <row r="51658" customFormat="false" ht="12.8" hidden="false" customHeight="false" outlineLevel="0" collapsed="false">
      <c r="A51658" s="0" t="s">
        <v>18156</v>
      </c>
      <c r="B51658" s="0" t="str">
        <f aca="false">HYPERLINK("https://lindat.mff.cuni.cz/services/teitok/pdtc10/index.php?action=vallex&amp;frame=v-w11611_ZUf1_ZU", "usmrcovat (v-w11611_ZUf1_ZU)")</f>
        <v>usmrcovat (v-w11611_ZUf1_ZU)</v>
      </c>
    </row>
    <row r="51659" customFormat="false" ht="12.8" hidden="false" customHeight="false" outlineLevel="0" collapsed="false">
      <c r="B51659" s="0" t="s">
        <v>7</v>
      </c>
      <c r="C51659" s="0" t="s">
        <v>1226</v>
      </c>
      <c r="D51659" s="0" t="s">
        <v>5057</v>
      </c>
      <c r="E51659" s="0" t="s">
        <v>5057</v>
      </c>
      <c r="F51659" s="0" t="s">
        <v>5057</v>
      </c>
    </row>
    <row r="51660" customFormat="false" ht="12.8" hidden="false" customHeight="false" outlineLevel="0" collapsed="false">
      <c r="B51660" s="0" t="s">
        <v>14</v>
      </c>
      <c r="C51660" s="0" t="s">
        <v>75</v>
      </c>
      <c r="D51660" s="0" t="s">
        <v>8042</v>
      </c>
      <c r="E51660" s="0" t="s">
        <v>8042</v>
      </c>
      <c r="F51660" s="0" t="s">
        <v>8042</v>
      </c>
    </row>
    <row r="51662" customFormat="false" ht="12.8" hidden="false" customHeight="false" outlineLevel="0" collapsed="false">
      <c r="A51662" s="0" t="s">
        <v>18157</v>
      </c>
      <c r="B51662" s="0" t="str">
        <f aca="false">HYPERLINK("https://lindat.mff.cuni.cz/services/teitok/pdtc10/index.php?action=vallex&amp;frame=v-w7307f1", "usmrtit (v-w7307f1)")</f>
        <v>usmrtit (v-w7307f1)</v>
      </c>
    </row>
    <row r="51663" customFormat="false" ht="12.8" hidden="false" customHeight="false" outlineLevel="0" collapsed="false">
      <c r="B51663" s="0" t="s">
        <v>7</v>
      </c>
      <c r="C51663" s="0" t="s">
        <v>1226</v>
      </c>
      <c r="D51663" s="0" t="s">
        <v>5057</v>
      </c>
      <c r="E51663" s="0" t="s">
        <v>5057</v>
      </c>
      <c r="F51663" s="0" t="s">
        <v>5057</v>
      </c>
    </row>
    <row r="51664" customFormat="false" ht="12.8" hidden="false" customHeight="false" outlineLevel="0" collapsed="false">
      <c r="B51664" s="0" t="s">
        <v>14</v>
      </c>
      <c r="C51664" s="0" t="s">
        <v>75</v>
      </c>
      <c r="D51664" s="0" t="s">
        <v>8042</v>
      </c>
      <c r="E51664" s="0" t="s">
        <v>8042</v>
      </c>
      <c r="F51664" s="0" t="s">
        <v>8042</v>
      </c>
    </row>
    <row r="51666" customFormat="false" ht="12.8" hidden="false" customHeight="false" outlineLevel="0" collapsed="false">
      <c r="A51666" s="0" t="s">
        <v>18158</v>
      </c>
      <c r="B51666" s="0" t="str">
        <f aca="false">HYPERLINK("https://lindat.mff.cuni.cz/services/teitok/pdtc10/index.php?action=vallex&amp;frame=v-w11717_ZUf1_ZU", "usmyslet si (v-w11717_ZUf1_ZU)")</f>
        <v>usmyslet si (v-w11717_ZUf1_ZU)</v>
      </c>
    </row>
    <row r="51667" customFormat="false" ht="12.8" hidden="false" customHeight="false" outlineLevel="0" collapsed="false">
      <c r="B51667" s="0" t="s">
        <v>7</v>
      </c>
    </row>
    <row r="51668" customFormat="false" ht="12.8" hidden="false" customHeight="false" outlineLevel="0" collapsed="false">
      <c r="B51668" s="0" t="s">
        <v>2933</v>
      </c>
    </row>
    <row r="51670" customFormat="false" ht="12.8" hidden="false" customHeight="false" outlineLevel="0" collapsed="false">
      <c r="A51670" s="0" t="s">
        <v>18159</v>
      </c>
      <c r="B51670" s="0" t="str">
        <f aca="false">HYPERLINK("https://lindat.mff.cuni.cz/services/teitok/pdtc10/index.php?action=vallex&amp;frame=v-w7297f1", "usmát se (v-w7297f1)")</f>
        <v>usmát se (v-w7297f1)</v>
      </c>
    </row>
    <row r="51671" customFormat="false" ht="12.8" hidden="false" customHeight="false" outlineLevel="0" collapsed="false">
      <c r="B51671" s="0" t="s">
        <v>7</v>
      </c>
      <c r="C51671" s="0" t="s">
        <v>118</v>
      </c>
      <c r="D51671" s="0" t="s">
        <v>623</v>
      </c>
      <c r="E51671" s="0" t="s">
        <v>623</v>
      </c>
      <c r="F51671" s="0" t="s">
        <v>460</v>
      </c>
    </row>
    <row r="51672" customFormat="false" ht="12.8" hidden="false" customHeight="false" outlineLevel="0" collapsed="false">
      <c r="B51672" s="0" t="s">
        <v>63</v>
      </c>
    </row>
    <row r="51674" customFormat="false" ht="12.8" hidden="false" customHeight="false" outlineLevel="0" collapsed="false">
      <c r="A51674" s="0" t="s">
        <v>18160</v>
      </c>
      <c r="B51674" s="0" t="str">
        <f aca="false">HYPERLINK("https://lindat.mff.cuni.cz/services/teitok/pdtc10/index.php?action=vallex&amp;frame=v-w7305f1", "usmívat se (v-w7305f1)")</f>
        <v>usmívat se (v-w7305f1)</v>
      </c>
    </row>
    <row r="51675" customFormat="false" ht="12.8" hidden="false" customHeight="false" outlineLevel="0" collapsed="false">
      <c r="B51675" s="0" t="s">
        <v>7</v>
      </c>
      <c r="C51675" s="0" t="s">
        <v>623</v>
      </c>
      <c r="F51675" s="0" t="s">
        <v>46</v>
      </c>
    </row>
    <row r="51676" customFormat="false" ht="12.8" hidden="false" customHeight="false" outlineLevel="0" collapsed="false">
      <c r="B51676" s="0" t="s">
        <v>119</v>
      </c>
    </row>
    <row r="51678" customFormat="false" ht="12.8" hidden="false" customHeight="false" outlineLevel="0" collapsed="false">
      <c r="A51678" s="0" t="s">
        <v>18161</v>
      </c>
      <c r="B51678" s="0" t="str">
        <f aca="false">HYPERLINK("https://lindat.mff.cuni.cz/services/teitok/pdtc10/index.php?action=vallex&amp;frame=v-w7305f2", "usmívat se (v-w7305f2)")</f>
        <v>usmívat se (v-w7305f2)</v>
      </c>
    </row>
    <row r="51679" customFormat="false" ht="12.8" hidden="false" customHeight="false" outlineLevel="0" collapsed="false">
      <c r="B51679" s="0" t="s">
        <v>7</v>
      </c>
      <c r="C51679" s="0" t="s">
        <v>623</v>
      </c>
      <c r="D51679" s="0" t="s">
        <v>623</v>
      </c>
      <c r="E51679" s="0" t="s">
        <v>623</v>
      </c>
      <c r="F51679" s="0" t="s">
        <v>460</v>
      </c>
    </row>
    <row r="51680" customFormat="false" ht="12.8" hidden="false" customHeight="false" outlineLevel="0" collapsed="false">
      <c r="B51680" s="0" t="s">
        <v>63</v>
      </c>
    </row>
    <row r="51682" customFormat="false" ht="12.8" hidden="false" customHeight="false" outlineLevel="0" collapsed="false">
      <c r="A51682" s="0" t="s">
        <v>18162</v>
      </c>
      <c r="B51682" s="0" t="str">
        <f aca="false">HYPERLINK("https://lindat.mff.cuni.cz/services/teitok/pdtc10/index.php?action=vallex&amp;frame=v-w11360f2", "usmířit (v-w11360f2)")</f>
        <v>usmířit (v-w11360f2)</v>
      </c>
    </row>
    <row r="51683" customFormat="false" ht="12.8" hidden="false" customHeight="false" outlineLevel="0" collapsed="false">
      <c r="B51683" s="0" t="s">
        <v>7</v>
      </c>
    </row>
    <row r="51684" customFormat="false" ht="12.8" hidden="false" customHeight="false" outlineLevel="0" collapsed="false">
      <c r="B51684" s="0" t="s">
        <v>14</v>
      </c>
    </row>
    <row r="51685" customFormat="false" ht="12.8" hidden="false" customHeight="false" outlineLevel="0" collapsed="false">
      <c r="B51685" s="0" t="s">
        <v>207</v>
      </c>
    </row>
    <row r="51687" customFormat="false" ht="12.8" hidden="false" customHeight="false" outlineLevel="0" collapsed="false">
      <c r="A51687" s="0" t="s">
        <v>18163</v>
      </c>
      <c r="B51687" s="0" t="str">
        <f aca="false">HYPERLINK("https://lindat.mff.cuni.cz/services/teitok/pdtc10/index.php?action=vallex&amp;frame=v-w11360f1", "usmířit (v-w11360f1)")</f>
        <v>usmířit (v-w11360f1)</v>
      </c>
    </row>
    <row r="51688" customFormat="false" ht="12.8" hidden="false" customHeight="false" outlineLevel="0" collapsed="false">
      <c r="B51688" s="0" t="s">
        <v>7</v>
      </c>
      <c r="C51688" s="0" t="s">
        <v>335</v>
      </c>
    </row>
    <row r="51689" customFormat="false" ht="12.8" hidden="false" customHeight="false" outlineLevel="0" collapsed="false">
      <c r="B51689" s="0" t="s">
        <v>14</v>
      </c>
      <c r="C51689" s="0" t="s">
        <v>78</v>
      </c>
    </row>
    <row r="51691" customFormat="false" ht="12.8" hidden="false" customHeight="false" outlineLevel="0" collapsed="false">
      <c r="A51691" s="0" t="s">
        <v>18164</v>
      </c>
      <c r="B51691" s="0" t="str">
        <f aca="false">HYPERLINK("https://lindat.mff.cuni.cz/services/teitok/pdtc10/index.php?action=vallex&amp;frame=v-w7303f1", "usmířit se (v-w7303f1)")</f>
        <v>usmířit se (v-w7303f1)</v>
      </c>
    </row>
    <row r="51692" customFormat="false" ht="12.8" hidden="false" customHeight="false" outlineLevel="0" collapsed="false">
      <c r="B51692" s="0" t="s">
        <v>7</v>
      </c>
    </row>
    <row r="51693" customFormat="false" ht="12.8" hidden="false" customHeight="false" outlineLevel="0" collapsed="false">
      <c r="B51693" s="0" t="s">
        <v>548</v>
      </c>
    </row>
    <row r="51695" customFormat="false" ht="12.8" hidden="false" customHeight="false" outlineLevel="0" collapsed="false">
      <c r="A51695" s="0" t="s">
        <v>18165</v>
      </c>
      <c r="B51695" s="0" t="str">
        <f aca="false">HYPERLINK("https://lindat.mff.cuni.cz/services/teitok/pdtc10/index.php?action=vallex&amp;frame=v-w7298f1", "usměrnit (v-w7298f1)")</f>
        <v>usměrnit (v-w7298f1)</v>
      </c>
    </row>
    <row r="51696" customFormat="false" ht="12.8" hidden="false" customHeight="false" outlineLevel="0" collapsed="false">
      <c r="B51696" s="0" t="s">
        <v>7</v>
      </c>
      <c r="D51696" s="0" t="s">
        <v>1604</v>
      </c>
      <c r="E51696" s="0" t="s">
        <v>1604</v>
      </c>
      <c r="F51696" s="0" t="s">
        <v>1604</v>
      </c>
    </row>
    <row r="51697" customFormat="false" ht="12.8" hidden="false" customHeight="false" outlineLevel="0" collapsed="false">
      <c r="B51697" s="0" t="s">
        <v>14</v>
      </c>
      <c r="D51697" s="0" t="s">
        <v>1606</v>
      </c>
      <c r="E51697" s="0" t="s">
        <v>1606</v>
      </c>
      <c r="F51697" s="0" t="s">
        <v>1606</v>
      </c>
    </row>
    <row r="51699" customFormat="false" ht="12.8" hidden="false" customHeight="false" outlineLevel="0" collapsed="false">
      <c r="A51699" s="0" t="s">
        <v>18166</v>
      </c>
      <c r="B51699" s="0" t="str">
        <f aca="false">HYPERLINK("https://lindat.mff.cuni.cz/services/teitok/pdtc10/index.php?action=vallex&amp;frame=v-w7301f1", "usměrňovat (v-w7301f1)")</f>
        <v>usměrňovat (v-w7301f1)</v>
      </c>
    </row>
    <row r="51700" customFormat="false" ht="12.8" hidden="false" customHeight="false" outlineLevel="0" collapsed="false">
      <c r="B51700" s="0" t="s">
        <v>7</v>
      </c>
      <c r="C51700" s="0" t="s">
        <v>309</v>
      </c>
      <c r="D51700" s="0" t="s">
        <v>1604</v>
      </c>
      <c r="E51700" s="0" t="s">
        <v>1604</v>
      </c>
      <c r="F51700" s="0" t="s">
        <v>1604</v>
      </c>
    </row>
    <row r="51701" customFormat="false" ht="12.8" hidden="false" customHeight="false" outlineLevel="0" collapsed="false">
      <c r="B51701" s="0" t="s">
        <v>14</v>
      </c>
      <c r="C51701" s="0" t="s">
        <v>7007</v>
      </c>
      <c r="D51701" s="0" t="s">
        <v>1606</v>
      </c>
      <c r="E51701" s="0" t="s">
        <v>1606</v>
      </c>
      <c r="F51701" s="0" t="s">
        <v>1606</v>
      </c>
    </row>
    <row r="51703" customFormat="false" ht="12.8" hidden="false" customHeight="false" outlineLevel="0" collapsed="false">
      <c r="A51703" s="0" t="s">
        <v>18167</v>
      </c>
      <c r="B51703" s="0" t="str">
        <f aca="false">HYPERLINK("https://lindat.mff.cuni.cz/services/teitok/pdtc10/index.php?action=vallex&amp;frame=v-w7310f2_ZU", "usnadnit (v-w7310f2_ZU)")</f>
        <v>usnadnit (v-w7310f2_ZU)</v>
      </c>
    </row>
    <row r="51704" customFormat="false" ht="12.8" hidden="false" customHeight="false" outlineLevel="0" collapsed="false">
      <c r="B51704" s="0" t="s">
        <v>7</v>
      </c>
    </row>
    <row r="51705" customFormat="false" ht="12.8" hidden="false" customHeight="false" outlineLevel="0" collapsed="false">
      <c r="B51705" s="0" t="s">
        <v>306</v>
      </c>
    </row>
    <row r="51706" customFormat="false" ht="12.8" hidden="false" customHeight="false" outlineLevel="0" collapsed="false">
      <c r="B51706" s="0" t="s">
        <v>106</v>
      </c>
    </row>
    <row r="51708" customFormat="false" ht="12.8" hidden="false" customHeight="false" outlineLevel="0" collapsed="false">
      <c r="A51708" s="0" t="s">
        <v>18167</v>
      </c>
      <c r="B51708" s="0" t="str">
        <f aca="false">HYPERLINK("https://lindat.mff.cuni.cz/services/teitok/pdtc10/index.php?action=vallex&amp;frame=v-w7310f1", "usnadnit (v-w7310f1) - substituted with v-w7310f2_ZU")</f>
        <v>usnadnit (v-w7310f1) - substituted with v-w7310f2_ZU</v>
      </c>
    </row>
    <row r="51709" customFormat="false" ht="12.8" hidden="false" customHeight="false" outlineLevel="0" collapsed="false">
      <c r="B51709" s="0" t="s">
        <v>7</v>
      </c>
      <c r="C51709" s="0" t="s">
        <v>77</v>
      </c>
    </row>
    <row r="51710" customFormat="false" ht="12.8" hidden="false" customHeight="false" outlineLevel="0" collapsed="false">
      <c r="B51710" s="0" t="s">
        <v>306</v>
      </c>
      <c r="C51710" s="0" t="s">
        <v>18168</v>
      </c>
    </row>
    <row r="51711" customFormat="false" ht="12.8" hidden="false" customHeight="false" outlineLevel="0" collapsed="false">
      <c r="B51711" s="0" t="s">
        <v>106</v>
      </c>
    </row>
    <row r="51713" customFormat="false" ht="12.8" hidden="false" customHeight="false" outlineLevel="0" collapsed="false">
      <c r="A51713" s="0" t="s">
        <v>18167</v>
      </c>
      <c r="B51713" s="0" t="str">
        <f aca="false">HYPERLINK("https://lindat.mff.cuni.cz/services/teitok/pdtc10/index.php?action=vallex&amp;frame=v-w7310hsa_721", "usnadnit (v-w7310hsa_721) - substituted with v-w7310f2_ZU")</f>
        <v>usnadnit (v-w7310hsa_721) - substituted with v-w7310f2_ZU</v>
      </c>
    </row>
    <row r="51714" customFormat="false" ht="12.8" hidden="false" customHeight="false" outlineLevel="0" collapsed="false">
      <c r="B51714" s="0" t="s">
        <v>7</v>
      </c>
    </row>
    <row r="51715" customFormat="false" ht="12.8" hidden="false" customHeight="false" outlineLevel="0" collapsed="false">
      <c r="B51715" s="0" t="s">
        <v>306</v>
      </c>
    </row>
    <row r="51716" customFormat="false" ht="12.8" hidden="false" customHeight="false" outlineLevel="0" collapsed="false">
      <c r="B51716" s="0" t="s">
        <v>106</v>
      </c>
    </row>
    <row r="51718" customFormat="false" ht="12.8" hidden="false" customHeight="false" outlineLevel="0" collapsed="false">
      <c r="A51718" s="0" t="s">
        <v>18169</v>
      </c>
      <c r="B51718" s="0" t="str">
        <f aca="false">HYPERLINK("https://lindat.mff.cuni.cz/services/teitok/pdtc10/index.php?action=vallex&amp;frame=v-w7311f1", "usnadňovat (v-w7311f1)")</f>
        <v>usnadňovat (v-w7311f1)</v>
      </c>
    </row>
    <row r="51719" customFormat="false" ht="12.8" hidden="false" customHeight="false" outlineLevel="0" collapsed="false">
      <c r="B51719" s="0" t="s">
        <v>7</v>
      </c>
      <c r="C51719" s="0" t="s">
        <v>113</v>
      </c>
    </row>
    <row r="51720" customFormat="false" ht="12.8" hidden="false" customHeight="false" outlineLevel="0" collapsed="false">
      <c r="B51720" s="0" t="s">
        <v>14</v>
      </c>
      <c r="C51720" s="0" t="s">
        <v>384</v>
      </c>
    </row>
    <row r="51721" customFormat="false" ht="12.8" hidden="false" customHeight="false" outlineLevel="0" collapsed="false">
      <c r="B51721" s="0" t="s">
        <v>106</v>
      </c>
    </row>
    <row r="51723" customFormat="false" ht="12.8" hidden="false" customHeight="false" outlineLevel="0" collapsed="false">
      <c r="A51723" s="0" t="s">
        <v>18170</v>
      </c>
      <c r="B51723" s="0" t="str">
        <f aca="false">HYPERLINK("https://lindat.mff.cuni.cz/services/teitok/pdtc10/index.php?action=vallex&amp;frame=v-w10432f2", "usnout (v-w10432f2)")</f>
        <v>usnout (v-w10432f2)</v>
      </c>
    </row>
    <row r="51724" customFormat="false" ht="12.8" hidden="false" customHeight="false" outlineLevel="0" collapsed="false">
      <c r="B51724" s="0" t="s">
        <v>7</v>
      </c>
    </row>
    <row r="51726" customFormat="false" ht="12.8" hidden="false" customHeight="false" outlineLevel="0" collapsed="false">
      <c r="A51726" s="0" t="s">
        <v>18171</v>
      </c>
      <c r="B51726" s="0" t="str">
        <f aca="false">HYPERLINK("https://lindat.mff.cuni.cz/services/teitok/pdtc10/index.php?action=vallex&amp;frame=v-w10432hsa_1855", "usnout (v-w10432hsa_1855)")</f>
        <v>usnout (v-w10432hsa_1855)</v>
      </c>
    </row>
    <row r="51727" customFormat="false" ht="12.8" hidden="false" customHeight="false" outlineLevel="0" collapsed="false">
      <c r="B51727" s="0" t="s">
        <v>7</v>
      </c>
    </row>
    <row r="51729" customFormat="false" ht="12.8" hidden="false" customHeight="false" outlineLevel="0" collapsed="false">
      <c r="A51729" s="0" t="s">
        <v>18172</v>
      </c>
      <c r="B51729" s="0" t="str">
        <f aca="false">HYPERLINK("https://lindat.mff.cuni.cz/services/teitok/pdtc10/index.php?action=vallex&amp;frame=v-w7314f1", "usnést se (v-w7314f1)")</f>
        <v>usnést se (v-w7314f1)</v>
      </c>
    </row>
    <row r="51730" customFormat="false" ht="12.8" hidden="false" customHeight="false" outlineLevel="0" collapsed="false">
      <c r="B51730" s="0" t="s">
        <v>7</v>
      </c>
    </row>
    <row r="51731" customFormat="false" ht="12.8" hidden="false" customHeight="false" outlineLevel="0" collapsed="false">
      <c r="B51731" s="0" t="s">
        <v>18173</v>
      </c>
    </row>
    <row r="51733" customFormat="false" ht="12.8" hidden="false" customHeight="false" outlineLevel="0" collapsed="false">
      <c r="A51733" s="0" t="s">
        <v>18174</v>
      </c>
      <c r="B51733" s="0" t="str">
        <f aca="false">HYPERLINK("https://lindat.mff.cuni.cz/services/teitok/pdtc10/index.php?action=vallex&amp;frame=v-w7315f3_ZU", "usoudit (v-w7315f3_ZU)")</f>
        <v>usoudit (v-w7315f3_ZU)</v>
      </c>
    </row>
    <row r="51734" customFormat="false" ht="12.8" hidden="false" customHeight="false" outlineLevel="0" collapsed="false">
      <c r="B51734" s="0" t="s">
        <v>7</v>
      </c>
    </row>
    <row r="51735" customFormat="false" ht="12.8" hidden="false" customHeight="false" outlineLevel="0" collapsed="false">
      <c r="B51735" s="0" t="s">
        <v>172</v>
      </c>
    </row>
    <row r="51737" customFormat="false" ht="12.8" hidden="false" customHeight="false" outlineLevel="0" collapsed="false">
      <c r="A51737" s="0" t="s">
        <v>18174</v>
      </c>
      <c r="B51737" s="0" t="str">
        <f aca="false">HYPERLINK("https://lindat.mff.cuni.cz/services/teitok/pdtc10/index.php?action=vallex&amp;frame=v-w7315f2", "usoudit (v-w7315f2) - substituted with v-w7315f3_ZU")</f>
        <v>usoudit (v-w7315f2) - substituted with v-w7315f3_ZU</v>
      </c>
    </row>
    <row r="51738" customFormat="false" ht="12.8" hidden="false" customHeight="false" outlineLevel="0" collapsed="false">
      <c r="B51738" s="0" t="s">
        <v>7</v>
      </c>
      <c r="C51738" s="0" t="s">
        <v>18175</v>
      </c>
      <c r="D51738" s="0" t="s">
        <v>18176</v>
      </c>
      <c r="E51738" s="0" t="s">
        <v>18176</v>
      </c>
      <c r="F51738" s="0" t="s">
        <v>18176</v>
      </c>
    </row>
    <row r="51739" customFormat="false" ht="12.8" hidden="false" customHeight="false" outlineLevel="0" collapsed="false">
      <c r="B51739" s="0" t="s">
        <v>172</v>
      </c>
      <c r="C51739" s="0" t="s">
        <v>18177</v>
      </c>
      <c r="D51739" s="0" t="s">
        <v>18178</v>
      </c>
      <c r="E51739" s="0" t="s">
        <v>18178</v>
      </c>
      <c r="F51739" s="0" t="s">
        <v>18178</v>
      </c>
    </row>
    <row r="51741" customFormat="false" ht="12.8" hidden="false" customHeight="false" outlineLevel="0" collapsed="false">
      <c r="A51741" s="0" t="s">
        <v>18179</v>
      </c>
      <c r="B51741" s="0" t="str">
        <f aca="false">HYPERLINK("https://lindat.mff.cuni.cz/services/teitok/pdtc10/index.php?action=vallex&amp;frame=v-w7315f1", "usoudit (v-w7315f1)")</f>
        <v>usoudit (v-w7315f1)</v>
      </c>
    </row>
    <row r="51742" customFormat="false" ht="12.8" hidden="false" customHeight="false" outlineLevel="0" collapsed="false">
      <c r="B51742" s="0" t="s">
        <v>7</v>
      </c>
      <c r="C51742" s="0" t="s">
        <v>18180</v>
      </c>
      <c r="D51742" s="0" t="s">
        <v>16065</v>
      </c>
      <c r="E51742" s="0" t="s">
        <v>16065</v>
      </c>
      <c r="F51742" s="0" t="s">
        <v>16065</v>
      </c>
    </row>
    <row r="51743" customFormat="false" ht="12.8" hidden="false" customHeight="false" outlineLevel="0" collapsed="false">
      <c r="B51743" s="0" t="s">
        <v>8621</v>
      </c>
      <c r="C51743" s="0" t="s">
        <v>18181</v>
      </c>
      <c r="D51743" s="0" t="s">
        <v>16067</v>
      </c>
      <c r="E51743" s="0" t="s">
        <v>16067</v>
      </c>
      <c r="F51743" s="0" t="s">
        <v>16067</v>
      </c>
    </row>
    <row r="51744" customFormat="false" ht="12.8" hidden="false" customHeight="false" outlineLevel="0" collapsed="false">
      <c r="B51744" s="0" t="s">
        <v>363</v>
      </c>
      <c r="D51744" s="0" t="s">
        <v>16069</v>
      </c>
      <c r="E51744" s="0" t="s">
        <v>16069</v>
      </c>
      <c r="F51744" s="0" t="s">
        <v>16069</v>
      </c>
    </row>
    <row r="51746" customFormat="false" ht="12.8" hidden="false" customHeight="false" outlineLevel="0" collapsed="false">
      <c r="A51746" s="0" t="s">
        <v>18182</v>
      </c>
      <c r="B51746" s="0" t="str">
        <f aca="false">HYPERLINK("https://lindat.mff.cuni.cz/services/teitok/pdtc10/index.php?action=vallex&amp;frame=v-w7316f1", "usoužit (v-w7316f1)")</f>
        <v>usoužit (v-w7316f1)</v>
      </c>
    </row>
    <row r="51747" customFormat="false" ht="12.8" hidden="false" customHeight="false" outlineLevel="0" collapsed="false">
      <c r="B51747" s="0" t="s">
        <v>7</v>
      </c>
    </row>
    <row r="51748" customFormat="false" ht="12.8" hidden="false" customHeight="false" outlineLevel="0" collapsed="false">
      <c r="B51748" s="0" t="s">
        <v>14</v>
      </c>
    </row>
    <row r="51750" customFormat="false" ht="12.8" hidden="false" customHeight="false" outlineLevel="0" collapsed="false">
      <c r="A51750" s="0" t="s">
        <v>18183</v>
      </c>
      <c r="B51750" s="0" t="str">
        <f aca="false">HYPERLINK("https://lindat.mff.cuni.cz/services/teitok/pdtc10/index.php?action=vallex&amp;frame=v-w11995_ZUf1_ZU", "uspat (v-w11995_ZUf1_ZU)")</f>
        <v>uspat (v-w11995_ZUf1_ZU)</v>
      </c>
    </row>
    <row r="51751" customFormat="false" ht="12.8" hidden="false" customHeight="false" outlineLevel="0" collapsed="false">
      <c r="B51751" s="0" t="s">
        <v>7</v>
      </c>
    </row>
    <row r="51752" customFormat="false" ht="12.8" hidden="false" customHeight="false" outlineLevel="0" collapsed="false">
      <c r="B51752" s="0" t="s">
        <v>14</v>
      </c>
    </row>
    <row r="51754" customFormat="false" ht="12.8" hidden="false" customHeight="false" outlineLevel="0" collapsed="false">
      <c r="A51754" s="0" t="s">
        <v>18184</v>
      </c>
      <c r="B51754" s="0" t="str">
        <f aca="false">HYPERLINK("https://lindat.mff.cuni.cz/services/teitok/pdtc10/index.php?action=vallex&amp;frame=v-w11996_ZUf1_ZU", "uspat se (v-w11996_ZUf1_ZU)")</f>
        <v>uspat se (v-w11996_ZUf1_ZU)</v>
      </c>
    </row>
    <row r="51755" customFormat="false" ht="12.8" hidden="false" customHeight="false" outlineLevel="0" collapsed="false">
      <c r="B51755" s="0" t="s">
        <v>7</v>
      </c>
    </row>
    <row r="51757" customFormat="false" ht="12.8" hidden="false" customHeight="false" outlineLevel="0" collapsed="false">
      <c r="A51757" s="0" t="s">
        <v>18185</v>
      </c>
      <c r="B51757" s="0" t="str">
        <f aca="false">HYPERLINK("https://lindat.mff.cuni.cz/services/teitok/pdtc10/index.php?action=vallex&amp;frame=v-w7324f1", "uspokojit (v-w7324f1)")</f>
        <v>uspokojit (v-w7324f1)</v>
      </c>
    </row>
    <row r="51758" customFormat="false" ht="12.8" hidden="false" customHeight="false" outlineLevel="0" collapsed="false">
      <c r="B51758" s="0" t="s">
        <v>15165</v>
      </c>
      <c r="C51758" s="0" t="s">
        <v>18186</v>
      </c>
      <c r="D51758" s="0" t="s">
        <v>6744</v>
      </c>
      <c r="E51758" s="0" t="s">
        <v>6744</v>
      </c>
      <c r="F51758" s="0" t="s">
        <v>6744</v>
      </c>
    </row>
    <row r="51759" customFormat="false" ht="12.8" hidden="false" customHeight="false" outlineLevel="0" collapsed="false">
      <c r="B51759" s="0" t="s">
        <v>14</v>
      </c>
      <c r="C51759" s="0" t="s">
        <v>18187</v>
      </c>
      <c r="D51759" s="0" t="s">
        <v>6746</v>
      </c>
      <c r="E51759" s="0" t="s">
        <v>6746</v>
      </c>
      <c r="F51759" s="0" t="s">
        <v>6746</v>
      </c>
    </row>
    <row r="51761" customFormat="false" ht="12.8" hidden="false" customHeight="false" outlineLevel="0" collapsed="false">
      <c r="A51761" s="0" t="s">
        <v>18188</v>
      </c>
      <c r="B51761" s="0" t="str">
        <f aca="false">HYPERLINK("https://lindat.mff.cuni.cz/services/teitok/pdtc10/index.php?action=vallex&amp;frame=v-w7326f1", "uspokojovat (v-w7326f1)")</f>
        <v>uspokojovat (v-w7326f1)</v>
      </c>
    </row>
    <row r="51762" customFormat="false" ht="12.8" hidden="false" customHeight="false" outlineLevel="0" collapsed="false">
      <c r="B51762" s="0" t="s">
        <v>7</v>
      </c>
      <c r="C51762" s="0" t="s">
        <v>3711</v>
      </c>
      <c r="D51762" s="0" t="s">
        <v>6744</v>
      </c>
      <c r="E51762" s="0" t="s">
        <v>6744</v>
      </c>
      <c r="F51762" s="0" t="s">
        <v>6744</v>
      </c>
    </row>
    <row r="51763" customFormat="false" ht="12.8" hidden="false" customHeight="false" outlineLevel="0" collapsed="false">
      <c r="B51763" s="0" t="s">
        <v>14</v>
      </c>
      <c r="C51763" s="0" t="s">
        <v>78</v>
      </c>
      <c r="D51763" s="0" t="s">
        <v>6746</v>
      </c>
      <c r="E51763" s="0" t="s">
        <v>6746</v>
      </c>
      <c r="F51763" s="0" t="s">
        <v>6746</v>
      </c>
    </row>
    <row r="51765" customFormat="false" ht="12.8" hidden="false" customHeight="false" outlineLevel="0" collapsed="false">
      <c r="A51765" s="0" t="s">
        <v>18189</v>
      </c>
      <c r="B51765" s="0" t="str">
        <f aca="false">HYPERLINK("https://lindat.mff.cuni.cz/services/teitok/pdtc10/index.php?action=vallex&amp;frame=v-w7331f1", "uspořit (v-w7331f1)")</f>
        <v>uspořit (v-w7331f1)</v>
      </c>
    </row>
    <row r="51766" customFormat="false" ht="12.8" hidden="false" customHeight="false" outlineLevel="0" collapsed="false">
      <c r="B51766" s="0" t="s">
        <v>7</v>
      </c>
      <c r="C51766" s="0" t="s">
        <v>18190</v>
      </c>
      <c r="D51766" s="0" t="s">
        <v>18191</v>
      </c>
      <c r="E51766" s="0" t="s">
        <v>18191</v>
      </c>
      <c r="F51766" s="0" t="s">
        <v>18191</v>
      </c>
    </row>
    <row r="51767" customFormat="false" ht="12.8" hidden="false" customHeight="false" outlineLevel="0" collapsed="false">
      <c r="B51767" s="0" t="s">
        <v>14</v>
      </c>
      <c r="C51767" s="0" t="s">
        <v>152</v>
      </c>
      <c r="D51767" s="0" t="s">
        <v>8765</v>
      </c>
      <c r="E51767" s="0" t="s">
        <v>8765</v>
      </c>
      <c r="F51767" s="0" t="s">
        <v>8765</v>
      </c>
    </row>
    <row r="51769" customFormat="false" ht="12.8" hidden="false" customHeight="false" outlineLevel="0" collapsed="false">
      <c r="A51769" s="0" t="s">
        <v>18192</v>
      </c>
      <c r="B51769" s="0" t="str">
        <f aca="false">HYPERLINK("https://lindat.mff.cuni.cz/services/teitok/pdtc10/index.php?action=vallex&amp;frame=v-w7330f1", "uspořádat (v-w7330f1)")</f>
        <v>uspořádat (v-w7330f1)</v>
      </c>
    </row>
    <row r="51770" customFormat="false" ht="12.8" hidden="false" customHeight="false" outlineLevel="0" collapsed="false">
      <c r="B51770" s="0" t="s">
        <v>7</v>
      </c>
      <c r="C51770" s="0" t="s">
        <v>2199</v>
      </c>
    </row>
    <row r="51771" customFormat="false" ht="12.8" hidden="false" customHeight="false" outlineLevel="0" collapsed="false">
      <c r="B51771" s="0" t="s">
        <v>14</v>
      </c>
      <c r="C51771" s="0" t="s">
        <v>2850</v>
      </c>
    </row>
    <row r="51772" customFormat="false" ht="12.8" hidden="false" customHeight="false" outlineLevel="0" collapsed="false">
      <c r="B51772" s="0" t="s">
        <v>35</v>
      </c>
    </row>
    <row r="51774" customFormat="false" ht="12.8" hidden="false" customHeight="false" outlineLevel="0" collapsed="false">
      <c r="A51774" s="0" t="s">
        <v>18193</v>
      </c>
      <c r="B51774" s="0" t="str">
        <f aca="false">HYPERLINK("https://lindat.mff.cuni.cz/services/teitok/pdtc10/index.php?action=vallex&amp;frame=v-w7330f3", "uspořádat (v-w7330f3)")</f>
        <v>uspořádat (v-w7330f3)</v>
      </c>
    </row>
    <row r="51775" customFormat="false" ht="12.8" hidden="false" customHeight="false" outlineLevel="0" collapsed="false">
      <c r="B51775" s="0" t="s">
        <v>7</v>
      </c>
      <c r="D51775" s="0" t="s">
        <v>191</v>
      </c>
      <c r="E51775" s="0" t="s">
        <v>191</v>
      </c>
      <c r="F51775" s="0" t="s">
        <v>191</v>
      </c>
    </row>
    <row r="51776" customFormat="false" ht="12.8" hidden="false" customHeight="false" outlineLevel="0" collapsed="false">
      <c r="B51776" s="0" t="s">
        <v>14</v>
      </c>
      <c r="D51776" s="0" t="s">
        <v>155</v>
      </c>
      <c r="E51776" s="0" t="s">
        <v>155</v>
      </c>
      <c r="F51776" s="0" t="s">
        <v>155</v>
      </c>
    </row>
    <row r="51777" customFormat="false" ht="12.8" hidden="false" customHeight="false" outlineLevel="0" collapsed="false">
      <c r="B51777" s="0" t="s">
        <v>2571</v>
      </c>
    </row>
    <row r="51779" customFormat="false" ht="12.8" hidden="false" customHeight="false" outlineLevel="0" collapsed="false">
      <c r="A51779" s="0" t="s">
        <v>18194</v>
      </c>
      <c r="B51779" s="0" t="str">
        <f aca="false">HYPERLINK("https://lindat.mff.cuni.cz/services/teitok/pdtc10/index.php?action=vallex&amp;frame=v-w7330f2", "uspořádat (v-w7330f2)")</f>
        <v>uspořádat (v-w7330f2)</v>
      </c>
    </row>
    <row r="51780" customFormat="false" ht="12.8" hidden="false" customHeight="false" outlineLevel="0" collapsed="false">
      <c r="B51780" s="0" t="s">
        <v>7</v>
      </c>
      <c r="C51780" s="0" t="s">
        <v>9918</v>
      </c>
      <c r="D51780" s="0" t="s">
        <v>18195</v>
      </c>
      <c r="E51780" s="0" t="s">
        <v>18195</v>
      </c>
      <c r="F51780" s="0" t="s">
        <v>18195</v>
      </c>
    </row>
    <row r="51781" customFormat="false" ht="12.8" hidden="false" customHeight="false" outlineLevel="0" collapsed="false">
      <c r="B51781" s="0" t="s">
        <v>14</v>
      </c>
      <c r="C51781" s="0" t="s">
        <v>11001</v>
      </c>
      <c r="D51781" s="0" t="s">
        <v>18196</v>
      </c>
      <c r="E51781" s="0" t="s">
        <v>18196</v>
      </c>
      <c r="F51781" s="0" t="s">
        <v>18196</v>
      </c>
    </row>
    <row r="51783" customFormat="false" ht="12.8" hidden="false" customHeight="false" outlineLevel="0" collapsed="false">
      <c r="A51783" s="0" t="s">
        <v>18197</v>
      </c>
      <c r="B51783" s="0" t="str">
        <f aca="false">HYPERLINK("https://lindat.mff.cuni.cz/services/teitok/pdtc10/index.php?action=vallex&amp;frame=v-w7330hsa_188", "uspořádat (v-w7330hsa_188)")</f>
        <v>uspořádat (v-w7330hsa_188)</v>
      </c>
    </row>
    <row r="51784" customFormat="false" ht="12.8" hidden="false" customHeight="false" outlineLevel="0" collapsed="false">
      <c r="B51784" s="0" t="s">
        <v>7</v>
      </c>
    </row>
    <row r="51785" customFormat="false" ht="12.8" hidden="false" customHeight="false" outlineLevel="0" collapsed="false">
      <c r="B51785" s="0" t="s">
        <v>14</v>
      </c>
    </row>
    <row r="51787" customFormat="false" ht="12.8" hidden="false" customHeight="false" outlineLevel="0" collapsed="false">
      <c r="A51787" s="0" t="s">
        <v>18198</v>
      </c>
      <c r="B51787" s="0" t="str">
        <f aca="false">HYPERLINK("https://lindat.mff.cuni.cz/services/teitok/pdtc10/index.php?action=vallex&amp;frame=v-w11184f2", "uspořádávat (v-w11184f2)")</f>
        <v>uspořádávat (v-w11184f2)</v>
      </c>
    </row>
    <row r="51788" customFormat="false" ht="12.8" hidden="false" customHeight="false" outlineLevel="0" collapsed="false">
      <c r="B51788" s="0" t="s">
        <v>7</v>
      </c>
      <c r="D51788" s="0" t="s">
        <v>1292</v>
      </c>
      <c r="E51788" s="0" t="s">
        <v>1292</v>
      </c>
      <c r="F51788" s="0" t="s">
        <v>1292</v>
      </c>
    </row>
    <row r="51789" customFormat="false" ht="12.8" hidden="false" customHeight="false" outlineLevel="0" collapsed="false">
      <c r="B51789" s="0" t="s">
        <v>14</v>
      </c>
      <c r="D51789" s="0" t="s">
        <v>1294</v>
      </c>
      <c r="E51789" s="0" t="s">
        <v>1294</v>
      </c>
      <c r="F51789" s="0" t="s">
        <v>1294</v>
      </c>
    </row>
    <row r="51791" customFormat="false" ht="12.8" hidden="false" customHeight="false" outlineLevel="0" collapsed="false">
      <c r="A51791" s="0" t="s">
        <v>18199</v>
      </c>
      <c r="B51791" s="0" t="str">
        <f aca="false">HYPERLINK("https://lindat.mff.cuni.cz/services/teitok/pdtc10/index.php?action=vallex&amp;frame=v-w7322f1", "uspíšit (v-w7322f1)")</f>
        <v>uspíšit (v-w7322f1)</v>
      </c>
    </row>
    <row r="51792" customFormat="false" ht="12.8" hidden="false" customHeight="false" outlineLevel="0" collapsed="false">
      <c r="B51792" s="0" t="s">
        <v>7</v>
      </c>
      <c r="C51792" s="0" t="s">
        <v>18200</v>
      </c>
      <c r="D51792" s="0" t="s">
        <v>10610</v>
      </c>
      <c r="E51792" s="0" t="s">
        <v>10610</v>
      </c>
      <c r="F51792" s="0" t="s">
        <v>10610</v>
      </c>
    </row>
    <row r="51793" customFormat="false" ht="12.8" hidden="false" customHeight="false" outlineLevel="0" collapsed="false">
      <c r="B51793" s="0" t="s">
        <v>14</v>
      </c>
      <c r="C51793" s="0" t="s">
        <v>4407</v>
      </c>
      <c r="D51793" s="0" t="s">
        <v>5103</v>
      </c>
      <c r="E51793" s="0" t="s">
        <v>5103</v>
      </c>
      <c r="F51793" s="0" t="s">
        <v>5103</v>
      </c>
    </row>
    <row r="51795" customFormat="false" ht="12.8" hidden="false" customHeight="false" outlineLevel="0" collapsed="false">
      <c r="A51795" s="0" t="s">
        <v>18201</v>
      </c>
      <c r="B51795" s="0" t="str">
        <f aca="false">HYPERLINK("https://lindat.mff.cuni.cz/services/teitok/pdtc10/index.php?action=vallex&amp;frame=v-w7318f1", "uspěchat (v-w7318f1)")</f>
        <v>uspěchat (v-w7318f1)</v>
      </c>
    </row>
    <row r="51796" customFormat="false" ht="12.8" hidden="false" customHeight="false" outlineLevel="0" collapsed="false">
      <c r="B51796" s="0" t="s">
        <v>7</v>
      </c>
    </row>
    <row r="51797" customFormat="false" ht="12.8" hidden="false" customHeight="false" outlineLevel="0" collapsed="false">
      <c r="B51797" s="0" t="s">
        <v>14</v>
      </c>
    </row>
    <row r="51799" customFormat="false" ht="12.8" hidden="false" customHeight="false" outlineLevel="0" collapsed="false">
      <c r="A51799" s="0" t="s">
        <v>18202</v>
      </c>
      <c r="B51799" s="0" t="str">
        <f aca="false">HYPERLINK("https://lindat.mff.cuni.cz/services/teitok/pdtc10/index.php?action=vallex&amp;frame=v-w7321f2", "uspět (v-w7321f2)")</f>
        <v>uspět (v-w7321f2)</v>
      </c>
    </row>
    <row r="51800" customFormat="false" ht="12.8" hidden="false" customHeight="false" outlineLevel="0" collapsed="false">
      <c r="B51800" s="0" t="s">
        <v>7</v>
      </c>
      <c r="C51800" s="0" t="s">
        <v>14076</v>
      </c>
      <c r="D51800" s="0" t="s">
        <v>18203</v>
      </c>
      <c r="E51800" s="0" t="s">
        <v>18203</v>
      </c>
      <c r="F51800" s="0" t="s">
        <v>18203</v>
      </c>
    </row>
    <row r="51801" customFormat="false" ht="12.8" hidden="false" customHeight="false" outlineLevel="0" collapsed="false">
      <c r="B51801" s="0" t="s">
        <v>548</v>
      </c>
      <c r="C51801" s="0" t="s">
        <v>18204</v>
      </c>
      <c r="D51801" s="0" t="s">
        <v>1264</v>
      </c>
      <c r="E51801" s="0" t="s">
        <v>1264</v>
      </c>
      <c r="F51801" s="0" t="s">
        <v>1264</v>
      </c>
    </row>
    <row r="51803" customFormat="false" ht="12.8" hidden="false" customHeight="false" outlineLevel="0" collapsed="false">
      <c r="A51803" s="0" t="s">
        <v>18205</v>
      </c>
      <c r="B51803" s="0" t="str">
        <f aca="false">HYPERLINK("https://lindat.mff.cuni.cz/services/teitok/pdtc10/index.php?action=vallex&amp;frame=v-w7321f1", "uspět (v-w7321f1)")</f>
        <v>uspět (v-w7321f1)</v>
      </c>
    </row>
    <row r="51804" customFormat="false" ht="12.8" hidden="false" customHeight="false" outlineLevel="0" collapsed="false">
      <c r="B51804" s="0" t="s">
        <v>7</v>
      </c>
      <c r="C51804" s="0" t="s">
        <v>18206</v>
      </c>
      <c r="D51804" s="0" t="s">
        <v>18207</v>
      </c>
      <c r="E51804" s="0" t="s">
        <v>18208</v>
      </c>
      <c r="F51804" s="0" t="s">
        <v>18208</v>
      </c>
    </row>
    <row r="51806" customFormat="false" ht="12.8" hidden="false" customHeight="false" outlineLevel="0" collapsed="false">
      <c r="A51806" s="0" t="s">
        <v>18209</v>
      </c>
      <c r="B51806" s="0" t="str">
        <f aca="false">HYPERLINK("https://lindat.mff.cuni.cz/services/teitok/pdtc10/index.php?action=vallex&amp;frame=v-w11158f2", "usrkávat (v-w11158f2)")</f>
        <v>usrkávat (v-w11158f2)</v>
      </c>
    </row>
    <row r="51807" customFormat="false" ht="12.8" hidden="false" customHeight="false" outlineLevel="0" collapsed="false">
      <c r="B51807" s="0" t="s">
        <v>7</v>
      </c>
      <c r="C51807" s="0" t="s">
        <v>191</v>
      </c>
      <c r="D51807" s="0" t="s">
        <v>88</v>
      </c>
      <c r="E51807" s="0" t="s">
        <v>88</v>
      </c>
      <c r="F51807" s="0" t="s">
        <v>88</v>
      </c>
    </row>
    <row r="51808" customFormat="false" ht="12.8" hidden="false" customHeight="false" outlineLevel="0" collapsed="false">
      <c r="B51808" s="0" t="s">
        <v>14</v>
      </c>
      <c r="C51808" s="0" t="s">
        <v>47</v>
      </c>
      <c r="D51808" s="0" t="s">
        <v>74</v>
      </c>
      <c r="E51808" s="0" t="s">
        <v>74</v>
      </c>
      <c r="F51808" s="0" t="s">
        <v>74</v>
      </c>
    </row>
    <row r="51810" customFormat="false" ht="12.8" hidden="false" customHeight="false" outlineLevel="0" collapsed="false">
      <c r="A51810" s="0" t="s">
        <v>18210</v>
      </c>
      <c r="B51810" s="0" t="str">
        <f aca="false">HYPERLINK("https://lindat.mff.cuni.cz/services/teitok/pdtc10/index.php?action=vallex&amp;frame=v-w11989_ZUf1_ZU", "ustalovat (v-w11989_ZUf1_ZU)")</f>
        <v>ustalovat (v-w11989_ZUf1_ZU)</v>
      </c>
    </row>
    <row r="51811" customFormat="false" ht="12.8" hidden="false" customHeight="false" outlineLevel="0" collapsed="false">
      <c r="B51811" s="0" t="s">
        <v>7</v>
      </c>
    </row>
    <row r="51812" customFormat="false" ht="12.8" hidden="false" customHeight="false" outlineLevel="0" collapsed="false">
      <c r="B51812" s="0" t="s">
        <v>14</v>
      </c>
    </row>
    <row r="51814" customFormat="false" ht="12.8" hidden="false" customHeight="false" outlineLevel="0" collapsed="false">
      <c r="A51814" s="0" t="s">
        <v>18211</v>
      </c>
      <c r="B51814" s="0" t="str">
        <f aca="false">HYPERLINK("https://lindat.mff.cuni.cz/services/teitok/pdtc10/index.php?action=vallex&amp;frame=v-w7333f1", "ustalovat se (v-w7333f1)")</f>
        <v>ustalovat se (v-w7333f1)</v>
      </c>
    </row>
    <row r="51815" customFormat="false" ht="12.8" hidden="false" customHeight="false" outlineLevel="0" collapsed="false">
      <c r="B51815" s="0" t="s">
        <v>7</v>
      </c>
      <c r="C51815" s="0" t="s">
        <v>569</v>
      </c>
      <c r="D51815" s="0" t="s">
        <v>16431</v>
      </c>
      <c r="E51815" s="0" t="s">
        <v>16431</v>
      </c>
      <c r="F51815" s="0" t="s">
        <v>16431</v>
      </c>
    </row>
    <row r="51817" customFormat="false" ht="12.8" hidden="false" customHeight="false" outlineLevel="0" collapsed="false">
      <c r="A51817" s="0" t="s">
        <v>18212</v>
      </c>
      <c r="B51817" s="0" t="str">
        <f aca="false">HYPERLINK("https://lindat.mff.cuni.cz/services/teitok/pdtc10/index.php?action=vallex&amp;frame=v-w7335f1", "ustanovit (v-w7335f1)")</f>
        <v>ustanovit (v-w7335f1)</v>
      </c>
    </row>
    <row r="51818" customFormat="false" ht="12.8" hidden="false" customHeight="false" outlineLevel="0" collapsed="false">
      <c r="B51818" s="0" t="s">
        <v>7</v>
      </c>
      <c r="C51818" s="0" t="s">
        <v>7136</v>
      </c>
      <c r="D51818" s="0" t="s">
        <v>14491</v>
      </c>
      <c r="E51818" s="0" t="s">
        <v>14491</v>
      </c>
      <c r="F51818" s="0" t="s">
        <v>14491</v>
      </c>
    </row>
    <row r="51819" customFormat="false" ht="12.8" hidden="false" customHeight="false" outlineLevel="0" collapsed="false">
      <c r="B51819" s="0" t="s">
        <v>54</v>
      </c>
      <c r="C51819" s="0" t="s">
        <v>18213</v>
      </c>
      <c r="D51819" s="0" t="s">
        <v>14493</v>
      </c>
      <c r="E51819" s="0" t="s">
        <v>14493</v>
      </c>
      <c r="F51819" s="0" t="s">
        <v>14493</v>
      </c>
    </row>
    <row r="51820" customFormat="false" ht="12.8" hidden="false" customHeight="false" outlineLevel="0" collapsed="false">
      <c r="B51820" s="0" t="s">
        <v>35</v>
      </c>
      <c r="D51820" s="0" t="s">
        <v>8048</v>
      </c>
      <c r="E51820" s="0" t="s">
        <v>8048</v>
      </c>
      <c r="F51820" s="0" t="s">
        <v>8048</v>
      </c>
    </row>
    <row r="51822" customFormat="false" ht="12.8" hidden="false" customHeight="false" outlineLevel="0" collapsed="false">
      <c r="A51822" s="0" t="s">
        <v>18214</v>
      </c>
      <c r="B51822" s="0" t="str">
        <f aca="false">HYPERLINK("https://lindat.mff.cuni.cz/services/teitok/pdtc10/index.php?action=vallex&amp;frame=v-w7335f2", "ustanovit (v-w7335f2)")</f>
        <v>ustanovit (v-w7335f2)</v>
      </c>
    </row>
    <row r="51823" customFormat="false" ht="12.8" hidden="false" customHeight="false" outlineLevel="0" collapsed="false">
      <c r="B51823" s="0" t="s">
        <v>7</v>
      </c>
      <c r="C51823" s="0" t="s">
        <v>3610</v>
      </c>
    </row>
    <row r="51824" customFormat="false" ht="12.8" hidden="false" customHeight="false" outlineLevel="0" collapsed="false">
      <c r="B51824" s="0" t="s">
        <v>14</v>
      </c>
      <c r="C51824" s="0" t="s">
        <v>1511</v>
      </c>
    </row>
    <row r="51825" customFormat="false" ht="12.8" hidden="false" customHeight="false" outlineLevel="0" collapsed="false">
      <c r="B51825" s="0" t="s">
        <v>12760</v>
      </c>
      <c r="C51825" s="0" t="s">
        <v>18215</v>
      </c>
    </row>
    <row r="51827" customFormat="false" ht="12.8" hidden="false" customHeight="false" outlineLevel="0" collapsed="false">
      <c r="A51827" s="0" t="s">
        <v>18216</v>
      </c>
      <c r="B51827" s="0" t="str">
        <f aca="false">HYPERLINK("https://lindat.mff.cuni.cz/services/teitok/pdtc10/index.php?action=vallex&amp;frame=v-w7335hsa_392", "ustanovit (v-w7335hsa_392)")</f>
        <v>ustanovit (v-w7335hsa_392)</v>
      </c>
    </row>
    <row r="51828" customFormat="false" ht="12.8" hidden="false" customHeight="false" outlineLevel="0" collapsed="false">
      <c r="B51828" s="0" t="s">
        <v>7</v>
      </c>
      <c r="C51828" s="0" t="s">
        <v>10798</v>
      </c>
      <c r="D51828" s="0" t="s">
        <v>2998</v>
      </c>
      <c r="E51828" s="0" t="s">
        <v>2998</v>
      </c>
      <c r="F51828" s="0" t="s">
        <v>2998</v>
      </c>
    </row>
    <row r="51829" customFormat="false" ht="12.8" hidden="false" customHeight="false" outlineLevel="0" collapsed="false">
      <c r="B51829" s="0" t="s">
        <v>172</v>
      </c>
      <c r="C51829" s="0" t="s">
        <v>15800</v>
      </c>
      <c r="D51829" s="0" t="s">
        <v>3001</v>
      </c>
      <c r="E51829" s="0" t="s">
        <v>3001</v>
      </c>
      <c r="F51829" s="0" t="s">
        <v>3001</v>
      </c>
    </row>
    <row r="51831" customFormat="false" ht="12.8" hidden="false" customHeight="false" outlineLevel="0" collapsed="false">
      <c r="A51831" s="0" t="s">
        <v>18217</v>
      </c>
      <c r="B51831" s="0" t="str">
        <f aca="false">HYPERLINK("https://lindat.mff.cuni.cz/services/teitok/pdtc10/index.php?action=vallex&amp;frame=v-w10736f2", "ustanovovat (v-w10736f2)")</f>
        <v>ustanovovat (v-w10736f2)</v>
      </c>
    </row>
    <row r="51832" customFormat="false" ht="12.8" hidden="false" customHeight="false" outlineLevel="0" collapsed="false">
      <c r="B51832" s="0" t="s">
        <v>7</v>
      </c>
      <c r="C51832" s="0" t="s">
        <v>1894</v>
      </c>
      <c r="D51832" s="0" t="s">
        <v>1135</v>
      </c>
      <c r="E51832" s="0" t="s">
        <v>1135</v>
      </c>
      <c r="F51832" s="0" t="s">
        <v>1135</v>
      </c>
    </row>
    <row r="51833" customFormat="false" ht="12.8" hidden="false" customHeight="false" outlineLevel="0" collapsed="false">
      <c r="B51833" s="0" t="s">
        <v>172</v>
      </c>
      <c r="C51833" s="0" t="s">
        <v>18218</v>
      </c>
      <c r="D51833" s="0" t="s">
        <v>1137</v>
      </c>
      <c r="E51833" s="0" t="s">
        <v>1137</v>
      </c>
      <c r="F51833" s="0" t="s">
        <v>1137</v>
      </c>
    </row>
    <row r="51835" customFormat="false" ht="12.8" hidden="false" customHeight="false" outlineLevel="0" collapsed="false">
      <c r="A51835" s="0" t="s">
        <v>18219</v>
      </c>
      <c r="B51835" s="0" t="str">
        <f aca="false">HYPERLINK("https://lindat.mff.cuni.cz/services/teitok/pdtc10/index.php?action=vallex&amp;frame=v-w7336f2", "ustat (v-w7336f2)")</f>
        <v>ustat (v-w7336f2)</v>
      </c>
    </row>
    <row r="51836" customFormat="false" ht="12.8" hidden="false" customHeight="false" outlineLevel="0" collapsed="false">
      <c r="B51836" s="0" t="s">
        <v>7</v>
      </c>
    </row>
    <row r="51837" customFormat="false" ht="12.8" hidden="false" customHeight="false" outlineLevel="0" collapsed="false">
      <c r="B51837" s="0" t="s">
        <v>10861</v>
      </c>
    </row>
    <row r="51839" customFormat="false" ht="12.8" hidden="false" customHeight="false" outlineLevel="0" collapsed="false">
      <c r="A51839" s="0" t="s">
        <v>18220</v>
      </c>
      <c r="B51839" s="0" t="str">
        <f aca="false">HYPERLINK("https://lindat.mff.cuni.cz/services/teitok/pdtc10/index.php?action=vallex&amp;frame=v-w7336f1", "ustat (v-w7336f1)")</f>
        <v>ustat (v-w7336f1)</v>
      </c>
    </row>
    <row r="51840" customFormat="false" ht="12.8" hidden="false" customHeight="false" outlineLevel="0" collapsed="false">
      <c r="B51840" s="0" t="s">
        <v>7</v>
      </c>
      <c r="C51840" s="0" t="s">
        <v>18221</v>
      </c>
      <c r="D51840" s="0" t="s">
        <v>3676</v>
      </c>
      <c r="E51840" s="0" t="s">
        <v>3676</v>
      </c>
      <c r="F51840" s="0" t="s">
        <v>3676</v>
      </c>
    </row>
    <row r="51842" customFormat="false" ht="12.8" hidden="false" customHeight="false" outlineLevel="0" collapsed="false">
      <c r="A51842" s="0" t="s">
        <v>18222</v>
      </c>
      <c r="B51842" s="0" t="str">
        <f aca="false">HYPERLINK("https://lindat.mff.cuni.cz/services/teitok/pdtc10/index.php?action=vallex&amp;frame=v-w7340f1", "ustavit (v-w7340f1)")</f>
        <v>ustavit (v-w7340f1)</v>
      </c>
    </row>
    <row r="51843" customFormat="false" ht="12.8" hidden="false" customHeight="false" outlineLevel="0" collapsed="false">
      <c r="B51843" s="0" t="s">
        <v>7</v>
      </c>
      <c r="C51843" s="0" t="s">
        <v>9396</v>
      </c>
      <c r="D51843" s="0" t="s">
        <v>1135</v>
      </c>
      <c r="E51843" s="0" t="s">
        <v>1135</v>
      </c>
      <c r="F51843" s="0" t="s">
        <v>1135</v>
      </c>
    </row>
    <row r="51844" customFormat="false" ht="12.8" hidden="false" customHeight="false" outlineLevel="0" collapsed="false">
      <c r="B51844" s="0" t="s">
        <v>54</v>
      </c>
      <c r="C51844" s="0" t="s">
        <v>18223</v>
      </c>
      <c r="D51844" s="0" t="s">
        <v>1137</v>
      </c>
      <c r="E51844" s="0" t="s">
        <v>1137</v>
      </c>
      <c r="F51844" s="0" t="s">
        <v>1137</v>
      </c>
    </row>
    <row r="51846" customFormat="false" ht="12.8" hidden="false" customHeight="false" outlineLevel="0" collapsed="false">
      <c r="A51846" s="0" t="s">
        <v>18224</v>
      </c>
      <c r="B51846" s="0" t="str">
        <f aca="false">HYPERLINK("https://lindat.mff.cuni.cz/services/teitok/pdtc10/index.php?action=vallex&amp;frame=v-w7340f2_ZU", "ustavit (v-w7340f2_ZU)")</f>
        <v>ustavit (v-w7340f2_ZU)</v>
      </c>
    </row>
    <row r="51847" customFormat="false" ht="12.8" hidden="false" customHeight="false" outlineLevel="0" collapsed="false">
      <c r="B51847" s="0" t="s">
        <v>7</v>
      </c>
    </row>
    <row r="51848" customFormat="false" ht="12.8" hidden="false" customHeight="false" outlineLevel="0" collapsed="false">
      <c r="B51848" s="0" t="s">
        <v>14</v>
      </c>
    </row>
    <row r="51849" customFormat="false" ht="12.8" hidden="false" customHeight="false" outlineLevel="0" collapsed="false">
      <c r="B51849" s="0" t="s">
        <v>4355</v>
      </c>
    </row>
    <row r="51851" customFormat="false" ht="12.8" hidden="false" customHeight="false" outlineLevel="0" collapsed="false">
      <c r="A51851" s="0" t="s">
        <v>18225</v>
      </c>
      <c r="B51851" s="0" t="str">
        <f aca="false">HYPERLINK("https://lindat.mff.cuni.cz/services/teitok/pdtc10/index.php?action=vallex&amp;frame=v-w7341f2", "ustavovat (v-w7341f2)")</f>
        <v>ustavovat (v-w7341f2)</v>
      </c>
    </row>
    <row r="51852" customFormat="false" ht="12.8" hidden="false" customHeight="false" outlineLevel="0" collapsed="false">
      <c r="B51852" s="0" t="s">
        <v>7</v>
      </c>
    </row>
    <row r="51853" customFormat="false" ht="12.8" hidden="false" customHeight="false" outlineLevel="0" collapsed="false">
      <c r="B51853" s="0" t="s">
        <v>14</v>
      </c>
    </row>
    <row r="51854" customFormat="false" ht="12.8" hidden="false" customHeight="false" outlineLevel="0" collapsed="false">
      <c r="B51854" s="0" t="s">
        <v>18226</v>
      </c>
    </row>
    <row r="51856" customFormat="false" ht="12.8" hidden="false" customHeight="false" outlineLevel="0" collapsed="false">
      <c r="A51856" s="0" t="s">
        <v>18227</v>
      </c>
      <c r="B51856" s="0" t="str">
        <f aca="false">HYPERLINK("https://lindat.mff.cuni.cz/services/teitok/pdtc10/index.php?action=vallex&amp;frame=v-w7341f1", "ustavovat (v-w7341f1)")</f>
        <v>ustavovat (v-w7341f1)</v>
      </c>
    </row>
    <row r="51857" customFormat="false" ht="12.8" hidden="false" customHeight="false" outlineLevel="0" collapsed="false">
      <c r="B51857" s="0" t="s">
        <v>7</v>
      </c>
      <c r="D51857" s="0" t="s">
        <v>14491</v>
      </c>
      <c r="E51857" s="0" t="s">
        <v>14491</v>
      </c>
      <c r="F51857" s="0" t="s">
        <v>14491</v>
      </c>
    </row>
    <row r="51858" customFormat="false" ht="12.8" hidden="false" customHeight="false" outlineLevel="0" collapsed="false">
      <c r="B51858" s="0" t="s">
        <v>54</v>
      </c>
      <c r="D51858" s="0" t="s">
        <v>14493</v>
      </c>
      <c r="E51858" s="0" t="s">
        <v>14493</v>
      </c>
      <c r="F51858" s="0" t="s">
        <v>14493</v>
      </c>
    </row>
    <row r="51860" customFormat="false" ht="12.8" hidden="false" customHeight="false" outlineLevel="0" collapsed="false">
      <c r="A51860" s="0" t="s">
        <v>18228</v>
      </c>
      <c r="B51860" s="0" t="str">
        <f aca="false">HYPERLINK("https://lindat.mff.cuni.cz/services/teitok/pdtc10/index.php?action=vallex&amp;frame=v-w11612_ZUhsa_2059", "ustlat (v-w11612_ZUhsa_2059)")</f>
        <v>ustlat (v-w11612_ZUhsa_2059)</v>
      </c>
    </row>
    <row r="51861" customFormat="false" ht="12.8" hidden="false" customHeight="false" outlineLevel="0" collapsed="false">
      <c r="B51861" s="0" t="s">
        <v>7</v>
      </c>
    </row>
    <row r="51862" customFormat="false" ht="12.8" hidden="false" customHeight="false" outlineLevel="0" collapsed="false">
      <c r="B51862" s="0" t="s">
        <v>14</v>
      </c>
    </row>
    <row r="51864" customFormat="false" ht="12.8" hidden="false" customHeight="false" outlineLevel="0" collapsed="false">
      <c r="A51864" s="0" t="s">
        <v>18229</v>
      </c>
      <c r="B51864" s="0" t="str">
        <f aca="false">HYPERLINK("https://lindat.mff.cuni.cz/services/teitok/pdtc10/index.php?action=vallex&amp;frame=v-w11613_ZUf1_ZU", "ustlat si (v-w11613_ZUf1_ZU)")</f>
        <v>ustlat si (v-w11613_ZUf1_ZU)</v>
      </c>
    </row>
    <row r="51865" customFormat="false" ht="12.8" hidden="false" customHeight="false" outlineLevel="0" collapsed="false">
      <c r="B51865" s="0" t="s">
        <v>7</v>
      </c>
      <c r="C51865" s="0" t="s">
        <v>191</v>
      </c>
      <c r="D51865" s="0" t="s">
        <v>191</v>
      </c>
      <c r="E51865" s="0" t="s">
        <v>191</v>
      </c>
      <c r="F51865" s="0" t="s">
        <v>191</v>
      </c>
    </row>
    <row r="51866" customFormat="false" ht="12.8" hidden="false" customHeight="false" outlineLevel="0" collapsed="false">
      <c r="B51866" s="0" t="s">
        <v>1059</v>
      </c>
    </row>
    <row r="51868" customFormat="false" ht="12.8" hidden="false" customHeight="false" outlineLevel="0" collapsed="false">
      <c r="A51868" s="0" t="s">
        <v>18230</v>
      </c>
      <c r="B51868" s="0" t="str">
        <f aca="false">HYPERLINK("https://lindat.mff.cuni.cz/services/teitok/pdtc10/index.php?action=vallex&amp;frame=v-w7344f1", "ustoupit (v-w7344f1)")</f>
        <v>ustoupit (v-w7344f1)</v>
      </c>
    </row>
    <row r="51869" customFormat="false" ht="12.8" hidden="false" customHeight="false" outlineLevel="0" collapsed="false">
      <c r="B51869" s="0" t="s">
        <v>7</v>
      </c>
      <c r="C51869" s="0" t="s">
        <v>18231</v>
      </c>
      <c r="D51869" s="0" t="s">
        <v>4567</v>
      </c>
      <c r="E51869" s="0" t="s">
        <v>4567</v>
      </c>
      <c r="F51869" s="0" t="s">
        <v>4568</v>
      </c>
    </row>
    <row r="51870" customFormat="false" ht="12.8" hidden="false" customHeight="false" outlineLevel="0" collapsed="false">
      <c r="B51870" s="0" t="s">
        <v>142</v>
      </c>
      <c r="C51870" s="0" t="s">
        <v>7682</v>
      </c>
      <c r="D51870" s="0" t="s">
        <v>4569</v>
      </c>
      <c r="E51870" s="0" t="s">
        <v>4569</v>
      </c>
      <c r="F51870" s="0" t="s">
        <v>4570</v>
      </c>
    </row>
    <row r="51872" customFormat="false" ht="12.8" hidden="false" customHeight="false" outlineLevel="0" collapsed="false">
      <c r="A51872" s="0" t="s">
        <v>18232</v>
      </c>
      <c r="B51872" s="0" t="str">
        <f aca="false">HYPERLINK("https://lindat.mff.cuni.cz/services/teitok/pdtc10/index.php?action=vallex&amp;frame=v-w7344f2", "ustoupit (v-w7344f2)")</f>
        <v>ustoupit (v-w7344f2)</v>
      </c>
    </row>
    <row r="51873" customFormat="false" ht="12.8" hidden="false" customHeight="false" outlineLevel="0" collapsed="false">
      <c r="B51873" s="0" t="s">
        <v>7</v>
      </c>
      <c r="C51873" s="0" t="s">
        <v>5594</v>
      </c>
      <c r="D51873" s="0" t="s">
        <v>1399</v>
      </c>
      <c r="E51873" s="0" t="s">
        <v>1399</v>
      </c>
      <c r="F51873" s="0" t="s">
        <v>1399</v>
      </c>
    </row>
    <row r="51874" customFormat="false" ht="12.8" hidden="false" customHeight="false" outlineLevel="0" collapsed="false">
      <c r="B51874" s="0" t="s">
        <v>28</v>
      </c>
      <c r="C51874" s="0" t="s">
        <v>18233</v>
      </c>
      <c r="D51874" s="0" t="s">
        <v>1401</v>
      </c>
      <c r="E51874" s="0" t="s">
        <v>1401</v>
      </c>
      <c r="F51874" s="0" t="s">
        <v>1401</v>
      </c>
    </row>
    <row r="51876" customFormat="false" ht="12.8" hidden="false" customHeight="false" outlineLevel="0" collapsed="false">
      <c r="A51876" s="0" t="s">
        <v>18234</v>
      </c>
      <c r="B51876" s="0" t="str">
        <f aca="false">HYPERLINK("https://lindat.mff.cuni.cz/services/teitok/pdtc10/index.php?action=vallex&amp;frame=v-w7344f3", "ustoupit (v-w7344f3)")</f>
        <v>ustoupit (v-w7344f3)</v>
      </c>
    </row>
    <row r="51877" customFormat="false" ht="12.8" hidden="false" customHeight="false" outlineLevel="0" collapsed="false">
      <c r="B51877" s="0" t="s">
        <v>7</v>
      </c>
      <c r="C51877" s="0" t="s">
        <v>2894</v>
      </c>
      <c r="D51877" s="0" t="s">
        <v>18235</v>
      </c>
      <c r="E51877" s="0" t="s">
        <v>18235</v>
      </c>
      <c r="F51877" s="0" t="s">
        <v>18235</v>
      </c>
    </row>
    <row r="51878" customFormat="false" ht="12.8" hidden="false" customHeight="false" outlineLevel="0" collapsed="false">
      <c r="B51878" s="0" t="s">
        <v>459</v>
      </c>
      <c r="D51878" s="0" t="s">
        <v>18236</v>
      </c>
      <c r="E51878" s="0" t="s">
        <v>18236</v>
      </c>
      <c r="F51878" s="0" t="s">
        <v>18236</v>
      </c>
    </row>
    <row r="51880" customFormat="false" ht="12.8" hidden="false" customHeight="false" outlineLevel="0" collapsed="false">
      <c r="A51880" s="0" t="s">
        <v>18237</v>
      </c>
      <c r="B51880" s="0" t="str">
        <f aca="false">HYPERLINK("https://lindat.mff.cuni.cz/services/teitok/pdtc10/index.php?action=vallex&amp;frame=v-w7344f5", "ustoupit (v-w7344f5)")</f>
        <v>ustoupit (v-w7344f5)</v>
      </c>
    </row>
    <row r="51881" customFormat="false" ht="12.8" hidden="false" customHeight="false" outlineLevel="0" collapsed="false">
      <c r="B51881" s="0" t="s">
        <v>7</v>
      </c>
      <c r="C51881" s="0" t="s">
        <v>1857</v>
      </c>
      <c r="D51881" s="0" t="s">
        <v>46</v>
      </c>
      <c r="E51881" s="0" t="s">
        <v>46</v>
      </c>
      <c r="F51881" s="0" t="s">
        <v>46</v>
      </c>
    </row>
    <row r="51882" customFormat="false" ht="12.8" hidden="false" customHeight="false" outlineLevel="0" collapsed="false">
      <c r="B51882" s="0" t="s">
        <v>459</v>
      </c>
      <c r="C51882" s="0" t="s">
        <v>18238</v>
      </c>
      <c r="D51882" s="0" t="s">
        <v>18239</v>
      </c>
      <c r="E51882" s="0" t="s">
        <v>18239</v>
      </c>
      <c r="F51882" s="0" t="s">
        <v>18239</v>
      </c>
    </row>
    <row r="51884" customFormat="false" ht="12.8" hidden="false" customHeight="false" outlineLevel="0" collapsed="false">
      <c r="A51884" s="0" t="s">
        <v>18240</v>
      </c>
      <c r="B51884" s="0" t="str">
        <f aca="false">HYPERLINK("https://lindat.mff.cuni.cz/services/teitok/pdtc10/index.php?action=vallex&amp;frame=v-w7344f4", "ustoupit (v-w7344f4)")</f>
        <v>ustoupit (v-w7344f4)</v>
      </c>
    </row>
    <row r="51885" customFormat="false" ht="12.8" hidden="false" customHeight="false" outlineLevel="0" collapsed="false">
      <c r="B51885" s="0" t="s">
        <v>7</v>
      </c>
      <c r="C51885" s="0" t="s">
        <v>18241</v>
      </c>
      <c r="D51885" s="0" t="s">
        <v>7922</v>
      </c>
      <c r="E51885" s="0" t="s">
        <v>7922</v>
      </c>
      <c r="F51885" s="0" t="s">
        <v>7922</v>
      </c>
    </row>
    <row r="51887" customFormat="false" ht="12.8" hidden="false" customHeight="false" outlineLevel="0" collapsed="false">
      <c r="A51887" s="0" t="s">
        <v>18242</v>
      </c>
      <c r="B51887" s="0" t="str">
        <f aca="false">HYPERLINK("https://lindat.mff.cuni.cz/services/teitok/pdtc10/index.php?action=vallex&amp;frame=v-w7344f6_ZU", "ustoupit (v-w7344f6_ZU)")</f>
        <v>ustoupit (v-w7344f6_ZU)</v>
      </c>
    </row>
    <row r="51888" customFormat="false" ht="12.8" hidden="false" customHeight="false" outlineLevel="0" collapsed="false">
      <c r="B51888" s="0" t="s">
        <v>7</v>
      </c>
      <c r="C51888" s="0" t="s">
        <v>176</v>
      </c>
      <c r="D51888" s="0" t="s">
        <v>9114</v>
      </c>
      <c r="E51888" s="0" t="s">
        <v>9114</v>
      </c>
      <c r="F51888" s="0" t="s">
        <v>9114</v>
      </c>
    </row>
    <row r="51889" customFormat="false" ht="12.8" hidden="false" customHeight="false" outlineLevel="0" collapsed="false">
      <c r="B51889" s="0" t="s">
        <v>63</v>
      </c>
      <c r="D51889" s="0" t="s">
        <v>9116</v>
      </c>
      <c r="E51889" s="0" t="s">
        <v>9116</v>
      </c>
      <c r="F51889" s="0" t="s">
        <v>9116</v>
      </c>
    </row>
    <row r="51890" customFormat="false" ht="12.8" hidden="false" customHeight="false" outlineLevel="0" collapsed="false">
      <c r="B51890" s="0" t="s">
        <v>35</v>
      </c>
      <c r="D51890" s="0" t="s">
        <v>9118</v>
      </c>
      <c r="E51890" s="0" t="s">
        <v>9118</v>
      </c>
      <c r="F51890" s="0" t="s">
        <v>9118</v>
      </c>
    </row>
    <row r="51892" customFormat="false" ht="12.8" hidden="false" customHeight="false" outlineLevel="0" collapsed="false">
      <c r="A51892" s="0" t="s">
        <v>18242</v>
      </c>
      <c r="B51892" s="0" t="str">
        <f aca="false">HYPERLINK("https://lindat.mff.cuni.cz/services/teitok/pdtc10/index.php?action=vallex&amp;frame=v-w7344hsa_518", "ustoupit (v-w7344hsa_518) - substituted with v-w7344f6_ZU")</f>
        <v>ustoupit (v-w7344hsa_518) - substituted with v-w7344f6_ZU</v>
      </c>
    </row>
    <row r="51893" customFormat="false" ht="12.8" hidden="false" customHeight="false" outlineLevel="0" collapsed="false">
      <c r="B51893" s="0" t="s">
        <v>7</v>
      </c>
    </row>
    <row r="51894" customFormat="false" ht="12.8" hidden="false" customHeight="false" outlineLevel="0" collapsed="false">
      <c r="B51894" s="0" t="s">
        <v>63</v>
      </c>
    </row>
    <row r="51895" customFormat="false" ht="12.8" hidden="false" customHeight="false" outlineLevel="0" collapsed="false">
      <c r="B51895" s="0" t="s">
        <v>35</v>
      </c>
    </row>
    <row r="51897" customFormat="false" ht="12.8" hidden="false" customHeight="false" outlineLevel="0" collapsed="false">
      <c r="A51897" s="0" t="s">
        <v>18243</v>
      </c>
      <c r="B51897" s="0" t="str">
        <f aca="false">HYPERLINK("https://lindat.mff.cuni.cz/services/teitok/pdtc10/index.php?action=vallex&amp;frame=v-w7346f1", "ustrnout (v-w7346f1)")</f>
        <v>ustrnout (v-w7346f1)</v>
      </c>
    </row>
    <row r="51898" customFormat="false" ht="12.8" hidden="false" customHeight="false" outlineLevel="0" collapsed="false">
      <c r="B51898" s="0" t="s">
        <v>7</v>
      </c>
    </row>
    <row r="51900" customFormat="false" ht="12.8" hidden="false" customHeight="false" outlineLevel="0" collapsed="false">
      <c r="A51900" s="0" t="s">
        <v>18244</v>
      </c>
      <c r="B51900" s="0" t="str">
        <f aca="false">HYPERLINK("https://lindat.mff.cuni.cz/services/teitok/pdtc10/index.php?action=vallex&amp;frame=v-w12152_ZUf1_ZU", "ustrojit (v-w12152_ZUf1_ZU)")</f>
        <v>ustrojit (v-w12152_ZUf1_ZU)</v>
      </c>
    </row>
    <row r="51901" customFormat="false" ht="12.8" hidden="false" customHeight="false" outlineLevel="0" collapsed="false">
      <c r="B51901" s="0" t="s">
        <v>7</v>
      </c>
    </row>
    <row r="51902" customFormat="false" ht="12.8" hidden="false" customHeight="false" outlineLevel="0" collapsed="false">
      <c r="B51902" s="0" t="s">
        <v>14</v>
      </c>
    </row>
    <row r="51904" customFormat="false" ht="12.8" hidden="false" customHeight="false" outlineLevel="0" collapsed="false">
      <c r="A51904" s="0" t="s">
        <v>18245</v>
      </c>
      <c r="B51904" s="0" t="str">
        <f aca="false">HYPERLINK("https://lindat.mff.cuni.cz/services/teitok/pdtc10/index.php?action=vallex&amp;frame=v-w11708_ZUf1_ZU", "ustrojit se (v-w11708_ZUf1_ZU)")</f>
        <v>ustrojit se (v-w11708_ZUf1_ZU)</v>
      </c>
    </row>
    <row r="51905" customFormat="false" ht="12.8" hidden="false" customHeight="false" outlineLevel="0" collapsed="false">
      <c r="B51905" s="0" t="s">
        <v>7</v>
      </c>
    </row>
    <row r="51906" customFormat="false" ht="12.8" hidden="false" customHeight="false" outlineLevel="0" collapsed="false">
      <c r="B51906" s="0" t="s">
        <v>3745</v>
      </c>
    </row>
    <row r="51908" customFormat="false" ht="12.8" hidden="false" customHeight="false" outlineLevel="0" collapsed="false">
      <c r="A51908" s="0" t="s">
        <v>18246</v>
      </c>
      <c r="B51908" s="0" t="str">
        <f aca="false">HYPERLINK("https://lindat.mff.cuni.cz/services/teitok/pdtc10/index.php?action=vallex&amp;frame=v-w7350f1", "ustupovat (v-w7350f1)")</f>
        <v>ustupovat (v-w7350f1)</v>
      </c>
    </row>
    <row r="51909" customFormat="false" ht="12.8" hidden="false" customHeight="false" outlineLevel="0" collapsed="false">
      <c r="B51909" s="0" t="s">
        <v>7</v>
      </c>
      <c r="D51909" s="0" t="s">
        <v>4567</v>
      </c>
      <c r="E51909" s="0" t="s">
        <v>4567</v>
      </c>
      <c r="F51909" s="0" t="s">
        <v>4568</v>
      </c>
    </row>
    <row r="51910" customFormat="false" ht="12.8" hidden="false" customHeight="false" outlineLevel="0" collapsed="false">
      <c r="B51910" s="0" t="s">
        <v>9258</v>
      </c>
      <c r="D51910" s="0" t="s">
        <v>4569</v>
      </c>
      <c r="E51910" s="0" t="s">
        <v>4569</v>
      </c>
      <c r="F51910" s="0" t="s">
        <v>4570</v>
      </c>
    </row>
    <row r="51912" customFormat="false" ht="12.8" hidden="false" customHeight="false" outlineLevel="0" collapsed="false">
      <c r="A51912" s="0" t="s">
        <v>18247</v>
      </c>
      <c r="B51912" s="0" t="str">
        <f aca="false">HYPERLINK("https://lindat.mff.cuni.cz/services/teitok/pdtc10/index.php?action=vallex&amp;frame=v-w7350f3", "ustupovat (v-w7350f3)")</f>
        <v>ustupovat (v-w7350f3)</v>
      </c>
    </row>
    <row r="51913" customFormat="false" ht="12.8" hidden="false" customHeight="false" outlineLevel="0" collapsed="false">
      <c r="B51913" s="0" t="s">
        <v>7</v>
      </c>
      <c r="C51913" s="0" t="s">
        <v>46</v>
      </c>
      <c r="D51913" s="0" t="s">
        <v>1399</v>
      </c>
      <c r="E51913" s="0" t="s">
        <v>1399</v>
      </c>
      <c r="F51913" s="0" t="s">
        <v>1399</v>
      </c>
    </row>
    <row r="51914" customFormat="false" ht="12.8" hidden="false" customHeight="false" outlineLevel="0" collapsed="false">
      <c r="B51914" s="0" t="s">
        <v>28</v>
      </c>
      <c r="C51914" s="0" t="s">
        <v>47</v>
      </c>
      <c r="D51914" s="0" t="s">
        <v>1401</v>
      </c>
      <c r="E51914" s="0" t="s">
        <v>1401</v>
      </c>
      <c r="F51914" s="0" t="s">
        <v>1401</v>
      </c>
    </row>
    <row r="51916" customFormat="false" ht="12.8" hidden="false" customHeight="false" outlineLevel="0" collapsed="false">
      <c r="A51916" s="0" t="s">
        <v>18248</v>
      </c>
      <c r="B51916" s="0" t="str">
        <f aca="false">HYPERLINK("https://lindat.mff.cuni.cz/services/teitok/pdtc10/index.php?action=vallex&amp;frame=v-w7350f2", "ustupovat (v-w7350f2)")</f>
        <v>ustupovat (v-w7350f2)</v>
      </c>
    </row>
    <row r="51917" customFormat="false" ht="12.8" hidden="false" customHeight="false" outlineLevel="0" collapsed="false">
      <c r="B51917" s="0" t="s">
        <v>7</v>
      </c>
      <c r="C51917" s="0" t="s">
        <v>176</v>
      </c>
      <c r="D51917" s="0" t="s">
        <v>46</v>
      </c>
      <c r="E51917" s="0" t="s">
        <v>46</v>
      </c>
      <c r="F51917" s="0" t="s">
        <v>46</v>
      </c>
    </row>
    <row r="51918" customFormat="false" ht="12.8" hidden="false" customHeight="false" outlineLevel="0" collapsed="false">
      <c r="B51918" s="0" t="s">
        <v>459</v>
      </c>
      <c r="D51918" s="0" t="s">
        <v>18239</v>
      </c>
      <c r="E51918" s="0" t="s">
        <v>18239</v>
      </c>
      <c r="F51918" s="0" t="s">
        <v>18239</v>
      </c>
    </row>
    <row r="51920" customFormat="false" ht="12.8" hidden="false" customHeight="false" outlineLevel="0" collapsed="false">
      <c r="A51920" s="0" t="s">
        <v>18249</v>
      </c>
      <c r="B51920" s="0" t="str">
        <f aca="false">HYPERLINK("https://lindat.mff.cuni.cz/services/teitok/pdtc10/index.php?action=vallex&amp;frame=v-w7350f4", "ustupovat (v-w7350f4)")</f>
        <v>ustupovat (v-w7350f4)</v>
      </c>
    </row>
    <row r="51921" customFormat="false" ht="12.8" hidden="false" customHeight="false" outlineLevel="0" collapsed="false">
      <c r="B51921" s="0" t="s">
        <v>7</v>
      </c>
      <c r="C51921" s="0" t="s">
        <v>46</v>
      </c>
      <c r="D51921" s="0" t="s">
        <v>46</v>
      </c>
      <c r="E51921" s="0" t="s">
        <v>46</v>
      </c>
      <c r="F51921" s="0" t="s">
        <v>46</v>
      </c>
    </row>
    <row r="51922" customFormat="false" ht="12.8" hidden="false" customHeight="false" outlineLevel="0" collapsed="false">
      <c r="B51922" s="0" t="s">
        <v>459</v>
      </c>
      <c r="C51922" s="0" t="s">
        <v>18239</v>
      </c>
      <c r="D51922" s="0" t="s">
        <v>18239</v>
      </c>
      <c r="E51922" s="0" t="s">
        <v>18239</v>
      </c>
      <c r="F51922" s="0" t="s">
        <v>18239</v>
      </c>
    </row>
    <row r="51924" customFormat="false" ht="12.8" hidden="false" customHeight="false" outlineLevel="0" collapsed="false">
      <c r="A51924" s="0" t="s">
        <v>18250</v>
      </c>
      <c r="B51924" s="0" t="str">
        <f aca="false">HYPERLINK("https://lindat.mff.cuni.cz/services/teitok/pdtc10/index.php?action=vallex&amp;frame=v-w7350f5", "ustupovat (v-w7350f5)")</f>
        <v>ustupovat (v-w7350f5)</v>
      </c>
    </row>
    <row r="51925" customFormat="false" ht="12.8" hidden="false" customHeight="false" outlineLevel="0" collapsed="false">
      <c r="B51925" s="0" t="s">
        <v>7</v>
      </c>
      <c r="C51925" s="0" t="s">
        <v>15218</v>
      </c>
      <c r="D51925" s="0" t="s">
        <v>7922</v>
      </c>
      <c r="E51925" s="0" t="s">
        <v>7922</v>
      </c>
      <c r="F51925" s="0" t="s">
        <v>7922</v>
      </c>
    </row>
    <row r="51927" customFormat="false" ht="12.8" hidden="false" customHeight="false" outlineLevel="0" collapsed="false">
      <c r="A51927" s="0" t="s">
        <v>18251</v>
      </c>
      <c r="B51927" s="0" t="str">
        <f aca="false">HYPERLINK("https://lindat.mff.cuni.cz/services/teitok/pdtc10/index.php?action=vallex&amp;frame=v-whsa_905f1_ZU", "ustálit (v-whsa_905f1_ZU)")</f>
        <v>ustálit (v-whsa_905f1_ZU)</v>
      </c>
    </row>
    <row r="51928" customFormat="false" ht="12.8" hidden="false" customHeight="false" outlineLevel="0" collapsed="false">
      <c r="B51928" s="0" t="s">
        <v>7</v>
      </c>
      <c r="C51928" s="0" t="s">
        <v>184</v>
      </c>
      <c r="D51928" s="0" t="s">
        <v>113</v>
      </c>
      <c r="E51928" s="0" t="s">
        <v>113</v>
      </c>
      <c r="F51928" s="0" t="s">
        <v>113</v>
      </c>
    </row>
    <row r="51929" customFormat="false" ht="12.8" hidden="false" customHeight="false" outlineLevel="0" collapsed="false">
      <c r="B51929" s="0" t="s">
        <v>14</v>
      </c>
      <c r="C51929" s="0" t="s">
        <v>151</v>
      </c>
      <c r="D51929" s="0" t="s">
        <v>2666</v>
      </c>
      <c r="E51929" s="0" t="s">
        <v>2666</v>
      </c>
      <c r="F51929" s="0" t="s">
        <v>2666</v>
      </c>
    </row>
    <row r="51931" customFormat="false" ht="12.8" hidden="false" customHeight="false" outlineLevel="0" collapsed="false">
      <c r="A51931" s="0" t="s">
        <v>18251</v>
      </c>
      <c r="B51931" s="0" t="str">
        <f aca="false">HYPERLINK("https://lindat.mff.cuni.cz/services/teitok/pdtc10/index.php?action=vallex&amp;frame=v-whsa_905hsa_906", "ustálit (v-whsa_905hsa_906) - substituted with v-whsa_905f1_ZU")</f>
        <v>ustálit (v-whsa_905hsa_906) - substituted with v-whsa_905f1_ZU</v>
      </c>
    </row>
    <row r="51932" customFormat="false" ht="12.8" hidden="false" customHeight="false" outlineLevel="0" collapsed="false">
      <c r="B51932" s="0" t="s">
        <v>7</v>
      </c>
    </row>
    <row r="51933" customFormat="false" ht="12.8" hidden="false" customHeight="false" outlineLevel="0" collapsed="false">
      <c r="B51933" s="0" t="s">
        <v>14</v>
      </c>
    </row>
    <row r="51935" customFormat="false" ht="12.8" hidden="false" customHeight="false" outlineLevel="0" collapsed="false">
      <c r="A51935" s="0" t="s">
        <v>18252</v>
      </c>
      <c r="B51935" s="0" t="str">
        <f aca="false">HYPERLINK("https://lindat.mff.cuni.cz/services/teitok/pdtc10/index.php?action=vallex&amp;frame=v-w7332f1", "ustálit se (v-w7332f1)")</f>
        <v>ustálit se (v-w7332f1)</v>
      </c>
    </row>
    <row r="51936" customFormat="false" ht="12.8" hidden="false" customHeight="false" outlineLevel="0" collapsed="false">
      <c r="B51936" s="0" t="s">
        <v>7</v>
      </c>
      <c r="C51936" s="0" t="s">
        <v>18253</v>
      </c>
      <c r="D51936" s="0" t="s">
        <v>16430</v>
      </c>
      <c r="E51936" s="0" t="s">
        <v>16430</v>
      </c>
      <c r="F51936" s="0" t="s">
        <v>16430</v>
      </c>
    </row>
    <row r="51938" customFormat="false" ht="12.8" hidden="false" customHeight="false" outlineLevel="0" collapsed="false">
      <c r="A51938" s="0" t="s">
        <v>18254</v>
      </c>
      <c r="B51938" s="0" t="str">
        <f aca="false">HYPERLINK("https://lindat.mff.cuni.cz/services/teitok/pdtc10/index.php?action=vallex&amp;frame=v-w7337f1", "ustát (v-w7337f1)")</f>
        <v>ustát (v-w7337f1)</v>
      </c>
    </row>
    <row r="51939" customFormat="false" ht="12.8" hidden="false" customHeight="false" outlineLevel="0" collapsed="false">
      <c r="B51939" s="0" t="s">
        <v>7</v>
      </c>
      <c r="C51939" s="0" t="s">
        <v>91</v>
      </c>
      <c r="D51939" s="0" t="s">
        <v>569</v>
      </c>
      <c r="E51939" s="0" t="s">
        <v>569</v>
      </c>
      <c r="F51939" s="0" t="s">
        <v>569</v>
      </c>
    </row>
    <row r="51940" customFormat="false" ht="12.8" hidden="false" customHeight="false" outlineLevel="0" collapsed="false">
      <c r="B51940" s="0" t="s">
        <v>14</v>
      </c>
      <c r="C51940" s="0" t="s">
        <v>7481</v>
      </c>
      <c r="D51940" s="0" t="s">
        <v>384</v>
      </c>
      <c r="E51940" s="0" t="s">
        <v>384</v>
      </c>
      <c r="F51940" s="0" t="s">
        <v>384</v>
      </c>
    </row>
    <row r="51942" customFormat="false" ht="12.8" hidden="false" customHeight="false" outlineLevel="0" collapsed="false">
      <c r="A51942" s="0" t="s">
        <v>18255</v>
      </c>
      <c r="B51942" s="0" t="str">
        <f aca="false">HYPERLINK("https://lindat.mff.cuni.cz/services/teitok/pdtc10/index.php?action=vallex&amp;frame=v-w7338f2", "ustávat (v-w7338f2)")</f>
        <v>ustávat (v-w7338f2)</v>
      </c>
    </row>
    <row r="51943" customFormat="false" ht="12.8" hidden="false" customHeight="false" outlineLevel="0" collapsed="false">
      <c r="B51943" s="0" t="s">
        <v>7</v>
      </c>
    </row>
    <row r="51944" customFormat="false" ht="12.8" hidden="false" customHeight="false" outlineLevel="0" collapsed="false">
      <c r="B51944" s="0" t="s">
        <v>10861</v>
      </c>
    </row>
    <row r="51946" customFormat="false" ht="12.8" hidden="false" customHeight="false" outlineLevel="0" collapsed="false">
      <c r="A51946" s="0" t="s">
        <v>18256</v>
      </c>
      <c r="B51946" s="0" t="str">
        <f aca="false">HYPERLINK("https://lindat.mff.cuni.cz/services/teitok/pdtc10/index.php?action=vallex&amp;frame=v-w7338f1", "ustávat (v-w7338f1)")</f>
        <v>ustávat (v-w7338f1)</v>
      </c>
    </row>
    <row r="51947" customFormat="false" ht="12.8" hidden="false" customHeight="false" outlineLevel="0" collapsed="false">
      <c r="B51947" s="0" t="s">
        <v>7</v>
      </c>
      <c r="C51947" s="0" t="s">
        <v>16</v>
      </c>
      <c r="D51947" s="0" t="s">
        <v>9110</v>
      </c>
      <c r="E51947" s="0" t="s">
        <v>9110</v>
      </c>
      <c r="F51947" s="0" t="s">
        <v>9110</v>
      </c>
    </row>
    <row r="51949" customFormat="false" ht="12.8" hidden="false" customHeight="false" outlineLevel="0" collapsed="false">
      <c r="A51949" s="0" t="s">
        <v>18257</v>
      </c>
      <c r="B51949" s="0" t="str">
        <f aca="false">HYPERLINK("https://lindat.mff.cuni.cz/services/teitok/pdtc10/index.php?action=vallex&amp;frame=v-w7352f2", "usuzovat (v-w7352f2)")</f>
        <v>usuzovat (v-w7352f2)</v>
      </c>
    </row>
    <row r="51950" customFormat="false" ht="12.8" hidden="false" customHeight="false" outlineLevel="0" collapsed="false">
      <c r="B51950" s="0" t="s">
        <v>7</v>
      </c>
      <c r="C51950" s="0" t="s">
        <v>18258</v>
      </c>
      <c r="D51950" s="0" t="s">
        <v>18259</v>
      </c>
      <c r="E51950" s="0" t="s">
        <v>18259</v>
      </c>
      <c r="F51950" s="0" t="s">
        <v>18259</v>
      </c>
    </row>
    <row r="51951" customFormat="false" ht="12.8" hidden="false" customHeight="false" outlineLevel="0" collapsed="false">
      <c r="B51951" s="0" t="s">
        <v>172</v>
      </c>
      <c r="C51951" s="0" t="s">
        <v>8539</v>
      </c>
      <c r="D51951" s="0" t="s">
        <v>18260</v>
      </c>
      <c r="E51951" s="0" t="s">
        <v>18260</v>
      </c>
      <c r="F51951" s="0" t="s">
        <v>18260</v>
      </c>
    </row>
    <row r="51953" customFormat="false" ht="12.8" hidden="false" customHeight="false" outlineLevel="0" collapsed="false">
      <c r="A51953" s="0" t="s">
        <v>18261</v>
      </c>
      <c r="B51953" s="0" t="str">
        <f aca="false">HYPERLINK("https://lindat.mff.cuni.cz/services/teitok/pdtc10/index.php?action=vallex&amp;frame=v-w7352f1", "usuzovat (v-w7352f1)")</f>
        <v>usuzovat (v-w7352f1)</v>
      </c>
    </row>
    <row r="51954" customFormat="false" ht="12.8" hidden="false" customHeight="false" outlineLevel="0" collapsed="false">
      <c r="B51954" s="0" t="s">
        <v>7</v>
      </c>
      <c r="C51954" s="0" t="s">
        <v>18262</v>
      </c>
      <c r="D51954" s="0" t="s">
        <v>2022</v>
      </c>
      <c r="E51954" s="0" t="s">
        <v>2022</v>
      </c>
      <c r="F51954" s="0" t="s">
        <v>2022</v>
      </c>
    </row>
    <row r="51955" customFormat="false" ht="12.8" hidden="false" customHeight="false" outlineLevel="0" collapsed="false">
      <c r="B51955" s="0" t="s">
        <v>8621</v>
      </c>
      <c r="C51955" s="0" t="s">
        <v>18263</v>
      </c>
      <c r="D51955" s="0" t="s">
        <v>2025</v>
      </c>
      <c r="E51955" s="0" t="s">
        <v>2025</v>
      </c>
      <c r="F51955" s="0" t="s">
        <v>2025</v>
      </c>
    </row>
    <row r="51956" customFormat="false" ht="12.8" hidden="false" customHeight="false" outlineLevel="0" collapsed="false">
      <c r="B51956" s="0" t="s">
        <v>363</v>
      </c>
      <c r="D51956" s="0" t="s">
        <v>2027</v>
      </c>
      <c r="E51956" s="0" t="s">
        <v>2027</v>
      </c>
      <c r="F51956" s="0" t="s">
        <v>2027</v>
      </c>
    </row>
    <row r="51957" customFormat="false" ht="12.8" hidden="false" customHeight="false" outlineLevel="0" collapsed="false">
      <c r="B51957" s="0" t="s">
        <v>35</v>
      </c>
    </row>
    <row r="51959" customFormat="false" ht="12.8" hidden="false" customHeight="false" outlineLevel="0" collapsed="false">
      <c r="A51959" s="0" t="s">
        <v>18264</v>
      </c>
      <c r="B51959" s="0" t="str">
        <f aca="false">HYPERLINK("https://lindat.mff.cuni.cz/services/teitok/pdtc10/index.php?action=vallex&amp;frame=v-whsa_1478hsa_1479", "usušit (v-whsa_1478hsa_1479)")</f>
        <v>usušit (v-whsa_1478hsa_1479)</v>
      </c>
    </row>
    <row r="51960" customFormat="false" ht="12.8" hidden="false" customHeight="false" outlineLevel="0" collapsed="false">
      <c r="B51960" s="0" t="s">
        <v>7</v>
      </c>
    </row>
    <row r="51961" customFormat="false" ht="12.8" hidden="false" customHeight="false" outlineLevel="0" collapsed="false">
      <c r="B51961" s="0" t="s">
        <v>14</v>
      </c>
    </row>
    <row r="51963" customFormat="false" ht="12.8" hidden="false" customHeight="false" outlineLevel="0" collapsed="false">
      <c r="A51963" s="0" t="s">
        <v>18265</v>
      </c>
      <c r="B51963" s="0" t="str">
        <f aca="false">HYPERLINK("https://lindat.mff.cuni.cz/services/teitok/pdtc10/index.php?action=vallex&amp;frame=v-w7354f1", "usvědčit (v-w7354f1)")</f>
        <v>usvědčit (v-w7354f1)</v>
      </c>
    </row>
    <row r="51964" customFormat="false" ht="12.8" hidden="false" customHeight="false" outlineLevel="0" collapsed="false">
      <c r="B51964" s="0" t="s">
        <v>7</v>
      </c>
      <c r="C51964" s="0" t="s">
        <v>569</v>
      </c>
      <c r="D51964" s="0" t="s">
        <v>108</v>
      </c>
      <c r="E51964" s="0" t="s">
        <v>108</v>
      </c>
      <c r="F51964" s="0" t="s">
        <v>108</v>
      </c>
    </row>
    <row r="51965" customFormat="false" ht="12.8" hidden="false" customHeight="false" outlineLevel="0" collapsed="false">
      <c r="B51965" s="0" t="s">
        <v>227</v>
      </c>
      <c r="C51965" s="0" t="s">
        <v>7669</v>
      </c>
      <c r="D51965" s="0" t="s">
        <v>7669</v>
      </c>
      <c r="E51965" s="0" t="s">
        <v>7669</v>
      </c>
      <c r="F51965" s="0" t="s">
        <v>7669</v>
      </c>
    </row>
    <row r="51966" customFormat="false" ht="12.8" hidden="false" customHeight="false" outlineLevel="0" collapsed="false">
      <c r="B51966" s="0" t="s">
        <v>81</v>
      </c>
      <c r="C51966" s="0" t="s">
        <v>17278</v>
      </c>
      <c r="D51966" s="0" t="s">
        <v>12069</v>
      </c>
      <c r="E51966" s="0" t="s">
        <v>12069</v>
      </c>
      <c r="F51966" s="0" t="s">
        <v>12069</v>
      </c>
    </row>
    <row r="51968" customFormat="false" ht="12.8" hidden="false" customHeight="false" outlineLevel="0" collapsed="false">
      <c r="A51968" s="0" t="s">
        <v>18266</v>
      </c>
      <c r="B51968" s="0" t="str">
        <f aca="false">HYPERLINK("https://lindat.mff.cuni.cz/services/teitok/pdtc10/index.php?action=vallex&amp;frame=v-w7354f2", "usvědčit (v-w7354f2)")</f>
        <v>usvědčit (v-w7354f2)</v>
      </c>
    </row>
    <row r="51969" customFormat="false" ht="12.8" hidden="false" customHeight="false" outlineLevel="0" collapsed="false">
      <c r="B51969" s="0" t="s">
        <v>7</v>
      </c>
    </row>
    <row r="51970" customFormat="false" ht="12.8" hidden="false" customHeight="false" outlineLevel="0" collapsed="false">
      <c r="B51970" s="0" t="s">
        <v>14</v>
      </c>
    </row>
    <row r="51971" customFormat="false" ht="12.8" hidden="false" customHeight="false" outlineLevel="0" collapsed="false">
      <c r="B51971" s="0" t="s">
        <v>18267</v>
      </c>
    </row>
    <row r="51973" customFormat="false" ht="12.8" hidden="false" customHeight="false" outlineLevel="0" collapsed="false">
      <c r="A51973" s="0" t="s">
        <v>18268</v>
      </c>
      <c r="B51973" s="0" t="str">
        <f aca="false">HYPERLINK("https://lindat.mff.cuni.cz/services/teitok/pdtc10/index.php?action=vallex&amp;frame=v-w12378_MMf1_MM", "usvědčovat (v-w12378_MMf1_MM)")</f>
        <v>usvědčovat (v-w12378_MMf1_MM)</v>
      </c>
    </row>
    <row r="51974" customFormat="false" ht="12.8" hidden="false" customHeight="false" outlineLevel="0" collapsed="false">
      <c r="B51974" s="0" t="s">
        <v>7</v>
      </c>
    </row>
    <row r="51975" customFormat="false" ht="12.8" hidden="false" customHeight="false" outlineLevel="0" collapsed="false">
      <c r="B51975" s="0" t="s">
        <v>81</v>
      </c>
    </row>
    <row r="51976" customFormat="false" ht="12.8" hidden="false" customHeight="false" outlineLevel="0" collapsed="false">
      <c r="B51976" s="0" t="s">
        <v>18269</v>
      </c>
    </row>
    <row r="51978" customFormat="false" ht="12.8" hidden="false" customHeight="false" outlineLevel="0" collapsed="false">
      <c r="A51978" s="0" t="s">
        <v>18270</v>
      </c>
      <c r="B51978" s="0" t="str">
        <f aca="false">HYPERLINK("https://lindat.mff.cuni.cz/services/teitok/pdtc10/index.php?action=vallex&amp;frame=v-w11740_ZUf1_ZU", "usíci (v-w11740_ZUf1_ZU)")</f>
        <v>usíci (v-w11740_ZUf1_ZU)</v>
      </c>
    </row>
    <row r="51979" customFormat="false" ht="12.8" hidden="false" customHeight="false" outlineLevel="0" collapsed="false">
      <c r="B51979" s="0" t="s">
        <v>7</v>
      </c>
    </row>
    <row r="51980" customFormat="false" ht="12.8" hidden="false" customHeight="false" outlineLevel="0" collapsed="false">
      <c r="B51980" s="0" t="s">
        <v>14</v>
      </c>
    </row>
    <row r="51982" customFormat="false" ht="12.8" hidden="false" customHeight="false" outlineLevel="0" collapsed="false">
      <c r="A51982" s="0" t="s">
        <v>18271</v>
      </c>
      <c r="B51982" s="0" t="str">
        <f aca="false">HYPERLINK("https://lindat.mff.cuni.cz/services/teitok/pdtc10/index.php?action=vallex&amp;frame=v-w7282f1", "usídlit se (v-w7282f1)")</f>
        <v>usídlit se (v-w7282f1)</v>
      </c>
    </row>
    <row r="51983" customFormat="false" ht="12.8" hidden="false" customHeight="false" outlineLevel="0" collapsed="false">
      <c r="B51983" s="0" t="s">
        <v>7</v>
      </c>
      <c r="F51983" s="0" t="s">
        <v>18106</v>
      </c>
    </row>
    <row r="51984" customFormat="false" ht="12.8" hidden="false" customHeight="false" outlineLevel="0" collapsed="false">
      <c r="B51984" s="0" t="s">
        <v>11</v>
      </c>
      <c r="F51984" s="0" t="s">
        <v>18107</v>
      </c>
    </row>
    <row r="51986" customFormat="false" ht="12.8" hidden="false" customHeight="false" outlineLevel="0" collapsed="false">
      <c r="A51986" s="0" t="s">
        <v>18272</v>
      </c>
      <c r="B51986" s="0" t="str">
        <f aca="false">HYPERLINK("https://lindat.mff.cuni.cz/services/teitok/pdtc10/index.php?action=vallex&amp;frame=v-w7282f2", "usídlit se (v-w7282f2)")</f>
        <v>usídlit se (v-w7282f2)</v>
      </c>
    </row>
    <row r="51987" customFormat="false" ht="12.8" hidden="false" customHeight="false" outlineLevel="0" collapsed="false">
      <c r="B51987" s="0" t="s">
        <v>7</v>
      </c>
      <c r="F51987" s="0" t="s">
        <v>18106</v>
      </c>
    </row>
    <row r="51988" customFormat="false" ht="12.8" hidden="false" customHeight="false" outlineLevel="0" collapsed="false">
      <c r="B51988" s="0" t="s">
        <v>124</v>
      </c>
      <c r="F51988" s="0" t="s">
        <v>16800</v>
      </c>
    </row>
    <row r="51990" customFormat="false" ht="12.8" hidden="false" customHeight="false" outlineLevel="0" collapsed="false">
      <c r="A51990" s="0" t="s">
        <v>18273</v>
      </c>
      <c r="B51990" s="0" t="str">
        <f aca="false">HYPERLINK("https://lindat.mff.cuni.cz/services/teitok/pdtc10/index.php?action=vallex&amp;frame=v-w10593f2", "usínat (v-w10593f2)")</f>
        <v>usínat (v-w10593f2)</v>
      </c>
    </row>
    <row r="51991" customFormat="false" ht="12.8" hidden="false" customHeight="false" outlineLevel="0" collapsed="false">
      <c r="B51991" s="0" t="s">
        <v>7</v>
      </c>
      <c r="C51991" s="0" t="s">
        <v>736</v>
      </c>
    </row>
    <row r="51993" customFormat="false" ht="12.8" hidden="false" customHeight="false" outlineLevel="0" collapsed="false">
      <c r="A51993" s="0" t="s">
        <v>18274</v>
      </c>
      <c r="B51993" s="0" t="str">
        <f aca="false">HYPERLINK("https://lindat.mff.cuni.cz/services/teitok/pdtc10/index.php?action=vallex&amp;frame=v-w11751_ZUf1_ZU", "utahat (v-w11751_ZUf1_ZU)")</f>
        <v>utahat (v-w11751_ZUf1_ZU)</v>
      </c>
    </row>
    <row r="51994" customFormat="false" ht="12.8" hidden="false" customHeight="false" outlineLevel="0" collapsed="false">
      <c r="B51994" s="0" t="s">
        <v>7</v>
      </c>
    </row>
    <row r="51995" customFormat="false" ht="12.8" hidden="false" customHeight="false" outlineLevel="0" collapsed="false">
      <c r="B51995" s="0" t="s">
        <v>14</v>
      </c>
    </row>
    <row r="51997" customFormat="false" ht="12.8" hidden="false" customHeight="false" outlineLevel="0" collapsed="false">
      <c r="A51997" s="0" t="s">
        <v>18275</v>
      </c>
      <c r="B51997" s="0" t="str">
        <f aca="false">HYPERLINK("https://lindat.mff.cuni.cz/services/teitok/pdtc10/index.php?action=vallex&amp;frame=v-w7365f3_ZU", "utahovat (v-w7365f3_ZU)")</f>
        <v>utahovat (v-w7365f3_ZU)</v>
      </c>
    </row>
    <row r="51998" customFormat="false" ht="12.8" hidden="false" customHeight="false" outlineLevel="0" collapsed="false">
      <c r="B51998" s="0" t="s">
        <v>7</v>
      </c>
      <c r="D51998" s="0" t="s">
        <v>22</v>
      </c>
      <c r="E51998" s="0" t="s">
        <v>22</v>
      </c>
      <c r="F51998" s="0" t="s">
        <v>22</v>
      </c>
    </row>
    <row r="51999" customFormat="false" ht="12.8" hidden="false" customHeight="false" outlineLevel="0" collapsed="false">
      <c r="B51999" s="0" t="s">
        <v>14</v>
      </c>
      <c r="D51999" s="0" t="s">
        <v>466</v>
      </c>
      <c r="E51999" s="0" t="s">
        <v>466</v>
      </c>
      <c r="F51999" s="0" t="s">
        <v>466</v>
      </c>
    </row>
    <row r="52001" customFormat="false" ht="12.8" hidden="false" customHeight="false" outlineLevel="0" collapsed="false">
      <c r="A52001" s="0" t="s">
        <v>18275</v>
      </c>
      <c r="B52001" s="0" t="str">
        <f aca="false">HYPERLINK("https://lindat.mff.cuni.cz/services/teitok/pdtc10/index.php?action=vallex&amp;frame=v-w7365f1", "utahovat (v-w7365f1) - substituted with v-w7365f3_ZU")</f>
        <v>utahovat (v-w7365f1) - substituted with v-w7365f3_ZU</v>
      </c>
    </row>
    <row r="52002" customFormat="false" ht="12.8" hidden="false" customHeight="false" outlineLevel="0" collapsed="false">
      <c r="B52002" s="0" t="s">
        <v>7</v>
      </c>
      <c r="C52002" s="0" t="s">
        <v>118</v>
      </c>
    </row>
    <row r="52003" customFormat="false" ht="12.8" hidden="false" customHeight="false" outlineLevel="0" collapsed="false">
      <c r="B52003" s="0" t="s">
        <v>14</v>
      </c>
      <c r="C52003" s="0" t="s">
        <v>89</v>
      </c>
    </row>
    <row r="52005" customFormat="false" ht="12.8" hidden="false" customHeight="false" outlineLevel="0" collapsed="false">
      <c r="A52005" s="0" t="s">
        <v>18276</v>
      </c>
      <c r="B52005" s="0" t="str">
        <f aca="false">HYPERLINK("https://lindat.mff.cuni.cz/services/teitok/pdtc10/index.php?action=vallex&amp;frame=v-w7365f4_ZU", "utahovat (v-w7365f4_ZU)")</f>
        <v>utahovat (v-w7365f4_ZU)</v>
      </c>
    </row>
    <row r="52006" customFormat="false" ht="12.8" hidden="false" customHeight="false" outlineLevel="0" collapsed="false">
      <c r="B52006" s="0" t="s">
        <v>7</v>
      </c>
    </row>
    <row r="52007" customFormat="false" ht="12.8" hidden="false" customHeight="false" outlineLevel="0" collapsed="false">
      <c r="B52007" s="0" t="s">
        <v>18277</v>
      </c>
    </row>
    <row r="52008" customFormat="false" ht="12.8" hidden="false" customHeight="false" outlineLevel="0" collapsed="false">
      <c r="B52008" s="0" t="s">
        <v>119</v>
      </c>
    </row>
    <row r="52010" customFormat="false" ht="12.8" hidden="false" customHeight="false" outlineLevel="0" collapsed="false">
      <c r="A52010" s="0" t="s">
        <v>18276</v>
      </c>
      <c r="B52010" s="0" t="str">
        <f aca="false">HYPERLINK("https://lindat.mff.cuni.cz/services/teitok/pdtc10/index.php?action=vallex&amp;frame=v-w7365f2_ZU", "utahovat (v-w7365f2_ZU) - substituted with v-w7365f4_ZU")</f>
        <v>utahovat (v-w7365f2_ZU) - substituted with v-w7365f4_ZU</v>
      </c>
    </row>
    <row r="52011" customFormat="false" ht="12.8" hidden="false" customHeight="false" outlineLevel="0" collapsed="false">
      <c r="B52011" s="0" t="s">
        <v>7</v>
      </c>
    </row>
    <row r="52012" customFormat="false" ht="12.8" hidden="false" customHeight="false" outlineLevel="0" collapsed="false">
      <c r="B52012" s="0" t="s">
        <v>18277</v>
      </c>
    </row>
    <row r="52013" customFormat="false" ht="12.8" hidden="false" customHeight="false" outlineLevel="0" collapsed="false">
      <c r="B52013" s="0" t="s">
        <v>119</v>
      </c>
    </row>
    <row r="52015" customFormat="false" ht="12.8" hidden="false" customHeight="false" outlineLevel="0" collapsed="false">
      <c r="A52015" s="0" t="s">
        <v>18278</v>
      </c>
      <c r="B52015" s="0" t="str">
        <f aca="false">HYPERLINK("https://lindat.mff.cuni.cz/services/teitok/pdtc10/index.php?action=vallex&amp;frame=v-w7366f1", "utahovat si (v-w7366f1)")</f>
        <v>utahovat si (v-w7366f1)</v>
      </c>
    </row>
    <row r="52016" customFormat="false" ht="12.8" hidden="false" customHeight="false" outlineLevel="0" collapsed="false">
      <c r="B52016" s="0" t="s">
        <v>7</v>
      </c>
    </row>
    <row r="52017" customFormat="false" ht="12.8" hidden="false" customHeight="false" outlineLevel="0" collapsed="false">
      <c r="B52017" s="0" t="s">
        <v>227</v>
      </c>
    </row>
    <row r="52019" customFormat="false" ht="12.8" hidden="false" customHeight="false" outlineLevel="0" collapsed="false">
      <c r="A52019" s="0" t="s">
        <v>18279</v>
      </c>
      <c r="B52019" s="0" t="str">
        <f aca="false">HYPERLINK("https://lindat.mff.cuni.cz/services/teitok/pdtc10/index.php?action=vallex&amp;frame=v-w7366f2_ZU", "utahovat si (v-w7366f2_ZU)")</f>
        <v>utahovat si (v-w7366f2_ZU)</v>
      </c>
    </row>
    <row r="52020" customFormat="false" ht="12.8" hidden="false" customHeight="false" outlineLevel="0" collapsed="false">
      <c r="B52020" s="0" t="s">
        <v>7</v>
      </c>
      <c r="C52020" s="0" t="s">
        <v>191</v>
      </c>
    </row>
    <row r="52021" customFormat="false" ht="12.8" hidden="false" customHeight="false" outlineLevel="0" collapsed="false">
      <c r="B52021" s="0" t="s">
        <v>18277</v>
      </c>
      <c r="C52021" s="0" t="s">
        <v>378</v>
      </c>
    </row>
    <row r="52023" customFormat="false" ht="12.8" hidden="false" customHeight="false" outlineLevel="0" collapsed="false">
      <c r="A52023" s="0" t="s">
        <v>18280</v>
      </c>
      <c r="B52023" s="0" t="str">
        <f aca="false">HYPERLINK("https://lindat.mff.cuni.cz/services/teitok/pdtc10/index.php?action=vallex&amp;frame=v-w7368f1", "utajovat (v-w7368f1)")</f>
        <v>utajovat (v-w7368f1)</v>
      </c>
    </row>
    <row r="52024" customFormat="false" ht="12.8" hidden="false" customHeight="false" outlineLevel="0" collapsed="false">
      <c r="B52024" s="0" t="s">
        <v>7</v>
      </c>
    </row>
    <row r="52025" customFormat="false" ht="12.8" hidden="false" customHeight="false" outlineLevel="0" collapsed="false">
      <c r="B52025" s="0" t="s">
        <v>3742</v>
      </c>
    </row>
    <row r="52026" customFormat="false" ht="12.8" hidden="false" customHeight="false" outlineLevel="0" collapsed="false">
      <c r="B52026" s="0" t="s">
        <v>3743</v>
      </c>
    </row>
    <row r="52028" customFormat="false" ht="12.8" hidden="false" customHeight="false" outlineLevel="0" collapsed="false">
      <c r="A52028" s="0" t="s">
        <v>18281</v>
      </c>
      <c r="B52028" s="0" t="str">
        <f aca="false">HYPERLINK("https://lindat.mff.cuni.cz/services/teitok/pdtc10/index.php?action=vallex&amp;frame=v-w10724f2", "utichat (v-w10724f2)")</f>
        <v>utichat (v-w10724f2)</v>
      </c>
    </row>
    <row r="52029" customFormat="false" ht="12.8" hidden="false" customHeight="false" outlineLevel="0" collapsed="false">
      <c r="B52029" s="0" t="s">
        <v>7</v>
      </c>
      <c r="C52029" s="0" t="s">
        <v>272</v>
      </c>
    </row>
    <row r="52031" customFormat="false" ht="12.8" hidden="false" customHeight="false" outlineLevel="0" collapsed="false">
      <c r="A52031" s="0" t="s">
        <v>18282</v>
      </c>
      <c r="B52031" s="0" t="str">
        <f aca="false">HYPERLINK("https://lindat.mff.cuni.cz/services/teitok/pdtc10/index.php?action=vallex&amp;frame=v-w7375f1", "utichnout (v-w7375f1)")</f>
        <v>utichnout (v-w7375f1)</v>
      </c>
    </row>
    <row r="52032" customFormat="false" ht="12.8" hidden="false" customHeight="false" outlineLevel="0" collapsed="false">
      <c r="B52032" s="0" t="s">
        <v>7</v>
      </c>
    </row>
    <row r="52034" customFormat="false" ht="12.8" hidden="false" customHeight="false" outlineLevel="0" collapsed="false">
      <c r="A52034" s="0" t="s">
        <v>18283</v>
      </c>
      <c r="B52034" s="0" t="str">
        <f aca="false">HYPERLINK("https://lindat.mff.cuni.cz/services/teitok/pdtc10/index.php?action=vallex&amp;frame=v-w10496f2", "utišit (v-w10496f2)")</f>
        <v>utišit (v-w10496f2)</v>
      </c>
    </row>
    <row r="52035" customFormat="false" ht="12.8" hidden="false" customHeight="false" outlineLevel="0" collapsed="false">
      <c r="B52035" s="0" t="s">
        <v>7</v>
      </c>
      <c r="C52035" s="0" t="s">
        <v>1380</v>
      </c>
      <c r="D52035" s="0" t="s">
        <v>1167</v>
      </c>
      <c r="E52035" s="0" t="s">
        <v>1167</v>
      </c>
      <c r="F52035" s="0" t="s">
        <v>1167</v>
      </c>
    </row>
    <row r="52036" customFormat="false" ht="12.8" hidden="false" customHeight="false" outlineLevel="0" collapsed="false">
      <c r="B52036" s="0" t="s">
        <v>14</v>
      </c>
      <c r="C52036" s="0" t="s">
        <v>78</v>
      </c>
      <c r="D52036" s="0" t="s">
        <v>1168</v>
      </c>
      <c r="E52036" s="0" t="s">
        <v>1168</v>
      </c>
      <c r="F52036" s="0" t="s">
        <v>1168</v>
      </c>
    </row>
    <row r="52038" customFormat="false" ht="12.8" hidden="false" customHeight="false" outlineLevel="0" collapsed="false">
      <c r="A52038" s="0" t="s">
        <v>18284</v>
      </c>
      <c r="B52038" s="0" t="str">
        <f aca="false">HYPERLINK("https://lindat.mff.cuni.cz/services/teitok/pdtc10/index.php?action=vallex&amp;frame=v-w10496hsa_217", "utišit (v-w10496hsa_217)")</f>
        <v>utišit (v-w10496hsa_217)</v>
      </c>
    </row>
    <row r="52039" customFormat="false" ht="12.8" hidden="false" customHeight="false" outlineLevel="0" collapsed="false">
      <c r="B52039" s="0" t="s">
        <v>7</v>
      </c>
      <c r="D52039" s="0" t="s">
        <v>1167</v>
      </c>
      <c r="E52039" s="0" t="s">
        <v>1167</v>
      </c>
      <c r="F52039" s="0" t="s">
        <v>1167</v>
      </c>
    </row>
    <row r="52040" customFormat="false" ht="12.8" hidden="false" customHeight="false" outlineLevel="0" collapsed="false">
      <c r="B52040" s="0" t="s">
        <v>14</v>
      </c>
      <c r="C52040" s="0" t="s">
        <v>567</v>
      </c>
      <c r="D52040" s="0" t="s">
        <v>1168</v>
      </c>
      <c r="E52040" s="0" t="s">
        <v>1168</v>
      </c>
      <c r="F52040" s="0" t="s">
        <v>1168</v>
      </c>
    </row>
    <row r="52042" customFormat="false" ht="12.8" hidden="false" customHeight="false" outlineLevel="0" collapsed="false">
      <c r="A52042" s="0" t="s">
        <v>18285</v>
      </c>
      <c r="B52042" s="0" t="str">
        <f aca="false">HYPERLINK("https://lindat.mff.cuni.cz/services/teitok/pdtc10/index.php?action=vallex&amp;frame=v-whsa_210hsa_211", "utišit se (v-whsa_210hsa_211)")</f>
        <v>utišit se (v-whsa_210hsa_211)</v>
      </c>
    </row>
    <row r="52043" customFormat="false" ht="12.8" hidden="false" customHeight="false" outlineLevel="0" collapsed="false">
      <c r="B52043" s="0" t="s">
        <v>7</v>
      </c>
    </row>
    <row r="52045" customFormat="false" ht="12.8" hidden="false" customHeight="false" outlineLevel="0" collapsed="false">
      <c r="A52045" s="0" t="s">
        <v>18286</v>
      </c>
      <c r="B52045" s="0" t="str">
        <f aca="false">HYPERLINK("https://lindat.mff.cuni.cz/services/teitok/pdtc10/index.php?action=vallex&amp;frame=v-w7378f1", "utišovat (v-w7378f1)")</f>
        <v>utišovat (v-w7378f1)</v>
      </c>
    </row>
    <row r="52046" customFormat="false" ht="12.8" hidden="false" customHeight="false" outlineLevel="0" collapsed="false">
      <c r="B52046" s="0" t="s">
        <v>7</v>
      </c>
      <c r="D52046" s="0" t="s">
        <v>1167</v>
      </c>
      <c r="E52046" s="0" t="s">
        <v>1167</v>
      </c>
      <c r="F52046" s="0" t="s">
        <v>1167</v>
      </c>
    </row>
    <row r="52047" customFormat="false" ht="12.8" hidden="false" customHeight="false" outlineLevel="0" collapsed="false">
      <c r="B52047" s="0" t="s">
        <v>14</v>
      </c>
      <c r="D52047" s="0" t="s">
        <v>1168</v>
      </c>
      <c r="E52047" s="0" t="s">
        <v>1168</v>
      </c>
      <c r="F52047" s="0" t="s">
        <v>1168</v>
      </c>
    </row>
    <row r="52049" customFormat="false" ht="12.8" hidden="false" customHeight="false" outlineLevel="0" collapsed="false">
      <c r="A52049" s="0" t="s">
        <v>18287</v>
      </c>
      <c r="B52049" s="0" t="str">
        <f aca="false">HYPERLINK("https://lindat.mff.cuni.cz/services/teitok/pdtc10/index.php?action=vallex&amp;frame=v-w7380f2", "utkat se (v-w7380f2)")</f>
        <v>utkat se (v-w7380f2)</v>
      </c>
    </row>
    <row r="52050" customFormat="false" ht="12.8" hidden="false" customHeight="false" outlineLevel="0" collapsed="false">
      <c r="B52050" s="0" t="s">
        <v>7</v>
      </c>
    </row>
    <row r="52051" customFormat="false" ht="12.8" hidden="false" customHeight="false" outlineLevel="0" collapsed="false">
      <c r="B52051" s="0" t="s">
        <v>548</v>
      </c>
    </row>
    <row r="52053" customFormat="false" ht="12.8" hidden="false" customHeight="false" outlineLevel="0" collapsed="false">
      <c r="A52053" s="0" t="s">
        <v>18288</v>
      </c>
      <c r="B52053" s="0" t="str">
        <f aca="false">HYPERLINK("https://lindat.mff.cuni.cz/services/teitok/pdtc10/index.php?action=vallex&amp;frame=v-w7380f1", "utkat se (v-w7380f1)")</f>
        <v>utkat se (v-w7380f1)</v>
      </c>
    </row>
    <row r="52054" customFormat="false" ht="12.8" hidden="false" customHeight="false" outlineLevel="0" collapsed="false">
      <c r="B52054" s="0" t="s">
        <v>7</v>
      </c>
    </row>
    <row r="52055" customFormat="false" ht="12.8" hidden="false" customHeight="false" outlineLevel="0" collapsed="false">
      <c r="B52055" s="0" t="s">
        <v>207</v>
      </c>
    </row>
    <row r="52056" customFormat="false" ht="12.8" hidden="false" customHeight="false" outlineLevel="0" collapsed="false">
      <c r="B52056" s="0" t="s">
        <v>2721</v>
      </c>
    </row>
    <row r="52058" customFormat="false" ht="12.8" hidden="false" customHeight="false" outlineLevel="0" collapsed="false">
      <c r="A52058" s="0" t="s">
        <v>18289</v>
      </c>
      <c r="B52058" s="0" t="str">
        <f aca="false">HYPERLINK("https://lindat.mff.cuni.cz/services/teitok/pdtc10/index.php?action=vallex&amp;frame=v-w7383f1", "utkvít (v-w7383f1)")</f>
        <v>utkvít (v-w7383f1)</v>
      </c>
    </row>
    <row r="52059" customFormat="false" ht="12.8" hidden="false" customHeight="false" outlineLevel="0" collapsed="false">
      <c r="B52059" s="0" t="s">
        <v>765</v>
      </c>
    </row>
    <row r="52060" customFormat="false" ht="12.8" hidden="false" customHeight="false" outlineLevel="0" collapsed="false">
      <c r="B52060" s="0" t="s">
        <v>11</v>
      </c>
    </row>
    <row r="52062" customFormat="false" ht="12.8" hidden="false" customHeight="false" outlineLevel="0" collapsed="false">
      <c r="A52062" s="0" t="s">
        <v>18290</v>
      </c>
      <c r="B52062" s="0" t="str">
        <f aca="false">HYPERLINK("https://lindat.mff.cuni.cz/services/teitok/pdtc10/index.php?action=vallex&amp;frame=v-w7383f2", "utkvít (v-w7383f2)")</f>
        <v>utkvít (v-w7383f2)</v>
      </c>
    </row>
    <row r="52063" customFormat="false" ht="12.8" hidden="false" customHeight="false" outlineLevel="0" collapsed="false">
      <c r="B52063" s="0" t="s">
        <v>7</v>
      </c>
      <c r="C52063" s="0" t="s">
        <v>272</v>
      </c>
      <c r="D52063" s="0" t="s">
        <v>2901</v>
      </c>
      <c r="E52063" s="0" t="s">
        <v>2901</v>
      </c>
      <c r="F52063" s="0" t="s">
        <v>2901</v>
      </c>
    </row>
    <row r="52064" customFormat="false" ht="12.8" hidden="false" customHeight="false" outlineLevel="0" collapsed="false">
      <c r="B52064" s="0" t="s">
        <v>11</v>
      </c>
      <c r="C52064" s="0" t="s">
        <v>18291</v>
      </c>
      <c r="D52064" s="0" t="s">
        <v>2903</v>
      </c>
      <c r="E52064" s="0" t="s">
        <v>2903</v>
      </c>
      <c r="F52064" s="0" t="s">
        <v>2903</v>
      </c>
    </row>
    <row r="52066" customFormat="false" ht="12.8" hidden="false" customHeight="false" outlineLevel="0" collapsed="false">
      <c r="A52066" s="0" t="s">
        <v>18292</v>
      </c>
      <c r="B52066" s="0" t="str">
        <f aca="false">HYPERLINK("https://lindat.mff.cuni.cz/services/teitok/pdtc10/index.php?action=vallex&amp;frame=v-w7382f1", "utkvět (v-w7382f1)")</f>
        <v>utkvět (v-w7382f1)</v>
      </c>
    </row>
    <row r="52067" customFormat="false" ht="12.8" hidden="false" customHeight="false" outlineLevel="0" collapsed="false">
      <c r="B52067" s="0" t="s">
        <v>18293</v>
      </c>
      <c r="D52067" s="0" t="s">
        <v>2901</v>
      </c>
      <c r="E52067" s="0" t="s">
        <v>2901</v>
      </c>
      <c r="F52067" s="0" t="s">
        <v>2901</v>
      </c>
    </row>
    <row r="52068" customFormat="false" ht="12.8" hidden="false" customHeight="false" outlineLevel="0" collapsed="false">
      <c r="B52068" s="0" t="s">
        <v>11</v>
      </c>
      <c r="D52068" s="0" t="s">
        <v>2903</v>
      </c>
      <c r="E52068" s="0" t="s">
        <v>2903</v>
      </c>
      <c r="F52068" s="0" t="s">
        <v>2903</v>
      </c>
    </row>
    <row r="52070" customFormat="false" ht="12.8" hidden="false" customHeight="false" outlineLevel="0" collapsed="false">
      <c r="A52070" s="0" t="s">
        <v>18294</v>
      </c>
      <c r="B52070" s="0" t="str">
        <f aca="false">HYPERLINK("https://lindat.mff.cuni.cz/services/teitok/pdtc10/index.php?action=vallex&amp;frame=v-w7382f2", "utkvět (v-w7382f2)")</f>
        <v>utkvět (v-w7382f2)</v>
      </c>
    </row>
    <row r="52071" customFormat="false" ht="12.8" hidden="false" customHeight="false" outlineLevel="0" collapsed="false">
      <c r="B52071" s="0" t="s">
        <v>7</v>
      </c>
    </row>
    <row r="52072" customFormat="false" ht="12.8" hidden="false" customHeight="false" outlineLevel="0" collapsed="false">
      <c r="B52072" s="0" t="s">
        <v>11</v>
      </c>
    </row>
    <row r="52074" customFormat="false" ht="12.8" hidden="false" customHeight="false" outlineLevel="0" collapsed="false">
      <c r="A52074" s="0" t="s">
        <v>18295</v>
      </c>
      <c r="B52074" s="0" t="str">
        <f aca="false">HYPERLINK("https://lindat.mff.cuni.cz/services/teitok/pdtc10/index.php?action=vallex&amp;frame=v-w7381f2", "utkávat se (v-w7381f2)")</f>
        <v>utkávat se (v-w7381f2)</v>
      </c>
    </row>
    <row r="52075" customFormat="false" ht="12.8" hidden="false" customHeight="false" outlineLevel="0" collapsed="false">
      <c r="B52075" s="0" t="s">
        <v>7</v>
      </c>
      <c r="D52075" s="0" t="s">
        <v>310</v>
      </c>
      <c r="E52075" s="0" t="s">
        <v>310</v>
      </c>
      <c r="F52075" s="0" t="s">
        <v>310</v>
      </c>
    </row>
    <row r="52076" customFormat="false" ht="12.8" hidden="false" customHeight="false" outlineLevel="0" collapsed="false">
      <c r="B52076" s="0" t="s">
        <v>548</v>
      </c>
      <c r="D52076" s="0" t="s">
        <v>313</v>
      </c>
      <c r="E52076" s="0" t="s">
        <v>313</v>
      </c>
      <c r="F52076" s="0" t="s">
        <v>313</v>
      </c>
    </row>
    <row r="52078" customFormat="false" ht="12.8" hidden="false" customHeight="false" outlineLevel="0" collapsed="false">
      <c r="A52078" s="0" t="s">
        <v>18296</v>
      </c>
      <c r="B52078" s="0" t="str">
        <f aca="false">HYPERLINK("https://lindat.mff.cuni.cz/services/teitok/pdtc10/index.php?action=vallex&amp;frame=v-w7381f1", "utkávat se (v-w7381f1)")</f>
        <v>utkávat se (v-w7381f1)</v>
      </c>
    </row>
    <row r="52079" customFormat="false" ht="12.8" hidden="false" customHeight="false" outlineLevel="0" collapsed="false">
      <c r="B52079" s="0" t="s">
        <v>7</v>
      </c>
      <c r="D52079" s="0" t="s">
        <v>316</v>
      </c>
      <c r="E52079" s="0" t="s">
        <v>316</v>
      </c>
      <c r="F52079" s="0" t="s">
        <v>316</v>
      </c>
    </row>
    <row r="52080" customFormat="false" ht="12.8" hidden="false" customHeight="false" outlineLevel="0" collapsed="false">
      <c r="B52080" s="0" t="s">
        <v>207</v>
      </c>
      <c r="D52080" s="0" t="s">
        <v>319</v>
      </c>
      <c r="E52080" s="0" t="s">
        <v>319</v>
      </c>
      <c r="F52080" s="0" t="s">
        <v>319</v>
      </c>
    </row>
    <row r="52081" customFormat="false" ht="12.8" hidden="false" customHeight="false" outlineLevel="0" collapsed="false">
      <c r="B52081" s="0" t="s">
        <v>2721</v>
      </c>
      <c r="D52081" s="0" t="s">
        <v>322</v>
      </c>
      <c r="E52081" s="0" t="s">
        <v>322</v>
      </c>
      <c r="F52081" s="0" t="s">
        <v>322</v>
      </c>
    </row>
    <row r="52083" customFormat="false" ht="12.8" hidden="false" customHeight="false" outlineLevel="0" collapsed="false">
      <c r="A52083" s="0" t="s">
        <v>18297</v>
      </c>
      <c r="B52083" s="0" t="str">
        <f aca="false">HYPERLINK("https://lindat.mff.cuni.cz/services/teitok/pdtc10/index.php?action=vallex&amp;frame=v-w10823f2", "utlačovat (v-w10823f2)")</f>
        <v>utlačovat (v-w10823f2)</v>
      </c>
    </row>
    <row r="52084" customFormat="false" ht="12.8" hidden="false" customHeight="false" outlineLevel="0" collapsed="false">
      <c r="B52084" s="0" t="s">
        <v>7</v>
      </c>
    </row>
    <row r="52085" customFormat="false" ht="12.8" hidden="false" customHeight="false" outlineLevel="0" collapsed="false">
      <c r="B52085" s="0" t="s">
        <v>14</v>
      </c>
    </row>
    <row r="52087" customFormat="false" ht="12.8" hidden="false" customHeight="false" outlineLevel="0" collapsed="false">
      <c r="A52087" s="0" t="s">
        <v>18298</v>
      </c>
      <c r="B52087" s="0" t="str">
        <f aca="false">HYPERLINK("https://lindat.mff.cuni.cz/services/teitok/pdtc10/index.php?action=vallex&amp;frame=v-w7385f1", "utlouci (v-w7385f1)")</f>
        <v>utlouci (v-w7385f1)</v>
      </c>
    </row>
    <row r="52088" customFormat="false" ht="12.8" hidden="false" customHeight="false" outlineLevel="0" collapsed="false">
      <c r="B52088" s="0" t="s">
        <v>7</v>
      </c>
    </row>
    <row r="52089" customFormat="false" ht="12.8" hidden="false" customHeight="false" outlineLevel="0" collapsed="false">
      <c r="B52089" s="0" t="s">
        <v>14</v>
      </c>
    </row>
    <row r="52091" customFormat="false" ht="12.8" hidden="false" customHeight="false" outlineLevel="0" collapsed="false">
      <c r="A52091" s="0" t="s">
        <v>18299</v>
      </c>
      <c r="B52091" s="0" t="str">
        <f aca="false">HYPERLINK("https://lindat.mff.cuni.cz/services/teitok/pdtc10/index.php?action=vallex&amp;frame=v-w7386f1", "utloukat (v-w7386f1)")</f>
        <v>utloukat (v-w7386f1)</v>
      </c>
    </row>
    <row r="52092" customFormat="false" ht="12.8" hidden="false" customHeight="false" outlineLevel="0" collapsed="false">
      <c r="B52092" s="0" t="s">
        <v>7</v>
      </c>
    </row>
    <row r="52093" customFormat="false" ht="12.8" hidden="false" customHeight="false" outlineLevel="0" collapsed="false">
      <c r="B52093" s="0" t="s">
        <v>14</v>
      </c>
    </row>
    <row r="52095" customFormat="false" ht="12.8" hidden="false" customHeight="false" outlineLevel="0" collapsed="false">
      <c r="A52095" s="0" t="s">
        <v>18300</v>
      </c>
      <c r="B52095" s="0" t="str">
        <f aca="false">HYPERLINK("https://lindat.mff.cuni.cz/services/teitok/pdtc10/index.php?action=vallex&amp;frame=v-w7389f1", "utlumit (v-w7389f1)")</f>
        <v>utlumit (v-w7389f1)</v>
      </c>
    </row>
    <row r="52096" customFormat="false" ht="12.8" hidden="false" customHeight="false" outlineLevel="0" collapsed="false">
      <c r="B52096" s="0" t="s">
        <v>7</v>
      </c>
      <c r="C52096" s="0" t="s">
        <v>504</v>
      </c>
      <c r="D52096" s="0" t="s">
        <v>4161</v>
      </c>
      <c r="E52096" s="0" t="s">
        <v>4161</v>
      </c>
      <c r="F52096" s="0" t="s">
        <v>4161</v>
      </c>
    </row>
    <row r="52097" customFormat="false" ht="12.8" hidden="false" customHeight="false" outlineLevel="0" collapsed="false">
      <c r="B52097" s="0" t="s">
        <v>14</v>
      </c>
      <c r="C52097" s="0" t="s">
        <v>1571</v>
      </c>
      <c r="D52097" s="0" t="s">
        <v>9299</v>
      </c>
      <c r="E52097" s="0" t="s">
        <v>9299</v>
      </c>
      <c r="F52097" s="0" t="s">
        <v>9299</v>
      </c>
    </row>
    <row r="52098" customFormat="false" ht="12.8" hidden="false" customHeight="false" outlineLevel="0" collapsed="false">
      <c r="B52098" s="0" t="s">
        <v>35</v>
      </c>
    </row>
    <row r="52099" customFormat="false" ht="12.8" hidden="false" customHeight="false" outlineLevel="0" collapsed="false">
      <c r="B52099" s="0" t="s">
        <v>84</v>
      </c>
    </row>
    <row r="52101" customFormat="false" ht="12.8" hidden="false" customHeight="false" outlineLevel="0" collapsed="false">
      <c r="A52101" s="0" t="s">
        <v>18301</v>
      </c>
      <c r="B52101" s="0" t="str">
        <f aca="false">HYPERLINK("https://lindat.mff.cuni.cz/services/teitok/pdtc10/index.php?action=vallex&amp;frame=v-w7389f2", "utlumit (v-w7389f2)")</f>
        <v>utlumit (v-w7389f2)</v>
      </c>
    </row>
    <row r="52102" customFormat="false" ht="12.8" hidden="false" customHeight="false" outlineLevel="0" collapsed="false">
      <c r="B52102" s="0" t="s">
        <v>7</v>
      </c>
      <c r="C52102" s="0" t="s">
        <v>118</v>
      </c>
    </row>
    <row r="52103" customFormat="false" ht="12.8" hidden="false" customHeight="false" outlineLevel="0" collapsed="false">
      <c r="B52103" s="0" t="s">
        <v>14</v>
      </c>
      <c r="C52103" s="0" t="s">
        <v>89</v>
      </c>
    </row>
    <row r="52104" customFormat="false" ht="12.8" hidden="false" customHeight="false" outlineLevel="0" collapsed="false">
      <c r="B52104" s="0" t="s">
        <v>35</v>
      </c>
    </row>
    <row r="52105" customFormat="false" ht="12.8" hidden="false" customHeight="false" outlineLevel="0" collapsed="false">
      <c r="B52105" s="0" t="s">
        <v>84</v>
      </c>
    </row>
    <row r="52107" customFormat="false" ht="12.8" hidden="false" customHeight="false" outlineLevel="0" collapsed="false">
      <c r="A52107" s="0" t="s">
        <v>18302</v>
      </c>
      <c r="B52107" s="0" t="str">
        <f aca="false">HYPERLINK("https://lindat.mff.cuni.cz/services/teitok/pdtc10/index.php?action=vallex&amp;frame=v-whsa_736hsa_737", "utlumit se (v-whsa_736hsa_737)")</f>
        <v>utlumit se (v-whsa_736hsa_737)</v>
      </c>
    </row>
    <row r="52108" customFormat="false" ht="12.8" hidden="false" customHeight="false" outlineLevel="0" collapsed="false">
      <c r="B52108" s="0" t="s">
        <v>7</v>
      </c>
    </row>
    <row r="52110" customFormat="false" ht="12.8" hidden="false" customHeight="false" outlineLevel="0" collapsed="false">
      <c r="A52110" s="0" t="s">
        <v>18303</v>
      </c>
      <c r="B52110" s="0" t="str">
        <f aca="false">HYPERLINK("https://lindat.mff.cuni.cz/services/teitok/pdtc10/index.php?action=vallex&amp;frame=v-w11249f1", "utnout (v-w11249f1)")</f>
        <v>utnout (v-w11249f1)</v>
      </c>
    </row>
    <row r="52111" customFormat="false" ht="12.8" hidden="false" customHeight="false" outlineLevel="0" collapsed="false">
      <c r="B52111" s="0" t="s">
        <v>7</v>
      </c>
      <c r="C52111" s="0" t="s">
        <v>157</v>
      </c>
      <c r="D52111" s="0" t="s">
        <v>18304</v>
      </c>
      <c r="E52111" s="0" t="s">
        <v>18304</v>
      </c>
      <c r="F52111" s="0" t="s">
        <v>18304</v>
      </c>
    </row>
    <row r="52112" customFormat="false" ht="12.8" hidden="false" customHeight="false" outlineLevel="0" collapsed="false">
      <c r="B52112" s="0" t="s">
        <v>14</v>
      </c>
      <c r="C52112" s="0" t="s">
        <v>152</v>
      </c>
      <c r="D52112" s="0" t="s">
        <v>13377</v>
      </c>
      <c r="E52112" s="0" t="s">
        <v>13377</v>
      </c>
      <c r="F52112" s="0" t="s">
        <v>13377</v>
      </c>
    </row>
    <row r="52114" customFormat="false" ht="12.8" hidden="false" customHeight="false" outlineLevel="0" collapsed="false">
      <c r="A52114" s="0" t="s">
        <v>18305</v>
      </c>
      <c r="B52114" s="0" t="str">
        <f aca="false">HYPERLINK("https://lindat.mff.cuni.cz/services/teitok/pdtc10/index.php?action=vallex&amp;frame=v-w7391f1", "utnout se (v-w7391f1)")</f>
        <v>utnout se (v-w7391f1)</v>
      </c>
    </row>
    <row r="52115" customFormat="false" ht="12.8" hidden="false" customHeight="false" outlineLevel="0" collapsed="false">
      <c r="B52115" s="0" t="s">
        <v>18306</v>
      </c>
    </row>
    <row r="52117" customFormat="false" ht="12.8" hidden="false" customHeight="false" outlineLevel="0" collapsed="false">
      <c r="A52117" s="0" t="s">
        <v>18307</v>
      </c>
      <c r="B52117" s="0" t="str">
        <f aca="false">HYPERLINK("https://lindat.mff.cuni.cz/services/teitok/pdtc10/index.php?action=vallex&amp;frame=v-w7395f1", "utonout (v-w7395f1)")</f>
        <v>utonout (v-w7395f1)</v>
      </c>
    </row>
    <row r="52118" customFormat="false" ht="12.8" hidden="false" customHeight="false" outlineLevel="0" collapsed="false">
      <c r="B52118" s="0" t="s">
        <v>7</v>
      </c>
    </row>
    <row r="52120" customFormat="false" ht="12.8" hidden="false" customHeight="false" outlineLevel="0" collapsed="false">
      <c r="A52120" s="0" t="s">
        <v>18308</v>
      </c>
      <c r="B52120" s="0" t="str">
        <f aca="false">HYPERLINK("https://lindat.mff.cuni.cz/services/teitok/pdtc10/index.php?action=vallex&amp;frame=v-w7398f1", "utopit (v-w7398f1)")</f>
        <v>utopit (v-w7398f1)</v>
      </c>
    </row>
    <row r="52121" customFormat="false" ht="12.8" hidden="false" customHeight="false" outlineLevel="0" collapsed="false">
      <c r="B52121" s="0" t="s">
        <v>7</v>
      </c>
    </row>
    <row r="52122" customFormat="false" ht="12.8" hidden="false" customHeight="false" outlineLevel="0" collapsed="false">
      <c r="B52122" s="0" t="s">
        <v>14</v>
      </c>
    </row>
    <row r="52124" customFormat="false" ht="12.8" hidden="false" customHeight="false" outlineLevel="0" collapsed="false">
      <c r="A52124" s="0" t="s">
        <v>18309</v>
      </c>
      <c r="B52124" s="0" t="str">
        <f aca="false">HYPERLINK("https://lindat.mff.cuni.cz/services/teitok/pdtc10/index.php?action=vallex&amp;frame=v-w7398f2_ZU", "utopit (v-w7398f2_ZU)")</f>
        <v>utopit (v-w7398f2_ZU)</v>
      </c>
    </row>
    <row r="52125" customFormat="false" ht="12.8" hidden="false" customHeight="false" outlineLevel="0" collapsed="false">
      <c r="B52125" s="0" t="s">
        <v>7</v>
      </c>
      <c r="D52125" s="0" t="s">
        <v>1549</v>
      </c>
      <c r="E52125" s="0" t="s">
        <v>1550</v>
      </c>
      <c r="F52125" s="0" t="s">
        <v>1550</v>
      </c>
    </row>
    <row r="52126" customFormat="false" ht="12.8" hidden="false" customHeight="false" outlineLevel="0" collapsed="false">
      <c r="B52126" s="0" t="s">
        <v>14</v>
      </c>
      <c r="C52126" s="0" t="s">
        <v>155</v>
      </c>
      <c r="D52126" s="0" t="s">
        <v>1164</v>
      </c>
      <c r="E52126" s="0" t="s">
        <v>1551</v>
      </c>
      <c r="F52126" s="0" t="s">
        <v>1551</v>
      </c>
    </row>
    <row r="52128" customFormat="false" ht="12.8" hidden="false" customHeight="false" outlineLevel="0" collapsed="false">
      <c r="A52128" s="0" t="s">
        <v>18309</v>
      </c>
      <c r="B52128" s="0" t="str">
        <f aca="false">HYPERLINK("https://lindat.mff.cuni.cz/services/teitok/pdtc10/index.php?action=vallex&amp;frame=v-w7398hsa_1213", "utopit (v-w7398hsa_1213) - substituted with v-w7398f2_ZU")</f>
        <v>utopit (v-w7398hsa_1213) - substituted with v-w7398f2_ZU</v>
      </c>
    </row>
    <row r="52129" customFormat="false" ht="12.8" hidden="false" customHeight="false" outlineLevel="0" collapsed="false">
      <c r="B52129" s="0" t="s">
        <v>7</v>
      </c>
    </row>
    <row r="52130" customFormat="false" ht="12.8" hidden="false" customHeight="false" outlineLevel="0" collapsed="false">
      <c r="B52130" s="0" t="s">
        <v>14</v>
      </c>
    </row>
    <row r="52132" customFormat="false" ht="12.8" hidden="false" customHeight="false" outlineLevel="0" collapsed="false">
      <c r="A52132" s="0" t="s">
        <v>18310</v>
      </c>
      <c r="B52132" s="0" t="str">
        <f aca="false">HYPERLINK("https://lindat.mff.cuni.cz/services/teitok/pdtc10/index.php?action=vallex&amp;frame=v-w7399f1", "utopit se (v-w7399f1)")</f>
        <v>utopit se (v-w7399f1)</v>
      </c>
    </row>
    <row r="52133" customFormat="false" ht="12.8" hidden="false" customHeight="false" outlineLevel="0" collapsed="false">
      <c r="B52133" s="0" t="s">
        <v>7</v>
      </c>
      <c r="C52133" s="0" t="s">
        <v>723</v>
      </c>
      <c r="D52133" s="0" t="s">
        <v>8602</v>
      </c>
      <c r="E52133" s="0" t="s">
        <v>8602</v>
      </c>
      <c r="F52133" s="0" t="s">
        <v>8602</v>
      </c>
    </row>
    <row r="52135" customFormat="false" ht="12.8" hidden="false" customHeight="false" outlineLevel="0" collapsed="false">
      <c r="A52135" s="0" t="s">
        <v>18311</v>
      </c>
      <c r="B52135" s="0" t="str">
        <f aca="false">HYPERLINK("https://lindat.mff.cuni.cz/services/teitok/pdtc10/index.php?action=vallex&amp;frame=v-w7402f4_ZU", "utratit (v-w7402f4_ZU)")</f>
        <v>utratit (v-w7402f4_ZU)</v>
      </c>
    </row>
    <row r="52136" customFormat="false" ht="12.8" hidden="false" customHeight="false" outlineLevel="0" collapsed="false">
      <c r="B52136" s="0" t="s">
        <v>7</v>
      </c>
      <c r="C52136" s="0" t="s">
        <v>18312</v>
      </c>
      <c r="D52136" s="0" t="s">
        <v>1410</v>
      </c>
      <c r="E52136" s="0" t="s">
        <v>1410</v>
      </c>
      <c r="F52136" s="0" t="s">
        <v>1410</v>
      </c>
    </row>
    <row r="52137" customFormat="false" ht="12.8" hidden="false" customHeight="false" outlineLevel="0" collapsed="false">
      <c r="B52137" s="0" t="s">
        <v>14</v>
      </c>
      <c r="C52137" s="0" t="s">
        <v>18313</v>
      </c>
      <c r="D52137" s="0" t="s">
        <v>1411</v>
      </c>
      <c r="E52137" s="0" t="s">
        <v>1411</v>
      </c>
      <c r="F52137" s="0" t="s">
        <v>1411</v>
      </c>
    </row>
    <row r="52138" customFormat="false" ht="12.8" hidden="false" customHeight="false" outlineLevel="0" collapsed="false">
      <c r="B52138" s="0" t="s">
        <v>18314</v>
      </c>
      <c r="C52138" s="0" t="s">
        <v>4247</v>
      </c>
      <c r="D52138" s="0" t="s">
        <v>2954</v>
      </c>
      <c r="E52138" s="0" t="s">
        <v>2954</v>
      </c>
      <c r="F52138" s="0" t="s">
        <v>2954</v>
      </c>
    </row>
    <row r="52140" customFormat="false" ht="12.8" hidden="false" customHeight="false" outlineLevel="0" collapsed="false">
      <c r="A52140" s="0" t="s">
        <v>18311</v>
      </c>
      <c r="B52140" s="0" t="str">
        <f aca="false">HYPERLINK("https://lindat.mff.cuni.cz/services/teitok/pdtc10/index.php?action=vallex&amp;frame=v-w7402f1", "utratit (v-w7402f1) - substituted with v-w7402f4_ZU")</f>
        <v>utratit (v-w7402f1) - substituted with v-w7402f4_ZU</v>
      </c>
    </row>
    <row r="52141" customFormat="false" ht="12.8" hidden="false" customHeight="false" outlineLevel="0" collapsed="false">
      <c r="B52141" s="0" t="s">
        <v>7</v>
      </c>
      <c r="C52141" s="0" t="s">
        <v>18312</v>
      </c>
    </row>
    <row r="52142" customFormat="false" ht="12.8" hidden="false" customHeight="false" outlineLevel="0" collapsed="false">
      <c r="B52142" s="0" t="s">
        <v>14</v>
      </c>
      <c r="C52142" s="0" t="s">
        <v>18313</v>
      </c>
    </row>
    <row r="52143" customFormat="false" ht="12.8" hidden="false" customHeight="false" outlineLevel="0" collapsed="false">
      <c r="B52143" s="0" t="s">
        <v>18314</v>
      </c>
      <c r="C52143" s="0" t="s">
        <v>4247</v>
      </c>
    </row>
    <row r="52145" customFormat="false" ht="12.8" hidden="false" customHeight="false" outlineLevel="0" collapsed="false">
      <c r="A52145" s="0" t="s">
        <v>18315</v>
      </c>
      <c r="B52145" s="0" t="str">
        <f aca="false">HYPERLINK("https://lindat.mff.cuni.cz/services/teitok/pdtc10/index.php?action=vallex&amp;frame=v-w7402f2", "utratit (v-w7402f2)")</f>
        <v>utratit (v-w7402f2)</v>
      </c>
    </row>
    <row r="52146" customFormat="false" ht="12.8" hidden="false" customHeight="false" outlineLevel="0" collapsed="false">
      <c r="B52146" s="0" t="s">
        <v>7</v>
      </c>
      <c r="C52146" s="0" t="s">
        <v>2736</v>
      </c>
      <c r="D52146" s="0" t="s">
        <v>5057</v>
      </c>
      <c r="E52146" s="0" t="s">
        <v>5057</v>
      </c>
      <c r="F52146" s="0" t="s">
        <v>5057</v>
      </c>
    </row>
    <row r="52147" customFormat="false" ht="12.8" hidden="false" customHeight="false" outlineLevel="0" collapsed="false">
      <c r="B52147" s="0" t="s">
        <v>14</v>
      </c>
      <c r="C52147" s="0" t="s">
        <v>2788</v>
      </c>
      <c r="D52147" s="0" t="s">
        <v>8042</v>
      </c>
      <c r="E52147" s="0" t="s">
        <v>8042</v>
      </c>
      <c r="F52147" s="0" t="s">
        <v>8042</v>
      </c>
    </row>
    <row r="52149" customFormat="false" ht="12.8" hidden="false" customHeight="false" outlineLevel="0" collapsed="false">
      <c r="A52149" s="0" t="s">
        <v>18316</v>
      </c>
      <c r="B52149" s="0" t="str">
        <f aca="false">HYPERLINK("https://lindat.mff.cuni.cz/services/teitok/pdtc10/index.php?action=vallex&amp;frame=v-w7402hsa_302", "utratit (v-w7402hsa_302)")</f>
        <v>utratit (v-w7402hsa_302)</v>
      </c>
    </row>
    <row r="52150" customFormat="false" ht="12.8" hidden="false" customHeight="false" outlineLevel="0" collapsed="false">
      <c r="B52150" s="0" t="s">
        <v>7</v>
      </c>
      <c r="C52150" s="0" t="s">
        <v>18312</v>
      </c>
      <c r="D52150" s="0" t="s">
        <v>1410</v>
      </c>
      <c r="E52150" s="0" t="s">
        <v>1410</v>
      </c>
      <c r="F52150" s="0" t="s">
        <v>1410</v>
      </c>
    </row>
    <row r="52151" customFormat="false" ht="12.8" hidden="false" customHeight="false" outlineLevel="0" collapsed="false">
      <c r="B52151" s="0" t="s">
        <v>679</v>
      </c>
      <c r="C52151" s="0" t="s">
        <v>18317</v>
      </c>
      <c r="D52151" s="0" t="s">
        <v>18318</v>
      </c>
      <c r="E52151" s="0" t="s">
        <v>18318</v>
      </c>
      <c r="F52151" s="0" t="s">
        <v>18318</v>
      </c>
    </row>
    <row r="52152" customFormat="false" ht="12.8" hidden="false" customHeight="false" outlineLevel="0" collapsed="false">
      <c r="B52152" s="0" t="s">
        <v>18319</v>
      </c>
      <c r="C52152" s="0" t="s">
        <v>18320</v>
      </c>
    </row>
    <row r="52154" customFormat="false" ht="12.8" hidden="false" customHeight="false" outlineLevel="0" collapsed="false">
      <c r="A52154" s="0" t="s">
        <v>18316</v>
      </c>
      <c r="B52154" s="0" t="str">
        <f aca="false">HYPERLINK("https://lindat.mff.cuni.cz/services/teitok/pdtc10/index.php?action=vallex&amp;frame=v-w7402f3", "utratit (v-w7402f3) - substituted with v-w7402hsa_302")</f>
        <v>utratit (v-w7402f3) - substituted with v-w7402hsa_302</v>
      </c>
    </row>
    <row r="52155" customFormat="false" ht="12.8" hidden="false" customHeight="false" outlineLevel="0" collapsed="false">
      <c r="B52155" s="0" t="s">
        <v>7</v>
      </c>
      <c r="C52155" s="0" t="s">
        <v>18321</v>
      </c>
    </row>
    <row r="52156" customFormat="false" ht="12.8" hidden="false" customHeight="false" outlineLevel="0" collapsed="false">
      <c r="B52156" s="0" t="s">
        <v>679</v>
      </c>
      <c r="C52156" s="0" t="s">
        <v>18322</v>
      </c>
    </row>
    <row r="52157" customFormat="false" ht="12.8" hidden="false" customHeight="false" outlineLevel="0" collapsed="false">
      <c r="B52157" s="0" t="s">
        <v>18319</v>
      </c>
      <c r="C52157" s="0" t="s">
        <v>1544</v>
      </c>
    </row>
    <row r="52159" customFormat="false" ht="12.8" hidden="false" customHeight="false" outlineLevel="0" collapsed="false">
      <c r="A52159" s="0" t="s">
        <v>18323</v>
      </c>
      <c r="B52159" s="0" t="str">
        <f aca="false">HYPERLINK("https://lindat.mff.cuni.cz/services/teitok/pdtc10/index.php?action=vallex&amp;frame=v-w7403f1", "utrhnout (v-w7403f1)")</f>
        <v>utrhnout (v-w7403f1)</v>
      </c>
    </row>
    <row r="52160" customFormat="false" ht="12.8" hidden="false" customHeight="false" outlineLevel="0" collapsed="false">
      <c r="B52160" s="0" t="s">
        <v>7</v>
      </c>
      <c r="C52160" s="0" t="s">
        <v>46</v>
      </c>
      <c r="F52160" s="0" t="s">
        <v>46</v>
      </c>
    </row>
    <row r="52161" customFormat="false" ht="12.8" hidden="false" customHeight="false" outlineLevel="0" collapsed="false">
      <c r="B52161" s="0" t="s">
        <v>14</v>
      </c>
      <c r="C52161" s="0" t="s">
        <v>9461</v>
      </c>
      <c r="F52161" s="0" t="s">
        <v>9461</v>
      </c>
    </row>
    <row r="52163" customFormat="false" ht="12.8" hidden="false" customHeight="false" outlineLevel="0" collapsed="false">
      <c r="A52163" s="0" t="s">
        <v>18324</v>
      </c>
      <c r="B52163" s="0" t="str">
        <f aca="false">HYPERLINK("https://lindat.mff.cuni.cz/services/teitok/pdtc10/index.php?action=vallex&amp;frame=v-w7404f2", "utrhnout se (v-w7404f2)")</f>
        <v>utrhnout se (v-w7404f2)</v>
      </c>
    </row>
    <row r="52164" customFormat="false" ht="12.8" hidden="false" customHeight="false" outlineLevel="0" collapsed="false">
      <c r="B52164" s="0" t="s">
        <v>7</v>
      </c>
    </row>
    <row r="52165" customFormat="false" ht="12.8" hidden="false" customHeight="false" outlineLevel="0" collapsed="false">
      <c r="B52165" s="0" t="s">
        <v>41</v>
      </c>
    </row>
    <row r="52167" customFormat="false" ht="12.8" hidden="false" customHeight="false" outlineLevel="0" collapsed="false">
      <c r="A52167" s="0" t="s">
        <v>18325</v>
      </c>
      <c r="B52167" s="0" t="str">
        <f aca="false">HYPERLINK("https://lindat.mff.cuni.cz/services/teitok/pdtc10/index.php?action=vallex&amp;frame=v-w7404f1", "utrhnout se (v-w7404f1)")</f>
        <v>utrhnout se (v-w7404f1)</v>
      </c>
    </row>
    <row r="52168" customFormat="false" ht="12.8" hidden="false" customHeight="false" outlineLevel="0" collapsed="false">
      <c r="B52168" s="0" t="s">
        <v>7</v>
      </c>
    </row>
    <row r="52170" customFormat="false" ht="12.8" hidden="false" customHeight="false" outlineLevel="0" collapsed="false">
      <c r="A52170" s="0" t="s">
        <v>18326</v>
      </c>
      <c r="B52170" s="0" t="str">
        <f aca="false">HYPERLINK("https://lindat.mff.cuni.cz/services/teitok/pdtc10/index.php?action=vallex&amp;frame=v-w12280_ZUf1_ZU", "utrhávat (v-w12280_ZUf1_ZU)")</f>
        <v>utrhávat (v-w12280_ZUf1_ZU)</v>
      </c>
    </row>
    <row r="52171" customFormat="false" ht="12.8" hidden="false" customHeight="false" outlineLevel="0" collapsed="false">
      <c r="B52171" s="0" t="s">
        <v>7</v>
      </c>
    </row>
    <row r="52172" customFormat="false" ht="12.8" hidden="false" customHeight="false" outlineLevel="0" collapsed="false">
      <c r="B52172" s="0" t="s">
        <v>14</v>
      </c>
    </row>
    <row r="52174" customFormat="false" ht="12.8" hidden="false" customHeight="false" outlineLevel="0" collapsed="false">
      <c r="A52174" s="0" t="s">
        <v>18327</v>
      </c>
      <c r="B52174" s="0" t="str">
        <f aca="false">HYPERLINK("https://lindat.mff.cuni.cz/services/teitok/pdtc10/index.php?action=vallex&amp;frame=v-w10206f2", "utrousit (v-w10206f2)")</f>
        <v>utrousit (v-w10206f2)</v>
      </c>
    </row>
    <row r="52175" customFormat="false" ht="12.8" hidden="false" customHeight="false" outlineLevel="0" collapsed="false">
      <c r="B52175" s="0" t="s">
        <v>7</v>
      </c>
    </row>
    <row r="52176" customFormat="false" ht="12.8" hidden="false" customHeight="false" outlineLevel="0" collapsed="false">
      <c r="B52176" s="0" t="s">
        <v>14</v>
      </c>
    </row>
    <row r="52177" customFormat="false" ht="12.8" hidden="false" customHeight="false" outlineLevel="0" collapsed="false">
      <c r="B52177" s="0" t="s">
        <v>10221</v>
      </c>
    </row>
    <row r="52179" customFormat="false" ht="12.8" hidden="false" customHeight="false" outlineLevel="0" collapsed="false">
      <c r="A52179" s="0" t="s">
        <v>18328</v>
      </c>
      <c r="B52179" s="0" t="str">
        <f aca="false">HYPERLINK("https://lindat.mff.cuni.cz/services/teitok/pdtc10/index.php?action=vallex&amp;frame=v-w7406f1", "utrpět (v-w7406f1)")</f>
        <v>utrpět (v-w7406f1)</v>
      </c>
    </row>
    <row r="52180" customFormat="false" ht="12.8" hidden="false" customHeight="false" outlineLevel="0" collapsed="false">
      <c r="B52180" s="0" t="s">
        <v>7</v>
      </c>
      <c r="C52180" s="0" t="s">
        <v>18329</v>
      </c>
      <c r="D52180" s="0" t="s">
        <v>4960</v>
      </c>
      <c r="E52180" s="0" t="s">
        <v>4960</v>
      </c>
      <c r="F52180" s="0" t="s">
        <v>4960</v>
      </c>
    </row>
    <row r="52181" customFormat="false" ht="12.8" hidden="false" customHeight="false" outlineLevel="0" collapsed="false">
      <c r="B52181" s="0" t="s">
        <v>14</v>
      </c>
      <c r="C52181" s="0" t="s">
        <v>18330</v>
      </c>
      <c r="D52181" s="0" t="s">
        <v>5595</v>
      </c>
      <c r="E52181" s="0" t="s">
        <v>5595</v>
      </c>
      <c r="F52181" s="0" t="s">
        <v>5595</v>
      </c>
    </row>
    <row r="52183" customFormat="false" ht="12.8" hidden="false" customHeight="false" outlineLevel="0" collapsed="false">
      <c r="A52183" s="0" t="s">
        <v>18331</v>
      </c>
      <c r="B52183" s="0" t="str">
        <f aca="false">HYPERLINK("https://lindat.mff.cuni.cz/services/teitok/pdtc10/index.php?action=vallex&amp;frame=v-w7406f2", "utrpět (v-w7406f2)")</f>
        <v>utrpět (v-w7406f2)</v>
      </c>
    </row>
    <row r="52184" customFormat="false" ht="12.8" hidden="false" customHeight="false" outlineLevel="0" collapsed="false">
      <c r="B52184" s="0" t="s">
        <v>7</v>
      </c>
      <c r="C52184" s="0" t="s">
        <v>18332</v>
      </c>
      <c r="D52184" s="0" t="s">
        <v>2092</v>
      </c>
      <c r="E52184" s="0" t="s">
        <v>18333</v>
      </c>
      <c r="F52184" s="0" t="s">
        <v>18333</v>
      </c>
    </row>
    <row r="52185" customFormat="false" ht="12.8" hidden="false" customHeight="false" outlineLevel="0" collapsed="false">
      <c r="B52185" s="0" t="s">
        <v>216</v>
      </c>
      <c r="C52185" s="0" t="s">
        <v>18334</v>
      </c>
      <c r="D52185" s="0" t="s">
        <v>2094</v>
      </c>
      <c r="E52185" s="0" t="s">
        <v>18335</v>
      </c>
      <c r="F52185" s="0" t="s">
        <v>18335</v>
      </c>
    </row>
    <row r="52187" customFormat="false" ht="12.8" hidden="false" customHeight="false" outlineLevel="0" collapsed="false">
      <c r="A52187" s="0" t="s">
        <v>18336</v>
      </c>
      <c r="B52187" s="0" t="str">
        <f aca="false">HYPERLINK("https://lindat.mff.cuni.cz/services/teitok/pdtc10/index.php?action=vallex&amp;frame=v-w7401f2_ZU", "utrácet (v-w7401f2_ZU)")</f>
        <v>utrácet (v-w7401f2_ZU)</v>
      </c>
    </row>
    <row r="52188" customFormat="false" ht="12.8" hidden="false" customHeight="false" outlineLevel="0" collapsed="false">
      <c r="B52188" s="0" t="s">
        <v>7</v>
      </c>
      <c r="C52188" s="0" t="s">
        <v>18312</v>
      </c>
      <c r="D52188" s="0" t="s">
        <v>1410</v>
      </c>
      <c r="E52188" s="0" t="s">
        <v>1410</v>
      </c>
      <c r="F52188" s="0" t="s">
        <v>1410</v>
      </c>
    </row>
    <row r="52189" customFormat="false" ht="12.8" hidden="false" customHeight="false" outlineLevel="0" collapsed="false">
      <c r="B52189" s="0" t="s">
        <v>14</v>
      </c>
      <c r="C52189" s="0" t="s">
        <v>18313</v>
      </c>
      <c r="D52189" s="0" t="s">
        <v>1411</v>
      </c>
      <c r="E52189" s="0" t="s">
        <v>1411</v>
      </c>
      <c r="F52189" s="0" t="s">
        <v>1411</v>
      </c>
    </row>
    <row r="52190" customFormat="false" ht="12.8" hidden="false" customHeight="false" outlineLevel="0" collapsed="false">
      <c r="B52190" s="0" t="s">
        <v>11978</v>
      </c>
      <c r="C52190" s="0" t="s">
        <v>4247</v>
      </c>
      <c r="D52190" s="0" t="s">
        <v>2954</v>
      </c>
      <c r="E52190" s="0" t="s">
        <v>2954</v>
      </c>
      <c r="F52190" s="0" t="s">
        <v>2954</v>
      </c>
    </row>
    <row r="52192" customFormat="false" ht="12.8" hidden="false" customHeight="false" outlineLevel="0" collapsed="false">
      <c r="A52192" s="0" t="s">
        <v>18336</v>
      </c>
      <c r="B52192" s="0" t="str">
        <f aca="false">HYPERLINK("https://lindat.mff.cuni.cz/services/teitok/pdtc10/index.php?action=vallex&amp;frame=v-w7401f1", "utrácet (v-w7401f1) - substituted with v-w7401f2_ZU")</f>
        <v>utrácet (v-w7401f1) - substituted with v-w7401f2_ZU</v>
      </c>
    </row>
    <row r="52193" customFormat="false" ht="12.8" hidden="false" customHeight="false" outlineLevel="0" collapsed="false">
      <c r="B52193" s="0" t="s">
        <v>7</v>
      </c>
      <c r="C52193" s="0" t="s">
        <v>18337</v>
      </c>
    </row>
    <row r="52194" customFormat="false" ht="12.8" hidden="false" customHeight="false" outlineLevel="0" collapsed="false">
      <c r="B52194" s="0" t="s">
        <v>14</v>
      </c>
      <c r="C52194" s="0" t="s">
        <v>18313</v>
      </c>
    </row>
    <row r="52195" customFormat="false" ht="12.8" hidden="false" customHeight="false" outlineLevel="0" collapsed="false">
      <c r="B52195" s="0" t="s">
        <v>11978</v>
      </c>
      <c r="C52195" s="0" t="s">
        <v>4247</v>
      </c>
    </row>
    <row r="52197" customFormat="false" ht="12.8" hidden="false" customHeight="false" outlineLevel="0" collapsed="false">
      <c r="A52197" s="0" t="s">
        <v>18338</v>
      </c>
      <c r="B52197" s="0" t="str">
        <f aca="false">HYPERLINK("https://lindat.mff.cuni.cz/services/teitok/pdtc10/index.php?action=vallex&amp;frame=v-w7401hsa_757", "utrácet (v-w7401hsa_757)")</f>
        <v>utrácet (v-w7401hsa_757)</v>
      </c>
    </row>
    <row r="52198" customFormat="false" ht="12.8" hidden="false" customHeight="false" outlineLevel="0" collapsed="false">
      <c r="B52198" s="0" t="s">
        <v>7</v>
      </c>
      <c r="C52198" s="0" t="s">
        <v>18312</v>
      </c>
      <c r="D52198" s="0" t="s">
        <v>1410</v>
      </c>
      <c r="E52198" s="0" t="s">
        <v>1410</v>
      </c>
      <c r="F52198" s="0" t="s">
        <v>1410</v>
      </c>
    </row>
    <row r="52199" customFormat="false" ht="12.8" hidden="false" customHeight="false" outlineLevel="0" collapsed="false">
      <c r="B52199" s="0" t="s">
        <v>679</v>
      </c>
      <c r="C52199" s="0" t="s">
        <v>18317</v>
      </c>
      <c r="D52199" s="0" t="s">
        <v>18318</v>
      </c>
      <c r="E52199" s="0" t="s">
        <v>18318</v>
      </c>
      <c r="F52199" s="0" t="s">
        <v>18318</v>
      </c>
    </row>
    <row r="52200" customFormat="false" ht="12.8" hidden="false" customHeight="false" outlineLevel="0" collapsed="false">
      <c r="B52200" s="0" t="s">
        <v>1654</v>
      </c>
      <c r="C52200" s="0" t="s">
        <v>18320</v>
      </c>
    </row>
    <row r="52202" customFormat="false" ht="12.8" hidden="false" customHeight="false" outlineLevel="0" collapsed="false">
      <c r="A52202" s="0" t="s">
        <v>18339</v>
      </c>
      <c r="B52202" s="0" t="str">
        <f aca="false">HYPERLINK("https://lindat.mff.cuni.cz/services/teitok/pdtc10/index.php?action=vallex&amp;frame=v-w7407hsa_1167", "utržit (v-w7407hsa_1167)")</f>
        <v>utržit (v-w7407hsa_1167)</v>
      </c>
    </row>
    <row r="52203" customFormat="false" ht="12.8" hidden="false" customHeight="false" outlineLevel="0" collapsed="false">
      <c r="B52203" s="0" t="s">
        <v>7</v>
      </c>
      <c r="D52203" s="0" t="s">
        <v>11678</v>
      </c>
      <c r="E52203" s="0" t="s">
        <v>11678</v>
      </c>
      <c r="F52203" s="0" t="s">
        <v>11678</v>
      </c>
    </row>
    <row r="52204" customFormat="false" ht="12.8" hidden="false" customHeight="false" outlineLevel="0" collapsed="false">
      <c r="B52204" s="0" t="s">
        <v>14</v>
      </c>
    </row>
    <row r="52205" customFormat="false" ht="12.8" hidden="false" customHeight="false" outlineLevel="0" collapsed="false">
      <c r="B52205" s="0" t="s">
        <v>1349</v>
      </c>
      <c r="D52205" s="0" t="s">
        <v>18340</v>
      </c>
      <c r="E52205" s="0" t="s">
        <v>18340</v>
      </c>
      <c r="F52205" s="0" t="s">
        <v>18340</v>
      </c>
    </row>
    <row r="52207" customFormat="false" ht="12.8" hidden="false" customHeight="false" outlineLevel="0" collapsed="false">
      <c r="A52207" s="0" t="s">
        <v>18339</v>
      </c>
      <c r="B52207" s="0" t="str">
        <f aca="false">HYPERLINK("https://lindat.mff.cuni.cz/services/teitok/pdtc10/index.php?action=vallex&amp;frame=v-w7407f1", "utržit (v-w7407f1) - substituted with v-w7407hsa_1167")</f>
        <v>utržit (v-w7407f1) - substituted with v-w7407hsa_1167</v>
      </c>
    </row>
    <row r="52208" customFormat="false" ht="12.8" hidden="false" customHeight="false" outlineLevel="0" collapsed="false">
      <c r="B52208" s="0" t="s">
        <v>7</v>
      </c>
      <c r="C52208" s="0" t="s">
        <v>18341</v>
      </c>
    </row>
    <row r="52209" customFormat="false" ht="12.8" hidden="false" customHeight="false" outlineLevel="0" collapsed="false">
      <c r="B52209" s="0" t="s">
        <v>14</v>
      </c>
      <c r="C52209" s="0" t="s">
        <v>18342</v>
      </c>
    </row>
    <row r="52210" customFormat="false" ht="12.8" hidden="false" customHeight="false" outlineLevel="0" collapsed="false">
      <c r="B52210" s="0" t="s">
        <v>1349</v>
      </c>
    </row>
    <row r="52212" customFormat="false" ht="12.8" hidden="false" customHeight="false" outlineLevel="0" collapsed="false">
      <c r="A52212" s="0" t="s">
        <v>18343</v>
      </c>
      <c r="B52212" s="0" t="str">
        <f aca="false">HYPERLINK("https://lindat.mff.cuni.cz/services/teitok/pdtc10/index.php?action=vallex&amp;frame=v-w7407f2_ZU", "utržit (v-w7407f2_ZU)")</f>
        <v>utržit (v-w7407f2_ZU)</v>
      </c>
    </row>
    <row r="52213" customFormat="false" ht="12.8" hidden="false" customHeight="false" outlineLevel="0" collapsed="false">
      <c r="B52213" s="0" t="s">
        <v>7</v>
      </c>
      <c r="C52213" s="0" t="s">
        <v>2344</v>
      </c>
    </row>
    <row r="52214" customFormat="false" ht="12.8" hidden="false" customHeight="false" outlineLevel="0" collapsed="false">
      <c r="B52214" s="0" t="s">
        <v>14</v>
      </c>
      <c r="C52214" s="0" t="s">
        <v>9777</v>
      </c>
    </row>
    <row r="52216" customFormat="false" ht="12.8" hidden="false" customHeight="false" outlineLevel="0" collapsed="false">
      <c r="A52216" s="0" t="s">
        <v>18343</v>
      </c>
      <c r="B52216" s="0" t="str">
        <f aca="false">HYPERLINK("https://lindat.mff.cuni.cz/services/teitok/pdtc10/index.php?action=vallex&amp;frame=v-w7407hsa_1168", "utržit (v-w7407hsa_1168) - substituted with v-w7407f2_ZU")</f>
        <v>utržit (v-w7407hsa_1168) - substituted with v-w7407f2_ZU</v>
      </c>
    </row>
    <row r="52217" customFormat="false" ht="12.8" hidden="false" customHeight="false" outlineLevel="0" collapsed="false">
      <c r="B52217" s="0" t="s">
        <v>7</v>
      </c>
    </row>
    <row r="52218" customFormat="false" ht="12.8" hidden="false" customHeight="false" outlineLevel="0" collapsed="false">
      <c r="B52218" s="0" t="s">
        <v>14</v>
      </c>
    </row>
    <row r="52220" customFormat="false" ht="12.8" hidden="false" customHeight="false" outlineLevel="0" collapsed="false">
      <c r="A52220" s="0" t="s">
        <v>18344</v>
      </c>
      <c r="B52220" s="0" t="str">
        <f aca="false">HYPERLINK("https://lindat.mff.cuni.cz/services/teitok/pdtc10/index.php?action=vallex&amp;frame=v-w7409f1", "utuchat (v-w7409f1)")</f>
        <v>utuchat (v-w7409f1)</v>
      </c>
    </row>
    <row r="52221" customFormat="false" ht="12.8" hidden="false" customHeight="false" outlineLevel="0" collapsed="false">
      <c r="B52221" s="0" t="s">
        <v>7</v>
      </c>
    </row>
    <row r="52223" customFormat="false" ht="12.8" hidden="false" customHeight="false" outlineLevel="0" collapsed="false">
      <c r="A52223" s="0" t="s">
        <v>18345</v>
      </c>
      <c r="B52223" s="0" t="str">
        <f aca="false">HYPERLINK("https://lindat.mff.cuni.cz/services/teitok/pdtc10/index.php?action=vallex&amp;frame=v-w7410f1", "ututlat (v-w7410f1)")</f>
        <v>ututlat (v-w7410f1)</v>
      </c>
    </row>
    <row r="52224" customFormat="false" ht="12.8" hidden="false" customHeight="false" outlineLevel="0" collapsed="false">
      <c r="B52224" s="0" t="s">
        <v>7</v>
      </c>
    </row>
    <row r="52225" customFormat="false" ht="12.8" hidden="false" customHeight="false" outlineLevel="0" collapsed="false">
      <c r="B52225" s="0" t="s">
        <v>3742</v>
      </c>
    </row>
    <row r="52226" customFormat="false" ht="12.8" hidden="false" customHeight="false" outlineLevel="0" collapsed="false">
      <c r="B52226" s="0" t="s">
        <v>3743</v>
      </c>
    </row>
    <row r="52228" customFormat="false" ht="12.8" hidden="false" customHeight="false" outlineLevel="0" collapsed="false">
      <c r="A52228" s="0" t="s">
        <v>18346</v>
      </c>
      <c r="B52228" s="0" t="str">
        <f aca="false">HYPERLINK("https://lindat.mff.cuni.cz/services/teitok/pdtc10/index.php?action=vallex&amp;frame=v-w10373f3", "utužit (v-w10373f3)")</f>
        <v>utužit (v-w10373f3)</v>
      </c>
    </row>
    <row r="52229" customFormat="false" ht="12.8" hidden="false" customHeight="false" outlineLevel="0" collapsed="false">
      <c r="B52229" s="0" t="s">
        <v>7</v>
      </c>
      <c r="C52229" s="0" t="s">
        <v>108</v>
      </c>
      <c r="D52229" s="0" t="s">
        <v>10736</v>
      </c>
      <c r="E52229" s="0" t="s">
        <v>10736</v>
      </c>
      <c r="F52229" s="0" t="s">
        <v>10736</v>
      </c>
    </row>
    <row r="52230" customFormat="false" ht="12.8" hidden="false" customHeight="false" outlineLevel="0" collapsed="false">
      <c r="B52230" s="0" t="s">
        <v>14</v>
      </c>
      <c r="C52230" s="0" t="s">
        <v>624</v>
      </c>
      <c r="D52230" s="0" t="s">
        <v>7533</v>
      </c>
      <c r="E52230" s="0" t="s">
        <v>7533</v>
      </c>
      <c r="F52230" s="0" t="s">
        <v>7533</v>
      </c>
    </row>
    <row r="52232" customFormat="false" ht="12.8" hidden="false" customHeight="false" outlineLevel="0" collapsed="false">
      <c r="A52232" s="0" t="s">
        <v>18347</v>
      </c>
      <c r="B52232" s="0" t="str">
        <f aca="false">HYPERLINK("https://lindat.mff.cuni.cz/services/teitok/pdtc10/index.php?action=vallex&amp;frame=v-w10374f3", "utužovat (v-w10374f3)")</f>
        <v>utužovat (v-w10374f3)</v>
      </c>
    </row>
    <row r="52233" customFormat="false" ht="12.8" hidden="false" customHeight="false" outlineLevel="0" collapsed="false">
      <c r="B52233" s="0" t="s">
        <v>7</v>
      </c>
      <c r="C52233" s="0" t="s">
        <v>504</v>
      </c>
      <c r="D52233" s="0" t="s">
        <v>10736</v>
      </c>
      <c r="E52233" s="0" t="s">
        <v>10736</v>
      </c>
      <c r="F52233" s="0" t="s">
        <v>10736</v>
      </c>
    </row>
    <row r="52234" customFormat="false" ht="12.8" hidden="false" customHeight="false" outlineLevel="0" collapsed="false">
      <c r="B52234" s="0" t="s">
        <v>14</v>
      </c>
      <c r="C52234" s="0" t="s">
        <v>488</v>
      </c>
      <c r="D52234" s="0" t="s">
        <v>7533</v>
      </c>
      <c r="E52234" s="0" t="s">
        <v>7533</v>
      </c>
      <c r="F52234" s="0" t="s">
        <v>7533</v>
      </c>
    </row>
    <row r="52236" customFormat="false" ht="12.8" hidden="false" customHeight="false" outlineLevel="0" collapsed="false">
      <c r="A52236" s="0" t="s">
        <v>18348</v>
      </c>
      <c r="B52236" s="0" t="str">
        <f aca="false">HYPERLINK("https://lindat.mff.cuni.cz/services/teitok/pdtc10/index.php?action=vallex&amp;frame=v-w7415f1", "utvořit (v-w7415f1)")</f>
        <v>utvořit (v-w7415f1)</v>
      </c>
    </row>
    <row r="52237" customFormat="false" ht="12.8" hidden="false" customHeight="false" outlineLevel="0" collapsed="false">
      <c r="B52237" s="0" t="s">
        <v>7</v>
      </c>
      <c r="C52237" s="0" t="s">
        <v>16652</v>
      </c>
      <c r="D52237" s="0" t="s">
        <v>335</v>
      </c>
      <c r="E52237" s="0" t="s">
        <v>18349</v>
      </c>
      <c r="F52237" s="0" t="s">
        <v>18349</v>
      </c>
    </row>
    <row r="52238" customFormat="false" ht="12.8" hidden="false" customHeight="false" outlineLevel="0" collapsed="false">
      <c r="B52238" s="0" t="s">
        <v>14</v>
      </c>
      <c r="C52238" s="0" t="s">
        <v>7144</v>
      </c>
      <c r="D52238" s="0" t="s">
        <v>8609</v>
      </c>
      <c r="E52238" s="0" t="s">
        <v>18350</v>
      </c>
      <c r="F52238" s="0" t="s">
        <v>18350</v>
      </c>
    </row>
    <row r="52239" customFormat="false" ht="12.8" hidden="false" customHeight="false" outlineLevel="0" collapsed="false">
      <c r="B52239" s="0" t="s">
        <v>35</v>
      </c>
      <c r="C52239" s="0" t="s">
        <v>8048</v>
      </c>
      <c r="D52239" s="0" t="s">
        <v>18351</v>
      </c>
      <c r="E52239" s="0" t="s">
        <v>18352</v>
      </c>
      <c r="F52239" s="0" t="s">
        <v>18352</v>
      </c>
    </row>
    <row r="52241" customFormat="false" ht="12.8" hidden="false" customHeight="false" outlineLevel="0" collapsed="false">
      <c r="A52241" s="0" t="s">
        <v>18353</v>
      </c>
      <c r="B52241" s="0" t="str">
        <f aca="false">HYPERLINK("https://lindat.mff.cuni.cz/services/teitok/pdtc10/index.php?action=vallex&amp;frame=v-w7415f2_ZU", "utvořit (v-w7415f2_ZU)")</f>
        <v>utvořit (v-w7415f2_ZU)</v>
      </c>
    </row>
    <row r="52242" customFormat="false" ht="12.8" hidden="false" customHeight="false" outlineLevel="0" collapsed="false">
      <c r="B52242" s="0" t="s">
        <v>7</v>
      </c>
    </row>
    <row r="52243" customFormat="false" ht="12.8" hidden="false" customHeight="false" outlineLevel="0" collapsed="false">
      <c r="B52243" s="0" t="s">
        <v>18354</v>
      </c>
    </row>
    <row r="52245" customFormat="false" ht="12.8" hidden="false" customHeight="false" outlineLevel="0" collapsed="false">
      <c r="A52245" s="0" t="s">
        <v>18355</v>
      </c>
      <c r="B52245" s="0" t="str">
        <f aca="false">HYPERLINK("https://lindat.mff.cuni.cz/services/teitok/pdtc10/index.php?action=vallex&amp;frame=v-w11705_ZUf3_ZU", "utvořit se (v-w11705_ZUf3_ZU)")</f>
        <v>utvořit se (v-w11705_ZUf3_ZU)</v>
      </c>
    </row>
    <row r="52246" customFormat="false" ht="12.8" hidden="false" customHeight="false" outlineLevel="0" collapsed="false">
      <c r="B52246" s="0" t="s">
        <v>7</v>
      </c>
    </row>
    <row r="52247" customFormat="false" ht="12.8" hidden="false" customHeight="false" outlineLevel="0" collapsed="false">
      <c r="B52247" s="0" t="s">
        <v>581</v>
      </c>
    </row>
    <row r="52249" customFormat="false" ht="12.8" hidden="false" customHeight="false" outlineLevel="0" collapsed="false">
      <c r="A52249" s="0" t="s">
        <v>18355</v>
      </c>
      <c r="B52249" s="0" t="str">
        <f aca="false">HYPERLINK("https://lindat.mff.cuni.cz/services/teitok/pdtc10/index.php?action=vallex&amp;frame=v-w11705_ZUf1_ZU", "utvořit se (v-w11705_ZUf1_ZU) - substituted with v-w11705_ZUf3_ZU")</f>
        <v>utvořit se (v-w11705_ZUf1_ZU) - substituted with v-w11705_ZUf3_ZU</v>
      </c>
    </row>
    <row r="52250" customFormat="false" ht="12.8" hidden="false" customHeight="false" outlineLevel="0" collapsed="false">
      <c r="B52250" s="0" t="s">
        <v>7</v>
      </c>
    </row>
    <row r="52251" customFormat="false" ht="12.8" hidden="false" customHeight="false" outlineLevel="0" collapsed="false">
      <c r="B52251" s="0" t="s">
        <v>581</v>
      </c>
    </row>
    <row r="52253" customFormat="false" ht="12.8" hidden="false" customHeight="false" outlineLevel="0" collapsed="false">
      <c r="A52253" s="0" t="s">
        <v>18355</v>
      </c>
      <c r="B52253" s="0" t="str">
        <f aca="false">HYPERLINK("https://lindat.mff.cuni.cz/services/teitok/pdtc10/index.php?action=vallex&amp;frame=v-w11705_ZUf2_ZU", "utvořit se (v-w11705_ZUf2_ZU) - substituted with v-w11705_ZUf3_ZU")</f>
        <v>utvořit se (v-w11705_ZUf2_ZU) - substituted with v-w11705_ZUf3_ZU</v>
      </c>
    </row>
    <row r="52254" customFormat="false" ht="12.8" hidden="false" customHeight="false" outlineLevel="0" collapsed="false">
      <c r="B52254" s="0" t="s">
        <v>7</v>
      </c>
    </row>
    <row r="52255" customFormat="false" ht="12.8" hidden="false" customHeight="false" outlineLevel="0" collapsed="false">
      <c r="B52255" s="0" t="s">
        <v>581</v>
      </c>
    </row>
    <row r="52257" customFormat="false" ht="12.8" hidden="false" customHeight="false" outlineLevel="0" collapsed="false">
      <c r="A52257" s="0" t="s">
        <v>18356</v>
      </c>
      <c r="B52257" s="0" t="str">
        <f aca="false">HYPERLINK("https://lindat.mff.cuni.cz/services/teitok/pdtc10/index.php?action=vallex&amp;frame=v-w7416f1", "utvrdit (v-w7416f1)")</f>
        <v>utvrdit (v-w7416f1)</v>
      </c>
    </row>
    <row r="52258" customFormat="false" ht="12.8" hidden="false" customHeight="false" outlineLevel="0" collapsed="false">
      <c r="B52258" s="0" t="s">
        <v>7</v>
      </c>
      <c r="D52258" s="0" t="s">
        <v>309</v>
      </c>
      <c r="E52258" s="0" t="s">
        <v>309</v>
      </c>
      <c r="F52258" s="0" t="s">
        <v>309</v>
      </c>
    </row>
    <row r="52259" customFormat="false" ht="12.8" hidden="false" customHeight="false" outlineLevel="0" collapsed="false">
      <c r="B52259" s="0" t="s">
        <v>18357</v>
      </c>
      <c r="C52259" s="0" t="s">
        <v>155</v>
      </c>
      <c r="D52259" s="0" t="s">
        <v>14032</v>
      </c>
      <c r="E52259" s="0" t="s">
        <v>14032</v>
      </c>
      <c r="F52259" s="0" t="s">
        <v>14032</v>
      </c>
    </row>
    <row r="52260" customFormat="false" ht="12.8" hidden="false" customHeight="false" outlineLevel="0" collapsed="false">
      <c r="B52260" s="0" t="s">
        <v>81</v>
      </c>
      <c r="D52260" s="0" t="s">
        <v>17349</v>
      </c>
      <c r="E52260" s="0" t="s">
        <v>17349</v>
      </c>
      <c r="F52260" s="0" t="s">
        <v>17349</v>
      </c>
    </row>
    <row r="52262" customFormat="false" ht="12.8" hidden="false" customHeight="false" outlineLevel="0" collapsed="false">
      <c r="A52262" s="0" t="s">
        <v>18358</v>
      </c>
      <c r="B52262" s="0" t="str">
        <f aca="false">HYPERLINK("https://lindat.mff.cuni.cz/services/teitok/pdtc10/index.php?action=vallex&amp;frame=v-w7416hsa_174", "utvrdit (v-w7416hsa_174)")</f>
        <v>utvrdit (v-w7416hsa_174)</v>
      </c>
    </row>
    <row r="52263" customFormat="false" ht="12.8" hidden="false" customHeight="false" outlineLevel="0" collapsed="false">
      <c r="B52263" s="0" t="s">
        <v>7</v>
      </c>
      <c r="C52263" s="0" t="s">
        <v>184</v>
      </c>
    </row>
    <row r="52264" customFormat="false" ht="12.8" hidden="false" customHeight="false" outlineLevel="0" collapsed="false">
      <c r="B52264" s="0" t="s">
        <v>14</v>
      </c>
      <c r="C52264" s="0" t="s">
        <v>1170</v>
      </c>
    </row>
    <row r="52266" customFormat="false" ht="12.8" hidden="false" customHeight="false" outlineLevel="0" collapsed="false">
      <c r="A52266" s="0" t="s">
        <v>18359</v>
      </c>
      <c r="B52266" s="0" t="str">
        <f aca="false">HYPERLINK("https://lindat.mff.cuni.cz/services/teitok/pdtc10/index.php?action=vallex&amp;frame=v-w7417f2", "utvrzovat (v-w7417f2)")</f>
        <v>utvrzovat (v-w7417f2)</v>
      </c>
    </row>
    <row r="52267" customFormat="false" ht="12.8" hidden="false" customHeight="false" outlineLevel="0" collapsed="false">
      <c r="B52267" s="0" t="s">
        <v>7</v>
      </c>
    </row>
    <row r="52268" customFormat="false" ht="12.8" hidden="false" customHeight="false" outlineLevel="0" collapsed="false">
      <c r="B52268" s="0" t="s">
        <v>18360</v>
      </c>
    </row>
    <row r="52269" customFormat="false" ht="12.8" hidden="false" customHeight="false" outlineLevel="0" collapsed="false">
      <c r="B52269" s="0" t="s">
        <v>81</v>
      </c>
    </row>
    <row r="52271" customFormat="false" ht="12.8" hidden="false" customHeight="false" outlineLevel="0" collapsed="false">
      <c r="A52271" s="0" t="s">
        <v>18361</v>
      </c>
      <c r="B52271" s="0" t="str">
        <f aca="false">HYPERLINK("https://lindat.mff.cuni.cz/services/teitok/pdtc10/index.php?action=vallex&amp;frame=v-w7417f1", "utvrzovat (v-w7417f1)")</f>
        <v>utvrzovat (v-w7417f1)</v>
      </c>
    </row>
    <row r="52272" customFormat="false" ht="12.8" hidden="false" customHeight="false" outlineLevel="0" collapsed="false">
      <c r="B52272" s="0" t="s">
        <v>7</v>
      </c>
    </row>
    <row r="52273" customFormat="false" ht="12.8" hidden="false" customHeight="false" outlineLevel="0" collapsed="false">
      <c r="B52273" s="0" t="s">
        <v>2573</v>
      </c>
    </row>
    <row r="52274" customFormat="false" ht="12.8" hidden="false" customHeight="false" outlineLevel="0" collapsed="false">
      <c r="B52274" s="0" t="s">
        <v>106</v>
      </c>
    </row>
    <row r="52276" customFormat="false" ht="12.8" hidden="false" customHeight="false" outlineLevel="0" collapsed="false">
      <c r="A52276" s="0" t="s">
        <v>18362</v>
      </c>
      <c r="B52276" s="0" t="str">
        <f aca="false">HYPERLINK("https://lindat.mff.cuni.cz/services/teitok/pdtc10/index.php?action=vallex&amp;frame=v-w7412f1", "utvářet (v-w7412f1)")</f>
        <v>utvářet (v-w7412f1)</v>
      </c>
    </row>
    <row r="52277" customFormat="false" ht="12.8" hidden="false" customHeight="false" outlineLevel="0" collapsed="false">
      <c r="B52277" s="0" t="s">
        <v>7</v>
      </c>
      <c r="C52277" s="0" t="s">
        <v>335</v>
      </c>
      <c r="D52277" s="0" t="s">
        <v>335</v>
      </c>
      <c r="E52277" s="0" t="s">
        <v>335</v>
      </c>
      <c r="F52277" s="0" t="s">
        <v>335</v>
      </c>
    </row>
    <row r="52278" customFormat="false" ht="12.8" hidden="false" customHeight="false" outlineLevel="0" collapsed="false">
      <c r="B52278" s="0" t="s">
        <v>14</v>
      </c>
      <c r="C52278" s="0" t="s">
        <v>487</v>
      </c>
      <c r="D52278" s="0" t="s">
        <v>8609</v>
      </c>
      <c r="E52278" s="0" t="s">
        <v>8609</v>
      </c>
      <c r="F52278" s="0" t="s">
        <v>8609</v>
      </c>
    </row>
    <row r="52279" customFormat="false" ht="12.8" hidden="false" customHeight="false" outlineLevel="0" collapsed="false">
      <c r="B52279" s="0" t="s">
        <v>35</v>
      </c>
      <c r="D52279" s="0" t="s">
        <v>18351</v>
      </c>
      <c r="E52279" s="0" t="s">
        <v>18351</v>
      </c>
      <c r="F52279" s="0" t="s">
        <v>18351</v>
      </c>
    </row>
    <row r="52281" customFormat="false" ht="12.8" hidden="false" customHeight="false" outlineLevel="0" collapsed="false">
      <c r="A52281" s="0" t="s">
        <v>18363</v>
      </c>
      <c r="B52281" s="0" t="str">
        <f aca="false">HYPERLINK("https://lindat.mff.cuni.cz/services/teitok/pdtc10/index.php?action=vallex&amp;frame=v-w7413f1", "utvářet se (v-w7413f1)")</f>
        <v>utvářet se (v-w7413f1)</v>
      </c>
    </row>
    <row r="52282" customFormat="false" ht="12.8" hidden="false" customHeight="false" outlineLevel="0" collapsed="false">
      <c r="B52282" s="0" t="s">
        <v>7</v>
      </c>
    </row>
    <row r="52283" customFormat="false" ht="12.8" hidden="false" customHeight="false" outlineLevel="0" collapsed="false">
      <c r="B52283" s="0" t="s">
        <v>581</v>
      </c>
    </row>
    <row r="52285" customFormat="false" ht="12.8" hidden="false" customHeight="false" outlineLevel="0" collapsed="false">
      <c r="A52285" s="0" t="s">
        <v>18364</v>
      </c>
      <c r="B52285" s="0" t="str">
        <f aca="false">HYPERLINK("https://lindat.mff.cuni.cz/services/teitok/pdtc10/index.php?action=vallex&amp;frame=v-w7362f1", "utábořit se (v-w7362f1)")</f>
        <v>utábořit se (v-w7362f1)</v>
      </c>
    </row>
    <row r="52286" customFormat="false" ht="12.8" hidden="false" customHeight="false" outlineLevel="0" collapsed="false">
      <c r="B52286" s="0" t="s">
        <v>7</v>
      </c>
    </row>
    <row r="52287" customFormat="false" ht="12.8" hidden="false" customHeight="false" outlineLevel="0" collapsed="false">
      <c r="B52287" s="0" t="s">
        <v>11</v>
      </c>
    </row>
    <row r="52289" customFormat="false" ht="12.8" hidden="false" customHeight="false" outlineLevel="0" collapsed="false">
      <c r="A52289" s="0" t="s">
        <v>18365</v>
      </c>
      <c r="B52289" s="0" t="str">
        <f aca="false">HYPERLINK("https://lindat.mff.cuni.cz/services/teitok/pdtc10/index.php?action=vallex&amp;frame=v-w7363f2", "utáhnout (v-w7363f2)")</f>
        <v>utáhnout (v-w7363f2)</v>
      </c>
    </row>
    <row r="52290" customFormat="false" ht="12.8" hidden="false" customHeight="false" outlineLevel="0" collapsed="false">
      <c r="B52290" s="0" t="s">
        <v>7</v>
      </c>
    </row>
    <row r="52291" customFormat="false" ht="12.8" hidden="false" customHeight="false" outlineLevel="0" collapsed="false">
      <c r="B52291" s="0" t="s">
        <v>41</v>
      </c>
    </row>
    <row r="52292" customFormat="false" ht="12.8" hidden="false" customHeight="false" outlineLevel="0" collapsed="false">
      <c r="B52292" s="0" t="s">
        <v>81</v>
      </c>
    </row>
    <row r="52294" customFormat="false" ht="12.8" hidden="false" customHeight="false" outlineLevel="0" collapsed="false">
      <c r="A52294" s="0" t="s">
        <v>18366</v>
      </c>
      <c r="B52294" s="0" t="str">
        <f aca="false">HYPERLINK("https://lindat.mff.cuni.cz/services/teitok/pdtc10/index.php?action=vallex&amp;frame=v-w7363f4_ZU", "utáhnout (v-w7363f4_ZU)")</f>
        <v>utáhnout (v-w7363f4_ZU)</v>
      </c>
    </row>
    <row r="52295" customFormat="false" ht="12.8" hidden="false" customHeight="false" outlineLevel="0" collapsed="false">
      <c r="B52295" s="0" t="s">
        <v>7</v>
      </c>
      <c r="C52295" s="0" t="s">
        <v>118</v>
      </c>
    </row>
    <row r="52296" customFormat="false" ht="12.8" hidden="false" customHeight="false" outlineLevel="0" collapsed="false">
      <c r="B52296" s="0" t="s">
        <v>14</v>
      </c>
      <c r="C52296" s="0" t="s">
        <v>159</v>
      </c>
    </row>
    <row r="52297" customFormat="false" ht="12.8" hidden="false" customHeight="false" outlineLevel="0" collapsed="false">
      <c r="B52297" s="0" t="s">
        <v>35</v>
      </c>
    </row>
    <row r="52299" customFormat="false" ht="12.8" hidden="false" customHeight="false" outlineLevel="0" collapsed="false">
      <c r="A52299" s="0" t="s">
        <v>18366</v>
      </c>
      <c r="B52299" s="0" t="str">
        <f aca="false">HYPERLINK("https://lindat.mff.cuni.cz/services/teitok/pdtc10/index.php?action=vallex&amp;frame=v-w7363f3_ZU", "utáhnout (v-w7363f3_ZU) - substituted with v-w7363f4_ZU")</f>
        <v>utáhnout (v-w7363f3_ZU) - substituted with v-w7363f4_ZU</v>
      </c>
    </row>
    <row r="52300" customFormat="false" ht="12.8" hidden="false" customHeight="false" outlineLevel="0" collapsed="false">
      <c r="B52300" s="0" t="s">
        <v>7</v>
      </c>
    </row>
    <row r="52301" customFormat="false" ht="12.8" hidden="false" customHeight="false" outlineLevel="0" collapsed="false">
      <c r="B52301" s="0" t="s">
        <v>14</v>
      </c>
    </row>
    <row r="52302" customFormat="false" ht="12.8" hidden="false" customHeight="false" outlineLevel="0" collapsed="false">
      <c r="B52302" s="0" t="s">
        <v>35</v>
      </c>
    </row>
    <row r="52304" customFormat="false" ht="12.8" hidden="false" customHeight="false" outlineLevel="0" collapsed="false">
      <c r="A52304" s="0" t="s">
        <v>18367</v>
      </c>
      <c r="B52304" s="0" t="str">
        <f aca="false">HYPERLINK("https://lindat.mff.cuni.cz/services/teitok/pdtc10/index.php?action=vallex&amp;frame=v-w7363f1", "utáhnout (v-w7363f1)")</f>
        <v>utáhnout (v-w7363f1)</v>
      </c>
    </row>
    <row r="52305" customFormat="false" ht="12.8" hidden="false" customHeight="false" outlineLevel="0" collapsed="false">
      <c r="B52305" s="0" t="s">
        <v>7</v>
      </c>
      <c r="C52305" s="0" t="s">
        <v>184</v>
      </c>
      <c r="D52305" s="0" t="s">
        <v>22</v>
      </c>
      <c r="E52305" s="0" t="s">
        <v>22</v>
      </c>
      <c r="F52305" s="0" t="s">
        <v>22</v>
      </c>
    </row>
    <row r="52306" customFormat="false" ht="12.8" hidden="false" customHeight="false" outlineLevel="0" collapsed="false">
      <c r="B52306" s="0" t="s">
        <v>14</v>
      </c>
      <c r="C52306" s="0" t="s">
        <v>47</v>
      </c>
      <c r="D52306" s="0" t="s">
        <v>466</v>
      </c>
      <c r="E52306" s="0" t="s">
        <v>466</v>
      </c>
      <c r="F52306" s="0" t="s">
        <v>466</v>
      </c>
    </row>
    <row r="52308" customFormat="false" ht="12.8" hidden="false" customHeight="false" outlineLevel="0" collapsed="false">
      <c r="A52308" s="0" t="s">
        <v>18368</v>
      </c>
      <c r="B52308" s="0" t="str">
        <f aca="false">HYPERLINK("https://lindat.mff.cuni.cz/services/teitok/pdtc10/index.php?action=vallex&amp;frame=v-w11250f1", "utápět se (v-w11250f1)")</f>
        <v>utápět se (v-w11250f1)</v>
      </c>
    </row>
    <row r="52309" customFormat="false" ht="12.8" hidden="false" customHeight="false" outlineLevel="0" collapsed="false">
      <c r="B52309" s="0" t="s">
        <v>7</v>
      </c>
      <c r="C52309" s="0" t="s">
        <v>247</v>
      </c>
      <c r="D52309" s="0" t="s">
        <v>335</v>
      </c>
      <c r="E52309" s="0" t="s">
        <v>335</v>
      </c>
      <c r="F52309" s="0" t="s">
        <v>335</v>
      </c>
    </row>
    <row r="52311" customFormat="false" ht="12.8" hidden="false" customHeight="false" outlineLevel="0" collapsed="false">
      <c r="A52311" s="0" t="s">
        <v>18369</v>
      </c>
      <c r="B52311" s="0" t="str">
        <f aca="false">HYPERLINK("https://lindat.mff.cuni.cz/services/teitok/pdtc10/index.php?action=vallex&amp;frame=v-w7370f2", "utéci (v-w7370f2)")</f>
        <v>utéci (v-w7370f2)</v>
      </c>
    </row>
    <row r="52312" customFormat="false" ht="12.8" hidden="false" customHeight="false" outlineLevel="0" collapsed="false">
      <c r="B52312" s="0" t="s">
        <v>603</v>
      </c>
      <c r="C52312" s="0" t="s">
        <v>6540</v>
      </c>
      <c r="D52312" s="0" t="s">
        <v>18370</v>
      </c>
      <c r="E52312" s="0" t="s">
        <v>18370</v>
      </c>
      <c r="F52312" s="0" t="s">
        <v>18370</v>
      </c>
    </row>
    <row r="52313" customFormat="false" ht="12.8" hidden="false" customHeight="false" outlineLevel="0" collapsed="false">
      <c r="B52313" s="0" t="s">
        <v>17678</v>
      </c>
      <c r="C52313" s="0" t="s">
        <v>6319</v>
      </c>
      <c r="D52313" s="0" t="s">
        <v>18371</v>
      </c>
      <c r="E52313" s="0" t="s">
        <v>18371</v>
      </c>
      <c r="F52313" s="0" t="s">
        <v>18371</v>
      </c>
    </row>
    <row r="52315" customFormat="false" ht="12.8" hidden="false" customHeight="false" outlineLevel="0" collapsed="false">
      <c r="A52315" s="0" t="s">
        <v>18372</v>
      </c>
      <c r="B52315" s="0" t="str">
        <f aca="false">HYPERLINK("https://lindat.mff.cuni.cz/services/teitok/pdtc10/index.php?action=vallex&amp;frame=v-w7370f1", "utéci (v-w7370f1)")</f>
        <v>utéci (v-w7370f1)</v>
      </c>
    </row>
    <row r="52316" customFormat="false" ht="12.8" hidden="false" customHeight="false" outlineLevel="0" collapsed="false">
      <c r="B52316" s="0" t="s">
        <v>7</v>
      </c>
      <c r="C52316" s="0" t="s">
        <v>9055</v>
      </c>
    </row>
    <row r="52317" customFormat="false" ht="12.8" hidden="false" customHeight="false" outlineLevel="0" collapsed="false">
      <c r="B52317" s="0" t="s">
        <v>11530</v>
      </c>
    </row>
    <row r="52319" customFormat="false" ht="12.8" hidden="false" customHeight="false" outlineLevel="0" collapsed="false">
      <c r="A52319" s="0" t="s">
        <v>18373</v>
      </c>
      <c r="B52319" s="0" t="str">
        <f aca="false">HYPERLINK("https://lindat.mff.cuni.cz/services/teitok/pdtc10/index.php?action=vallex&amp;frame=v-w7370f3", "utéci (v-w7370f3)")</f>
        <v>utéci (v-w7370f3)</v>
      </c>
    </row>
    <row r="52320" customFormat="false" ht="12.8" hidden="false" customHeight="false" outlineLevel="0" collapsed="false">
      <c r="B52320" s="0" t="s">
        <v>7</v>
      </c>
      <c r="F52320" s="0" t="s">
        <v>5375</v>
      </c>
    </row>
    <row r="52322" customFormat="false" ht="12.8" hidden="false" customHeight="false" outlineLevel="0" collapsed="false">
      <c r="A52322" s="0" t="s">
        <v>18374</v>
      </c>
      <c r="B52322" s="0" t="str">
        <f aca="false">HYPERLINK("https://lindat.mff.cuni.cz/services/teitok/pdtc10/index.php?action=vallex&amp;frame=v-w7371f1", "utéci se (v-w7371f1)")</f>
        <v>utéci se (v-w7371f1)</v>
      </c>
    </row>
    <row r="52323" customFormat="false" ht="12.8" hidden="false" customHeight="false" outlineLevel="0" collapsed="false">
      <c r="B52323" s="0" t="s">
        <v>7</v>
      </c>
      <c r="E52323" s="0" t="s">
        <v>3190</v>
      </c>
      <c r="F52323" s="0" t="s">
        <v>3190</v>
      </c>
    </row>
    <row r="52324" customFormat="false" ht="12.8" hidden="false" customHeight="false" outlineLevel="0" collapsed="false">
      <c r="B52324" s="0" t="s">
        <v>124</v>
      </c>
    </row>
    <row r="52326" customFormat="false" ht="12.8" hidden="false" customHeight="false" outlineLevel="0" collapsed="false">
      <c r="A52326" s="0" t="s">
        <v>18375</v>
      </c>
      <c r="B52326" s="0" t="str">
        <f aca="false">HYPERLINK("https://lindat.mff.cuni.cz/services/teitok/pdtc10/index.php?action=vallex&amp;frame=v-w7376f1", "utíkat (v-w7376f1)")</f>
        <v>utíkat (v-w7376f1)</v>
      </c>
    </row>
    <row r="52327" customFormat="false" ht="12.8" hidden="false" customHeight="false" outlineLevel="0" collapsed="false">
      <c r="B52327" s="0" t="s">
        <v>7</v>
      </c>
      <c r="C52327" s="0" t="s">
        <v>18376</v>
      </c>
    </row>
    <row r="52328" customFormat="false" ht="12.8" hidden="false" customHeight="false" outlineLevel="0" collapsed="false">
      <c r="B52328" s="0" t="s">
        <v>11530</v>
      </c>
    </row>
    <row r="52330" customFormat="false" ht="12.8" hidden="false" customHeight="false" outlineLevel="0" collapsed="false">
      <c r="A52330" s="0" t="s">
        <v>18377</v>
      </c>
      <c r="B52330" s="0" t="str">
        <f aca="false">HYPERLINK("https://lindat.mff.cuni.cz/services/teitok/pdtc10/index.php?action=vallex&amp;frame=v-w7376f2", "utíkat (v-w7376f2)")</f>
        <v>utíkat (v-w7376f2)</v>
      </c>
    </row>
    <row r="52331" customFormat="false" ht="12.8" hidden="false" customHeight="false" outlineLevel="0" collapsed="false">
      <c r="B52331" s="0" t="s">
        <v>7</v>
      </c>
      <c r="F52331" s="0" t="s">
        <v>5375</v>
      </c>
    </row>
    <row r="52333" customFormat="false" ht="12.8" hidden="false" customHeight="false" outlineLevel="0" collapsed="false">
      <c r="A52333" s="0" t="s">
        <v>18378</v>
      </c>
      <c r="B52333" s="0" t="str">
        <f aca="false">HYPERLINK("https://lindat.mff.cuni.cz/services/teitok/pdtc10/index.php?action=vallex&amp;frame=v-w7376f3_ZU", "utíkat (v-w7376f3_ZU)")</f>
        <v>utíkat (v-w7376f3_ZU)</v>
      </c>
    </row>
    <row r="52334" customFormat="false" ht="12.8" hidden="false" customHeight="false" outlineLevel="0" collapsed="false">
      <c r="B52334" s="0" t="s">
        <v>7</v>
      </c>
    </row>
    <row r="52335" customFormat="false" ht="12.8" hidden="false" customHeight="false" outlineLevel="0" collapsed="false">
      <c r="B52335" s="0" t="s">
        <v>124</v>
      </c>
    </row>
    <row r="52337" customFormat="false" ht="12.8" hidden="false" customHeight="false" outlineLevel="0" collapsed="false">
      <c r="A52337" s="0" t="s">
        <v>18378</v>
      </c>
      <c r="B52337" s="0" t="str">
        <f aca="false">HYPERLINK("https://lindat.mff.cuni.cz/services/teitok/pdtc10/index.php?action=vallex&amp;frame=v-w7376hsa_1694", "utíkat (v-w7376hsa_1694) - substituted with v-w7376f3_ZU")</f>
        <v>utíkat (v-w7376hsa_1694) - substituted with v-w7376f3_ZU</v>
      </c>
    </row>
    <row r="52338" customFormat="false" ht="12.8" hidden="false" customHeight="false" outlineLevel="0" collapsed="false">
      <c r="B52338" s="0" t="s">
        <v>7</v>
      </c>
    </row>
    <row r="52339" customFormat="false" ht="12.8" hidden="false" customHeight="false" outlineLevel="0" collapsed="false">
      <c r="B52339" s="0" t="s">
        <v>124</v>
      </c>
    </row>
    <row r="52341" customFormat="false" ht="12.8" hidden="false" customHeight="false" outlineLevel="0" collapsed="false">
      <c r="A52341" s="0" t="s">
        <v>18379</v>
      </c>
      <c r="B52341" s="0" t="str">
        <f aca="false">HYPERLINK("https://lindat.mff.cuni.cz/services/teitok/pdtc10/index.php?action=vallex&amp;frame=v-w7377f1", "utírat (v-w7377f1)")</f>
        <v>utírat (v-w7377f1)</v>
      </c>
    </row>
    <row r="52342" customFormat="false" ht="12.8" hidden="false" customHeight="false" outlineLevel="0" collapsed="false">
      <c r="B52342" s="0" t="s">
        <v>7</v>
      </c>
      <c r="F52342" s="0" t="s">
        <v>46</v>
      </c>
    </row>
    <row r="52343" customFormat="false" ht="12.8" hidden="false" customHeight="false" outlineLevel="0" collapsed="false">
      <c r="B52343" s="0" t="s">
        <v>14</v>
      </c>
      <c r="F52343" s="0" t="s">
        <v>1170</v>
      </c>
    </row>
    <row r="52345" customFormat="false" ht="12.8" hidden="false" customHeight="false" outlineLevel="0" collapsed="false">
      <c r="A52345" s="0" t="s">
        <v>18380</v>
      </c>
      <c r="B52345" s="0" t="str">
        <f aca="false">HYPERLINK("https://lindat.mff.cuni.cz/services/teitok/pdtc10/index.php?action=vallex&amp;frame=v-w10583f2", "utěšit (v-w10583f2)")</f>
        <v>utěšit (v-w10583f2)</v>
      </c>
    </row>
    <row r="52346" customFormat="false" ht="12.8" hidden="false" customHeight="false" outlineLevel="0" collapsed="false">
      <c r="B52346" s="0" t="s">
        <v>7</v>
      </c>
      <c r="C52346" s="0" t="s">
        <v>46</v>
      </c>
      <c r="D52346" s="0" t="s">
        <v>1167</v>
      </c>
      <c r="E52346" s="0" t="s">
        <v>1167</v>
      </c>
      <c r="F52346" s="0" t="s">
        <v>1167</v>
      </c>
    </row>
    <row r="52347" customFormat="false" ht="12.8" hidden="false" customHeight="false" outlineLevel="0" collapsed="false">
      <c r="B52347" s="0" t="s">
        <v>14</v>
      </c>
      <c r="C52347" s="0" t="s">
        <v>47</v>
      </c>
      <c r="D52347" s="0" t="s">
        <v>1168</v>
      </c>
      <c r="E52347" s="0" t="s">
        <v>1168</v>
      </c>
      <c r="F52347" s="0" t="s">
        <v>1168</v>
      </c>
    </row>
    <row r="52349" customFormat="false" ht="12.8" hidden="false" customHeight="false" outlineLevel="0" collapsed="false">
      <c r="A52349" s="0" t="s">
        <v>18381</v>
      </c>
      <c r="B52349" s="0" t="str">
        <f aca="false">HYPERLINK("https://lindat.mff.cuni.cz/services/teitok/pdtc10/index.php?action=vallex&amp;frame=v-w7374f1", "utěšovat (v-w7374f1)")</f>
        <v>utěšovat (v-w7374f1)</v>
      </c>
    </row>
    <row r="52350" customFormat="false" ht="12.8" hidden="false" customHeight="false" outlineLevel="0" collapsed="false">
      <c r="B52350" s="0" t="s">
        <v>7</v>
      </c>
      <c r="C52350" s="0" t="s">
        <v>46</v>
      </c>
      <c r="E52350" s="0" t="s">
        <v>1167</v>
      </c>
      <c r="F52350" s="0" t="s">
        <v>1167</v>
      </c>
    </row>
    <row r="52351" customFormat="false" ht="12.8" hidden="false" customHeight="false" outlineLevel="0" collapsed="false">
      <c r="B52351" s="0" t="s">
        <v>14</v>
      </c>
      <c r="E52351" s="0" t="s">
        <v>1168</v>
      </c>
      <c r="F52351" s="0" t="s">
        <v>1168</v>
      </c>
    </row>
    <row r="52353" customFormat="false" ht="12.8" hidden="false" customHeight="false" outlineLevel="0" collapsed="false">
      <c r="A52353" s="0" t="s">
        <v>18382</v>
      </c>
      <c r="B52353" s="0" t="str">
        <f aca="false">HYPERLINK("https://lindat.mff.cuni.cz/services/teitok/pdtc10/index.php?action=vallex&amp;frame=v-w7408f1", "utřídit (v-w7408f1)")</f>
        <v>utřídit (v-w7408f1)</v>
      </c>
    </row>
    <row r="52354" customFormat="false" ht="12.8" hidden="false" customHeight="false" outlineLevel="0" collapsed="false">
      <c r="B52354" s="0" t="s">
        <v>7</v>
      </c>
    </row>
    <row r="52355" customFormat="false" ht="12.8" hidden="false" customHeight="false" outlineLevel="0" collapsed="false">
      <c r="B52355" s="0" t="s">
        <v>14</v>
      </c>
    </row>
    <row r="52356" customFormat="false" ht="12.8" hidden="false" customHeight="false" outlineLevel="0" collapsed="false">
      <c r="B52356" s="0" t="s">
        <v>37</v>
      </c>
    </row>
    <row r="52358" customFormat="false" ht="12.8" hidden="false" customHeight="false" outlineLevel="0" collapsed="false">
      <c r="A52358" s="0" t="s">
        <v>18383</v>
      </c>
      <c r="B52358" s="0" t="str">
        <f aca="false">HYPERLINK("https://lindat.mff.cuni.cz/services/teitok/pdtc10/index.php?action=vallex&amp;frame=v-w12317_MMf1_MM", "utřít (v-w12317_MMf1_MM)")</f>
        <v>utřít (v-w12317_MMf1_MM)</v>
      </c>
    </row>
    <row r="52359" customFormat="false" ht="12.8" hidden="false" customHeight="false" outlineLevel="0" collapsed="false">
      <c r="B52359" s="0" t="s">
        <v>7</v>
      </c>
    </row>
    <row r="52360" customFormat="false" ht="12.8" hidden="false" customHeight="false" outlineLevel="0" collapsed="false">
      <c r="B52360" s="0" t="s">
        <v>14</v>
      </c>
    </row>
    <row r="52362" customFormat="false" ht="12.8" hidden="false" customHeight="false" outlineLevel="0" collapsed="false">
      <c r="A52362" s="0" t="s">
        <v>18384</v>
      </c>
      <c r="B52362" s="0" t="str">
        <f aca="false">HYPERLINK("https://lindat.mff.cuni.cz/services/teitok/pdtc10/index.php?action=vallex&amp;frame=v-w10871f2", "uvadnout (v-w10871f2)")</f>
        <v>uvadnout (v-w10871f2)</v>
      </c>
    </row>
    <row r="52363" customFormat="false" ht="12.8" hidden="false" customHeight="false" outlineLevel="0" collapsed="false">
      <c r="B52363" s="0" t="s">
        <v>7</v>
      </c>
    </row>
    <row r="52365" customFormat="false" ht="12.8" hidden="false" customHeight="false" outlineLevel="0" collapsed="false">
      <c r="A52365" s="0" t="s">
        <v>18385</v>
      </c>
      <c r="B52365" s="0" t="str">
        <f aca="false">HYPERLINK("https://lindat.mff.cuni.cz/services/teitok/pdtc10/index.php?action=vallex&amp;frame=v-w10871f3_ZU", "uvadnout (v-w10871f3_ZU)")</f>
        <v>uvadnout (v-w10871f3_ZU)</v>
      </c>
    </row>
    <row r="52366" customFormat="false" ht="12.8" hidden="false" customHeight="false" outlineLevel="0" collapsed="false">
      <c r="B52366" s="0" t="s">
        <v>7</v>
      </c>
    </row>
    <row r="52368" customFormat="false" ht="12.8" hidden="false" customHeight="false" outlineLevel="0" collapsed="false">
      <c r="A52368" s="0" t="s">
        <v>18386</v>
      </c>
      <c r="B52368" s="0" t="str">
        <f aca="false">HYPERLINK("https://lindat.mff.cuni.cz/services/teitok/pdtc10/index.php?action=vallex&amp;frame=v-w7424f5_ZU", "uvalit (v-w7424f5_ZU)")</f>
        <v>uvalit (v-w7424f5_ZU)</v>
      </c>
    </row>
    <row r="52369" customFormat="false" ht="12.8" hidden="false" customHeight="false" outlineLevel="0" collapsed="false">
      <c r="B52369" s="0" t="s">
        <v>641</v>
      </c>
      <c r="C52369" s="0" t="s">
        <v>3051</v>
      </c>
    </row>
    <row r="52370" customFormat="false" ht="12.8" hidden="false" customHeight="false" outlineLevel="0" collapsed="false">
      <c r="B52370" s="0" t="s">
        <v>14</v>
      </c>
      <c r="C52370" s="0" t="s">
        <v>26</v>
      </c>
    </row>
    <row r="52371" customFormat="false" ht="12.8" hidden="false" customHeight="false" outlineLevel="0" collapsed="false">
      <c r="B52371" s="0" t="s">
        <v>122</v>
      </c>
      <c r="C52371" s="0" t="s">
        <v>3052</v>
      </c>
    </row>
    <row r="52373" customFormat="false" ht="12.8" hidden="false" customHeight="false" outlineLevel="0" collapsed="false">
      <c r="A52373" s="0" t="s">
        <v>18386</v>
      </c>
      <c r="B52373" s="0" t="str">
        <f aca="false">HYPERLINK("https://lindat.mff.cuni.cz/services/teitok/pdtc10/index.php?action=vallex&amp;frame=v-w7424f2", "uvalit (v-w7424f2) - substituted with v-w7424f5_ZU")</f>
        <v>uvalit (v-w7424f2) - substituted with v-w7424f5_ZU</v>
      </c>
    </row>
    <row r="52374" customFormat="false" ht="12.8" hidden="false" customHeight="false" outlineLevel="0" collapsed="false">
      <c r="B52374" s="0" t="s">
        <v>641</v>
      </c>
      <c r="C52374" s="0" t="s">
        <v>2668</v>
      </c>
    </row>
    <row r="52375" customFormat="false" ht="12.8" hidden="false" customHeight="false" outlineLevel="0" collapsed="false">
      <c r="B52375" s="0" t="s">
        <v>14</v>
      </c>
      <c r="C52375" s="0" t="s">
        <v>18387</v>
      </c>
    </row>
    <row r="52376" customFormat="false" ht="12.8" hidden="false" customHeight="false" outlineLevel="0" collapsed="false">
      <c r="B52376" s="0" t="s">
        <v>122</v>
      </c>
      <c r="C52376" s="0" t="s">
        <v>18388</v>
      </c>
    </row>
    <row r="52378" customFormat="false" ht="12.8" hidden="false" customHeight="false" outlineLevel="0" collapsed="false">
      <c r="A52378" s="0" t="s">
        <v>18389</v>
      </c>
      <c r="B52378" s="0" t="str">
        <f aca="false">HYPERLINK("https://lindat.mff.cuni.cz/services/teitok/pdtc10/index.php?action=vallex&amp;frame=v-w7424f6_ZU", "uvalit (v-w7424f6_ZU)")</f>
        <v>uvalit (v-w7424f6_ZU)</v>
      </c>
    </row>
    <row r="52379" customFormat="false" ht="12.8" hidden="false" customHeight="false" outlineLevel="0" collapsed="false">
      <c r="B52379" s="0" t="s">
        <v>7</v>
      </c>
      <c r="C52379" s="0" t="s">
        <v>56</v>
      </c>
    </row>
    <row r="52380" customFormat="false" ht="12.8" hidden="false" customHeight="false" outlineLevel="0" collapsed="false">
      <c r="B52380" s="0" t="s">
        <v>18390</v>
      </c>
      <c r="C52380" s="0" t="s">
        <v>6639</v>
      </c>
    </row>
    <row r="52381" customFormat="false" ht="12.8" hidden="false" customHeight="false" outlineLevel="0" collapsed="false">
      <c r="B52381" s="0" t="s">
        <v>18391</v>
      </c>
      <c r="C52381" s="0" t="s">
        <v>18392</v>
      </c>
    </row>
    <row r="52383" customFormat="false" ht="12.8" hidden="false" customHeight="false" outlineLevel="0" collapsed="false">
      <c r="A52383" s="0" t="s">
        <v>18389</v>
      </c>
      <c r="B52383" s="0" t="str">
        <f aca="false">HYPERLINK("https://lindat.mff.cuni.cz/services/teitok/pdtc10/index.php?action=vallex&amp;frame=v-w7424f1", "uvalit (v-w7424f1) - substituted with v-w7424f6_ZU")</f>
        <v>uvalit (v-w7424f1) - substituted with v-w7424f6_ZU</v>
      </c>
    </row>
    <row r="52384" customFormat="false" ht="12.8" hidden="false" customHeight="false" outlineLevel="0" collapsed="false">
      <c r="B52384" s="0" t="s">
        <v>7</v>
      </c>
      <c r="C52384" s="0" t="s">
        <v>3051</v>
      </c>
    </row>
    <row r="52385" customFormat="false" ht="12.8" hidden="false" customHeight="false" outlineLevel="0" collapsed="false">
      <c r="B52385" s="0" t="s">
        <v>18390</v>
      </c>
      <c r="C52385" s="0" t="s">
        <v>1462</v>
      </c>
    </row>
    <row r="52386" customFormat="false" ht="12.8" hidden="false" customHeight="false" outlineLevel="0" collapsed="false">
      <c r="B52386" s="0" t="s">
        <v>18391</v>
      </c>
      <c r="C52386" s="0" t="s">
        <v>3052</v>
      </c>
    </row>
    <row r="52388" customFormat="false" ht="12.8" hidden="false" customHeight="false" outlineLevel="0" collapsed="false">
      <c r="A52388" s="0" t="s">
        <v>18389</v>
      </c>
      <c r="B52388" s="0" t="str">
        <f aca="false">HYPERLINK("https://lindat.mff.cuni.cz/services/teitok/pdtc10/index.php?action=vallex&amp;frame=v-w7424f3", "uvalit (v-w7424f3) - substituted with v-w7424f6_ZU")</f>
        <v>uvalit (v-w7424f3) - substituted with v-w7424f6_ZU</v>
      </c>
    </row>
    <row r="52389" customFormat="false" ht="12.8" hidden="false" customHeight="false" outlineLevel="0" collapsed="false">
      <c r="B52389" s="0" t="s">
        <v>7</v>
      </c>
      <c r="C52389" s="0" t="s">
        <v>3051</v>
      </c>
    </row>
    <row r="52390" customFormat="false" ht="12.8" hidden="false" customHeight="false" outlineLevel="0" collapsed="false">
      <c r="B52390" s="0" t="s">
        <v>18390</v>
      </c>
      <c r="C52390" s="0" t="s">
        <v>1462</v>
      </c>
    </row>
    <row r="52391" customFormat="false" ht="12.8" hidden="false" customHeight="false" outlineLevel="0" collapsed="false">
      <c r="B52391" s="0" t="s">
        <v>18391</v>
      </c>
      <c r="C52391" s="0" t="s">
        <v>3052</v>
      </c>
    </row>
    <row r="52393" customFormat="false" ht="12.8" hidden="false" customHeight="false" outlineLevel="0" collapsed="false">
      <c r="A52393" s="0" t="s">
        <v>18389</v>
      </c>
      <c r="B52393" s="0" t="str">
        <f aca="false">HYPERLINK("https://lindat.mff.cuni.cz/services/teitok/pdtc10/index.php?action=vallex&amp;frame=v-w7424f4_ZU", "uvalit (v-w7424f4_ZU) - substituted with v-w7424f6_ZU")</f>
        <v>uvalit (v-w7424f4_ZU) - substituted with v-w7424f6_ZU</v>
      </c>
    </row>
    <row r="52394" customFormat="false" ht="12.8" hidden="false" customHeight="false" outlineLevel="0" collapsed="false">
      <c r="B52394" s="0" t="s">
        <v>7</v>
      </c>
      <c r="C52394" s="0" t="s">
        <v>1226</v>
      </c>
    </row>
    <row r="52395" customFormat="false" ht="12.8" hidden="false" customHeight="false" outlineLevel="0" collapsed="false">
      <c r="B52395" s="0" t="s">
        <v>18390</v>
      </c>
      <c r="C52395" s="0" t="s">
        <v>10127</v>
      </c>
    </row>
    <row r="52396" customFormat="false" ht="12.8" hidden="false" customHeight="false" outlineLevel="0" collapsed="false">
      <c r="B52396" s="0" t="s">
        <v>18391</v>
      </c>
      <c r="C52396" s="0" t="s">
        <v>3052</v>
      </c>
    </row>
    <row r="52398" customFormat="false" ht="12.8" hidden="false" customHeight="false" outlineLevel="0" collapsed="false">
      <c r="A52398" s="0" t="s">
        <v>18389</v>
      </c>
      <c r="B52398" s="0" t="str">
        <f aca="false">HYPERLINK("https://lindat.mff.cuni.cz/services/teitok/pdtc10/index.php?action=vallex&amp;frame=v-w7424hsa_239", "uvalit (v-w7424hsa_239) - substituted with v-w7424f6_ZU")</f>
        <v>uvalit (v-w7424hsa_239) - substituted with v-w7424f6_ZU</v>
      </c>
    </row>
    <row r="52399" customFormat="false" ht="12.8" hidden="false" customHeight="false" outlineLevel="0" collapsed="false">
      <c r="B52399" s="0" t="s">
        <v>7</v>
      </c>
      <c r="C52399" s="0" t="s">
        <v>1226</v>
      </c>
    </row>
    <row r="52400" customFormat="false" ht="12.8" hidden="false" customHeight="false" outlineLevel="0" collapsed="false">
      <c r="B52400" s="0" t="s">
        <v>18390</v>
      </c>
      <c r="C52400" s="0" t="s">
        <v>18393</v>
      </c>
    </row>
    <row r="52401" customFormat="false" ht="12.8" hidden="false" customHeight="false" outlineLevel="0" collapsed="false">
      <c r="B52401" s="0" t="s">
        <v>18391</v>
      </c>
      <c r="C52401" s="0" t="s">
        <v>3052</v>
      </c>
    </row>
    <row r="52403" customFormat="false" ht="12.8" hidden="false" customHeight="false" outlineLevel="0" collapsed="false">
      <c r="A52403" s="0" t="s">
        <v>18394</v>
      </c>
      <c r="B52403" s="0" t="str">
        <f aca="false">HYPERLINK("https://lindat.mff.cuni.cz/services/teitok/pdtc10/index.php?action=vallex&amp;frame=v-w10192f4", "uvalovat (v-w10192f4)")</f>
        <v>uvalovat (v-w10192f4)</v>
      </c>
    </row>
    <row r="52404" customFormat="false" ht="12.8" hidden="false" customHeight="false" outlineLevel="0" collapsed="false">
      <c r="B52404" s="0" t="s">
        <v>641</v>
      </c>
    </row>
    <row r="52405" customFormat="false" ht="12.8" hidden="false" customHeight="false" outlineLevel="0" collapsed="false">
      <c r="B52405" s="0" t="s">
        <v>14</v>
      </c>
    </row>
    <row r="52406" customFormat="false" ht="12.8" hidden="false" customHeight="false" outlineLevel="0" collapsed="false">
      <c r="B52406" s="0" t="s">
        <v>122</v>
      </c>
    </row>
    <row r="52408" customFormat="false" ht="12.8" hidden="false" customHeight="false" outlineLevel="0" collapsed="false">
      <c r="A52408" s="0" t="s">
        <v>18395</v>
      </c>
      <c r="B52408" s="0" t="str">
        <f aca="false">HYPERLINK("https://lindat.mff.cuni.cz/services/teitok/pdtc10/index.php?action=vallex&amp;frame=v-w10192f5", "uvalovat (v-w10192f5)")</f>
        <v>uvalovat (v-w10192f5)</v>
      </c>
    </row>
    <row r="52409" customFormat="false" ht="12.8" hidden="false" customHeight="false" outlineLevel="0" collapsed="false">
      <c r="B52409" s="0" t="s">
        <v>7</v>
      </c>
      <c r="C52409" s="0" t="s">
        <v>3051</v>
      </c>
    </row>
    <row r="52410" customFormat="false" ht="12.8" hidden="false" customHeight="false" outlineLevel="0" collapsed="false">
      <c r="B52410" s="0" t="s">
        <v>18396</v>
      </c>
      <c r="C52410" s="0" t="s">
        <v>1462</v>
      </c>
    </row>
    <row r="52411" customFormat="false" ht="12.8" hidden="false" customHeight="false" outlineLevel="0" collapsed="false">
      <c r="B52411" s="0" t="s">
        <v>18391</v>
      </c>
      <c r="C52411" s="0" t="s">
        <v>3052</v>
      </c>
    </row>
    <row r="52413" customFormat="false" ht="12.8" hidden="false" customHeight="false" outlineLevel="0" collapsed="false">
      <c r="A52413" s="0" t="s">
        <v>18397</v>
      </c>
      <c r="B52413" s="0" t="str">
        <f aca="false">HYPERLINK("https://lindat.mff.cuni.cz/services/teitok/pdtc10/index.php?action=vallex&amp;frame=v-w7426f1", "uvařit (v-w7426f1)")</f>
        <v>uvařit (v-w7426f1)</v>
      </c>
    </row>
    <row r="52414" customFormat="false" ht="12.8" hidden="false" customHeight="false" outlineLevel="0" collapsed="false">
      <c r="B52414" s="0" t="s">
        <v>7</v>
      </c>
      <c r="F52414" s="0" t="s">
        <v>1287</v>
      </c>
    </row>
    <row r="52415" customFormat="false" ht="12.8" hidden="false" customHeight="false" outlineLevel="0" collapsed="false">
      <c r="B52415" s="0" t="s">
        <v>14</v>
      </c>
      <c r="F52415" s="0" t="s">
        <v>1289</v>
      </c>
    </row>
    <row r="52416" customFormat="false" ht="12.8" hidden="false" customHeight="false" outlineLevel="0" collapsed="false">
      <c r="B52416" s="0" t="s">
        <v>35</v>
      </c>
    </row>
    <row r="52418" customFormat="false" ht="12.8" hidden="false" customHeight="false" outlineLevel="0" collapsed="false">
      <c r="A52418" s="0" t="s">
        <v>18398</v>
      </c>
      <c r="B52418" s="0" t="str">
        <f aca="false">HYPERLINK("https://lindat.mff.cuni.cz/services/teitok/pdtc10/index.php?action=vallex&amp;frame=v-w7426f2_ZU", "uvařit (v-w7426f2_ZU)")</f>
        <v>uvařit (v-w7426f2_ZU)</v>
      </c>
    </row>
    <row r="52419" customFormat="false" ht="12.8" hidden="false" customHeight="false" outlineLevel="0" collapsed="false">
      <c r="B52419" s="0" t="s">
        <v>7</v>
      </c>
    </row>
    <row r="52420" customFormat="false" ht="12.8" hidden="false" customHeight="false" outlineLevel="0" collapsed="false">
      <c r="B52420" s="0" t="s">
        <v>14</v>
      </c>
    </row>
    <row r="52422" customFormat="false" ht="12.8" hidden="false" customHeight="false" outlineLevel="0" collapsed="false">
      <c r="A52422" s="0" t="s">
        <v>18398</v>
      </c>
      <c r="B52422" s="0" t="str">
        <f aca="false">HYPERLINK("https://lindat.mff.cuni.cz/services/teitok/pdtc10/index.php?action=vallex&amp;frame=v-w7426hsa_1725", "uvařit (v-w7426hsa_1725) - substituted with v-w7426f2_ZU")</f>
        <v>uvařit (v-w7426hsa_1725) - substituted with v-w7426f2_ZU</v>
      </c>
    </row>
    <row r="52423" customFormat="false" ht="12.8" hidden="false" customHeight="false" outlineLevel="0" collapsed="false">
      <c r="B52423" s="0" t="s">
        <v>7</v>
      </c>
    </row>
    <row r="52424" customFormat="false" ht="12.8" hidden="false" customHeight="false" outlineLevel="0" collapsed="false">
      <c r="B52424" s="0" t="s">
        <v>14</v>
      </c>
    </row>
    <row r="52426" customFormat="false" ht="12.8" hidden="false" customHeight="false" outlineLevel="0" collapsed="false">
      <c r="A52426" s="0" t="s">
        <v>18399</v>
      </c>
      <c r="B52426" s="0" t="str">
        <f aca="false">HYPERLINK("https://lindat.mff.cuni.cz/services/teitok/pdtc10/index.php?action=vallex&amp;frame=v-w7431f3", "uvažovat (v-w7431f3)")</f>
        <v>uvažovat (v-w7431f3)</v>
      </c>
    </row>
    <row r="52427" customFormat="false" ht="12.8" hidden="false" customHeight="false" outlineLevel="0" collapsed="false">
      <c r="B52427" s="0" t="s">
        <v>7</v>
      </c>
      <c r="D52427" s="0" t="s">
        <v>515</v>
      </c>
      <c r="E52427" s="0" t="s">
        <v>515</v>
      </c>
      <c r="F52427" s="0" t="s">
        <v>515</v>
      </c>
    </row>
    <row r="52428" customFormat="false" ht="12.8" hidden="false" customHeight="false" outlineLevel="0" collapsed="false">
      <c r="B52428" s="0" t="s">
        <v>14912</v>
      </c>
      <c r="D52428" s="0" t="s">
        <v>519</v>
      </c>
      <c r="E52428" s="0" t="s">
        <v>519</v>
      </c>
      <c r="F52428" s="0" t="s">
        <v>519</v>
      </c>
    </row>
    <row r="52430" customFormat="false" ht="12.8" hidden="false" customHeight="false" outlineLevel="0" collapsed="false">
      <c r="A52430" s="0" t="s">
        <v>18400</v>
      </c>
      <c r="B52430" s="0" t="str">
        <f aca="false">HYPERLINK("https://lindat.mff.cuni.cz/services/teitok/pdtc10/index.php?action=vallex&amp;frame=v-w7431f1", "uvažovat (v-w7431f1)")</f>
        <v>uvažovat (v-w7431f1)</v>
      </c>
    </row>
    <row r="52431" customFormat="false" ht="12.8" hidden="false" customHeight="false" outlineLevel="0" collapsed="false">
      <c r="B52431" s="0" t="s">
        <v>7</v>
      </c>
      <c r="C52431" s="0" t="s">
        <v>18401</v>
      </c>
      <c r="D52431" s="0" t="s">
        <v>515</v>
      </c>
      <c r="E52431" s="0" t="s">
        <v>515</v>
      </c>
      <c r="F52431" s="0" t="s">
        <v>515</v>
      </c>
    </row>
    <row r="52432" customFormat="false" ht="12.8" hidden="false" customHeight="false" outlineLevel="0" collapsed="false">
      <c r="B52432" s="0" t="s">
        <v>18402</v>
      </c>
      <c r="C52432" s="0" t="s">
        <v>18403</v>
      </c>
      <c r="D52432" s="0" t="s">
        <v>519</v>
      </c>
      <c r="E52432" s="0" t="s">
        <v>519</v>
      </c>
      <c r="F52432" s="0" t="s">
        <v>519</v>
      </c>
    </row>
    <row r="52434" customFormat="false" ht="12.8" hidden="false" customHeight="false" outlineLevel="0" collapsed="false">
      <c r="A52434" s="0" t="s">
        <v>18404</v>
      </c>
      <c r="B52434" s="0" t="str">
        <f aca="false">HYPERLINK("https://lindat.mff.cuni.cz/services/teitok/pdtc10/index.php?action=vallex&amp;frame=v-w7431f4", "uvažovat (v-w7431f4)")</f>
        <v>uvažovat (v-w7431f4)</v>
      </c>
    </row>
    <row r="52435" customFormat="false" ht="12.8" hidden="false" customHeight="false" outlineLevel="0" collapsed="false">
      <c r="B52435" s="0" t="s">
        <v>7</v>
      </c>
    </row>
    <row r="52436" customFormat="false" ht="12.8" hidden="false" customHeight="false" outlineLevel="0" collapsed="false">
      <c r="B52436" s="0" t="s">
        <v>548</v>
      </c>
    </row>
    <row r="52438" customFormat="false" ht="12.8" hidden="false" customHeight="false" outlineLevel="0" collapsed="false">
      <c r="A52438" s="0" t="s">
        <v>18405</v>
      </c>
      <c r="B52438" s="0" t="str">
        <f aca="false">HYPERLINK("https://lindat.mff.cuni.cz/services/teitok/pdtc10/index.php?action=vallex&amp;frame=v-w7431f2", "uvažovat (v-w7431f2)")</f>
        <v>uvažovat (v-w7431f2)</v>
      </c>
    </row>
    <row r="52439" customFormat="false" ht="12.8" hidden="false" customHeight="false" outlineLevel="0" collapsed="false">
      <c r="B52439" s="0" t="s">
        <v>7</v>
      </c>
      <c r="C52439" s="0" t="s">
        <v>623</v>
      </c>
      <c r="D52439" s="0" t="s">
        <v>623</v>
      </c>
      <c r="E52439" s="0" t="s">
        <v>623</v>
      </c>
      <c r="F52439" s="0" t="s">
        <v>623</v>
      </c>
    </row>
    <row r="52441" customFormat="false" ht="12.8" hidden="false" customHeight="false" outlineLevel="0" collapsed="false">
      <c r="A52441" s="0" t="s">
        <v>18406</v>
      </c>
      <c r="B52441" s="0" t="str">
        <f aca="false">HYPERLINK("https://lindat.mff.cuni.cz/services/teitok/pdtc10/index.php?action=vallex&amp;frame=v-w7445f1", "uveřejnit (v-w7445f1)")</f>
        <v>uveřejnit (v-w7445f1)</v>
      </c>
    </row>
    <row r="52442" customFormat="false" ht="12.8" hidden="false" customHeight="false" outlineLevel="0" collapsed="false">
      <c r="B52442" s="0" t="s">
        <v>7</v>
      </c>
      <c r="C52442" s="0" t="s">
        <v>18407</v>
      </c>
      <c r="D52442" s="0" t="s">
        <v>12464</v>
      </c>
      <c r="E52442" s="0" t="s">
        <v>12464</v>
      </c>
      <c r="F52442" s="0" t="s">
        <v>12464</v>
      </c>
    </row>
    <row r="52443" customFormat="false" ht="12.8" hidden="false" customHeight="false" outlineLevel="0" collapsed="false">
      <c r="B52443" s="0" t="s">
        <v>14</v>
      </c>
      <c r="C52443" s="0" t="s">
        <v>18408</v>
      </c>
      <c r="D52443" s="0" t="s">
        <v>12466</v>
      </c>
      <c r="E52443" s="0" t="s">
        <v>12466</v>
      </c>
      <c r="F52443" s="0" t="s">
        <v>12466</v>
      </c>
    </row>
    <row r="52445" customFormat="false" ht="12.8" hidden="false" customHeight="false" outlineLevel="0" collapsed="false">
      <c r="A52445" s="0" t="s">
        <v>18409</v>
      </c>
      <c r="B52445" s="0" t="str">
        <f aca="false">HYPERLINK("https://lindat.mff.cuni.cz/services/teitok/pdtc10/index.php?action=vallex&amp;frame=v-w7445f2", "uveřejnit (v-w7445f2)")</f>
        <v>uveřejnit (v-w7445f2)</v>
      </c>
    </row>
    <row r="52446" customFormat="false" ht="12.8" hidden="false" customHeight="false" outlineLevel="0" collapsed="false">
      <c r="B52446" s="0" t="s">
        <v>7</v>
      </c>
    </row>
    <row r="52447" customFormat="false" ht="12.8" hidden="false" customHeight="false" outlineLevel="0" collapsed="false">
      <c r="B52447" s="0" t="s">
        <v>5525</v>
      </c>
    </row>
    <row r="52448" customFormat="false" ht="12.8" hidden="false" customHeight="false" outlineLevel="0" collapsed="false">
      <c r="B52448" s="0" t="s">
        <v>363</v>
      </c>
    </row>
    <row r="52450" customFormat="false" ht="12.8" hidden="false" customHeight="false" outlineLevel="0" collapsed="false">
      <c r="A52450" s="0" t="s">
        <v>18410</v>
      </c>
      <c r="B52450" s="0" t="str">
        <f aca="false">HYPERLINK("https://lindat.mff.cuni.cz/services/teitok/pdtc10/index.php?action=vallex&amp;frame=v-w7447f1", "uveřejňovat (v-w7447f1)")</f>
        <v>uveřejňovat (v-w7447f1)</v>
      </c>
    </row>
    <row r="52451" customFormat="false" ht="12.8" hidden="false" customHeight="false" outlineLevel="0" collapsed="false">
      <c r="B52451" s="0" t="s">
        <v>7</v>
      </c>
      <c r="C52451" s="0" t="s">
        <v>118</v>
      </c>
      <c r="D52451" s="0" t="s">
        <v>12464</v>
      </c>
      <c r="E52451" s="0" t="s">
        <v>12464</v>
      </c>
      <c r="F52451" s="0" t="s">
        <v>12464</v>
      </c>
    </row>
    <row r="52452" customFormat="false" ht="12.8" hidden="false" customHeight="false" outlineLevel="0" collapsed="false">
      <c r="B52452" s="0" t="s">
        <v>14</v>
      </c>
      <c r="C52452" s="0" t="s">
        <v>151</v>
      </c>
      <c r="D52452" s="0" t="s">
        <v>12466</v>
      </c>
      <c r="E52452" s="0" t="s">
        <v>12466</v>
      </c>
      <c r="F52452" s="0" t="s">
        <v>12466</v>
      </c>
    </row>
    <row r="52454" customFormat="false" ht="12.8" hidden="false" customHeight="false" outlineLevel="0" collapsed="false">
      <c r="A52454" s="0" t="s">
        <v>18411</v>
      </c>
      <c r="B52454" s="0" t="str">
        <f aca="false">HYPERLINK("https://lindat.mff.cuni.cz/services/teitok/pdtc10/index.php?action=vallex&amp;frame=v-w7447f2", "uveřejňovat (v-w7447f2)")</f>
        <v>uveřejňovat (v-w7447f2)</v>
      </c>
    </row>
    <row r="52455" customFormat="false" ht="12.8" hidden="false" customHeight="false" outlineLevel="0" collapsed="false">
      <c r="B52455" s="0" t="s">
        <v>7</v>
      </c>
      <c r="C52455" s="0" t="s">
        <v>118</v>
      </c>
      <c r="D52455" s="0" t="s">
        <v>12464</v>
      </c>
      <c r="E52455" s="0" t="s">
        <v>12464</v>
      </c>
      <c r="F52455" s="0" t="s">
        <v>12464</v>
      </c>
    </row>
    <row r="52456" customFormat="false" ht="12.8" hidden="false" customHeight="false" outlineLevel="0" collapsed="false">
      <c r="B52456" s="0" t="s">
        <v>5525</v>
      </c>
      <c r="C52456" s="0" t="s">
        <v>18412</v>
      </c>
      <c r="D52456" s="0" t="s">
        <v>18413</v>
      </c>
      <c r="E52456" s="0" t="s">
        <v>18413</v>
      </c>
      <c r="F52456" s="0" t="s">
        <v>18413</v>
      </c>
    </row>
    <row r="52457" customFormat="false" ht="12.8" hidden="false" customHeight="false" outlineLevel="0" collapsed="false">
      <c r="B52457" s="0" t="s">
        <v>363</v>
      </c>
    </row>
    <row r="52459" customFormat="false" ht="12.8" hidden="false" customHeight="false" outlineLevel="0" collapsed="false">
      <c r="A52459" s="0" t="s">
        <v>18414</v>
      </c>
      <c r="B52459" s="0" t="str">
        <f aca="false">HYPERLINK("https://lindat.mff.cuni.cz/services/teitok/pdtc10/index.php?action=vallex&amp;frame=v-w7452f2", "uvidět (v-w7452f2)")</f>
        <v>uvidět (v-w7452f2)</v>
      </c>
    </row>
    <row r="52460" customFormat="false" ht="12.8" hidden="false" customHeight="false" outlineLevel="0" collapsed="false">
      <c r="B52460" s="0" t="s">
        <v>7</v>
      </c>
    </row>
    <row r="52461" customFormat="false" ht="12.8" hidden="false" customHeight="false" outlineLevel="0" collapsed="false">
      <c r="B52461" s="0" t="s">
        <v>14</v>
      </c>
    </row>
    <row r="52462" customFormat="false" ht="12.8" hidden="false" customHeight="false" outlineLevel="0" collapsed="false">
      <c r="B52462" s="0" t="s">
        <v>18415</v>
      </c>
    </row>
    <row r="52464" customFormat="false" ht="12.8" hidden="false" customHeight="false" outlineLevel="0" collapsed="false">
      <c r="A52464" s="0" t="s">
        <v>18416</v>
      </c>
      <c r="B52464" s="0" t="str">
        <f aca="false">HYPERLINK("https://lindat.mff.cuni.cz/services/teitok/pdtc10/index.php?action=vallex&amp;frame=v-w7452f1", "uvidět (v-w7452f1)")</f>
        <v>uvidět (v-w7452f1)</v>
      </c>
    </row>
    <row r="52465" customFormat="false" ht="12.8" hidden="false" customHeight="false" outlineLevel="0" collapsed="false">
      <c r="B52465" s="0" t="s">
        <v>7</v>
      </c>
      <c r="C52465" s="0" t="s">
        <v>18417</v>
      </c>
      <c r="D52465" s="0" t="s">
        <v>16156</v>
      </c>
      <c r="E52465" s="0" t="s">
        <v>16156</v>
      </c>
      <c r="F52465" s="0" t="s">
        <v>16156</v>
      </c>
    </row>
    <row r="52466" customFormat="false" ht="12.8" hidden="false" customHeight="false" outlineLevel="0" collapsed="false">
      <c r="B52466" s="0" t="s">
        <v>2738</v>
      </c>
      <c r="C52466" s="0" t="s">
        <v>18418</v>
      </c>
      <c r="D52466" s="0" t="s">
        <v>16158</v>
      </c>
      <c r="E52466" s="0" t="s">
        <v>16158</v>
      </c>
      <c r="F52466" s="0" t="s">
        <v>16158</v>
      </c>
    </row>
    <row r="52468" customFormat="false" ht="12.8" hidden="false" customHeight="false" outlineLevel="0" collapsed="false">
      <c r="A52468" s="0" t="s">
        <v>18419</v>
      </c>
      <c r="B52468" s="0" t="str">
        <f aca="false">HYPERLINK("https://lindat.mff.cuni.cz/services/teitok/pdtc10/index.php?action=vallex&amp;frame=v-w7452f3_ZU", "uvidět (v-w7452f3_ZU)")</f>
        <v>uvidět (v-w7452f3_ZU)</v>
      </c>
    </row>
    <row r="52469" customFormat="false" ht="12.8" hidden="false" customHeight="false" outlineLevel="0" collapsed="false">
      <c r="B52469" s="0" t="s">
        <v>7</v>
      </c>
    </row>
    <row r="52470" customFormat="false" ht="12.8" hidden="false" customHeight="false" outlineLevel="0" collapsed="false">
      <c r="B52470" s="0" t="s">
        <v>548</v>
      </c>
    </row>
    <row r="52471" customFormat="false" ht="12.8" hidden="false" customHeight="false" outlineLevel="0" collapsed="false">
      <c r="B52471" s="0" t="s">
        <v>1252</v>
      </c>
    </row>
    <row r="52473" customFormat="false" ht="12.8" hidden="false" customHeight="false" outlineLevel="0" collapsed="false">
      <c r="A52473" s="0" t="s">
        <v>18420</v>
      </c>
      <c r="B52473" s="0" t="str">
        <f aca="false">HYPERLINK("https://lindat.mff.cuni.cz/services/teitok/pdtc10/index.php?action=vallex&amp;frame=v-w7452hsa_1797", "uvidět (v-w7452hsa_1797)")</f>
        <v>uvidět (v-w7452hsa_1797)</v>
      </c>
    </row>
    <row r="52474" customFormat="false" ht="12.8" hidden="false" customHeight="false" outlineLevel="0" collapsed="false">
      <c r="B52474" s="0" t="s">
        <v>7</v>
      </c>
    </row>
    <row r="52475" customFormat="false" ht="12.8" hidden="false" customHeight="false" outlineLevel="0" collapsed="false">
      <c r="B52475" s="0" t="s">
        <v>14</v>
      </c>
    </row>
    <row r="52476" customFormat="false" ht="12.8" hidden="false" customHeight="false" outlineLevel="0" collapsed="false">
      <c r="B52476" s="0" t="s">
        <v>662</v>
      </c>
    </row>
    <row r="52478" customFormat="false" ht="12.8" hidden="false" customHeight="false" outlineLevel="0" collapsed="false">
      <c r="A52478" s="0" t="s">
        <v>18421</v>
      </c>
      <c r="B52478" s="0" t="str">
        <f aca="false">HYPERLINK("https://lindat.mff.cuni.cz/services/teitok/pdtc10/index.php?action=vallex&amp;frame=v-w7453f1", "uvidět se (v-w7453f1)")</f>
        <v>uvidět se (v-w7453f1)</v>
      </c>
    </row>
    <row r="52479" customFormat="false" ht="12.8" hidden="false" customHeight="false" outlineLevel="0" collapsed="false">
      <c r="B52479" s="0" t="s">
        <v>11891</v>
      </c>
      <c r="C52479" s="0" t="s">
        <v>18422</v>
      </c>
    </row>
    <row r="52481" customFormat="false" ht="12.8" hidden="false" customHeight="false" outlineLevel="0" collapsed="false">
      <c r="A52481" s="0" t="s">
        <v>18423</v>
      </c>
      <c r="B52481" s="0" t="str">
        <f aca="false">HYPERLINK("https://lindat.mff.cuni.cz/services/teitok/pdtc10/index.php?action=vallex&amp;frame=v-w7453hsa_183", "uvidět se (v-w7453hsa_183)")</f>
        <v>uvidět se (v-w7453hsa_183)</v>
      </c>
    </row>
    <row r="52482" customFormat="false" ht="12.8" hidden="false" customHeight="false" outlineLevel="0" collapsed="false">
      <c r="B52482" s="0" t="s">
        <v>7</v>
      </c>
    </row>
    <row r="52483" customFormat="false" ht="12.8" hidden="false" customHeight="false" outlineLevel="0" collapsed="false">
      <c r="B52483" s="0" t="s">
        <v>548</v>
      </c>
    </row>
    <row r="52485" customFormat="false" ht="12.8" hidden="false" customHeight="false" outlineLevel="0" collapsed="false">
      <c r="A52485" s="0" t="s">
        <v>18424</v>
      </c>
      <c r="B52485" s="0" t="str">
        <f aca="false">HYPERLINK("https://lindat.mff.cuni.cz/services/teitok/pdtc10/index.php?action=vallex&amp;frame=v-w7458f2_ZU", "uvolit se (v-w7458f2_ZU)")</f>
        <v>uvolit se (v-w7458f2_ZU)</v>
      </c>
    </row>
    <row r="52486" customFormat="false" ht="12.8" hidden="false" customHeight="false" outlineLevel="0" collapsed="false">
      <c r="B52486" s="0" t="s">
        <v>7</v>
      </c>
    </row>
    <row r="52487" customFormat="false" ht="12.8" hidden="false" customHeight="false" outlineLevel="0" collapsed="false">
      <c r="B52487" s="0" t="s">
        <v>8171</v>
      </c>
    </row>
    <row r="52489" customFormat="false" ht="12.8" hidden="false" customHeight="false" outlineLevel="0" collapsed="false">
      <c r="A52489" s="0" t="s">
        <v>18424</v>
      </c>
      <c r="B52489" s="0" t="str">
        <f aca="false">HYPERLINK("https://lindat.mff.cuni.cz/services/teitok/pdtc10/index.php?action=vallex&amp;frame=v-w7458f1", "uvolit se (v-w7458f1) - substituted with v-w7458f2_ZU")</f>
        <v>uvolit se (v-w7458f1) - substituted with v-w7458f2_ZU</v>
      </c>
    </row>
    <row r="52490" customFormat="false" ht="12.8" hidden="false" customHeight="false" outlineLevel="0" collapsed="false">
      <c r="B52490" s="0" t="s">
        <v>7</v>
      </c>
    </row>
    <row r="52491" customFormat="false" ht="12.8" hidden="false" customHeight="false" outlineLevel="0" collapsed="false">
      <c r="B52491" s="0" t="s">
        <v>8171</v>
      </c>
    </row>
    <row r="52493" customFormat="false" ht="12.8" hidden="false" customHeight="false" outlineLevel="0" collapsed="false">
      <c r="A52493" s="0" t="s">
        <v>18425</v>
      </c>
      <c r="B52493" s="0" t="str">
        <f aca="false">HYPERLINK("https://lindat.mff.cuni.cz/services/teitok/pdtc10/index.php?action=vallex&amp;frame=v-w7460f3", "uvolnit (v-w7460f3)")</f>
        <v>uvolnit (v-w7460f3)</v>
      </c>
    </row>
    <row r="52494" customFormat="false" ht="12.8" hidden="false" customHeight="false" outlineLevel="0" collapsed="false">
      <c r="B52494" s="0" t="s">
        <v>7</v>
      </c>
      <c r="C52494" s="0" t="s">
        <v>8111</v>
      </c>
    </row>
    <row r="52495" customFormat="false" ht="12.8" hidden="false" customHeight="false" outlineLevel="0" collapsed="false">
      <c r="B52495" s="0" t="s">
        <v>14</v>
      </c>
      <c r="C52495" s="0" t="s">
        <v>356</v>
      </c>
    </row>
    <row r="52496" customFormat="false" ht="12.8" hidden="false" customHeight="false" outlineLevel="0" collapsed="false">
      <c r="B52496" s="0" t="s">
        <v>459</v>
      </c>
      <c r="C52496" s="0" t="s">
        <v>18426</v>
      </c>
    </row>
    <row r="52498" customFormat="false" ht="12.8" hidden="false" customHeight="false" outlineLevel="0" collapsed="false">
      <c r="A52498" s="0" t="s">
        <v>18427</v>
      </c>
      <c r="B52498" s="0" t="str">
        <f aca="false">HYPERLINK("https://lindat.mff.cuni.cz/services/teitok/pdtc10/index.php?action=vallex&amp;frame=v-w7460f1", "uvolnit (v-w7460f1)")</f>
        <v>uvolnit (v-w7460f1)</v>
      </c>
    </row>
    <row r="52499" customFormat="false" ht="12.8" hidden="false" customHeight="false" outlineLevel="0" collapsed="false">
      <c r="B52499" s="0" t="s">
        <v>7</v>
      </c>
      <c r="C52499" s="0" t="s">
        <v>6182</v>
      </c>
      <c r="D52499" s="0" t="s">
        <v>191</v>
      </c>
      <c r="E52499" s="0" t="s">
        <v>191</v>
      </c>
      <c r="F52499" s="0" t="s">
        <v>191</v>
      </c>
    </row>
    <row r="52500" customFormat="false" ht="12.8" hidden="false" customHeight="false" outlineLevel="0" collapsed="false">
      <c r="B52500" s="0" t="s">
        <v>14</v>
      </c>
      <c r="C52500" s="0" t="s">
        <v>18428</v>
      </c>
      <c r="D52500" s="0" t="s">
        <v>47</v>
      </c>
      <c r="E52500" s="0" t="s">
        <v>47</v>
      </c>
      <c r="F52500" s="0" t="s">
        <v>47</v>
      </c>
    </row>
    <row r="52502" customFormat="false" ht="12.8" hidden="false" customHeight="false" outlineLevel="0" collapsed="false">
      <c r="A52502" s="0" t="s">
        <v>18429</v>
      </c>
      <c r="B52502" s="0" t="str">
        <f aca="false">HYPERLINK("https://lindat.mff.cuni.cz/services/teitok/pdtc10/index.php?action=vallex&amp;frame=v-w7460f2", "uvolnit (v-w7460f2)")</f>
        <v>uvolnit (v-w7460f2)</v>
      </c>
    </row>
    <row r="52503" customFormat="false" ht="12.8" hidden="false" customHeight="false" outlineLevel="0" collapsed="false">
      <c r="B52503" s="0" t="s">
        <v>7</v>
      </c>
      <c r="C52503" s="0" t="s">
        <v>18430</v>
      </c>
      <c r="D52503" s="0" t="s">
        <v>1624</v>
      </c>
      <c r="E52503" s="0" t="s">
        <v>1624</v>
      </c>
      <c r="F52503" s="0" t="s">
        <v>1624</v>
      </c>
    </row>
    <row r="52504" customFormat="false" ht="12.8" hidden="false" customHeight="false" outlineLevel="0" collapsed="false">
      <c r="B52504" s="0" t="s">
        <v>14</v>
      </c>
      <c r="C52504" s="0" t="s">
        <v>11535</v>
      </c>
      <c r="D52504" s="0" t="s">
        <v>4345</v>
      </c>
      <c r="E52504" s="0" t="s">
        <v>4345</v>
      </c>
      <c r="F52504" s="0" t="s">
        <v>4345</v>
      </c>
    </row>
    <row r="52506" customFormat="false" ht="12.8" hidden="false" customHeight="false" outlineLevel="0" collapsed="false">
      <c r="A52506" s="0" t="s">
        <v>18431</v>
      </c>
      <c r="B52506" s="0" t="str">
        <f aca="false">HYPERLINK("https://lindat.mff.cuni.cz/services/teitok/pdtc10/index.php?action=vallex&amp;frame=v-w7460f8_ZU", "uvolnit (v-w7460f8_ZU)")</f>
        <v>uvolnit (v-w7460f8_ZU)</v>
      </c>
    </row>
    <row r="52507" customFormat="false" ht="12.8" hidden="false" customHeight="false" outlineLevel="0" collapsed="false">
      <c r="B52507" s="0" t="s">
        <v>7</v>
      </c>
      <c r="C52507" s="0" t="s">
        <v>118</v>
      </c>
      <c r="D52507" s="0" t="s">
        <v>2736</v>
      </c>
      <c r="E52507" s="0" t="s">
        <v>2736</v>
      </c>
      <c r="F52507" s="0" t="s">
        <v>2736</v>
      </c>
    </row>
    <row r="52508" customFormat="false" ht="12.8" hidden="false" customHeight="false" outlineLevel="0" collapsed="false">
      <c r="B52508" s="0" t="s">
        <v>14</v>
      </c>
      <c r="C52508" s="0" t="s">
        <v>33</v>
      </c>
      <c r="D52508" s="0" t="s">
        <v>33</v>
      </c>
      <c r="E52508" s="0" t="s">
        <v>33</v>
      </c>
      <c r="F52508" s="0" t="s">
        <v>33</v>
      </c>
    </row>
    <row r="52510" customFormat="false" ht="12.8" hidden="false" customHeight="false" outlineLevel="0" collapsed="false">
      <c r="A52510" s="0" t="s">
        <v>18431</v>
      </c>
      <c r="B52510" s="0" t="str">
        <f aca="false">HYPERLINK("https://lindat.mff.cuni.cz/services/teitok/pdtc10/index.php?action=vallex&amp;frame=v-w7460f4", "uvolnit (v-w7460f4) - substituted with v-w7460f8_ZU")</f>
        <v>uvolnit (v-w7460f4) - substituted with v-w7460f8_ZU</v>
      </c>
    </row>
    <row r="52511" customFormat="false" ht="12.8" hidden="false" customHeight="false" outlineLevel="0" collapsed="false">
      <c r="B52511" s="0" t="s">
        <v>7</v>
      </c>
      <c r="C52511" s="0" t="s">
        <v>1263</v>
      </c>
    </row>
    <row r="52512" customFormat="false" ht="12.8" hidden="false" customHeight="false" outlineLevel="0" collapsed="false">
      <c r="B52512" s="0" t="s">
        <v>14</v>
      </c>
      <c r="C52512" s="0" t="s">
        <v>1289</v>
      </c>
    </row>
    <row r="52514" customFormat="false" ht="12.8" hidden="false" customHeight="false" outlineLevel="0" collapsed="false">
      <c r="A52514" s="0" t="s">
        <v>18432</v>
      </c>
      <c r="B52514" s="0" t="str">
        <f aca="false">HYPERLINK("https://lindat.mff.cuni.cz/services/teitok/pdtc10/index.php?action=vallex&amp;frame=v-w7460f5", "uvolnit (v-w7460f5)")</f>
        <v>uvolnit (v-w7460f5)</v>
      </c>
    </row>
    <row r="52515" customFormat="false" ht="12.8" hidden="false" customHeight="false" outlineLevel="0" collapsed="false">
      <c r="B52515" s="0" t="s">
        <v>7</v>
      </c>
      <c r="D52515" s="0" t="s">
        <v>118</v>
      </c>
      <c r="E52515" s="0" t="s">
        <v>118</v>
      </c>
      <c r="F52515" s="0" t="s">
        <v>118</v>
      </c>
    </row>
    <row r="52516" customFormat="false" ht="12.8" hidden="false" customHeight="false" outlineLevel="0" collapsed="false">
      <c r="B52516" s="0" t="s">
        <v>14</v>
      </c>
      <c r="C52516" s="0" t="s">
        <v>155</v>
      </c>
      <c r="D52516" s="0" t="s">
        <v>89</v>
      </c>
      <c r="E52516" s="0" t="s">
        <v>89</v>
      </c>
      <c r="F52516" s="0" t="s">
        <v>89</v>
      </c>
    </row>
    <row r="52518" customFormat="false" ht="12.8" hidden="false" customHeight="false" outlineLevel="0" collapsed="false">
      <c r="A52518" s="0" t="s">
        <v>18433</v>
      </c>
      <c r="B52518" s="0" t="str">
        <f aca="false">HYPERLINK("https://lindat.mff.cuni.cz/services/teitok/pdtc10/index.php?action=vallex&amp;frame=v-w7460f6", "uvolnit (v-w7460f6)")</f>
        <v>uvolnit (v-w7460f6)</v>
      </c>
    </row>
    <row r="52519" customFormat="false" ht="12.8" hidden="false" customHeight="false" outlineLevel="0" collapsed="false">
      <c r="B52519" s="0" t="s">
        <v>7</v>
      </c>
      <c r="C52519" s="0" t="s">
        <v>4208</v>
      </c>
    </row>
    <row r="52520" customFormat="false" ht="12.8" hidden="false" customHeight="false" outlineLevel="0" collapsed="false">
      <c r="B52520" s="0" t="s">
        <v>14</v>
      </c>
      <c r="C52520" s="0" t="s">
        <v>2685</v>
      </c>
    </row>
    <row r="52522" customFormat="false" ht="12.8" hidden="false" customHeight="false" outlineLevel="0" collapsed="false">
      <c r="A52522" s="0" t="s">
        <v>18434</v>
      </c>
      <c r="B52522" s="0" t="str">
        <f aca="false">HYPERLINK("https://lindat.mff.cuni.cz/services/teitok/pdtc10/index.php?action=vallex&amp;frame=v-w7460hsa_514", "uvolnit (v-w7460hsa_514)")</f>
        <v>uvolnit (v-w7460hsa_514)</v>
      </c>
    </row>
    <row r="52523" customFormat="false" ht="12.8" hidden="false" customHeight="false" outlineLevel="0" collapsed="false">
      <c r="B52523" s="0" t="s">
        <v>7</v>
      </c>
      <c r="C52523" s="0" t="s">
        <v>3051</v>
      </c>
    </row>
    <row r="52524" customFormat="false" ht="12.8" hidden="false" customHeight="false" outlineLevel="0" collapsed="false">
      <c r="B52524" s="0" t="s">
        <v>14</v>
      </c>
      <c r="C52524" s="0" t="s">
        <v>6202</v>
      </c>
    </row>
    <row r="52526" customFormat="false" ht="12.8" hidden="false" customHeight="false" outlineLevel="0" collapsed="false">
      <c r="A52526" s="0" t="s">
        <v>18435</v>
      </c>
      <c r="B52526" s="0" t="str">
        <f aca="false">HYPERLINK("https://lindat.mff.cuni.cz/services/teitok/pdtc10/index.php?action=vallex&amp;frame=v-w7460f7_ZU", "uvolnit (v-w7460f7_ZU)")</f>
        <v>uvolnit (v-w7460f7_ZU)</v>
      </c>
    </row>
    <row r="52527" customFormat="false" ht="12.8" hidden="false" customHeight="false" outlineLevel="0" collapsed="false">
      <c r="B52527" s="0" t="s">
        <v>7</v>
      </c>
    </row>
    <row r="52528" customFormat="false" ht="12.8" hidden="false" customHeight="false" outlineLevel="0" collapsed="false">
      <c r="B52528" s="0" t="s">
        <v>14</v>
      </c>
    </row>
    <row r="52530" customFormat="false" ht="12.8" hidden="false" customHeight="false" outlineLevel="0" collapsed="false">
      <c r="A52530" s="0" t="s">
        <v>18435</v>
      </c>
      <c r="B52530" s="0" t="str">
        <f aca="false">HYPERLINK("https://lindat.mff.cuni.cz/services/teitok/pdtc10/index.php?action=vallex&amp;frame=v-w7460hsa_515", "uvolnit (v-w7460hsa_515) - substituted with v-w7460f7_ZU")</f>
        <v>uvolnit (v-w7460hsa_515) - substituted with v-w7460f7_ZU</v>
      </c>
    </row>
    <row r="52531" customFormat="false" ht="12.8" hidden="false" customHeight="false" outlineLevel="0" collapsed="false">
      <c r="B52531" s="0" t="s">
        <v>7</v>
      </c>
    </row>
    <row r="52532" customFormat="false" ht="12.8" hidden="false" customHeight="false" outlineLevel="0" collapsed="false">
      <c r="B52532" s="0" t="s">
        <v>14</v>
      </c>
    </row>
    <row r="52534" customFormat="false" ht="12.8" hidden="false" customHeight="false" outlineLevel="0" collapsed="false">
      <c r="A52534" s="0" t="s">
        <v>18436</v>
      </c>
      <c r="B52534" s="0" t="str">
        <f aca="false">HYPERLINK("https://lindat.mff.cuni.cz/services/teitok/pdtc10/index.php?action=vallex&amp;frame=v-w7461f1", "uvolnit se (v-w7461f1)")</f>
        <v>uvolnit se (v-w7461f1)</v>
      </c>
    </row>
    <row r="52535" customFormat="false" ht="12.8" hidden="false" customHeight="false" outlineLevel="0" collapsed="false">
      <c r="B52535" s="0" t="s">
        <v>7</v>
      </c>
      <c r="C52535" s="0" t="s">
        <v>18437</v>
      </c>
    </row>
    <row r="52537" customFormat="false" ht="12.8" hidden="false" customHeight="false" outlineLevel="0" collapsed="false">
      <c r="A52537" s="0" t="s">
        <v>18438</v>
      </c>
      <c r="B52537" s="0" t="str">
        <f aca="false">HYPERLINK("https://lindat.mff.cuni.cz/services/teitok/pdtc10/index.php?action=vallex&amp;frame=v-w7461f4_ZU", "uvolnit se (v-w7461f4_ZU)")</f>
        <v>uvolnit se (v-w7461f4_ZU)</v>
      </c>
    </row>
    <row r="52538" customFormat="false" ht="12.8" hidden="false" customHeight="false" outlineLevel="0" collapsed="false">
      <c r="B52538" s="0" t="s">
        <v>7</v>
      </c>
      <c r="C52538" s="0" t="s">
        <v>191</v>
      </c>
    </row>
    <row r="52539" customFormat="false" ht="12.8" hidden="false" customHeight="false" outlineLevel="0" collapsed="false">
      <c r="B52539" s="0" t="s">
        <v>333</v>
      </c>
      <c r="C52539" s="0" t="s">
        <v>47</v>
      </c>
    </row>
    <row r="52541" customFormat="false" ht="12.8" hidden="false" customHeight="false" outlineLevel="0" collapsed="false">
      <c r="A52541" s="0" t="s">
        <v>18438</v>
      </c>
      <c r="B52541" s="0" t="str">
        <f aca="false">HYPERLINK("https://lindat.mff.cuni.cz/services/teitok/pdtc10/index.php?action=vallex&amp;frame=v-w7461f2", "uvolnit se (v-w7461f2) - substituted with v-w7461f4_ZU")</f>
        <v>uvolnit se (v-w7461f2) - substituted with v-w7461f4_ZU</v>
      </c>
    </row>
    <row r="52542" customFormat="false" ht="12.8" hidden="false" customHeight="false" outlineLevel="0" collapsed="false">
      <c r="B52542" s="0" t="s">
        <v>7</v>
      </c>
    </row>
    <row r="52543" customFormat="false" ht="12.8" hidden="false" customHeight="false" outlineLevel="0" collapsed="false">
      <c r="B52543" s="0" t="s">
        <v>333</v>
      </c>
    </row>
    <row r="52545" customFormat="false" ht="12.8" hidden="false" customHeight="false" outlineLevel="0" collapsed="false">
      <c r="A52545" s="0" t="s">
        <v>18439</v>
      </c>
      <c r="B52545" s="0" t="str">
        <f aca="false">HYPERLINK("https://lindat.mff.cuni.cz/services/teitok/pdtc10/index.php?action=vallex&amp;frame=v-w7461f3", "uvolnit se (v-w7461f3)")</f>
        <v>uvolnit se (v-w7461f3)</v>
      </c>
    </row>
    <row r="52546" customFormat="false" ht="12.8" hidden="false" customHeight="false" outlineLevel="0" collapsed="false">
      <c r="B52546" s="0" t="s">
        <v>7</v>
      </c>
      <c r="C52546" s="0" t="s">
        <v>4398</v>
      </c>
    </row>
    <row r="52548" customFormat="false" ht="12.8" hidden="false" customHeight="false" outlineLevel="0" collapsed="false">
      <c r="A52548" s="0" t="s">
        <v>18440</v>
      </c>
      <c r="B52548" s="0" t="str">
        <f aca="false">HYPERLINK("https://lindat.mff.cuni.cz/services/teitok/pdtc10/index.php?action=vallex&amp;frame=v-w7461f6_ZU", "uvolnit se (v-w7461f6_ZU)")</f>
        <v>uvolnit se (v-w7461f6_ZU)</v>
      </c>
    </row>
    <row r="52549" customFormat="false" ht="12.8" hidden="false" customHeight="false" outlineLevel="0" collapsed="false">
      <c r="B52549" s="0" t="s">
        <v>7</v>
      </c>
    </row>
    <row r="52551" customFormat="false" ht="12.8" hidden="false" customHeight="false" outlineLevel="0" collapsed="false">
      <c r="A52551" s="0" t="s">
        <v>18440</v>
      </c>
      <c r="B52551" s="0" t="str">
        <f aca="false">HYPERLINK("https://lindat.mff.cuni.cz/services/teitok/pdtc10/index.php?action=vallex&amp;frame=v-w7461f5_ZU", "uvolnit se (v-w7461f5_ZU) - substituted with v-w7461f6_ZU")</f>
        <v>uvolnit se (v-w7461f5_ZU) - substituted with v-w7461f6_ZU</v>
      </c>
    </row>
    <row r="52552" customFormat="false" ht="12.8" hidden="false" customHeight="false" outlineLevel="0" collapsed="false">
      <c r="B52552" s="0" t="s">
        <v>7</v>
      </c>
    </row>
    <row r="52554" customFormat="false" ht="12.8" hidden="false" customHeight="false" outlineLevel="0" collapsed="false">
      <c r="A52554" s="0" t="s">
        <v>18441</v>
      </c>
      <c r="B52554" s="0" t="str">
        <f aca="false">HYPERLINK("https://lindat.mff.cuni.cz/services/teitok/pdtc10/index.php?action=vallex&amp;frame=v-w7461hsa_1806", "uvolnit se (v-w7461hsa_1806)")</f>
        <v>uvolnit se (v-w7461hsa_1806)</v>
      </c>
    </row>
    <row r="52555" customFormat="false" ht="12.8" hidden="false" customHeight="false" outlineLevel="0" collapsed="false">
      <c r="B52555" s="0" t="s">
        <v>7</v>
      </c>
    </row>
    <row r="52557" customFormat="false" ht="12.8" hidden="false" customHeight="false" outlineLevel="0" collapsed="false">
      <c r="A52557" s="0" t="s">
        <v>18442</v>
      </c>
      <c r="B52557" s="0" t="str">
        <f aca="false">HYPERLINK("https://lindat.mff.cuni.cz/services/teitok/pdtc10/index.php?action=vallex&amp;frame=v-w7461hsa_1807", "uvolnit se (v-w7461hsa_1807)")</f>
        <v>uvolnit se (v-w7461hsa_1807)</v>
      </c>
    </row>
    <row r="52558" customFormat="false" ht="12.8" hidden="false" customHeight="false" outlineLevel="0" collapsed="false">
      <c r="B52558" s="0" t="s">
        <v>7</v>
      </c>
    </row>
    <row r="52559" customFormat="false" ht="12.8" hidden="false" customHeight="false" outlineLevel="0" collapsed="false">
      <c r="B52559" s="0" t="s">
        <v>459</v>
      </c>
    </row>
    <row r="52561" customFormat="false" ht="12.8" hidden="false" customHeight="false" outlineLevel="0" collapsed="false">
      <c r="A52561" s="0" t="s">
        <v>18443</v>
      </c>
      <c r="B52561" s="0" t="str">
        <f aca="false">HYPERLINK("https://lindat.mff.cuni.cz/services/teitok/pdtc10/index.php?action=vallex&amp;frame=v-w7463f1", "uvolňovat (v-w7463f1)")</f>
        <v>uvolňovat (v-w7463f1)</v>
      </c>
    </row>
    <row r="52562" customFormat="false" ht="12.8" hidden="false" customHeight="false" outlineLevel="0" collapsed="false">
      <c r="B52562" s="0" t="s">
        <v>7</v>
      </c>
      <c r="C52562" s="0" t="s">
        <v>3051</v>
      </c>
    </row>
    <row r="52563" customFormat="false" ht="12.8" hidden="false" customHeight="false" outlineLevel="0" collapsed="false">
      <c r="B52563" s="0" t="s">
        <v>14</v>
      </c>
      <c r="C52563" s="0" t="s">
        <v>6202</v>
      </c>
    </row>
    <row r="52564" customFormat="false" ht="12.8" hidden="false" customHeight="false" outlineLevel="0" collapsed="false">
      <c r="B52564" s="0" t="s">
        <v>459</v>
      </c>
    </row>
    <row r="52566" customFormat="false" ht="12.8" hidden="false" customHeight="false" outlineLevel="0" collapsed="false">
      <c r="A52566" s="0" t="s">
        <v>18444</v>
      </c>
      <c r="B52566" s="0" t="str">
        <f aca="false">HYPERLINK("https://lindat.mff.cuni.cz/services/teitok/pdtc10/index.php?action=vallex&amp;frame=v-w7463f2", "uvolňovat (v-w7463f2)")</f>
        <v>uvolňovat (v-w7463f2)</v>
      </c>
    </row>
    <row r="52567" customFormat="false" ht="12.8" hidden="false" customHeight="false" outlineLevel="0" collapsed="false">
      <c r="B52567" s="0" t="s">
        <v>7</v>
      </c>
      <c r="C52567" s="0" t="s">
        <v>18445</v>
      </c>
      <c r="D52567" s="0" t="s">
        <v>191</v>
      </c>
      <c r="E52567" s="0" t="s">
        <v>191</v>
      </c>
      <c r="F52567" s="0" t="s">
        <v>191</v>
      </c>
    </row>
    <row r="52568" customFormat="false" ht="12.8" hidden="false" customHeight="false" outlineLevel="0" collapsed="false">
      <c r="B52568" s="0" t="s">
        <v>14</v>
      </c>
      <c r="C52568" s="0" t="s">
        <v>2887</v>
      </c>
      <c r="D52568" s="0" t="s">
        <v>47</v>
      </c>
      <c r="E52568" s="0" t="s">
        <v>47</v>
      </c>
      <c r="F52568" s="0" t="s">
        <v>47</v>
      </c>
    </row>
    <row r="52570" customFormat="false" ht="12.8" hidden="false" customHeight="false" outlineLevel="0" collapsed="false">
      <c r="A52570" s="0" t="s">
        <v>18446</v>
      </c>
      <c r="B52570" s="0" t="str">
        <f aca="false">HYPERLINK("https://lindat.mff.cuni.cz/services/teitok/pdtc10/index.php?action=vallex&amp;frame=v-w7463f3_ZU", "uvolňovat (v-w7463f3_ZU)")</f>
        <v>uvolňovat (v-w7463f3_ZU)</v>
      </c>
    </row>
    <row r="52571" customFormat="false" ht="12.8" hidden="false" customHeight="false" outlineLevel="0" collapsed="false">
      <c r="B52571" s="0" t="s">
        <v>7</v>
      </c>
      <c r="C52571" s="0" t="s">
        <v>1111</v>
      </c>
      <c r="D52571" s="0" t="s">
        <v>1624</v>
      </c>
      <c r="E52571" s="0" t="s">
        <v>1624</v>
      </c>
      <c r="F52571" s="0" t="s">
        <v>1624</v>
      </c>
    </row>
    <row r="52572" customFormat="false" ht="12.8" hidden="false" customHeight="false" outlineLevel="0" collapsed="false">
      <c r="B52572" s="0" t="s">
        <v>14</v>
      </c>
      <c r="C52572" s="0" t="s">
        <v>5595</v>
      </c>
      <c r="D52572" s="0" t="s">
        <v>4345</v>
      </c>
      <c r="E52572" s="0" t="s">
        <v>4345</v>
      </c>
      <c r="F52572" s="0" t="s">
        <v>4345</v>
      </c>
    </row>
    <row r="52574" customFormat="false" ht="12.8" hidden="false" customHeight="false" outlineLevel="0" collapsed="false">
      <c r="A52574" s="0" t="s">
        <v>18446</v>
      </c>
      <c r="B52574" s="0" t="str">
        <f aca="false">HYPERLINK("https://lindat.mff.cuni.cz/services/teitok/pdtc10/index.php?action=vallex&amp;frame=v-w7463hsa_151", "uvolňovat (v-w7463hsa_151) - substituted with v-w7463f3_ZU")</f>
        <v>uvolňovat (v-w7463hsa_151) - substituted with v-w7463f3_ZU</v>
      </c>
    </row>
    <row r="52575" customFormat="false" ht="12.8" hidden="false" customHeight="false" outlineLevel="0" collapsed="false">
      <c r="B52575" s="0" t="s">
        <v>7</v>
      </c>
    </row>
    <row r="52576" customFormat="false" ht="12.8" hidden="false" customHeight="false" outlineLevel="0" collapsed="false">
      <c r="B52576" s="0" t="s">
        <v>14</v>
      </c>
    </row>
    <row r="52578" customFormat="false" ht="12.8" hidden="false" customHeight="false" outlineLevel="0" collapsed="false">
      <c r="A52578" s="0" t="s">
        <v>18447</v>
      </c>
      <c r="B52578" s="0" t="str">
        <f aca="false">HYPERLINK("https://lindat.mff.cuni.cz/services/teitok/pdtc10/index.php?action=vallex&amp;frame=v-w7463f4_ZU", "uvolňovat (v-w7463f4_ZU)")</f>
        <v>uvolňovat (v-w7463f4_ZU)</v>
      </c>
    </row>
    <row r="52579" customFormat="false" ht="12.8" hidden="false" customHeight="false" outlineLevel="0" collapsed="false">
      <c r="B52579" s="0" t="s">
        <v>7</v>
      </c>
    </row>
    <row r="52580" customFormat="false" ht="12.8" hidden="false" customHeight="false" outlineLevel="0" collapsed="false">
      <c r="B52580" s="0" t="s">
        <v>14</v>
      </c>
    </row>
    <row r="52582" customFormat="false" ht="12.8" hidden="false" customHeight="false" outlineLevel="0" collapsed="false">
      <c r="A52582" s="0" t="s">
        <v>18448</v>
      </c>
      <c r="B52582" s="0" t="str">
        <f aca="false">HYPERLINK("https://lindat.mff.cuni.cz/services/teitok/pdtc10/index.php?action=vallex&amp;frame=v-w7464f1", "uvolňovat se (v-w7464f1)")</f>
        <v>uvolňovat se (v-w7464f1)</v>
      </c>
    </row>
    <row r="52583" customFormat="false" ht="12.8" hidden="false" customHeight="false" outlineLevel="0" collapsed="false">
      <c r="B52583" s="0" t="s">
        <v>7</v>
      </c>
      <c r="C52583" s="0" t="s">
        <v>9719</v>
      </c>
    </row>
    <row r="52584" customFormat="false" ht="12.8" hidden="false" customHeight="false" outlineLevel="0" collapsed="false">
      <c r="B52584" s="0" t="s">
        <v>581</v>
      </c>
    </row>
    <row r="52586" customFormat="false" ht="12.8" hidden="false" customHeight="false" outlineLevel="0" collapsed="false">
      <c r="A52586" s="0" t="s">
        <v>18449</v>
      </c>
      <c r="B52586" s="0" t="str">
        <f aca="false">HYPERLINK("https://lindat.mff.cuni.cz/services/teitok/pdtc10/index.php?action=vallex&amp;frame=v-w7466f2", "uvrhnout (v-w7466f2)")</f>
        <v>uvrhnout (v-w7466f2)</v>
      </c>
    </row>
    <row r="52587" customFormat="false" ht="12.8" hidden="false" customHeight="false" outlineLevel="0" collapsed="false">
      <c r="B52587" s="0" t="s">
        <v>7</v>
      </c>
      <c r="C52587" s="0" t="s">
        <v>5057</v>
      </c>
      <c r="D52587" s="0" t="s">
        <v>2323</v>
      </c>
      <c r="E52587" s="0" t="s">
        <v>2323</v>
      </c>
      <c r="F52587" s="0" t="s">
        <v>2323</v>
      </c>
    </row>
    <row r="52588" customFormat="false" ht="12.8" hidden="false" customHeight="false" outlineLevel="0" collapsed="false">
      <c r="B52588" s="0" t="s">
        <v>14</v>
      </c>
      <c r="C52588" s="0" t="s">
        <v>7264</v>
      </c>
      <c r="D52588" s="0" t="s">
        <v>1918</v>
      </c>
      <c r="E52588" s="0" t="s">
        <v>1918</v>
      </c>
      <c r="F52588" s="0" t="s">
        <v>1918</v>
      </c>
    </row>
    <row r="52589" customFormat="false" ht="12.8" hidden="false" customHeight="false" outlineLevel="0" collapsed="false">
      <c r="B52589" s="0" t="s">
        <v>279</v>
      </c>
      <c r="C52589" s="0" t="s">
        <v>1105</v>
      </c>
      <c r="D52589" s="0" t="s">
        <v>2325</v>
      </c>
      <c r="E52589" s="0" t="s">
        <v>2325</v>
      </c>
      <c r="F52589" s="0" t="s">
        <v>2325</v>
      </c>
    </row>
    <row r="52591" customFormat="false" ht="12.8" hidden="false" customHeight="false" outlineLevel="0" collapsed="false">
      <c r="A52591" s="0" t="s">
        <v>18450</v>
      </c>
      <c r="B52591" s="0" t="str">
        <f aca="false">HYPERLINK("https://lindat.mff.cuni.cz/services/teitok/pdtc10/index.php?action=vallex&amp;frame=v-w7466f1", "uvrhnout (v-w7466f1)")</f>
        <v>uvrhnout (v-w7466f1)</v>
      </c>
    </row>
    <row r="52592" customFormat="false" ht="12.8" hidden="false" customHeight="false" outlineLevel="0" collapsed="false">
      <c r="B52592" s="0" t="s">
        <v>7</v>
      </c>
      <c r="C52592" s="0" t="s">
        <v>1287</v>
      </c>
    </row>
    <row r="52593" customFormat="false" ht="12.8" hidden="false" customHeight="false" outlineLevel="0" collapsed="false">
      <c r="B52593" s="0" t="s">
        <v>14</v>
      </c>
      <c r="C52593" s="0" t="s">
        <v>2642</v>
      </c>
    </row>
    <row r="52594" customFormat="false" ht="12.8" hidden="false" customHeight="false" outlineLevel="0" collapsed="false">
      <c r="B52594" s="0" t="s">
        <v>124</v>
      </c>
    </row>
    <row r="52596" customFormat="false" ht="12.8" hidden="false" customHeight="false" outlineLevel="0" collapsed="false">
      <c r="A52596" s="0" t="s">
        <v>18451</v>
      </c>
      <c r="B52596" s="0" t="str">
        <f aca="false">HYPERLINK("https://lindat.mff.cuni.cz/services/teitok/pdtc10/index.php?action=vallex&amp;frame=v-w7420f2", "uvádět (v-w7420f2)")</f>
        <v>uvádět (v-w7420f2)</v>
      </c>
    </row>
    <row r="52597" customFormat="false" ht="12.8" hidden="false" customHeight="false" outlineLevel="0" collapsed="false">
      <c r="B52597" s="0" t="s">
        <v>7</v>
      </c>
      <c r="C52597" s="0" t="s">
        <v>18452</v>
      </c>
      <c r="D52597" s="0" t="s">
        <v>164</v>
      </c>
      <c r="E52597" s="0" t="s">
        <v>164</v>
      </c>
      <c r="F52597" s="0" t="s">
        <v>164</v>
      </c>
    </row>
    <row r="52598" customFormat="false" ht="12.8" hidden="false" customHeight="false" outlineLevel="0" collapsed="false">
      <c r="B52598" s="0" t="s">
        <v>18453</v>
      </c>
      <c r="C52598" s="0" t="s">
        <v>18454</v>
      </c>
      <c r="D52598" s="0" t="s">
        <v>167</v>
      </c>
      <c r="E52598" s="0" t="s">
        <v>167</v>
      </c>
      <c r="F52598" s="0" t="s">
        <v>167</v>
      </c>
    </row>
    <row r="52599" customFormat="false" ht="12.8" hidden="false" customHeight="false" outlineLevel="0" collapsed="false">
      <c r="B52599" s="0" t="s">
        <v>10845</v>
      </c>
      <c r="C52599" s="0" t="s">
        <v>4594</v>
      </c>
    </row>
    <row r="52601" customFormat="false" ht="12.8" hidden="false" customHeight="false" outlineLevel="0" collapsed="false">
      <c r="A52601" s="0" t="s">
        <v>18455</v>
      </c>
      <c r="B52601" s="0" t="str">
        <f aca="false">HYPERLINK("https://lindat.mff.cuni.cz/services/teitok/pdtc10/index.php?action=vallex&amp;frame=v-w7420f6", "uvádět (v-w7420f6)")</f>
        <v>uvádět (v-w7420f6)</v>
      </c>
    </row>
    <row r="52602" customFormat="false" ht="12.8" hidden="false" customHeight="false" outlineLevel="0" collapsed="false">
      <c r="B52602" s="0" t="s">
        <v>641</v>
      </c>
      <c r="C52602" s="0" t="s">
        <v>460</v>
      </c>
      <c r="D52602" s="0" t="s">
        <v>2323</v>
      </c>
      <c r="E52602" s="0" t="s">
        <v>2323</v>
      </c>
      <c r="F52602" s="0" t="s">
        <v>2323</v>
      </c>
    </row>
    <row r="52603" customFormat="false" ht="12.8" hidden="false" customHeight="false" outlineLevel="0" collapsed="false">
      <c r="B52603" s="0" t="s">
        <v>14</v>
      </c>
      <c r="C52603" s="0" t="s">
        <v>461</v>
      </c>
      <c r="D52603" s="0" t="s">
        <v>1918</v>
      </c>
      <c r="E52603" s="0" t="s">
        <v>1918</v>
      </c>
      <c r="F52603" s="0" t="s">
        <v>1918</v>
      </c>
    </row>
    <row r="52604" customFormat="false" ht="12.8" hidden="false" customHeight="false" outlineLevel="0" collapsed="false">
      <c r="B52604" s="0" t="s">
        <v>279</v>
      </c>
      <c r="D52604" s="0" t="s">
        <v>2325</v>
      </c>
      <c r="E52604" s="0" t="s">
        <v>2325</v>
      </c>
      <c r="F52604" s="0" t="s">
        <v>2325</v>
      </c>
    </row>
    <row r="52606" customFormat="false" ht="12.8" hidden="false" customHeight="false" outlineLevel="0" collapsed="false">
      <c r="A52606" s="0" t="s">
        <v>18456</v>
      </c>
      <c r="B52606" s="0" t="str">
        <f aca="false">HYPERLINK("https://lindat.mff.cuni.cz/services/teitok/pdtc10/index.php?action=vallex&amp;frame=v-w7420f4", "uvádět (v-w7420f4)")</f>
        <v>uvádět (v-w7420f4)</v>
      </c>
    </row>
    <row r="52607" customFormat="false" ht="12.8" hidden="false" customHeight="false" outlineLevel="0" collapsed="false">
      <c r="B52607" s="0" t="s">
        <v>7</v>
      </c>
      <c r="C52607" s="0" t="s">
        <v>191</v>
      </c>
      <c r="D52607" s="0" t="s">
        <v>3844</v>
      </c>
      <c r="E52607" s="0" t="s">
        <v>3844</v>
      </c>
      <c r="F52607" s="0" t="s">
        <v>3844</v>
      </c>
    </row>
    <row r="52608" customFormat="false" ht="12.8" hidden="false" customHeight="false" outlineLevel="0" collapsed="false">
      <c r="B52608" s="0" t="s">
        <v>14</v>
      </c>
      <c r="C52608" s="0" t="s">
        <v>155</v>
      </c>
      <c r="D52608" s="0" t="s">
        <v>312</v>
      </c>
      <c r="E52608" s="0" t="s">
        <v>312</v>
      </c>
      <c r="F52608" s="0" t="s">
        <v>312</v>
      </c>
    </row>
    <row r="52609" customFormat="false" ht="12.8" hidden="false" customHeight="false" outlineLevel="0" collapsed="false">
      <c r="B52609" s="0" t="s">
        <v>124</v>
      </c>
    </row>
    <row r="52611" customFormat="false" ht="12.8" hidden="false" customHeight="false" outlineLevel="0" collapsed="false">
      <c r="A52611" s="0" t="s">
        <v>18457</v>
      </c>
      <c r="B52611" s="0" t="str">
        <f aca="false">HYPERLINK("https://lindat.mff.cuni.cz/services/teitok/pdtc10/index.php?action=vallex&amp;frame=v-w7420f9", "uvádět (v-w7420f9)")</f>
        <v>uvádět (v-w7420f9)</v>
      </c>
    </row>
    <row r="52612" customFormat="false" ht="12.8" hidden="false" customHeight="false" outlineLevel="0" collapsed="false">
      <c r="B52612" s="0" t="s">
        <v>7</v>
      </c>
      <c r="C52612" s="0" t="s">
        <v>113</v>
      </c>
      <c r="D52612" s="0" t="s">
        <v>4171</v>
      </c>
      <c r="E52612" s="0" t="s">
        <v>4171</v>
      </c>
      <c r="F52612" s="0" t="s">
        <v>4171</v>
      </c>
    </row>
    <row r="52613" customFormat="false" ht="12.8" hidden="false" customHeight="false" outlineLevel="0" collapsed="false">
      <c r="B52613" s="0" t="s">
        <v>14</v>
      </c>
      <c r="C52613" s="0" t="s">
        <v>1170</v>
      </c>
      <c r="D52613" s="0" t="s">
        <v>14697</v>
      </c>
      <c r="E52613" s="0" t="s">
        <v>14697</v>
      </c>
      <c r="F52613" s="0" t="s">
        <v>14697</v>
      </c>
    </row>
    <row r="52614" customFormat="false" ht="12.8" hidden="false" customHeight="false" outlineLevel="0" collapsed="false">
      <c r="B52614" s="0" t="s">
        <v>124</v>
      </c>
    </row>
    <row r="52616" customFormat="false" ht="12.8" hidden="false" customHeight="false" outlineLevel="0" collapsed="false">
      <c r="A52616" s="0" t="s">
        <v>18458</v>
      </c>
      <c r="B52616" s="0" t="str">
        <f aca="false">HYPERLINK("https://lindat.mff.cuni.cz/services/teitok/pdtc10/index.php?action=vallex&amp;frame=v-w7420f3", "uvádět (v-w7420f3)")</f>
        <v>uvádět (v-w7420f3)</v>
      </c>
    </row>
    <row r="52617" customFormat="false" ht="12.8" hidden="false" customHeight="false" outlineLevel="0" collapsed="false">
      <c r="B52617" s="0" t="s">
        <v>7</v>
      </c>
      <c r="C52617" s="0" t="s">
        <v>465</v>
      </c>
      <c r="D52617" s="0" t="s">
        <v>1514</v>
      </c>
      <c r="E52617" s="0" t="s">
        <v>1514</v>
      </c>
      <c r="F52617" s="0" t="s">
        <v>1514</v>
      </c>
    </row>
    <row r="52618" customFormat="false" ht="12.8" hidden="false" customHeight="false" outlineLevel="0" collapsed="false">
      <c r="B52618" s="0" t="s">
        <v>14</v>
      </c>
      <c r="C52618" s="0" t="s">
        <v>79</v>
      </c>
      <c r="D52618" s="0" t="s">
        <v>3565</v>
      </c>
      <c r="E52618" s="0" t="s">
        <v>3565</v>
      </c>
      <c r="F52618" s="0" t="s">
        <v>3565</v>
      </c>
    </row>
    <row r="52620" customFormat="false" ht="12.8" hidden="false" customHeight="false" outlineLevel="0" collapsed="false">
      <c r="A52620" s="0" t="s">
        <v>18459</v>
      </c>
      <c r="B52620" s="0" t="str">
        <f aca="false">HYPERLINK("https://lindat.mff.cuni.cz/services/teitok/pdtc10/index.php?action=vallex&amp;frame=v-w7420f5", "uvádět (v-w7420f5)")</f>
        <v>uvádět (v-w7420f5)</v>
      </c>
    </row>
    <row r="52621" customFormat="false" ht="12.8" hidden="false" customHeight="false" outlineLevel="0" collapsed="false">
      <c r="B52621" s="0" t="s">
        <v>7</v>
      </c>
      <c r="C52621" s="0" t="s">
        <v>8313</v>
      </c>
    </row>
    <row r="52622" customFormat="false" ht="12.8" hidden="false" customHeight="false" outlineLevel="0" collapsed="false">
      <c r="B52622" s="0" t="s">
        <v>14</v>
      </c>
      <c r="C52622" s="0" t="s">
        <v>14429</v>
      </c>
    </row>
    <row r="52624" customFormat="false" ht="12.8" hidden="false" customHeight="false" outlineLevel="0" collapsed="false">
      <c r="A52624" s="0" t="s">
        <v>18460</v>
      </c>
      <c r="B52624" s="0" t="str">
        <f aca="false">HYPERLINK("https://lindat.mff.cuni.cz/services/teitok/pdtc10/index.php?action=vallex&amp;frame=v-w7420f10_ZU", "uvádět (v-w7420f10_ZU)")</f>
        <v>uvádět (v-w7420f10_ZU)</v>
      </c>
    </row>
    <row r="52625" customFormat="false" ht="12.8" hidden="false" customHeight="false" outlineLevel="0" collapsed="false">
      <c r="B52625" s="0" t="s">
        <v>7</v>
      </c>
      <c r="C52625" s="0" t="s">
        <v>18461</v>
      </c>
    </row>
    <row r="52626" customFormat="false" ht="12.8" hidden="false" customHeight="false" outlineLevel="0" collapsed="false">
      <c r="B52626" s="0" t="s">
        <v>14</v>
      </c>
      <c r="C52626" s="0" t="s">
        <v>18462</v>
      </c>
    </row>
    <row r="52628" customFormat="false" ht="12.8" hidden="false" customHeight="false" outlineLevel="0" collapsed="false">
      <c r="A52628" s="0" t="s">
        <v>18463</v>
      </c>
      <c r="B52628" s="0" t="str">
        <f aca="false">HYPERLINK("https://lindat.mff.cuni.cz/services/teitok/pdtc10/index.php?action=vallex&amp;frame=v-w7420f1", "uvádět (v-w7420f1)")</f>
        <v>uvádět (v-w7420f1)</v>
      </c>
    </row>
    <row r="52629" customFormat="false" ht="12.8" hidden="false" customHeight="false" outlineLevel="0" collapsed="false">
      <c r="B52629" s="0" t="s">
        <v>7</v>
      </c>
      <c r="C52629" s="0" t="s">
        <v>18464</v>
      </c>
      <c r="D52629" s="0" t="s">
        <v>164</v>
      </c>
      <c r="E52629" s="0" t="s">
        <v>164</v>
      </c>
      <c r="F52629" s="0" t="s">
        <v>164</v>
      </c>
    </row>
    <row r="52630" customFormat="false" ht="12.8" hidden="false" customHeight="false" outlineLevel="0" collapsed="false">
      <c r="B52630" s="0" t="s">
        <v>12381</v>
      </c>
      <c r="C52630" s="0" t="s">
        <v>18465</v>
      </c>
      <c r="D52630" s="0" t="s">
        <v>1766</v>
      </c>
      <c r="E52630" s="0" t="s">
        <v>1766</v>
      </c>
      <c r="F52630" s="0" t="s">
        <v>1766</v>
      </c>
    </row>
    <row r="52631" customFormat="false" ht="12.8" hidden="false" customHeight="false" outlineLevel="0" collapsed="false">
      <c r="B52631" s="0" t="s">
        <v>363</v>
      </c>
      <c r="C52631" s="0" t="s">
        <v>18466</v>
      </c>
      <c r="D52631" s="0" t="s">
        <v>167</v>
      </c>
      <c r="E52631" s="0" t="s">
        <v>167</v>
      </c>
      <c r="F52631" s="0" t="s">
        <v>167</v>
      </c>
    </row>
    <row r="52633" customFormat="false" ht="12.8" hidden="false" customHeight="false" outlineLevel="0" collapsed="false">
      <c r="A52633" s="0" t="s">
        <v>18467</v>
      </c>
      <c r="B52633" s="0" t="str">
        <f aca="false">HYPERLINK("https://lindat.mff.cuni.cz/services/teitok/pdtc10/index.php?action=vallex&amp;frame=v-w7420f8", "uvádět (v-w7420f8)")</f>
        <v>uvádět (v-w7420f8)</v>
      </c>
    </row>
    <row r="52634" customFormat="false" ht="12.8" hidden="false" customHeight="false" outlineLevel="0" collapsed="false">
      <c r="B52634" s="0" t="s">
        <v>7</v>
      </c>
    </row>
    <row r="52635" customFormat="false" ht="12.8" hidden="false" customHeight="false" outlineLevel="0" collapsed="false">
      <c r="B52635" s="0" t="s">
        <v>18468</v>
      </c>
    </row>
    <row r="52636" customFormat="false" ht="12.8" hidden="false" customHeight="false" outlineLevel="0" collapsed="false">
      <c r="B52636" s="0" t="s">
        <v>14</v>
      </c>
    </row>
    <row r="52638" customFormat="false" ht="12.8" hidden="false" customHeight="false" outlineLevel="0" collapsed="false">
      <c r="A52638" s="0" t="s">
        <v>18469</v>
      </c>
      <c r="B52638" s="0" t="str">
        <f aca="false">HYPERLINK("https://lindat.mff.cuni.cz/services/teitok/pdtc10/index.php?action=vallex&amp;frame=v-w7420f7", "uvádět (v-w7420f7)")</f>
        <v>uvádět (v-w7420f7)</v>
      </c>
    </row>
    <row r="52639" customFormat="false" ht="12.8" hidden="false" customHeight="false" outlineLevel="0" collapsed="false">
      <c r="B52639" s="0" t="s">
        <v>7</v>
      </c>
    </row>
    <row r="52640" customFormat="false" ht="12.8" hidden="false" customHeight="false" outlineLevel="0" collapsed="false">
      <c r="B52640" s="0" t="s">
        <v>18470</v>
      </c>
    </row>
    <row r="52641" customFormat="false" ht="12.8" hidden="false" customHeight="false" outlineLevel="0" collapsed="false">
      <c r="B52641" s="0" t="s">
        <v>14</v>
      </c>
    </row>
    <row r="52643" customFormat="false" ht="12.8" hidden="false" customHeight="false" outlineLevel="0" collapsed="false">
      <c r="A52643" s="0" t="s">
        <v>18471</v>
      </c>
      <c r="B52643" s="0" t="str">
        <f aca="false">HYPERLINK("https://lindat.mff.cuni.cz/services/teitok/pdtc10/index.php?action=vallex&amp;frame=v-w7420hsa_69", "uvádět (v-w7420hsa_69)")</f>
        <v>uvádět (v-w7420hsa_69)</v>
      </c>
    </row>
    <row r="52644" customFormat="false" ht="12.8" hidden="false" customHeight="false" outlineLevel="0" collapsed="false">
      <c r="B52644" s="0" t="s">
        <v>7</v>
      </c>
      <c r="C52644" s="0" t="s">
        <v>18472</v>
      </c>
      <c r="D52644" s="0" t="s">
        <v>1135</v>
      </c>
      <c r="E52644" s="0" t="s">
        <v>1135</v>
      </c>
      <c r="F52644" s="0" t="s">
        <v>1135</v>
      </c>
    </row>
    <row r="52645" customFormat="false" ht="12.8" hidden="false" customHeight="false" outlineLevel="0" collapsed="false">
      <c r="B52645" s="0" t="s">
        <v>14</v>
      </c>
      <c r="C52645" s="0" t="s">
        <v>18473</v>
      </c>
      <c r="D52645" s="0" t="s">
        <v>1137</v>
      </c>
      <c r="E52645" s="0" t="s">
        <v>1137</v>
      </c>
      <c r="F52645" s="0" t="s">
        <v>1137</v>
      </c>
    </row>
    <row r="52646" customFormat="false" ht="12.8" hidden="false" customHeight="false" outlineLevel="0" collapsed="false">
      <c r="B52646" s="0" t="s">
        <v>662</v>
      </c>
      <c r="C52646" s="0" t="s">
        <v>18474</v>
      </c>
      <c r="D52646" s="0" t="s">
        <v>18475</v>
      </c>
      <c r="E52646" s="0" t="s">
        <v>18475</v>
      </c>
      <c r="F52646" s="0" t="s">
        <v>18475</v>
      </c>
    </row>
    <row r="52648" customFormat="false" ht="12.8" hidden="false" customHeight="false" outlineLevel="0" collapsed="false">
      <c r="A52648" s="0" t="s">
        <v>18476</v>
      </c>
      <c r="B52648" s="0" t="str">
        <f aca="false">HYPERLINK("https://lindat.mff.cuni.cz/services/teitok/pdtc10/index.php?action=vallex&amp;frame=v-whsa_451f1_ZU", "uvázat (v-whsa_451f1_ZU)")</f>
        <v>uvázat (v-whsa_451f1_ZU)</v>
      </c>
    </row>
    <row r="52649" customFormat="false" ht="12.8" hidden="false" customHeight="false" outlineLevel="0" collapsed="false">
      <c r="B52649" s="0" t="s">
        <v>7</v>
      </c>
    </row>
    <row r="52650" customFormat="false" ht="12.8" hidden="false" customHeight="false" outlineLevel="0" collapsed="false">
      <c r="B52650" s="0" t="s">
        <v>14</v>
      </c>
    </row>
    <row r="52652" customFormat="false" ht="12.8" hidden="false" customHeight="false" outlineLevel="0" collapsed="false">
      <c r="A52652" s="0" t="s">
        <v>18476</v>
      </c>
      <c r="B52652" s="0" t="str">
        <f aca="false">HYPERLINK("https://lindat.mff.cuni.cz/services/teitok/pdtc10/index.php?action=vallex&amp;frame=v-whsa_451hsa_452", "uvázat (v-whsa_451hsa_452) - substituted with v-whsa_451f1_ZU")</f>
        <v>uvázat (v-whsa_451hsa_452) - substituted with v-whsa_451f1_ZU</v>
      </c>
    </row>
    <row r="52653" customFormat="false" ht="12.8" hidden="false" customHeight="false" outlineLevel="0" collapsed="false">
      <c r="B52653" s="0" t="s">
        <v>7</v>
      </c>
    </row>
    <row r="52654" customFormat="false" ht="12.8" hidden="false" customHeight="false" outlineLevel="0" collapsed="false">
      <c r="B52654" s="0" t="s">
        <v>14</v>
      </c>
    </row>
    <row r="52656" customFormat="false" ht="12.8" hidden="false" customHeight="false" outlineLevel="0" collapsed="false">
      <c r="A52656" s="0" t="s">
        <v>18477</v>
      </c>
      <c r="B52656" s="0" t="str">
        <f aca="false">HYPERLINK("https://lindat.mff.cuni.cz/services/teitok/pdtc10/index.php?action=vallex&amp;frame=v-whsa_451hsa_453", "uvázat (v-whsa_451hsa_453)")</f>
        <v>uvázat (v-whsa_451hsa_453)</v>
      </c>
    </row>
    <row r="52657" customFormat="false" ht="12.8" hidden="false" customHeight="false" outlineLevel="0" collapsed="false">
      <c r="B52657" s="0" t="s">
        <v>7</v>
      </c>
    </row>
    <row r="52658" customFormat="false" ht="12.8" hidden="false" customHeight="false" outlineLevel="0" collapsed="false">
      <c r="B52658" s="0" t="s">
        <v>14</v>
      </c>
    </row>
    <row r="52659" customFormat="false" ht="12.8" hidden="false" customHeight="false" outlineLevel="0" collapsed="false">
      <c r="B52659" s="0" t="s">
        <v>35</v>
      </c>
    </row>
    <row r="52660" customFormat="false" ht="12.8" hidden="false" customHeight="false" outlineLevel="0" collapsed="false">
      <c r="B52660" s="0" t="s">
        <v>181</v>
      </c>
    </row>
    <row r="52662" customFormat="false" ht="12.8" hidden="false" customHeight="false" outlineLevel="0" collapsed="false">
      <c r="A52662" s="0" t="s">
        <v>18478</v>
      </c>
      <c r="B52662" s="0" t="str">
        <f aca="false">HYPERLINK("https://lindat.mff.cuni.cz/services/teitok/pdtc10/index.php?action=vallex&amp;frame=v-w11407f2", "uvázat se (v-w11407f2)")</f>
        <v>uvázat se (v-w11407f2)</v>
      </c>
    </row>
    <row r="52663" customFormat="false" ht="12.8" hidden="false" customHeight="false" outlineLevel="0" collapsed="false">
      <c r="B52663" s="0" t="s">
        <v>7</v>
      </c>
    </row>
    <row r="52664" customFormat="false" ht="12.8" hidden="false" customHeight="false" outlineLevel="0" collapsed="false">
      <c r="B52664" s="0" t="s">
        <v>17939</v>
      </c>
    </row>
    <row r="52665" customFormat="false" ht="12.8" hidden="false" customHeight="false" outlineLevel="0" collapsed="false">
      <c r="B52665" s="0" t="s">
        <v>106</v>
      </c>
    </row>
    <row r="52667" customFormat="false" ht="12.8" hidden="false" customHeight="false" outlineLevel="0" collapsed="false">
      <c r="A52667" s="0" t="s">
        <v>18479</v>
      </c>
      <c r="B52667" s="0" t="str">
        <f aca="false">HYPERLINK("https://lindat.mff.cuni.cz/services/teitok/pdtc10/index.php?action=vallex&amp;frame=v-w7428f1", "uváznout (v-w7428f1)")</f>
        <v>uváznout (v-w7428f1)</v>
      </c>
    </row>
    <row r="52668" customFormat="false" ht="12.8" hidden="false" customHeight="false" outlineLevel="0" collapsed="false">
      <c r="B52668" s="0" t="s">
        <v>7</v>
      </c>
      <c r="C52668" s="0" t="s">
        <v>18480</v>
      </c>
      <c r="D52668" s="0" t="s">
        <v>18481</v>
      </c>
      <c r="E52668" s="0" t="s">
        <v>18481</v>
      </c>
      <c r="F52668" s="0" t="s">
        <v>18481</v>
      </c>
    </row>
    <row r="52669" customFormat="false" ht="12.8" hidden="false" customHeight="false" outlineLevel="0" collapsed="false">
      <c r="B52669" s="0" t="s">
        <v>11</v>
      </c>
      <c r="D52669" s="0" t="s">
        <v>18482</v>
      </c>
      <c r="E52669" s="0" t="s">
        <v>18482</v>
      </c>
      <c r="F52669" s="0" t="s">
        <v>18482</v>
      </c>
    </row>
    <row r="52671" customFormat="false" ht="12.8" hidden="false" customHeight="false" outlineLevel="0" collapsed="false">
      <c r="A52671" s="0" t="s">
        <v>18483</v>
      </c>
      <c r="B52671" s="0" t="str">
        <f aca="false">HYPERLINK("https://lindat.mff.cuni.cz/services/teitok/pdtc10/index.php?action=vallex&amp;frame=v-w7429f1", "uvážit (v-w7429f1)")</f>
        <v>uvážit (v-w7429f1)</v>
      </c>
    </row>
    <row r="52672" customFormat="false" ht="12.8" hidden="false" customHeight="false" outlineLevel="0" collapsed="false">
      <c r="B52672" s="0" t="s">
        <v>7</v>
      </c>
      <c r="C52672" s="0" t="s">
        <v>411</v>
      </c>
      <c r="D52672" s="0" t="s">
        <v>515</v>
      </c>
      <c r="E52672" s="0" t="s">
        <v>515</v>
      </c>
      <c r="F52672" s="0" t="s">
        <v>515</v>
      </c>
    </row>
    <row r="52673" customFormat="false" ht="12.8" hidden="false" customHeight="false" outlineLevel="0" collapsed="false">
      <c r="B52673" s="0" t="s">
        <v>11236</v>
      </c>
      <c r="C52673" s="0" t="s">
        <v>59</v>
      </c>
      <c r="D52673" s="0" t="s">
        <v>519</v>
      </c>
      <c r="E52673" s="0" t="s">
        <v>519</v>
      </c>
      <c r="F52673" s="0" t="s">
        <v>519</v>
      </c>
    </row>
    <row r="52675" customFormat="false" ht="12.8" hidden="false" customHeight="false" outlineLevel="0" collapsed="false">
      <c r="A52675" s="0" t="s">
        <v>18484</v>
      </c>
      <c r="B52675" s="0" t="str">
        <f aca="false">HYPERLINK("https://lindat.mff.cuni.cz/services/teitok/pdtc10/index.php?action=vallex&amp;frame=v-w7449f3", "uvést (v-w7449f3)")</f>
        <v>uvést (v-w7449f3)</v>
      </c>
    </row>
    <row r="52676" customFormat="false" ht="12.8" hidden="false" customHeight="false" outlineLevel="0" collapsed="false">
      <c r="B52676" s="0" t="s">
        <v>7</v>
      </c>
      <c r="C52676" s="0" t="s">
        <v>18485</v>
      </c>
      <c r="D52676" s="0" t="s">
        <v>164</v>
      </c>
      <c r="E52676" s="0" t="s">
        <v>164</v>
      </c>
      <c r="F52676" s="0" t="s">
        <v>164</v>
      </c>
    </row>
    <row r="52677" customFormat="false" ht="12.8" hidden="false" customHeight="false" outlineLevel="0" collapsed="false">
      <c r="B52677" s="0" t="s">
        <v>1691</v>
      </c>
      <c r="C52677" s="0" t="s">
        <v>18486</v>
      </c>
      <c r="D52677" s="0" t="s">
        <v>167</v>
      </c>
      <c r="E52677" s="0" t="s">
        <v>167</v>
      </c>
      <c r="F52677" s="0" t="s">
        <v>167</v>
      </c>
    </row>
    <row r="52678" customFormat="false" ht="12.8" hidden="false" customHeight="false" outlineLevel="0" collapsed="false">
      <c r="B52678" s="0" t="s">
        <v>98</v>
      </c>
      <c r="C52678" s="0" t="s">
        <v>18487</v>
      </c>
    </row>
    <row r="52680" customFormat="false" ht="12.8" hidden="false" customHeight="false" outlineLevel="0" collapsed="false">
      <c r="A52680" s="0" t="s">
        <v>18488</v>
      </c>
      <c r="B52680" s="0" t="str">
        <f aca="false">HYPERLINK("https://lindat.mff.cuni.cz/services/teitok/pdtc10/index.php?action=vallex&amp;frame=v-w7449f4", "uvést (v-w7449f4)")</f>
        <v>uvést (v-w7449f4)</v>
      </c>
    </row>
    <row r="52681" customFormat="false" ht="12.8" hidden="false" customHeight="false" outlineLevel="0" collapsed="false">
      <c r="B52681" s="0" t="s">
        <v>641</v>
      </c>
      <c r="C52681" s="0" t="s">
        <v>18489</v>
      </c>
      <c r="D52681" s="0" t="s">
        <v>2323</v>
      </c>
      <c r="E52681" s="0" t="s">
        <v>2323</v>
      </c>
      <c r="F52681" s="0" t="s">
        <v>2323</v>
      </c>
    </row>
    <row r="52682" customFormat="false" ht="12.8" hidden="false" customHeight="false" outlineLevel="0" collapsed="false">
      <c r="B52682" s="0" t="s">
        <v>14</v>
      </c>
      <c r="C52682" s="0" t="s">
        <v>18490</v>
      </c>
      <c r="D52682" s="0" t="s">
        <v>1918</v>
      </c>
      <c r="E52682" s="0" t="s">
        <v>1918</v>
      </c>
      <c r="F52682" s="0" t="s">
        <v>1918</v>
      </c>
    </row>
    <row r="52683" customFormat="false" ht="12.8" hidden="false" customHeight="false" outlineLevel="0" collapsed="false">
      <c r="B52683" s="0" t="s">
        <v>279</v>
      </c>
      <c r="C52683" s="0" t="s">
        <v>18491</v>
      </c>
      <c r="D52683" s="0" t="s">
        <v>2325</v>
      </c>
      <c r="E52683" s="0" t="s">
        <v>2325</v>
      </c>
      <c r="F52683" s="0" t="s">
        <v>2325</v>
      </c>
    </row>
    <row r="52685" customFormat="false" ht="12.8" hidden="false" customHeight="false" outlineLevel="0" collapsed="false">
      <c r="A52685" s="0" t="s">
        <v>18492</v>
      </c>
      <c r="B52685" s="0" t="str">
        <f aca="false">HYPERLINK("https://lindat.mff.cuni.cz/services/teitok/pdtc10/index.php?action=vallex&amp;frame=v-w7449f5", "uvést (v-w7449f5)")</f>
        <v>uvést (v-w7449f5)</v>
      </c>
    </row>
    <row r="52686" customFormat="false" ht="12.8" hidden="false" customHeight="false" outlineLevel="0" collapsed="false">
      <c r="B52686" s="0" t="s">
        <v>7</v>
      </c>
      <c r="C52686" s="0" t="s">
        <v>18493</v>
      </c>
      <c r="D52686" s="0" t="s">
        <v>4171</v>
      </c>
      <c r="E52686" s="0" t="s">
        <v>4171</v>
      </c>
      <c r="F52686" s="0" t="s">
        <v>4171</v>
      </c>
    </row>
    <row r="52687" customFormat="false" ht="12.8" hidden="false" customHeight="false" outlineLevel="0" collapsed="false">
      <c r="B52687" s="0" t="s">
        <v>14</v>
      </c>
      <c r="C52687" s="0" t="s">
        <v>18494</v>
      </c>
      <c r="D52687" s="0" t="s">
        <v>14697</v>
      </c>
      <c r="E52687" s="0" t="s">
        <v>14697</v>
      </c>
      <c r="F52687" s="0" t="s">
        <v>14697</v>
      </c>
    </row>
    <row r="52688" customFormat="false" ht="12.8" hidden="false" customHeight="false" outlineLevel="0" collapsed="false">
      <c r="B52688" s="0" t="s">
        <v>124</v>
      </c>
      <c r="C52688" s="0" t="s">
        <v>2223</v>
      </c>
    </row>
    <row r="52690" customFormat="false" ht="12.8" hidden="false" customHeight="false" outlineLevel="0" collapsed="false">
      <c r="A52690" s="0" t="s">
        <v>18495</v>
      </c>
      <c r="B52690" s="0" t="str">
        <f aca="false">HYPERLINK("https://lindat.mff.cuni.cz/services/teitok/pdtc10/index.php?action=vallex&amp;frame=v-w7449f6", "uvést (v-w7449f6)")</f>
        <v>uvést (v-w7449f6)</v>
      </c>
    </row>
    <row r="52691" customFormat="false" ht="12.8" hidden="false" customHeight="false" outlineLevel="0" collapsed="false">
      <c r="B52691" s="0" t="s">
        <v>7</v>
      </c>
      <c r="C52691" s="0" t="s">
        <v>18496</v>
      </c>
      <c r="D52691" s="0" t="s">
        <v>4179</v>
      </c>
      <c r="E52691" s="0" t="s">
        <v>2675</v>
      </c>
      <c r="F52691" s="0" t="s">
        <v>2675</v>
      </c>
    </row>
    <row r="52692" customFormat="false" ht="12.8" hidden="false" customHeight="false" outlineLevel="0" collapsed="false">
      <c r="B52692" s="0" t="s">
        <v>14</v>
      </c>
      <c r="C52692" s="0" t="s">
        <v>18497</v>
      </c>
      <c r="D52692" s="0" t="s">
        <v>18498</v>
      </c>
      <c r="E52692" s="0" t="s">
        <v>2677</v>
      </c>
      <c r="F52692" s="0" t="s">
        <v>2677</v>
      </c>
    </row>
    <row r="52693" customFormat="false" ht="12.8" hidden="false" customHeight="false" outlineLevel="0" collapsed="false">
      <c r="B52693" s="0" t="s">
        <v>124</v>
      </c>
      <c r="D52693" s="0" t="s">
        <v>1761</v>
      </c>
      <c r="E52693" s="0" t="s">
        <v>1761</v>
      </c>
      <c r="F52693" s="0" t="s">
        <v>1761</v>
      </c>
    </row>
    <row r="52695" customFormat="false" ht="12.8" hidden="false" customHeight="false" outlineLevel="0" collapsed="false">
      <c r="A52695" s="0" t="s">
        <v>18499</v>
      </c>
      <c r="B52695" s="0" t="str">
        <f aca="false">HYPERLINK("https://lindat.mff.cuni.cz/services/teitok/pdtc10/index.php?action=vallex&amp;frame=v-w7449f2", "uvést (v-w7449f2)")</f>
        <v>uvést (v-w7449f2)</v>
      </c>
    </row>
    <row r="52696" customFormat="false" ht="12.8" hidden="false" customHeight="false" outlineLevel="0" collapsed="false">
      <c r="B52696" s="0" t="s">
        <v>7</v>
      </c>
      <c r="C52696" s="0" t="s">
        <v>18500</v>
      </c>
      <c r="D52696" s="0" t="s">
        <v>3051</v>
      </c>
      <c r="E52696" s="0" t="s">
        <v>3051</v>
      </c>
      <c r="F52696" s="0" t="s">
        <v>3051</v>
      </c>
    </row>
    <row r="52697" customFormat="false" ht="12.8" hidden="false" customHeight="false" outlineLevel="0" collapsed="false">
      <c r="B52697" s="0" t="s">
        <v>14</v>
      </c>
      <c r="C52697" s="0" t="s">
        <v>18501</v>
      </c>
      <c r="D52697" s="0" t="s">
        <v>6202</v>
      </c>
      <c r="E52697" s="0" t="s">
        <v>6202</v>
      </c>
      <c r="F52697" s="0" t="s">
        <v>6202</v>
      </c>
    </row>
    <row r="52699" customFormat="false" ht="12.8" hidden="false" customHeight="false" outlineLevel="0" collapsed="false">
      <c r="A52699" s="0" t="s">
        <v>18502</v>
      </c>
      <c r="B52699" s="0" t="str">
        <f aca="false">HYPERLINK("https://lindat.mff.cuni.cz/services/teitok/pdtc10/index.php?action=vallex&amp;frame=v-w7449f9", "uvést (v-w7449f9)")</f>
        <v>uvést (v-w7449f9)</v>
      </c>
    </row>
    <row r="52700" customFormat="false" ht="12.8" hidden="false" customHeight="false" outlineLevel="0" collapsed="false">
      <c r="B52700" s="0" t="s">
        <v>7</v>
      </c>
      <c r="C52700" s="0" t="s">
        <v>2012</v>
      </c>
    </row>
    <row r="52701" customFormat="false" ht="12.8" hidden="false" customHeight="false" outlineLevel="0" collapsed="false">
      <c r="B52701" s="0" t="s">
        <v>14</v>
      </c>
      <c r="C52701" s="0" t="s">
        <v>3858</v>
      </c>
    </row>
    <row r="52703" customFormat="false" ht="12.8" hidden="false" customHeight="false" outlineLevel="0" collapsed="false">
      <c r="A52703" s="0" t="s">
        <v>18503</v>
      </c>
      <c r="B52703" s="0" t="str">
        <f aca="false">HYPERLINK("https://lindat.mff.cuni.cz/services/teitok/pdtc10/index.php?action=vallex&amp;frame=v-w7449f11_ZU", "uvést (v-w7449f11_ZU)")</f>
        <v>uvést (v-w7449f11_ZU)</v>
      </c>
    </row>
    <row r="52704" customFormat="false" ht="12.8" hidden="false" customHeight="false" outlineLevel="0" collapsed="false">
      <c r="B52704" s="0" t="s">
        <v>7</v>
      </c>
      <c r="C52704" s="0" t="s">
        <v>18504</v>
      </c>
      <c r="D52704" s="0" t="s">
        <v>164</v>
      </c>
      <c r="E52704" s="0" t="s">
        <v>164</v>
      </c>
      <c r="F52704" s="0" t="s">
        <v>164</v>
      </c>
    </row>
    <row r="52705" customFormat="false" ht="12.8" hidden="false" customHeight="false" outlineLevel="0" collapsed="false">
      <c r="B52705" s="0" t="s">
        <v>15343</v>
      </c>
      <c r="C52705" s="0" t="s">
        <v>18505</v>
      </c>
      <c r="D52705" s="0" t="s">
        <v>1766</v>
      </c>
      <c r="E52705" s="0" t="s">
        <v>1766</v>
      </c>
      <c r="F52705" s="0" t="s">
        <v>1766</v>
      </c>
    </row>
    <row r="52706" customFormat="false" ht="12.8" hidden="false" customHeight="false" outlineLevel="0" collapsed="false">
      <c r="B52706" s="0" t="s">
        <v>363</v>
      </c>
      <c r="C52706" s="0" t="s">
        <v>1768</v>
      </c>
      <c r="D52706" s="0" t="s">
        <v>167</v>
      </c>
      <c r="E52706" s="0" t="s">
        <v>167</v>
      </c>
      <c r="F52706" s="0" t="s">
        <v>167</v>
      </c>
    </row>
    <row r="52707" customFormat="false" ht="12.8" hidden="false" customHeight="false" outlineLevel="0" collapsed="false">
      <c r="B52707" s="0" t="s">
        <v>106</v>
      </c>
      <c r="C52707" s="0" t="s">
        <v>18506</v>
      </c>
      <c r="D52707" s="0" t="s">
        <v>168</v>
      </c>
      <c r="E52707" s="0" t="s">
        <v>168</v>
      </c>
      <c r="F52707" s="0" t="s">
        <v>168</v>
      </c>
    </row>
    <row r="52709" customFormat="false" ht="12.8" hidden="false" customHeight="false" outlineLevel="0" collapsed="false">
      <c r="A52709" s="0" t="s">
        <v>18503</v>
      </c>
      <c r="B52709" s="0" t="str">
        <f aca="false">HYPERLINK("https://lindat.mff.cuni.cz/services/teitok/pdtc10/index.php?action=vallex&amp;frame=v-w7449f1", "uvést (v-w7449f1) - substituted with v-w7449f11_ZU")</f>
        <v>uvést (v-w7449f1) - substituted with v-w7449f11_ZU</v>
      </c>
    </row>
    <row r="52710" customFormat="false" ht="12.8" hidden="false" customHeight="false" outlineLevel="0" collapsed="false">
      <c r="B52710" s="0" t="s">
        <v>7</v>
      </c>
      <c r="C52710" s="0" t="s">
        <v>18507</v>
      </c>
    </row>
    <row r="52711" customFormat="false" ht="12.8" hidden="false" customHeight="false" outlineLevel="0" collapsed="false">
      <c r="B52711" s="0" t="s">
        <v>15343</v>
      </c>
      <c r="C52711" s="0" t="s">
        <v>18508</v>
      </c>
    </row>
    <row r="52712" customFormat="false" ht="12.8" hidden="false" customHeight="false" outlineLevel="0" collapsed="false">
      <c r="B52712" s="0" t="s">
        <v>363</v>
      </c>
      <c r="C52712" s="0" t="s">
        <v>18509</v>
      </c>
    </row>
    <row r="52713" customFormat="false" ht="12.8" hidden="false" customHeight="false" outlineLevel="0" collapsed="false">
      <c r="B52713" s="0" t="s">
        <v>106</v>
      </c>
    </row>
    <row r="52715" customFormat="false" ht="12.8" hidden="false" customHeight="false" outlineLevel="0" collapsed="false">
      <c r="A52715" s="0" t="s">
        <v>18510</v>
      </c>
      <c r="B52715" s="0" t="str">
        <f aca="false">HYPERLINK("https://lindat.mff.cuni.cz/services/teitok/pdtc10/index.php?action=vallex&amp;frame=v-w7449f15_ZU", "uvést (v-w7449f15_ZU)")</f>
        <v>uvést (v-w7449f15_ZU)</v>
      </c>
    </row>
    <row r="52716" customFormat="false" ht="12.8" hidden="false" customHeight="false" outlineLevel="0" collapsed="false">
      <c r="B52716" s="0" t="s">
        <v>7</v>
      </c>
    </row>
    <row r="52717" customFormat="false" ht="12.8" hidden="false" customHeight="false" outlineLevel="0" collapsed="false">
      <c r="B52717" s="0" t="s">
        <v>18511</v>
      </c>
    </row>
    <row r="52718" customFormat="false" ht="12.8" hidden="false" customHeight="false" outlineLevel="0" collapsed="false">
      <c r="B52718" s="0" t="s">
        <v>106</v>
      </c>
    </row>
    <row r="52720" customFormat="false" ht="12.8" hidden="false" customHeight="false" outlineLevel="0" collapsed="false">
      <c r="A52720" s="0" t="s">
        <v>18510</v>
      </c>
      <c r="B52720" s="0" t="str">
        <f aca="false">HYPERLINK("https://lindat.mff.cuni.cz/services/teitok/pdtc10/index.php?action=vallex&amp;frame=v-w7449f12_ZU", "uvést (v-w7449f12_ZU) - substituted with v-w7449f15_ZU")</f>
        <v>uvést (v-w7449f12_ZU) - substituted with v-w7449f15_ZU</v>
      </c>
    </row>
    <row r="52721" customFormat="false" ht="12.8" hidden="false" customHeight="false" outlineLevel="0" collapsed="false">
      <c r="B52721" s="0" t="s">
        <v>7</v>
      </c>
      <c r="C52721" s="0" t="s">
        <v>18512</v>
      </c>
    </row>
    <row r="52722" customFormat="false" ht="12.8" hidden="false" customHeight="false" outlineLevel="0" collapsed="false">
      <c r="B52722" s="0" t="s">
        <v>18511</v>
      </c>
      <c r="C52722" s="0" t="s">
        <v>18513</v>
      </c>
    </row>
    <row r="52723" customFormat="false" ht="12.8" hidden="false" customHeight="false" outlineLevel="0" collapsed="false">
      <c r="B52723" s="0" t="s">
        <v>106</v>
      </c>
      <c r="C52723" s="0" t="s">
        <v>6283</v>
      </c>
    </row>
    <row r="52725" customFormat="false" ht="12.8" hidden="false" customHeight="false" outlineLevel="0" collapsed="false">
      <c r="A52725" s="0" t="s">
        <v>18510</v>
      </c>
      <c r="B52725" s="0" t="str">
        <f aca="false">HYPERLINK("https://lindat.mff.cuni.cz/services/teitok/pdtc10/index.php?action=vallex&amp;frame=v-w7449hsa_686", "uvést (v-w7449hsa_686) - substituted with v-w7449f15_ZU")</f>
        <v>uvést (v-w7449hsa_686) - substituted with v-w7449f15_ZU</v>
      </c>
    </row>
    <row r="52726" customFormat="false" ht="12.8" hidden="false" customHeight="false" outlineLevel="0" collapsed="false">
      <c r="B52726" s="0" t="s">
        <v>7</v>
      </c>
      <c r="C52726" s="0" t="s">
        <v>113</v>
      </c>
    </row>
    <row r="52727" customFormat="false" ht="12.8" hidden="false" customHeight="false" outlineLevel="0" collapsed="false">
      <c r="B52727" s="0" t="s">
        <v>18511</v>
      </c>
      <c r="C52727" s="0" t="s">
        <v>18514</v>
      </c>
    </row>
    <row r="52728" customFormat="false" ht="12.8" hidden="false" customHeight="false" outlineLevel="0" collapsed="false">
      <c r="B52728" s="0" t="s">
        <v>106</v>
      </c>
    </row>
    <row r="52730" customFormat="false" ht="12.8" hidden="false" customHeight="false" outlineLevel="0" collapsed="false">
      <c r="A52730" s="0" t="s">
        <v>18515</v>
      </c>
      <c r="B52730" s="0" t="str">
        <f aca="false">HYPERLINK("https://lindat.mff.cuni.cz/services/teitok/pdtc10/index.php?action=vallex&amp;frame=v-w7449f14_ZU", "uvést (v-w7449f14_ZU)")</f>
        <v>uvést (v-w7449f14_ZU)</v>
      </c>
    </row>
    <row r="52731" customFormat="false" ht="12.8" hidden="false" customHeight="false" outlineLevel="0" collapsed="false">
      <c r="B52731" s="0" t="s">
        <v>7</v>
      </c>
      <c r="C52731" s="0" t="s">
        <v>1801</v>
      </c>
    </row>
    <row r="52732" customFormat="false" ht="12.8" hidden="false" customHeight="false" outlineLevel="0" collapsed="false">
      <c r="B52732" s="0" t="s">
        <v>18516</v>
      </c>
      <c r="C52732" s="0" t="s">
        <v>18517</v>
      </c>
    </row>
    <row r="52734" customFormat="false" ht="12.8" hidden="false" customHeight="false" outlineLevel="0" collapsed="false">
      <c r="A52734" s="0" t="s">
        <v>18518</v>
      </c>
      <c r="B52734" s="0" t="str">
        <f aca="false">HYPERLINK("https://lindat.mff.cuni.cz/services/teitok/pdtc10/index.php?action=vallex&amp;frame=v-w7449f7", "uvést (v-w7449f7)")</f>
        <v>uvést (v-w7449f7)</v>
      </c>
    </row>
    <row r="52735" customFormat="false" ht="12.8" hidden="false" customHeight="false" outlineLevel="0" collapsed="false">
      <c r="B52735" s="0" t="s">
        <v>7</v>
      </c>
      <c r="C52735" s="0" t="s">
        <v>3243</v>
      </c>
    </row>
    <row r="52736" customFormat="false" ht="12.8" hidden="false" customHeight="false" outlineLevel="0" collapsed="false">
      <c r="B52736" s="0" t="s">
        <v>18519</v>
      </c>
    </row>
    <row r="52737" customFormat="false" ht="12.8" hidden="false" customHeight="false" outlineLevel="0" collapsed="false">
      <c r="B52737" s="0" t="s">
        <v>14</v>
      </c>
      <c r="C52737" s="0" t="s">
        <v>3244</v>
      </c>
    </row>
    <row r="52739" customFormat="false" ht="12.8" hidden="false" customHeight="false" outlineLevel="0" collapsed="false">
      <c r="A52739" s="0" t="s">
        <v>18520</v>
      </c>
      <c r="B52739" s="0" t="str">
        <f aca="false">HYPERLINK("https://lindat.mff.cuni.cz/services/teitok/pdtc10/index.php?action=vallex&amp;frame=v-w7449f8", "uvést (v-w7449f8)")</f>
        <v>uvést (v-w7449f8)</v>
      </c>
    </row>
    <row r="52740" customFormat="false" ht="12.8" hidden="false" customHeight="false" outlineLevel="0" collapsed="false">
      <c r="B52740" s="0" t="s">
        <v>7</v>
      </c>
    </row>
    <row r="52741" customFormat="false" ht="12.8" hidden="false" customHeight="false" outlineLevel="0" collapsed="false">
      <c r="B52741" s="0" t="s">
        <v>18470</v>
      </c>
    </row>
    <row r="52742" customFormat="false" ht="12.8" hidden="false" customHeight="false" outlineLevel="0" collapsed="false">
      <c r="B52742" s="0" t="s">
        <v>14</v>
      </c>
    </row>
    <row r="52744" customFormat="false" ht="12.8" hidden="false" customHeight="false" outlineLevel="0" collapsed="false">
      <c r="A52744" s="0" t="s">
        <v>18521</v>
      </c>
      <c r="B52744" s="0" t="str">
        <f aca="false">HYPERLINK("https://lindat.mff.cuni.cz/services/teitok/pdtc10/index.php?action=vallex&amp;frame=v-w7449f13_ZU", "uvést (v-w7449f13_ZU)")</f>
        <v>uvést (v-w7449f13_ZU)</v>
      </c>
    </row>
    <row r="52745" customFormat="false" ht="12.8" hidden="false" customHeight="false" outlineLevel="0" collapsed="false">
      <c r="B52745" s="0" t="s">
        <v>7</v>
      </c>
    </row>
    <row r="52746" customFormat="false" ht="12.8" hidden="false" customHeight="false" outlineLevel="0" collapsed="false">
      <c r="B52746" s="0" t="s">
        <v>18522</v>
      </c>
    </row>
    <row r="52747" customFormat="false" ht="12.8" hidden="false" customHeight="false" outlineLevel="0" collapsed="false">
      <c r="B52747" s="0" t="s">
        <v>14</v>
      </c>
    </row>
    <row r="52749" customFormat="false" ht="12.8" hidden="false" customHeight="false" outlineLevel="0" collapsed="false">
      <c r="A52749" s="0" t="s">
        <v>18523</v>
      </c>
      <c r="B52749" s="0" t="str">
        <f aca="false">HYPERLINK("https://lindat.mff.cuni.cz/services/teitok/pdtc10/index.php?action=vallex&amp;frame=v-w7449f10_ZU", "uvést (v-w7449f10_ZU)")</f>
        <v>uvést (v-w7449f10_ZU)</v>
      </c>
    </row>
    <row r="52750" customFormat="false" ht="12.8" hidden="false" customHeight="false" outlineLevel="0" collapsed="false">
      <c r="B52750" s="0" t="s">
        <v>7</v>
      </c>
    </row>
    <row r="52751" customFormat="false" ht="12.8" hidden="false" customHeight="false" outlineLevel="0" collapsed="false">
      <c r="B52751" s="0" t="s">
        <v>18524</v>
      </c>
    </row>
    <row r="52752" customFormat="false" ht="12.8" hidden="false" customHeight="false" outlineLevel="0" collapsed="false">
      <c r="B52752" s="0" t="s">
        <v>14</v>
      </c>
    </row>
    <row r="52754" customFormat="false" ht="12.8" hidden="false" customHeight="false" outlineLevel="0" collapsed="false">
      <c r="A52754" s="0" t="s">
        <v>18525</v>
      </c>
      <c r="B52754" s="0" t="str">
        <f aca="false">HYPERLINK("https://lindat.mff.cuni.cz/services/teitok/pdtc10/index.php?action=vallex&amp;frame=v-w7450f1", "uvést se (v-w7450f1)")</f>
        <v>uvést se (v-w7450f1)</v>
      </c>
    </row>
    <row r="52755" customFormat="false" ht="12.8" hidden="false" customHeight="false" outlineLevel="0" collapsed="false">
      <c r="B52755" s="0" t="s">
        <v>7</v>
      </c>
    </row>
    <row r="52756" customFormat="false" ht="12.8" hidden="false" customHeight="false" outlineLevel="0" collapsed="false">
      <c r="B52756" s="0" t="s">
        <v>474</v>
      </c>
    </row>
    <row r="52757" customFormat="false" ht="12.8" hidden="false" customHeight="false" outlineLevel="0" collapsed="false">
      <c r="B52757" s="0" t="s">
        <v>477</v>
      </c>
    </row>
    <row r="52758" customFormat="false" ht="12.8" hidden="false" customHeight="false" outlineLevel="0" collapsed="false">
      <c r="B52758" s="0" t="s">
        <v>479</v>
      </c>
    </row>
    <row r="52759" customFormat="false" ht="12.8" hidden="false" customHeight="false" outlineLevel="0" collapsed="false">
      <c r="B52759" s="0" t="s">
        <v>481</v>
      </c>
    </row>
    <row r="52760" customFormat="false" ht="12.8" hidden="false" customHeight="false" outlineLevel="0" collapsed="false">
      <c r="B52760" s="0" t="s">
        <v>483</v>
      </c>
    </row>
    <row r="52762" customFormat="false" ht="12.8" hidden="false" customHeight="false" outlineLevel="0" collapsed="false">
      <c r="A52762" s="0" t="s">
        <v>18526</v>
      </c>
      <c r="B52762" s="0" t="str">
        <f aca="false">HYPERLINK("https://lindat.mff.cuni.cz/services/teitok/pdtc10/index.php?action=vallex&amp;frame=v-w7455f3", "uvítat (v-w7455f3)")</f>
        <v>uvítat (v-w7455f3)</v>
      </c>
    </row>
    <row r="52763" customFormat="false" ht="12.8" hidden="false" customHeight="false" outlineLevel="0" collapsed="false">
      <c r="B52763" s="0" t="s">
        <v>7</v>
      </c>
    </row>
    <row r="52764" customFormat="false" ht="12.8" hidden="false" customHeight="false" outlineLevel="0" collapsed="false">
      <c r="B52764" s="0" t="s">
        <v>548</v>
      </c>
    </row>
    <row r="52765" customFormat="false" ht="12.8" hidden="false" customHeight="false" outlineLevel="0" collapsed="false">
      <c r="B52765" s="0" t="s">
        <v>1252</v>
      </c>
    </row>
    <row r="52767" customFormat="false" ht="12.8" hidden="false" customHeight="false" outlineLevel="0" collapsed="false">
      <c r="A52767" s="0" t="s">
        <v>18527</v>
      </c>
      <c r="B52767" s="0" t="str">
        <f aca="false">HYPERLINK("https://lindat.mff.cuni.cz/services/teitok/pdtc10/index.php?action=vallex&amp;frame=v-w7455f2", "uvítat (v-w7455f2)")</f>
        <v>uvítat (v-w7455f2)</v>
      </c>
    </row>
    <row r="52768" customFormat="false" ht="12.8" hidden="false" customHeight="false" outlineLevel="0" collapsed="false">
      <c r="B52768" s="0" t="s">
        <v>7</v>
      </c>
      <c r="C52768" s="0" t="s">
        <v>354</v>
      </c>
      <c r="D52768" s="0" t="s">
        <v>118</v>
      </c>
      <c r="E52768" s="0" t="s">
        <v>118</v>
      </c>
      <c r="F52768" s="0" t="s">
        <v>118</v>
      </c>
    </row>
    <row r="52769" customFormat="false" ht="12.8" hidden="false" customHeight="false" outlineLevel="0" collapsed="false">
      <c r="B52769" s="0" t="s">
        <v>18528</v>
      </c>
      <c r="C52769" s="0" t="s">
        <v>13362</v>
      </c>
      <c r="D52769" s="0" t="s">
        <v>120</v>
      </c>
      <c r="E52769" s="0" t="s">
        <v>120</v>
      </c>
      <c r="F52769" s="0" t="s">
        <v>120</v>
      </c>
    </row>
    <row r="52771" customFormat="false" ht="12.8" hidden="false" customHeight="false" outlineLevel="0" collapsed="false">
      <c r="A52771" s="0" t="s">
        <v>18529</v>
      </c>
      <c r="B52771" s="0" t="str">
        <f aca="false">HYPERLINK("https://lindat.mff.cuni.cz/services/teitok/pdtc10/index.php?action=vallex&amp;frame=v-w7455f1", "uvítat (v-w7455f1)")</f>
        <v>uvítat (v-w7455f1)</v>
      </c>
    </row>
    <row r="52772" customFormat="false" ht="12.8" hidden="false" customHeight="false" outlineLevel="0" collapsed="false">
      <c r="B52772" s="0" t="s">
        <v>7</v>
      </c>
      <c r="C52772" s="0" t="s">
        <v>108</v>
      </c>
    </row>
    <row r="52773" customFormat="false" ht="12.8" hidden="false" customHeight="false" outlineLevel="0" collapsed="false">
      <c r="B52773" s="0" t="s">
        <v>14</v>
      </c>
      <c r="C52773" s="0" t="s">
        <v>173</v>
      </c>
    </row>
    <row r="52775" customFormat="false" ht="12.8" hidden="false" customHeight="false" outlineLevel="0" collapsed="false">
      <c r="A52775" s="0" t="s">
        <v>18530</v>
      </c>
      <c r="B52775" s="0" t="str">
        <f aca="false">HYPERLINK("https://lindat.mff.cuni.cz/services/teitok/pdtc10/index.php?action=vallex&amp;frame=v-w7456f1", "uvíznout (v-w7456f1)")</f>
        <v>uvíznout (v-w7456f1)</v>
      </c>
    </row>
    <row r="52776" customFormat="false" ht="12.8" hidden="false" customHeight="false" outlineLevel="0" collapsed="false">
      <c r="B52776" s="0" t="s">
        <v>7</v>
      </c>
    </row>
    <row r="52777" customFormat="false" ht="12.8" hidden="false" customHeight="false" outlineLevel="0" collapsed="false">
      <c r="B52777" s="0" t="s">
        <v>11</v>
      </c>
    </row>
    <row r="52779" customFormat="false" ht="12.8" hidden="false" customHeight="false" outlineLevel="0" collapsed="false">
      <c r="A52779" s="0" t="s">
        <v>18531</v>
      </c>
      <c r="B52779" s="0" t="str">
        <f aca="false">HYPERLINK("https://lindat.mff.cuni.cz/services/teitok/pdtc10/index.php?action=vallex&amp;frame=v-w7456f2", "uvíznout (v-w7456f2)")</f>
        <v>uvíznout (v-w7456f2)</v>
      </c>
    </row>
    <row r="52780" customFormat="false" ht="12.8" hidden="false" customHeight="false" outlineLevel="0" collapsed="false">
      <c r="B52780" s="0" t="s">
        <v>7</v>
      </c>
      <c r="C52780" s="0" t="s">
        <v>18532</v>
      </c>
      <c r="D52780" s="0" t="s">
        <v>18533</v>
      </c>
      <c r="E52780" s="0" t="s">
        <v>18533</v>
      </c>
      <c r="F52780" s="0" t="s">
        <v>18533</v>
      </c>
    </row>
    <row r="52781" customFormat="false" ht="12.8" hidden="false" customHeight="false" outlineLevel="0" collapsed="false">
      <c r="B52781" s="0" t="s">
        <v>11</v>
      </c>
      <c r="D52781" s="0" t="s">
        <v>18534</v>
      </c>
      <c r="E52781" s="0" t="s">
        <v>18534</v>
      </c>
      <c r="F52781" s="0" t="s">
        <v>18534</v>
      </c>
    </row>
    <row r="52783" customFormat="false" ht="12.8" hidden="false" customHeight="false" outlineLevel="0" collapsed="false">
      <c r="A52783" s="0" t="s">
        <v>18535</v>
      </c>
      <c r="B52783" s="0" t="str">
        <f aca="false">HYPERLINK("https://lindat.mff.cuni.cz/services/teitok/pdtc10/index.php?action=vallex&amp;frame=v-w7456f3_ZU", "uvíznout (v-w7456f3_ZU)")</f>
        <v>uvíznout (v-w7456f3_ZU)</v>
      </c>
    </row>
    <row r="52784" customFormat="false" ht="12.8" hidden="false" customHeight="false" outlineLevel="0" collapsed="false">
      <c r="B52784" s="0" t="s">
        <v>7</v>
      </c>
      <c r="C52784" s="0" t="s">
        <v>46</v>
      </c>
    </row>
    <row r="52785" customFormat="false" ht="12.8" hidden="false" customHeight="false" outlineLevel="0" collapsed="false">
      <c r="B52785" s="0" t="s">
        <v>895</v>
      </c>
    </row>
    <row r="52787" customFormat="false" ht="12.8" hidden="false" customHeight="false" outlineLevel="0" collapsed="false">
      <c r="A52787" s="0" t="s">
        <v>18535</v>
      </c>
      <c r="B52787" s="0" t="str">
        <f aca="false">HYPERLINK("https://lindat.mff.cuni.cz/services/teitok/pdtc10/index.php?action=vallex&amp;frame=v-w7456hsa_856", "uvíznout (v-w7456hsa_856) - substituted with v-w7456f3_ZU")</f>
        <v>uvíznout (v-w7456hsa_856) - substituted with v-w7456f3_ZU</v>
      </c>
    </row>
    <row r="52788" customFormat="false" ht="12.8" hidden="false" customHeight="false" outlineLevel="0" collapsed="false">
      <c r="B52788" s="0" t="s">
        <v>7</v>
      </c>
    </row>
    <row r="52789" customFormat="false" ht="12.8" hidden="false" customHeight="false" outlineLevel="0" collapsed="false">
      <c r="B52789" s="0" t="s">
        <v>895</v>
      </c>
    </row>
    <row r="52791" customFormat="false" ht="12.8" hidden="false" customHeight="false" outlineLevel="0" collapsed="false">
      <c r="A52791" s="0" t="s">
        <v>18536</v>
      </c>
      <c r="B52791" s="0" t="str">
        <f aca="false">HYPERLINK("https://lindat.mff.cuni.cz/services/teitok/pdtc10/index.php?action=vallex&amp;frame=v-w7435f1", "uvědomit (v-w7435f1)")</f>
        <v>uvědomit (v-w7435f1)</v>
      </c>
    </row>
    <row r="52792" customFormat="false" ht="12.8" hidden="false" customHeight="false" outlineLevel="0" collapsed="false">
      <c r="B52792" s="0" t="s">
        <v>7</v>
      </c>
      <c r="C52792" s="0" t="s">
        <v>157</v>
      </c>
    </row>
    <row r="52793" customFormat="false" ht="12.8" hidden="false" customHeight="false" outlineLevel="0" collapsed="false">
      <c r="B52793" s="0" t="s">
        <v>4187</v>
      </c>
      <c r="C52793" s="0" t="s">
        <v>18537</v>
      </c>
    </row>
    <row r="52794" customFormat="false" ht="12.8" hidden="false" customHeight="false" outlineLevel="0" collapsed="false">
      <c r="B52794" s="0" t="s">
        <v>81</v>
      </c>
      <c r="C52794" s="0" t="s">
        <v>12069</v>
      </c>
    </row>
    <row r="52796" customFormat="false" ht="12.8" hidden="false" customHeight="false" outlineLevel="0" collapsed="false">
      <c r="A52796" s="0" t="s">
        <v>18538</v>
      </c>
      <c r="B52796" s="0" t="str">
        <f aca="false">HYPERLINK("https://lindat.mff.cuni.cz/services/teitok/pdtc10/index.php?action=vallex&amp;frame=v-w7436f1", "uvědomit si (v-w7436f1)")</f>
        <v>uvědomit si (v-w7436f1)</v>
      </c>
    </row>
    <row r="52797" customFormat="false" ht="12.8" hidden="false" customHeight="false" outlineLevel="0" collapsed="false">
      <c r="B52797" s="0" t="s">
        <v>7</v>
      </c>
      <c r="C52797" s="0" t="s">
        <v>18539</v>
      </c>
      <c r="D52797" s="0" t="s">
        <v>6723</v>
      </c>
      <c r="E52797" s="0" t="s">
        <v>6723</v>
      </c>
      <c r="F52797" s="0" t="s">
        <v>6723</v>
      </c>
    </row>
    <row r="52798" customFormat="false" ht="12.8" hidden="false" customHeight="false" outlineLevel="0" collapsed="false">
      <c r="B52798" s="0" t="s">
        <v>8144</v>
      </c>
      <c r="C52798" s="0" t="s">
        <v>18540</v>
      </c>
      <c r="D52798" s="0" t="s">
        <v>6726</v>
      </c>
      <c r="E52798" s="0" t="s">
        <v>6726</v>
      </c>
      <c r="F52798" s="0" t="s">
        <v>6726</v>
      </c>
    </row>
    <row r="52800" customFormat="false" ht="12.8" hidden="false" customHeight="false" outlineLevel="0" collapsed="false">
      <c r="A52800" s="0" t="s">
        <v>18541</v>
      </c>
      <c r="B52800" s="0" t="str">
        <f aca="false">HYPERLINK("https://lindat.mff.cuni.cz/services/teitok/pdtc10/index.php?action=vallex&amp;frame=v-w7439f1", "uvědomovat si (v-w7439f1)")</f>
        <v>uvědomovat si (v-w7439f1)</v>
      </c>
    </row>
    <row r="52801" customFormat="false" ht="12.8" hidden="false" customHeight="false" outlineLevel="0" collapsed="false">
      <c r="B52801" s="0" t="s">
        <v>7</v>
      </c>
      <c r="C52801" s="0" t="s">
        <v>10527</v>
      </c>
      <c r="D52801" s="0" t="s">
        <v>6723</v>
      </c>
      <c r="E52801" s="0" t="s">
        <v>6723</v>
      </c>
      <c r="F52801" s="0" t="s">
        <v>6723</v>
      </c>
    </row>
    <row r="52802" customFormat="false" ht="12.8" hidden="false" customHeight="false" outlineLevel="0" collapsed="false">
      <c r="B52802" s="0" t="s">
        <v>8144</v>
      </c>
      <c r="C52802" s="0" t="s">
        <v>2182</v>
      </c>
      <c r="D52802" s="0" t="s">
        <v>6726</v>
      </c>
      <c r="E52802" s="0" t="s">
        <v>6726</v>
      </c>
      <c r="F52802" s="0" t="s">
        <v>6726</v>
      </c>
    </row>
    <row r="52804" customFormat="false" ht="12.8" hidden="false" customHeight="false" outlineLevel="0" collapsed="false">
      <c r="A52804" s="0" t="s">
        <v>18542</v>
      </c>
      <c r="B52804" s="0" t="str">
        <f aca="false">HYPERLINK("https://lindat.mff.cuni.cz/services/teitok/pdtc10/index.php?action=vallex&amp;frame=v-w7451f1", "uvěznit (v-w7451f1)")</f>
        <v>uvěznit (v-w7451f1)</v>
      </c>
    </row>
    <row r="52805" customFormat="false" ht="12.8" hidden="false" customHeight="false" outlineLevel="0" collapsed="false">
      <c r="B52805" s="0" t="s">
        <v>7</v>
      </c>
      <c r="C52805" s="0" t="s">
        <v>569</v>
      </c>
      <c r="D52805" s="0" t="s">
        <v>2736</v>
      </c>
      <c r="E52805" s="0" t="s">
        <v>2736</v>
      </c>
      <c r="F52805" s="0" t="s">
        <v>2736</v>
      </c>
    </row>
    <row r="52806" customFormat="false" ht="12.8" hidden="false" customHeight="false" outlineLevel="0" collapsed="false">
      <c r="B52806" s="0" t="s">
        <v>14</v>
      </c>
      <c r="C52806" s="0" t="s">
        <v>110</v>
      </c>
      <c r="D52806" s="0" t="s">
        <v>1571</v>
      </c>
      <c r="E52806" s="0" t="s">
        <v>1571</v>
      </c>
      <c r="F52806" s="0" t="s">
        <v>1571</v>
      </c>
    </row>
    <row r="52808" customFormat="false" ht="12.8" hidden="false" customHeight="false" outlineLevel="0" collapsed="false">
      <c r="A52808" s="0" t="s">
        <v>18543</v>
      </c>
      <c r="B52808" s="0" t="str">
        <f aca="false">HYPERLINK("https://lindat.mff.cuni.cz/services/teitok/pdtc10/index.php?action=vallex&amp;frame=v-w10543f2", "uvězňovat (v-w10543f2)")</f>
        <v>uvězňovat (v-w10543f2)</v>
      </c>
    </row>
    <row r="52809" customFormat="false" ht="12.8" hidden="false" customHeight="false" outlineLevel="0" collapsed="false">
      <c r="B52809" s="0" t="s">
        <v>7</v>
      </c>
      <c r="C52809" s="0" t="s">
        <v>46</v>
      </c>
      <c r="D52809" s="0" t="s">
        <v>2736</v>
      </c>
      <c r="E52809" s="0" t="s">
        <v>2736</v>
      </c>
      <c r="F52809" s="0" t="s">
        <v>2736</v>
      </c>
    </row>
    <row r="52810" customFormat="false" ht="12.8" hidden="false" customHeight="false" outlineLevel="0" collapsed="false">
      <c r="B52810" s="0" t="s">
        <v>14</v>
      </c>
      <c r="C52810" s="0" t="s">
        <v>74</v>
      </c>
      <c r="D52810" s="0" t="s">
        <v>1571</v>
      </c>
      <c r="E52810" s="0" t="s">
        <v>1571</v>
      </c>
      <c r="F52810" s="0" t="s">
        <v>1571</v>
      </c>
    </row>
    <row r="52812" customFormat="false" ht="12.8" hidden="false" customHeight="false" outlineLevel="0" collapsed="false">
      <c r="A52812" s="0" t="s">
        <v>18544</v>
      </c>
      <c r="B52812" s="0" t="str">
        <f aca="false">HYPERLINK("https://lindat.mff.cuni.cz/services/teitok/pdtc10/index.php?action=vallex&amp;frame=v-w7448f3_ZU", "uvěřit (v-w7448f3_ZU)")</f>
        <v>uvěřit (v-w7448f3_ZU)</v>
      </c>
    </row>
    <row r="52813" customFormat="false" ht="12.8" hidden="false" customHeight="false" outlineLevel="0" collapsed="false">
      <c r="B52813" s="0" t="s">
        <v>7</v>
      </c>
    </row>
    <row r="52814" customFormat="false" ht="12.8" hidden="false" customHeight="false" outlineLevel="0" collapsed="false">
      <c r="B52814" s="0" t="s">
        <v>7078</v>
      </c>
    </row>
    <row r="52816" customFormat="false" ht="12.8" hidden="false" customHeight="false" outlineLevel="0" collapsed="false">
      <c r="A52816" s="0" t="s">
        <v>18544</v>
      </c>
      <c r="B52816" s="0" t="str">
        <f aca="false">HYPERLINK("https://lindat.mff.cuni.cz/services/teitok/pdtc10/index.php?action=vallex&amp;frame=v-w7448f1", "uvěřit (v-w7448f1) - substituted with v-w7448f3_ZU")</f>
        <v>uvěřit (v-w7448f1) - substituted with v-w7448f3_ZU</v>
      </c>
    </row>
    <row r="52817" customFormat="false" ht="12.8" hidden="false" customHeight="false" outlineLevel="0" collapsed="false">
      <c r="B52817" s="0" t="s">
        <v>7</v>
      </c>
      <c r="C52817" s="0" t="s">
        <v>18500</v>
      </c>
      <c r="D52817" s="0" t="s">
        <v>2016</v>
      </c>
      <c r="E52817" s="0" t="s">
        <v>2016</v>
      </c>
      <c r="F52817" s="0" t="s">
        <v>2016</v>
      </c>
    </row>
    <row r="52818" customFormat="false" ht="12.8" hidden="false" customHeight="false" outlineLevel="0" collapsed="false">
      <c r="B52818" s="0" t="s">
        <v>7078</v>
      </c>
      <c r="C52818" s="0" t="s">
        <v>4218</v>
      </c>
      <c r="D52818" s="0" t="s">
        <v>2019</v>
      </c>
      <c r="E52818" s="0" t="s">
        <v>2019</v>
      </c>
      <c r="F52818" s="0" t="s">
        <v>2019</v>
      </c>
    </row>
    <row r="52820" customFormat="false" ht="12.8" hidden="false" customHeight="false" outlineLevel="0" collapsed="false">
      <c r="A52820" s="0" t="s">
        <v>18545</v>
      </c>
      <c r="B52820" s="0" t="str">
        <f aca="false">HYPERLINK("https://lindat.mff.cuni.cz/services/teitok/pdtc10/index.php?action=vallex&amp;frame=v-w7448f2", "uvěřit (v-w7448f2)")</f>
        <v>uvěřit (v-w7448f2)</v>
      </c>
    </row>
    <row r="52821" customFormat="false" ht="12.8" hidden="false" customHeight="false" outlineLevel="0" collapsed="false">
      <c r="B52821" s="0" t="s">
        <v>7</v>
      </c>
      <c r="C52821" s="0" t="s">
        <v>191</v>
      </c>
      <c r="D52821" s="0" t="s">
        <v>1999</v>
      </c>
      <c r="E52821" s="0" t="s">
        <v>1999</v>
      </c>
      <c r="F52821" s="0" t="s">
        <v>1999</v>
      </c>
    </row>
    <row r="52822" customFormat="false" ht="12.8" hidden="false" customHeight="false" outlineLevel="0" collapsed="false">
      <c r="B52822" s="0" t="s">
        <v>48</v>
      </c>
      <c r="C52822" s="0" t="s">
        <v>1843</v>
      </c>
      <c r="D52822" s="0" t="s">
        <v>1843</v>
      </c>
      <c r="E52822" s="0" t="s">
        <v>1843</v>
      </c>
      <c r="F52822" s="0" t="s">
        <v>1843</v>
      </c>
    </row>
    <row r="52823" customFormat="false" ht="12.8" hidden="false" customHeight="false" outlineLevel="0" collapsed="false">
      <c r="B52823" s="0" t="s">
        <v>18546</v>
      </c>
      <c r="C52823" s="0" t="s">
        <v>155</v>
      </c>
      <c r="D52823" s="0" t="s">
        <v>155</v>
      </c>
      <c r="E52823" s="0" t="s">
        <v>155</v>
      </c>
      <c r="F52823" s="0" t="s">
        <v>155</v>
      </c>
    </row>
    <row r="52825" customFormat="false" ht="12.8" hidden="false" customHeight="false" outlineLevel="0" collapsed="false">
      <c r="A52825" s="0" t="s">
        <v>18547</v>
      </c>
      <c r="B52825" s="0" t="str">
        <f aca="false">HYPERLINK("https://lindat.mff.cuni.cz/services/teitok/pdtc10/index.php?action=vallex&amp;frame=v-w7469f1", "uzamknout (v-w7469f1)")</f>
        <v>uzamknout (v-w7469f1)</v>
      </c>
    </row>
    <row r="52826" customFormat="false" ht="12.8" hidden="false" customHeight="false" outlineLevel="0" collapsed="false">
      <c r="B52826" s="0" t="s">
        <v>7</v>
      </c>
      <c r="C52826" s="0" t="s">
        <v>191</v>
      </c>
      <c r="D52826" s="0" t="s">
        <v>18548</v>
      </c>
      <c r="E52826" s="0" t="s">
        <v>18548</v>
      </c>
      <c r="F52826" s="0" t="s">
        <v>18548</v>
      </c>
    </row>
    <row r="52827" customFormat="false" ht="12.8" hidden="false" customHeight="false" outlineLevel="0" collapsed="false">
      <c r="B52827" s="0" t="s">
        <v>14</v>
      </c>
      <c r="C52827" s="0" t="s">
        <v>155</v>
      </c>
      <c r="D52827" s="0" t="s">
        <v>4407</v>
      </c>
      <c r="E52827" s="0" t="s">
        <v>452</v>
      </c>
      <c r="F52827" s="0" t="s">
        <v>452</v>
      </c>
    </row>
    <row r="52829" customFormat="false" ht="12.8" hidden="false" customHeight="false" outlineLevel="0" collapsed="false">
      <c r="A52829" s="0" t="s">
        <v>18549</v>
      </c>
      <c r="B52829" s="0" t="str">
        <f aca="false">HYPERLINK("https://lindat.mff.cuni.cz/services/teitok/pdtc10/index.php?action=vallex&amp;frame=v-w7472f4", "uzavírat (v-w7472f4)")</f>
        <v>uzavírat (v-w7472f4)</v>
      </c>
    </row>
    <row r="52830" customFormat="false" ht="12.8" hidden="false" customHeight="false" outlineLevel="0" collapsed="false">
      <c r="B52830" s="0" t="s">
        <v>7</v>
      </c>
      <c r="C52830" s="0" t="s">
        <v>3664</v>
      </c>
    </row>
    <row r="52831" customFormat="false" ht="12.8" hidden="false" customHeight="false" outlineLevel="0" collapsed="false">
      <c r="B52831" s="0" t="s">
        <v>14</v>
      </c>
      <c r="C52831" s="0" t="s">
        <v>1278</v>
      </c>
    </row>
    <row r="52832" customFormat="false" ht="12.8" hidden="false" customHeight="false" outlineLevel="0" collapsed="false">
      <c r="B52832" s="0" t="s">
        <v>2767</v>
      </c>
    </row>
    <row r="52834" customFormat="false" ht="12.8" hidden="false" customHeight="false" outlineLevel="0" collapsed="false">
      <c r="A52834" s="0" t="s">
        <v>18550</v>
      </c>
      <c r="B52834" s="0" t="str">
        <f aca="false">HYPERLINK("https://lindat.mff.cuni.cz/services/teitok/pdtc10/index.php?action=vallex&amp;frame=v-w7472f3", "uzavírat (v-w7472f3)")</f>
        <v>uzavírat (v-w7472f3)</v>
      </c>
    </row>
    <row r="52835" customFormat="false" ht="12.8" hidden="false" customHeight="false" outlineLevel="0" collapsed="false">
      <c r="B52835" s="0" t="s">
        <v>7</v>
      </c>
      <c r="C52835" s="0" t="s">
        <v>18551</v>
      </c>
      <c r="D52835" s="0" t="s">
        <v>18552</v>
      </c>
      <c r="E52835" s="0" t="s">
        <v>18552</v>
      </c>
      <c r="F52835" s="0" t="s">
        <v>18552</v>
      </c>
    </row>
    <row r="52836" customFormat="false" ht="12.8" hidden="false" customHeight="false" outlineLevel="0" collapsed="false">
      <c r="B52836" s="0" t="s">
        <v>14</v>
      </c>
      <c r="C52836" s="0" t="s">
        <v>94</v>
      </c>
      <c r="D52836" s="0" t="s">
        <v>2064</v>
      </c>
      <c r="E52836" s="0" t="s">
        <v>2064</v>
      </c>
      <c r="F52836" s="0" t="s">
        <v>2064</v>
      </c>
    </row>
    <row r="52838" customFormat="false" ht="12.8" hidden="false" customHeight="false" outlineLevel="0" collapsed="false">
      <c r="A52838" s="0" t="s">
        <v>18553</v>
      </c>
      <c r="B52838" s="0" t="str">
        <f aca="false">HYPERLINK("https://lindat.mff.cuni.cz/services/teitok/pdtc10/index.php?action=vallex&amp;frame=v-w7472f6_ZU", "uzavírat (v-w7472f6_ZU)")</f>
        <v>uzavírat (v-w7472f6_ZU)</v>
      </c>
    </row>
    <row r="52839" customFormat="false" ht="12.8" hidden="false" customHeight="false" outlineLevel="0" collapsed="false">
      <c r="B52839" s="0" t="s">
        <v>7</v>
      </c>
      <c r="C52839" s="0" t="s">
        <v>8842</v>
      </c>
      <c r="D52839" s="0" t="s">
        <v>1943</v>
      </c>
      <c r="E52839" s="0" t="s">
        <v>1944</v>
      </c>
      <c r="F52839" s="0" t="s">
        <v>1944</v>
      </c>
    </row>
    <row r="52840" customFormat="false" ht="12.8" hidden="false" customHeight="false" outlineLevel="0" collapsed="false">
      <c r="B52840" s="0" t="s">
        <v>14</v>
      </c>
      <c r="C52840" s="0" t="s">
        <v>625</v>
      </c>
      <c r="D52840" s="0" t="s">
        <v>1946</v>
      </c>
      <c r="E52840" s="0" t="s">
        <v>1947</v>
      </c>
      <c r="F52840" s="0" t="s">
        <v>1947</v>
      </c>
    </row>
    <row r="52842" customFormat="false" ht="12.8" hidden="false" customHeight="false" outlineLevel="0" collapsed="false">
      <c r="A52842" s="0" t="s">
        <v>18553</v>
      </c>
      <c r="B52842" s="0" t="str">
        <f aca="false">HYPERLINK("https://lindat.mff.cuni.cz/services/teitok/pdtc10/index.php?action=vallex&amp;frame=v-w7472f2", "uzavírat (v-w7472f2) - substituted with v-w7472f6_ZU")</f>
        <v>uzavírat (v-w7472f2) - substituted with v-w7472f6_ZU</v>
      </c>
    </row>
    <row r="52843" customFormat="false" ht="12.8" hidden="false" customHeight="false" outlineLevel="0" collapsed="false">
      <c r="B52843" s="0" t="s">
        <v>7</v>
      </c>
      <c r="C52843" s="0" t="s">
        <v>18554</v>
      </c>
    </row>
    <row r="52844" customFormat="false" ht="12.8" hidden="false" customHeight="false" outlineLevel="0" collapsed="false">
      <c r="B52844" s="0" t="s">
        <v>14</v>
      </c>
      <c r="C52844" s="0" t="s">
        <v>2064</v>
      </c>
    </row>
    <row r="52846" customFormat="false" ht="12.8" hidden="false" customHeight="false" outlineLevel="0" collapsed="false">
      <c r="A52846" s="0" t="s">
        <v>18555</v>
      </c>
      <c r="B52846" s="0" t="str">
        <f aca="false">HYPERLINK("https://lindat.mff.cuni.cz/services/teitok/pdtc10/index.php?action=vallex&amp;frame=v-w7472f12_ZU", "uzavírat (v-w7472f12_ZU)")</f>
        <v>uzavírat (v-w7472f12_ZU)</v>
      </c>
    </row>
    <row r="52847" customFormat="false" ht="12.8" hidden="false" customHeight="false" outlineLevel="0" collapsed="false">
      <c r="B52847" s="0" t="s">
        <v>7</v>
      </c>
      <c r="C52847" s="0" t="s">
        <v>18556</v>
      </c>
      <c r="D52847" s="0" t="s">
        <v>15733</v>
      </c>
      <c r="E52847" s="0" t="s">
        <v>15733</v>
      </c>
      <c r="F52847" s="0" t="s">
        <v>15733</v>
      </c>
    </row>
    <row r="52848" customFormat="false" ht="12.8" hidden="false" customHeight="false" outlineLevel="0" collapsed="false">
      <c r="B52848" s="0" t="s">
        <v>297</v>
      </c>
    </row>
    <row r="52849" customFormat="false" ht="12.8" hidden="false" customHeight="false" outlineLevel="0" collapsed="false">
      <c r="B52849" s="0" t="s">
        <v>1471</v>
      </c>
      <c r="C52849" s="0" t="s">
        <v>18557</v>
      </c>
      <c r="D52849" s="0" t="s">
        <v>15735</v>
      </c>
      <c r="E52849" s="0" t="s">
        <v>15735</v>
      </c>
      <c r="F52849" s="0" t="s">
        <v>15735</v>
      </c>
    </row>
    <row r="52850" customFormat="false" ht="12.8" hidden="false" customHeight="false" outlineLevel="0" collapsed="false">
      <c r="B52850" s="0" t="s">
        <v>474</v>
      </c>
      <c r="D52850" s="0" t="s">
        <v>18558</v>
      </c>
      <c r="E52850" s="0" t="s">
        <v>18558</v>
      </c>
      <c r="F52850" s="0" t="s">
        <v>18558</v>
      </c>
    </row>
    <row r="52851" customFormat="false" ht="12.8" hidden="false" customHeight="false" outlineLevel="0" collapsed="false">
      <c r="B52851" s="0" t="s">
        <v>479</v>
      </c>
      <c r="D52851" s="0" t="s">
        <v>18559</v>
      </c>
      <c r="E52851" s="0" t="s">
        <v>18559</v>
      </c>
      <c r="F52851" s="0" t="s">
        <v>18559</v>
      </c>
    </row>
    <row r="52853" customFormat="false" ht="12.8" hidden="false" customHeight="false" outlineLevel="0" collapsed="false">
      <c r="A52853" s="0" t="s">
        <v>18555</v>
      </c>
      <c r="B52853" s="0" t="str">
        <f aca="false">HYPERLINK("https://lindat.mff.cuni.cz/services/teitok/pdtc10/index.php?action=vallex&amp;frame=v-w7472f5_ZU", "uzavírat (v-w7472f5_ZU) - substituted with v-w7472f12_ZU")</f>
        <v>uzavírat (v-w7472f5_ZU) - substituted with v-w7472f12_ZU</v>
      </c>
    </row>
    <row r="52854" customFormat="false" ht="12.8" hidden="false" customHeight="false" outlineLevel="0" collapsed="false">
      <c r="B52854" s="0" t="s">
        <v>7</v>
      </c>
      <c r="C52854" s="0" t="s">
        <v>17742</v>
      </c>
    </row>
    <row r="52855" customFormat="false" ht="12.8" hidden="false" customHeight="false" outlineLevel="0" collapsed="false">
      <c r="B52855" s="0" t="s">
        <v>297</v>
      </c>
    </row>
    <row r="52856" customFormat="false" ht="12.8" hidden="false" customHeight="false" outlineLevel="0" collapsed="false">
      <c r="B52856" s="0" t="s">
        <v>1471</v>
      </c>
      <c r="C52856" s="0" t="s">
        <v>17743</v>
      </c>
    </row>
    <row r="52857" customFormat="false" ht="12.8" hidden="false" customHeight="false" outlineLevel="0" collapsed="false">
      <c r="B52857" s="0" t="s">
        <v>474</v>
      </c>
    </row>
    <row r="52858" customFormat="false" ht="12.8" hidden="false" customHeight="false" outlineLevel="0" collapsed="false">
      <c r="B52858" s="0" t="s">
        <v>479</v>
      </c>
    </row>
    <row r="52860" customFormat="false" ht="12.8" hidden="false" customHeight="false" outlineLevel="0" collapsed="false">
      <c r="A52860" s="0" t="s">
        <v>18555</v>
      </c>
      <c r="B52860" s="0" t="str">
        <f aca="false">HYPERLINK("https://lindat.mff.cuni.cz/services/teitok/pdtc10/index.php?action=vallex&amp;frame=v-w7472f9_ZU", "uzavírat (v-w7472f9_ZU) - substituted with v-w7472f12_ZU")</f>
        <v>uzavírat (v-w7472f9_ZU) - substituted with v-w7472f12_ZU</v>
      </c>
    </row>
    <row r="52861" customFormat="false" ht="12.8" hidden="false" customHeight="false" outlineLevel="0" collapsed="false">
      <c r="B52861" s="0" t="s">
        <v>7</v>
      </c>
      <c r="C52861" s="0" t="s">
        <v>4853</v>
      </c>
    </row>
    <row r="52862" customFormat="false" ht="12.8" hidden="false" customHeight="false" outlineLevel="0" collapsed="false">
      <c r="B52862" s="0" t="s">
        <v>297</v>
      </c>
    </row>
    <row r="52863" customFormat="false" ht="12.8" hidden="false" customHeight="false" outlineLevel="0" collapsed="false">
      <c r="B52863" s="0" t="s">
        <v>1471</v>
      </c>
      <c r="C52863" s="0" t="s">
        <v>17743</v>
      </c>
    </row>
    <row r="52864" customFormat="false" ht="12.8" hidden="false" customHeight="false" outlineLevel="0" collapsed="false">
      <c r="B52864" s="0" t="s">
        <v>474</v>
      </c>
      <c r="C52864" s="0" t="s">
        <v>18560</v>
      </c>
    </row>
    <row r="52865" customFormat="false" ht="12.8" hidden="false" customHeight="false" outlineLevel="0" collapsed="false">
      <c r="B52865" s="0" t="s">
        <v>479</v>
      </c>
      <c r="C52865" s="0" t="s">
        <v>17747</v>
      </c>
    </row>
    <row r="52867" customFormat="false" ht="12.8" hidden="false" customHeight="false" outlineLevel="0" collapsed="false">
      <c r="A52867" s="0" t="s">
        <v>18561</v>
      </c>
      <c r="B52867" s="0" t="str">
        <f aca="false">HYPERLINK("https://lindat.mff.cuni.cz/services/teitok/pdtc10/index.php?action=vallex&amp;frame=v-w7472f13_ZU", "uzavírat (v-w7472f13_ZU)")</f>
        <v>uzavírat (v-w7472f13_ZU)</v>
      </c>
    </row>
    <row r="52868" customFormat="false" ht="12.8" hidden="false" customHeight="false" outlineLevel="0" collapsed="false">
      <c r="B52868" s="0" t="s">
        <v>7</v>
      </c>
    </row>
    <row r="52869" customFormat="false" ht="12.8" hidden="false" customHeight="false" outlineLevel="0" collapsed="false">
      <c r="B52869" s="0" t="s">
        <v>18562</v>
      </c>
    </row>
    <row r="52871" customFormat="false" ht="12.8" hidden="false" customHeight="false" outlineLevel="0" collapsed="false">
      <c r="A52871" s="0" t="s">
        <v>18561</v>
      </c>
      <c r="B52871" s="0" t="str">
        <f aca="false">HYPERLINK("https://lindat.mff.cuni.cz/services/teitok/pdtc10/index.php?action=vallex&amp;frame=v-w7472f1", "uzavírat (v-w7472f1) - substituted with v-w7472f13_ZU")</f>
        <v>uzavírat (v-w7472f1) - substituted with v-w7472f13_ZU</v>
      </c>
    </row>
    <row r="52872" customFormat="false" ht="12.8" hidden="false" customHeight="false" outlineLevel="0" collapsed="false">
      <c r="B52872" s="0" t="s">
        <v>7</v>
      </c>
      <c r="C52872" s="0" t="s">
        <v>3469</v>
      </c>
    </row>
    <row r="52873" customFormat="false" ht="12.8" hidden="false" customHeight="false" outlineLevel="0" collapsed="false">
      <c r="B52873" s="0" t="s">
        <v>18562</v>
      </c>
      <c r="C52873" s="0" t="s">
        <v>18563</v>
      </c>
    </row>
    <row r="52875" customFormat="false" ht="12.8" hidden="false" customHeight="false" outlineLevel="0" collapsed="false">
      <c r="A52875" s="0" t="s">
        <v>18561</v>
      </c>
      <c r="B52875" s="0" t="str">
        <f aca="false">HYPERLINK("https://lindat.mff.cuni.cz/services/teitok/pdtc10/index.php?action=vallex&amp;frame=v-w7472f11_ZU", "uzavírat (v-w7472f11_ZU) - substituted with v-w7472f13_ZU")</f>
        <v>uzavírat (v-w7472f11_ZU) - substituted with v-w7472f13_ZU</v>
      </c>
    </row>
    <row r="52876" customFormat="false" ht="12.8" hidden="false" customHeight="false" outlineLevel="0" collapsed="false">
      <c r="B52876" s="0" t="s">
        <v>7</v>
      </c>
    </row>
    <row r="52877" customFormat="false" ht="12.8" hidden="false" customHeight="false" outlineLevel="0" collapsed="false">
      <c r="B52877" s="0" t="s">
        <v>18562</v>
      </c>
      <c r="C52877" s="0" t="s">
        <v>4674</v>
      </c>
    </row>
    <row r="52879" customFormat="false" ht="12.8" hidden="false" customHeight="false" outlineLevel="0" collapsed="false">
      <c r="A52879" s="0" t="s">
        <v>18561</v>
      </c>
      <c r="B52879" s="0" t="str">
        <f aca="false">HYPERLINK("https://lindat.mff.cuni.cz/services/teitok/pdtc10/index.php?action=vallex&amp;frame=v-w7472f7_ZU", "uzavírat (v-w7472f7_ZU) - substituted with v-w7472f13_ZU")</f>
        <v>uzavírat (v-w7472f7_ZU) - substituted with v-w7472f13_ZU</v>
      </c>
    </row>
    <row r="52880" customFormat="false" ht="12.8" hidden="false" customHeight="false" outlineLevel="0" collapsed="false">
      <c r="B52880" s="0" t="s">
        <v>7</v>
      </c>
    </row>
    <row r="52881" customFormat="false" ht="12.8" hidden="false" customHeight="false" outlineLevel="0" collapsed="false">
      <c r="B52881" s="0" t="s">
        <v>18562</v>
      </c>
    </row>
    <row r="52883" customFormat="false" ht="12.8" hidden="false" customHeight="false" outlineLevel="0" collapsed="false">
      <c r="A52883" s="0" t="s">
        <v>18564</v>
      </c>
      <c r="B52883" s="0" t="str">
        <f aca="false">HYPERLINK("https://lindat.mff.cuni.cz/services/teitok/pdtc10/index.php?action=vallex&amp;frame=v-w7472f8_ZU", "uzavírat (v-w7472f8_ZU)")</f>
        <v>uzavírat (v-w7472f8_ZU)</v>
      </c>
    </row>
    <row r="52884" customFormat="false" ht="12.8" hidden="false" customHeight="false" outlineLevel="0" collapsed="false">
      <c r="B52884" s="0" t="s">
        <v>7</v>
      </c>
    </row>
    <row r="52885" customFormat="false" ht="12.8" hidden="false" customHeight="false" outlineLevel="0" collapsed="false">
      <c r="B52885" s="0" t="s">
        <v>4545</v>
      </c>
    </row>
    <row r="52887" customFormat="false" ht="12.8" hidden="false" customHeight="false" outlineLevel="0" collapsed="false">
      <c r="A52887" s="0" t="s">
        <v>18565</v>
      </c>
      <c r="B52887" s="0" t="str">
        <f aca="false">HYPERLINK("https://lindat.mff.cuni.cz/services/teitok/pdtc10/index.php?action=vallex&amp;frame=v-w7472f10_ZU", "uzavírat (v-w7472f10_ZU)")</f>
        <v>uzavírat (v-w7472f10_ZU)</v>
      </c>
    </row>
    <row r="52888" customFormat="false" ht="12.8" hidden="false" customHeight="false" outlineLevel="0" collapsed="false">
      <c r="B52888" s="0" t="s">
        <v>7</v>
      </c>
    </row>
    <row r="52889" customFormat="false" ht="12.8" hidden="false" customHeight="false" outlineLevel="0" collapsed="false">
      <c r="B52889" s="0" t="s">
        <v>14</v>
      </c>
    </row>
    <row r="52890" customFormat="false" ht="12.8" hidden="false" customHeight="false" outlineLevel="0" collapsed="false">
      <c r="B52890" s="0" t="s">
        <v>1059</v>
      </c>
    </row>
    <row r="52892" customFormat="false" ht="12.8" hidden="false" customHeight="false" outlineLevel="0" collapsed="false">
      <c r="A52892" s="0" t="s">
        <v>18566</v>
      </c>
      <c r="B52892" s="0" t="str">
        <f aca="false">HYPERLINK("https://lindat.mff.cuni.cz/services/teitok/pdtc10/index.php?action=vallex&amp;frame=v-w7473f1", "uzavírat se (v-w7473f1)")</f>
        <v>uzavírat se (v-w7473f1)</v>
      </c>
    </row>
    <row r="52893" customFormat="false" ht="12.8" hidden="false" customHeight="false" outlineLevel="0" collapsed="false">
      <c r="B52893" s="0" t="s">
        <v>7</v>
      </c>
    </row>
    <row r="52894" customFormat="false" ht="12.8" hidden="false" customHeight="false" outlineLevel="0" collapsed="false">
      <c r="B52894" s="0" t="s">
        <v>18567</v>
      </c>
      <c r="D52894" s="0" t="s">
        <v>1544</v>
      </c>
      <c r="E52894" s="0" t="s">
        <v>1544</v>
      </c>
      <c r="F52894" s="0" t="s">
        <v>1544</v>
      </c>
    </row>
    <row r="52896" customFormat="false" ht="12.8" hidden="false" customHeight="false" outlineLevel="0" collapsed="false">
      <c r="A52896" s="0" t="s">
        <v>18568</v>
      </c>
      <c r="B52896" s="0" t="str">
        <f aca="false">HYPERLINK("https://lindat.mff.cuni.cz/services/teitok/pdtc10/index.php?action=vallex&amp;frame=v-w7476f4", "uzavřít (v-w7476f4)")</f>
        <v>uzavřít (v-w7476f4)</v>
      </c>
    </row>
    <row r="52897" customFormat="false" ht="12.8" hidden="false" customHeight="false" outlineLevel="0" collapsed="false">
      <c r="B52897" s="0" t="s">
        <v>7</v>
      </c>
      <c r="C52897" s="0" t="s">
        <v>18569</v>
      </c>
    </row>
    <row r="52898" customFormat="false" ht="12.8" hidden="false" customHeight="false" outlineLevel="0" collapsed="false">
      <c r="B52898" s="0" t="s">
        <v>14</v>
      </c>
      <c r="C52898" s="0" t="s">
        <v>7264</v>
      </c>
    </row>
    <row r="52899" customFormat="false" ht="12.8" hidden="false" customHeight="false" outlineLevel="0" collapsed="false">
      <c r="B52899" s="0" t="s">
        <v>2767</v>
      </c>
    </row>
    <row r="52901" customFormat="false" ht="12.8" hidden="false" customHeight="false" outlineLevel="0" collapsed="false">
      <c r="A52901" s="0" t="s">
        <v>18570</v>
      </c>
      <c r="B52901" s="0" t="str">
        <f aca="false">HYPERLINK("https://lindat.mff.cuni.cz/services/teitok/pdtc10/index.php?action=vallex&amp;frame=v-w7476f7", "uzavřít (v-w7476f7)")</f>
        <v>uzavřít (v-w7476f7)</v>
      </c>
    </row>
    <row r="52902" customFormat="false" ht="12.8" hidden="false" customHeight="false" outlineLevel="0" collapsed="false">
      <c r="B52902" s="0" t="s">
        <v>7</v>
      </c>
    </row>
    <row r="52903" customFormat="false" ht="12.8" hidden="false" customHeight="false" outlineLevel="0" collapsed="false">
      <c r="B52903" s="0" t="s">
        <v>14</v>
      </c>
    </row>
    <row r="52904" customFormat="false" ht="12.8" hidden="false" customHeight="false" outlineLevel="0" collapsed="false">
      <c r="B52904" s="0" t="s">
        <v>11</v>
      </c>
    </row>
    <row r="52906" customFormat="false" ht="12.8" hidden="false" customHeight="false" outlineLevel="0" collapsed="false">
      <c r="A52906" s="0" t="s">
        <v>18571</v>
      </c>
      <c r="B52906" s="0" t="str">
        <f aca="false">HYPERLINK("https://lindat.mff.cuni.cz/services/teitok/pdtc10/index.php?action=vallex&amp;frame=v-w7476f9", "uzavřít (v-w7476f9)")</f>
        <v>uzavřít (v-w7476f9)</v>
      </c>
    </row>
    <row r="52907" customFormat="false" ht="12.8" hidden="false" customHeight="false" outlineLevel="0" collapsed="false">
      <c r="B52907" s="0" t="s">
        <v>7</v>
      </c>
    </row>
    <row r="52908" customFormat="false" ht="12.8" hidden="false" customHeight="false" outlineLevel="0" collapsed="false">
      <c r="B52908" s="0" t="s">
        <v>14</v>
      </c>
    </row>
    <row r="52909" customFormat="false" ht="12.8" hidden="false" customHeight="false" outlineLevel="0" collapsed="false">
      <c r="B52909" s="0" t="s">
        <v>124</v>
      </c>
    </row>
    <row r="52911" customFormat="false" ht="12.8" hidden="false" customHeight="false" outlineLevel="0" collapsed="false">
      <c r="A52911" s="0" t="s">
        <v>18572</v>
      </c>
      <c r="B52911" s="0" t="str">
        <f aca="false">HYPERLINK("https://lindat.mff.cuni.cz/services/teitok/pdtc10/index.php?action=vallex&amp;frame=v-w7476f2", "uzavřít (v-w7476f2)")</f>
        <v>uzavřít (v-w7476f2)</v>
      </c>
    </row>
    <row r="52912" customFormat="false" ht="12.8" hidden="false" customHeight="false" outlineLevel="0" collapsed="false">
      <c r="B52912" s="0" t="s">
        <v>7</v>
      </c>
      <c r="C52912" s="0" t="s">
        <v>18573</v>
      </c>
      <c r="D52912" s="0" t="s">
        <v>18552</v>
      </c>
      <c r="E52912" s="0" t="s">
        <v>18552</v>
      </c>
      <c r="F52912" s="0" t="s">
        <v>18552</v>
      </c>
    </row>
    <row r="52913" customFormat="false" ht="12.8" hidden="false" customHeight="false" outlineLevel="0" collapsed="false">
      <c r="B52913" s="0" t="s">
        <v>14</v>
      </c>
      <c r="C52913" s="0" t="s">
        <v>18574</v>
      </c>
      <c r="D52913" s="0" t="s">
        <v>2064</v>
      </c>
      <c r="E52913" s="0" t="s">
        <v>2064</v>
      </c>
      <c r="F52913" s="0" t="s">
        <v>2064</v>
      </c>
    </row>
    <row r="52915" customFormat="false" ht="12.8" hidden="false" customHeight="false" outlineLevel="0" collapsed="false">
      <c r="A52915" s="0" t="s">
        <v>18575</v>
      </c>
      <c r="B52915" s="0" t="str">
        <f aca="false">HYPERLINK("https://lindat.mff.cuni.cz/services/teitok/pdtc10/index.php?action=vallex&amp;frame=v-w7476f3", "uzavřít (v-w7476f3)")</f>
        <v>uzavřít (v-w7476f3)</v>
      </c>
    </row>
    <row r="52916" customFormat="false" ht="12.8" hidden="false" customHeight="false" outlineLevel="0" collapsed="false">
      <c r="B52916" s="0" t="s">
        <v>7</v>
      </c>
      <c r="C52916" s="0" t="s">
        <v>18576</v>
      </c>
      <c r="D52916" s="0" t="s">
        <v>18552</v>
      </c>
      <c r="E52916" s="0" t="s">
        <v>18552</v>
      </c>
      <c r="F52916" s="0" t="s">
        <v>18552</v>
      </c>
    </row>
    <row r="52917" customFormat="false" ht="12.8" hidden="false" customHeight="false" outlineLevel="0" collapsed="false">
      <c r="B52917" s="0" t="s">
        <v>14</v>
      </c>
      <c r="C52917" s="0" t="s">
        <v>10088</v>
      </c>
      <c r="D52917" s="0" t="s">
        <v>2064</v>
      </c>
      <c r="E52917" s="0" t="s">
        <v>2064</v>
      </c>
      <c r="F52917" s="0" t="s">
        <v>2064</v>
      </c>
    </row>
    <row r="52919" customFormat="false" ht="12.8" hidden="false" customHeight="false" outlineLevel="0" collapsed="false">
      <c r="A52919" s="0" t="s">
        <v>18577</v>
      </c>
      <c r="B52919" s="0" t="str">
        <f aca="false">HYPERLINK("https://lindat.mff.cuni.cz/services/teitok/pdtc10/index.php?action=vallex&amp;frame=v-w7476f5", "uzavřít (v-w7476f5)")</f>
        <v>uzavřít (v-w7476f5)</v>
      </c>
    </row>
    <row r="52920" customFormat="false" ht="12.8" hidden="false" customHeight="false" outlineLevel="0" collapsed="false">
      <c r="B52920" s="0" t="s">
        <v>7</v>
      </c>
      <c r="C52920" s="0" t="s">
        <v>18578</v>
      </c>
      <c r="D52920" s="0" t="s">
        <v>15733</v>
      </c>
      <c r="E52920" s="0" t="s">
        <v>15733</v>
      </c>
      <c r="F52920" s="0" t="s">
        <v>15733</v>
      </c>
    </row>
    <row r="52921" customFormat="false" ht="12.8" hidden="false" customHeight="false" outlineLevel="0" collapsed="false">
      <c r="B52921" s="0" t="s">
        <v>14</v>
      </c>
      <c r="C52921" s="0" t="s">
        <v>18579</v>
      </c>
    </row>
    <row r="52923" customFormat="false" ht="12.8" hidden="false" customHeight="false" outlineLevel="0" collapsed="false">
      <c r="A52923" s="0" t="s">
        <v>18580</v>
      </c>
      <c r="B52923" s="0" t="str">
        <f aca="false">HYPERLINK("https://lindat.mff.cuni.cz/services/teitok/pdtc10/index.php?action=vallex&amp;frame=v-w7476f6", "uzavřít (v-w7476f6)")</f>
        <v>uzavřít (v-w7476f6)</v>
      </c>
    </row>
    <row r="52924" customFormat="false" ht="12.8" hidden="false" customHeight="false" outlineLevel="0" collapsed="false">
      <c r="B52924" s="0" t="s">
        <v>7</v>
      </c>
      <c r="C52924" s="0" t="s">
        <v>460</v>
      </c>
      <c r="D52924" s="0" t="s">
        <v>18548</v>
      </c>
      <c r="E52924" s="0" t="s">
        <v>18548</v>
      </c>
      <c r="F52924" s="0" t="s">
        <v>18548</v>
      </c>
    </row>
    <row r="52925" customFormat="false" ht="12.8" hidden="false" customHeight="false" outlineLevel="0" collapsed="false">
      <c r="B52925" s="0" t="s">
        <v>14</v>
      </c>
      <c r="C52925" s="0" t="s">
        <v>1289</v>
      </c>
      <c r="D52925" s="0" t="s">
        <v>4407</v>
      </c>
      <c r="E52925" s="0" t="s">
        <v>452</v>
      </c>
      <c r="F52925" s="0" t="s">
        <v>452</v>
      </c>
    </row>
    <row r="52927" customFormat="false" ht="12.8" hidden="false" customHeight="false" outlineLevel="0" collapsed="false">
      <c r="A52927" s="0" t="s">
        <v>18581</v>
      </c>
      <c r="B52927" s="0" t="str">
        <f aca="false">HYPERLINK("https://lindat.mff.cuni.cz/services/teitok/pdtc10/index.php?action=vallex&amp;frame=v-w7476f8", "uzavřít (v-w7476f8)")</f>
        <v>uzavřít (v-w7476f8)</v>
      </c>
    </row>
    <row r="52928" customFormat="false" ht="12.8" hidden="false" customHeight="false" outlineLevel="0" collapsed="false">
      <c r="B52928" s="0" t="s">
        <v>7</v>
      </c>
      <c r="C52928" s="0" t="s">
        <v>18551</v>
      </c>
    </row>
    <row r="52929" customFormat="false" ht="12.8" hidden="false" customHeight="false" outlineLevel="0" collapsed="false">
      <c r="B52929" s="0" t="s">
        <v>14</v>
      </c>
      <c r="C52929" s="0" t="s">
        <v>94</v>
      </c>
    </row>
    <row r="52931" customFormat="false" ht="12.8" hidden="false" customHeight="false" outlineLevel="0" collapsed="false">
      <c r="A52931" s="0" t="s">
        <v>18582</v>
      </c>
      <c r="B52931" s="0" t="str">
        <f aca="false">HYPERLINK("https://lindat.mff.cuni.cz/services/teitok/pdtc10/index.php?action=vallex&amp;frame=v-w7476f18_ZU", "uzavřít (v-w7476f18_ZU)")</f>
        <v>uzavřít (v-w7476f18_ZU)</v>
      </c>
    </row>
    <row r="52932" customFormat="false" ht="12.8" hidden="false" customHeight="false" outlineLevel="0" collapsed="false">
      <c r="B52932" s="0" t="s">
        <v>7</v>
      </c>
      <c r="C52932" s="0" t="s">
        <v>18583</v>
      </c>
      <c r="D52932" s="0" t="s">
        <v>15733</v>
      </c>
      <c r="E52932" s="0" t="s">
        <v>15733</v>
      </c>
      <c r="F52932" s="0" t="s">
        <v>15733</v>
      </c>
    </row>
    <row r="52933" customFormat="false" ht="12.8" hidden="false" customHeight="false" outlineLevel="0" collapsed="false">
      <c r="B52933" s="0" t="s">
        <v>297</v>
      </c>
      <c r="C52933" s="0" t="s">
        <v>94</v>
      </c>
    </row>
    <row r="52934" customFormat="false" ht="12.8" hidden="false" customHeight="false" outlineLevel="0" collapsed="false">
      <c r="B52934" s="0" t="s">
        <v>1471</v>
      </c>
      <c r="C52934" s="0" t="s">
        <v>4855</v>
      </c>
      <c r="D52934" s="0" t="s">
        <v>15735</v>
      </c>
      <c r="E52934" s="0" t="s">
        <v>15735</v>
      </c>
      <c r="F52934" s="0" t="s">
        <v>15735</v>
      </c>
    </row>
    <row r="52935" customFormat="false" ht="12.8" hidden="false" customHeight="false" outlineLevel="0" collapsed="false">
      <c r="B52935" s="0" t="s">
        <v>474</v>
      </c>
      <c r="D52935" s="0" t="s">
        <v>18558</v>
      </c>
      <c r="E52935" s="0" t="s">
        <v>18558</v>
      </c>
      <c r="F52935" s="0" t="s">
        <v>18558</v>
      </c>
    </row>
    <row r="52936" customFormat="false" ht="12.8" hidden="false" customHeight="false" outlineLevel="0" collapsed="false">
      <c r="B52936" s="0" t="s">
        <v>479</v>
      </c>
      <c r="D52936" s="0" t="s">
        <v>18559</v>
      </c>
      <c r="E52936" s="0" t="s">
        <v>18559</v>
      </c>
      <c r="F52936" s="0" t="s">
        <v>18559</v>
      </c>
    </row>
    <row r="52938" customFormat="false" ht="12.8" hidden="false" customHeight="false" outlineLevel="0" collapsed="false">
      <c r="A52938" s="0" t="s">
        <v>18582</v>
      </c>
      <c r="B52938" s="0" t="str">
        <f aca="false">HYPERLINK("https://lindat.mff.cuni.cz/services/teitok/pdtc10/index.php?action=vallex&amp;frame=v-w7476f10_ZU", "uzavřít (v-w7476f10_ZU) - substituted with v-w7476f18_ZU")</f>
        <v>uzavřít (v-w7476f10_ZU) - substituted with v-w7476f18_ZU</v>
      </c>
    </row>
    <row r="52939" customFormat="false" ht="12.8" hidden="false" customHeight="false" outlineLevel="0" collapsed="false">
      <c r="B52939" s="0" t="s">
        <v>7</v>
      </c>
      <c r="C52939" s="0" t="s">
        <v>17742</v>
      </c>
    </row>
    <row r="52940" customFormat="false" ht="12.8" hidden="false" customHeight="false" outlineLevel="0" collapsed="false">
      <c r="B52940" s="0" t="s">
        <v>297</v>
      </c>
    </row>
    <row r="52941" customFormat="false" ht="12.8" hidden="false" customHeight="false" outlineLevel="0" collapsed="false">
      <c r="B52941" s="0" t="s">
        <v>1471</v>
      </c>
      <c r="C52941" s="0" t="s">
        <v>17743</v>
      </c>
    </row>
    <row r="52942" customFormat="false" ht="12.8" hidden="false" customHeight="false" outlineLevel="0" collapsed="false">
      <c r="B52942" s="0" t="s">
        <v>474</v>
      </c>
    </row>
    <row r="52943" customFormat="false" ht="12.8" hidden="false" customHeight="false" outlineLevel="0" collapsed="false">
      <c r="B52943" s="0" t="s">
        <v>479</v>
      </c>
    </row>
    <row r="52945" customFormat="false" ht="12.8" hidden="false" customHeight="false" outlineLevel="0" collapsed="false">
      <c r="A52945" s="0" t="s">
        <v>18582</v>
      </c>
      <c r="B52945" s="0" t="str">
        <f aca="false">HYPERLINK("https://lindat.mff.cuni.cz/services/teitok/pdtc10/index.php?action=vallex&amp;frame=v-w7476f14_ZU", "uzavřít (v-w7476f14_ZU) - substituted with v-w7476f18_ZU")</f>
        <v>uzavřít (v-w7476f14_ZU) - substituted with v-w7476f18_ZU</v>
      </c>
    </row>
    <row r="52946" customFormat="false" ht="12.8" hidden="false" customHeight="false" outlineLevel="0" collapsed="false">
      <c r="B52946" s="0" t="s">
        <v>7</v>
      </c>
      <c r="C52946" s="0" t="s">
        <v>17742</v>
      </c>
    </row>
    <row r="52947" customFormat="false" ht="12.8" hidden="false" customHeight="false" outlineLevel="0" collapsed="false">
      <c r="B52947" s="0" t="s">
        <v>297</v>
      </c>
    </row>
    <row r="52948" customFormat="false" ht="12.8" hidden="false" customHeight="false" outlineLevel="0" collapsed="false">
      <c r="B52948" s="0" t="s">
        <v>1471</v>
      </c>
      <c r="C52948" s="0" t="s">
        <v>17743</v>
      </c>
    </row>
    <row r="52949" customFormat="false" ht="12.8" hidden="false" customHeight="false" outlineLevel="0" collapsed="false">
      <c r="B52949" s="0" t="s">
        <v>474</v>
      </c>
    </row>
    <row r="52950" customFormat="false" ht="12.8" hidden="false" customHeight="false" outlineLevel="0" collapsed="false">
      <c r="B52950" s="0" t="s">
        <v>479</v>
      </c>
    </row>
    <row r="52952" customFormat="false" ht="12.8" hidden="false" customHeight="false" outlineLevel="0" collapsed="false">
      <c r="A52952" s="0" t="s">
        <v>18582</v>
      </c>
      <c r="B52952" s="0" t="str">
        <f aca="false">HYPERLINK("https://lindat.mff.cuni.cz/services/teitok/pdtc10/index.php?action=vallex&amp;frame=v-w7476f15_ZU", "uzavřít (v-w7476f15_ZU) - substituted with v-w7476f18_ZU")</f>
        <v>uzavřít (v-w7476f15_ZU) - substituted with v-w7476f18_ZU</v>
      </c>
    </row>
    <row r="52953" customFormat="false" ht="12.8" hidden="false" customHeight="false" outlineLevel="0" collapsed="false">
      <c r="B52953" s="0" t="s">
        <v>7</v>
      </c>
      <c r="C52953" s="0" t="s">
        <v>18556</v>
      </c>
    </row>
    <row r="52954" customFormat="false" ht="12.8" hidden="false" customHeight="false" outlineLevel="0" collapsed="false">
      <c r="B52954" s="0" t="s">
        <v>297</v>
      </c>
    </row>
    <row r="52955" customFormat="false" ht="12.8" hidden="false" customHeight="false" outlineLevel="0" collapsed="false">
      <c r="B52955" s="0" t="s">
        <v>1471</v>
      </c>
      <c r="C52955" s="0" t="s">
        <v>18557</v>
      </c>
    </row>
    <row r="52956" customFormat="false" ht="12.8" hidden="false" customHeight="false" outlineLevel="0" collapsed="false">
      <c r="B52956" s="0" t="s">
        <v>474</v>
      </c>
    </row>
    <row r="52957" customFormat="false" ht="12.8" hidden="false" customHeight="false" outlineLevel="0" collapsed="false">
      <c r="B52957" s="0" t="s">
        <v>479</v>
      </c>
    </row>
    <row r="52959" customFormat="false" ht="12.8" hidden="false" customHeight="false" outlineLevel="0" collapsed="false">
      <c r="A52959" s="0" t="s">
        <v>18582</v>
      </c>
      <c r="B52959" s="0" t="str">
        <f aca="false">HYPERLINK("https://lindat.mff.cuni.cz/services/teitok/pdtc10/index.php?action=vallex&amp;frame=v-w7476f16_ZU", "uzavřít (v-w7476f16_ZU) - substituted with v-w7476f18_ZU")</f>
        <v>uzavřít (v-w7476f16_ZU) - substituted with v-w7476f18_ZU</v>
      </c>
    </row>
    <row r="52960" customFormat="false" ht="12.8" hidden="false" customHeight="false" outlineLevel="0" collapsed="false">
      <c r="B52960" s="0" t="s">
        <v>7</v>
      </c>
      <c r="C52960" s="0" t="s">
        <v>18556</v>
      </c>
    </row>
    <row r="52961" customFormat="false" ht="12.8" hidden="false" customHeight="false" outlineLevel="0" collapsed="false">
      <c r="B52961" s="0" t="s">
        <v>297</v>
      </c>
    </row>
    <row r="52962" customFormat="false" ht="12.8" hidden="false" customHeight="false" outlineLevel="0" collapsed="false">
      <c r="B52962" s="0" t="s">
        <v>1471</v>
      </c>
      <c r="C52962" s="0" t="s">
        <v>18557</v>
      </c>
    </row>
    <row r="52963" customFormat="false" ht="12.8" hidden="false" customHeight="false" outlineLevel="0" collapsed="false">
      <c r="B52963" s="0" t="s">
        <v>474</v>
      </c>
    </row>
    <row r="52964" customFormat="false" ht="12.8" hidden="false" customHeight="false" outlineLevel="0" collapsed="false">
      <c r="B52964" s="0" t="s">
        <v>479</v>
      </c>
    </row>
    <row r="52966" customFormat="false" ht="12.8" hidden="false" customHeight="false" outlineLevel="0" collapsed="false">
      <c r="A52966" s="0" t="s">
        <v>18584</v>
      </c>
      <c r="B52966" s="0" t="str">
        <f aca="false">HYPERLINK("https://lindat.mff.cuni.cz/services/teitok/pdtc10/index.php?action=vallex&amp;frame=v-w7476hsa_794", "uzavřít (v-w7476hsa_794)")</f>
        <v>uzavřít (v-w7476hsa_794)</v>
      </c>
    </row>
    <row r="52967" customFormat="false" ht="12.8" hidden="false" customHeight="false" outlineLevel="0" collapsed="false">
      <c r="B52967" s="0" t="s">
        <v>7</v>
      </c>
    </row>
    <row r="52968" customFormat="false" ht="12.8" hidden="false" customHeight="false" outlineLevel="0" collapsed="false">
      <c r="B52968" s="0" t="s">
        <v>18585</v>
      </c>
    </row>
    <row r="52970" customFormat="false" ht="12.8" hidden="false" customHeight="false" outlineLevel="0" collapsed="false">
      <c r="A52970" s="0" t="s">
        <v>18584</v>
      </c>
      <c r="B52970" s="0" t="str">
        <f aca="false">HYPERLINK("https://lindat.mff.cuni.cz/services/teitok/pdtc10/index.php?action=vallex&amp;frame=v-w7476f1", "uzavřít (v-w7476f1) - substituted with v-w7476hsa_794")</f>
        <v>uzavřít (v-w7476f1) - substituted with v-w7476hsa_794</v>
      </c>
    </row>
    <row r="52971" customFormat="false" ht="12.8" hidden="false" customHeight="false" outlineLevel="0" collapsed="false">
      <c r="B52971" s="0" t="s">
        <v>7</v>
      </c>
      <c r="C52971" s="0" t="s">
        <v>18586</v>
      </c>
    </row>
    <row r="52972" customFormat="false" ht="12.8" hidden="false" customHeight="false" outlineLevel="0" collapsed="false">
      <c r="B52972" s="0" t="s">
        <v>18585</v>
      </c>
      <c r="C52972" s="0" t="s">
        <v>18587</v>
      </c>
    </row>
    <row r="52974" customFormat="false" ht="12.8" hidden="false" customHeight="false" outlineLevel="0" collapsed="false">
      <c r="A52974" s="0" t="s">
        <v>18584</v>
      </c>
      <c r="B52974" s="0" t="str">
        <f aca="false">HYPERLINK("https://lindat.mff.cuni.cz/services/teitok/pdtc10/index.php?action=vallex&amp;frame=v-w7476f12_ZU", "uzavřít (v-w7476f12_ZU) - substituted with v-w7476hsa_794")</f>
        <v>uzavřít (v-w7476f12_ZU) - substituted with v-w7476hsa_794</v>
      </c>
    </row>
    <row r="52975" customFormat="false" ht="12.8" hidden="false" customHeight="false" outlineLevel="0" collapsed="false">
      <c r="B52975" s="0" t="s">
        <v>7</v>
      </c>
      <c r="C52975" s="0" t="s">
        <v>1846</v>
      </c>
    </row>
    <row r="52976" customFormat="false" ht="12.8" hidden="false" customHeight="false" outlineLevel="0" collapsed="false">
      <c r="B52976" s="0" t="s">
        <v>18585</v>
      </c>
      <c r="C52976" s="0" t="s">
        <v>18588</v>
      </c>
    </row>
    <row r="52978" customFormat="false" ht="12.8" hidden="false" customHeight="false" outlineLevel="0" collapsed="false">
      <c r="A52978" s="0" t="s">
        <v>18584</v>
      </c>
      <c r="B52978" s="0" t="str">
        <f aca="false">HYPERLINK("https://lindat.mff.cuni.cz/services/teitok/pdtc10/index.php?action=vallex&amp;frame=v-w7476hsa_924", "uzavřít (v-w7476hsa_924) - substituted with v-w7476hsa_794")</f>
        <v>uzavřít (v-w7476hsa_924) - substituted with v-w7476hsa_794</v>
      </c>
    </row>
    <row r="52979" customFormat="false" ht="12.8" hidden="false" customHeight="false" outlineLevel="0" collapsed="false">
      <c r="B52979" s="0" t="s">
        <v>7</v>
      </c>
      <c r="C52979" s="0" t="s">
        <v>12495</v>
      </c>
      <c r="D52979" s="0" t="s">
        <v>18589</v>
      </c>
      <c r="E52979" s="0" t="s">
        <v>18589</v>
      </c>
      <c r="F52979" s="0" t="s">
        <v>18589</v>
      </c>
    </row>
    <row r="52980" customFormat="false" ht="12.8" hidden="false" customHeight="false" outlineLevel="0" collapsed="false">
      <c r="B52980" s="0" t="s">
        <v>18585</v>
      </c>
      <c r="C52980" s="0" t="s">
        <v>18563</v>
      </c>
      <c r="D52980" s="0" t="s">
        <v>18590</v>
      </c>
      <c r="E52980" s="0" t="s">
        <v>18590</v>
      </c>
      <c r="F52980" s="0" t="s">
        <v>18590</v>
      </c>
    </row>
    <row r="52982" customFormat="false" ht="12.8" hidden="false" customHeight="false" outlineLevel="0" collapsed="false">
      <c r="A52982" s="0" t="s">
        <v>18591</v>
      </c>
      <c r="B52982" s="0" t="str">
        <f aca="false">HYPERLINK("https://lindat.mff.cuni.cz/services/teitok/pdtc10/index.php?action=vallex&amp;frame=v-w7476f13_ZU", "uzavřít (v-w7476f13_ZU)")</f>
        <v>uzavřít (v-w7476f13_ZU)</v>
      </c>
    </row>
    <row r="52983" customFormat="false" ht="12.8" hidden="false" customHeight="false" outlineLevel="0" collapsed="false">
      <c r="B52983" s="0" t="s">
        <v>7</v>
      </c>
    </row>
    <row r="52984" customFormat="false" ht="12.8" hidden="false" customHeight="false" outlineLevel="0" collapsed="false">
      <c r="B52984" s="0" t="s">
        <v>4545</v>
      </c>
    </row>
    <row r="52986" customFormat="false" ht="12.8" hidden="false" customHeight="false" outlineLevel="0" collapsed="false">
      <c r="A52986" s="0" t="s">
        <v>18591</v>
      </c>
      <c r="B52986" s="0" t="str">
        <f aca="false">HYPERLINK("https://lindat.mff.cuni.cz/services/teitok/pdtc10/index.php?action=vallex&amp;frame=v-w7476f11_ZU", "uzavřít (v-w7476f11_ZU) - substituted with v-w7476f13_ZU")</f>
        <v>uzavřít (v-w7476f11_ZU) - substituted with v-w7476f13_ZU</v>
      </c>
    </row>
    <row r="52987" customFormat="false" ht="12.8" hidden="false" customHeight="false" outlineLevel="0" collapsed="false">
      <c r="B52987" s="0" t="s">
        <v>7</v>
      </c>
    </row>
    <row r="52988" customFormat="false" ht="12.8" hidden="false" customHeight="false" outlineLevel="0" collapsed="false">
      <c r="B52988" s="0" t="s">
        <v>4545</v>
      </c>
    </row>
    <row r="52990" customFormat="false" ht="12.8" hidden="false" customHeight="false" outlineLevel="0" collapsed="false">
      <c r="A52990" s="0" t="s">
        <v>18592</v>
      </c>
      <c r="B52990" s="0" t="str">
        <f aca="false">HYPERLINK("https://lindat.mff.cuni.cz/services/teitok/pdtc10/index.php?action=vallex&amp;frame=v-w7476f17_ZU", "uzavřít (v-w7476f17_ZU)")</f>
        <v>uzavřít (v-w7476f17_ZU)</v>
      </c>
    </row>
    <row r="52991" customFormat="false" ht="12.8" hidden="false" customHeight="false" outlineLevel="0" collapsed="false">
      <c r="B52991" s="0" t="s">
        <v>7</v>
      </c>
    </row>
    <row r="52992" customFormat="false" ht="12.8" hidden="false" customHeight="false" outlineLevel="0" collapsed="false">
      <c r="B52992" s="0" t="s">
        <v>14</v>
      </c>
    </row>
    <row r="52993" customFormat="false" ht="12.8" hidden="false" customHeight="false" outlineLevel="0" collapsed="false">
      <c r="B52993" s="0" t="s">
        <v>1059</v>
      </c>
    </row>
    <row r="52995" customFormat="false" ht="12.8" hidden="false" customHeight="false" outlineLevel="0" collapsed="false">
      <c r="A52995" s="0" t="s">
        <v>18593</v>
      </c>
      <c r="B52995" s="0" t="str">
        <f aca="false">HYPERLINK("https://lindat.mff.cuni.cz/services/teitok/pdtc10/index.php?action=vallex&amp;frame=v-w7477f1", "uzavřít se (v-w7477f1)")</f>
        <v>uzavřít se (v-w7477f1)</v>
      </c>
    </row>
    <row r="52996" customFormat="false" ht="12.8" hidden="false" customHeight="false" outlineLevel="0" collapsed="false">
      <c r="B52996" s="0" t="s">
        <v>7</v>
      </c>
      <c r="C52996" s="0" t="s">
        <v>736</v>
      </c>
    </row>
    <row r="52997" customFormat="false" ht="12.8" hidden="false" customHeight="false" outlineLevel="0" collapsed="false">
      <c r="B52997" s="0" t="s">
        <v>18567</v>
      </c>
      <c r="C52997" s="0" t="s">
        <v>1544</v>
      </c>
      <c r="D52997" s="0" t="s">
        <v>1544</v>
      </c>
      <c r="E52997" s="0" t="s">
        <v>1544</v>
      </c>
      <c r="F52997" s="0" t="s">
        <v>1544</v>
      </c>
    </row>
    <row r="52999" customFormat="false" ht="12.8" hidden="false" customHeight="false" outlineLevel="0" collapsed="false">
      <c r="A52999" s="0" t="s">
        <v>18594</v>
      </c>
      <c r="B52999" s="0" t="str">
        <f aca="false">HYPERLINK("https://lindat.mff.cuni.cz/services/teitok/pdtc10/index.php?action=vallex&amp;frame=v-w10553f2", "uzdravit (v-w10553f2)")</f>
        <v>uzdravit (v-w10553f2)</v>
      </c>
    </row>
    <row r="53000" customFormat="false" ht="12.8" hidden="false" customHeight="false" outlineLevel="0" collapsed="false">
      <c r="B53000" s="0" t="s">
        <v>7</v>
      </c>
    </row>
    <row r="53001" customFormat="false" ht="12.8" hidden="false" customHeight="false" outlineLevel="0" collapsed="false">
      <c r="B53001" s="0" t="s">
        <v>14</v>
      </c>
    </row>
    <row r="53003" customFormat="false" ht="12.8" hidden="false" customHeight="false" outlineLevel="0" collapsed="false">
      <c r="A53003" s="0" t="s">
        <v>18595</v>
      </c>
      <c r="B53003" s="0" t="str">
        <f aca="false">HYPERLINK("https://lindat.mff.cuni.cz/services/teitok/pdtc10/index.php?action=vallex&amp;frame=v-w11341f1", "uzdravit se (v-w11341f1)")</f>
        <v>uzdravit se (v-w11341f1)</v>
      </c>
    </row>
    <row r="53004" customFormat="false" ht="12.8" hidden="false" customHeight="false" outlineLevel="0" collapsed="false">
      <c r="B53004" s="0" t="s">
        <v>7</v>
      </c>
      <c r="C53004" s="0" t="s">
        <v>184</v>
      </c>
      <c r="D53004" s="0" t="s">
        <v>1319</v>
      </c>
      <c r="E53004" s="0" t="s">
        <v>1319</v>
      </c>
      <c r="F53004" s="0" t="s">
        <v>1319</v>
      </c>
    </row>
    <row r="53006" customFormat="false" ht="12.8" hidden="false" customHeight="false" outlineLevel="0" collapsed="false">
      <c r="A53006" s="0" t="s">
        <v>18596</v>
      </c>
      <c r="B53006" s="0" t="str">
        <f aca="false">HYPERLINK("https://lindat.mff.cuni.cz/services/teitok/pdtc10/index.php?action=vallex&amp;frame=v-w7480f1", "uzdravovat (v-w7480f1)")</f>
        <v>uzdravovat (v-w7480f1)</v>
      </c>
    </row>
    <row r="53007" customFormat="false" ht="12.8" hidden="false" customHeight="false" outlineLevel="0" collapsed="false">
      <c r="B53007" s="0" t="s">
        <v>7</v>
      </c>
    </row>
    <row r="53008" customFormat="false" ht="12.8" hidden="false" customHeight="false" outlineLevel="0" collapsed="false">
      <c r="B53008" s="0" t="s">
        <v>14</v>
      </c>
    </row>
    <row r="53010" customFormat="false" ht="12.8" hidden="false" customHeight="false" outlineLevel="0" collapsed="false">
      <c r="A53010" s="0" t="s">
        <v>18597</v>
      </c>
      <c r="B53010" s="0" t="str">
        <f aca="false">HYPERLINK("https://lindat.mff.cuni.cz/services/teitok/pdtc10/index.php?action=vallex&amp;frame=v-w7480f2", "uzdravovat (v-w7480f2)")</f>
        <v>uzdravovat (v-w7480f2)</v>
      </c>
    </row>
    <row r="53011" customFormat="false" ht="12.8" hidden="false" customHeight="false" outlineLevel="0" collapsed="false">
      <c r="B53011" s="0" t="s">
        <v>7</v>
      </c>
    </row>
    <row r="53012" customFormat="false" ht="12.8" hidden="false" customHeight="false" outlineLevel="0" collapsed="false">
      <c r="B53012" s="0" t="s">
        <v>81</v>
      </c>
    </row>
    <row r="53013" customFormat="false" ht="12.8" hidden="false" customHeight="false" outlineLevel="0" collapsed="false">
      <c r="B53013" s="0" t="s">
        <v>581</v>
      </c>
    </row>
    <row r="53015" customFormat="false" ht="12.8" hidden="false" customHeight="false" outlineLevel="0" collapsed="false">
      <c r="A53015" s="0" t="s">
        <v>18598</v>
      </c>
      <c r="B53015" s="0" t="str">
        <f aca="false">HYPERLINK("https://lindat.mff.cuni.cz/services/teitok/pdtc10/index.php?action=vallex&amp;frame=v-whsa_108hsa_109", "uzdravovat se (v-whsa_108hsa_109)")</f>
        <v>uzdravovat se (v-whsa_108hsa_109)</v>
      </c>
    </row>
    <row r="53016" customFormat="false" ht="12.8" hidden="false" customHeight="false" outlineLevel="0" collapsed="false">
      <c r="B53016" s="0" t="s">
        <v>7</v>
      </c>
    </row>
    <row r="53017" customFormat="false" ht="12.8" hidden="false" customHeight="false" outlineLevel="0" collapsed="false">
      <c r="B53017" s="0" t="s">
        <v>581</v>
      </c>
    </row>
    <row r="53019" customFormat="false" ht="12.8" hidden="false" customHeight="false" outlineLevel="0" collapsed="false">
      <c r="A53019" s="0" t="s">
        <v>18599</v>
      </c>
      <c r="B53019" s="0" t="str">
        <f aca="false">HYPERLINK("https://lindat.mff.cuni.cz/services/teitok/pdtc10/index.php?action=vallex&amp;frame=v-w7481f1", "uzemnit (v-w7481f1)")</f>
        <v>uzemnit (v-w7481f1)</v>
      </c>
    </row>
    <row r="53020" customFormat="false" ht="12.8" hidden="false" customHeight="false" outlineLevel="0" collapsed="false">
      <c r="B53020" s="0" t="s">
        <v>7</v>
      </c>
    </row>
    <row r="53021" customFormat="false" ht="12.8" hidden="false" customHeight="false" outlineLevel="0" collapsed="false">
      <c r="B53021" s="0" t="s">
        <v>14</v>
      </c>
    </row>
    <row r="53023" customFormat="false" ht="12.8" hidden="false" customHeight="false" outlineLevel="0" collapsed="false">
      <c r="A53023" s="0" t="s">
        <v>18600</v>
      </c>
      <c r="B53023" s="0" t="str">
        <f aca="false">HYPERLINK("https://lindat.mff.cuni.cz/services/teitok/pdtc10/index.php?action=vallex&amp;frame=v-w7483f1", "uzlit se (v-w7483f1)")</f>
        <v>uzlit se (v-w7483f1)</v>
      </c>
    </row>
    <row r="53024" customFormat="false" ht="12.8" hidden="false" customHeight="false" outlineLevel="0" collapsed="false">
      <c r="B53024" s="0" t="s">
        <v>7</v>
      </c>
    </row>
    <row r="53026" customFormat="false" ht="12.8" hidden="false" customHeight="false" outlineLevel="0" collapsed="false">
      <c r="A53026" s="0" t="s">
        <v>18601</v>
      </c>
      <c r="B53026" s="0" t="str">
        <f aca="false">HYPERLINK("https://lindat.mff.cuni.cz/services/teitok/pdtc10/index.php?action=vallex&amp;frame=v-w7486f4_MM", "uznat (v-w7486f4_MM)")</f>
        <v>uznat (v-w7486f4_MM)</v>
      </c>
    </row>
    <row r="53027" customFormat="false" ht="12.8" hidden="false" customHeight="false" outlineLevel="0" collapsed="false">
      <c r="B53027" s="0" t="s">
        <v>7</v>
      </c>
    </row>
    <row r="53028" customFormat="false" ht="12.8" hidden="false" customHeight="false" outlineLevel="0" collapsed="false">
      <c r="B53028" s="0" t="s">
        <v>306</v>
      </c>
    </row>
    <row r="53029" customFormat="false" ht="12.8" hidden="false" customHeight="false" outlineLevel="0" collapsed="false">
      <c r="B53029" s="0" t="s">
        <v>18602</v>
      </c>
    </row>
    <row r="53031" customFormat="false" ht="12.8" hidden="false" customHeight="false" outlineLevel="0" collapsed="false">
      <c r="A53031" s="0" t="s">
        <v>18601</v>
      </c>
      <c r="B53031" s="0" t="str">
        <f aca="false">HYPERLINK("https://lindat.mff.cuni.cz/services/teitok/pdtc10/index.php?action=vallex&amp;frame=v-w7486f2", "uznat (v-w7486f2) - substituted with v-w7486f4_MM")</f>
        <v>uznat (v-w7486f2) - substituted with v-w7486f4_MM</v>
      </c>
    </row>
    <row r="53032" customFormat="false" ht="12.8" hidden="false" customHeight="false" outlineLevel="0" collapsed="false">
      <c r="B53032" s="0" t="s">
        <v>7</v>
      </c>
      <c r="C53032" s="0" t="s">
        <v>4231</v>
      </c>
    </row>
    <row r="53033" customFormat="false" ht="12.8" hidden="false" customHeight="false" outlineLevel="0" collapsed="false">
      <c r="B53033" s="0" t="s">
        <v>306</v>
      </c>
      <c r="C53033" s="0" t="s">
        <v>18603</v>
      </c>
    </row>
    <row r="53034" customFormat="false" ht="12.8" hidden="false" customHeight="false" outlineLevel="0" collapsed="false">
      <c r="B53034" s="0" t="s">
        <v>18602</v>
      </c>
      <c r="C53034" s="0" t="s">
        <v>18604</v>
      </c>
    </row>
    <row r="53036" customFormat="false" ht="12.8" hidden="false" customHeight="false" outlineLevel="0" collapsed="false">
      <c r="A53036" s="0" t="s">
        <v>18605</v>
      </c>
      <c r="B53036" s="0" t="str">
        <f aca="false">HYPERLINK("https://lindat.mff.cuni.cz/services/teitok/pdtc10/index.php?action=vallex&amp;frame=v-w7486f3_ZU", "uznat (v-w7486f3_ZU)")</f>
        <v>uznat (v-w7486f3_ZU)</v>
      </c>
    </row>
    <row r="53037" customFormat="false" ht="12.8" hidden="false" customHeight="false" outlineLevel="0" collapsed="false">
      <c r="B53037" s="0" t="s">
        <v>7</v>
      </c>
      <c r="C53037" s="0" t="s">
        <v>31</v>
      </c>
      <c r="D53037" s="0" t="s">
        <v>2534</v>
      </c>
      <c r="E53037" s="0" t="s">
        <v>2696</v>
      </c>
      <c r="F53037" s="0" t="s">
        <v>2696</v>
      </c>
    </row>
    <row r="53038" customFormat="false" ht="12.8" hidden="false" customHeight="false" outlineLevel="0" collapsed="false">
      <c r="B53038" s="0" t="s">
        <v>54</v>
      </c>
      <c r="C53038" s="0" t="s">
        <v>78</v>
      </c>
      <c r="D53038" s="0" t="s">
        <v>2699</v>
      </c>
      <c r="E53038" s="0" t="s">
        <v>2700</v>
      </c>
      <c r="F53038" s="0" t="s">
        <v>2700</v>
      </c>
    </row>
    <row r="53040" customFormat="false" ht="12.8" hidden="false" customHeight="false" outlineLevel="0" collapsed="false">
      <c r="A53040" s="0" t="s">
        <v>18605</v>
      </c>
      <c r="B53040" s="0" t="str">
        <f aca="false">HYPERLINK("https://lindat.mff.cuni.cz/services/teitok/pdtc10/index.php?action=vallex&amp;frame=v-w7486f1", "uznat (v-w7486f1) - substituted with v-w7486f3_ZU")</f>
        <v>uznat (v-w7486f1) - substituted with v-w7486f3_ZU</v>
      </c>
    </row>
    <row r="53041" customFormat="false" ht="12.8" hidden="false" customHeight="false" outlineLevel="0" collapsed="false">
      <c r="B53041" s="0" t="s">
        <v>7</v>
      </c>
      <c r="C53041" s="0" t="s">
        <v>18606</v>
      </c>
    </row>
    <row r="53042" customFormat="false" ht="12.8" hidden="false" customHeight="false" outlineLevel="0" collapsed="false">
      <c r="B53042" s="0" t="s">
        <v>54</v>
      </c>
      <c r="C53042" s="0" t="s">
        <v>14795</v>
      </c>
    </row>
    <row r="53044" customFormat="false" ht="12.8" hidden="false" customHeight="false" outlineLevel="0" collapsed="false">
      <c r="A53044" s="0" t="s">
        <v>18607</v>
      </c>
      <c r="B53044" s="0" t="str">
        <f aca="false">HYPERLINK("https://lindat.mff.cuni.cz/services/teitok/pdtc10/index.php?action=vallex&amp;frame=v-w7486hsa_531", "uznat (v-w7486hsa_531)")</f>
        <v>uznat (v-w7486hsa_531)</v>
      </c>
    </row>
    <row r="53045" customFormat="false" ht="12.8" hidden="false" customHeight="false" outlineLevel="0" collapsed="false">
      <c r="B53045" s="0" t="s">
        <v>7</v>
      </c>
    </row>
    <row r="53046" customFormat="false" ht="12.8" hidden="false" customHeight="false" outlineLevel="0" collapsed="false">
      <c r="B53046" s="0" t="s">
        <v>54</v>
      </c>
    </row>
    <row r="53048" customFormat="false" ht="12.8" hidden="false" customHeight="false" outlineLevel="0" collapsed="false">
      <c r="A53048" s="0" t="s">
        <v>18608</v>
      </c>
      <c r="B53048" s="0" t="str">
        <f aca="false">HYPERLINK("https://lindat.mff.cuni.cz/services/teitok/pdtc10/index.php?action=vallex&amp;frame=v-w7489f2", "uznávat (v-w7489f2)")</f>
        <v>uznávat (v-w7489f2)</v>
      </c>
    </row>
    <row r="53049" customFormat="false" ht="12.8" hidden="false" customHeight="false" outlineLevel="0" collapsed="false">
      <c r="B53049" s="0" t="s">
        <v>7</v>
      </c>
      <c r="C53049" s="0" t="s">
        <v>113</v>
      </c>
    </row>
    <row r="53050" customFormat="false" ht="12.8" hidden="false" customHeight="false" outlineLevel="0" collapsed="false">
      <c r="B53050" s="0" t="s">
        <v>306</v>
      </c>
      <c r="C53050" s="0" t="s">
        <v>78</v>
      </c>
    </row>
    <row r="53051" customFormat="false" ht="12.8" hidden="false" customHeight="false" outlineLevel="0" collapsed="false">
      <c r="B53051" s="0" t="s">
        <v>12760</v>
      </c>
      <c r="C53051" s="0" t="s">
        <v>18609</v>
      </c>
    </row>
    <row r="53053" customFormat="false" ht="12.8" hidden="false" customHeight="false" outlineLevel="0" collapsed="false">
      <c r="A53053" s="0" t="s">
        <v>18610</v>
      </c>
      <c r="B53053" s="0" t="str">
        <f aca="false">HYPERLINK("https://lindat.mff.cuni.cz/services/teitok/pdtc10/index.php?action=vallex&amp;frame=v-w7489f1", "uznávat (v-w7489f1)")</f>
        <v>uznávat (v-w7489f1)</v>
      </c>
    </row>
    <row r="53054" customFormat="false" ht="12.8" hidden="false" customHeight="false" outlineLevel="0" collapsed="false">
      <c r="B53054" s="0" t="s">
        <v>7</v>
      </c>
      <c r="C53054" s="0" t="s">
        <v>18611</v>
      </c>
      <c r="D53054" s="0" t="s">
        <v>2534</v>
      </c>
      <c r="E53054" s="0" t="s">
        <v>2696</v>
      </c>
      <c r="F53054" s="0" t="s">
        <v>2696</v>
      </c>
    </row>
    <row r="53055" customFormat="false" ht="12.8" hidden="false" customHeight="false" outlineLevel="0" collapsed="false">
      <c r="B53055" s="0" t="s">
        <v>54</v>
      </c>
      <c r="C53055" s="0" t="s">
        <v>12620</v>
      </c>
      <c r="D53055" s="0" t="s">
        <v>2699</v>
      </c>
      <c r="E53055" s="0" t="s">
        <v>2700</v>
      </c>
      <c r="F53055" s="0" t="s">
        <v>2700</v>
      </c>
    </row>
    <row r="53057" customFormat="false" ht="12.8" hidden="false" customHeight="false" outlineLevel="0" collapsed="false">
      <c r="A53057" s="0" t="s">
        <v>18612</v>
      </c>
      <c r="B53057" s="0" t="str">
        <f aca="false">HYPERLINK("https://lindat.mff.cuni.cz/services/teitok/pdtc10/index.php?action=vallex&amp;frame=v-w10356f2", "uzobnout (v-w10356f2)")</f>
        <v>uzobnout (v-w10356f2)</v>
      </c>
    </row>
    <row r="53058" customFormat="false" ht="12.8" hidden="false" customHeight="false" outlineLevel="0" collapsed="false">
      <c r="B53058" s="0" t="s">
        <v>7</v>
      </c>
    </row>
    <row r="53059" customFormat="false" ht="12.8" hidden="false" customHeight="false" outlineLevel="0" collapsed="false">
      <c r="B53059" s="0" t="s">
        <v>14</v>
      </c>
    </row>
    <row r="53061" customFormat="false" ht="12.8" hidden="false" customHeight="false" outlineLevel="0" collapsed="false">
      <c r="A53061" s="0" t="s">
        <v>18613</v>
      </c>
      <c r="B53061" s="0" t="str">
        <f aca="false">HYPERLINK("https://lindat.mff.cuni.cz/services/teitok/pdtc10/index.php?action=vallex&amp;frame=v-w10830f3", "uzpůsobit (v-w10830f3)")</f>
        <v>uzpůsobit (v-w10830f3)</v>
      </c>
    </row>
    <row r="53062" customFormat="false" ht="12.8" hidden="false" customHeight="false" outlineLevel="0" collapsed="false">
      <c r="B53062" s="0" t="s">
        <v>7</v>
      </c>
    </row>
    <row r="53063" customFormat="false" ht="12.8" hidden="false" customHeight="false" outlineLevel="0" collapsed="false">
      <c r="B53063" s="0" t="s">
        <v>14</v>
      </c>
    </row>
    <row r="53064" customFormat="false" ht="12.8" hidden="false" customHeight="false" outlineLevel="0" collapsed="false">
      <c r="B53064" s="0" t="s">
        <v>48</v>
      </c>
    </row>
    <row r="53066" customFormat="false" ht="12.8" hidden="false" customHeight="false" outlineLevel="0" collapsed="false">
      <c r="A53066" s="0" t="s">
        <v>18614</v>
      </c>
      <c r="B53066" s="0" t="str">
        <f aca="false">HYPERLINK("https://lindat.mff.cuni.cz/services/teitok/pdtc10/index.php?action=vallex&amp;frame=v-w10830f4_ZU", "uzpůsobit (v-w10830f4_ZU)")</f>
        <v>uzpůsobit (v-w10830f4_ZU)</v>
      </c>
    </row>
    <row r="53067" customFormat="false" ht="12.8" hidden="false" customHeight="false" outlineLevel="0" collapsed="false">
      <c r="B53067" s="0" t="s">
        <v>7</v>
      </c>
    </row>
    <row r="53068" customFormat="false" ht="12.8" hidden="false" customHeight="false" outlineLevel="0" collapsed="false">
      <c r="B53068" s="0" t="s">
        <v>14</v>
      </c>
    </row>
    <row r="53069" customFormat="false" ht="12.8" hidden="false" customHeight="false" outlineLevel="0" collapsed="false">
      <c r="B53069" s="0" t="s">
        <v>35</v>
      </c>
    </row>
    <row r="53070" customFormat="false" ht="12.8" hidden="false" customHeight="false" outlineLevel="0" collapsed="false">
      <c r="B53070" s="0" t="s">
        <v>37</v>
      </c>
    </row>
    <row r="53072" customFormat="false" ht="12.8" hidden="false" customHeight="false" outlineLevel="0" collapsed="false">
      <c r="A53072" s="0" t="s">
        <v>18614</v>
      </c>
      <c r="B53072" s="0" t="str">
        <f aca="false">HYPERLINK("https://lindat.mff.cuni.cz/services/teitok/pdtc10/index.php?action=vallex&amp;frame=v-w10830f2", "uzpůsobit (v-w10830f2) - substituted with v-w10830f4_ZU")</f>
        <v>uzpůsobit (v-w10830f2) - substituted with v-w10830f4_ZU</v>
      </c>
    </row>
    <row r="53073" customFormat="false" ht="12.8" hidden="false" customHeight="false" outlineLevel="0" collapsed="false">
      <c r="B53073" s="0" t="s">
        <v>7</v>
      </c>
      <c r="C53073" s="0" t="s">
        <v>31</v>
      </c>
      <c r="D53073" s="0" t="s">
        <v>32</v>
      </c>
      <c r="E53073" s="0" t="s">
        <v>32</v>
      </c>
      <c r="F53073" s="0" t="s">
        <v>32</v>
      </c>
    </row>
    <row r="53074" customFormat="false" ht="12.8" hidden="false" customHeight="false" outlineLevel="0" collapsed="false">
      <c r="B53074" s="0" t="s">
        <v>14</v>
      </c>
      <c r="C53074" s="0" t="s">
        <v>33</v>
      </c>
      <c r="D53074" s="0" t="s">
        <v>34</v>
      </c>
      <c r="E53074" s="0" t="s">
        <v>34</v>
      </c>
      <c r="F53074" s="0" t="s">
        <v>34</v>
      </c>
    </row>
    <row r="53075" customFormat="false" ht="12.8" hidden="false" customHeight="false" outlineLevel="0" collapsed="false">
      <c r="B53075" s="0" t="s">
        <v>35</v>
      </c>
      <c r="D53075" s="0" t="s">
        <v>36</v>
      </c>
      <c r="E53075" s="0" t="s">
        <v>36</v>
      </c>
      <c r="F53075" s="0" t="s">
        <v>36</v>
      </c>
    </row>
    <row r="53076" customFormat="false" ht="12.8" hidden="false" customHeight="false" outlineLevel="0" collapsed="false">
      <c r="B53076" s="0" t="s">
        <v>37</v>
      </c>
      <c r="D53076" s="0" t="s">
        <v>39</v>
      </c>
      <c r="E53076" s="0" t="s">
        <v>39</v>
      </c>
      <c r="F53076" s="0" t="s">
        <v>39</v>
      </c>
    </row>
    <row r="53078" customFormat="false" ht="12.8" hidden="false" customHeight="false" outlineLevel="0" collapsed="false">
      <c r="A53078" s="0" t="s">
        <v>18615</v>
      </c>
      <c r="B53078" s="0" t="str">
        <f aca="false">HYPERLINK("https://lindat.mff.cuni.cz/services/teitok/pdtc10/index.php?action=vallex&amp;frame=v-w10137f2", "uzrát (v-w10137f2)")</f>
        <v>uzrát (v-w10137f2)</v>
      </c>
    </row>
    <row r="53079" customFormat="false" ht="12.8" hidden="false" customHeight="false" outlineLevel="0" collapsed="false">
      <c r="B53079" s="0" t="s">
        <v>7</v>
      </c>
      <c r="C53079" s="0" t="s">
        <v>12612</v>
      </c>
    </row>
    <row r="53081" customFormat="false" ht="12.8" hidden="false" customHeight="false" outlineLevel="0" collapsed="false">
      <c r="A53081" s="0" t="s">
        <v>18616</v>
      </c>
      <c r="B53081" s="0" t="str">
        <f aca="false">HYPERLINK("https://lindat.mff.cuni.cz/services/teitok/pdtc10/index.php?action=vallex&amp;frame=v-w11614_ZUf1_ZU", "uzurpovat (v-w11614_ZUf1_ZU)")</f>
        <v>uzurpovat (v-w11614_ZUf1_ZU)</v>
      </c>
    </row>
    <row r="53082" customFormat="false" ht="12.8" hidden="false" customHeight="false" outlineLevel="0" collapsed="false">
      <c r="B53082" s="0" t="s">
        <v>7</v>
      </c>
      <c r="C53082" s="0" t="s">
        <v>191</v>
      </c>
      <c r="D53082" s="0" t="s">
        <v>391</v>
      </c>
      <c r="E53082" s="0" t="s">
        <v>391</v>
      </c>
      <c r="F53082" s="0" t="s">
        <v>391</v>
      </c>
    </row>
    <row r="53083" customFormat="false" ht="12.8" hidden="false" customHeight="false" outlineLevel="0" collapsed="false">
      <c r="B53083" s="0" t="s">
        <v>14</v>
      </c>
      <c r="C53083" s="0" t="s">
        <v>47</v>
      </c>
      <c r="D53083" s="0" t="s">
        <v>1205</v>
      </c>
      <c r="E53083" s="0" t="s">
        <v>1205</v>
      </c>
      <c r="F53083" s="0" t="s">
        <v>1205</v>
      </c>
    </row>
    <row r="53085" customFormat="false" ht="12.8" hidden="false" customHeight="false" outlineLevel="0" collapsed="false">
      <c r="A53085" s="0" t="s">
        <v>18617</v>
      </c>
      <c r="B53085" s="0" t="str">
        <f aca="false">HYPERLINK("https://lindat.mff.cuni.cz/services/teitok/pdtc10/index.php?action=vallex&amp;frame=v-w7468f1", "uzákonit (v-w7468f1)")</f>
        <v>uzákonit (v-w7468f1)</v>
      </c>
    </row>
    <row r="53086" customFormat="false" ht="12.8" hidden="false" customHeight="false" outlineLevel="0" collapsed="false">
      <c r="B53086" s="0" t="s">
        <v>7</v>
      </c>
      <c r="C53086" s="0" t="s">
        <v>149</v>
      </c>
      <c r="D53086" s="0" t="s">
        <v>569</v>
      </c>
      <c r="E53086" s="0" t="s">
        <v>569</v>
      </c>
      <c r="F53086" s="0" t="s">
        <v>569</v>
      </c>
    </row>
    <row r="53087" customFormat="false" ht="12.8" hidden="false" customHeight="false" outlineLevel="0" collapsed="false">
      <c r="B53087" s="0" t="s">
        <v>1520</v>
      </c>
      <c r="C53087" s="0" t="s">
        <v>488</v>
      </c>
      <c r="D53087" s="0" t="s">
        <v>1146</v>
      </c>
      <c r="E53087" s="0" t="s">
        <v>1146</v>
      </c>
      <c r="F53087" s="0" t="s">
        <v>1146</v>
      </c>
    </row>
    <row r="53089" customFormat="false" ht="12.8" hidden="false" customHeight="false" outlineLevel="0" collapsed="false">
      <c r="A53089" s="0" t="s">
        <v>18618</v>
      </c>
      <c r="B53089" s="0" t="str">
        <f aca="false">HYPERLINK("https://lindat.mff.cuni.cz/services/teitok/pdtc10/index.php?action=vallex&amp;frame=v-w10988f2", "uzákoňovat (v-w10988f2)")</f>
        <v>uzákoňovat (v-w10988f2)</v>
      </c>
    </row>
    <row r="53090" customFormat="false" ht="12.8" hidden="false" customHeight="false" outlineLevel="0" collapsed="false">
      <c r="B53090" s="0" t="s">
        <v>7</v>
      </c>
      <c r="C53090" s="0" t="s">
        <v>118</v>
      </c>
      <c r="D53090" s="0" t="s">
        <v>569</v>
      </c>
      <c r="E53090" s="0" t="s">
        <v>569</v>
      </c>
      <c r="F53090" s="0" t="s">
        <v>569</v>
      </c>
    </row>
    <row r="53091" customFormat="false" ht="12.8" hidden="false" customHeight="false" outlineLevel="0" collapsed="false">
      <c r="B53091" s="0" t="s">
        <v>1520</v>
      </c>
      <c r="C53091" s="0" t="s">
        <v>12750</v>
      </c>
      <c r="D53091" s="0" t="s">
        <v>1146</v>
      </c>
      <c r="E53091" s="0" t="s">
        <v>1146</v>
      </c>
      <c r="F53091" s="0" t="s">
        <v>1146</v>
      </c>
    </row>
    <row r="53093" customFormat="false" ht="12.8" hidden="false" customHeight="false" outlineLevel="0" collapsed="false">
      <c r="A53093" s="0" t="s">
        <v>18619</v>
      </c>
      <c r="B53093" s="0" t="str">
        <f aca="false">HYPERLINK("https://lindat.mff.cuni.cz/services/teitok/pdtc10/index.php?action=vallex&amp;frame=v-w12277_ZUf1_ZU", "učarovat (v-w12277_ZUf1_ZU)")</f>
        <v>učarovat (v-w12277_ZUf1_ZU)</v>
      </c>
    </row>
    <row r="53094" customFormat="false" ht="12.8" hidden="false" customHeight="false" outlineLevel="0" collapsed="false">
      <c r="B53094" s="0" t="s">
        <v>603</v>
      </c>
    </row>
    <row r="53095" customFormat="false" ht="12.8" hidden="false" customHeight="false" outlineLevel="0" collapsed="false">
      <c r="B53095" s="0" t="s">
        <v>328</v>
      </c>
    </row>
    <row r="53097" customFormat="false" ht="12.8" hidden="false" customHeight="false" outlineLevel="0" collapsed="false">
      <c r="A53097" s="0" t="s">
        <v>18620</v>
      </c>
      <c r="B53097" s="0" t="str">
        <f aca="false">HYPERLINK("https://lindat.mff.cuni.cz/services/teitok/pdtc10/index.php?action=vallex&amp;frame=v-w12315_MMf1_MM", "učesat (v-w12315_MMf1_MM)")</f>
        <v>učesat (v-w12315_MMf1_MM)</v>
      </c>
    </row>
    <row r="53098" customFormat="false" ht="12.8" hidden="false" customHeight="false" outlineLevel="0" collapsed="false">
      <c r="B53098" s="0" t="s">
        <v>7</v>
      </c>
    </row>
    <row r="53099" customFormat="false" ht="12.8" hidden="false" customHeight="false" outlineLevel="0" collapsed="false">
      <c r="B53099" s="0" t="s">
        <v>14</v>
      </c>
    </row>
    <row r="53101" customFormat="false" ht="12.8" hidden="false" customHeight="false" outlineLevel="0" collapsed="false">
      <c r="A53101" s="0" t="s">
        <v>18621</v>
      </c>
      <c r="B53101" s="0" t="str">
        <f aca="false">HYPERLINK("https://lindat.mff.cuni.cz/services/teitok/pdtc10/index.php?action=vallex&amp;frame=v-w6999f8", "učinit (v-w6999f8)")</f>
        <v>učinit (v-w6999f8)</v>
      </c>
    </row>
    <row r="53102" customFormat="false" ht="12.8" hidden="false" customHeight="false" outlineLevel="0" collapsed="false">
      <c r="B53102" s="0" t="s">
        <v>7</v>
      </c>
    </row>
    <row r="53103" customFormat="false" ht="12.8" hidden="false" customHeight="false" outlineLevel="0" collapsed="false">
      <c r="B53103" s="0" t="s">
        <v>14</v>
      </c>
    </row>
    <row r="53104" customFormat="false" ht="12.8" hidden="false" customHeight="false" outlineLevel="0" collapsed="false">
      <c r="B53104" s="0" t="s">
        <v>48</v>
      </c>
    </row>
    <row r="53106" customFormat="false" ht="12.8" hidden="false" customHeight="false" outlineLevel="0" collapsed="false">
      <c r="A53106" s="0" t="s">
        <v>18622</v>
      </c>
      <c r="B53106" s="0" t="str">
        <f aca="false">HYPERLINK("https://lindat.mff.cuni.cz/services/teitok/pdtc10/index.php?action=vallex&amp;frame=v-w6999f3", "učinit (v-w6999f3)")</f>
        <v>učinit (v-w6999f3)</v>
      </c>
    </row>
    <row r="53107" customFormat="false" ht="12.8" hidden="false" customHeight="false" outlineLevel="0" collapsed="false">
      <c r="B53107" s="0" t="s">
        <v>7</v>
      </c>
      <c r="C53107" s="0" t="s">
        <v>3293</v>
      </c>
    </row>
    <row r="53108" customFormat="false" ht="12.8" hidden="false" customHeight="false" outlineLevel="0" collapsed="false">
      <c r="B53108" s="0" t="s">
        <v>14</v>
      </c>
      <c r="C53108" s="0" t="s">
        <v>14283</v>
      </c>
    </row>
    <row r="53109" customFormat="false" ht="12.8" hidden="false" customHeight="false" outlineLevel="0" collapsed="false">
      <c r="B53109" s="0" t="s">
        <v>35</v>
      </c>
      <c r="C53109" s="0" t="s">
        <v>18623</v>
      </c>
    </row>
    <row r="53111" customFormat="false" ht="12.8" hidden="false" customHeight="false" outlineLevel="0" collapsed="false">
      <c r="A53111" s="0" t="s">
        <v>18624</v>
      </c>
      <c r="B53111" s="0" t="str">
        <f aca="false">HYPERLINK("https://lindat.mff.cuni.cz/services/teitok/pdtc10/index.php?action=vallex&amp;frame=v-w6999f16_ZU", "učinit (v-w6999f16_ZU)")</f>
        <v>učinit (v-w6999f16_ZU)</v>
      </c>
    </row>
    <row r="53112" customFormat="false" ht="12.8" hidden="false" customHeight="false" outlineLevel="0" collapsed="false">
      <c r="B53112" s="0" t="s">
        <v>7</v>
      </c>
      <c r="C53112" s="0" t="s">
        <v>3293</v>
      </c>
      <c r="D53112" s="0" t="s">
        <v>46</v>
      </c>
      <c r="E53112" s="0" t="s">
        <v>46</v>
      </c>
      <c r="F53112" s="0" t="s">
        <v>46</v>
      </c>
    </row>
    <row r="53113" customFormat="false" ht="12.8" hidden="false" customHeight="false" outlineLevel="0" collapsed="false">
      <c r="B53113" s="0" t="s">
        <v>306</v>
      </c>
      <c r="C53113" s="0" t="s">
        <v>3295</v>
      </c>
      <c r="D53113" s="0" t="s">
        <v>47</v>
      </c>
      <c r="E53113" s="0" t="s">
        <v>47</v>
      </c>
      <c r="F53113" s="0" t="s">
        <v>47</v>
      </c>
    </row>
    <row r="53114" customFormat="false" ht="12.8" hidden="false" customHeight="false" outlineLevel="0" collapsed="false">
      <c r="B53114" s="0" t="s">
        <v>17539</v>
      </c>
      <c r="C53114" s="0" t="s">
        <v>3447</v>
      </c>
      <c r="D53114" s="0" t="s">
        <v>1527</v>
      </c>
      <c r="E53114" s="0" t="s">
        <v>1527</v>
      </c>
      <c r="F53114" s="0" t="s">
        <v>1527</v>
      </c>
    </row>
    <row r="53115" customFormat="false" ht="12.8" hidden="false" customHeight="false" outlineLevel="0" collapsed="false">
      <c r="B53115" s="0" t="s">
        <v>35</v>
      </c>
    </row>
    <row r="53117" customFormat="false" ht="12.8" hidden="false" customHeight="false" outlineLevel="0" collapsed="false">
      <c r="A53117" s="0" t="s">
        <v>18624</v>
      </c>
      <c r="B53117" s="0" t="str">
        <f aca="false">HYPERLINK("https://lindat.mff.cuni.cz/services/teitok/pdtc10/index.php?action=vallex&amp;frame=v-w6999f4", "učinit (v-w6999f4) - substituted with v-w6999f16_ZU")</f>
        <v>učinit (v-w6999f4) - substituted with v-w6999f16_ZU</v>
      </c>
    </row>
    <row r="53118" customFormat="false" ht="12.8" hidden="false" customHeight="false" outlineLevel="0" collapsed="false">
      <c r="B53118" s="0" t="s">
        <v>7</v>
      </c>
      <c r="C53118" s="0" t="s">
        <v>1998</v>
      </c>
    </row>
    <row r="53119" customFormat="false" ht="12.8" hidden="false" customHeight="false" outlineLevel="0" collapsed="false">
      <c r="B53119" s="0" t="s">
        <v>306</v>
      </c>
      <c r="C53119" s="0" t="s">
        <v>1606</v>
      </c>
    </row>
    <row r="53120" customFormat="false" ht="12.8" hidden="false" customHeight="false" outlineLevel="0" collapsed="false">
      <c r="B53120" s="0" t="s">
        <v>17539</v>
      </c>
      <c r="C53120" s="0" t="s">
        <v>18625</v>
      </c>
    </row>
    <row r="53121" customFormat="false" ht="12.8" hidden="false" customHeight="false" outlineLevel="0" collapsed="false">
      <c r="B53121" s="0" t="s">
        <v>35</v>
      </c>
    </row>
    <row r="53123" customFormat="false" ht="12.8" hidden="false" customHeight="false" outlineLevel="0" collapsed="false">
      <c r="A53123" s="0" t="s">
        <v>18626</v>
      </c>
      <c r="B53123" s="0" t="str">
        <f aca="false">HYPERLINK("https://lindat.mff.cuni.cz/services/teitok/pdtc10/index.php?action=vallex&amp;frame=v-w6999f1", "učinit (v-w6999f1)")</f>
        <v>učinit (v-w6999f1)</v>
      </c>
    </row>
    <row r="53124" customFormat="false" ht="12.8" hidden="false" customHeight="false" outlineLevel="0" collapsed="false">
      <c r="B53124" s="0" t="s">
        <v>7</v>
      </c>
      <c r="C53124" s="0" t="s">
        <v>18627</v>
      </c>
      <c r="D53124" s="0" t="s">
        <v>17544</v>
      </c>
      <c r="E53124" s="0" t="s">
        <v>17544</v>
      </c>
      <c r="F53124" s="0" t="s">
        <v>17544</v>
      </c>
    </row>
    <row r="53125" customFormat="false" ht="12.8" hidden="false" customHeight="false" outlineLevel="0" collapsed="false">
      <c r="B53125" s="0" t="s">
        <v>3457</v>
      </c>
      <c r="C53125" s="0" t="s">
        <v>18628</v>
      </c>
      <c r="D53125" s="0" t="s">
        <v>17546</v>
      </c>
      <c r="E53125" s="0" t="s">
        <v>17546</v>
      </c>
      <c r="F53125" s="0" t="s">
        <v>17546</v>
      </c>
    </row>
    <row r="53127" customFormat="false" ht="12.8" hidden="false" customHeight="false" outlineLevel="0" collapsed="false">
      <c r="A53127" s="0" t="s">
        <v>18629</v>
      </c>
      <c r="B53127" s="0" t="str">
        <f aca="false">HYPERLINK("https://lindat.mff.cuni.cz/services/teitok/pdtc10/index.php?action=vallex&amp;frame=v-w6999f12", "učinit (v-w6999f12)")</f>
        <v>učinit (v-w6999f12)</v>
      </c>
    </row>
    <row r="53128" customFormat="false" ht="12.8" hidden="false" customHeight="false" outlineLevel="0" collapsed="false">
      <c r="B53128" s="0" t="s">
        <v>7</v>
      </c>
    </row>
    <row r="53129" customFormat="false" ht="12.8" hidden="false" customHeight="false" outlineLevel="0" collapsed="false">
      <c r="B53129" s="0" t="s">
        <v>3472</v>
      </c>
    </row>
    <row r="53130" customFormat="false" ht="12.8" hidden="false" customHeight="false" outlineLevel="0" collapsed="false">
      <c r="B53130" s="0" t="s">
        <v>122</v>
      </c>
    </row>
    <row r="53132" customFormat="false" ht="12.8" hidden="false" customHeight="false" outlineLevel="0" collapsed="false">
      <c r="A53132" s="0" t="s">
        <v>18630</v>
      </c>
      <c r="B53132" s="0" t="str">
        <f aca="false">HYPERLINK("https://lindat.mff.cuni.cz/services/teitok/pdtc10/index.php?action=vallex&amp;frame=v-w6999f10", "učinit (v-w6999f10)")</f>
        <v>učinit (v-w6999f10)</v>
      </c>
    </row>
    <row r="53133" customFormat="false" ht="12.8" hidden="false" customHeight="false" outlineLevel="0" collapsed="false">
      <c r="B53133" s="0" t="s">
        <v>7</v>
      </c>
    </row>
    <row r="53134" customFormat="false" ht="12.8" hidden="false" customHeight="false" outlineLevel="0" collapsed="false">
      <c r="B53134" s="0" t="s">
        <v>18631</v>
      </c>
    </row>
    <row r="53135" customFormat="false" ht="12.8" hidden="false" customHeight="false" outlineLevel="0" collapsed="false">
      <c r="B53135" s="0" t="s">
        <v>48</v>
      </c>
    </row>
    <row r="53137" customFormat="false" ht="12.8" hidden="false" customHeight="false" outlineLevel="0" collapsed="false">
      <c r="A53137" s="0" t="s">
        <v>18632</v>
      </c>
      <c r="B53137" s="0" t="str">
        <f aca="false">HYPERLINK("https://lindat.mff.cuni.cz/services/teitok/pdtc10/index.php?action=vallex&amp;frame=v-w6999f18_ZU", "učinit (v-w6999f18_ZU)")</f>
        <v>učinit (v-w6999f18_ZU)</v>
      </c>
    </row>
    <row r="53138" customFormat="false" ht="12.8" hidden="false" customHeight="false" outlineLevel="0" collapsed="false">
      <c r="B53138" s="0" t="s">
        <v>7</v>
      </c>
      <c r="D53138" s="0" t="s">
        <v>18633</v>
      </c>
      <c r="E53138" s="0" t="s">
        <v>18633</v>
      </c>
      <c r="F53138" s="0" t="s">
        <v>18633</v>
      </c>
    </row>
    <row r="53139" customFormat="false" ht="12.8" hidden="false" customHeight="false" outlineLevel="0" collapsed="false">
      <c r="B53139" s="0" t="s">
        <v>18634</v>
      </c>
      <c r="D53139" s="0" t="s">
        <v>18635</v>
      </c>
      <c r="E53139" s="0" t="s">
        <v>18635</v>
      </c>
      <c r="F53139" s="0" t="s">
        <v>18635</v>
      </c>
    </row>
    <row r="53140" customFormat="false" ht="12.8" hidden="false" customHeight="false" outlineLevel="0" collapsed="false">
      <c r="B53140" s="0" t="s">
        <v>106</v>
      </c>
      <c r="D53140" s="0" t="s">
        <v>18636</v>
      </c>
      <c r="E53140" s="0" t="s">
        <v>18636</v>
      </c>
      <c r="F53140" s="0" t="s">
        <v>18636</v>
      </c>
    </row>
    <row r="53142" customFormat="false" ht="12.8" hidden="false" customHeight="false" outlineLevel="0" collapsed="false">
      <c r="A53142" s="0" t="s">
        <v>18632</v>
      </c>
      <c r="B53142" s="0" t="str">
        <f aca="false">HYPERLINK("https://lindat.mff.cuni.cz/services/teitok/pdtc10/index.php?action=vallex&amp;frame=v-w6999f5", "učinit (v-w6999f5) - substituted with v-w6999f18_ZU")</f>
        <v>učinit (v-w6999f5) - substituted with v-w6999f18_ZU</v>
      </c>
    </row>
    <row r="53143" customFormat="false" ht="12.8" hidden="false" customHeight="false" outlineLevel="0" collapsed="false">
      <c r="B53143" s="0" t="s">
        <v>7</v>
      </c>
      <c r="C53143" s="0" t="s">
        <v>18637</v>
      </c>
    </row>
    <row r="53144" customFormat="false" ht="12.8" hidden="false" customHeight="false" outlineLevel="0" collapsed="false">
      <c r="B53144" s="0" t="s">
        <v>18634</v>
      </c>
      <c r="C53144" s="0" t="s">
        <v>18638</v>
      </c>
    </row>
    <row r="53145" customFormat="false" ht="12.8" hidden="false" customHeight="false" outlineLevel="0" collapsed="false">
      <c r="B53145" s="0" t="s">
        <v>106</v>
      </c>
      <c r="C53145" s="0" t="s">
        <v>18639</v>
      </c>
    </row>
    <row r="53147" customFormat="false" ht="12.8" hidden="false" customHeight="false" outlineLevel="0" collapsed="false">
      <c r="A53147" s="0" t="s">
        <v>18640</v>
      </c>
      <c r="B53147" s="0" t="str">
        <f aca="false">HYPERLINK("https://lindat.mff.cuni.cz/services/teitok/pdtc10/index.php?action=vallex&amp;frame=v-w6999f6", "učinit (v-w6999f6)")</f>
        <v>učinit (v-w6999f6)</v>
      </c>
    </row>
    <row r="53148" customFormat="false" ht="12.8" hidden="false" customHeight="false" outlineLevel="0" collapsed="false">
      <c r="B53148" s="0" t="s">
        <v>7</v>
      </c>
      <c r="C53148" s="0" t="s">
        <v>569</v>
      </c>
    </row>
    <row r="53149" customFormat="false" ht="12.8" hidden="false" customHeight="false" outlineLevel="0" collapsed="false">
      <c r="B53149" s="0" t="s">
        <v>18641</v>
      </c>
      <c r="C53149" s="0" t="s">
        <v>18642</v>
      </c>
    </row>
    <row r="53150" customFormat="false" ht="12.8" hidden="false" customHeight="false" outlineLevel="0" collapsed="false">
      <c r="B53150" s="0" t="s">
        <v>3441</v>
      </c>
    </row>
    <row r="53152" customFormat="false" ht="12.8" hidden="false" customHeight="false" outlineLevel="0" collapsed="false">
      <c r="A53152" s="0" t="s">
        <v>18643</v>
      </c>
      <c r="B53152" s="0" t="str">
        <f aca="false">HYPERLINK("https://lindat.mff.cuni.cz/services/teitok/pdtc10/index.php?action=vallex&amp;frame=v-w6999f17_ZU", "učinit (v-w6999f17_ZU)")</f>
        <v>učinit (v-w6999f17_ZU)</v>
      </c>
    </row>
    <row r="53153" customFormat="false" ht="12.8" hidden="false" customHeight="false" outlineLevel="0" collapsed="false">
      <c r="B53153" s="0" t="s">
        <v>7</v>
      </c>
      <c r="C53153" s="0" t="s">
        <v>7297</v>
      </c>
      <c r="D53153" s="0" t="s">
        <v>2156</v>
      </c>
      <c r="E53153" s="0" t="s">
        <v>2156</v>
      </c>
      <c r="F53153" s="0" t="s">
        <v>2156</v>
      </c>
    </row>
    <row r="53154" customFormat="false" ht="12.8" hidden="false" customHeight="false" outlineLevel="0" collapsed="false">
      <c r="B53154" s="0" t="s">
        <v>18644</v>
      </c>
      <c r="C53154" s="0" t="s">
        <v>18645</v>
      </c>
      <c r="D53154" s="0" t="s">
        <v>9974</v>
      </c>
      <c r="E53154" s="0" t="s">
        <v>9974</v>
      </c>
      <c r="F53154" s="0" t="s">
        <v>9974</v>
      </c>
    </row>
    <row r="53156" customFormat="false" ht="12.8" hidden="false" customHeight="false" outlineLevel="0" collapsed="false">
      <c r="A53156" s="0" t="s">
        <v>18643</v>
      </c>
      <c r="B53156" s="0" t="str">
        <f aca="false">HYPERLINK("https://lindat.mff.cuni.cz/services/teitok/pdtc10/index.php?action=vallex&amp;frame=v-w6999f13_ZU", "učinit (v-w6999f13_ZU) - substituted with v-w6999f17_ZU")</f>
        <v>učinit (v-w6999f13_ZU) - substituted with v-w6999f17_ZU</v>
      </c>
    </row>
    <row r="53157" customFormat="false" ht="12.8" hidden="false" customHeight="false" outlineLevel="0" collapsed="false">
      <c r="B53157" s="0" t="s">
        <v>7</v>
      </c>
      <c r="C53157" s="0" t="s">
        <v>7297</v>
      </c>
    </row>
    <row r="53158" customFormat="false" ht="12.8" hidden="false" customHeight="false" outlineLevel="0" collapsed="false">
      <c r="B53158" s="0" t="s">
        <v>18644</v>
      </c>
      <c r="C53158" s="0" t="s">
        <v>18646</v>
      </c>
    </row>
    <row r="53160" customFormat="false" ht="12.8" hidden="false" customHeight="false" outlineLevel="0" collapsed="false">
      <c r="A53160" s="0" t="s">
        <v>18643</v>
      </c>
      <c r="B53160" s="0" t="str">
        <f aca="false">HYPERLINK("https://lindat.mff.cuni.cz/services/teitok/pdtc10/index.php?action=vallex&amp;frame=v-w6999f14_ZU", "učinit (v-w6999f14_ZU) - substituted with v-w6999f17_ZU")</f>
        <v>učinit (v-w6999f14_ZU) - substituted with v-w6999f17_ZU</v>
      </c>
    </row>
    <row r="53161" customFormat="false" ht="12.8" hidden="false" customHeight="false" outlineLevel="0" collapsed="false">
      <c r="B53161" s="0" t="s">
        <v>7</v>
      </c>
    </row>
    <row r="53162" customFormat="false" ht="12.8" hidden="false" customHeight="false" outlineLevel="0" collapsed="false">
      <c r="B53162" s="0" t="s">
        <v>18644</v>
      </c>
    </row>
    <row r="53164" customFormat="false" ht="12.8" hidden="false" customHeight="false" outlineLevel="0" collapsed="false">
      <c r="A53164" s="0" t="s">
        <v>18643</v>
      </c>
      <c r="B53164" s="0" t="str">
        <f aca="false">HYPERLINK("https://lindat.mff.cuni.cz/services/teitok/pdtc10/index.php?action=vallex&amp;frame=v-w6999f15_ZU", "učinit (v-w6999f15_ZU) - substituted with v-w6999f17_ZU")</f>
        <v>učinit (v-w6999f15_ZU) - substituted with v-w6999f17_ZU</v>
      </c>
    </row>
    <row r="53165" customFormat="false" ht="12.8" hidden="false" customHeight="false" outlineLevel="0" collapsed="false">
      <c r="B53165" s="0" t="s">
        <v>7</v>
      </c>
      <c r="C53165" s="0" t="s">
        <v>18647</v>
      </c>
    </row>
    <row r="53166" customFormat="false" ht="12.8" hidden="false" customHeight="false" outlineLevel="0" collapsed="false">
      <c r="B53166" s="0" t="s">
        <v>18644</v>
      </c>
      <c r="C53166" s="0" t="s">
        <v>18648</v>
      </c>
    </row>
    <row r="53168" customFormat="false" ht="12.8" hidden="false" customHeight="false" outlineLevel="0" collapsed="false">
      <c r="A53168" s="0" t="s">
        <v>18643</v>
      </c>
      <c r="B53168" s="0" t="str">
        <f aca="false">HYPERLINK("https://lindat.mff.cuni.cz/services/teitok/pdtc10/index.php?action=vallex&amp;frame=v-w6999f2", "učinit (v-w6999f2) - substituted with v-w6999f17_ZU")</f>
        <v>učinit (v-w6999f2) - substituted with v-w6999f17_ZU</v>
      </c>
    </row>
    <row r="53169" customFormat="false" ht="12.8" hidden="false" customHeight="false" outlineLevel="0" collapsed="false">
      <c r="B53169" s="0" t="s">
        <v>7</v>
      </c>
      <c r="C53169" s="0" t="s">
        <v>18649</v>
      </c>
    </row>
    <row r="53170" customFormat="false" ht="12.8" hidden="false" customHeight="false" outlineLevel="0" collapsed="false">
      <c r="B53170" s="0" t="s">
        <v>18644</v>
      </c>
      <c r="C53170" s="0" t="s">
        <v>18650</v>
      </c>
    </row>
    <row r="53172" customFormat="false" ht="12.8" hidden="false" customHeight="false" outlineLevel="0" collapsed="false">
      <c r="A53172" s="0" t="s">
        <v>18643</v>
      </c>
      <c r="B53172" s="0" t="str">
        <f aca="false">HYPERLINK("https://lindat.mff.cuni.cz/services/teitok/pdtc10/index.php?action=vallex&amp;frame=v-w6999hsa_1047", "učinit (v-w6999hsa_1047) - substituted with v-w6999f17_ZU")</f>
        <v>učinit (v-w6999hsa_1047) - substituted with v-w6999f17_ZU</v>
      </c>
    </row>
    <row r="53173" customFormat="false" ht="12.8" hidden="false" customHeight="false" outlineLevel="0" collapsed="false">
      <c r="B53173" s="0" t="s">
        <v>7</v>
      </c>
      <c r="C53173" s="0" t="s">
        <v>18651</v>
      </c>
    </row>
    <row r="53174" customFormat="false" ht="12.8" hidden="false" customHeight="false" outlineLevel="0" collapsed="false">
      <c r="B53174" s="0" t="s">
        <v>18644</v>
      </c>
      <c r="C53174" s="0" t="s">
        <v>18652</v>
      </c>
    </row>
    <row r="53176" customFormat="false" ht="12.8" hidden="false" customHeight="false" outlineLevel="0" collapsed="false">
      <c r="A53176" s="0" t="s">
        <v>18653</v>
      </c>
      <c r="B53176" s="0" t="str">
        <f aca="false">HYPERLINK("https://lindat.mff.cuni.cz/services/teitok/pdtc10/index.php?action=vallex&amp;frame=v-w6999f7", "učinit (v-w6999f7)")</f>
        <v>učinit (v-w6999f7)</v>
      </c>
    </row>
    <row r="53177" customFormat="false" ht="12.8" hidden="false" customHeight="false" outlineLevel="0" collapsed="false">
      <c r="B53177" s="0" t="s">
        <v>7</v>
      </c>
    </row>
    <row r="53178" customFormat="false" ht="12.8" hidden="false" customHeight="false" outlineLevel="0" collapsed="false">
      <c r="B53178" s="0" t="s">
        <v>18654</v>
      </c>
    </row>
    <row r="53179" customFormat="false" ht="12.8" hidden="false" customHeight="false" outlineLevel="0" collapsed="false">
      <c r="B53179" s="0" t="s">
        <v>142</v>
      </c>
    </row>
    <row r="53181" customFormat="false" ht="12.8" hidden="false" customHeight="false" outlineLevel="0" collapsed="false">
      <c r="A53181" s="0" t="s">
        <v>18655</v>
      </c>
      <c r="B53181" s="0" t="str">
        <f aca="false">HYPERLINK("https://lindat.mff.cuni.cz/services/teitok/pdtc10/index.php?action=vallex&amp;frame=v-w6999f11", "učinit (v-w6999f11)")</f>
        <v>učinit (v-w6999f11)</v>
      </c>
    </row>
    <row r="53182" customFormat="false" ht="12.8" hidden="false" customHeight="false" outlineLevel="0" collapsed="false">
      <c r="B53182" s="0" t="s">
        <v>7</v>
      </c>
    </row>
    <row r="53183" customFormat="false" ht="12.8" hidden="false" customHeight="false" outlineLevel="0" collapsed="false">
      <c r="B53183" s="0" t="s">
        <v>18656</v>
      </c>
    </row>
    <row r="53185" customFormat="false" ht="12.8" hidden="false" customHeight="false" outlineLevel="0" collapsed="false">
      <c r="A53185" s="0" t="s">
        <v>18657</v>
      </c>
      <c r="B53185" s="0" t="str">
        <f aca="false">HYPERLINK("https://lindat.mff.cuni.cz/services/teitok/pdtc10/index.php?action=vallex&amp;frame=v-w6999f9", "učinit (v-w6999f9)")</f>
        <v>učinit (v-w6999f9)</v>
      </c>
    </row>
    <row r="53186" customFormat="false" ht="12.8" hidden="false" customHeight="false" outlineLevel="0" collapsed="false">
      <c r="B53186" s="0" t="s">
        <v>7</v>
      </c>
    </row>
    <row r="53187" customFormat="false" ht="12.8" hidden="false" customHeight="false" outlineLevel="0" collapsed="false">
      <c r="B53187" s="0" t="s">
        <v>18658</v>
      </c>
    </row>
    <row r="53189" customFormat="false" ht="12.8" hidden="false" customHeight="false" outlineLevel="0" collapsed="false">
      <c r="A53189" s="0" t="s">
        <v>18659</v>
      </c>
      <c r="B53189" s="0" t="str">
        <f aca="false">HYPERLINK("https://lindat.mff.cuni.cz/services/teitok/pdtc10/index.php?action=vallex&amp;frame=v-w11606_ZUf2_ZU", "učinit si (v-w11606_ZUf2_ZU)")</f>
        <v>učinit si (v-w11606_ZUf2_ZU)</v>
      </c>
    </row>
    <row r="53190" customFormat="false" ht="12.8" hidden="false" customHeight="false" outlineLevel="0" collapsed="false">
      <c r="B53190" s="0" t="s">
        <v>7</v>
      </c>
      <c r="C53190" s="0" t="s">
        <v>5057</v>
      </c>
      <c r="D53190" s="0" t="s">
        <v>451</v>
      </c>
      <c r="E53190" s="0" t="s">
        <v>451</v>
      </c>
      <c r="F53190" s="0" t="s">
        <v>451</v>
      </c>
    </row>
    <row r="53191" customFormat="false" ht="12.8" hidden="false" customHeight="false" outlineLevel="0" collapsed="false">
      <c r="B53191" s="0" t="s">
        <v>18660</v>
      </c>
      <c r="C53191" s="0" t="s">
        <v>18661</v>
      </c>
      <c r="D53191" s="0" t="s">
        <v>17589</v>
      </c>
      <c r="E53191" s="0" t="s">
        <v>17589</v>
      </c>
      <c r="F53191" s="0" t="s">
        <v>17589</v>
      </c>
    </row>
    <row r="53193" customFormat="false" ht="12.8" hidden="false" customHeight="false" outlineLevel="0" collapsed="false">
      <c r="A53193" s="0" t="s">
        <v>18659</v>
      </c>
      <c r="B53193" s="0" t="str">
        <f aca="false">HYPERLINK("https://lindat.mff.cuni.cz/services/teitok/pdtc10/index.php?action=vallex&amp;frame=v-w11606_ZUf1_ZU", "učinit si (v-w11606_ZUf1_ZU) - substituted with v-w11606_ZUf2_ZU")</f>
        <v>učinit si (v-w11606_ZUf1_ZU) - substituted with v-w11606_ZUf2_ZU</v>
      </c>
    </row>
    <row r="53194" customFormat="false" ht="12.8" hidden="false" customHeight="false" outlineLevel="0" collapsed="false">
      <c r="B53194" s="0" t="s">
        <v>7</v>
      </c>
    </row>
    <row r="53195" customFormat="false" ht="12.8" hidden="false" customHeight="false" outlineLevel="0" collapsed="false">
      <c r="B53195" s="0" t="s">
        <v>18660</v>
      </c>
    </row>
    <row r="53197" customFormat="false" ht="12.8" hidden="false" customHeight="false" outlineLevel="0" collapsed="false">
      <c r="A53197" s="0" t="s">
        <v>18662</v>
      </c>
      <c r="B53197" s="0" t="str">
        <f aca="false">HYPERLINK("https://lindat.mff.cuni.cz/services/teitok/pdtc10/index.php?action=vallex&amp;frame=v-w7003f1", "učit (v-w7003f1)")</f>
        <v>učit (v-w7003f1)</v>
      </c>
    </row>
    <row r="53198" customFormat="false" ht="12.8" hidden="false" customHeight="false" outlineLevel="0" collapsed="false">
      <c r="B53198" s="0" t="s">
        <v>7</v>
      </c>
      <c r="C53198" s="0" t="s">
        <v>1637</v>
      </c>
      <c r="D53198" s="0" t="s">
        <v>23</v>
      </c>
      <c r="E53198" s="0" t="s">
        <v>23</v>
      </c>
      <c r="F53198" s="0" t="s">
        <v>23</v>
      </c>
    </row>
    <row r="53199" customFormat="false" ht="12.8" hidden="false" customHeight="false" outlineLevel="0" collapsed="false">
      <c r="B53199" s="0" t="s">
        <v>18663</v>
      </c>
      <c r="C53199" s="0" t="s">
        <v>7134</v>
      </c>
      <c r="D53199" s="0" t="s">
        <v>7131</v>
      </c>
      <c r="E53199" s="0" t="s">
        <v>7131</v>
      </c>
      <c r="F53199" s="0" t="s">
        <v>7131</v>
      </c>
    </row>
    <row r="53200" customFormat="false" ht="12.8" hidden="false" customHeight="false" outlineLevel="0" collapsed="false">
      <c r="B53200" s="0" t="s">
        <v>2617</v>
      </c>
      <c r="C53200" s="0" t="s">
        <v>18664</v>
      </c>
      <c r="D53200" s="0" t="s">
        <v>7133</v>
      </c>
      <c r="E53200" s="0" t="s">
        <v>7133</v>
      </c>
      <c r="F53200" s="0" t="s">
        <v>7133</v>
      </c>
    </row>
    <row r="53202" customFormat="false" ht="12.8" hidden="false" customHeight="false" outlineLevel="0" collapsed="false">
      <c r="A53202" s="0" t="s">
        <v>18665</v>
      </c>
      <c r="B53202" s="0" t="str">
        <f aca="false">HYPERLINK("https://lindat.mff.cuni.cz/services/teitok/pdtc10/index.php?action=vallex&amp;frame=v-w7006f5_ZU", "učit se (v-w7006f5_ZU)")</f>
        <v>učit se (v-w7006f5_ZU)</v>
      </c>
    </row>
    <row r="53203" customFormat="false" ht="12.8" hidden="false" customHeight="false" outlineLevel="0" collapsed="false">
      <c r="B53203" s="0" t="s">
        <v>7</v>
      </c>
    </row>
    <row r="53204" customFormat="false" ht="12.8" hidden="false" customHeight="false" outlineLevel="0" collapsed="false">
      <c r="B53204" s="0" t="s">
        <v>2619</v>
      </c>
    </row>
    <row r="53205" customFormat="false" ht="12.8" hidden="false" customHeight="false" outlineLevel="0" collapsed="false">
      <c r="B53205" s="0" t="s">
        <v>18666</v>
      </c>
    </row>
    <row r="53207" customFormat="false" ht="12.8" hidden="false" customHeight="false" outlineLevel="0" collapsed="false">
      <c r="A53207" s="0" t="s">
        <v>18665</v>
      </c>
      <c r="B53207" s="0" t="str">
        <f aca="false">HYPERLINK("https://lindat.mff.cuni.cz/services/teitok/pdtc10/index.php?action=vallex&amp;frame=v-w7006f1", "učit se (v-w7006f1) - substituted with v-w7006f5_ZU")</f>
        <v>učit se (v-w7006f1) - substituted with v-w7006f5_ZU</v>
      </c>
    </row>
    <row r="53208" customFormat="false" ht="12.8" hidden="false" customHeight="false" outlineLevel="0" collapsed="false">
      <c r="B53208" s="0" t="s">
        <v>7</v>
      </c>
      <c r="C53208" s="0" t="s">
        <v>18667</v>
      </c>
    </row>
    <row r="53209" customFormat="false" ht="12.8" hidden="false" customHeight="false" outlineLevel="0" collapsed="false">
      <c r="B53209" s="0" t="s">
        <v>2619</v>
      </c>
      <c r="C53209" s="0" t="s">
        <v>7391</v>
      </c>
    </row>
    <row r="53210" customFormat="false" ht="12.8" hidden="false" customHeight="false" outlineLevel="0" collapsed="false">
      <c r="B53210" s="0" t="s">
        <v>18666</v>
      </c>
      <c r="C53210" s="0" t="s">
        <v>2480</v>
      </c>
    </row>
    <row r="53212" customFormat="false" ht="12.8" hidden="false" customHeight="false" outlineLevel="0" collapsed="false">
      <c r="A53212" s="0" t="s">
        <v>18668</v>
      </c>
      <c r="B53212" s="0" t="str">
        <f aca="false">HYPERLINK("https://lindat.mff.cuni.cz/services/teitok/pdtc10/index.php?action=vallex&amp;frame=v-w7006f8_ZU", "učit se (v-w7006f8_ZU)")</f>
        <v>učit se (v-w7006f8_ZU)</v>
      </c>
    </row>
    <row r="53213" customFormat="false" ht="12.8" hidden="false" customHeight="false" outlineLevel="0" collapsed="false">
      <c r="B53213" s="0" t="s">
        <v>7</v>
      </c>
    </row>
    <row r="53214" customFormat="false" ht="12.8" hidden="false" customHeight="false" outlineLevel="0" collapsed="false">
      <c r="B53214" s="0" t="s">
        <v>18669</v>
      </c>
    </row>
    <row r="53215" customFormat="false" ht="12.8" hidden="false" customHeight="false" outlineLevel="0" collapsed="false">
      <c r="B53215" s="0" t="s">
        <v>586</v>
      </c>
    </row>
    <row r="53217" customFormat="false" ht="12.8" hidden="false" customHeight="false" outlineLevel="0" collapsed="false">
      <c r="A53217" s="0" t="s">
        <v>18668</v>
      </c>
      <c r="B53217" s="0" t="str">
        <f aca="false">HYPERLINK("https://lindat.mff.cuni.cz/services/teitok/pdtc10/index.php?action=vallex&amp;frame=v-w7006f2", "učit se (v-w7006f2) - substituted with v-w7006f8_ZU")</f>
        <v>učit se (v-w7006f2) - substituted with v-w7006f8_ZU</v>
      </c>
    </row>
    <row r="53218" customFormat="false" ht="12.8" hidden="false" customHeight="false" outlineLevel="0" collapsed="false">
      <c r="B53218" s="0" t="s">
        <v>7</v>
      </c>
    </row>
    <row r="53219" customFormat="false" ht="12.8" hidden="false" customHeight="false" outlineLevel="0" collapsed="false">
      <c r="B53219" s="0" t="s">
        <v>18669</v>
      </c>
    </row>
    <row r="53220" customFormat="false" ht="12.8" hidden="false" customHeight="false" outlineLevel="0" collapsed="false">
      <c r="B53220" s="0" t="s">
        <v>586</v>
      </c>
    </row>
    <row r="53222" customFormat="false" ht="12.8" hidden="false" customHeight="false" outlineLevel="0" collapsed="false">
      <c r="A53222" s="0" t="s">
        <v>18668</v>
      </c>
      <c r="B53222" s="0" t="str">
        <f aca="false">HYPERLINK("https://lindat.mff.cuni.cz/services/teitok/pdtc10/index.php?action=vallex&amp;frame=v-w7006f6_ZU", "učit se (v-w7006f6_ZU) - substituted with v-w7006f8_ZU")</f>
        <v>učit se (v-w7006f6_ZU) - substituted with v-w7006f8_ZU</v>
      </c>
    </row>
    <row r="53223" customFormat="false" ht="12.8" hidden="false" customHeight="false" outlineLevel="0" collapsed="false">
      <c r="B53223" s="0" t="s">
        <v>7</v>
      </c>
    </row>
    <row r="53224" customFormat="false" ht="12.8" hidden="false" customHeight="false" outlineLevel="0" collapsed="false">
      <c r="B53224" s="0" t="s">
        <v>18669</v>
      </c>
    </row>
    <row r="53225" customFormat="false" ht="12.8" hidden="false" customHeight="false" outlineLevel="0" collapsed="false">
      <c r="B53225" s="0" t="s">
        <v>586</v>
      </c>
    </row>
    <row r="53227" customFormat="false" ht="12.8" hidden="false" customHeight="false" outlineLevel="0" collapsed="false">
      <c r="A53227" s="0" t="s">
        <v>18668</v>
      </c>
      <c r="B53227" s="0" t="str">
        <f aca="false">HYPERLINK("https://lindat.mff.cuni.cz/services/teitok/pdtc10/index.php?action=vallex&amp;frame=v-w7006f7_ZU", "učit se (v-w7006f7_ZU) - substituted with v-w7006f8_ZU")</f>
        <v>učit se (v-w7006f7_ZU) - substituted with v-w7006f8_ZU</v>
      </c>
    </row>
    <row r="53228" customFormat="false" ht="12.8" hidden="false" customHeight="false" outlineLevel="0" collapsed="false">
      <c r="B53228" s="0" t="s">
        <v>7</v>
      </c>
    </row>
    <row r="53229" customFormat="false" ht="12.8" hidden="false" customHeight="false" outlineLevel="0" collapsed="false">
      <c r="B53229" s="0" t="s">
        <v>18669</v>
      </c>
    </row>
    <row r="53230" customFormat="false" ht="12.8" hidden="false" customHeight="false" outlineLevel="0" collapsed="false">
      <c r="B53230" s="0" t="s">
        <v>586</v>
      </c>
    </row>
    <row r="53232" customFormat="false" ht="12.8" hidden="false" customHeight="false" outlineLevel="0" collapsed="false">
      <c r="A53232" s="0" t="s">
        <v>18668</v>
      </c>
      <c r="B53232" s="0" t="str">
        <f aca="false">HYPERLINK("https://lindat.mff.cuni.cz/services/teitok/pdtc10/index.php?action=vallex&amp;frame=v-w7006hsa_172", "učit se (v-w7006hsa_172) - substituted with v-w7006f8_ZU")</f>
        <v>učit se (v-w7006hsa_172) - substituted with v-w7006f8_ZU</v>
      </c>
    </row>
    <row r="53233" customFormat="false" ht="12.8" hidden="false" customHeight="false" outlineLevel="0" collapsed="false">
      <c r="B53233" s="0" t="s">
        <v>7</v>
      </c>
    </row>
    <row r="53234" customFormat="false" ht="12.8" hidden="false" customHeight="false" outlineLevel="0" collapsed="false">
      <c r="B53234" s="0" t="s">
        <v>18669</v>
      </c>
    </row>
    <row r="53235" customFormat="false" ht="12.8" hidden="false" customHeight="false" outlineLevel="0" collapsed="false">
      <c r="B53235" s="0" t="s">
        <v>586</v>
      </c>
    </row>
    <row r="53237" customFormat="false" ht="12.8" hidden="false" customHeight="false" outlineLevel="0" collapsed="false">
      <c r="A53237" s="0" t="s">
        <v>18670</v>
      </c>
      <c r="B53237" s="0" t="str">
        <f aca="false">HYPERLINK("https://lindat.mff.cuni.cz/services/teitok/pdtc10/index.php?action=vallex&amp;frame=v-w7006f4_ZU", "učit se (v-w7006f4_ZU)")</f>
        <v>učit se (v-w7006f4_ZU)</v>
      </c>
    </row>
    <row r="53238" customFormat="false" ht="12.8" hidden="false" customHeight="false" outlineLevel="0" collapsed="false">
      <c r="B53238" s="0" t="s">
        <v>7</v>
      </c>
      <c r="C53238" s="0" t="s">
        <v>316</v>
      </c>
      <c r="D53238" s="0" t="s">
        <v>2256</v>
      </c>
      <c r="E53238" s="0" t="s">
        <v>2256</v>
      </c>
      <c r="F53238" s="0" t="s">
        <v>2256</v>
      </c>
    </row>
    <row r="53239" customFormat="false" ht="12.8" hidden="false" customHeight="false" outlineLevel="0" collapsed="false">
      <c r="B53239" s="0" t="s">
        <v>1925</v>
      </c>
      <c r="C53239" s="0" t="s">
        <v>18671</v>
      </c>
      <c r="D53239" s="0" t="s">
        <v>2258</v>
      </c>
      <c r="E53239" s="0" t="s">
        <v>2258</v>
      </c>
      <c r="F53239" s="0" t="s">
        <v>2258</v>
      </c>
    </row>
    <row r="53240" customFormat="false" ht="12.8" hidden="false" customHeight="false" outlineLevel="0" collapsed="false">
      <c r="B53240" s="0" t="s">
        <v>363</v>
      </c>
      <c r="D53240" s="0" t="s">
        <v>2259</v>
      </c>
      <c r="E53240" s="0" t="s">
        <v>2259</v>
      </c>
      <c r="F53240" s="0" t="s">
        <v>2259</v>
      </c>
    </row>
    <row r="53241" customFormat="false" ht="12.8" hidden="false" customHeight="false" outlineLevel="0" collapsed="false">
      <c r="B53241" s="0" t="s">
        <v>441</v>
      </c>
      <c r="C53241" s="0" t="s">
        <v>2480</v>
      </c>
      <c r="D53241" s="0" t="s">
        <v>2260</v>
      </c>
      <c r="E53241" s="0" t="s">
        <v>2260</v>
      </c>
      <c r="F53241" s="0" t="s">
        <v>2260</v>
      </c>
    </row>
    <row r="53243" customFormat="false" ht="12.8" hidden="false" customHeight="false" outlineLevel="0" collapsed="false">
      <c r="A53243" s="0" t="s">
        <v>18672</v>
      </c>
      <c r="B53243" s="0" t="str">
        <f aca="false">HYPERLINK("https://lindat.mff.cuni.cz/services/teitok/pdtc10/index.php?action=vallex&amp;frame=v-w7006f3_ZU", "učit se (v-w7006f3_ZU)")</f>
        <v>učit se (v-w7006f3_ZU)</v>
      </c>
    </row>
    <row r="53244" customFormat="false" ht="12.8" hidden="false" customHeight="false" outlineLevel="0" collapsed="false">
      <c r="B53244" s="0" t="s">
        <v>7</v>
      </c>
      <c r="C53244" s="0" t="s">
        <v>68</v>
      </c>
    </row>
    <row r="53245" customFormat="false" ht="12.8" hidden="false" customHeight="false" outlineLevel="0" collapsed="false">
      <c r="B53245" s="0" t="s">
        <v>4545</v>
      </c>
      <c r="C53245" s="0" t="s">
        <v>18673</v>
      </c>
    </row>
    <row r="53246" customFormat="false" ht="12.8" hidden="false" customHeight="false" outlineLevel="0" collapsed="false">
      <c r="B53246" s="0" t="s">
        <v>441</v>
      </c>
    </row>
    <row r="53248" customFormat="false" ht="12.8" hidden="false" customHeight="false" outlineLevel="0" collapsed="false">
      <c r="A53248" s="0" t="s">
        <v>18674</v>
      </c>
      <c r="B53248" s="0" t="str">
        <f aca="false">HYPERLINK("https://lindat.mff.cuni.cz/services/teitok/pdtc10/index.php?action=vallex&amp;frame=v-w7006hsa_212", "učit se (v-w7006hsa_212)")</f>
        <v>učit se (v-w7006hsa_212)</v>
      </c>
    </row>
    <row r="53249" customFormat="false" ht="12.8" hidden="false" customHeight="false" outlineLevel="0" collapsed="false">
      <c r="B53249" s="0" t="s">
        <v>7</v>
      </c>
    </row>
    <row r="53250" customFormat="false" ht="12.8" hidden="false" customHeight="false" outlineLevel="0" collapsed="false">
      <c r="B53250" s="0" t="s">
        <v>41</v>
      </c>
    </row>
    <row r="53252" customFormat="false" ht="12.8" hidden="false" customHeight="false" outlineLevel="0" collapsed="false">
      <c r="A53252" s="0" t="s">
        <v>18675</v>
      </c>
      <c r="B53252" s="0" t="str">
        <f aca="false">HYPERLINK("https://lindat.mff.cuni.cz/services/teitok/pdtc10/index.php?action=vallex&amp;frame=v-w7007f1", "učívat (v-w7007f1)")</f>
        <v>učívat (v-w7007f1)</v>
      </c>
    </row>
    <row r="53253" customFormat="false" ht="12.8" hidden="false" customHeight="false" outlineLevel="0" collapsed="false">
      <c r="B53253" s="0" t="s">
        <v>7</v>
      </c>
      <c r="D53253" s="0" t="s">
        <v>23</v>
      </c>
      <c r="E53253" s="0" t="s">
        <v>23</v>
      </c>
      <c r="F53253" s="0" t="s">
        <v>23</v>
      </c>
    </row>
    <row r="53254" customFormat="false" ht="12.8" hidden="false" customHeight="false" outlineLevel="0" collapsed="false">
      <c r="B53254" s="0" t="s">
        <v>18663</v>
      </c>
      <c r="D53254" s="0" t="s">
        <v>7131</v>
      </c>
      <c r="E53254" s="0" t="s">
        <v>7131</v>
      </c>
      <c r="F53254" s="0" t="s">
        <v>7131</v>
      </c>
    </row>
    <row r="53255" customFormat="false" ht="12.8" hidden="false" customHeight="false" outlineLevel="0" collapsed="false">
      <c r="B53255" s="0" t="s">
        <v>2617</v>
      </c>
      <c r="D53255" s="0" t="s">
        <v>7133</v>
      </c>
      <c r="E53255" s="0" t="s">
        <v>7133</v>
      </c>
      <c r="F53255" s="0" t="s">
        <v>7133</v>
      </c>
    </row>
    <row r="53257" customFormat="false" ht="12.8" hidden="false" customHeight="false" outlineLevel="0" collapsed="false">
      <c r="A53257" s="0" t="s">
        <v>18676</v>
      </c>
      <c r="B53257" s="0" t="str">
        <f aca="false">HYPERLINK("https://lindat.mff.cuni.cz/services/teitok/pdtc10/index.php?action=vallex&amp;frame=v-w11905_ZUf1_ZU", "učívávat (v-w11905_ZUf1_ZU)")</f>
        <v>učívávat (v-w11905_ZUf1_ZU)</v>
      </c>
    </row>
    <row r="53258" customFormat="false" ht="12.8" hidden="false" customHeight="false" outlineLevel="0" collapsed="false">
      <c r="B53258" s="0" t="s">
        <v>7</v>
      </c>
    </row>
    <row r="53259" customFormat="false" ht="12.8" hidden="false" customHeight="false" outlineLevel="0" collapsed="false">
      <c r="B53259" s="0" t="s">
        <v>18663</v>
      </c>
    </row>
    <row r="53260" customFormat="false" ht="12.8" hidden="false" customHeight="false" outlineLevel="0" collapsed="false">
      <c r="B53260" s="0" t="s">
        <v>2617</v>
      </c>
    </row>
    <row r="53262" customFormat="false" ht="12.8" hidden="false" customHeight="false" outlineLevel="0" collapsed="false">
      <c r="A53262" s="0" t="s">
        <v>18677</v>
      </c>
      <c r="B53262" s="0" t="str">
        <f aca="false">HYPERLINK("https://lindat.mff.cuni.cz/services/teitok/pdtc10/index.php?action=vallex&amp;frame=v-whsb_710hsa_711", "uřezat (v-whsb_710hsa_711)")</f>
        <v>uřezat (v-whsb_710hsa_711)</v>
      </c>
    </row>
    <row r="53263" customFormat="false" ht="12.8" hidden="false" customHeight="false" outlineLevel="0" collapsed="false">
      <c r="B53263" s="0" t="s">
        <v>7</v>
      </c>
    </row>
    <row r="53264" customFormat="false" ht="12.8" hidden="false" customHeight="false" outlineLevel="0" collapsed="false">
      <c r="B53264" s="0" t="s">
        <v>14</v>
      </c>
    </row>
    <row r="53265" customFormat="false" ht="12.8" hidden="false" customHeight="false" outlineLevel="0" collapsed="false">
      <c r="B53265" s="0" t="s">
        <v>459</v>
      </c>
    </row>
    <row r="53267" customFormat="false" ht="12.8" hidden="false" customHeight="false" outlineLevel="0" collapsed="false">
      <c r="A53267" s="0" t="s">
        <v>18678</v>
      </c>
      <c r="B53267" s="0" t="str">
        <f aca="false">HYPERLINK("https://lindat.mff.cuni.cz/services/teitok/pdtc10/index.php?action=vallex&amp;frame=v-w11879_ZUf1_ZU", "uřvat (v-w11879_ZUf1_ZU)")</f>
        <v>uřvat (v-w11879_ZUf1_ZU)</v>
      </c>
    </row>
    <row r="53268" customFormat="false" ht="12.8" hidden="false" customHeight="false" outlineLevel="0" collapsed="false">
      <c r="B53268" s="0" t="s">
        <v>7</v>
      </c>
    </row>
    <row r="53269" customFormat="false" ht="12.8" hidden="false" customHeight="false" outlineLevel="0" collapsed="false">
      <c r="B53269" s="0" t="s">
        <v>14</v>
      </c>
    </row>
    <row r="53271" customFormat="false" ht="12.8" hidden="false" customHeight="false" outlineLevel="0" collapsed="false">
      <c r="A53271" s="0" t="s">
        <v>18679</v>
      </c>
      <c r="B53271" s="0" t="str">
        <f aca="false">HYPERLINK("https://lindat.mff.cuni.cz/services/teitok/pdtc10/index.php?action=vallex&amp;frame=v-w7271f1", "uříznout (v-w7271f1)")</f>
        <v>uříznout (v-w7271f1)</v>
      </c>
    </row>
    <row r="53272" customFormat="false" ht="12.8" hidden="false" customHeight="false" outlineLevel="0" collapsed="false">
      <c r="B53272" s="0" t="s">
        <v>7</v>
      </c>
      <c r="D53272" s="0" t="s">
        <v>88</v>
      </c>
      <c r="E53272" s="0" t="s">
        <v>88</v>
      </c>
      <c r="F53272" s="0" t="s">
        <v>88</v>
      </c>
    </row>
    <row r="53273" customFormat="false" ht="12.8" hidden="false" customHeight="false" outlineLevel="0" collapsed="false">
      <c r="B53273" s="0" t="s">
        <v>14</v>
      </c>
      <c r="D53273" s="0" t="s">
        <v>89</v>
      </c>
      <c r="E53273" s="0" t="s">
        <v>89</v>
      </c>
      <c r="F53273" s="0" t="s">
        <v>89</v>
      </c>
    </row>
    <row r="53275" customFormat="false" ht="12.8" hidden="false" customHeight="false" outlineLevel="0" collapsed="false">
      <c r="A53275" s="0" t="s">
        <v>18680</v>
      </c>
      <c r="B53275" s="0" t="str">
        <f aca="false">HYPERLINK("https://lindat.mff.cuni.cz/services/teitok/pdtc10/index.php?action=vallex&amp;frame=v-w7355f3_ZU", "ušetřit (v-w7355f3_ZU)")</f>
        <v>ušetřit (v-w7355f3_ZU)</v>
      </c>
    </row>
    <row r="53276" customFormat="false" ht="12.8" hidden="false" customHeight="false" outlineLevel="0" collapsed="false">
      <c r="B53276" s="0" t="s">
        <v>7</v>
      </c>
      <c r="C53276" s="0" t="s">
        <v>18190</v>
      </c>
      <c r="D53276" s="0" t="s">
        <v>18191</v>
      </c>
      <c r="E53276" s="0" t="s">
        <v>18191</v>
      </c>
      <c r="F53276" s="0" t="s">
        <v>18191</v>
      </c>
    </row>
    <row r="53277" customFormat="false" ht="12.8" hidden="false" customHeight="false" outlineLevel="0" collapsed="false">
      <c r="B53277" s="0" t="s">
        <v>14</v>
      </c>
      <c r="C53277" s="0" t="s">
        <v>152</v>
      </c>
      <c r="D53277" s="0" t="s">
        <v>8765</v>
      </c>
      <c r="E53277" s="0" t="s">
        <v>8765</v>
      </c>
      <c r="F53277" s="0" t="s">
        <v>8765</v>
      </c>
    </row>
    <row r="53278" customFormat="false" ht="12.8" hidden="false" customHeight="false" outlineLevel="0" collapsed="false">
      <c r="B53278" s="0" t="s">
        <v>586</v>
      </c>
      <c r="D53278" s="0" t="s">
        <v>18681</v>
      </c>
      <c r="E53278" s="0" t="s">
        <v>18681</v>
      </c>
      <c r="F53278" s="0" t="s">
        <v>18681</v>
      </c>
    </row>
    <row r="53280" customFormat="false" ht="12.8" hidden="false" customHeight="false" outlineLevel="0" collapsed="false">
      <c r="A53280" s="0" t="s">
        <v>18680</v>
      </c>
      <c r="B53280" s="0" t="str">
        <f aca="false">HYPERLINK("https://lindat.mff.cuni.cz/services/teitok/pdtc10/index.php?action=vallex&amp;frame=v-w7355f1", "ušetřit (v-w7355f1) - substituted with v-w7355f3_ZU")</f>
        <v>ušetřit (v-w7355f1) - substituted with v-w7355f3_ZU</v>
      </c>
    </row>
    <row r="53281" customFormat="false" ht="12.8" hidden="false" customHeight="false" outlineLevel="0" collapsed="false">
      <c r="B53281" s="0" t="s">
        <v>7</v>
      </c>
      <c r="C53281" s="0" t="s">
        <v>18682</v>
      </c>
    </row>
    <row r="53282" customFormat="false" ht="12.8" hidden="false" customHeight="false" outlineLevel="0" collapsed="false">
      <c r="B53282" s="0" t="s">
        <v>14</v>
      </c>
      <c r="C53282" s="0" t="s">
        <v>1210</v>
      </c>
    </row>
    <row r="53283" customFormat="false" ht="12.8" hidden="false" customHeight="false" outlineLevel="0" collapsed="false">
      <c r="B53283" s="0" t="s">
        <v>586</v>
      </c>
    </row>
    <row r="53285" customFormat="false" ht="12.8" hidden="false" customHeight="false" outlineLevel="0" collapsed="false">
      <c r="A53285" s="0" t="s">
        <v>18683</v>
      </c>
      <c r="B53285" s="0" t="str">
        <f aca="false">HYPERLINK("https://lindat.mff.cuni.cz/services/teitok/pdtc10/index.php?action=vallex&amp;frame=v-w7355hsa_43", "ušetřit (v-w7355hsa_43)")</f>
        <v>ušetřit (v-w7355hsa_43)</v>
      </c>
    </row>
    <row r="53286" customFormat="false" ht="12.8" hidden="false" customHeight="false" outlineLevel="0" collapsed="false">
      <c r="B53286" s="0" t="s">
        <v>7</v>
      </c>
    </row>
    <row r="53287" customFormat="false" ht="12.8" hidden="false" customHeight="false" outlineLevel="0" collapsed="false">
      <c r="B53287" s="0" t="s">
        <v>14</v>
      </c>
    </row>
    <row r="53288" customFormat="false" ht="12.8" hidden="false" customHeight="false" outlineLevel="0" collapsed="false">
      <c r="B53288" s="0" t="s">
        <v>18684</v>
      </c>
    </row>
    <row r="53290" customFormat="false" ht="12.8" hidden="false" customHeight="false" outlineLevel="0" collapsed="false">
      <c r="A53290" s="0" t="s">
        <v>18683</v>
      </c>
      <c r="B53290" s="0" t="str">
        <f aca="false">HYPERLINK("https://lindat.mff.cuni.cz/services/teitok/pdtc10/index.php?action=vallex&amp;frame=v-w7355f2", "ušetřit (v-w7355f2) - substituted with v-w7355hsa_43")</f>
        <v>ušetřit (v-w7355f2) - substituted with v-w7355hsa_43</v>
      </c>
    </row>
    <row r="53291" customFormat="false" ht="12.8" hidden="false" customHeight="false" outlineLevel="0" collapsed="false">
      <c r="B53291" s="0" t="s">
        <v>7</v>
      </c>
      <c r="C53291" s="0" t="s">
        <v>18685</v>
      </c>
    </row>
    <row r="53292" customFormat="false" ht="12.8" hidden="false" customHeight="false" outlineLevel="0" collapsed="false">
      <c r="B53292" s="0" t="s">
        <v>14</v>
      </c>
      <c r="C53292" s="0" t="s">
        <v>74</v>
      </c>
    </row>
    <row r="53293" customFormat="false" ht="12.8" hidden="false" customHeight="false" outlineLevel="0" collapsed="false">
      <c r="B53293" s="0" t="s">
        <v>18684</v>
      </c>
      <c r="C53293" s="0" t="s">
        <v>1527</v>
      </c>
    </row>
    <row r="53295" customFormat="false" ht="12.8" hidden="false" customHeight="false" outlineLevel="0" collapsed="false">
      <c r="A53295" s="0" t="s">
        <v>18686</v>
      </c>
      <c r="B53295" s="0" t="str">
        <f aca="false">HYPERLINK("https://lindat.mff.cuni.cz/services/teitok/pdtc10/index.php?action=vallex&amp;frame=v-w7356f1", "ušetřit si (v-w7356f1)")</f>
        <v>ušetřit si (v-w7356f1)</v>
      </c>
    </row>
    <row r="53296" customFormat="false" ht="12.8" hidden="false" customHeight="false" outlineLevel="0" collapsed="false">
      <c r="B53296" s="0" t="s">
        <v>7</v>
      </c>
    </row>
    <row r="53297" customFormat="false" ht="12.8" hidden="false" customHeight="false" outlineLevel="0" collapsed="false">
      <c r="B53297" s="0" t="s">
        <v>14</v>
      </c>
    </row>
    <row r="53299" customFormat="false" ht="12.8" hidden="false" customHeight="false" outlineLevel="0" collapsed="false">
      <c r="A53299" s="0" t="s">
        <v>18687</v>
      </c>
      <c r="B53299" s="0" t="str">
        <f aca="false">HYPERLINK("https://lindat.mff.cuni.cz/services/teitok/pdtc10/index.php?action=vallex&amp;frame=v-w7358f2", "ušklíbnout se (v-w7358f2)")</f>
        <v>ušklíbnout se (v-w7358f2)</v>
      </c>
    </row>
    <row r="53300" customFormat="false" ht="12.8" hidden="false" customHeight="false" outlineLevel="0" collapsed="false">
      <c r="B53300" s="0" t="s">
        <v>7</v>
      </c>
      <c r="C53300" s="0" t="s">
        <v>46</v>
      </c>
      <c r="D53300" s="0" t="s">
        <v>46</v>
      </c>
      <c r="E53300" s="0" t="s">
        <v>46</v>
      </c>
      <c r="F53300" s="0" t="s">
        <v>46</v>
      </c>
    </row>
    <row r="53301" customFormat="false" ht="12.8" hidden="false" customHeight="false" outlineLevel="0" collapsed="false">
      <c r="B53301" s="0" t="s">
        <v>18688</v>
      </c>
      <c r="D53301" s="0" t="s">
        <v>155</v>
      </c>
      <c r="E53301" s="0" t="s">
        <v>155</v>
      </c>
      <c r="F53301" s="0" t="s">
        <v>155</v>
      </c>
    </row>
    <row r="53303" customFormat="false" ht="12.8" hidden="false" customHeight="false" outlineLevel="0" collapsed="false">
      <c r="A53303" s="0" t="s">
        <v>18689</v>
      </c>
      <c r="B53303" s="0" t="str">
        <f aca="false">HYPERLINK("https://lindat.mff.cuni.cz/services/teitok/pdtc10/index.php?action=vallex&amp;frame=v-w7358f1", "ušklíbnout se (v-w7358f1)")</f>
        <v>ušklíbnout se (v-w7358f1)</v>
      </c>
    </row>
    <row r="53304" customFormat="false" ht="12.8" hidden="false" customHeight="false" outlineLevel="0" collapsed="false">
      <c r="B53304" s="0" t="s">
        <v>7</v>
      </c>
    </row>
    <row r="53305" customFormat="false" ht="12.8" hidden="false" customHeight="false" outlineLevel="0" collapsed="false">
      <c r="B53305" s="0" t="s">
        <v>63</v>
      </c>
    </row>
    <row r="53307" customFormat="false" ht="12.8" hidden="false" customHeight="false" outlineLevel="0" collapsed="false">
      <c r="A53307" s="0" t="s">
        <v>18690</v>
      </c>
      <c r="B53307" s="0" t="str">
        <f aca="false">HYPERLINK("https://lindat.mff.cuni.cz/services/teitok/pdtc10/index.php?action=vallex&amp;frame=v-w7359f1", "uškodit (v-w7359f1)")</f>
        <v>uškodit (v-w7359f1)</v>
      </c>
    </row>
    <row r="53308" customFormat="false" ht="12.8" hidden="false" customHeight="false" outlineLevel="0" collapsed="false">
      <c r="B53308" s="0" t="s">
        <v>17352</v>
      </c>
      <c r="C53308" s="0" t="s">
        <v>18691</v>
      </c>
      <c r="D53308" s="0" t="s">
        <v>2062</v>
      </c>
      <c r="E53308" s="0" t="s">
        <v>10061</v>
      </c>
      <c r="F53308" s="0" t="s">
        <v>10928</v>
      </c>
    </row>
    <row r="53309" customFormat="false" ht="12.8" hidden="false" customHeight="false" outlineLevel="0" collapsed="false">
      <c r="B53309" s="0" t="s">
        <v>142</v>
      </c>
      <c r="C53309" s="0" t="s">
        <v>14697</v>
      </c>
      <c r="D53309" s="0" t="s">
        <v>2065</v>
      </c>
      <c r="E53309" s="0" t="s">
        <v>10062</v>
      </c>
      <c r="F53309" s="0" t="s">
        <v>10930</v>
      </c>
    </row>
    <row r="53311" customFormat="false" ht="12.8" hidden="false" customHeight="false" outlineLevel="0" collapsed="false">
      <c r="A53311" s="0" t="s">
        <v>18692</v>
      </c>
      <c r="B53311" s="0" t="str">
        <f aca="false">HYPERLINK("https://lindat.mff.cuni.cz/services/teitok/pdtc10/index.php?action=vallex&amp;frame=v-w7361f1", "uškrtit (v-w7361f1)")</f>
        <v>uškrtit (v-w7361f1)</v>
      </c>
    </row>
    <row r="53312" customFormat="false" ht="12.8" hidden="false" customHeight="false" outlineLevel="0" collapsed="false">
      <c r="B53312" s="0" t="s">
        <v>7</v>
      </c>
    </row>
    <row r="53313" customFormat="false" ht="12.8" hidden="false" customHeight="false" outlineLevel="0" collapsed="false">
      <c r="B53313" s="0" t="s">
        <v>14</v>
      </c>
    </row>
    <row r="53315" customFormat="false" ht="12.8" hidden="false" customHeight="false" outlineLevel="0" collapsed="false">
      <c r="A53315" s="0" t="s">
        <v>18693</v>
      </c>
      <c r="B53315" s="0" t="str">
        <f aca="false">HYPERLINK("https://lindat.mff.cuni.cz/services/teitok/pdtc10/index.php?action=vallex&amp;frame=v-w11693_ZUf1_ZU", "ušlapat (v-w11693_ZUf1_ZU)")</f>
        <v>ušlapat (v-w11693_ZUf1_ZU)</v>
      </c>
    </row>
    <row r="53316" customFormat="false" ht="12.8" hidden="false" customHeight="false" outlineLevel="0" collapsed="false">
      <c r="B53316" s="0" t="s">
        <v>7</v>
      </c>
    </row>
    <row r="53317" customFormat="false" ht="12.8" hidden="false" customHeight="false" outlineLevel="0" collapsed="false">
      <c r="B53317" s="0" t="s">
        <v>14</v>
      </c>
    </row>
    <row r="53319" customFormat="false" ht="12.8" hidden="false" customHeight="false" outlineLevel="0" collapsed="false">
      <c r="A53319" s="0" t="s">
        <v>18694</v>
      </c>
      <c r="B53319" s="0" t="str">
        <f aca="false">HYPERLINK("https://lindat.mff.cuni.cz/services/teitok/pdtc10/index.php?action=vallex&amp;frame=v-w11693_ZUf2_ZU", "ušlapat (v-w11693_ZUf2_ZU)")</f>
        <v>ušlapat (v-w11693_ZUf2_ZU)</v>
      </c>
    </row>
    <row r="53320" customFormat="false" ht="12.8" hidden="false" customHeight="false" outlineLevel="0" collapsed="false">
      <c r="B53320" s="0" t="s">
        <v>7</v>
      </c>
    </row>
    <row r="53321" customFormat="false" ht="12.8" hidden="false" customHeight="false" outlineLevel="0" collapsed="false">
      <c r="B53321" s="0" t="s">
        <v>14</v>
      </c>
    </row>
    <row r="53323" customFormat="false" ht="12.8" hidden="false" customHeight="false" outlineLevel="0" collapsed="false">
      <c r="A53323" s="0" t="s">
        <v>18695</v>
      </c>
      <c r="B53323" s="0" t="str">
        <f aca="false">HYPERLINK("https://lindat.mff.cuni.cz/services/teitok/pdtc10/index.php?action=vallex&amp;frame=v-w11692_ZUf2_ZU", "ušlapávat (v-w11692_ZUf2_ZU)")</f>
        <v>ušlapávat (v-w11692_ZUf2_ZU)</v>
      </c>
    </row>
    <row r="53324" customFormat="false" ht="12.8" hidden="false" customHeight="false" outlineLevel="0" collapsed="false">
      <c r="B53324" s="0" t="s">
        <v>7</v>
      </c>
    </row>
    <row r="53325" customFormat="false" ht="12.8" hidden="false" customHeight="false" outlineLevel="0" collapsed="false">
      <c r="B53325" s="0" t="s">
        <v>14</v>
      </c>
    </row>
    <row r="53327" customFormat="false" ht="12.8" hidden="false" customHeight="false" outlineLevel="0" collapsed="false">
      <c r="A53327" s="0" t="s">
        <v>18695</v>
      </c>
      <c r="B53327" s="0" t="str">
        <f aca="false">HYPERLINK("https://lindat.mff.cuni.cz/services/teitok/pdtc10/index.php?action=vallex&amp;frame=v-w11692_ZUf1_ZU", "ušlapávat (v-w11692_ZUf1_ZU) - substituted with v-w11692_ZUf2_ZU")</f>
        <v>ušlapávat (v-w11692_ZUf1_ZU) - substituted with v-w11692_ZUf2_ZU</v>
      </c>
    </row>
    <row r="53328" customFormat="false" ht="12.8" hidden="false" customHeight="false" outlineLevel="0" collapsed="false">
      <c r="B53328" s="0" t="s">
        <v>7</v>
      </c>
    </row>
    <row r="53329" customFormat="false" ht="12.8" hidden="false" customHeight="false" outlineLevel="0" collapsed="false">
      <c r="B53329" s="0" t="s">
        <v>14</v>
      </c>
    </row>
    <row r="53331" customFormat="false" ht="12.8" hidden="false" customHeight="false" outlineLevel="0" collapsed="false">
      <c r="A53331" s="0" t="s">
        <v>18696</v>
      </c>
      <c r="B53331" s="0" t="str">
        <f aca="false">HYPERLINK("https://lindat.mff.cuni.cz/services/teitok/pdtc10/index.php?action=vallex&amp;frame=v-w12316_MMf1_MM", "ušpinit se (v-w12316_MMf1_MM)")</f>
        <v>ušpinit se (v-w12316_MMf1_MM)</v>
      </c>
    </row>
    <row r="53332" customFormat="false" ht="12.8" hidden="false" customHeight="false" outlineLevel="0" collapsed="false">
      <c r="B53332" s="0" t="s">
        <v>7</v>
      </c>
    </row>
    <row r="53333" customFormat="false" ht="12.8" hidden="false" customHeight="false" outlineLevel="0" collapsed="false">
      <c r="B53333" s="0" t="s">
        <v>333</v>
      </c>
    </row>
    <row r="53335" customFormat="false" ht="12.8" hidden="false" customHeight="false" outlineLevel="0" collapsed="false">
      <c r="A53335" s="0" t="s">
        <v>18697</v>
      </c>
      <c r="B53335" s="0" t="str">
        <f aca="false">HYPERLINK("https://lindat.mff.cuni.cz/services/teitok/pdtc10/index.php?action=vallex&amp;frame=v-w10946hsa_634", "uštědřit (v-w10946hsa_634)")</f>
        <v>uštědřit (v-w10946hsa_634)</v>
      </c>
    </row>
    <row r="53336" customFormat="false" ht="12.8" hidden="false" customHeight="false" outlineLevel="0" collapsed="false">
      <c r="B53336" s="0" t="s">
        <v>5824</v>
      </c>
      <c r="C53336" s="0" t="s">
        <v>1386</v>
      </c>
    </row>
    <row r="53337" customFormat="false" ht="12.8" hidden="false" customHeight="false" outlineLevel="0" collapsed="false">
      <c r="B53337" s="0" t="s">
        <v>5824</v>
      </c>
      <c r="C53337" s="0" t="s">
        <v>1386</v>
      </c>
    </row>
    <row r="53338" customFormat="false" ht="12.8" hidden="false" customHeight="false" outlineLevel="0" collapsed="false">
      <c r="B53338" s="0" t="s">
        <v>18698</v>
      </c>
      <c r="C53338" s="0" t="s">
        <v>3016</v>
      </c>
    </row>
    <row r="53339" customFormat="false" ht="12.8" hidden="false" customHeight="false" outlineLevel="0" collapsed="false">
      <c r="B53339" s="0" t="s">
        <v>48</v>
      </c>
      <c r="C53339" s="0" t="s">
        <v>3018</v>
      </c>
    </row>
    <row r="53341" customFormat="false" ht="12.8" hidden="false" customHeight="false" outlineLevel="0" collapsed="false">
      <c r="A53341" s="0" t="s">
        <v>18697</v>
      </c>
      <c r="B53341" s="0" t="str">
        <f aca="false">HYPERLINK("https://lindat.mff.cuni.cz/services/teitok/pdtc10/index.php?action=vallex&amp;frame=v-w10946f3", "uštědřit (v-w10946f3) - substituted with v-w10946hsa_634")</f>
        <v>uštědřit (v-w10946f3) - substituted with v-w10946hsa_634</v>
      </c>
    </row>
    <row r="53342" customFormat="false" ht="12.8" hidden="false" customHeight="false" outlineLevel="0" collapsed="false">
      <c r="B53342" s="0" t="s">
        <v>5824</v>
      </c>
      <c r="C53342" s="0" t="s">
        <v>18699</v>
      </c>
    </row>
    <row r="53343" customFormat="false" ht="12.8" hidden="false" customHeight="false" outlineLevel="0" collapsed="false">
      <c r="B53343" s="0" t="s">
        <v>5824</v>
      </c>
      <c r="C53343" s="0" t="s">
        <v>18699</v>
      </c>
    </row>
    <row r="53344" customFormat="false" ht="12.8" hidden="false" customHeight="false" outlineLevel="0" collapsed="false">
      <c r="B53344" s="0" t="s">
        <v>18698</v>
      </c>
      <c r="C53344" s="0" t="s">
        <v>18700</v>
      </c>
    </row>
    <row r="53345" customFormat="false" ht="12.8" hidden="false" customHeight="false" outlineLevel="0" collapsed="false">
      <c r="B53345" s="0" t="s">
        <v>48</v>
      </c>
      <c r="C53345" s="0" t="s">
        <v>18701</v>
      </c>
    </row>
    <row r="53347" customFormat="false" ht="12.8" hidden="false" customHeight="false" outlineLevel="0" collapsed="false">
      <c r="A53347" s="0" t="s">
        <v>18702</v>
      </c>
      <c r="B53347" s="0" t="str">
        <f aca="false">HYPERLINK("https://lindat.mff.cuni.cz/services/teitok/pdtc10/index.php?action=vallex&amp;frame=v-w7357f3", "ušít (v-w7357f3)")</f>
        <v>ušít (v-w7357f3)</v>
      </c>
    </row>
    <row r="53348" customFormat="false" ht="12.8" hidden="false" customHeight="false" outlineLevel="0" collapsed="false">
      <c r="B53348" s="0" t="s">
        <v>7</v>
      </c>
    </row>
    <row r="53349" customFormat="false" ht="12.8" hidden="false" customHeight="false" outlineLevel="0" collapsed="false">
      <c r="B53349" s="0" t="s">
        <v>14</v>
      </c>
    </row>
    <row r="53350" customFormat="false" ht="12.8" hidden="false" customHeight="false" outlineLevel="0" collapsed="false">
      <c r="B53350" s="0" t="s">
        <v>35</v>
      </c>
    </row>
    <row r="53352" customFormat="false" ht="12.8" hidden="false" customHeight="false" outlineLevel="0" collapsed="false">
      <c r="A53352" s="0" t="s">
        <v>18703</v>
      </c>
      <c r="B53352" s="0" t="str">
        <f aca="false">HYPERLINK("https://lindat.mff.cuni.cz/services/teitok/pdtc10/index.php?action=vallex&amp;frame=v-w7357f1", "ušít (v-w7357f1)")</f>
        <v>ušít (v-w7357f1)</v>
      </c>
    </row>
    <row r="53353" customFormat="false" ht="12.8" hidden="false" customHeight="false" outlineLevel="0" collapsed="false">
      <c r="B53353" s="0" t="s">
        <v>7</v>
      </c>
      <c r="D53353" s="0" t="s">
        <v>16628</v>
      </c>
      <c r="E53353" s="0" t="s">
        <v>16628</v>
      </c>
      <c r="F53353" s="0" t="s">
        <v>16628</v>
      </c>
    </row>
    <row r="53354" customFormat="false" ht="12.8" hidden="false" customHeight="false" outlineLevel="0" collapsed="false">
      <c r="B53354" s="0" t="s">
        <v>18704</v>
      </c>
      <c r="C53354" s="0" t="s">
        <v>517</v>
      </c>
    </row>
    <row r="53355" customFormat="false" ht="12.8" hidden="false" customHeight="false" outlineLevel="0" collapsed="false">
      <c r="B53355" s="0" t="s">
        <v>14</v>
      </c>
      <c r="C53355" s="0" t="s">
        <v>47</v>
      </c>
      <c r="D53355" s="0" t="s">
        <v>3244</v>
      </c>
      <c r="E53355" s="0" t="s">
        <v>3244</v>
      </c>
      <c r="F53355" s="0" t="s">
        <v>3244</v>
      </c>
    </row>
    <row r="53357" customFormat="false" ht="12.8" hidden="false" customHeight="false" outlineLevel="0" collapsed="false">
      <c r="A53357" s="0" t="s">
        <v>18705</v>
      </c>
      <c r="B53357" s="0" t="str">
        <f aca="false">HYPERLINK("https://lindat.mff.cuni.cz/services/teitok/pdtc10/index.php?action=vallex&amp;frame=v-w7357f2", "ušít (v-w7357f2)")</f>
        <v>ušít (v-w7357f2)</v>
      </c>
    </row>
    <row r="53358" customFormat="false" ht="12.8" hidden="false" customHeight="false" outlineLevel="0" collapsed="false">
      <c r="B53358" s="0" t="s">
        <v>7</v>
      </c>
    </row>
    <row r="53359" customFormat="false" ht="12.8" hidden="false" customHeight="false" outlineLevel="0" collapsed="false">
      <c r="B53359" s="0" t="s">
        <v>18706</v>
      </c>
    </row>
    <row r="53360" customFormat="false" ht="12.8" hidden="false" customHeight="false" outlineLevel="0" collapsed="false">
      <c r="B53360" s="0" t="s">
        <v>14</v>
      </c>
    </row>
    <row r="53362" customFormat="false" ht="12.8" hidden="false" customHeight="false" outlineLevel="0" collapsed="false">
      <c r="A53362" s="0" t="s">
        <v>18707</v>
      </c>
      <c r="B53362" s="0" t="str">
        <f aca="false">HYPERLINK("https://lindat.mff.cuni.cz/services/teitok/pdtc10/index.php?action=vallex&amp;frame=v-w12188_ZUf1_ZU", "užasnout (v-w12188_ZUf1_ZU)")</f>
        <v>užasnout (v-w12188_ZUf1_ZU)</v>
      </c>
    </row>
    <row r="53363" customFormat="false" ht="12.8" hidden="false" customHeight="false" outlineLevel="0" collapsed="false">
      <c r="B53363" s="0" t="s">
        <v>7</v>
      </c>
    </row>
    <row r="53364" customFormat="false" ht="12.8" hidden="false" customHeight="false" outlineLevel="0" collapsed="false">
      <c r="B53364" s="0" t="s">
        <v>18708</v>
      </c>
    </row>
    <row r="53366" customFormat="false" ht="12.8" hidden="false" customHeight="false" outlineLevel="0" collapsed="false">
      <c r="A53366" s="0" t="s">
        <v>18709</v>
      </c>
      <c r="B53366" s="0" t="str">
        <f aca="false">HYPERLINK("https://lindat.mff.cuni.cz/services/teitok/pdtc10/index.php?action=vallex&amp;frame=v-w7500f1", "uživit (v-w7500f1)")</f>
        <v>uživit (v-w7500f1)</v>
      </c>
    </row>
    <row r="53367" customFormat="false" ht="12.8" hidden="false" customHeight="false" outlineLevel="0" collapsed="false">
      <c r="B53367" s="0" t="s">
        <v>7</v>
      </c>
    </row>
    <row r="53368" customFormat="false" ht="12.8" hidden="false" customHeight="false" outlineLevel="0" collapsed="false">
      <c r="B53368" s="0" t="s">
        <v>14</v>
      </c>
    </row>
    <row r="53370" customFormat="false" ht="12.8" hidden="false" customHeight="false" outlineLevel="0" collapsed="false">
      <c r="A53370" s="0" t="s">
        <v>18710</v>
      </c>
      <c r="B53370" s="0" t="str">
        <f aca="false">HYPERLINK("https://lindat.mff.cuni.cz/services/teitok/pdtc10/index.php?action=vallex&amp;frame=v-w7501f1", "uživit se (v-w7501f1)")</f>
        <v>uživit se (v-w7501f1)</v>
      </c>
    </row>
    <row r="53371" customFormat="false" ht="12.8" hidden="false" customHeight="false" outlineLevel="0" collapsed="false">
      <c r="B53371" s="0" t="s">
        <v>7</v>
      </c>
    </row>
    <row r="53373" customFormat="false" ht="12.8" hidden="false" customHeight="false" outlineLevel="0" collapsed="false">
      <c r="A53373" s="0" t="s">
        <v>18711</v>
      </c>
      <c r="B53373" s="0" t="str">
        <f aca="false">HYPERLINK("https://lindat.mff.cuni.cz/services/teitok/pdtc10/index.php?action=vallex&amp;frame=v-w7491f1", "užírat (v-w7491f1)")</f>
        <v>užírat (v-w7491f1)</v>
      </c>
    </row>
    <row r="53374" customFormat="false" ht="12.8" hidden="false" customHeight="false" outlineLevel="0" collapsed="false">
      <c r="B53374" s="0" t="s">
        <v>7</v>
      </c>
    </row>
    <row r="53375" customFormat="false" ht="12.8" hidden="false" customHeight="false" outlineLevel="0" collapsed="false">
      <c r="B53375" s="0" t="s">
        <v>14</v>
      </c>
    </row>
    <row r="53376" customFormat="false" ht="12.8" hidden="false" customHeight="false" outlineLevel="0" collapsed="false">
      <c r="B53376" s="0" t="s">
        <v>48</v>
      </c>
    </row>
    <row r="53378" customFormat="false" ht="12.8" hidden="false" customHeight="false" outlineLevel="0" collapsed="false">
      <c r="A53378" s="0" t="s">
        <v>18712</v>
      </c>
      <c r="B53378" s="0" t="str">
        <f aca="false">HYPERLINK("https://lindat.mff.cuni.cz/services/teitok/pdtc10/index.php?action=vallex&amp;frame=v-w7492f1", "užírat se (v-w7492f1)")</f>
        <v>užírat se (v-w7492f1)</v>
      </c>
    </row>
    <row r="53379" customFormat="false" ht="12.8" hidden="false" customHeight="false" outlineLevel="0" collapsed="false">
      <c r="B53379" s="0" t="s">
        <v>7</v>
      </c>
    </row>
    <row r="53380" customFormat="false" ht="12.8" hidden="false" customHeight="false" outlineLevel="0" collapsed="false">
      <c r="B53380" s="0" t="s">
        <v>3760</v>
      </c>
    </row>
    <row r="53382" customFormat="false" ht="12.8" hidden="false" customHeight="false" outlineLevel="0" collapsed="false">
      <c r="A53382" s="0" t="s">
        <v>18713</v>
      </c>
      <c r="B53382" s="0" t="str">
        <f aca="false">HYPERLINK("https://lindat.mff.cuni.cz/services/teitok/pdtc10/index.php?action=vallex&amp;frame=v-w7493f1", "užít (v-w7493f1)")</f>
        <v>užít (v-w7493f1)</v>
      </c>
    </row>
    <row r="53383" customFormat="false" ht="12.8" hidden="false" customHeight="false" outlineLevel="0" collapsed="false">
      <c r="B53383" s="0" t="s">
        <v>7</v>
      </c>
      <c r="C53383" s="0" t="s">
        <v>12451</v>
      </c>
      <c r="D53383" s="0" t="s">
        <v>127</v>
      </c>
      <c r="E53383" s="0" t="s">
        <v>127</v>
      </c>
      <c r="F53383" s="0" t="s">
        <v>127</v>
      </c>
    </row>
    <row r="53384" customFormat="false" ht="12.8" hidden="false" customHeight="false" outlineLevel="0" collapsed="false">
      <c r="B53384" s="0" t="s">
        <v>1145</v>
      </c>
      <c r="C53384" s="0" t="s">
        <v>18714</v>
      </c>
      <c r="D53384" s="0" t="s">
        <v>129</v>
      </c>
      <c r="E53384" s="0" t="s">
        <v>129</v>
      </c>
      <c r="F53384" s="0" t="s">
        <v>129</v>
      </c>
    </row>
    <row r="53386" customFormat="false" ht="12.8" hidden="false" customHeight="false" outlineLevel="0" collapsed="false">
      <c r="A53386" s="0" t="s">
        <v>18715</v>
      </c>
      <c r="B53386" s="0" t="str">
        <f aca="false">HYPERLINK("https://lindat.mff.cuni.cz/services/teitok/pdtc10/index.php?action=vallex&amp;frame=v-w7493f2", "užít (v-w7493f2)")</f>
        <v>užít (v-w7493f2)</v>
      </c>
    </row>
    <row r="53387" customFormat="false" ht="12.8" hidden="false" customHeight="false" outlineLevel="0" collapsed="false">
      <c r="B53387" s="0" t="s">
        <v>7</v>
      </c>
      <c r="D53387" s="0" t="s">
        <v>465</v>
      </c>
      <c r="E53387" s="0" t="s">
        <v>465</v>
      </c>
      <c r="F53387" s="0" t="s">
        <v>465</v>
      </c>
    </row>
    <row r="53388" customFormat="false" ht="12.8" hidden="false" customHeight="false" outlineLevel="0" collapsed="false">
      <c r="B53388" s="0" t="s">
        <v>1145</v>
      </c>
      <c r="D53388" s="0" t="s">
        <v>488</v>
      </c>
      <c r="E53388" s="0" t="s">
        <v>488</v>
      </c>
      <c r="F53388" s="0" t="s">
        <v>488</v>
      </c>
    </row>
    <row r="53390" customFormat="false" ht="12.8" hidden="false" customHeight="false" outlineLevel="0" collapsed="false">
      <c r="A53390" s="0" t="s">
        <v>18716</v>
      </c>
      <c r="B53390" s="0" t="str">
        <f aca="false">HYPERLINK("https://lindat.mff.cuni.cz/services/teitok/pdtc10/index.php?action=vallex&amp;frame=v-w7493f5_ZU", "užít (v-w7493f5_ZU)")</f>
        <v>užít (v-w7493f5_ZU)</v>
      </c>
    </row>
    <row r="53391" customFormat="false" ht="12.8" hidden="false" customHeight="false" outlineLevel="0" collapsed="false">
      <c r="B53391" s="0" t="s">
        <v>7</v>
      </c>
    </row>
    <row r="53392" customFormat="false" ht="12.8" hidden="false" customHeight="false" outlineLevel="0" collapsed="false">
      <c r="B53392" s="0" t="s">
        <v>4381</v>
      </c>
    </row>
    <row r="53394" customFormat="false" ht="12.8" hidden="false" customHeight="false" outlineLevel="0" collapsed="false">
      <c r="A53394" s="0" t="s">
        <v>18716</v>
      </c>
      <c r="B53394" s="0" t="str">
        <f aca="false">HYPERLINK("https://lindat.mff.cuni.cz/services/teitok/pdtc10/index.php?action=vallex&amp;frame=v-w7493f3", "užít (v-w7493f3) - substituted with v-w7493f5_ZU")</f>
        <v>užít (v-w7493f3) - substituted with v-w7493f5_ZU</v>
      </c>
    </row>
    <row r="53395" customFormat="false" ht="12.8" hidden="false" customHeight="false" outlineLevel="0" collapsed="false">
      <c r="B53395" s="0" t="s">
        <v>7</v>
      </c>
    </row>
    <row r="53396" customFormat="false" ht="12.8" hidden="false" customHeight="false" outlineLevel="0" collapsed="false">
      <c r="B53396" s="0" t="s">
        <v>4381</v>
      </c>
    </row>
    <row r="53398" customFormat="false" ht="12.8" hidden="false" customHeight="false" outlineLevel="0" collapsed="false">
      <c r="A53398" s="0" t="s">
        <v>18717</v>
      </c>
      <c r="B53398" s="0" t="str">
        <f aca="false">HYPERLINK("https://lindat.mff.cuni.cz/services/teitok/pdtc10/index.php?action=vallex&amp;frame=v-w7493f4_ZU", "užít (v-w7493f4_ZU)")</f>
        <v>užít (v-w7493f4_ZU)</v>
      </c>
    </row>
    <row r="53399" customFormat="false" ht="12.8" hidden="false" customHeight="false" outlineLevel="0" collapsed="false">
      <c r="B53399" s="0" t="s">
        <v>7</v>
      </c>
    </row>
    <row r="53400" customFormat="false" ht="12.8" hidden="false" customHeight="false" outlineLevel="0" collapsed="false">
      <c r="B53400" s="0" t="s">
        <v>1145</v>
      </c>
    </row>
    <row r="53402" customFormat="false" ht="12.8" hidden="false" customHeight="false" outlineLevel="0" collapsed="false">
      <c r="A53402" s="0" t="s">
        <v>18717</v>
      </c>
      <c r="B53402" s="0" t="str">
        <f aca="false">HYPERLINK("https://lindat.mff.cuni.cz/services/teitok/pdtc10/index.php?action=vallex&amp;frame=v-w7493hsa_630", "užít (v-w7493hsa_630) - substituted with v-w7493f4_ZU")</f>
        <v>užít (v-w7493hsa_630) - substituted with v-w7493f4_ZU</v>
      </c>
    </row>
    <row r="53403" customFormat="false" ht="12.8" hidden="false" customHeight="false" outlineLevel="0" collapsed="false">
      <c r="B53403" s="0" t="s">
        <v>7</v>
      </c>
    </row>
    <row r="53404" customFormat="false" ht="12.8" hidden="false" customHeight="false" outlineLevel="0" collapsed="false">
      <c r="B53404" s="0" t="s">
        <v>1145</v>
      </c>
    </row>
    <row r="53406" customFormat="false" ht="12.8" hidden="false" customHeight="false" outlineLevel="0" collapsed="false">
      <c r="A53406" s="0" t="s">
        <v>18718</v>
      </c>
      <c r="B53406" s="0" t="str">
        <f aca="false">HYPERLINK("https://lindat.mff.cuni.cz/services/teitok/pdtc10/index.php?action=vallex&amp;frame=v-w7495f3_ZU", "užít si (v-w7495f3_ZU)")</f>
        <v>užít si (v-w7495f3_ZU)</v>
      </c>
    </row>
    <row r="53407" customFormat="false" ht="12.8" hidden="false" customHeight="false" outlineLevel="0" collapsed="false">
      <c r="B53407" s="0" t="s">
        <v>7</v>
      </c>
    </row>
    <row r="53408" customFormat="false" ht="12.8" hidden="false" customHeight="false" outlineLevel="0" collapsed="false">
      <c r="B53408" s="0" t="s">
        <v>1145</v>
      </c>
    </row>
    <row r="53410" customFormat="false" ht="12.8" hidden="false" customHeight="false" outlineLevel="0" collapsed="false">
      <c r="A53410" s="0" t="s">
        <v>18718</v>
      </c>
      <c r="B53410" s="0" t="str">
        <f aca="false">HYPERLINK("https://lindat.mff.cuni.cz/services/teitok/pdtc10/index.php?action=vallex&amp;frame=v-w7495f1", "užít si (v-w7495f1) - substituted with v-w7495f3_ZU")</f>
        <v>užít si (v-w7495f1) - substituted with v-w7495f3_ZU</v>
      </c>
    </row>
    <row r="53411" customFormat="false" ht="12.8" hidden="false" customHeight="false" outlineLevel="0" collapsed="false">
      <c r="B53411" s="0" t="s">
        <v>7</v>
      </c>
      <c r="C53411" s="0" t="s">
        <v>5773</v>
      </c>
      <c r="D53411" s="0" t="s">
        <v>2199</v>
      </c>
      <c r="E53411" s="0" t="s">
        <v>2199</v>
      </c>
      <c r="F53411" s="0" t="s">
        <v>17323</v>
      </c>
    </row>
    <row r="53412" customFormat="false" ht="12.8" hidden="false" customHeight="false" outlineLevel="0" collapsed="false">
      <c r="B53412" s="0" t="s">
        <v>1145</v>
      </c>
      <c r="C53412" s="0" t="s">
        <v>18719</v>
      </c>
      <c r="D53412" s="0" t="s">
        <v>2201</v>
      </c>
      <c r="E53412" s="0" t="s">
        <v>2201</v>
      </c>
      <c r="F53412" s="0" t="s">
        <v>17325</v>
      </c>
    </row>
    <row r="53414" customFormat="false" ht="12.8" hidden="false" customHeight="false" outlineLevel="0" collapsed="false">
      <c r="A53414" s="0" t="s">
        <v>18718</v>
      </c>
      <c r="B53414" s="0" t="str">
        <f aca="false">HYPERLINK("https://lindat.mff.cuni.cz/services/teitok/pdtc10/index.php?action=vallex&amp;frame=v-w7495f2_ZU", "užít si (v-w7495f2_ZU) - substituted with v-w7495f3_ZU")</f>
        <v>užít si (v-w7495f2_ZU) - substituted with v-w7495f3_ZU</v>
      </c>
    </row>
    <row r="53415" customFormat="false" ht="12.8" hidden="false" customHeight="false" outlineLevel="0" collapsed="false">
      <c r="B53415" s="0" t="s">
        <v>7</v>
      </c>
    </row>
    <row r="53416" customFormat="false" ht="12.8" hidden="false" customHeight="false" outlineLevel="0" collapsed="false">
      <c r="B53416" s="0" t="s">
        <v>1145</v>
      </c>
    </row>
    <row r="53418" customFormat="false" ht="12.8" hidden="false" customHeight="false" outlineLevel="0" collapsed="false">
      <c r="A53418" s="0" t="s">
        <v>18720</v>
      </c>
      <c r="B53418" s="0" t="str">
        <f aca="false">HYPERLINK("https://lindat.mff.cuni.cz/services/teitok/pdtc10/index.php?action=vallex&amp;frame=v-w7497f1", "užívat (v-w7497f1)")</f>
        <v>užívat (v-w7497f1)</v>
      </c>
    </row>
    <row r="53419" customFormat="false" ht="12.8" hidden="false" customHeight="false" outlineLevel="0" collapsed="false">
      <c r="B53419" s="0" t="s">
        <v>7</v>
      </c>
      <c r="C53419" s="0" t="s">
        <v>14266</v>
      </c>
      <c r="D53419" s="0" t="s">
        <v>465</v>
      </c>
      <c r="E53419" s="0" t="s">
        <v>465</v>
      </c>
      <c r="F53419" s="0" t="s">
        <v>465</v>
      </c>
    </row>
    <row r="53420" customFormat="false" ht="12.8" hidden="false" customHeight="false" outlineLevel="0" collapsed="false">
      <c r="B53420" s="0" t="s">
        <v>4381</v>
      </c>
      <c r="C53420" s="0" t="s">
        <v>18721</v>
      </c>
      <c r="D53420" s="0" t="s">
        <v>488</v>
      </c>
      <c r="E53420" s="0" t="s">
        <v>488</v>
      </c>
      <c r="F53420" s="0" t="s">
        <v>488</v>
      </c>
    </row>
    <row r="53422" customFormat="false" ht="12.8" hidden="false" customHeight="false" outlineLevel="0" collapsed="false">
      <c r="A53422" s="0" t="s">
        <v>18722</v>
      </c>
      <c r="B53422" s="0" t="str">
        <f aca="false">HYPERLINK("https://lindat.mff.cuni.cz/services/teitok/pdtc10/index.php?action=vallex&amp;frame=v-w7497f2", "užívat (v-w7497f2)")</f>
        <v>užívat (v-w7497f2)</v>
      </c>
    </row>
    <row r="53423" customFormat="false" ht="12.8" hidden="false" customHeight="false" outlineLevel="0" collapsed="false">
      <c r="B53423" s="0" t="s">
        <v>7</v>
      </c>
    </row>
    <row r="53424" customFormat="false" ht="12.8" hidden="false" customHeight="false" outlineLevel="0" collapsed="false">
      <c r="B53424" s="0" t="s">
        <v>4381</v>
      </c>
    </row>
    <row r="53426" customFormat="false" ht="12.8" hidden="false" customHeight="false" outlineLevel="0" collapsed="false">
      <c r="A53426" s="0" t="s">
        <v>18723</v>
      </c>
      <c r="B53426" s="0" t="str">
        <f aca="false">HYPERLINK("https://lindat.mff.cuni.cz/services/teitok/pdtc10/index.php?action=vallex&amp;frame=v-w7497f3", "užívat (v-w7497f3)")</f>
        <v>užívat (v-w7497f3)</v>
      </c>
    </row>
    <row r="53427" customFormat="false" ht="12.8" hidden="false" customHeight="false" outlineLevel="0" collapsed="false">
      <c r="B53427" s="0" t="s">
        <v>7</v>
      </c>
      <c r="C53427" s="0" t="s">
        <v>12451</v>
      </c>
    </row>
    <row r="53428" customFormat="false" ht="12.8" hidden="false" customHeight="false" outlineLevel="0" collapsed="false">
      <c r="B53428" s="0" t="s">
        <v>4381</v>
      </c>
      <c r="C53428" s="0" t="s">
        <v>18714</v>
      </c>
    </row>
    <row r="53430" customFormat="false" ht="12.8" hidden="false" customHeight="false" outlineLevel="0" collapsed="false">
      <c r="A53430" s="0" t="s">
        <v>18724</v>
      </c>
      <c r="B53430" s="0" t="str">
        <f aca="false">HYPERLINK("https://lindat.mff.cuni.cz/services/teitok/pdtc10/index.php?action=vallex&amp;frame=v-w7497f6_ZU", "užívat (v-w7497f6_ZU)")</f>
        <v>užívat (v-w7497f6_ZU)</v>
      </c>
    </row>
    <row r="53431" customFormat="false" ht="12.8" hidden="false" customHeight="false" outlineLevel="0" collapsed="false">
      <c r="B53431" s="0" t="s">
        <v>7</v>
      </c>
    </row>
    <row r="53432" customFormat="false" ht="12.8" hidden="false" customHeight="false" outlineLevel="0" collapsed="false">
      <c r="B53432" s="0" t="s">
        <v>4381</v>
      </c>
    </row>
    <row r="53434" customFormat="false" ht="12.8" hidden="false" customHeight="false" outlineLevel="0" collapsed="false">
      <c r="A53434" s="0" t="s">
        <v>18724</v>
      </c>
      <c r="B53434" s="0" t="str">
        <f aca="false">HYPERLINK("https://lindat.mff.cuni.cz/services/teitok/pdtc10/index.php?action=vallex&amp;frame=v-w7497f4", "užívat (v-w7497f4) - substituted with v-w7497f6_ZU")</f>
        <v>užívat (v-w7497f4) - substituted with v-w7497f6_ZU</v>
      </c>
    </row>
    <row r="53435" customFormat="false" ht="12.8" hidden="false" customHeight="false" outlineLevel="0" collapsed="false">
      <c r="B53435" s="0" t="s">
        <v>7</v>
      </c>
      <c r="C53435" s="0" t="s">
        <v>18725</v>
      </c>
    </row>
    <row r="53436" customFormat="false" ht="12.8" hidden="false" customHeight="false" outlineLevel="0" collapsed="false">
      <c r="B53436" s="0" t="s">
        <v>4381</v>
      </c>
      <c r="C53436" s="0" t="s">
        <v>16298</v>
      </c>
    </row>
    <row r="53438" customFormat="false" ht="12.8" hidden="false" customHeight="false" outlineLevel="0" collapsed="false">
      <c r="A53438" s="0" t="s">
        <v>18724</v>
      </c>
      <c r="B53438" s="0" t="str">
        <f aca="false">HYPERLINK("https://lindat.mff.cuni.cz/services/teitok/pdtc10/index.php?action=vallex&amp;frame=v-w7497f5_ZU", "užívat (v-w7497f5_ZU) - substituted with v-w7497f6_ZU")</f>
        <v>užívat (v-w7497f5_ZU) - substituted with v-w7497f6_ZU</v>
      </c>
    </row>
    <row r="53439" customFormat="false" ht="12.8" hidden="false" customHeight="false" outlineLevel="0" collapsed="false">
      <c r="B53439" s="0" t="s">
        <v>7</v>
      </c>
      <c r="C53439" s="0" t="s">
        <v>12451</v>
      </c>
    </row>
    <row r="53440" customFormat="false" ht="12.8" hidden="false" customHeight="false" outlineLevel="0" collapsed="false">
      <c r="B53440" s="0" t="s">
        <v>4381</v>
      </c>
      <c r="C53440" s="0" t="s">
        <v>18714</v>
      </c>
    </row>
    <row r="53442" customFormat="false" ht="12.8" hidden="false" customHeight="false" outlineLevel="0" collapsed="false">
      <c r="A53442" s="0" t="s">
        <v>18726</v>
      </c>
      <c r="B53442" s="0" t="str">
        <f aca="false">HYPERLINK("https://lindat.mff.cuni.cz/services/teitok/pdtc10/index.php?action=vallex&amp;frame=v-w7497hsa_715", "užívat (v-w7497hsa_715)")</f>
        <v>užívat (v-w7497hsa_715)</v>
      </c>
    </row>
    <row r="53443" customFormat="false" ht="12.8" hidden="false" customHeight="false" outlineLevel="0" collapsed="false">
      <c r="B53443" s="0" t="s">
        <v>7</v>
      </c>
    </row>
    <row r="53444" customFormat="false" ht="12.8" hidden="false" customHeight="false" outlineLevel="0" collapsed="false">
      <c r="B53444" s="0" t="s">
        <v>1145</v>
      </c>
    </row>
    <row r="53446" customFormat="false" ht="12.8" hidden="false" customHeight="false" outlineLevel="0" collapsed="false">
      <c r="A53446" s="0" t="s">
        <v>18727</v>
      </c>
      <c r="B53446" s="0" t="str">
        <f aca="false">HYPERLINK("https://lindat.mff.cuni.cz/services/teitok/pdtc10/index.php?action=vallex&amp;frame=v-w7499f1", "užívat si (v-w7499f1)")</f>
        <v>užívat si (v-w7499f1)</v>
      </c>
    </row>
    <row r="53447" customFormat="false" ht="12.8" hidden="false" customHeight="false" outlineLevel="0" collapsed="false">
      <c r="B53447" s="0" t="s">
        <v>7</v>
      </c>
      <c r="C53447" s="0" t="s">
        <v>8058</v>
      </c>
      <c r="D53447" s="0" t="s">
        <v>2199</v>
      </c>
      <c r="E53447" s="0" t="s">
        <v>2199</v>
      </c>
      <c r="F53447" s="0" t="s">
        <v>17323</v>
      </c>
    </row>
    <row r="53448" customFormat="false" ht="12.8" hidden="false" customHeight="false" outlineLevel="0" collapsed="false">
      <c r="B53448" s="0" t="s">
        <v>4381</v>
      </c>
      <c r="C53448" s="0" t="s">
        <v>3662</v>
      </c>
      <c r="D53448" s="0" t="s">
        <v>2201</v>
      </c>
      <c r="E53448" s="0" t="s">
        <v>2201</v>
      </c>
      <c r="F53448" s="0" t="s">
        <v>17325</v>
      </c>
    </row>
    <row r="53450" customFormat="false" ht="12.8" hidden="false" customHeight="false" outlineLevel="0" collapsed="false">
      <c r="A53450" s="0" t="s">
        <v>18728</v>
      </c>
      <c r="B53450" s="0" t="str">
        <f aca="false">HYPERLINK("https://lindat.mff.cuni.cz/services/teitok/pdtc10/index.php?action=vallex&amp;frame=v-w7503hsa_1354", "vadit (v-w7503hsa_1354)")</f>
        <v>vadit (v-w7503hsa_1354)</v>
      </c>
    </row>
    <row r="53451" customFormat="false" ht="12.8" hidden="false" customHeight="false" outlineLevel="0" collapsed="false">
      <c r="B53451" s="0" t="s">
        <v>18729</v>
      </c>
    </row>
    <row r="53452" customFormat="false" ht="12.8" hidden="false" customHeight="false" outlineLevel="0" collapsed="false">
      <c r="B53452" s="0" t="s">
        <v>142</v>
      </c>
    </row>
    <row r="53454" customFormat="false" ht="12.8" hidden="false" customHeight="false" outlineLevel="0" collapsed="false">
      <c r="A53454" s="0" t="s">
        <v>18728</v>
      </c>
      <c r="B53454" s="0" t="str">
        <f aca="false">HYPERLINK("https://lindat.mff.cuni.cz/services/teitok/pdtc10/index.php?action=vallex&amp;frame=v-w7503f1", "vadit (v-w7503f1) - substituted with v-w7503hsa_1354")</f>
        <v>vadit (v-w7503f1) - substituted with v-w7503hsa_1354</v>
      </c>
    </row>
    <row r="53455" customFormat="false" ht="12.8" hidden="false" customHeight="false" outlineLevel="0" collapsed="false">
      <c r="B53455" s="0" t="s">
        <v>18729</v>
      </c>
      <c r="C53455" s="0" t="s">
        <v>18730</v>
      </c>
      <c r="D53455" s="0" t="s">
        <v>17219</v>
      </c>
      <c r="E53455" s="0" t="s">
        <v>18731</v>
      </c>
      <c r="F53455" s="0" t="s">
        <v>18731</v>
      </c>
    </row>
    <row r="53456" customFormat="false" ht="12.8" hidden="false" customHeight="false" outlineLevel="0" collapsed="false">
      <c r="B53456" s="0" t="s">
        <v>142</v>
      </c>
      <c r="C53456" s="0" t="s">
        <v>18732</v>
      </c>
      <c r="D53456" s="0" t="s">
        <v>17220</v>
      </c>
      <c r="E53456" s="0" t="s">
        <v>18733</v>
      </c>
      <c r="F53456" s="0" t="s">
        <v>18733</v>
      </c>
    </row>
    <row r="53458" customFormat="false" ht="12.8" hidden="false" customHeight="false" outlineLevel="0" collapsed="false">
      <c r="A53458" s="0" t="s">
        <v>18734</v>
      </c>
      <c r="B53458" s="0" t="str">
        <f aca="false">HYPERLINK("https://lindat.mff.cuni.cz/services/teitok/pdtc10/index.php?action=vallex&amp;frame=v-w7503f2_ZU", "vadit (v-w7503f2_ZU)")</f>
        <v>vadit (v-w7503f2_ZU)</v>
      </c>
    </row>
    <row r="53459" customFormat="false" ht="12.8" hidden="false" customHeight="false" outlineLevel="0" collapsed="false">
      <c r="B53459" s="0" t="s">
        <v>7</v>
      </c>
    </row>
    <row r="53460" customFormat="false" ht="12.8" hidden="false" customHeight="false" outlineLevel="0" collapsed="false">
      <c r="B53460" s="0" t="s">
        <v>666</v>
      </c>
    </row>
    <row r="53462" customFormat="false" ht="12.8" hidden="false" customHeight="false" outlineLevel="0" collapsed="false">
      <c r="A53462" s="0" t="s">
        <v>18734</v>
      </c>
      <c r="B53462" s="0" t="str">
        <f aca="false">HYPERLINK("https://lindat.mff.cuni.cz/services/teitok/pdtc10/index.php?action=vallex&amp;frame=v-w7503hsa_1355", "vadit (v-w7503hsa_1355) - substituted with v-w7503f2_ZU")</f>
        <v>vadit (v-w7503hsa_1355) - substituted with v-w7503f2_ZU</v>
      </c>
    </row>
    <row r="53463" customFormat="false" ht="12.8" hidden="false" customHeight="false" outlineLevel="0" collapsed="false">
      <c r="B53463" s="0" t="s">
        <v>7</v>
      </c>
    </row>
    <row r="53464" customFormat="false" ht="12.8" hidden="false" customHeight="false" outlineLevel="0" collapsed="false">
      <c r="B53464" s="0" t="s">
        <v>666</v>
      </c>
    </row>
    <row r="53466" customFormat="false" ht="12.8" hidden="false" customHeight="false" outlineLevel="0" collapsed="false">
      <c r="A53466" s="0" t="s">
        <v>18735</v>
      </c>
      <c r="B53466" s="0" t="str">
        <f aca="false">HYPERLINK("https://lindat.mff.cuni.cz/services/teitok/pdtc10/index.php?action=vallex&amp;frame=v-whsa_205hsa_206", "vadnout (v-whsa_205hsa_206)")</f>
        <v>vadnout (v-whsa_205hsa_206)</v>
      </c>
    </row>
    <row r="53467" customFormat="false" ht="12.8" hidden="false" customHeight="false" outlineLevel="0" collapsed="false">
      <c r="B53467" s="0" t="s">
        <v>7</v>
      </c>
      <c r="C53467" s="0" t="s">
        <v>247</v>
      </c>
      <c r="D53467" s="0" t="s">
        <v>7922</v>
      </c>
      <c r="E53467" s="0" t="s">
        <v>7922</v>
      </c>
      <c r="F53467" s="0" t="s">
        <v>7922</v>
      </c>
    </row>
    <row r="53469" customFormat="false" ht="12.8" hidden="false" customHeight="false" outlineLevel="0" collapsed="false">
      <c r="A53469" s="0" t="s">
        <v>18736</v>
      </c>
      <c r="B53469" s="0" t="str">
        <f aca="false">HYPERLINK("https://lindat.mff.cuni.cz/services/teitok/pdtc10/index.php?action=vallex&amp;frame=v-w11906_ZUf1_ZU", "valit (v-w11906_ZUf1_ZU)")</f>
        <v>valit (v-w11906_ZUf1_ZU)</v>
      </c>
    </row>
    <row r="53470" customFormat="false" ht="12.8" hidden="false" customHeight="false" outlineLevel="0" collapsed="false">
      <c r="B53470" s="0" t="s">
        <v>7</v>
      </c>
    </row>
    <row r="53471" customFormat="false" ht="12.8" hidden="false" customHeight="false" outlineLevel="0" collapsed="false">
      <c r="B53471" s="0" t="s">
        <v>16347</v>
      </c>
    </row>
    <row r="53472" customFormat="false" ht="12.8" hidden="false" customHeight="false" outlineLevel="0" collapsed="false">
      <c r="B53472" s="0" t="s">
        <v>2933</v>
      </c>
    </row>
    <row r="53474" customFormat="false" ht="12.8" hidden="false" customHeight="false" outlineLevel="0" collapsed="false">
      <c r="A53474" s="0" t="s">
        <v>18737</v>
      </c>
      <c r="B53474" s="0" t="str">
        <f aca="false">HYPERLINK("https://lindat.mff.cuni.cz/services/teitok/pdtc10/index.php?action=vallex&amp;frame=v-w7510f1", "valit se (v-w7510f1)")</f>
        <v>valit se (v-w7510f1)</v>
      </c>
    </row>
    <row r="53475" customFormat="false" ht="12.8" hidden="false" customHeight="false" outlineLevel="0" collapsed="false">
      <c r="B53475" s="0" t="s">
        <v>7</v>
      </c>
      <c r="C53475" s="0" t="s">
        <v>18103</v>
      </c>
      <c r="D53475" s="0" t="s">
        <v>18738</v>
      </c>
      <c r="E53475" s="0" t="s">
        <v>18738</v>
      </c>
      <c r="F53475" s="0" t="s">
        <v>18739</v>
      </c>
    </row>
    <row r="53477" customFormat="false" ht="12.8" hidden="false" customHeight="false" outlineLevel="0" collapsed="false">
      <c r="A53477" s="0" t="s">
        <v>18740</v>
      </c>
      <c r="B53477" s="0" t="str">
        <f aca="false">HYPERLINK("https://lindat.mff.cuni.cz/services/teitok/pdtc10/index.php?action=vallex&amp;frame=v-w7513f1", "valorizovat (v-w7513f1)")</f>
        <v>valorizovat (v-w7513f1)</v>
      </c>
    </row>
    <row r="53478" customFormat="false" ht="12.8" hidden="false" customHeight="false" outlineLevel="0" collapsed="false">
      <c r="B53478" s="0" t="s">
        <v>7</v>
      </c>
    </row>
    <row r="53479" customFormat="false" ht="12.8" hidden="false" customHeight="false" outlineLevel="0" collapsed="false">
      <c r="B53479" s="0" t="s">
        <v>14</v>
      </c>
    </row>
    <row r="53481" customFormat="false" ht="12.8" hidden="false" customHeight="false" outlineLevel="0" collapsed="false">
      <c r="A53481" s="0" t="s">
        <v>18741</v>
      </c>
      <c r="B53481" s="0" t="str">
        <f aca="false">HYPERLINK("https://lindat.mff.cuni.cz/services/teitok/pdtc10/index.php?action=vallex&amp;frame=v-w7514f1", "vandrovat (v-w7514f1)")</f>
        <v>vandrovat (v-w7514f1)</v>
      </c>
    </row>
    <row r="53482" customFormat="false" ht="12.8" hidden="false" customHeight="false" outlineLevel="0" collapsed="false">
      <c r="B53482" s="0" t="s">
        <v>7</v>
      </c>
    </row>
    <row r="53484" customFormat="false" ht="12.8" hidden="false" customHeight="false" outlineLevel="0" collapsed="false">
      <c r="A53484" s="0" t="s">
        <v>18742</v>
      </c>
      <c r="B53484" s="0" t="str">
        <f aca="false">HYPERLINK("https://lindat.mff.cuni.cz/services/teitok/pdtc10/index.php?action=vallex&amp;frame=v-w7515f1", "vanout (v-w7515f1)")</f>
        <v>vanout (v-w7515f1)</v>
      </c>
    </row>
    <row r="53485" customFormat="false" ht="12.8" hidden="false" customHeight="false" outlineLevel="0" collapsed="false">
      <c r="B53485" s="0" t="s">
        <v>7</v>
      </c>
    </row>
    <row r="53487" customFormat="false" ht="12.8" hidden="false" customHeight="false" outlineLevel="0" collapsed="false">
      <c r="A53487" s="0" t="s">
        <v>18743</v>
      </c>
      <c r="B53487" s="0" t="str">
        <f aca="false">HYPERLINK("https://lindat.mff.cuni.cz/services/teitok/pdtc10/index.php?action=vallex&amp;frame=v-w7515f2", "vanout (v-w7515f2)")</f>
        <v>vanout (v-w7515f2)</v>
      </c>
    </row>
    <row r="53489" customFormat="false" ht="12.8" hidden="false" customHeight="false" outlineLevel="0" collapsed="false">
      <c r="A53489" s="0" t="s">
        <v>18744</v>
      </c>
      <c r="B53489" s="0" t="str">
        <f aca="false">HYPERLINK("https://lindat.mff.cuni.cz/services/teitok/pdtc10/index.php?action=vallex&amp;frame=v-w7520f1", "varovat (v-w7520f1)")</f>
        <v>varovat (v-w7520f1)</v>
      </c>
    </row>
    <row r="53490" customFormat="false" ht="12.8" hidden="false" customHeight="false" outlineLevel="0" collapsed="false">
      <c r="B53490" s="0" t="s">
        <v>7</v>
      </c>
      <c r="C53490" s="0" t="s">
        <v>18745</v>
      </c>
      <c r="D53490" s="0" t="s">
        <v>231</v>
      </c>
      <c r="E53490" s="0" t="s">
        <v>231</v>
      </c>
      <c r="F53490" s="0" t="s">
        <v>231</v>
      </c>
    </row>
    <row r="53491" customFormat="false" ht="12.8" hidden="false" customHeight="false" outlineLevel="0" collapsed="false">
      <c r="B53491" s="0" t="s">
        <v>18746</v>
      </c>
      <c r="C53491" s="0" t="s">
        <v>18747</v>
      </c>
      <c r="D53491" s="0" t="s">
        <v>18748</v>
      </c>
      <c r="E53491" s="0" t="s">
        <v>18748</v>
      </c>
      <c r="F53491" s="0" t="s">
        <v>18748</v>
      </c>
    </row>
    <row r="53492" customFormat="false" ht="12.8" hidden="false" customHeight="false" outlineLevel="0" collapsed="false">
      <c r="B53492" s="0" t="s">
        <v>81</v>
      </c>
      <c r="C53492" s="0" t="s">
        <v>18749</v>
      </c>
      <c r="D53492" s="0" t="s">
        <v>18750</v>
      </c>
      <c r="E53492" s="0" t="s">
        <v>18750</v>
      </c>
      <c r="F53492" s="0" t="s">
        <v>18750</v>
      </c>
    </row>
    <row r="53494" customFormat="false" ht="12.8" hidden="false" customHeight="false" outlineLevel="0" collapsed="false">
      <c r="A53494" s="0" t="s">
        <v>18751</v>
      </c>
      <c r="B53494" s="0" t="str">
        <f aca="false">HYPERLINK("https://lindat.mff.cuni.cz/services/teitok/pdtc10/index.php?action=vallex&amp;frame=v-w11615_ZUf1_ZU", "varovat se (v-w11615_ZUf1_ZU)")</f>
        <v>varovat se (v-w11615_ZUf1_ZU)</v>
      </c>
    </row>
    <row r="53495" customFormat="false" ht="12.8" hidden="false" customHeight="false" outlineLevel="0" collapsed="false">
      <c r="B53495" s="0" t="s">
        <v>7</v>
      </c>
      <c r="E53495" s="0" t="s">
        <v>5572</v>
      </c>
      <c r="F53495" s="0" t="s">
        <v>5572</v>
      </c>
    </row>
    <row r="53496" customFormat="false" ht="12.8" hidden="false" customHeight="false" outlineLevel="0" collapsed="false">
      <c r="B53496" s="0" t="s">
        <v>1087</v>
      </c>
      <c r="E53496" s="0" t="s">
        <v>518</v>
      </c>
      <c r="F53496" s="0" t="s">
        <v>518</v>
      </c>
    </row>
    <row r="53498" customFormat="false" ht="12.8" hidden="false" customHeight="false" outlineLevel="0" collapsed="false">
      <c r="A53498" s="0" t="s">
        <v>18752</v>
      </c>
      <c r="B53498" s="0" t="str">
        <f aca="false">HYPERLINK("https://lindat.mff.cuni.cz/services/teitok/pdtc10/index.php?action=vallex&amp;frame=v-w7523f1", "vařit (v-w7523f1)")</f>
        <v>vařit (v-w7523f1)</v>
      </c>
    </row>
    <row r="53499" customFormat="false" ht="12.8" hidden="false" customHeight="false" outlineLevel="0" collapsed="false">
      <c r="B53499" s="0" t="s">
        <v>7</v>
      </c>
      <c r="F53499" s="0" t="s">
        <v>1287</v>
      </c>
    </row>
    <row r="53500" customFormat="false" ht="12.8" hidden="false" customHeight="false" outlineLevel="0" collapsed="false">
      <c r="B53500" s="0" t="s">
        <v>14</v>
      </c>
      <c r="F53500" s="0" t="s">
        <v>1289</v>
      </c>
    </row>
    <row r="53501" customFormat="false" ht="12.8" hidden="false" customHeight="false" outlineLevel="0" collapsed="false">
      <c r="B53501" s="0" t="s">
        <v>35</v>
      </c>
    </row>
    <row r="53503" customFormat="false" ht="12.8" hidden="false" customHeight="false" outlineLevel="0" collapsed="false">
      <c r="A53503" s="0" t="s">
        <v>18753</v>
      </c>
      <c r="B53503" s="0" t="str">
        <f aca="false">HYPERLINK("https://lindat.mff.cuni.cz/services/teitok/pdtc10/index.php?action=vallex&amp;frame=v-w7523f2", "vařit (v-w7523f2)")</f>
        <v>vařit (v-w7523f2)</v>
      </c>
    </row>
    <row r="53504" customFormat="false" ht="12.8" hidden="false" customHeight="false" outlineLevel="0" collapsed="false">
      <c r="B53504" s="0" t="s">
        <v>7</v>
      </c>
      <c r="F53504" s="0" t="s">
        <v>4651</v>
      </c>
    </row>
    <row r="53506" customFormat="false" ht="12.8" hidden="false" customHeight="false" outlineLevel="0" collapsed="false">
      <c r="A53506" s="0" t="s">
        <v>18754</v>
      </c>
      <c r="B53506" s="0" t="str">
        <f aca="false">HYPERLINK("https://lindat.mff.cuni.cz/services/teitok/pdtc10/index.php?action=vallex&amp;frame=v-w7523hsa_1613", "vařit (v-w7523hsa_1613)")</f>
        <v>vařit (v-w7523hsa_1613)</v>
      </c>
    </row>
    <row r="53507" customFormat="false" ht="12.8" hidden="false" customHeight="false" outlineLevel="0" collapsed="false">
      <c r="B53507" s="0" t="s">
        <v>7</v>
      </c>
    </row>
    <row r="53508" customFormat="false" ht="12.8" hidden="false" customHeight="false" outlineLevel="0" collapsed="false">
      <c r="B53508" s="0" t="s">
        <v>14</v>
      </c>
    </row>
    <row r="53510" customFormat="false" ht="12.8" hidden="false" customHeight="false" outlineLevel="0" collapsed="false">
      <c r="A53510" s="0" t="s">
        <v>18755</v>
      </c>
      <c r="B53510" s="0" t="str">
        <f aca="false">HYPERLINK("https://lindat.mff.cuni.cz/services/teitok/pdtc10/index.php?action=vallex&amp;frame=v-whsa_510hsa_511", "vařit se (v-whsa_510hsa_511)")</f>
        <v>vařit se (v-whsa_510hsa_511)</v>
      </c>
    </row>
    <row r="53511" customFormat="false" ht="12.8" hidden="false" customHeight="false" outlineLevel="0" collapsed="false">
      <c r="B53511" s="0" t="s">
        <v>7</v>
      </c>
      <c r="F53511" s="0" t="s">
        <v>4651</v>
      </c>
    </row>
    <row r="53513" customFormat="false" ht="12.8" hidden="false" customHeight="false" outlineLevel="0" collapsed="false">
      <c r="A53513" s="0" t="s">
        <v>18756</v>
      </c>
      <c r="B53513" s="0" t="str">
        <f aca="false">HYPERLINK("https://lindat.mff.cuni.cz/services/teitok/pdtc10/index.php?action=vallex&amp;frame=v-whsa_1554f1_ZU", "vařívávat (v-whsa_1554f1_ZU)")</f>
        <v>vařívávat (v-whsa_1554f1_ZU)</v>
      </c>
    </row>
    <row r="53514" customFormat="false" ht="12.8" hidden="false" customHeight="false" outlineLevel="0" collapsed="false">
      <c r="B53514" s="0" t="s">
        <v>7</v>
      </c>
    </row>
    <row r="53515" customFormat="false" ht="12.8" hidden="false" customHeight="false" outlineLevel="0" collapsed="false">
      <c r="B53515" s="0" t="s">
        <v>14</v>
      </c>
    </row>
    <row r="53516" customFormat="false" ht="12.8" hidden="false" customHeight="false" outlineLevel="0" collapsed="false">
      <c r="B53516" s="0" t="s">
        <v>35</v>
      </c>
    </row>
    <row r="53518" customFormat="false" ht="12.8" hidden="false" customHeight="false" outlineLevel="0" collapsed="false">
      <c r="A53518" s="0" t="s">
        <v>18756</v>
      </c>
      <c r="B53518" s="0" t="str">
        <f aca="false">HYPERLINK("https://lindat.mff.cuni.cz/services/teitok/pdtc10/index.php?action=vallex&amp;frame=v-whsa_1554hsa_1555", "vařívávat (v-whsa_1554hsa_1555) - substituted with v-whsa_1554f1_ZU")</f>
        <v>vařívávat (v-whsa_1554hsa_1555) - substituted with v-whsa_1554f1_ZU</v>
      </c>
    </row>
    <row r="53519" customFormat="false" ht="12.8" hidden="false" customHeight="false" outlineLevel="0" collapsed="false">
      <c r="B53519" s="0" t="s">
        <v>7</v>
      </c>
    </row>
    <row r="53520" customFormat="false" ht="12.8" hidden="false" customHeight="false" outlineLevel="0" collapsed="false">
      <c r="B53520" s="0" t="s">
        <v>14</v>
      </c>
    </row>
    <row r="53521" customFormat="false" ht="12.8" hidden="false" customHeight="false" outlineLevel="0" collapsed="false">
      <c r="B53521" s="0" t="s">
        <v>35</v>
      </c>
    </row>
    <row r="53523" customFormat="false" ht="12.8" hidden="false" customHeight="false" outlineLevel="0" collapsed="false">
      <c r="A53523" s="0" t="s">
        <v>18757</v>
      </c>
      <c r="B53523" s="0" t="str">
        <f aca="false">HYPERLINK("https://lindat.mff.cuni.cz/services/teitok/pdtc10/index.php?action=vallex&amp;frame=v-w10053f2", "vběhnout (v-w10053f2)")</f>
        <v>vběhnout (v-w10053f2)</v>
      </c>
    </row>
    <row r="53524" customFormat="false" ht="12.8" hidden="false" customHeight="false" outlineLevel="0" collapsed="false">
      <c r="B53524" s="0" t="s">
        <v>7</v>
      </c>
      <c r="C53524" s="0" t="s">
        <v>10540</v>
      </c>
      <c r="E53524" s="0" t="s">
        <v>113</v>
      </c>
      <c r="F53524" s="0" t="s">
        <v>113</v>
      </c>
    </row>
    <row r="53525" customFormat="false" ht="12.8" hidden="false" customHeight="false" outlineLevel="0" collapsed="false">
      <c r="B53525" s="0" t="s">
        <v>124</v>
      </c>
      <c r="C53525" s="0" t="s">
        <v>18758</v>
      </c>
      <c r="E53525" s="0" t="s">
        <v>2162</v>
      </c>
      <c r="F53525" s="0" t="s">
        <v>2162</v>
      </c>
    </row>
    <row r="53527" customFormat="false" ht="12.8" hidden="false" customHeight="false" outlineLevel="0" collapsed="false">
      <c r="A53527" s="0" t="s">
        <v>18759</v>
      </c>
      <c r="B53527" s="0" t="str">
        <f aca="false">HYPERLINK("https://lindat.mff.cuni.cz/services/teitok/pdtc10/index.php?action=vallex&amp;frame=v-w7609f1", "vcházet (v-w7609f1)")</f>
        <v>vcházet (v-w7609f1)</v>
      </c>
    </row>
    <row r="53528" customFormat="false" ht="12.8" hidden="false" customHeight="false" outlineLevel="0" collapsed="false">
      <c r="B53528" s="0" t="s">
        <v>7</v>
      </c>
      <c r="C53528" s="0" t="s">
        <v>8535</v>
      </c>
      <c r="D53528" s="0" t="s">
        <v>1705</v>
      </c>
      <c r="E53528" s="0" t="s">
        <v>1706</v>
      </c>
      <c r="F53528" s="0" t="s">
        <v>1706</v>
      </c>
    </row>
    <row r="53529" customFormat="false" ht="12.8" hidden="false" customHeight="false" outlineLevel="0" collapsed="false">
      <c r="B53529" s="0" t="s">
        <v>124</v>
      </c>
      <c r="C53529" s="0" t="s">
        <v>18760</v>
      </c>
      <c r="D53529" s="0" t="s">
        <v>1707</v>
      </c>
      <c r="E53529" s="0" t="s">
        <v>1707</v>
      </c>
      <c r="F53529" s="0" t="s">
        <v>1707</v>
      </c>
    </row>
    <row r="53531" customFormat="false" ht="12.8" hidden="false" customHeight="false" outlineLevel="0" collapsed="false">
      <c r="A53531" s="0" t="s">
        <v>18761</v>
      </c>
      <c r="B53531" s="0" t="str">
        <f aca="false">HYPERLINK("https://lindat.mff.cuni.cz/services/teitok/pdtc10/index.php?action=vallex&amp;frame=v-w7609hsa_1256", "vcházet (v-w7609hsa_1256)")</f>
        <v>vcházet (v-w7609hsa_1256)</v>
      </c>
    </row>
    <row r="53532" customFormat="false" ht="12.8" hidden="false" customHeight="false" outlineLevel="0" collapsed="false">
      <c r="B53532" s="0" t="s">
        <v>7</v>
      </c>
    </row>
    <row r="53533" customFormat="false" ht="12.8" hidden="false" customHeight="false" outlineLevel="0" collapsed="false">
      <c r="B53533" s="0" t="s">
        <v>124</v>
      </c>
    </row>
    <row r="53535" customFormat="false" ht="12.8" hidden="false" customHeight="false" outlineLevel="0" collapsed="false">
      <c r="A53535" s="0" t="s">
        <v>18762</v>
      </c>
      <c r="B53535" s="0" t="str">
        <f aca="false">HYPERLINK("https://lindat.mff.cuni.cz/services/teitok/pdtc10/index.php?action=vallex&amp;frame=v-w7536hsa_1405", "vcítit se (v-w7536hsa_1405)")</f>
        <v>vcítit se (v-w7536hsa_1405)</v>
      </c>
    </row>
    <row r="53536" customFormat="false" ht="12.8" hidden="false" customHeight="false" outlineLevel="0" collapsed="false">
      <c r="B53536" s="0" t="s">
        <v>7</v>
      </c>
    </row>
    <row r="53537" customFormat="false" ht="12.8" hidden="false" customHeight="false" outlineLevel="0" collapsed="false">
      <c r="B53537" s="0" t="s">
        <v>10229</v>
      </c>
    </row>
    <row r="53539" customFormat="false" ht="12.8" hidden="false" customHeight="false" outlineLevel="0" collapsed="false">
      <c r="A53539" s="0" t="s">
        <v>18762</v>
      </c>
      <c r="B53539" s="0" t="str">
        <f aca="false">HYPERLINK("https://lindat.mff.cuni.cz/services/teitok/pdtc10/index.php?action=vallex&amp;frame=v-w7536f1", "vcítit se (v-w7536f1) - substituted with v-w7536hsa_1405")</f>
        <v>vcítit se (v-w7536f1) - substituted with v-w7536hsa_1405</v>
      </c>
    </row>
    <row r="53540" customFormat="false" ht="12.8" hidden="false" customHeight="false" outlineLevel="0" collapsed="false">
      <c r="B53540" s="0" t="s">
        <v>7</v>
      </c>
    </row>
    <row r="53541" customFormat="false" ht="12.8" hidden="false" customHeight="false" outlineLevel="0" collapsed="false">
      <c r="B53541" s="0" t="s">
        <v>10229</v>
      </c>
    </row>
    <row r="53543" customFormat="false" ht="12.8" hidden="false" customHeight="false" outlineLevel="0" collapsed="false">
      <c r="A53543" s="0" t="s">
        <v>18763</v>
      </c>
      <c r="B53543" s="0" t="str">
        <f aca="false">HYPERLINK("https://lindat.mff.cuni.cz/services/teitok/pdtc10/index.php?action=vallex&amp;frame=v-w10759f2", "vdechnout (v-w10759f2)")</f>
        <v>vdechnout (v-w10759f2)</v>
      </c>
    </row>
    <row r="53544" customFormat="false" ht="12.8" hidden="false" customHeight="false" outlineLevel="0" collapsed="false">
      <c r="B53544" s="0" t="s">
        <v>7</v>
      </c>
      <c r="C53544" s="0" t="s">
        <v>9294</v>
      </c>
    </row>
    <row r="53545" customFormat="false" ht="12.8" hidden="false" customHeight="false" outlineLevel="0" collapsed="false">
      <c r="B53545" s="0" t="s">
        <v>18764</v>
      </c>
      <c r="C53545" s="0" t="s">
        <v>18765</v>
      </c>
    </row>
    <row r="53546" customFormat="false" ht="12.8" hidden="false" customHeight="false" outlineLevel="0" collapsed="false">
      <c r="B53546" s="0" t="s">
        <v>142</v>
      </c>
    </row>
    <row r="53548" customFormat="false" ht="12.8" hidden="false" customHeight="false" outlineLevel="0" collapsed="false">
      <c r="A53548" s="0" t="s">
        <v>18766</v>
      </c>
      <c r="B53548" s="0" t="str">
        <f aca="false">HYPERLINK("https://lindat.mff.cuni.cz/services/teitok/pdtc10/index.php?action=vallex&amp;frame=v-whsa_315f1_ZU", "vdát (v-whsa_315f1_ZU)")</f>
        <v>vdát (v-whsa_315f1_ZU)</v>
      </c>
    </row>
    <row r="53549" customFormat="false" ht="12.8" hidden="false" customHeight="false" outlineLevel="0" collapsed="false">
      <c r="B53549" s="0" t="s">
        <v>7</v>
      </c>
    </row>
    <row r="53550" customFormat="false" ht="12.8" hidden="false" customHeight="false" outlineLevel="0" collapsed="false">
      <c r="B53550" s="0" t="s">
        <v>14</v>
      </c>
    </row>
    <row r="53551" customFormat="false" ht="12.8" hidden="false" customHeight="false" outlineLevel="0" collapsed="false">
      <c r="B53551" s="0" t="s">
        <v>12279</v>
      </c>
    </row>
    <row r="53553" customFormat="false" ht="12.8" hidden="false" customHeight="false" outlineLevel="0" collapsed="false">
      <c r="A53553" s="0" t="s">
        <v>18766</v>
      </c>
      <c r="B53553" s="0" t="str">
        <f aca="false">HYPERLINK("https://lindat.mff.cuni.cz/services/teitok/pdtc10/index.php?action=vallex&amp;frame=v-whsa_315hsa_316", "vdát (v-whsa_315hsa_316) - substituted with v-whsa_315f1_ZU")</f>
        <v>vdát (v-whsa_315hsa_316) - substituted with v-whsa_315f1_ZU</v>
      </c>
    </row>
    <row r="53554" customFormat="false" ht="12.8" hidden="false" customHeight="false" outlineLevel="0" collapsed="false">
      <c r="B53554" s="0" t="s">
        <v>7</v>
      </c>
    </row>
    <row r="53555" customFormat="false" ht="12.8" hidden="false" customHeight="false" outlineLevel="0" collapsed="false">
      <c r="B53555" s="0" t="s">
        <v>14</v>
      </c>
    </row>
    <row r="53556" customFormat="false" ht="12.8" hidden="false" customHeight="false" outlineLevel="0" collapsed="false">
      <c r="B53556" s="0" t="s">
        <v>12279</v>
      </c>
    </row>
    <row r="53558" customFormat="false" ht="12.8" hidden="false" customHeight="false" outlineLevel="0" collapsed="false">
      <c r="A53558" s="0" t="s">
        <v>18767</v>
      </c>
      <c r="B53558" s="0" t="str">
        <f aca="false">HYPERLINK("https://lindat.mff.cuni.cz/services/teitok/pdtc10/index.php?action=vallex&amp;frame=v-w7539f1", "vdát se (v-w7539f1)")</f>
        <v>vdát se (v-w7539f1)</v>
      </c>
    </row>
    <row r="53559" customFormat="false" ht="12.8" hidden="false" customHeight="false" outlineLevel="0" collapsed="false">
      <c r="B53559" s="0" t="s">
        <v>7</v>
      </c>
      <c r="D53559" s="0" t="s">
        <v>46</v>
      </c>
      <c r="E53559" s="0" t="s">
        <v>46</v>
      </c>
      <c r="F53559" s="0" t="s">
        <v>46</v>
      </c>
    </row>
    <row r="53560" customFormat="false" ht="12.8" hidden="false" customHeight="false" outlineLevel="0" collapsed="false">
      <c r="B53560" s="0" t="s">
        <v>1654</v>
      </c>
      <c r="D53560" s="0" t="s">
        <v>47</v>
      </c>
      <c r="E53560" s="0" t="s">
        <v>47</v>
      </c>
      <c r="F53560" s="0" t="s">
        <v>47</v>
      </c>
    </row>
    <row r="53562" customFormat="false" ht="12.8" hidden="false" customHeight="false" outlineLevel="0" collapsed="false">
      <c r="A53562" s="0" t="s">
        <v>18768</v>
      </c>
      <c r="B53562" s="0" t="str">
        <f aca="false">HYPERLINK("https://lindat.mff.cuni.cz/services/teitok/pdtc10/index.php?action=vallex&amp;frame=v-whsa_256f1_ZU", "vdávat (v-whsa_256f1_ZU)")</f>
        <v>vdávat (v-whsa_256f1_ZU)</v>
      </c>
    </row>
    <row r="53563" customFormat="false" ht="12.8" hidden="false" customHeight="false" outlineLevel="0" collapsed="false">
      <c r="B53563" s="0" t="s">
        <v>7</v>
      </c>
    </row>
    <row r="53564" customFormat="false" ht="12.8" hidden="false" customHeight="false" outlineLevel="0" collapsed="false">
      <c r="B53564" s="0" t="s">
        <v>14</v>
      </c>
    </row>
    <row r="53565" customFormat="false" ht="12.8" hidden="false" customHeight="false" outlineLevel="0" collapsed="false">
      <c r="B53565" s="0" t="s">
        <v>12279</v>
      </c>
    </row>
    <row r="53567" customFormat="false" ht="12.8" hidden="false" customHeight="false" outlineLevel="0" collapsed="false">
      <c r="A53567" s="0" t="s">
        <v>18768</v>
      </c>
      <c r="B53567" s="0" t="str">
        <f aca="false">HYPERLINK("https://lindat.mff.cuni.cz/services/teitok/pdtc10/index.php?action=vallex&amp;frame=v-whsa_256hsa_257", "vdávat (v-whsa_256hsa_257) - substituted with v-whsa_256f1_ZU")</f>
        <v>vdávat (v-whsa_256hsa_257) - substituted with v-whsa_256f1_ZU</v>
      </c>
    </row>
    <row r="53568" customFormat="false" ht="12.8" hidden="false" customHeight="false" outlineLevel="0" collapsed="false">
      <c r="B53568" s="0" t="s">
        <v>7</v>
      </c>
    </row>
    <row r="53569" customFormat="false" ht="12.8" hidden="false" customHeight="false" outlineLevel="0" collapsed="false">
      <c r="B53569" s="0" t="s">
        <v>14</v>
      </c>
    </row>
    <row r="53570" customFormat="false" ht="12.8" hidden="false" customHeight="false" outlineLevel="0" collapsed="false">
      <c r="B53570" s="0" t="s">
        <v>12279</v>
      </c>
    </row>
    <row r="53572" customFormat="false" ht="12.8" hidden="false" customHeight="false" outlineLevel="0" collapsed="false">
      <c r="A53572" s="0" t="s">
        <v>18769</v>
      </c>
      <c r="B53572" s="0" t="str">
        <f aca="false">HYPERLINK("https://lindat.mff.cuni.cz/services/teitok/pdtc10/index.php?action=vallex&amp;frame=v-w7540f1", "vdávat se (v-w7540f1)")</f>
        <v>vdávat se (v-w7540f1)</v>
      </c>
    </row>
    <row r="53573" customFormat="false" ht="12.8" hidden="false" customHeight="false" outlineLevel="0" collapsed="false">
      <c r="B53573" s="0" t="s">
        <v>7</v>
      </c>
    </row>
    <row r="53574" customFormat="false" ht="12.8" hidden="false" customHeight="false" outlineLevel="0" collapsed="false">
      <c r="B53574" s="0" t="s">
        <v>491</v>
      </c>
    </row>
    <row r="53576" customFormat="false" ht="12.8" hidden="false" customHeight="false" outlineLevel="0" collapsed="false">
      <c r="A53576" s="0" t="s">
        <v>18770</v>
      </c>
      <c r="B53576" s="0" t="str">
        <f aca="false">HYPERLINK("https://lindat.mff.cuni.cz/services/teitok/pdtc10/index.php?action=vallex&amp;frame=v-w7541f1", "vděčit (v-w7541f1)")</f>
        <v>vděčit (v-w7541f1)</v>
      </c>
    </row>
    <row r="53577" customFormat="false" ht="12.8" hidden="false" customHeight="false" outlineLevel="0" collapsed="false">
      <c r="B53577" s="0" t="s">
        <v>7</v>
      </c>
      <c r="C53577" s="0" t="s">
        <v>465</v>
      </c>
    </row>
    <row r="53578" customFormat="false" ht="12.8" hidden="false" customHeight="false" outlineLevel="0" collapsed="false">
      <c r="B53578" s="0" t="s">
        <v>491</v>
      </c>
      <c r="C53578" s="0" t="s">
        <v>18771</v>
      </c>
    </row>
    <row r="53579" customFormat="false" ht="12.8" hidden="false" customHeight="false" outlineLevel="0" collapsed="false">
      <c r="B53579" s="0" t="s">
        <v>48</v>
      </c>
      <c r="C53579" s="0" t="s">
        <v>1651</v>
      </c>
    </row>
    <row r="53581" customFormat="false" ht="12.8" hidden="false" customHeight="false" outlineLevel="0" collapsed="false">
      <c r="A53581" s="0" t="s">
        <v>18772</v>
      </c>
      <c r="B53581" s="0" t="str">
        <f aca="false">HYPERLINK("https://lindat.mff.cuni.cz/services/teitok/pdtc10/index.php?action=vallex&amp;frame=v-whsa_676hsa_677", "vecpat se (v-whsa_676hsa_677)")</f>
        <v>vecpat se (v-whsa_676hsa_677)</v>
      </c>
    </row>
    <row r="53582" customFormat="false" ht="12.8" hidden="false" customHeight="false" outlineLevel="0" collapsed="false">
      <c r="B53582" s="0" t="s">
        <v>7</v>
      </c>
      <c r="C53582" s="0" t="s">
        <v>191</v>
      </c>
      <c r="D53582" s="0" t="s">
        <v>18773</v>
      </c>
      <c r="E53582" s="0" t="s">
        <v>18774</v>
      </c>
      <c r="F53582" s="0" t="s">
        <v>18774</v>
      </c>
    </row>
    <row r="53583" customFormat="false" ht="12.8" hidden="false" customHeight="false" outlineLevel="0" collapsed="false">
      <c r="B53583" s="0" t="s">
        <v>124</v>
      </c>
      <c r="C53583" s="0" t="s">
        <v>2162</v>
      </c>
      <c r="D53583" s="0" t="s">
        <v>18775</v>
      </c>
      <c r="E53583" s="0" t="s">
        <v>18775</v>
      </c>
      <c r="F53583" s="0" t="s">
        <v>18775</v>
      </c>
    </row>
    <row r="53585" customFormat="false" ht="12.8" hidden="false" customHeight="false" outlineLevel="0" collapsed="false">
      <c r="A53585" s="0" t="s">
        <v>18776</v>
      </c>
      <c r="B53585" s="0" t="str">
        <f aca="false">HYPERLINK("https://lindat.mff.cuni.cz/services/teitok/pdtc10/index.php?action=vallex&amp;frame=v-w10263f2", "vecpávat (v-w10263f2)")</f>
        <v>vecpávat (v-w10263f2)</v>
      </c>
    </row>
    <row r="53586" customFormat="false" ht="12.8" hidden="false" customHeight="false" outlineLevel="0" collapsed="false">
      <c r="B53586" s="0" t="s">
        <v>7</v>
      </c>
    </row>
    <row r="53587" customFormat="false" ht="12.8" hidden="false" customHeight="false" outlineLevel="0" collapsed="false">
      <c r="B53587" s="0" t="s">
        <v>14</v>
      </c>
    </row>
    <row r="53588" customFormat="false" ht="12.8" hidden="false" customHeight="false" outlineLevel="0" collapsed="false">
      <c r="B53588" s="0" t="s">
        <v>124</v>
      </c>
    </row>
    <row r="53590" customFormat="false" ht="12.8" hidden="false" customHeight="false" outlineLevel="0" collapsed="false">
      <c r="A53590" s="0" t="s">
        <v>18777</v>
      </c>
      <c r="B53590" s="0" t="str">
        <f aca="false">HYPERLINK("https://lindat.mff.cuni.cz/services/teitok/pdtc10/index.php?action=vallex&amp;frame=v-whsa_1350hsa_1351", "vegetovat (v-whsa_1350hsa_1351)")</f>
        <v>vegetovat (v-whsa_1350hsa_1351)</v>
      </c>
    </row>
    <row r="53591" customFormat="false" ht="12.8" hidden="false" customHeight="false" outlineLevel="0" collapsed="false">
      <c r="B53591" s="0" t="s">
        <v>7</v>
      </c>
    </row>
    <row r="53593" customFormat="false" ht="12.8" hidden="false" customHeight="false" outlineLevel="0" collapsed="false">
      <c r="A53593" s="0" t="s">
        <v>18778</v>
      </c>
      <c r="B53593" s="0" t="str">
        <f aca="false">HYPERLINK("https://lindat.mff.cuni.cz/services/teitok/pdtc10/index.php?action=vallex&amp;frame=v-w11135f2", "vehnat (v-w11135f2)")</f>
        <v>vehnat (v-w11135f2)</v>
      </c>
    </row>
    <row r="53594" customFormat="false" ht="12.8" hidden="false" customHeight="false" outlineLevel="0" collapsed="false">
      <c r="B53594" s="0" t="s">
        <v>7</v>
      </c>
      <c r="C53594" s="0" t="s">
        <v>9294</v>
      </c>
    </row>
    <row r="53595" customFormat="false" ht="12.8" hidden="false" customHeight="false" outlineLevel="0" collapsed="false">
      <c r="B53595" s="0" t="s">
        <v>14</v>
      </c>
      <c r="C53595" s="0" t="s">
        <v>7579</v>
      </c>
    </row>
    <row r="53596" customFormat="false" ht="12.8" hidden="false" customHeight="false" outlineLevel="0" collapsed="false">
      <c r="B53596" s="0" t="s">
        <v>124</v>
      </c>
    </row>
    <row r="53598" customFormat="false" ht="12.8" hidden="false" customHeight="false" outlineLevel="0" collapsed="false">
      <c r="A53598" s="0" t="s">
        <v>18779</v>
      </c>
      <c r="B53598" s="0" t="str">
        <f aca="false">HYPERLINK("https://lindat.mff.cuni.cz/services/teitok/pdtc10/index.php?action=vallex&amp;frame=v-w7556f3", "vejít (v-w7556f3)")</f>
        <v>vejít (v-w7556f3)</v>
      </c>
    </row>
    <row r="53599" customFormat="false" ht="12.8" hidden="false" customHeight="false" outlineLevel="0" collapsed="false">
      <c r="B53599" s="0" t="s">
        <v>7</v>
      </c>
    </row>
    <row r="53600" customFormat="false" ht="12.8" hidden="false" customHeight="false" outlineLevel="0" collapsed="false">
      <c r="B53600" s="0" t="s">
        <v>279</v>
      </c>
    </row>
    <row r="53602" customFormat="false" ht="12.8" hidden="false" customHeight="false" outlineLevel="0" collapsed="false">
      <c r="A53602" s="0" t="s">
        <v>18780</v>
      </c>
      <c r="B53602" s="0" t="str">
        <f aca="false">HYPERLINK("https://lindat.mff.cuni.cz/services/teitok/pdtc10/index.php?action=vallex&amp;frame=v-w7556f1", "vejít (v-w7556f1)")</f>
        <v>vejít (v-w7556f1)</v>
      </c>
    </row>
    <row r="53603" customFormat="false" ht="12.8" hidden="false" customHeight="false" outlineLevel="0" collapsed="false">
      <c r="B53603" s="0" t="s">
        <v>7</v>
      </c>
      <c r="C53603" s="0" t="s">
        <v>15532</v>
      </c>
      <c r="D53603" s="0" t="s">
        <v>1705</v>
      </c>
      <c r="E53603" s="0" t="s">
        <v>1706</v>
      </c>
      <c r="F53603" s="0" t="s">
        <v>1706</v>
      </c>
    </row>
    <row r="53604" customFormat="false" ht="12.8" hidden="false" customHeight="false" outlineLevel="0" collapsed="false">
      <c r="B53604" s="0" t="s">
        <v>124</v>
      </c>
      <c r="C53604" s="0" t="s">
        <v>18760</v>
      </c>
      <c r="D53604" s="0" t="s">
        <v>1707</v>
      </c>
      <c r="E53604" s="0" t="s">
        <v>1707</v>
      </c>
      <c r="F53604" s="0" t="s">
        <v>1707</v>
      </c>
    </row>
    <row r="53606" customFormat="false" ht="12.8" hidden="false" customHeight="false" outlineLevel="0" collapsed="false">
      <c r="A53606" s="0" t="s">
        <v>18781</v>
      </c>
      <c r="B53606" s="0" t="str">
        <f aca="false">HYPERLINK("https://lindat.mff.cuni.cz/services/teitok/pdtc10/index.php?action=vallex&amp;frame=v-w7556f4_ZU", "vejít (v-w7556f4_ZU)")</f>
        <v>vejít (v-w7556f4_ZU)</v>
      </c>
    </row>
    <row r="53607" customFormat="false" ht="12.8" hidden="false" customHeight="false" outlineLevel="0" collapsed="false">
      <c r="B53607" s="0" t="s">
        <v>18782</v>
      </c>
      <c r="C53607" s="0" t="s">
        <v>18783</v>
      </c>
      <c r="D53607" s="0" t="s">
        <v>2332</v>
      </c>
      <c r="E53607" s="0" t="s">
        <v>2332</v>
      </c>
      <c r="F53607" s="0" t="s">
        <v>2332</v>
      </c>
    </row>
    <row r="53608" customFormat="false" ht="12.8" hidden="false" customHeight="false" outlineLevel="0" collapsed="false">
      <c r="B53608" s="0" t="s">
        <v>18784</v>
      </c>
      <c r="C53608" s="0" t="s">
        <v>18785</v>
      </c>
      <c r="D53608" s="0" t="s">
        <v>18786</v>
      </c>
      <c r="E53608" s="0" t="s">
        <v>18786</v>
      </c>
      <c r="F53608" s="0" t="s">
        <v>18786</v>
      </c>
    </row>
    <row r="53610" customFormat="false" ht="12.8" hidden="false" customHeight="false" outlineLevel="0" collapsed="false">
      <c r="A53610" s="0" t="s">
        <v>18781</v>
      </c>
      <c r="B53610" s="0" t="str">
        <f aca="false">HYPERLINK("https://lindat.mff.cuni.cz/services/teitok/pdtc10/index.php?action=vallex&amp;frame=v-w7556f2", "vejít (v-w7556f2) - substituted with v-w7556f4_ZU")</f>
        <v>vejít (v-w7556f2) - substituted with v-w7556f4_ZU</v>
      </c>
    </row>
    <row r="53611" customFormat="false" ht="12.8" hidden="false" customHeight="false" outlineLevel="0" collapsed="false">
      <c r="B53611" s="0" t="s">
        <v>18782</v>
      </c>
      <c r="C53611" s="0" t="s">
        <v>18783</v>
      </c>
    </row>
    <row r="53612" customFormat="false" ht="12.8" hidden="false" customHeight="false" outlineLevel="0" collapsed="false">
      <c r="B53612" s="0" t="s">
        <v>18784</v>
      </c>
      <c r="C53612" s="0" t="s">
        <v>18785</v>
      </c>
    </row>
    <row r="53614" customFormat="false" ht="12.8" hidden="false" customHeight="false" outlineLevel="0" collapsed="false">
      <c r="A53614" s="0" t="s">
        <v>18787</v>
      </c>
      <c r="B53614" s="0" t="str">
        <f aca="false">HYPERLINK("https://lindat.mff.cuni.cz/services/teitok/pdtc10/index.php?action=vallex&amp;frame=v-w7557f1", "vejít se (v-w7557f1)")</f>
        <v>vejít se (v-w7557f1)</v>
      </c>
    </row>
    <row r="53615" customFormat="false" ht="12.8" hidden="false" customHeight="false" outlineLevel="0" collapsed="false">
      <c r="B53615" s="0" t="s">
        <v>7</v>
      </c>
      <c r="C53615" s="0" t="s">
        <v>18788</v>
      </c>
    </row>
    <row r="53616" customFormat="false" ht="12.8" hidden="false" customHeight="false" outlineLevel="0" collapsed="false">
      <c r="B53616" s="0" t="s">
        <v>124</v>
      </c>
    </row>
    <row r="53618" customFormat="false" ht="12.8" hidden="false" customHeight="false" outlineLevel="0" collapsed="false">
      <c r="A53618" s="0" t="s">
        <v>18789</v>
      </c>
      <c r="B53618" s="0" t="str">
        <f aca="false">HYPERLINK("https://lindat.mff.cuni.cz/services/teitok/pdtc10/index.php?action=vallex&amp;frame=v-w7557f2_ZU", "vejít se (v-w7557f2_ZU)")</f>
        <v>vejít se (v-w7557f2_ZU)</v>
      </c>
    </row>
    <row r="53619" customFormat="false" ht="12.8" hidden="false" customHeight="false" outlineLevel="0" collapsed="false">
      <c r="B53619" s="0" t="s">
        <v>7</v>
      </c>
    </row>
    <row r="53620" customFormat="false" ht="12.8" hidden="false" customHeight="false" outlineLevel="0" collapsed="false">
      <c r="B53620" s="0" t="s">
        <v>1059</v>
      </c>
    </row>
    <row r="53622" customFormat="false" ht="12.8" hidden="false" customHeight="false" outlineLevel="0" collapsed="false">
      <c r="A53622" s="0" t="s">
        <v>18790</v>
      </c>
      <c r="B53622" s="0" t="str">
        <f aca="false">HYPERLINK("https://lindat.mff.cuni.cz/services/teitok/pdtc10/index.php?action=vallex&amp;frame=v-w7558f1", "velebit (v-w7558f1)")</f>
        <v>velebit (v-w7558f1)</v>
      </c>
    </row>
    <row r="53623" customFormat="false" ht="12.8" hidden="false" customHeight="false" outlineLevel="0" collapsed="false">
      <c r="B53623" s="0" t="s">
        <v>7</v>
      </c>
      <c r="C53623" s="0" t="s">
        <v>118</v>
      </c>
      <c r="D53623" s="0" t="s">
        <v>1261</v>
      </c>
      <c r="E53623" s="0" t="s">
        <v>1261</v>
      </c>
      <c r="F53623" s="0" t="s">
        <v>1261</v>
      </c>
    </row>
    <row r="53624" customFormat="false" ht="12.8" hidden="false" customHeight="false" outlineLevel="0" collapsed="false">
      <c r="B53624" s="0" t="s">
        <v>9059</v>
      </c>
      <c r="C53624" s="0" t="s">
        <v>1209</v>
      </c>
      <c r="D53624" s="0" t="s">
        <v>1262</v>
      </c>
      <c r="E53624" s="0" t="s">
        <v>1262</v>
      </c>
      <c r="F53624" s="0" t="s">
        <v>1262</v>
      </c>
    </row>
    <row r="53626" customFormat="false" ht="12.8" hidden="false" customHeight="false" outlineLevel="0" collapsed="false">
      <c r="A53626" s="0" t="s">
        <v>18791</v>
      </c>
      <c r="B53626" s="0" t="str">
        <f aca="false">HYPERLINK("https://lindat.mff.cuni.cz/services/teitok/pdtc10/index.php?action=vallex&amp;frame=v-w7561f2", "velet (v-w7561f2)")</f>
        <v>velet (v-w7561f2)</v>
      </c>
    </row>
    <row r="53627" customFormat="false" ht="12.8" hidden="false" customHeight="false" outlineLevel="0" collapsed="false">
      <c r="B53627" s="0" t="s">
        <v>7</v>
      </c>
    </row>
    <row r="53628" customFormat="false" ht="12.8" hidden="false" customHeight="false" outlineLevel="0" collapsed="false">
      <c r="B53628" s="0" t="s">
        <v>18792</v>
      </c>
    </row>
    <row r="53629" customFormat="false" ht="12.8" hidden="false" customHeight="false" outlineLevel="0" collapsed="false">
      <c r="B53629" s="0" t="s">
        <v>48</v>
      </c>
    </row>
    <row r="53631" customFormat="false" ht="12.8" hidden="false" customHeight="false" outlineLevel="0" collapsed="false">
      <c r="A53631" s="0" t="s">
        <v>18793</v>
      </c>
      <c r="B53631" s="0" t="str">
        <f aca="false">HYPERLINK("https://lindat.mff.cuni.cz/services/teitok/pdtc10/index.php?action=vallex&amp;frame=v-w7561f1", "velet (v-w7561f1)")</f>
        <v>velet (v-w7561f1)</v>
      </c>
    </row>
    <row r="53632" customFormat="false" ht="12.8" hidden="false" customHeight="false" outlineLevel="0" collapsed="false">
      <c r="B53632" s="0" t="s">
        <v>7</v>
      </c>
    </row>
    <row r="53633" customFormat="false" ht="12.8" hidden="false" customHeight="false" outlineLevel="0" collapsed="false">
      <c r="B53633" s="0" t="s">
        <v>142</v>
      </c>
    </row>
    <row r="53635" customFormat="false" ht="12.8" hidden="false" customHeight="false" outlineLevel="0" collapsed="false">
      <c r="A53635" s="0" t="s">
        <v>18794</v>
      </c>
      <c r="B53635" s="0" t="str">
        <f aca="false">HYPERLINK("https://lindat.mff.cuni.cz/services/teitok/pdtc10/index.php?action=vallex&amp;frame=v-w10742f2", "ventilovat (v-w10742f2)")</f>
        <v>ventilovat (v-w10742f2)</v>
      </c>
    </row>
    <row r="53636" customFormat="false" ht="12.8" hidden="false" customHeight="false" outlineLevel="0" collapsed="false">
      <c r="B53636" s="0" t="s">
        <v>7</v>
      </c>
      <c r="C53636" s="0" t="s">
        <v>460</v>
      </c>
    </row>
    <row r="53637" customFormat="false" ht="12.8" hidden="false" customHeight="false" outlineLevel="0" collapsed="false">
      <c r="B53637" s="0" t="s">
        <v>14</v>
      </c>
      <c r="C53637" s="0" t="s">
        <v>78</v>
      </c>
    </row>
    <row r="53639" customFormat="false" ht="12.8" hidden="false" customHeight="false" outlineLevel="0" collapsed="false">
      <c r="A53639" s="0" t="s">
        <v>18795</v>
      </c>
      <c r="B53639" s="0" t="str">
        <f aca="false">HYPERLINK("https://lindat.mff.cuni.cz/services/teitok/pdtc10/index.php?action=vallex&amp;frame=v-w10742f3_ZU", "ventilovat (v-w10742f3_ZU)")</f>
        <v>ventilovat (v-w10742f3_ZU)</v>
      </c>
    </row>
    <row r="53640" customFormat="false" ht="12.8" hidden="false" customHeight="false" outlineLevel="0" collapsed="false">
      <c r="B53640" s="0" t="s">
        <v>7</v>
      </c>
    </row>
    <row r="53641" customFormat="false" ht="12.8" hidden="false" customHeight="false" outlineLevel="0" collapsed="false">
      <c r="B53641" s="0" t="s">
        <v>14</v>
      </c>
    </row>
    <row r="53642" customFormat="false" ht="12.8" hidden="false" customHeight="false" outlineLevel="0" collapsed="false">
      <c r="B53642" s="0" t="s">
        <v>48</v>
      </c>
    </row>
    <row r="53644" customFormat="false" ht="12.8" hidden="false" customHeight="false" outlineLevel="0" collapsed="false">
      <c r="A53644" s="0" t="s">
        <v>18796</v>
      </c>
      <c r="B53644" s="0" t="str">
        <f aca="false">HYPERLINK("https://lindat.mff.cuni.cz/services/teitok/pdtc10/index.php?action=vallex&amp;frame=v-w11931_ZUf1_ZU", "venčit (v-w11931_ZUf1_ZU)")</f>
        <v>venčit (v-w11931_ZUf1_ZU)</v>
      </c>
    </row>
    <row r="53645" customFormat="false" ht="12.8" hidden="false" customHeight="false" outlineLevel="0" collapsed="false">
      <c r="B53645" s="0" t="s">
        <v>7</v>
      </c>
    </row>
    <row r="53646" customFormat="false" ht="12.8" hidden="false" customHeight="false" outlineLevel="0" collapsed="false">
      <c r="B53646" s="0" t="s">
        <v>14</v>
      </c>
    </row>
    <row r="53648" customFormat="false" ht="12.8" hidden="false" customHeight="false" outlineLevel="0" collapsed="false">
      <c r="A53648" s="0" t="s">
        <v>18797</v>
      </c>
      <c r="B53648" s="0" t="str">
        <f aca="false">HYPERLINK("https://lindat.mff.cuni.cz/services/teitok/pdtc10/index.php?action=vallex&amp;frame=v-w7571f1", "vepsat (v-w7571f1)")</f>
        <v>vepsat (v-w7571f1)</v>
      </c>
    </row>
    <row r="53649" customFormat="false" ht="12.8" hidden="false" customHeight="false" outlineLevel="0" collapsed="false">
      <c r="B53649" s="0" t="s">
        <v>7</v>
      </c>
      <c r="C53649" s="0" t="s">
        <v>191</v>
      </c>
      <c r="D53649" s="0" t="s">
        <v>18798</v>
      </c>
      <c r="E53649" s="0" t="s">
        <v>18798</v>
      </c>
      <c r="F53649" s="0" t="s">
        <v>18798</v>
      </c>
    </row>
    <row r="53650" customFormat="false" ht="12.8" hidden="false" customHeight="false" outlineLevel="0" collapsed="false">
      <c r="B53650" s="0" t="s">
        <v>54</v>
      </c>
      <c r="C53650" s="0" t="s">
        <v>47</v>
      </c>
      <c r="D53650" s="0" t="s">
        <v>2139</v>
      </c>
      <c r="E53650" s="0" t="s">
        <v>2139</v>
      </c>
      <c r="F53650" s="0" t="s">
        <v>2139</v>
      </c>
    </row>
    <row r="53651" customFormat="false" ht="12.8" hidden="false" customHeight="false" outlineLevel="0" collapsed="false">
      <c r="B53651" s="0" t="s">
        <v>124</v>
      </c>
      <c r="D53651" s="0" t="s">
        <v>18799</v>
      </c>
      <c r="E53651" s="0" t="s">
        <v>18799</v>
      </c>
      <c r="F53651" s="0" t="s">
        <v>18799</v>
      </c>
    </row>
    <row r="53653" customFormat="false" ht="12.8" hidden="false" customHeight="false" outlineLevel="0" collapsed="false">
      <c r="A53653" s="0" t="s">
        <v>18800</v>
      </c>
      <c r="B53653" s="0" t="str">
        <f aca="false">HYPERLINK("https://lindat.mff.cuni.cz/services/teitok/pdtc10/index.php?action=vallex&amp;frame=v-w7572f1", "vepsat se (v-w7572f1)")</f>
        <v>vepsat se (v-w7572f1)</v>
      </c>
    </row>
    <row r="53654" customFormat="false" ht="12.8" hidden="false" customHeight="false" outlineLevel="0" collapsed="false">
      <c r="B53654" s="0" t="s">
        <v>7</v>
      </c>
    </row>
    <row r="53655" customFormat="false" ht="12.8" hidden="false" customHeight="false" outlineLevel="0" collapsed="false">
      <c r="B53655" s="0" t="s">
        <v>124</v>
      </c>
    </row>
    <row r="53657" customFormat="false" ht="12.8" hidden="false" customHeight="false" outlineLevel="0" collapsed="false">
      <c r="A53657" s="0" t="s">
        <v>18801</v>
      </c>
      <c r="B53657" s="0" t="str">
        <f aca="false">HYPERLINK("https://lindat.mff.cuni.cz/services/teitok/pdtc10/index.php?action=vallex&amp;frame=v-w7573f1", "verbovat (v-w7573f1)")</f>
        <v>verbovat (v-w7573f1)</v>
      </c>
    </row>
    <row r="53658" customFormat="false" ht="12.8" hidden="false" customHeight="false" outlineLevel="0" collapsed="false">
      <c r="B53658" s="0" t="s">
        <v>7</v>
      </c>
      <c r="C53658" s="0" t="s">
        <v>31</v>
      </c>
      <c r="D53658" s="0" t="s">
        <v>132</v>
      </c>
      <c r="E53658" s="0" t="s">
        <v>132</v>
      </c>
      <c r="F53658" s="0" t="s">
        <v>132</v>
      </c>
    </row>
    <row r="53659" customFormat="false" ht="12.8" hidden="false" customHeight="false" outlineLevel="0" collapsed="false">
      <c r="B53659" s="0" t="s">
        <v>14</v>
      </c>
      <c r="C53659" s="0" t="s">
        <v>1170</v>
      </c>
      <c r="D53659" s="0" t="s">
        <v>6522</v>
      </c>
      <c r="E53659" s="0" t="s">
        <v>6522</v>
      </c>
      <c r="F53659" s="0" t="s">
        <v>6522</v>
      </c>
    </row>
    <row r="53661" customFormat="false" ht="12.8" hidden="false" customHeight="false" outlineLevel="0" collapsed="false">
      <c r="A53661" s="0" t="s">
        <v>18802</v>
      </c>
      <c r="B53661" s="0" t="str">
        <f aca="false">HYPERLINK("https://lindat.mff.cuni.cz/services/teitok/pdtc10/index.php?action=vallex&amp;frame=v-w7582f1", "veselit se (v-w7582f1)")</f>
        <v>veselit se (v-w7582f1)</v>
      </c>
    </row>
    <row r="53662" customFormat="false" ht="12.8" hidden="false" customHeight="false" outlineLevel="0" collapsed="false">
      <c r="B53662" s="0" t="s">
        <v>7</v>
      </c>
      <c r="D53662" s="0" t="s">
        <v>46</v>
      </c>
      <c r="E53662" s="0" t="s">
        <v>46</v>
      </c>
      <c r="F53662" s="0" t="s">
        <v>46</v>
      </c>
    </row>
    <row r="53663" customFormat="false" ht="12.8" hidden="false" customHeight="false" outlineLevel="0" collapsed="false">
      <c r="B53663" s="0" t="s">
        <v>3620</v>
      </c>
      <c r="D53663" s="0" t="s">
        <v>567</v>
      </c>
      <c r="E53663" s="0" t="s">
        <v>567</v>
      </c>
      <c r="F53663" s="0" t="s">
        <v>567</v>
      </c>
    </row>
    <row r="53665" customFormat="false" ht="12.8" hidden="false" customHeight="false" outlineLevel="0" collapsed="false">
      <c r="A53665" s="0" t="s">
        <v>18803</v>
      </c>
      <c r="B53665" s="0" t="str">
        <f aca="false">HYPERLINK("https://lindat.mff.cuni.cz/services/teitok/pdtc10/index.php?action=vallex&amp;frame=v-w10521f2", "veslovat (v-w10521f2)")</f>
        <v>veslovat (v-w10521f2)</v>
      </c>
    </row>
    <row r="53666" customFormat="false" ht="12.8" hidden="false" customHeight="false" outlineLevel="0" collapsed="false">
      <c r="B53666" s="0" t="s">
        <v>7</v>
      </c>
    </row>
    <row r="53668" customFormat="false" ht="12.8" hidden="false" customHeight="false" outlineLevel="0" collapsed="false">
      <c r="A53668" s="0" t="s">
        <v>18804</v>
      </c>
      <c r="B53668" s="0" t="str">
        <f aca="false">HYPERLINK("https://lindat.mff.cuni.cz/services/teitok/pdtc10/index.php?action=vallex&amp;frame=v-w7584f1", "vestavět (v-w7584f1)")</f>
        <v>vestavět (v-w7584f1)</v>
      </c>
    </row>
    <row r="53669" customFormat="false" ht="12.8" hidden="false" customHeight="false" outlineLevel="0" collapsed="false">
      <c r="B53669" s="0" t="s">
        <v>7</v>
      </c>
    </row>
    <row r="53670" customFormat="false" ht="12.8" hidden="false" customHeight="false" outlineLevel="0" collapsed="false">
      <c r="B53670" s="0" t="s">
        <v>14</v>
      </c>
    </row>
    <row r="53671" customFormat="false" ht="12.8" hidden="false" customHeight="false" outlineLevel="0" collapsed="false">
      <c r="B53671" s="0" t="s">
        <v>124</v>
      </c>
    </row>
    <row r="53673" customFormat="false" ht="12.8" hidden="false" customHeight="false" outlineLevel="0" collapsed="false">
      <c r="A53673" s="0" t="s">
        <v>18805</v>
      </c>
      <c r="B53673" s="0" t="str">
        <f aca="false">HYPERLINK("https://lindat.mff.cuni.cz/services/teitok/pdtc10/index.php?action=vallex&amp;frame=v-w7590f1", "vetkat (v-w7590f1)")</f>
        <v>vetkat (v-w7590f1)</v>
      </c>
    </row>
    <row r="53674" customFormat="false" ht="12.8" hidden="false" customHeight="false" outlineLevel="0" collapsed="false">
      <c r="B53674" s="0" t="s">
        <v>7</v>
      </c>
    </row>
    <row r="53675" customFormat="false" ht="12.8" hidden="false" customHeight="false" outlineLevel="0" collapsed="false">
      <c r="B53675" s="0" t="s">
        <v>14</v>
      </c>
    </row>
    <row r="53676" customFormat="false" ht="12.8" hidden="false" customHeight="false" outlineLevel="0" collapsed="false">
      <c r="B53676" s="0" t="s">
        <v>124</v>
      </c>
    </row>
    <row r="53678" customFormat="false" ht="12.8" hidden="false" customHeight="false" outlineLevel="0" collapsed="false">
      <c r="A53678" s="0" t="s">
        <v>18806</v>
      </c>
      <c r="B53678" s="0" t="str">
        <f aca="false">HYPERLINK("https://lindat.mff.cuni.cz/services/teitok/pdtc10/index.php?action=vallex&amp;frame=v-w10195f3", "vetknout (v-w10195f3)")</f>
        <v>vetknout (v-w10195f3)</v>
      </c>
    </row>
    <row r="53679" customFormat="false" ht="12.8" hidden="false" customHeight="false" outlineLevel="0" collapsed="false">
      <c r="B53679" s="0" t="s">
        <v>7</v>
      </c>
    </row>
    <row r="53680" customFormat="false" ht="12.8" hidden="false" customHeight="false" outlineLevel="0" collapsed="false">
      <c r="B53680" s="0" t="s">
        <v>14</v>
      </c>
    </row>
    <row r="53681" customFormat="false" ht="12.8" hidden="false" customHeight="false" outlineLevel="0" collapsed="false">
      <c r="B53681" s="0" t="s">
        <v>124</v>
      </c>
    </row>
    <row r="53683" customFormat="false" ht="12.8" hidden="false" customHeight="false" outlineLevel="0" collapsed="false">
      <c r="A53683" s="0" t="s">
        <v>18807</v>
      </c>
      <c r="B53683" s="0" t="str">
        <f aca="false">HYPERLINK("https://lindat.mff.cuni.cz/services/teitok/pdtc10/index.php?action=vallex&amp;frame=v-w7592f1", "vetovat (v-w7592f1)")</f>
        <v>vetovat (v-w7592f1)</v>
      </c>
    </row>
    <row r="53684" customFormat="false" ht="12.8" hidden="false" customHeight="false" outlineLevel="0" collapsed="false">
      <c r="B53684" s="0" t="s">
        <v>7</v>
      </c>
      <c r="C53684" s="0" t="s">
        <v>410</v>
      </c>
      <c r="D53684" s="0" t="s">
        <v>252</v>
      </c>
      <c r="E53684" s="0" t="s">
        <v>253</v>
      </c>
      <c r="F53684" s="0" t="s">
        <v>253</v>
      </c>
    </row>
    <row r="53685" customFormat="false" ht="12.8" hidden="false" customHeight="false" outlineLevel="0" collapsed="false">
      <c r="B53685" s="0" t="s">
        <v>14</v>
      </c>
      <c r="C53685" s="0" t="s">
        <v>4344</v>
      </c>
      <c r="D53685" s="0" t="s">
        <v>255</v>
      </c>
      <c r="E53685" s="0" t="s">
        <v>256</v>
      </c>
      <c r="F53685" s="0" t="s">
        <v>256</v>
      </c>
    </row>
    <row r="53687" customFormat="false" ht="12.8" hidden="false" customHeight="false" outlineLevel="0" collapsed="false">
      <c r="A53687" s="0" t="s">
        <v>18808</v>
      </c>
      <c r="B53687" s="0" t="str">
        <f aca="false">HYPERLINK("https://lindat.mff.cuni.cz/services/teitok/pdtc10/index.php?action=vallex&amp;frame=v-w7595f1", "vetřít se (v-w7595f1)")</f>
        <v>vetřít se (v-w7595f1)</v>
      </c>
    </row>
    <row r="53688" customFormat="false" ht="12.8" hidden="false" customHeight="false" outlineLevel="0" collapsed="false">
      <c r="B53688" s="0" t="s">
        <v>7</v>
      </c>
      <c r="D53688" s="0" t="s">
        <v>1705</v>
      </c>
      <c r="E53688" s="0" t="s">
        <v>1706</v>
      </c>
      <c r="F53688" s="0" t="s">
        <v>1706</v>
      </c>
    </row>
    <row r="53689" customFormat="false" ht="12.8" hidden="false" customHeight="false" outlineLevel="0" collapsed="false">
      <c r="B53689" s="0" t="s">
        <v>124</v>
      </c>
      <c r="C53689" s="0" t="s">
        <v>4440</v>
      </c>
      <c r="D53689" s="0" t="s">
        <v>1707</v>
      </c>
      <c r="E53689" s="0" t="s">
        <v>1707</v>
      </c>
      <c r="F53689" s="0" t="s">
        <v>1707</v>
      </c>
    </row>
    <row r="53691" customFormat="false" ht="12.8" hidden="false" customHeight="false" outlineLevel="0" collapsed="false">
      <c r="A53691" s="0" t="s">
        <v>18809</v>
      </c>
      <c r="B53691" s="0" t="str">
        <f aca="false">HYPERLINK("https://lindat.mff.cuni.cz/services/teitok/pdtc10/index.php?action=vallex&amp;frame=v-w10468f2", "večeřet (v-w10468f2)")</f>
        <v>večeřet (v-w10468f2)</v>
      </c>
    </row>
    <row r="53692" customFormat="false" ht="12.8" hidden="false" customHeight="false" outlineLevel="0" collapsed="false">
      <c r="B53692" s="0" t="s">
        <v>7</v>
      </c>
      <c r="C53692" s="0" t="s">
        <v>191</v>
      </c>
      <c r="D53692" s="0" t="s">
        <v>191</v>
      </c>
      <c r="E53692" s="0" t="s">
        <v>191</v>
      </c>
      <c r="F53692" s="0" t="s">
        <v>191</v>
      </c>
    </row>
    <row r="53693" customFormat="false" ht="12.8" hidden="false" customHeight="false" outlineLevel="0" collapsed="false">
      <c r="B53693" s="0" t="s">
        <v>14</v>
      </c>
    </row>
    <row r="53695" customFormat="false" ht="12.8" hidden="false" customHeight="false" outlineLevel="0" collapsed="false">
      <c r="A53695" s="0" t="s">
        <v>18810</v>
      </c>
      <c r="B53695" s="0" t="str">
        <f aca="false">HYPERLINK("https://lindat.mff.cuni.cz/services/teitok/pdtc10/index.php?action=vallex&amp;frame=v-w7606f1", "vhazovat (v-w7606f1)")</f>
        <v>vhazovat (v-w7606f1)</v>
      </c>
    </row>
    <row r="53696" customFormat="false" ht="12.8" hidden="false" customHeight="false" outlineLevel="0" collapsed="false">
      <c r="B53696" s="0" t="s">
        <v>7</v>
      </c>
      <c r="D53696" s="0" t="s">
        <v>1535</v>
      </c>
      <c r="E53696" s="0" t="s">
        <v>1535</v>
      </c>
      <c r="F53696" s="0" t="s">
        <v>1535</v>
      </c>
    </row>
    <row r="53697" customFormat="false" ht="12.8" hidden="false" customHeight="false" outlineLevel="0" collapsed="false">
      <c r="B53697" s="0" t="s">
        <v>14</v>
      </c>
      <c r="D53697" s="0" t="s">
        <v>18811</v>
      </c>
      <c r="E53697" s="0" t="s">
        <v>18811</v>
      </c>
      <c r="F53697" s="0" t="s">
        <v>18811</v>
      </c>
    </row>
    <row r="53698" customFormat="false" ht="12.8" hidden="false" customHeight="false" outlineLevel="0" collapsed="false">
      <c r="B53698" s="0" t="s">
        <v>124</v>
      </c>
      <c r="D53698" s="0" t="s">
        <v>14020</v>
      </c>
      <c r="E53698" s="0" t="s">
        <v>14020</v>
      </c>
      <c r="F53698" s="0" t="s">
        <v>14020</v>
      </c>
    </row>
    <row r="53700" customFormat="false" ht="12.8" hidden="false" customHeight="false" outlineLevel="0" collapsed="false">
      <c r="A53700" s="0" t="s">
        <v>18812</v>
      </c>
      <c r="B53700" s="0" t="str">
        <f aca="false">HYPERLINK("https://lindat.mff.cuni.cz/services/teitok/pdtc10/index.php?action=vallex&amp;frame=v-w12318_MMf1_MM", "vhlížet (v-w12318_MMf1_MM)")</f>
        <v>vhlížet (v-w12318_MMf1_MM)</v>
      </c>
    </row>
    <row r="53701" customFormat="false" ht="12.8" hidden="false" customHeight="false" outlineLevel="0" collapsed="false">
      <c r="B53701" s="0" t="s">
        <v>7</v>
      </c>
    </row>
    <row r="53702" customFormat="false" ht="12.8" hidden="false" customHeight="false" outlineLevel="0" collapsed="false">
      <c r="B53702" s="0" t="s">
        <v>124</v>
      </c>
    </row>
    <row r="53704" customFormat="false" ht="12.8" hidden="false" customHeight="false" outlineLevel="0" collapsed="false">
      <c r="A53704" s="0" t="s">
        <v>18813</v>
      </c>
      <c r="B53704" s="0" t="str">
        <f aca="false">HYPERLINK("https://lindat.mff.cuni.cz/services/teitok/pdtc10/index.php?action=vallex&amp;frame=v-w7607f1", "vhodit (v-w7607f1)")</f>
        <v>vhodit (v-w7607f1)</v>
      </c>
    </row>
    <row r="53705" customFormat="false" ht="12.8" hidden="false" customHeight="false" outlineLevel="0" collapsed="false">
      <c r="B53705" s="0" t="s">
        <v>7</v>
      </c>
      <c r="C53705" s="0" t="s">
        <v>191</v>
      </c>
      <c r="D53705" s="0" t="s">
        <v>569</v>
      </c>
      <c r="E53705" s="0" t="s">
        <v>569</v>
      </c>
      <c r="F53705" s="0" t="s">
        <v>569</v>
      </c>
    </row>
    <row r="53706" customFormat="false" ht="12.8" hidden="false" customHeight="false" outlineLevel="0" collapsed="false">
      <c r="B53706" s="0" t="s">
        <v>14</v>
      </c>
      <c r="D53706" s="0" t="s">
        <v>461</v>
      </c>
      <c r="E53706" s="0" t="s">
        <v>461</v>
      </c>
      <c r="F53706" s="0" t="s">
        <v>461</v>
      </c>
    </row>
    <row r="53707" customFormat="false" ht="12.8" hidden="false" customHeight="false" outlineLevel="0" collapsed="false">
      <c r="B53707" s="0" t="s">
        <v>124</v>
      </c>
      <c r="C53707" s="0" t="s">
        <v>4127</v>
      </c>
    </row>
    <row r="53709" customFormat="false" ht="12.8" hidden="false" customHeight="false" outlineLevel="0" collapsed="false">
      <c r="A53709" s="0" t="s">
        <v>18814</v>
      </c>
      <c r="B53709" s="0" t="str">
        <f aca="false">HYPERLINK("https://lindat.mff.cuni.cz/services/teitok/pdtc10/index.php?action=vallex&amp;frame=v-whsa_827hsa_828", "vhánět (v-whsa_827hsa_828)")</f>
        <v>vhánět (v-whsa_827hsa_828)</v>
      </c>
    </row>
    <row r="53710" customFormat="false" ht="12.8" hidden="false" customHeight="false" outlineLevel="0" collapsed="false">
      <c r="B53710" s="0" t="s">
        <v>7</v>
      </c>
    </row>
    <row r="53711" customFormat="false" ht="12.8" hidden="false" customHeight="false" outlineLevel="0" collapsed="false">
      <c r="B53711" s="0" t="s">
        <v>14</v>
      </c>
    </row>
    <row r="53712" customFormat="false" ht="12.8" hidden="false" customHeight="false" outlineLevel="0" collapsed="false">
      <c r="B53712" s="0" t="s">
        <v>124</v>
      </c>
    </row>
    <row r="53714" customFormat="false" ht="12.8" hidden="false" customHeight="false" outlineLevel="0" collapsed="false">
      <c r="A53714" s="0" t="s">
        <v>18815</v>
      </c>
      <c r="B53714" s="0" t="str">
        <f aca="false">HYPERLINK("https://lindat.mff.cuni.cz/services/teitok/pdtc10/index.php?action=vallex&amp;frame=v-w7612f17_ZU", "vidět (v-w7612f17_ZU)")</f>
        <v>vidět (v-w7612f17_ZU)</v>
      </c>
    </row>
    <row r="53715" customFormat="false" ht="12.8" hidden="false" customHeight="false" outlineLevel="0" collapsed="false">
      <c r="B53715" s="0" t="s">
        <v>7</v>
      </c>
      <c r="C53715" s="0" t="s">
        <v>2530</v>
      </c>
    </row>
    <row r="53716" customFormat="false" ht="12.8" hidden="false" customHeight="false" outlineLevel="0" collapsed="false">
      <c r="B53716" s="0" t="s">
        <v>54</v>
      </c>
      <c r="C53716" s="0" t="s">
        <v>6202</v>
      </c>
    </row>
    <row r="53717" customFormat="false" ht="12.8" hidden="false" customHeight="false" outlineLevel="0" collapsed="false">
      <c r="B53717" s="0" t="s">
        <v>18816</v>
      </c>
      <c r="C53717" s="0" t="s">
        <v>18817</v>
      </c>
    </row>
    <row r="53719" customFormat="false" ht="12.8" hidden="false" customHeight="false" outlineLevel="0" collapsed="false">
      <c r="A53719" s="0" t="s">
        <v>18815</v>
      </c>
      <c r="B53719" s="0" t="str">
        <f aca="false">HYPERLINK("https://lindat.mff.cuni.cz/services/teitok/pdtc10/index.php?action=vallex&amp;frame=v-w7612f2", "vidět (v-w7612f2) - substituted with v-w7612f17_ZU")</f>
        <v>vidět (v-w7612f2) - substituted with v-w7612f17_ZU</v>
      </c>
    </row>
    <row r="53720" customFormat="false" ht="12.8" hidden="false" customHeight="false" outlineLevel="0" collapsed="false">
      <c r="B53720" s="0" t="s">
        <v>7</v>
      </c>
      <c r="C53720" s="0" t="s">
        <v>18818</v>
      </c>
    </row>
    <row r="53721" customFormat="false" ht="12.8" hidden="false" customHeight="false" outlineLevel="0" collapsed="false">
      <c r="B53721" s="0" t="s">
        <v>54</v>
      </c>
      <c r="C53721" s="0" t="s">
        <v>18819</v>
      </c>
    </row>
    <row r="53722" customFormat="false" ht="12.8" hidden="false" customHeight="false" outlineLevel="0" collapsed="false">
      <c r="B53722" s="0" t="s">
        <v>18816</v>
      </c>
      <c r="C53722" s="0" t="s">
        <v>18820</v>
      </c>
    </row>
    <row r="53724" customFormat="false" ht="12.8" hidden="false" customHeight="false" outlineLevel="0" collapsed="false">
      <c r="A53724" s="0" t="s">
        <v>18821</v>
      </c>
      <c r="B53724" s="0" t="str">
        <f aca="false">HYPERLINK("https://lindat.mff.cuni.cz/services/teitok/pdtc10/index.php?action=vallex&amp;frame=v-w7612f4", "vidět (v-w7612f4)")</f>
        <v>vidět (v-w7612f4)</v>
      </c>
    </row>
    <row r="53725" customFormat="false" ht="12.8" hidden="false" customHeight="false" outlineLevel="0" collapsed="false">
      <c r="B53725" s="0" t="s">
        <v>7</v>
      </c>
      <c r="C53725" s="0" t="s">
        <v>18822</v>
      </c>
      <c r="D53725" s="0" t="s">
        <v>451</v>
      </c>
      <c r="E53725" s="0" t="s">
        <v>451</v>
      </c>
      <c r="F53725" s="0" t="s">
        <v>451</v>
      </c>
    </row>
    <row r="53726" customFormat="false" ht="12.8" hidden="false" customHeight="false" outlineLevel="0" collapsed="false">
      <c r="B53726" s="0" t="s">
        <v>14</v>
      </c>
      <c r="C53726" s="0" t="s">
        <v>18823</v>
      </c>
      <c r="D53726" s="0" t="s">
        <v>453</v>
      </c>
      <c r="E53726" s="0" t="s">
        <v>453</v>
      </c>
      <c r="F53726" s="0" t="s">
        <v>453</v>
      </c>
    </row>
    <row r="53727" customFormat="false" ht="12.8" hidden="false" customHeight="false" outlineLevel="0" collapsed="false">
      <c r="B53727" s="0" t="s">
        <v>1358</v>
      </c>
      <c r="C53727" s="0" t="s">
        <v>18824</v>
      </c>
      <c r="D53727" s="0" t="s">
        <v>455</v>
      </c>
      <c r="E53727" s="0" t="s">
        <v>455</v>
      </c>
      <c r="F53727" s="0" t="s">
        <v>455</v>
      </c>
    </row>
    <row r="53729" customFormat="false" ht="12.8" hidden="false" customHeight="false" outlineLevel="0" collapsed="false">
      <c r="A53729" s="0" t="s">
        <v>18825</v>
      </c>
      <c r="B53729" s="0" t="str">
        <f aca="false">HYPERLINK("https://lindat.mff.cuni.cz/services/teitok/pdtc10/index.php?action=vallex&amp;frame=v-w7612f23_ZU", "vidět (v-w7612f23_ZU)")</f>
        <v>vidět (v-w7612f23_ZU)</v>
      </c>
    </row>
    <row r="53730" customFormat="false" ht="12.8" hidden="false" customHeight="false" outlineLevel="0" collapsed="false">
      <c r="B53730" s="0" t="s">
        <v>7</v>
      </c>
    </row>
    <row r="53731" customFormat="false" ht="12.8" hidden="false" customHeight="false" outlineLevel="0" collapsed="false">
      <c r="B53731" s="0" t="s">
        <v>14</v>
      </c>
    </row>
    <row r="53732" customFormat="false" ht="12.8" hidden="false" customHeight="false" outlineLevel="0" collapsed="false">
      <c r="B53732" s="0" t="s">
        <v>18826</v>
      </c>
    </row>
    <row r="53734" customFormat="false" ht="12.8" hidden="false" customHeight="false" outlineLevel="0" collapsed="false">
      <c r="A53734" s="0" t="s">
        <v>18825</v>
      </c>
      <c r="B53734" s="0" t="str">
        <f aca="false">HYPERLINK("https://lindat.mff.cuni.cz/services/teitok/pdtc10/index.php?action=vallex&amp;frame=v-w7612f5", "vidět (v-w7612f5) - substituted with v-w7612f23_ZU")</f>
        <v>vidět (v-w7612f5) - substituted with v-w7612f23_ZU</v>
      </c>
    </row>
    <row r="53735" customFormat="false" ht="12.8" hidden="false" customHeight="false" outlineLevel="0" collapsed="false">
      <c r="B53735" s="0" t="s">
        <v>7</v>
      </c>
      <c r="C53735" s="0" t="s">
        <v>845</v>
      </c>
      <c r="D53735" s="0" t="s">
        <v>16156</v>
      </c>
      <c r="E53735" s="0" t="s">
        <v>16156</v>
      </c>
      <c r="F53735" s="0" t="s">
        <v>16156</v>
      </c>
    </row>
    <row r="53736" customFormat="false" ht="12.8" hidden="false" customHeight="false" outlineLevel="0" collapsed="false">
      <c r="B53736" s="0" t="s">
        <v>14</v>
      </c>
      <c r="D53736" s="0" t="s">
        <v>16158</v>
      </c>
      <c r="E53736" s="0" t="s">
        <v>16158</v>
      </c>
      <c r="F53736" s="0" t="s">
        <v>16158</v>
      </c>
    </row>
    <row r="53737" customFormat="false" ht="12.8" hidden="false" customHeight="false" outlineLevel="0" collapsed="false">
      <c r="B53737" s="0" t="s">
        <v>18826</v>
      </c>
      <c r="C53737" s="0" t="s">
        <v>16160</v>
      </c>
    </row>
    <row r="53739" customFormat="false" ht="12.8" hidden="false" customHeight="false" outlineLevel="0" collapsed="false">
      <c r="A53739" s="0" t="s">
        <v>18827</v>
      </c>
      <c r="B53739" s="0" t="str">
        <f aca="false">HYPERLINK("https://lindat.mff.cuni.cz/services/teitok/pdtc10/index.php?action=vallex&amp;frame=v-w7612f9", "vidět (v-w7612f9)")</f>
        <v>vidět (v-w7612f9)</v>
      </c>
    </row>
    <row r="53740" customFormat="false" ht="12.8" hidden="false" customHeight="false" outlineLevel="0" collapsed="false">
      <c r="B53740" s="0" t="s">
        <v>7</v>
      </c>
    </row>
    <row r="53741" customFormat="false" ht="12.8" hidden="false" customHeight="false" outlineLevel="0" collapsed="false">
      <c r="B53741" s="0" t="s">
        <v>142</v>
      </c>
    </row>
    <row r="53742" customFormat="false" ht="12.8" hidden="false" customHeight="false" outlineLevel="0" collapsed="false">
      <c r="B53742" s="0" t="s">
        <v>124</v>
      </c>
    </row>
    <row r="53744" customFormat="false" ht="12.8" hidden="false" customHeight="false" outlineLevel="0" collapsed="false">
      <c r="A53744" s="0" t="s">
        <v>18828</v>
      </c>
      <c r="B53744" s="0" t="str">
        <f aca="false">HYPERLINK("https://lindat.mff.cuni.cz/services/teitok/pdtc10/index.php?action=vallex&amp;frame=v-w7612f8", "vidět (v-w7612f8)")</f>
        <v>vidět (v-w7612f8)</v>
      </c>
    </row>
    <row r="53745" customFormat="false" ht="12.8" hidden="false" customHeight="false" outlineLevel="0" collapsed="false">
      <c r="B53745" s="0" t="s">
        <v>7</v>
      </c>
    </row>
    <row r="53746" customFormat="false" ht="12.8" hidden="false" customHeight="false" outlineLevel="0" collapsed="false">
      <c r="B53746" s="0" t="s">
        <v>548</v>
      </c>
    </row>
    <row r="53747" customFormat="false" ht="12.8" hidden="false" customHeight="false" outlineLevel="0" collapsed="false">
      <c r="B53747" s="0" t="s">
        <v>1252</v>
      </c>
    </row>
    <row r="53749" customFormat="false" ht="12.8" hidden="false" customHeight="false" outlineLevel="0" collapsed="false">
      <c r="A53749" s="0" t="s">
        <v>18829</v>
      </c>
      <c r="B53749" s="0" t="str">
        <f aca="false">HYPERLINK("https://lindat.mff.cuni.cz/services/teitok/pdtc10/index.php?action=vallex&amp;frame=v-w7612f22_ZU", "vidět (v-w7612f22_ZU)")</f>
        <v>vidět (v-w7612f22_ZU)</v>
      </c>
    </row>
    <row r="53750" customFormat="false" ht="12.8" hidden="false" customHeight="false" outlineLevel="0" collapsed="false">
      <c r="B53750" s="0" t="s">
        <v>7</v>
      </c>
    </row>
    <row r="53751" customFormat="false" ht="12.8" hidden="false" customHeight="false" outlineLevel="0" collapsed="false">
      <c r="B53751" s="0" t="s">
        <v>18830</v>
      </c>
    </row>
    <row r="53753" customFormat="false" ht="12.8" hidden="false" customHeight="false" outlineLevel="0" collapsed="false">
      <c r="A53753" s="0" t="s">
        <v>18829</v>
      </c>
      <c r="B53753" s="0" t="str">
        <f aca="false">HYPERLINK("https://lindat.mff.cuni.cz/services/teitok/pdtc10/index.php?action=vallex&amp;frame=v-w7612f7", "vidět (v-w7612f7) - substituted with v-w7612f22_ZU")</f>
        <v>vidět (v-w7612f7) - substituted with v-w7612f22_ZU</v>
      </c>
    </row>
    <row r="53754" customFormat="false" ht="12.8" hidden="false" customHeight="false" outlineLevel="0" collapsed="false">
      <c r="B53754" s="0" t="s">
        <v>7</v>
      </c>
      <c r="C53754" s="0" t="s">
        <v>845</v>
      </c>
    </row>
    <row r="53755" customFormat="false" ht="12.8" hidden="false" customHeight="false" outlineLevel="0" collapsed="false">
      <c r="B53755" s="0" t="s">
        <v>18830</v>
      </c>
      <c r="C53755" s="0" t="s">
        <v>2726</v>
      </c>
    </row>
    <row r="53757" customFormat="false" ht="12.8" hidden="false" customHeight="false" outlineLevel="0" collapsed="false">
      <c r="A53757" s="0" t="s">
        <v>18831</v>
      </c>
      <c r="B53757" s="0" t="str">
        <f aca="false">HYPERLINK("https://lindat.mff.cuni.cz/services/teitok/pdtc10/index.php?action=vallex&amp;frame=v-w7612f20_ZU", "vidět (v-w7612f20_ZU)")</f>
        <v>vidět (v-w7612f20_ZU)</v>
      </c>
    </row>
    <row r="53758" customFormat="false" ht="12.8" hidden="false" customHeight="false" outlineLevel="0" collapsed="false">
      <c r="B53758" s="0" t="s">
        <v>7</v>
      </c>
    </row>
    <row r="53759" customFormat="false" ht="12.8" hidden="false" customHeight="false" outlineLevel="0" collapsed="false">
      <c r="B53759" s="0" t="s">
        <v>18832</v>
      </c>
    </row>
    <row r="53761" customFormat="false" ht="12.8" hidden="false" customHeight="false" outlineLevel="0" collapsed="false">
      <c r="A53761" s="0" t="s">
        <v>18831</v>
      </c>
      <c r="B53761" s="0" t="str">
        <f aca="false">HYPERLINK("https://lindat.mff.cuni.cz/services/teitok/pdtc10/index.php?action=vallex&amp;frame=v-w7612f1", "vidět (v-w7612f1) - substituted with v-w7612f20_ZU")</f>
        <v>vidět (v-w7612f1) - substituted with v-w7612f20_ZU</v>
      </c>
    </row>
    <row r="53762" customFormat="false" ht="12.8" hidden="false" customHeight="false" outlineLevel="0" collapsed="false">
      <c r="B53762" s="0" t="s">
        <v>7</v>
      </c>
      <c r="C53762" s="0" t="s">
        <v>18833</v>
      </c>
    </row>
    <row r="53763" customFormat="false" ht="12.8" hidden="false" customHeight="false" outlineLevel="0" collapsed="false">
      <c r="B53763" s="0" t="s">
        <v>18832</v>
      </c>
      <c r="C53763" s="0" t="s">
        <v>18834</v>
      </c>
    </row>
    <row r="53765" customFormat="false" ht="12.8" hidden="false" customHeight="false" outlineLevel="0" collapsed="false">
      <c r="A53765" s="0" t="s">
        <v>18831</v>
      </c>
      <c r="B53765" s="0" t="str">
        <f aca="false">HYPERLINK("https://lindat.mff.cuni.cz/services/teitok/pdtc10/index.php?action=vallex&amp;frame=v-w7612f15_ZU", "vidět (v-w7612f15_ZU) - substituted with v-w7612f20_ZU")</f>
        <v>vidět (v-w7612f15_ZU) - substituted with v-w7612f20_ZU</v>
      </c>
    </row>
    <row r="53766" customFormat="false" ht="12.8" hidden="false" customHeight="false" outlineLevel="0" collapsed="false">
      <c r="B53766" s="0" t="s">
        <v>7</v>
      </c>
      <c r="C53766" s="0" t="s">
        <v>845</v>
      </c>
    </row>
    <row r="53767" customFormat="false" ht="12.8" hidden="false" customHeight="false" outlineLevel="0" collapsed="false">
      <c r="B53767" s="0" t="s">
        <v>18832</v>
      </c>
      <c r="C53767" s="0" t="s">
        <v>2726</v>
      </c>
    </row>
    <row r="53769" customFormat="false" ht="12.8" hidden="false" customHeight="false" outlineLevel="0" collapsed="false">
      <c r="A53769" s="0" t="s">
        <v>18831</v>
      </c>
      <c r="B53769" s="0" t="str">
        <f aca="false">HYPERLINK("https://lindat.mff.cuni.cz/services/teitok/pdtc10/index.php?action=vallex&amp;frame=v-w7612f16_ZU", "vidět (v-w7612f16_ZU) - substituted with v-w7612f20_ZU")</f>
        <v>vidět (v-w7612f16_ZU) - substituted with v-w7612f20_ZU</v>
      </c>
    </row>
    <row r="53770" customFormat="false" ht="12.8" hidden="false" customHeight="false" outlineLevel="0" collapsed="false">
      <c r="B53770" s="0" t="s">
        <v>7</v>
      </c>
      <c r="C53770" s="0" t="s">
        <v>845</v>
      </c>
      <c r="D53770" s="0" t="s">
        <v>16156</v>
      </c>
      <c r="E53770" s="0" t="s">
        <v>16156</v>
      </c>
      <c r="F53770" s="0" t="s">
        <v>16156</v>
      </c>
    </row>
    <row r="53771" customFormat="false" ht="12.8" hidden="false" customHeight="false" outlineLevel="0" collapsed="false">
      <c r="B53771" s="0" t="s">
        <v>18832</v>
      </c>
      <c r="C53771" s="0" t="s">
        <v>2726</v>
      </c>
      <c r="D53771" s="0" t="s">
        <v>16158</v>
      </c>
      <c r="E53771" s="0" t="s">
        <v>16158</v>
      </c>
      <c r="F53771" s="0" t="s">
        <v>16158</v>
      </c>
    </row>
    <row r="53773" customFormat="false" ht="12.8" hidden="false" customHeight="false" outlineLevel="0" collapsed="false">
      <c r="A53773" s="0" t="s">
        <v>18831</v>
      </c>
      <c r="B53773" s="0" t="str">
        <f aca="false">HYPERLINK("https://lindat.mff.cuni.cz/services/teitok/pdtc10/index.php?action=vallex&amp;frame=v-w7612f19_ZU", "vidět (v-w7612f19_ZU) - substituted with v-w7612f20_ZU")</f>
        <v>vidět (v-w7612f19_ZU) - substituted with v-w7612f20_ZU</v>
      </c>
    </row>
    <row r="53774" customFormat="false" ht="12.8" hidden="false" customHeight="false" outlineLevel="0" collapsed="false">
      <c r="B53774" s="0" t="s">
        <v>7</v>
      </c>
    </row>
    <row r="53775" customFormat="false" ht="12.8" hidden="false" customHeight="false" outlineLevel="0" collapsed="false">
      <c r="B53775" s="0" t="s">
        <v>18832</v>
      </c>
    </row>
    <row r="53777" customFormat="false" ht="12.8" hidden="false" customHeight="false" outlineLevel="0" collapsed="false">
      <c r="A53777" s="0" t="s">
        <v>18835</v>
      </c>
      <c r="B53777" s="0" t="str">
        <f aca="false">HYPERLINK("https://lindat.mff.cuni.cz/services/teitok/pdtc10/index.php?action=vallex&amp;frame=v-w7612f11", "vidět (v-w7612f11)")</f>
        <v>vidět (v-w7612f11)</v>
      </c>
    </row>
    <row r="53778" customFormat="false" ht="12.8" hidden="false" customHeight="false" outlineLevel="0" collapsed="false">
      <c r="B53778" s="0" t="s">
        <v>7</v>
      </c>
      <c r="C53778" s="0" t="s">
        <v>845</v>
      </c>
    </row>
    <row r="53779" customFormat="false" ht="12.8" hidden="false" customHeight="false" outlineLevel="0" collapsed="false">
      <c r="B53779" s="0" t="s">
        <v>232</v>
      </c>
      <c r="C53779" s="0" t="s">
        <v>2726</v>
      </c>
    </row>
    <row r="53781" customFormat="false" ht="12.8" hidden="false" customHeight="false" outlineLevel="0" collapsed="false">
      <c r="A53781" s="0" t="s">
        <v>18836</v>
      </c>
      <c r="B53781" s="0" t="str">
        <f aca="false">HYPERLINK("https://lindat.mff.cuni.cz/services/teitok/pdtc10/index.php?action=vallex&amp;frame=v-w7612f18_ZU", "vidět (v-w7612f18_ZU)")</f>
        <v>vidět (v-w7612f18_ZU)</v>
      </c>
    </row>
    <row r="53782" customFormat="false" ht="12.8" hidden="false" customHeight="false" outlineLevel="0" collapsed="false">
      <c r="B53782" s="0" t="s">
        <v>7</v>
      </c>
      <c r="C53782" s="0" t="s">
        <v>845</v>
      </c>
    </row>
    <row r="53783" customFormat="false" ht="12.8" hidden="false" customHeight="false" outlineLevel="0" collapsed="false">
      <c r="B53783" s="0" t="s">
        <v>14</v>
      </c>
      <c r="C53783" s="0" t="s">
        <v>2726</v>
      </c>
    </row>
    <row r="53784" customFormat="false" ht="12.8" hidden="false" customHeight="false" outlineLevel="0" collapsed="false">
      <c r="B53784" s="0" t="s">
        <v>474</v>
      </c>
    </row>
    <row r="53785" customFormat="false" ht="12.8" hidden="false" customHeight="false" outlineLevel="0" collapsed="false">
      <c r="B53785" s="0" t="s">
        <v>479</v>
      </c>
    </row>
    <row r="53786" customFormat="false" ht="12.8" hidden="false" customHeight="false" outlineLevel="0" collapsed="false">
      <c r="B53786" s="0" t="s">
        <v>483</v>
      </c>
    </row>
    <row r="53787" customFormat="false" ht="12.8" hidden="false" customHeight="false" outlineLevel="0" collapsed="false">
      <c r="B53787" s="0" t="s">
        <v>477</v>
      </c>
    </row>
    <row r="53789" customFormat="false" ht="12.8" hidden="false" customHeight="false" outlineLevel="0" collapsed="false">
      <c r="A53789" s="0" t="s">
        <v>18836</v>
      </c>
      <c r="B53789" s="0" t="str">
        <f aca="false">HYPERLINK("https://lindat.mff.cuni.cz/services/teitok/pdtc10/index.php?action=vallex&amp;frame=v-w7612f3", "vidět (v-w7612f3) - substituted with v-w7612f18_ZU")</f>
        <v>vidět (v-w7612f3) - substituted with v-w7612f18_ZU</v>
      </c>
    </row>
    <row r="53790" customFormat="false" ht="12.8" hidden="false" customHeight="false" outlineLevel="0" collapsed="false">
      <c r="B53790" s="0" t="s">
        <v>7</v>
      </c>
      <c r="C53790" s="0" t="s">
        <v>18837</v>
      </c>
    </row>
    <row r="53791" customFormat="false" ht="12.8" hidden="false" customHeight="false" outlineLevel="0" collapsed="false">
      <c r="B53791" s="0" t="s">
        <v>14</v>
      </c>
      <c r="C53791" s="0" t="s">
        <v>18838</v>
      </c>
    </row>
    <row r="53792" customFormat="false" ht="12.8" hidden="false" customHeight="false" outlineLevel="0" collapsed="false">
      <c r="B53792" s="0" t="s">
        <v>474</v>
      </c>
    </row>
    <row r="53793" customFormat="false" ht="12.8" hidden="false" customHeight="false" outlineLevel="0" collapsed="false">
      <c r="B53793" s="0" t="s">
        <v>479</v>
      </c>
    </row>
    <row r="53794" customFormat="false" ht="12.8" hidden="false" customHeight="false" outlineLevel="0" collapsed="false">
      <c r="B53794" s="0" t="s">
        <v>483</v>
      </c>
    </row>
    <row r="53795" customFormat="false" ht="12.8" hidden="false" customHeight="false" outlineLevel="0" collapsed="false">
      <c r="B53795" s="0" t="s">
        <v>477</v>
      </c>
    </row>
    <row r="53797" customFormat="false" ht="12.8" hidden="false" customHeight="false" outlineLevel="0" collapsed="false">
      <c r="A53797" s="0" t="s">
        <v>18839</v>
      </c>
      <c r="B53797" s="0" t="str">
        <f aca="false">HYPERLINK("https://lindat.mff.cuni.cz/services/teitok/pdtc10/index.php?action=vallex&amp;frame=v-w7612f12", "vidět (v-w7612f12)")</f>
        <v>vidět (v-w7612f12)</v>
      </c>
    </row>
    <row r="53798" customFormat="false" ht="12.8" hidden="false" customHeight="false" outlineLevel="0" collapsed="false">
      <c r="B53798" s="0" t="s">
        <v>7</v>
      </c>
      <c r="C53798" s="0" t="s">
        <v>46</v>
      </c>
      <c r="D53798" s="0" t="s">
        <v>3610</v>
      </c>
      <c r="E53798" s="0" t="s">
        <v>3610</v>
      </c>
      <c r="F53798" s="0" t="s">
        <v>3610</v>
      </c>
    </row>
    <row r="53799" customFormat="false" ht="12.8" hidden="false" customHeight="false" outlineLevel="0" collapsed="false">
      <c r="B53799" s="0" t="s">
        <v>985</v>
      </c>
      <c r="D53799" s="0" t="s">
        <v>4163</v>
      </c>
      <c r="E53799" s="0" t="s">
        <v>4163</v>
      </c>
      <c r="F53799" s="0" t="s">
        <v>4163</v>
      </c>
    </row>
    <row r="53801" customFormat="false" ht="12.8" hidden="false" customHeight="false" outlineLevel="0" collapsed="false">
      <c r="A53801" s="0" t="s">
        <v>18840</v>
      </c>
      <c r="B53801" s="0" t="str">
        <f aca="false">HYPERLINK("https://lindat.mff.cuni.cz/services/teitok/pdtc10/index.php?action=vallex&amp;frame=v-w7612f6", "vidět (v-w7612f6)")</f>
        <v>vidět (v-w7612f6)</v>
      </c>
    </row>
    <row r="53802" customFormat="false" ht="12.8" hidden="false" customHeight="false" outlineLevel="0" collapsed="false">
      <c r="B53802" s="0" t="s">
        <v>7</v>
      </c>
    </row>
    <row r="53803" customFormat="false" ht="12.8" hidden="false" customHeight="false" outlineLevel="0" collapsed="false">
      <c r="B53803" s="0" t="s">
        <v>124</v>
      </c>
    </row>
    <row r="53805" customFormat="false" ht="12.8" hidden="false" customHeight="false" outlineLevel="0" collapsed="false">
      <c r="A53805" s="0" t="s">
        <v>18841</v>
      </c>
      <c r="B53805" s="0" t="str">
        <f aca="false">HYPERLINK("https://lindat.mff.cuni.cz/services/teitok/pdtc10/index.php?action=vallex&amp;frame=v-w7612f10", "vidět (v-w7612f10)")</f>
        <v>vidět (v-w7612f10)</v>
      </c>
    </row>
    <row r="53806" customFormat="false" ht="12.8" hidden="false" customHeight="false" outlineLevel="0" collapsed="false">
      <c r="B53806" s="0" t="s">
        <v>7</v>
      </c>
    </row>
    <row r="53807" customFormat="false" ht="12.8" hidden="false" customHeight="false" outlineLevel="0" collapsed="false">
      <c r="B53807" s="0" t="s">
        <v>18842</v>
      </c>
    </row>
    <row r="53808" customFormat="false" ht="12.8" hidden="false" customHeight="false" outlineLevel="0" collapsed="false">
      <c r="B53808" s="0" t="s">
        <v>172</v>
      </c>
    </row>
    <row r="53810" customFormat="false" ht="12.8" hidden="false" customHeight="false" outlineLevel="0" collapsed="false">
      <c r="A53810" s="0" t="s">
        <v>18843</v>
      </c>
      <c r="B53810" s="0" t="str">
        <f aca="false">HYPERLINK("https://lindat.mff.cuni.cz/services/teitok/pdtc10/index.php?action=vallex&amp;frame=v-w7612f13", "vidět (v-w7612f13)")</f>
        <v>vidět (v-w7612f13)</v>
      </c>
    </row>
    <row r="53811" customFormat="false" ht="12.8" hidden="false" customHeight="false" outlineLevel="0" collapsed="false">
      <c r="B53811" s="0" t="s">
        <v>7</v>
      </c>
    </row>
    <row r="53812" customFormat="false" ht="12.8" hidden="false" customHeight="false" outlineLevel="0" collapsed="false">
      <c r="B53812" s="0" t="s">
        <v>18844</v>
      </c>
    </row>
    <row r="53813" customFormat="false" ht="12.8" hidden="false" customHeight="false" outlineLevel="0" collapsed="false">
      <c r="B53813" s="0" t="s">
        <v>14</v>
      </c>
    </row>
    <row r="53815" customFormat="false" ht="12.8" hidden="false" customHeight="false" outlineLevel="0" collapsed="false">
      <c r="A53815" s="0" t="s">
        <v>18845</v>
      </c>
      <c r="B53815" s="0" t="str">
        <f aca="false">HYPERLINK("https://lindat.mff.cuni.cz/services/teitok/pdtc10/index.php?action=vallex&amp;frame=v-w7612f14_ZU", "vidět (v-w7612f14_ZU)")</f>
        <v>vidět (v-w7612f14_ZU)</v>
      </c>
    </row>
    <row r="53816" customFormat="false" ht="12.8" hidden="false" customHeight="false" outlineLevel="0" collapsed="false">
      <c r="B53816" s="0" t="s">
        <v>7</v>
      </c>
      <c r="C53816" s="0" t="s">
        <v>845</v>
      </c>
    </row>
    <row r="53817" customFormat="false" ht="12.8" hidden="false" customHeight="false" outlineLevel="0" collapsed="false">
      <c r="B53817" s="0" t="s">
        <v>232</v>
      </c>
      <c r="C53817" s="0" t="s">
        <v>2726</v>
      </c>
    </row>
    <row r="53818" customFormat="false" ht="12.8" hidden="false" customHeight="false" outlineLevel="0" collapsed="false">
      <c r="B53818" s="0" t="s">
        <v>18846</v>
      </c>
    </row>
    <row r="53820" customFormat="false" ht="12.8" hidden="false" customHeight="false" outlineLevel="0" collapsed="false">
      <c r="A53820" s="0" t="s">
        <v>18847</v>
      </c>
      <c r="B53820" s="0" t="str">
        <f aca="false">HYPERLINK("https://lindat.mff.cuni.cz/services/teitok/pdtc10/index.php?action=vallex&amp;frame=v-w7612f21_ZU", "vidět (v-w7612f21_ZU)")</f>
        <v>vidět (v-w7612f21_ZU)</v>
      </c>
    </row>
    <row r="53821" customFormat="false" ht="12.8" hidden="false" customHeight="false" outlineLevel="0" collapsed="false">
      <c r="B53821" s="0" t="s">
        <v>7</v>
      </c>
    </row>
    <row r="53822" customFormat="false" ht="12.8" hidden="false" customHeight="false" outlineLevel="0" collapsed="false">
      <c r="B53822" s="0" t="s">
        <v>4072</v>
      </c>
    </row>
    <row r="53823" customFormat="false" ht="12.8" hidden="false" customHeight="false" outlineLevel="0" collapsed="false">
      <c r="B53823" s="0" t="s">
        <v>142</v>
      </c>
    </row>
    <row r="53825" customFormat="false" ht="12.8" hidden="false" customHeight="false" outlineLevel="0" collapsed="false">
      <c r="A53825" s="0" t="s">
        <v>18848</v>
      </c>
      <c r="B53825" s="0" t="str">
        <f aca="false">HYPERLINK("https://lindat.mff.cuni.cz/services/teitok/pdtc10/index.php?action=vallex&amp;frame=v-w7612hsa_1040", "vidět (v-w7612hsa_1040)")</f>
        <v>vidět (v-w7612hsa_1040)</v>
      </c>
    </row>
    <row r="53826" customFormat="false" ht="12.8" hidden="false" customHeight="false" outlineLevel="0" collapsed="false">
      <c r="B53826" s="0" t="s">
        <v>7</v>
      </c>
    </row>
    <row r="53828" customFormat="false" ht="12.8" hidden="false" customHeight="false" outlineLevel="0" collapsed="false">
      <c r="A53828" s="0" t="s">
        <v>18849</v>
      </c>
      <c r="B53828" s="0" t="str">
        <f aca="false">HYPERLINK("https://lindat.mff.cuni.cz/services/teitok/pdtc10/index.php?action=vallex&amp;frame=v-w7612hsa_1041", "vidět (v-w7612hsa_1041)")</f>
        <v>vidět (v-w7612hsa_1041)</v>
      </c>
    </row>
    <row r="53829" customFormat="false" ht="12.8" hidden="false" customHeight="false" outlineLevel="0" collapsed="false">
      <c r="B53829" s="0" t="s">
        <v>7</v>
      </c>
    </row>
    <row r="53830" customFormat="false" ht="12.8" hidden="false" customHeight="false" outlineLevel="0" collapsed="false">
      <c r="B53830" s="0" t="s">
        <v>18850</v>
      </c>
    </row>
    <row r="53831" customFormat="false" ht="12.8" hidden="false" customHeight="false" outlineLevel="0" collapsed="false">
      <c r="B53831" s="0" t="s">
        <v>18851</v>
      </c>
    </row>
    <row r="53833" customFormat="false" ht="12.8" hidden="false" customHeight="false" outlineLevel="0" collapsed="false">
      <c r="A53833" s="0" t="s">
        <v>18852</v>
      </c>
      <c r="B53833" s="0" t="str">
        <f aca="false">HYPERLINK("https://lindat.mff.cuni.cz/services/teitok/pdtc10/index.php?action=vallex&amp;frame=v-w7613f1", "vidět se (v-w7613f1)")</f>
        <v>vidět se (v-w7613f1)</v>
      </c>
    </row>
    <row r="53834" customFormat="false" ht="12.8" hidden="false" customHeight="false" outlineLevel="0" collapsed="false">
      <c r="B53834" s="0" t="s">
        <v>7</v>
      </c>
    </row>
    <row r="53835" customFormat="false" ht="12.8" hidden="false" customHeight="false" outlineLevel="0" collapsed="false">
      <c r="B53835" s="0" t="s">
        <v>387</v>
      </c>
    </row>
    <row r="53837" customFormat="false" ht="12.8" hidden="false" customHeight="false" outlineLevel="0" collapsed="false">
      <c r="A53837" s="0" t="s">
        <v>18853</v>
      </c>
      <c r="B53837" s="0" t="str">
        <f aca="false">HYPERLINK("https://lindat.mff.cuni.cz/services/teitok/pdtc10/index.php?action=vallex&amp;frame=v-w7613hsa_1356", "vidět se (v-w7613hsa_1356)")</f>
        <v>vidět se (v-w7613hsa_1356)</v>
      </c>
    </row>
    <row r="53838" customFormat="false" ht="12.8" hidden="false" customHeight="false" outlineLevel="0" collapsed="false">
      <c r="B53838" s="0" t="s">
        <v>7</v>
      </c>
    </row>
    <row r="53839" customFormat="false" ht="12.8" hidden="false" customHeight="false" outlineLevel="0" collapsed="false">
      <c r="B53839" s="0" t="s">
        <v>548</v>
      </c>
    </row>
    <row r="53841" customFormat="false" ht="12.8" hidden="false" customHeight="false" outlineLevel="0" collapsed="false">
      <c r="A53841" s="0" t="s">
        <v>18854</v>
      </c>
      <c r="B53841" s="0" t="str">
        <f aca="false">HYPERLINK("https://lindat.mff.cuni.cz/services/teitok/pdtc10/index.php?action=vallex&amp;frame=v-w11263f1", "viklat se (v-w11263f1)")</f>
        <v>viklat se (v-w11263f1)</v>
      </c>
    </row>
    <row r="53842" customFormat="false" ht="12.8" hidden="false" customHeight="false" outlineLevel="0" collapsed="false">
      <c r="B53842" s="0" t="s">
        <v>7</v>
      </c>
    </row>
    <row r="53844" customFormat="false" ht="12.8" hidden="false" customHeight="false" outlineLevel="0" collapsed="false">
      <c r="A53844" s="0" t="s">
        <v>18855</v>
      </c>
      <c r="B53844" s="0" t="str">
        <f aca="false">HYPERLINK("https://lindat.mff.cuni.cz/services/teitok/pdtc10/index.php?action=vallex&amp;frame=v-w7617f1", "vinit (v-w7617f1)")</f>
        <v>vinit (v-w7617f1)</v>
      </c>
    </row>
    <row r="53845" customFormat="false" ht="12.8" hidden="false" customHeight="false" outlineLevel="0" collapsed="false">
      <c r="B53845" s="0" t="s">
        <v>7</v>
      </c>
      <c r="C53845" s="0" t="s">
        <v>7880</v>
      </c>
      <c r="D53845" s="0" t="s">
        <v>3303</v>
      </c>
      <c r="E53845" s="0" t="s">
        <v>3303</v>
      </c>
      <c r="F53845" s="0" t="s">
        <v>3303</v>
      </c>
    </row>
    <row r="53846" customFormat="false" ht="12.8" hidden="false" customHeight="false" outlineLevel="0" collapsed="false">
      <c r="B53846" s="0" t="s">
        <v>81</v>
      </c>
      <c r="C53846" s="0" t="s">
        <v>7881</v>
      </c>
      <c r="D53846" s="0" t="s">
        <v>3308</v>
      </c>
      <c r="E53846" s="0" t="s">
        <v>3308</v>
      </c>
      <c r="F53846" s="0" t="s">
        <v>3308</v>
      </c>
    </row>
    <row r="53847" customFormat="false" ht="12.8" hidden="false" customHeight="false" outlineLevel="0" collapsed="false">
      <c r="B53847" s="0" t="s">
        <v>7340</v>
      </c>
      <c r="C53847" s="0" t="s">
        <v>7882</v>
      </c>
      <c r="D53847" s="0" t="s">
        <v>3306</v>
      </c>
      <c r="E53847" s="0" t="s">
        <v>3306</v>
      </c>
      <c r="F53847" s="0" t="s">
        <v>3306</v>
      </c>
    </row>
    <row r="53849" customFormat="false" ht="12.8" hidden="false" customHeight="false" outlineLevel="0" collapsed="false">
      <c r="A53849" s="0" t="s">
        <v>18856</v>
      </c>
      <c r="B53849" s="0" t="str">
        <f aca="false">HYPERLINK("https://lindat.mff.cuni.cz/services/teitok/pdtc10/index.php?action=vallex&amp;frame=v-w11492f2", "vinout se (v-w11492f2)")</f>
        <v>vinout se (v-w11492f2)</v>
      </c>
    </row>
    <row r="53850" customFormat="false" ht="12.8" hidden="false" customHeight="false" outlineLevel="0" collapsed="false">
      <c r="B53850" s="0" t="s">
        <v>7</v>
      </c>
      <c r="C53850" s="0" t="s">
        <v>200</v>
      </c>
      <c r="D53850" s="0" t="s">
        <v>4638</v>
      </c>
      <c r="E53850" s="0" t="s">
        <v>4638</v>
      </c>
      <c r="F53850" s="0" t="s">
        <v>4638</v>
      </c>
    </row>
    <row r="53851" customFormat="false" ht="12.8" hidden="false" customHeight="false" outlineLevel="0" collapsed="false">
      <c r="B53851" s="0" t="s">
        <v>259</v>
      </c>
    </row>
    <row r="53853" customFormat="false" ht="12.8" hidden="false" customHeight="false" outlineLevel="0" collapsed="false">
      <c r="A53853" s="0" t="s">
        <v>18857</v>
      </c>
      <c r="B53853" s="0" t="str">
        <f aca="false">HYPERLINK("https://lindat.mff.cuni.cz/services/teitok/pdtc10/index.php?action=vallex&amp;frame=v-w11492f1", "vinout se (v-w11492f1)")</f>
        <v>vinout se (v-w11492f1)</v>
      </c>
    </row>
    <row r="53854" customFormat="false" ht="12.8" hidden="false" customHeight="false" outlineLevel="0" collapsed="false">
      <c r="B53854" s="0" t="s">
        <v>7</v>
      </c>
      <c r="C53854" s="0" t="s">
        <v>191</v>
      </c>
      <c r="D53854" s="0" t="s">
        <v>7092</v>
      </c>
      <c r="E53854" s="0" t="s">
        <v>7092</v>
      </c>
      <c r="F53854" s="0" t="s">
        <v>7092</v>
      </c>
    </row>
    <row r="53856" customFormat="false" ht="12.8" hidden="false" customHeight="false" outlineLevel="0" collapsed="false">
      <c r="A53856" s="0" t="s">
        <v>18858</v>
      </c>
      <c r="B53856" s="0" t="str">
        <f aca="false">HYPERLINK("https://lindat.mff.cuni.cz/services/teitok/pdtc10/index.php?action=vallex&amp;frame=v-w7622f5_ZU", "viset (v-w7622f5_ZU)")</f>
        <v>viset (v-w7622f5_ZU)</v>
      </c>
    </row>
    <row r="53857" customFormat="false" ht="12.8" hidden="false" customHeight="false" outlineLevel="0" collapsed="false">
      <c r="B53857" s="0" t="s">
        <v>7</v>
      </c>
    </row>
    <row r="53859" customFormat="false" ht="12.8" hidden="false" customHeight="false" outlineLevel="0" collapsed="false">
      <c r="A53859" s="0" t="s">
        <v>18858</v>
      </c>
      <c r="B53859" s="0" t="str">
        <f aca="false">HYPERLINK("https://lindat.mff.cuni.cz/services/teitok/pdtc10/index.php?action=vallex&amp;frame=v-w7622f1", "viset (v-w7622f1) - substituted with v-w7622f5_ZU")</f>
        <v>viset (v-w7622f1) - substituted with v-w7622f5_ZU</v>
      </c>
    </row>
    <row r="53860" customFormat="false" ht="12.8" hidden="false" customHeight="false" outlineLevel="0" collapsed="false">
      <c r="B53860" s="0" t="s">
        <v>7</v>
      </c>
      <c r="C53860" s="0" t="s">
        <v>18859</v>
      </c>
      <c r="D53860" s="0" t="s">
        <v>7671</v>
      </c>
      <c r="E53860" s="0" t="s">
        <v>7671</v>
      </c>
      <c r="F53860" s="0" t="s">
        <v>7671</v>
      </c>
    </row>
    <row r="53862" customFormat="false" ht="12.8" hidden="false" customHeight="false" outlineLevel="0" collapsed="false">
      <c r="A53862" s="0" t="s">
        <v>18860</v>
      </c>
      <c r="B53862" s="0" t="str">
        <f aca="false">HYPERLINK("https://lindat.mff.cuni.cz/services/teitok/pdtc10/index.php?action=vallex&amp;frame=v-w7622f3", "viset (v-w7622f3)")</f>
        <v>viset (v-w7622f3)</v>
      </c>
    </row>
    <row r="53863" customFormat="false" ht="12.8" hidden="false" customHeight="false" outlineLevel="0" collapsed="false">
      <c r="B53863" s="0" t="s">
        <v>7</v>
      </c>
    </row>
    <row r="53864" customFormat="false" ht="12.8" hidden="false" customHeight="false" outlineLevel="0" collapsed="false">
      <c r="B53864" s="0" t="s">
        <v>18861</v>
      </c>
    </row>
    <row r="53865" customFormat="false" ht="12.8" hidden="false" customHeight="false" outlineLevel="0" collapsed="false">
      <c r="B53865" s="0" t="s">
        <v>223</v>
      </c>
    </row>
    <row r="53867" customFormat="false" ht="12.8" hidden="false" customHeight="false" outlineLevel="0" collapsed="false">
      <c r="A53867" s="0" t="s">
        <v>18862</v>
      </c>
      <c r="B53867" s="0" t="str">
        <f aca="false">HYPERLINK("https://lindat.mff.cuni.cz/services/teitok/pdtc10/index.php?action=vallex&amp;frame=v-w7622f2", "viset (v-w7622f2)")</f>
        <v>viset (v-w7622f2)</v>
      </c>
    </row>
    <row r="53868" customFormat="false" ht="12.8" hidden="false" customHeight="false" outlineLevel="0" collapsed="false">
      <c r="B53868" s="0" t="s">
        <v>16449</v>
      </c>
    </row>
    <row r="53869" customFormat="false" ht="12.8" hidden="false" customHeight="false" outlineLevel="0" collapsed="false">
      <c r="B53869" s="0" t="s">
        <v>18863</v>
      </c>
    </row>
    <row r="53871" customFormat="false" ht="12.8" hidden="false" customHeight="false" outlineLevel="0" collapsed="false">
      <c r="A53871" s="0" t="s">
        <v>18864</v>
      </c>
      <c r="B53871" s="0" t="str">
        <f aca="false">HYPERLINK("https://lindat.mff.cuni.cz/services/teitok/pdtc10/index.php?action=vallex&amp;frame=v-w7622hsa_717", "viset (v-w7622hsa_717)")</f>
        <v>viset (v-w7622hsa_717)</v>
      </c>
    </row>
    <row r="53872" customFormat="false" ht="12.8" hidden="false" customHeight="false" outlineLevel="0" collapsed="false">
      <c r="B53872" s="0" t="s">
        <v>7</v>
      </c>
      <c r="C53872" s="0" t="s">
        <v>277</v>
      </c>
      <c r="D53872" s="0" t="s">
        <v>1048</v>
      </c>
      <c r="E53872" s="0" t="s">
        <v>1048</v>
      </c>
      <c r="F53872" s="0" t="s">
        <v>1048</v>
      </c>
    </row>
    <row r="53873" customFormat="false" ht="12.8" hidden="false" customHeight="false" outlineLevel="0" collapsed="false">
      <c r="B53873" s="0" t="s">
        <v>11</v>
      </c>
      <c r="C53873" s="0" t="s">
        <v>18865</v>
      </c>
      <c r="D53873" s="0" t="s">
        <v>15504</v>
      </c>
      <c r="E53873" s="0" t="s">
        <v>15504</v>
      </c>
      <c r="F53873" s="0" t="s">
        <v>15504</v>
      </c>
    </row>
    <row r="53875" customFormat="false" ht="12.8" hidden="false" customHeight="false" outlineLevel="0" collapsed="false">
      <c r="A53875" s="0" t="s">
        <v>18866</v>
      </c>
      <c r="B53875" s="0" t="str">
        <f aca="false">HYPERLINK("https://lindat.mff.cuni.cz/services/teitok/pdtc10/index.php?action=vallex&amp;frame=v-w7622f4_ZU", "viset (v-w7622f4_ZU)")</f>
        <v>viset (v-w7622f4_ZU)</v>
      </c>
    </row>
    <row r="53876" customFormat="false" ht="12.8" hidden="false" customHeight="false" outlineLevel="0" collapsed="false">
      <c r="B53876" s="0" t="s">
        <v>7</v>
      </c>
      <c r="C53876" s="0" t="s">
        <v>4651</v>
      </c>
    </row>
    <row r="53877" customFormat="false" ht="12.8" hidden="false" customHeight="false" outlineLevel="0" collapsed="false">
      <c r="B53877" s="0" t="s">
        <v>18867</v>
      </c>
      <c r="C53877" s="0" t="s">
        <v>870</v>
      </c>
    </row>
    <row r="53879" customFormat="false" ht="12.8" hidden="false" customHeight="false" outlineLevel="0" collapsed="false">
      <c r="A53879" s="0" t="s">
        <v>18866</v>
      </c>
      <c r="B53879" s="0" t="str">
        <f aca="false">HYPERLINK("https://lindat.mff.cuni.cz/services/teitok/pdtc10/index.php?action=vallex&amp;frame=v-w7622hsa_718", "viset (v-w7622hsa_718) - substituted with v-w7622f4_ZU")</f>
        <v>viset (v-w7622hsa_718) - substituted with v-w7622f4_ZU</v>
      </c>
    </row>
    <row r="53880" customFormat="false" ht="12.8" hidden="false" customHeight="false" outlineLevel="0" collapsed="false">
      <c r="B53880" s="0" t="s">
        <v>7</v>
      </c>
    </row>
    <row r="53881" customFormat="false" ht="12.8" hidden="false" customHeight="false" outlineLevel="0" collapsed="false">
      <c r="B53881" s="0" t="s">
        <v>18867</v>
      </c>
    </row>
    <row r="53883" customFormat="false" ht="12.8" hidden="false" customHeight="false" outlineLevel="0" collapsed="false">
      <c r="A53883" s="0" t="s">
        <v>18868</v>
      </c>
      <c r="B53883" s="0" t="str">
        <f aca="false">HYPERLINK("https://lindat.mff.cuni.cz/services/teitok/pdtc10/index.php?action=vallex&amp;frame=v-w7622f6_ZU", "viset (v-w7622f6_ZU)")</f>
        <v>viset (v-w7622f6_ZU)</v>
      </c>
    </row>
    <row r="53884" customFormat="false" ht="12.8" hidden="false" customHeight="false" outlineLevel="0" collapsed="false">
      <c r="B53884" s="0" t="s">
        <v>7</v>
      </c>
    </row>
    <row r="53885" customFormat="false" ht="12.8" hidden="false" customHeight="false" outlineLevel="0" collapsed="false">
      <c r="B53885" s="0" t="s">
        <v>220</v>
      </c>
    </row>
    <row r="53887" customFormat="false" ht="12.8" hidden="false" customHeight="false" outlineLevel="0" collapsed="false">
      <c r="A53887" s="0" t="s">
        <v>18869</v>
      </c>
      <c r="B53887" s="0" t="str">
        <f aca="false">HYPERLINK("https://lindat.mff.cuni.cz/services/teitok/pdtc10/index.php?action=vallex&amp;frame=v-w7629f1", "vjet (v-w7629f1)")</f>
        <v>vjet (v-w7629f1)</v>
      </c>
    </row>
    <row r="53888" customFormat="false" ht="12.8" hidden="false" customHeight="false" outlineLevel="0" collapsed="false">
      <c r="B53888" s="0" t="s">
        <v>7</v>
      </c>
      <c r="C53888" s="0" t="s">
        <v>460</v>
      </c>
      <c r="E53888" s="0" t="s">
        <v>1706</v>
      </c>
      <c r="F53888" s="0" t="s">
        <v>1706</v>
      </c>
    </row>
    <row r="53889" customFormat="false" ht="12.8" hidden="false" customHeight="false" outlineLevel="0" collapsed="false">
      <c r="B53889" s="0" t="s">
        <v>124</v>
      </c>
      <c r="C53889" s="0" t="s">
        <v>4037</v>
      </c>
      <c r="E53889" s="0" t="s">
        <v>1707</v>
      </c>
      <c r="F53889" s="0" t="s">
        <v>1707</v>
      </c>
    </row>
    <row r="53891" customFormat="false" ht="12.8" hidden="false" customHeight="false" outlineLevel="0" collapsed="false">
      <c r="A53891" s="0" t="s">
        <v>18870</v>
      </c>
      <c r="B53891" s="0" t="str">
        <f aca="false">HYPERLINK("https://lindat.mff.cuni.cz/services/teitok/pdtc10/index.php?action=vallex&amp;frame=v-w7630f1", "vjíždět (v-w7630f1)")</f>
        <v>vjíždět (v-w7630f1)</v>
      </c>
    </row>
    <row r="53892" customFormat="false" ht="12.8" hidden="false" customHeight="false" outlineLevel="0" collapsed="false">
      <c r="B53892" s="0" t="s">
        <v>7</v>
      </c>
    </row>
    <row r="53893" customFormat="false" ht="12.8" hidden="false" customHeight="false" outlineLevel="0" collapsed="false">
      <c r="B53893" s="0" t="s">
        <v>124</v>
      </c>
    </row>
    <row r="53895" customFormat="false" ht="12.8" hidden="false" customHeight="false" outlineLevel="0" collapsed="false">
      <c r="A53895" s="0" t="s">
        <v>18871</v>
      </c>
      <c r="B53895" s="0" t="str">
        <f aca="false">HYPERLINK("https://lindat.mff.cuni.cz/services/teitok/pdtc10/index.php?action=vallex&amp;frame=v-w7634f1", "vklouznout (v-w7634f1)")</f>
        <v>vklouznout (v-w7634f1)</v>
      </c>
    </row>
    <row r="53896" customFormat="false" ht="12.8" hidden="false" customHeight="false" outlineLevel="0" collapsed="false">
      <c r="B53896" s="0" t="s">
        <v>7</v>
      </c>
      <c r="C53896" s="0" t="s">
        <v>16</v>
      </c>
      <c r="E53896" s="0" t="s">
        <v>1706</v>
      </c>
      <c r="F53896" s="0" t="s">
        <v>1706</v>
      </c>
    </row>
    <row r="53897" customFormat="false" ht="12.8" hidden="false" customHeight="false" outlineLevel="0" collapsed="false">
      <c r="B53897" s="0" t="s">
        <v>124</v>
      </c>
      <c r="E53897" s="0" t="s">
        <v>1707</v>
      </c>
      <c r="F53897" s="0" t="s">
        <v>1707</v>
      </c>
    </row>
    <row r="53899" customFormat="false" ht="12.8" hidden="false" customHeight="false" outlineLevel="0" collapsed="false">
      <c r="A53899" s="0" t="s">
        <v>18872</v>
      </c>
      <c r="B53899" s="0" t="str">
        <f aca="false">HYPERLINK("https://lindat.mff.cuni.cz/services/teitok/pdtc10/index.php?action=vallex&amp;frame=v-w7633f1", "vkládat (v-w7633f1)")</f>
        <v>vkládat (v-w7633f1)</v>
      </c>
    </row>
    <row r="53900" customFormat="false" ht="12.8" hidden="false" customHeight="false" outlineLevel="0" collapsed="false">
      <c r="B53900" s="0" t="s">
        <v>7</v>
      </c>
      <c r="C53900" s="0" t="s">
        <v>18873</v>
      </c>
      <c r="D53900" s="0" t="s">
        <v>1410</v>
      </c>
      <c r="E53900" s="0" t="s">
        <v>1410</v>
      </c>
      <c r="F53900" s="0" t="s">
        <v>1410</v>
      </c>
    </row>
    <row r="53901" customFormat="false" ht="12.8" hidden="false" customHeight="false" outlineLevel="0" collapsed="false">
      <c r="B53901" s="0" t="s">
        <v>14</v>
      </c>
      <c r="C53901" s="0" t="s">
        <v>18874</v>
      </c>
      <c r="D53901" s="0" t="s">
        <v>1411</v>
      </c>
      <c r="E53901" s="0" t="s">
        <v>1411</v>
      </c>
      <c r="F53901" s="0" t="s">
        <v>1411</v>
      </c>
    </row>
    <row r="53902" customFormat="false" ht="12.8" hidden="false" customHeight="false" outlineLevel="0" collapsed="false">
      <c r="B53902" s="0" t="s">
        <v>124</v>
      </c>
      <c r="C53902" s="0" t="s">
        <v>18875</v>
      </c>
      <c r="D53902" s="0" t="s">
        <v>1412</v>
      </c>
      <c r="E53902" s="0" t="s">
        <v>1412</v>
      </c>
      <c r="F53902" s="0" t="s">
        <v>1412</v>
      </c>
    </row>
    <row r="53904" customFormat="false" ht="12.8" hidden="false" customHeight="false" outlineLevel="0" collapsed="false">
      <c r="A53904" s="0" t="s">
        <v>18876</v>
      </c>
      <c r="B53904" s="0" t="str">
        <f aca="false">HYPERLINK("https://lindat.mff.cuni.cz/services/teitok/pdtc10/index.php?action=vallex&amp;frame=v-w7633f2", "vkládat (v-w7633f2)")</f>
        <v>vkládat (v-w7633f2)</v>
      </c>
    </row>
    <row r="53905" customFormat="false" ht="12.8" hidden="false" customHeight="false" outlineLevel="0" collapsed="false">
      <c r="B53905" s="0" t="s">
        <v>7</v>
      </c>
      <c r="C53905" s="0" t="s">
        <v>1263</v>
      </c>
      <c r="D53905" s="0" t="s">
        <v>18877</v>
      </c>
      <c r="E53905" s="0" t="s">
        <v>18877</v>
      </c>
      <c r="F53905" s="0" t="s">
        <v>18877</v>
      </c>
    </row>
    <row r="53906" customFormat="false" ht="12.8" hidden="false" customHeight="false" outlineLevel="0" collapsed="false">
      <c r="B53906" s="0" t="s">
        <v>14</v>
      </c>
      <c r="C53906" s="0" t="s">
        <v>18878</v>
      </c>
      <c r="D53906" s="0" t="s">
        <v>18879</v>
      </c>
      <c r="E53906" s="0" t="s">
        <v>18879</v>
      </c>
      <c r="F53906" s="0" t="s">
        <v>18879</v>
      </c>
    </row>
    <row r="53907" customFormat="false" ht="12.8" hidden="false" customHeight="false" outlineLevel="0" collapsed="false">
      <c r="B53907" s="0" t="s">
        <v>124</v>
      </c>
      <c r="C53907" s="0" t="s">
        <v>1337</v>
      </c>
      <c r="D53907" s="0" t="s">
        <v>16484</v>
      </c>
      <c r="E53907" s="0" t="s">
        <v>16484</v>
      </c>
      <c r="F53907" s="0" t="s">
        <v>16484</v>
      </c>
    </row>
    <row r="53909" customFormat="false" ht="12.8" hidden="false" customHeight="false" outlineLevel="0" collapsed="false">
      <c r="A53909" s="0" t="s">
        <v>18880</v>
      </c>
      <c r="B53909" s="0" t="str">
        <f aca="false">HYPERLINK("https://lindat.mff.cuni.cz/services/teitok/pdtc10/index.php?action=vallex&amp;frame=v-w7636f1", "vkročit (v-w7636f1)")</f>
        <v>vkročit (v-w7636f1)</v>
      </c>
    </row>
    <row r="53910" customFormat="false" ht="12.8" hidden="false" customHeight="false" outlineLevel="0" collapsed="false">
      <c r="B53910" s="0" t="s">
        <v>7</v>
      </c>
      <c r="E53910" s="0" t="s">
        <v>1706</v>
      </c>
      <c r="F53910" s="0" t="s">
        <v>1706</v>
      </c>
    </row>
    <row r="53911" customFormat="false" ht="12.8" hidden="false" customHeight="false" outlineLevel="0" collapsed="false">
      <c r="B53911" s="0" t="s">
        <v>124</v>
      </c>
      <c r="E53911" s="0" t="s">
        <v>1707</v>
      </c>
      <c r="F53911" s="0" t="s">
        <v>1707</v>
      </c>
    </row>
    <row r="53913" customFormat="false" ht="12.8" hidden="false" customHeight="false" outlineLevel="0" collapsed="false">
      <c r="A53913" s="0" t="s">
        <v>18881</v>
      </c>
      <c r="B53913" s="0" t="str">
        <f aca="false">HYPERLINK("https://lindat.mff.cuni.cz/services/teitok/pdtc10/index.php?action=vallex&amp;frame=v-w7635f1", "vkrádat se (v-w7635f1)")</f>
        <v>vkrádat se (v-w7635f1)</v>
      </c>
    </row>
    <row r="53914" customFormat="false" ht="12.8" hidden="false" customHeight="false" outlineLevel="0" collapsed="false">
      <c r="B53914" s="0" t="s">
        <v>7</v>
      </c>
      <c r="C53914" s="0" t="s">
        <v>191</v>
      </c>
      <c r="D53914" s="0" t="s">
        <v>1705</v>
      </c>
      <c r="E53914" s="0" t="s">
        <v>1706</v>
      </c>
      <c r="F53914" s="0" t="s">
        <v>1706</v>
      </c>
    </row>
    <row r="53915" customFormat="false" ht="12.8" hidden="false" customHeight="false" outlineLevel="0" collapsed="false">
      <c r="B53915" s="0" t="s">
        <v>124</v>
      </c>
      <c r="D53915" s="0" t="s">
        <v>1707</v>
      </c>
      <c r="E53915" s="0" t="s">
        <v>1707</v>
      </c>
      <c r="F53915" s="0" t="s">
        <v>1707</v>
      </c>
    </row>
    <row r="53917" customFormat="false" ht="12.8" hidden="false" customHeight="false" outlineLevel="0" collapsed="false">
      <c r="A53917" s="0" t="s">
        <v>18882</v>
      </c>
      <c r="B53917" s="0" t="str">
        <f aca="false">HYPERLINK("https://lindat.mff.cuni.cz/services/teitok/pdtc10/index.php?action=vallex&amp;frame=v-whsa_437hsa_438", "vkrást se (v-whsa_437hsa_438)")</f>
        <v>vkrást se (v-whsa_437hsa_438)</v>
      </c>
    </row>
    <row r="53918" customFormat="false" ht="12.8" hidden="false" customHeight="false" outlineLevel="0" collapsed="false">
      <c r="B53918" s="0" t="s">
        <v>7</v>
      </c>
    </row>
    <row r="53919" customFormat="false" ht="12.8" hidden="false" customHeight="false" outlineLevel="0" collapsed="false">
      <c r="B53919" s="0" t="s">
        <v>124</v>
      </c>
    </row>
    <row r="53921" customFormat="false" ht="12.8" hidden="false" customHeight="false" outlineLevel="0" collapsed="false">
      <c r="A53921" s="0" t="s">
        <v>18883</v>
      </c>
      <c r="B53921" s="0" t="str">
        <f aca="false">HYPERLINK("https://lindat.mff.cuni.cz/services/teitok/pdtc10/index.php?action=vallex&amp;frame=v-w7650f1", "vlastnit (v-w7650f1)")</f>
        <v>vlastnit (v-w7650f1)</v>
      </c>
    </row>
    <row r="53922" customFormat="false" ht="12.8" hidden="false" customHeight="false" outlineLevel="0" collapsed="false">
      <c r="B53922" s="0" t="s">
        <v>7</v>
      </c>
      <c r="C53922" s="0" t="s">
        <v>18884</v>
      </c>
      <c r="D53922" s="0" t="s">
        <v>2816</v>
      </c>
      <c r="E53922" s="0" t="s">
        <v>2816</v>
      </c>
      <c r="F53922" s="0" t="s">
        <v>2816</v>
      </c>
    </row>
    <row r="53923" customFormat="false" ht="12.8" hidden="false" customHeight="false" outlineLevel="0" collapsed="false">
      <c r="B53923" s="0" t="s">
        <v>14</v>
      </c>
      <c r="C53923" s="0" t="s">
        <v>18885</v>
      </c>
      <c r="D53923" s="0" t="s">
        <v>2818</v>
      </c>
      <c r="E53923" s="0" t="s">
        <v>2818</v>
      </c>
      <c r="F53923" s="0" t="s">
        <v>2818</v>
      </c>
    </row>
    <row r="53925" customFormat="false" ht="12.8" hidden="false" customHeight="false" outlineLevel="0" collapsed="false">
      <c r="A53925" s="0" t="s">
        <v>18886</v>
      </c>
      <c r="B53925" s="0" t="str">
        <f aca="false">HYPERLINK("https://lindat.mff.cuni.cz/services/teitok/pdtc10/index.php?action=vallex&amp;frame=v-w11726_ZUf1_ZU", "vletět (v-w11726_ZUf1_ZU)")</f>
        <v>vletět (v-w11726_ZUf1_ZU)</v>
      </c>
    </row>
    <row r="53926" customFormat="false" ht="12.8" hidden="false" customHeight="false" outlineLevel="0" collapsed="false">
      <c r="B53926" s="0" t="s">
        <v>7</v>
      </c>
    </row>
    <row r="53927" customFormat="false" ht="12.8" hidden="false" customHeight="false" outlineLevel="0" collapsed="false">
      <c r="B53927" s="0" t="s">
        <v>338</v>
      </c>
    </row>
    <row r="53929" customFormat="false" ht="12.8" hidden="false" customHeight="false" outlineLevel="0" collapsed="false">
      <c r="A53929" s="0" t="s">
        <v>18887</v>
      </c>
      <c r="B53929" s="0" t="str">
        <f aca="false">HYPERLINK("https://lindat.mff.cuni.cz/services/teitok/pdtc10/index.php?action=vallex&amp;frame=v-w11339f1", "vlichotit se (v-w11339f1)")</f>
        <v>vlichotit se (v-w11339f1)</v>
      </c>
    </row>
    <row r="53930" customFormat="false" ht="12.8" hidden="false" customHeight="false" outlineLevel="0" collapsed="false">
      <c r="B53930" s="0" t="s">
        <v>7</v>
      </c>
      <c r="D53930" s="0" t="s">
        <v>6372</v>
      </c>
      <c r="E53930" s="0" t="s">
        <v>6372</v>
      </c>
      <c r="F53930" s="0" t="s">
        <v>6372</v>
      </c>
    </row>
    <row r="53931" customFormat="false" ht="12.8" hidden="false" customHeight="false" outlineLevel="0" collapsed="false">
      <c r="B53931" s="0" t="s">
        <v>142</v>
      </c>
      <c r="C53931" s="0" t="s">
        <v>1544</v>
      </c>
      <c r="D53931" s="0" t="s">
        <v>6373</v>
      </c>
      <c r="E53931" s="0" t="s">
        <v>6373</v>
      </c>
      <c r="F53931" s="0" t="s">
        <v>6373</v>
      </c>
    </row>
    <row r="53933" customFormat="false" ht="12.8" hidden="false" customHeight="false" outlineLevel="0" collapsed="false">
      <c r="A53933" s="0" t="s">
        <v>18888</v>
      </c>
      <c r="B53933" s="0" t="str">
        <f aca="false">HYPERLINK("https://lindat.mff.cuni.cz/services/teitok/pdtc10/index.php?action=vallex&amp;frame=v-w7656f1", "vlnit se (v-w7656f1)")</f>
        <v>vlnit se (v-w7656f1)</v>
      </c>
    </row>
    <row r="53934" customFormat="false" ht="12.8" hidden="false" customHeight="false" outlineLevel="0" collapsed="false">
      <c r="B53934" s="0" t="s">
        <v>7</v>
      </c>
      <c r="C53934" s="0" t="s">
        <v>247</v>
      </c>
      <c r="D53934" s="0" t="s">
        <v>7092</v>
      </c>
      <c r="E53934" s="0" t="s">
        <v>7092</v>
      </c>
      <c r="F53934" s="0" t="s">
        <v>7092</v>
      </c>
    </row>
    <row r="53936" customFormat="false" ht="12.8" hidden="false" customHeight="false" outlineLevel="0" collapsed="false">
      <c r="A53936" s="0" t="s">
        <v>18889</v>
      </c>
      <c r="B53936" s="0" t="str">
        <f aca="false">HYPERLINK("https://lindat.mff.cuni.cz/services/teitok/pdtc10/index.php?action=vallex&amp;frame=v-w7658f1", "vloupat se (v-w7658f1)")</f>
        <v>vloupat se (v-w7658f1)</v>
      </c>
    </row>
    <row r="53937" customFormat="false" ht="12.8" hidden="false" customHeight="false" outlineLevel="0" collapsed="false">
      <c r="B53937" s="0" t="s">
        <v>7</v>
      </c>
    </row>
    <row r="53938" customFormat="false" ht="12.8" hidden="false" customHeight="false" outlineLevel="0" collapsed="false">
      <c r="B53938" s="0" t="s">
        <v>124</v>
      </c>
    </row>
    <row r="53940" customFormat="false" ht="12.8" hidden="false" customHeight="false" outlineLevel="0" collapsed="false">
      <c r="A53940" s="0" t="s">
        <v>18890</v>
      </c>
      <c r="B53940" s="0" t="str">
        <f aca="false">HYPERLINK("https://lindat.mff.cuni.cz/services/teitok/pdtc10/index.php?action=vallex&amp;frame=v-w7661f1", "vložit (v-w7661f1)")</f>
        <v>vložit (v-w7661f1)</v>
      </c>
    </row>
    <row r="53941" customFormat="false" ht="12.8" hidden="false" customHeight="false" outlineLevel="0" collapsed="false">
      <c r="B53941" s="0" t="s">
        <v>7</v>
      </c>
      <c r="C53941" s="0" t="s">
        <v>18891</v>
      </c>
      <c r="D53941" s="0" t="s">
        <v>1410</v>
      </c>
      <c r="E53941" s="0" t="s">
        <v>1410</v>
      </c>
      <c r="F53941" s="0" t="s">
        <v>1410</v>
      </c>
    </row>
    <row r="53942" customFormat="false" ht="12.8" hidden="false" customHeight="false" outlineLevel="0" collapsed="false">
      <c r="B53942" s="0" t="s">
        <v>14</v>
      </c>
      <c r="C53942" s="0" t="s">
        <v>18892</v>
      </c>
      <c r="D53942" s="0" t="s">
        <v>1411</v>
      </c>
      <c r="E53942" s="0" t="s">
        <v>1411</v>
      </c>
      <c r="F53942" s="0" t="s">
        <v>1411</v>
      </c>
    </row>
    <row r="53943" customFormat="false" ht="12.8" hidden="false" customHeight="false" outlineLevel="0" collapsed="false">
      <c r="B53943" s="0" t="s">
        <v>124</v>
      </c>
      <c r="C53943" s="0" t="s">
        <v>18893</v>
      </c>
      <c r="D53943" s="0" t="s">
        <v>1412</v>
      </c>
      <c r="E53943" s="0" t="s">
        <v>1412</v>
      </c>
      <c r="F53943" s="0" t="s">
        <v>1412</v>
      </c>
    </row>
    <row r="53945" customFormat="false" ht="12.8" hidden="false" customHeight="false" outlineLevel="0" collapsed="false">
      <c r="A53945" s="0" t="s">
        <v>18894</v>
      </c>
      <c r="B53945" s="0" t="str">
        <f aca="false">HYPERLINK("https://lindat.mff.cuni.cz/services/teitok/pdtc10/index.php?action=vallex&amp;frame=v-w7661f2", "vložit (v-w7661f2)")</f>
        <v>vložit (v-w7661f2)</v>
      </c>
    </row>
    <row r="53946" customFormat="false" ht="12.8" hidden="false" customHeight="false" outlineLevel="0" collapsed="false">
      <c r="B53946" s="0" t="s">
        <v>7</v>
      </c>
      <c r="C53946" s="0" t="s">
        <v>208</v>
      </c>
      <c r="D53946" s="0" t="s">
        <v>2235</v>
      </c>
      <c r="E53946" s="0" t="s">
        <v>2235</v>
      </c>
      <c r="F53946" s="0" t="s">
        <v>2235</v>
      </c>
    </row>
    <row r="53947" customFormat="false" ht="12.8" hidden="false" customHeight="false" outlineLevel="0" collapsed="false">
      <c r="B53947" s="0" t="s">
        <v>14</v>
      </c>
      <c r="C53947" s="0" t="s">
        <v>1824</v>
      </c>
      <c r="D53947" s="0" t="s">
        <v>2237</v>
      </c>
      <c r="E53947" s="0" t="s">
        <v>2237</v>
      </c>
      <c r="F53947" s="0" t="s">
        <v>2237</v>
      </c>
    </row>
    <row r="53948" customFormat="false" ht="12.8" hidden="false" customHeight="false" outlineLevel="0" collapsed="false">
      <c r="B53948" s="0" t="s">
        <v>124</v>
      </c>
      <c r="D53948" s="0" t="s">
        <v>2238</v>
      </c>
      <c r="E53948" s="0" t="s">
        <v>2238</v>
      </c>
      <c r="F53948" s="0" t="s">
        <v>2238</v>
      </c>
    </row>
    <row r="53950" customFormat="false" ht="12.8" hidden="false" customHeight="false" outlineLevel="0" collapsed="false">
      <c r="A53950" s="0" t="s">
        <v>18895</v>
      </c>
      <c r="B53950" s="0" t="str">
        <f aca="false">HYPERLINK("https://lindat.mff.cuni.cz/services/teitok/pdtc10/index.php?action=vallex&amp;frame=v-w7662f1", "vložit se (v-w7662f1)")</f>
        <v>vložit se (v-w7662f1)</v>
      </c>
    </row>
    <row r="53951" customFormat="false" ht="12.8" hidden="false" customHeight="false" outlineLevel="0" collapsed="false">
      <c r="B53951" s="0" t="s">
        <v>7</v>
      </c>
      <c r="C53951" s="0" t="s">
        <v>348</v>
      </c>
      <c r="D53951" s="0" t="s">
        <v>5834</v>
      </c>
      <c r="E53951" s="0" t="s">
        <v>5834</v>
      </c>
      <c r="F53951" s="0" t="s">
        <v>5834</v>
      </c>
    </row>
    <row r="53952" customFormat="false" ht="12.8" hidden="false" customHeight="false" outlineLevel="0" collapsed="false">
      <c r="B53952" s="0" t="s">
        <v>985</v>
      </c>
      <c r="C53952" s="0" t="s">
        <v>47</v>
      </c>
      <c r="D53952" s="0" t="s">
        <v>5837</v>
      </c>
      <c r="E53952" s="0" t="s">
        <v>5837</v>
      </c>
      <c r="F53952" s="0" t="s">
        <v>5837</v>
      </c>
    </row>
    <row r="53954" customFormat="false" ht="12.8" hidden="false" customHeight="false" outlineLevel="0" collapsed="false">
      <c r="A53954" s="0" t="s">
        <v>18896</v>
      </c>
      <c r="B53954" s="0" t="str">
        <f aca="false">HYPERLINK("https://lindat.mff.cuni.cz/services/teitok/pdtc10/index.php?action=vallex&amp;frame=v-w7641f2", "vládnout (v-w7641f2)")</f>
        <v>vládnout (v-w7641f2)</v>
      </c>
    </row>
    <row r="53955" customFormat="false" ht="12.8" hidden="false" customHeight="false" outlineLevel="0" collapsed="false">
      <c r="B53955" s="0" t="s">
        <v>7</v>
      </c>
      <c r="C53955" s="0" t="s">
        <v>18897</v>
      </c>
      <c r="D53955" s="0" t="s">
        <v>1604</v>
      </c>
      <c r="E53955" s="0" t="s">
        <v>1604</v>
      </c>
      <c r="F53955" s="0" t="s">
        <v>1604</v>
      </c>
    </row>
    <row r="53956" customFormat="false" ht="12.8" hidden="false" customHeight="false" outlineLevel="0" collapsed="false">
      <c r="B53956" s="0" t="s">
        <v>2000</v>
      </c>
      <c r="C53956" s="0" t="s">
        <v>18497</v>
      </c>
      <c r="D53956" s="0" t="s">
        <v>1606</v>
      </c>
      <c r="E53956" s="0" t="s">
        <v>1606</v>
      </c>
      <c r="F53956" s="0" t="s">
        <v>1606</v>
      </c>
    </row>
    <row r="53958" customFormat="false" ht="12.8" hidden="false" customHeight="false" outlineLevel="0" collapsed="false">
      <c r="A53958" s="0" t="s">
        <v>18898</v>
      </c>
      <c r="B53958" s="0" t="str">
        <f aca="false">HYPERLINK("https://lindat.mff.cuni.cz/services/teitok/pdtc10/index.php?action=vallex&amp;frame=v-w7641f3", "vládnout (v-w7641f3)")</f>
        <v>vládnout (v-w7641f3)</v>
      </c>
    </row>
    <row r="53959" customFormat="false" ht="12.8" hidden="false" customHeight="false" outlineLevel="0" collapsed="false">
      <c r="B53959" s="0" t="s">
        <v>7</v>
      </c>
      <c r="C53959" s="0" t="s">
        <v>569</v>
      </c>
      <c r="D53959" s="0" t="s">
        <v>623</v>
      </c>
      <c r="E53959" s="0" t="s">
        <v>623</v>
      </c>
      <c r="F53959" s="0" t="s">
        <v>623</v>
      </c>
    </row>
    <row r="53960" customFormat="false" ht="12.8" hidden="false" customHeight="false" outlineLevel="0" collapsed="false">
      <c r="B53960" s="0" t="s">
        <v>216</v>
      </c>
      <c r="C53960" s="0" t="s">
        <v>1170</v>
      </c>
      <c r="D53960" s="0" t="s">
        <v>461</v>
      </c>
      <c r="E53960" s="0" t="s">
        <v>461</v>
      </c>
      <c r="F53960" s="0" t="s">
        <v>461</v>
      </c>
    </row>
    <row r="53962" customFormat="false" ht="12.8" hidden="false" customHeight="false" outlineLevel="0" collapsed="false">
      <c r="A53962" s="0" t="s">
        <v>18899</v>
      </c>
      <c r="B53962" s="0" t="str">
        <f aca="false">HYPERLINK("https://lindat.mff.cuni.cz/services/teitok/pdtc10/index.php?action=vallex&amp;frame=v-w7641f1", "vládnout (v-w7641f1)")</f>
        <v>vládnout (v-w7641f1)</v>
      </c>
    </row>
    <row r="53963" customFormat="false" ht="12.8" hidden="false" customHeight="false" outlineLevel="0" collapsed="false">
      <c r="B53963" s="0" t="s">
        <v>7</v>
      </c>
      <c r="C53963" s="0" t="s">
        <v>18900</v>
      </c>
      <c r="D53963" s="0" t="s">
        <v>191</v>
      </c>
      <c r="E53963" s="0" t="s">
        <v>191</v>
      </c>
      <c r="F53963" s="0" t="s">
        <v>191</v>
      </c>
    </row>
    <row r="53965" customFormat="false" ht="12.8" hidden="false" customHeight="false" outlineLevel="0" collapsed="false">
      <c r="A53965" s="0" t="s">
        <v>18901</v>
      </c>
      <c r="B53965" s="0" t="str">
        <f aca="false">HYPERLINK("https://lindat.mff.cuni.cz/services/teitok/pdtc10/index.php?action=vallex&amp;frame=v-w10754f2", "vlákat (v-w10754f2)")</f>
        <v>vlákat (v-w10754f2)</v>
      </c>
    </row>
    <row r="53966" customFormat="false" ht="12.8" hidden="false" customHeight="false" outlineLevel="0" collapsed="false">
      <c r="B53966" s="0" t="s">
        <v>7</v>
      </c>
      <c r="C53966" s="0" t="s">
        <v>46</v>
      </c>
      <c r="D53966" s="0" t="s">
        <v>5251</v>
      </c>
      <c r="E53966" s="0" t="s">
        <v>5251</v>
      </c>
      <c r="F53966" s="0" t="s">
        <v>5251</v>
      </c>
    </row>
    <row r="53967" customFormat="false" ht="12.8" hidden="false" customHeight="false" outlineLevel="0" collapsed="false">
      <c r="B53967" s="0" t="s">
        <v>14</v>
      </c>
      <c r="C53967" s="0" t="s">
        <v>115</v>
      </c>
      <c r="D53967" s="0" t="s">
        <v>18902</v>
      </c>
      <c r="E53967" s="0" t="s">
        <v>18902</v>
      </c>
      <c r="F53967" s="0" t="s">
        <v>18902</v>
      </c>
    </row>
    <row r="53968" customFormat="false" ht="12.8" hidden="false" customHeight="false" outlineLevel="0" collapsed="false">
      <c r="B53968" s="0" t="s">
        <v>279</v>
      </c>
      <c r="C53968" s="0" t="s">
        <v>1337</v>
      </c>
      <c r="D53968" s="0" t="s">
        <v>18903</v>
      </c>
      <c r="E53968" s="0" t="s">
        <v>18903</v>
      </c>
      <c r="F53968" s="0" t="s">
        <v>18903</v>
      </c>
    </row>
    <row r="53970" customFormat="false" ht="12.8" hidden="false" customHeight="false" outlineLevel="0" collapsed="false">
      <c r="A53970" s="0" t="s">
        <v>18904</v>
      </c>
      <c r="B53970" s="0" t="str">
        <f aca="false">HYPERLINK("https://lindat.mff.cuni.cz/services/teitok/pdtc10/index.php?action=vallex&amp;frame=v-w7651f1", "vlát (v-w7651f1)")</f>
        <v>vlát (v-w7651f1)</v>
      </c>
    </row>
    <row r="53971" customFormat="false" ht="12.8" hidden="false" customHeight="false" outlineLevel="0" collapsed="false">
      <c r="B53971" s="0" t="s">
        <v>7</v>
      </c>
    </row>
    <row r="53973" customFormat="false" ht="12.8" hidden="false" customHeight="false" outlineLevel="0" collapsed="false">
      <c r="A53973" s="0" t="s">
        <v>18905</v>
      </c>
      <c r="B53973" s="0" t="str">
        <f aca="false">HYPERLINK("https://lindat.mff.cuni.cz/services/teitok/pdtc10/index.php?action=vallex&amp;frame=v-whsa_180f1_ZU", "vláčet (v-whsa_180f1_ZU)")</f>
        <v>vláčet (v-whsa_180f1_ZU)</v>
      </c>
    </row>
    <row r="53974" customFormat="false" ht="12.8" hidden="false" customHeight="false" outlineLevel="0" collapsed="false">
      <c r="B53974" s="0" t="s">
        <v>7</v>
      </c>
    </row>
    <row r="53975" customFormat="false" ht="12.8" hidden="false" customHeight="false" outlineLevel="0" collapsed="false">
      <c r="B53975" s="0" t="s">
        <v>14</v>
      </c>
    </row>
    <row r="53977" customFormat="false" ht="12.8" hidden="false" customHeight="false" outlineLevel="0" collapsed="false">
      <c r="A53977" s="0" t="s">
        <v>18905</v>
      </c>
      <c r="B53977" s="0" t="str">
        <f aca="false">HYPERLINK("https://lindat.mff.cuni.cz/services/teitok/pdtc10/index.php?action=vallex&amp;frame=v-whsa_180hsa_181", "vláčet (v-whsa_180hsa_181) - substituted with v-whsa_180f1_ZU")</f>
        <v>vláčet (v-whsa_180hsa_181) - substituted with v-whsa_180f1_ZU</v>
      </c>
    </row>
    <row r="53978" customFormat="false" ht="12.8" hidden="false" customHeight="false" outlineLevel="0" collapsed="false">
      <c r="B53978" s="0" t="s">
        <v>7</v>
      </c>
    </row>
    <row r="53979" customFormat="false" ht="12.8" hidden="false" customHeight="false" outlineLevel="0" collapsed="false">
      <c r="B53979" s="0" t="s">
        <v>14</v>
      </c>
    </row>
    <row r="53981" customFormat="false" ht="12.8" hidden="false" customHeight="false" outlineLevel="0" collapsed="false">
      <c r="A53981" s="0" t="s">
        <v>18906</v>
      </c>
      <c r="B53981" s="0" t="str">
        <f aca="false">HYPERLINK("https://lindat.mff.cuni.cz/services/teitok/pdtc10/index.php?action=vallex&amp;frame=v-w7652f1", "vléci (v-w7652f1)")</f>
        <v>vléci (v-w7652f1)</v>
      </c>
    </row>
    <row r="53982" customFormat="false" ht="12.8" hidden="false" customHeight="false" outlineLevel="0" collapsed="false">
      <c r="B53982" s="0" t="s">
        <v>7</v>
      </c>
      <c r="C53982" s="0" t="s">
        <v>184</v>
      </c>
      <c r="D53982" s="0" t="s">
        <v>113</v>
      </c>
      <c r="E53982" s="0" t="s">
        <v>113</v>
      </c>
      <c r="F53982" s="0" t="s">
        <v>113</v>
      </c>
    </row>
    <row r="53983" customFormat="false" ht="12.8" hidden="false" customHeight="false" outlineLevel="0" collapsed="false">
      <c r="B53983" s="0" t="s">
        <v>14</v>
      </c>
      <c r="C53983" s="0" t="s">
        <v>74</v>
      </c>
      <c r="D53983" s="0" t="s">
        <v>461</v>
      </c>
      <c r="E53983" s="0" t="s">
        <v>461</v>
      </c>
      <c r="F53983" s="0" t="s">
        <v>461</v>
      </c>
    </row>
    <row r="53985" customFormat="false" ht="12.8" hidden="false" customHeight="false" outlineLevel="0" collapsed="false">
      <c r="A53985" s="0" t="s">
        <v>18907</v>
      </c>
      <c r="B53985" s="0" t="str">
        <f aca="false">HYPERLINK("https://lindat.mff.cuni.cz/services/teitok/pdtc10/index.php?action=vallex&amp;frame=v-w7653f1", "vléci se (v-w7653f1)")</f>
        <v>vléci se (v-w7653f1)</v>
      </c>
    </row>
    <row r="53986" customFormat="false" ht="12.8" hidden="false" customHeight="false" outlineLevel="0" collapsed="false">
      <c r="B53986" s="0" t="s">
        <v>7</v>
      </c>
      <c r="C53986" s="0" t="s">
        <v>18908</v>
      </c>
      <c r="D53986" s="0" t="s">
        <v>12257</v>
      </c>
      <c r="E53986" s="0" t="s">
        <v>12257</v>
      </c>
      <c r="F53986" s="0" t="s">
        <v>12257</v>
      </c>
    </row>
    <row r="53988" customFormat="false" ht="12.8" hidden="false" customHeight="false" outlineLevel="0" collapsed="false">
      <c r="A53988" s="0" t="s">
        <v>18909</v>
      </c>
      <c r="B53988" s="0" t="str">
        <f aca="false">HYPERLINK("https://lindat.mff.cuni.cz/services/teitok/pdtc10/index.php?action=vallex&amp;frame=v-w7653hsa_1458", "vléci se (v-w7653hsa_1458)")</f>
        <v>vléci se (v-w7653hsa_1458)</v>
      </c>
    </row>
    <row r="53989" customFormat="false" ht="12.8" hidden="false" customHeight="false" outlineLevel="0" collapsed="false">
      <c r="B53989" s="0" t="s">
        <v>7</v>
      </c>
    </row>
    <row r="53990" customFormat="false" ht="12.8" hidden="false" customHeight="false" outlineLevel="0" collapsed="false">
      <c r="B53990" s="0" t="s">
        <v>8990</v>
      </c>
    </row>
    <row r="53992" customFormat="false" ht="12.8" hidden="false" customHeight="false" outlineLevel="0" collapsed="false">
      <c r="A53992" s="0" t="s">
        <v>18910</v>
      </c>
      <c r="B53992" s="0" t="str">
        <f aca="false">HYPERLINK("https://lindat.mff.cuni.cz/services/teitok/pdtc10/index.php?action=vallex&amp;frame=v-w10161f3", "vlétnout (v-w10161f3)")</f>
        <v>vlétnout (v-w10161f3)</v>
      </c>
    </row>
    <row r="53993" customFormat="false" ht="12.8" hidden="false" customHeight="false" outlineLevel="0" collapsed="false">
      <c r="B53993" s="0" t="s">
        <v>7</v>
      </c>
      <c r="C53993" s="0" t="s">
        <v>5274</v>
      </c>
      <c r="D53993" s="0" t="s">
        <v>1705</v>
      </c>
      <c r="E53993" s="0" t="s">
        <v>1706</v>
      </c>
      <c r="F53993" s="0" t="s">
        <v>1706</v>
      </c>
    </row>
    <row r="53994" customFormat="false" ht="12.8" hidden="false" customHeight="false" outlineLevel="0" collapsed="false">
      <c r="B53994" s="0" t="s">
        <v>279</v>
      </c>
      <c r="D53994" s="0" t="s">
        <v>1707</v>
      </c>
      <c r="E53994" s="0" t="s">
        <v>1707</v>
      </c>
      <c r="F53994" s="0" t="s">
        <v>1707</v>
      </c>
    </row>
    <row r="53996" customFormat="false" ht="12.8" hidden="false" customHeight="false" outlineLevel="0" collapsed="false">
      <c r="A53996" s="0" t="s">
        <v>18911</v>
      </c>
      <c r="B53996" s="0" t="str">
        <f aca="false">HYPERLINK("https://lindat.mff.cuni.cz/services/teitok/pdtc10/index.php?action=vallex&amp;frame=v-w10161f4_ZU", "vlétnout (v-w10161f4_ZU)")</f>
        <v>vlétnout (v-w10161f4_ZU)</v>
      </c>
    </row>
    <row r="53997" customFormat="false" ht="12.8" hidden="false" customHeight="false" outlineLevel="0" collapsed="false">
      <c r="B53997" s="0" t="s">
        <v>7</v>
      </c>
    </row>
    <row r="53998" customFormat="false" ht="12.8" hidden="false" customHeight="false" outlineLevel="0" collapsed="false">
      <c r="B53998" s="0" t="s">
        <v>338</v>
      </c>
    </row>
    <row r="54000" customFormat="false" ht="12.8" hidden="false" customHeight="false" outlineLevel="0" collapsed="false">
      <c r="A54000" s="0" t="s">
        <v>18912</v>
      </c>
      <c r="B54000" s="0" t="str">
        <f aca="false">HYPERLINK("https://lindat.mff.cuni.cz/services/teitok/pdtc10/index.php?action=vallex&amp;frame=v-w10232f2", "vlévat (v-w10232f2)")</f>
        <v>vlévat (v-w10232f2)</v>
      </c>
    </row>
    <row r="54001" customFormat="false" ht="12.8" hidden="false" customHeight="false" outlineLevel="0" collapsed="false">
      <c r="B54001" s="0" t="s">
        <v>7</v>
      </c>
    </row>
    <row r="54002" customFormat="false" ht="12.8" hidden="false" customHeight="false" outlineLevel="0" collapsed="false">
      <c r="B54002" s="0" t="s">
        <v>14</v>
      </c>
    </row>
    <row r="54003" customFormat="false" ht="12.8" hidden="false" customHeight="false" outlineLevel="0" collapsed="false">
      <c r="B54003" s="0" t="s">
        <v>124</v>
      </c>
    </row>
    <row r="54005" customFormat="false" ht="12.8" hidden="false" customHeight="false" outlineLevel="0" collapsed="false">
      <c r="A54005" s="0" t="s">
        <v>18913</v>
      </c>
      <c r="B54005" s="0" t="str">
        <f aca="false">HYPERLINK("https://lindat.mff.cuni.cz/services/teitok/pdtc10/index.php?action=vallex&amp;frame=v-w11270f1", "vlévat se (v-w11270f1)")</f>
        <v>vlévat se (v-w11270f1)</v>
      </c>
    </row>
    <row r="54006" customFormat="false" ht="12.8" hidden="false" customHeight="false" outlineLevel="0" collapsed="false">
      <c r="B54006" s="0" t="s">
        <v>7</v>
      </c>
      <c r="C54006" s="0" t="s">
        <v>3768</v>
      </c>
      <c r="D54006" s="0" t="s">
        <v>12273</v>
      </c>
      <c r="E54006" s="0" t="s">
        <v>12273</v>
      </c>
      <c r="F54006" s="0" t="s">
        <v>12273</v>
      </c>
    </row>
    <row r="54007" customFormat="false" ht="12.8" hidden="false" customHeight="false" outlineLevel="0" collapsed="false">
      <c r="B54007" s="0" t="s">
        <v>124</v>
      </c>
    </row>
    <row r="54009" customFormat="false" ht="12.8" hidden="false" customHeight="false" outlineLevel="0" collapsed="false">
      <c r="A54009" s="0" t="s">
        <v>18914</v>
      </c>
      <c r="B54009" s="0" t="str">
        <f aca="false">HYPERLINK("https://lindat.mff.cuni.cz/services/teitok/pdtc10/index.php?action=vallex&amp;frame=v-w7654f1", "vlézt (v-w7654f1)")</f>
        <v>vlézt (v-w7654f1)</v>
      </c>
    </row>
    <row r="54010" customFormat="false" ht="12.8" hidden="false" customHeight="false" outlineLevel="0" collapsed="false">
      <c r="B54010" s="0" t="s">
        <v>7</v>
      </c>
      <c r="C54010" s="0" t="s">
        <v>4445</v>
      </c>
      <c r="D54010" s="0" t="s">
        <v>1705</v>
      </c>
      <c r="E54010" s="0" t="s">
        <v>1706</v>
      </c>
      <c r="F54010" s="0" t="s">
        <v>1706</v>
      </c>
    </row>
    <row r="54011" customFormat="false" ht="12.8" hidden="false" customHeight="false" outlineLevel="0" collapsed="false">
      <c r="B54011" s="0" t="s">
        <v>124</v>
      </c>
      <c r="D54011" s="0" t="s">
        <v>1707</v>
      </c>
      <c r="E54011" s="0" t="s">
        <v>1707</v>
      </c>
      <c r="F54011" s="0" t="s">
        <v>1707</v>
      </c>
    </row>
    <row r="54013" customFormat="false" ht="12.8" hidden="false" customHeight="false" outlineLevel="0" collapsed="false">
      <c r="A54013" s="0" t="s">
        <v>18915</v>
      </c>
      <c r="B54013" s="0" t="str">
        <f aca="false">HYPERLINK("https://lindat.mff.cuni.cz/services/teitok/pdtc10/index.php?action=vallex&amp;frame=v-w7654f2_ZU", "vlézt (v-w7654f2_ZU)")</f>
        <v>vlézt (v-w7654f2_ZU)</v>
      </c>
    </row>
    <row r="54014" customFormat="false" ht="12.8" hidden="false" customHeight="false" outlineLevel="0" collapsed="false">
      <c r="B54014" s="0" t="s">
        <v>7</v>
      </c>
    </row>
    <row r="54015" customFormat="false" ht="12.8" hidden="false" customHeight="false" outlineLevel="0" collapsed="false">
      <c r="B54015" s="0" t="s">
        <v>18916</v>
      </c>
    </row>
    <row r="54016" customFormat="false" ht="12.8" hidden="false" customHeight="false" outlineLevel="0" collapsed="false">
      <c r="B54016" s="0" t="s">
        <v>142</v>
      </c>
    </row>
    <row r="54018" customFormat="false" ht="12.8" hidden="false" customHeight="false" outlineLevel="0" collapsed="false">
      <c r="A54018" s="0" t="s">
        <v>18915</v>
      </c>
      <c r="B54018" s="0" t="str">
        <f aca="false">HYPERLINK("https://lindat.mff.cuni.cz/services/teitok/pdtc10/index.php?action=vallex&amp;frame=v-w7654hsa_436", "vlézt (v-w7654hsa_436) - substituted with v-w7654f2_ZU")</f>
        <v>vlézt (v-w7654hsa_436) - substituted with v-w7654f2_ZU</v>
      </c>
    </row>
    <row r="54019" customFormat="false" ht="12.8" hidden="false" customHeight="false" outlineLevel="0" collapsed="false">
      <c r="B54019" s="0" t="s">
        <v>7</v>
      </c>
    </row>
    <row r="54020" customFormat="false" ht="12.8" hidden="false" customHeight="false" outlineLevel="0" collapsed="false">
      <c r="B54020" s="0" t="s">
        <v>18916</v>
      </c>
    </row>
    <row r="54021" customFormat="false" ht="12.8" hidden="false" customHeight="false" outlineLevel="0" collapsed="false">
      <c r="B54021" s="0" t="s">
        <v>142</v>
      </c>
    </row>
    <row r="54023" customFormat="false" ht="12.8" hidden="false" customHeight="false" outlineLevel="0" collapsed="false">
      <c r="A54023" s="0" t="s">
        <v>18917</v>
      </c>
      <c r="B54023" s="0" t="str">
        <f aca="false">HYPERLINK("https://lindat.mff.cuni.cz/services/teitok/pdtc10/index.php?action=vallex&amp;frame=v-w7654f3_ZU", "vlézt (v-w7654f3_ZU)")</f>
        <v>vlézt (v-w7654f3_ZU)</v>
      </c>
    </row>
    <row r="54024" customFormat="false" ht="12.8" hidden="false" customHeight="false" outlineLevel="0" collapsed="false">
      <c r="B54024" s="0" t="s">
        <v>7</v>
      </c>
    </row>
    <row r="54025" customFormat="false" ht="12.8" hidden="false" customHeight="false" outlineLevel="0" collapsed="false">
      <c r="B54025" s="0" t="s">
        <v>18918</v>
      </c>
    </row>
    <row r="54026" customFormat="false" ht="12.8" hidden="false" customHeight="false" outlineLevel="0" collapsed="false">
      <c r="B54026" s="0" t="s">
        <v>142</v>
      </c>
    </row>
    <row r="54028" customFormat="false" ht="12.8" hidden="false" customHeight="false" outlineLevel="0" collapsed="false">
      <c r="A54028" s="0" t="s">
        <v>18917</v>
      </c>
      <c r="B54028" s="0" t="str">
        <f aca="false">HYPERLINK("https://lindat.mff.cuni.cz/services/teitok/pdtc10/index.php?action=vallex&amp;frame=v-w7654hsa_437", "vlézt (v-w7654hsa_437) - substituted with v-w7654f3_ZU")</f>
        <v>vlézt (v-w7654hsa_437) - substituted with v-w7654f3_ZU</v>
      </c>
    </row>
    <row r="54029" customFormat="false" ht="12.8" hidden="false" customHeight="false" outlineLevel="0" collapsed="false">
      <c r="B54029" s="0" t="s">
        <v>7</v>
      </c>
    </row>
    <row r="54030" customFormat="false" ht="12.8" hidden="false" customHeight="false" outlineLevel="0" collapsed="false">
      <c r="B54030" s="0" t="s">
        <v>18918</v>
      </c>
    </row>
    <row r="54031" customFormat="false" ht="12.8" hidden="false" customHeight="false" outlineLevel="0" collapsed="false">
      <c r="B54031" s="0" t="s">
        <v>142</v>
      </c>
    </row>
    <row r="54033" customFormat="false" ht="12.8" hidden="false" customHeight="false" outlineLevel="0" collapsed="false">
      <c r="A54033" s="0" t="s">
        <v>18919</v>
      </c>
      <c r="B54033" s="0" t="str">
        <f aca="false">HYPERLINK("https://lindat.mff.cuni.cz/services/teitok/pdtc10/index.php?action=vallex&amp;frame=v-w7654hsa_435", "vlézt (v-w7654hsa_435)")</f>
        <v>vlézt (v-w7654hsa_435)</v>
      </c>
    </row>
    <row r="54034" customFormat="false" ht="12.8" hidden="false" customHeight="false" outlineLevel="0" collapsed="false">
      <c r="B54034" s="0" t="s">
        <v>7</v>
      </c>
    </row>
    <row r="54035" customFormat="false" ht="12.8" hidden="false" customHeight="false" outlineLevel="0" collapsed="false">
      <c r="B54035" s="0" t="s">
        <v>142</v>
      </c>
    </row>
    <row r="54036" customFormat="false" ht="12.8" hidden="false" customHeight="false" outlineLevel="0" collapsed="false">
      <c r="B54036" s="0" t="s">
        <v>124</v>
      </c>
    </row>
    <row r="54038" customFormat="false" ht="12.8" hidden="false" customHeight="false" outlineLevel="0" collapsed="false">
      <c r="A54038" s="0" t="s">
        <v>18920</v>
      </c>
      <c r="B54038" s="0" t="str">
        <f aca="false">HYPERLINK("https://lindat.mff.cuni.cz/services/teitok/pdtc10/index.php?action=vallex&amp;frame=v-w11616_ZUf1_ZU", "vlít (v-w11616_ZUf1_ZU)")</f>
        <v>vlít (v-w11616_ZUf1_ZU)</v>
      </c>
    </row>
    <row r="54039" customFormat="false" ht="12.8" hidden="false" customHeight="false" outlineLevel="0" collapsed="false">
      <c r="B54039" s="0" t="s">
        <v>7</v>
      </c>
      <c r="C54039" s="0" t="s">
        <v>335</v>
      </c>
    </row>
    <row r="54040" customFormat="false" ht="12.8" hidden="false" customHeight="false" outlineLevel="0" collapsed="false">
      <c r="B54040" s="0" t="s">
        <v>14</v>
      </c>
      <c r="C54040" s="0" t="s">
        <v>1170</v>
      </c>
    </row>
    <row r="54041" customFormat="false" ht="12.8" hidden="false" customHeight="false" outlineLevel="0" collapsed="false">
      <c r="B54041" s="0" t="s">
        <v>279</v>
      </c>
    </row>
    <row r="54043" customFormat="false" ht="12.8" hidden="false" customHeight="false" outlineLevel="0" collapsed="false">
      <c r="A54043" s="0" t="s">
        <v>18921</v>
      </c>
      <c r="B54043" s="0" t="str">
        <f aca="false">HYPERLINK("https://lindat.mff.cuni.cz/services/teitok/pdtc10/index.php?action=vallex&amp;frame=v-w10225f2", "vmanipulovat (v-w10225f2)")</f>
        <v>vmanipulovat (v-w10225f2)</v>
      </c>
    </row>
    <row r="54044" customFormat="false" ht="12.8" hidden="false" customHeight="false" outlineLevel="0" collapsed="false">
      <c r="B54044" s="0" t="s">
        <v>7</v>
      </c>
    </row>
    <row r="54045" customFormat="false" ht="12.8" hidden="false" customHeight="false" outlineLevel="0" collapsed="false">
      <c r="B54045" s="0" t="s">
        <v>14</v>
      </c>
    </row>
    <row r="54046" customFormat="false" ht="12.8" hidden="false" customHeight="false" outlineLevel="0" collapsed="false">
      <c r="B54046" s="0" t="s">
        <v>124</v>
      </c>
    </row>
    <row r="54048" customFormat="false" ht="12.8" hidden="false" customHeight="false" outlineLevel="0" collapsed="false">
      <c r="A54048" s="0" t="s">
        <v>18922</v>
      </c>
      <c r="B54048" s="0" t="str">
        <f aca="false">HYPERLINK("https://lindat.mff.cuni.cz/services/teitok/pdtc10/index.php?action=vallex&amp;frame=v-whsa_1313hsa_1314", "vmanévrovat (v-whsa_1313hsa_1314)")</f>
        <v>vmanévrovat (v-whsa_1313hsa_1314)</v>
      </c>
    </row>
    <row r="54049" customFormat="false" ht="12.8" hidden="false" customHeight="false" outlineLevel="0" collapsed="false">
      <c r="B54049" s="0" t="s">
        <v>7</v>
      </c>
      <c r="C54049" s="0" t="s">
        <v>46</v>
      </c>
      <c r="D54049" s="0" t="s">
        <v>10162</v>
      </c>
      <c r="E54049" s="0" t="s">
        <v>10162</v>
      </c>
      <c r="F54049" s="0" t="s">
        <v>10162</v>
      </c>
    </row>
    <row r="54050" customFormat="false" ht="12.8" hidden="false" customHeight="false" outlineLevel="0" collapsed="false">
      <c r="B54050" s="0" t="s">
        <v>14</v>
      </c>
      <c r="C54050" s="0" t="s">
        <v>567</v>
      </c>
      <c r="D54050" s="0" t="s">
        <v>18923</v>
      </c>
      <c r="E54050" s="0" t="s">
        <v>18923</v>
      </c>
      <c r="F54050" s="0" t="s">
        <v>18923</v>
      </c>
    </row>
    <row r="54051" customFormat="false" ht="12.8" hidden="false" customHeight="false" outlineLevel="0" collapsed="false">
      <c r="B54051" s="0" t="s">
        <v>124</v>
      </c>
      <c r="D54051" s="0" t="s">
        <v>18924</v>
      </c>
      <c r="E54051" s="0" t="s">
        <v>18924</v>
      </c>
      <c r="F54051" s="0" t="s">
        <v>18924</v>
      </c>
    </row>
    <row r="54053" customFormat="false" ht="12.8" hidden="false" customHeight="false" outlineLevel="0" collapsed="false">
      <c r="A54053" s="0" t="s">
        <v>18925</v>
      </c>
      <c r="B54053" s="0" t="str">
        <f aca="false">HYPERLINK("https://lindat.mff.cuni.cz/services/teitok/pdtc10/index.php?action=vallex&amp;frame=v-w11895_ZUf1_ZU", "vmašírovat (v-w11895_ZUf1_ZU)")</f>
        <v>vmašírovat (v-w11895_ZUf1_ZU)</v>
      </c>
    </row>
    <row r="54054" customFormat="false" ht="12.8" hidden="false" customHeight="false" outlineLevel="0" collapsed="false">
      <c r="B54054" s="0" t="s">
        <v>7</v>
      </c>
    </row>
    <row r="54055" customFormat="false" ht="12.8" hidden="false" customHeight="false" outlineLevel="0" collapsed="false">
      <c r="B54055" s="0" t="s">
        <v>338</v>
      </c>
    </row>
    <row r="54057" customFormat="false" ht="12.8" hidden="false" customHeight="false" outlineLevel="0" collapsed="false">
      <c r="A54057" s="0" t="s">
        <v>18926</v>
      </c>
      <c r="B54057" s="0" t="str">
        <f aca="false">HYPERLINK("https://lindat.mff.cuni.cz/services/teitok/pdtc10/index.php?action=vallex&amp;frame=v-w11136f2", "vmáčknout (v-w11136f2)")</f>
        <v>vmáčknout (v-w11136f2)</v>
      </c>
    </row>
    <row r="54058" customFormat="false" ht="12.8" hidden="false" customHeight="false" outlineLevel="0" collapsed="false">
      <c r="B54058" s="0" t="s">
        <v>7</v>
      </c>
    </row>
    <row r="54059" customFormat="false" ht="12.8" hidden="false" customHeight="false" outlineLevel="0" collapsed="false">
      <c r="B54059" s="0" t="s">
        <v>14</v>
      </c>
    </row>
    <row r="54060" customFormat="false" ht="12.8" hidden="false" customHeight="false" outlineLevel="0" collapsed="false">
      <c r="B54060" s="0" t="s">
        <v>48</v>
      </c>
    </row>
    <row r="54062" customFormat="false" ht="12.8" hidden="false" customHeight="false" outlineLevel="0" collapsed="false">
      <c r="A54062" s="0" t="s">
        <v>18927</v>
      </c>
      <c r="B54062" s="0" t="str">
        <f aca="false">HYPERLINK("https://lindat.mff.cuni.cz/services/teitok/pdtc10/index.php?action=vallex&amp;frame=v-w11136hsa_333", "vmáčknout (v-w11136hsa_333)")</f>
        <v>vmáčknout (v-w11136hsa_333)</v>
      </c>
    </row>
    <row r="54063" customFormat="false" ht="12.8" hidden="false" customHeight="false" outlineLevel="0" collapsed="false">
      <c r="B54063" s="0" t="s">
        <v>7</v>
      </c>
    </row>
    <row r="54064" customFormat="false" ht="12.8" hidden="false" customHeight="false" outlineLevel="0" collapsed="false">
      <c r="B54064" s="0" t="s">
        <v>14</v>
      </c>
    </row>
    <row r="54065" customFormat="false" ht="12.8" hidden="false" customHeight="false" outlineLevel="0" collapsed="false">
      <c r="B54065" s="0" t="s">
        <v>124</v>
      </c>
    </row>
    <row r="54067" customFormat="false" ht="12.8" hidden="false" customHeight="false" outlineLevel="0" collapsed="false">
      <c r="A54067" s="0" t="s">
        <v>18928</v>
      </c>
      <c r="B54067" s="0" t="str">
        <f aca="false">HYPERLINK("https://lindat.mff.cuni.cz/services/teitok/pdtc10/index.php?action=vallex&amp;frame=v-w7664f1", "vměšovat se (v-w7664f1)")</f>
        <v>vměšovat se (v-w7664f1)</v>
      </c>
    </row>
    <row r="54068" customFormat="false" ht="12.8" hidden="false" customHeight="false" outlineLevel="0" collapsed="false">
      <c r="B54068" s="0" t="s">
        <v>7</v>
      </c>
      <c r="C54068" s="0" t="s">
        <v>108</v>
      </c>
      <c r="D54068" s="0" t="s">
        <v>5834</v>
      </c>
      <c r="E54068" s="0" t="s">
        <v>5834</v>
      </c>
      <c r="F54068" s="0" t="s">
        <v>5834</v>
      </c>
    </row>
    <row r="54069" customFormat="false" ht="12.8" hidden="false" customHeight="false" outlineLevel="0" collapsed="false">
      <c r="B54069" s="0" t="s">
        <v>985</v>
      </c>
      <c r="C54069" s="0" t="s">
        <v>89</v>
      </c>
      <c r="D54069" s="0" t="s">
        <v>5837</v>
      </c>
      <c r="E54069" s="0" t="s">
        <v>5837</v>
      </c>
      <c r="F54069" s="0" t="s">
        <v>5837</v>
      </c>
    </row>
    <row r="54071" customFormat="false" ht="12.8" hidden="false" customHeight="false" outlineLevel="0" collapsed="false">
      <c r="A54071" s="0" t="s">
        <v>18929</v>
      </c>
      <c r="B54071" s="0" t="str">
        <f aca="false">HYPERLINK("https://lindat.mff.cuni.cz/services/teitok/pdtc10/index.php?action=vallex&amp;frame=v-w7664f2", "vměšovat se (v-w7664f2)")</f>
        <v>vměšovat se (v-w7664f2)</v>
      </c>
    </row>
    <row r="54072" customFormat="false" ht="12.8" hidden="false" customHeight="false" outlineLevel="0" collapsed="false">
      <c r="B54072" s="0" t="s">
        <v>7</v>
      </c>
    </row>
    <row r="54073" customFormat="false" ht="12.8" hidden="false" customHeight="false" outlineLevel="0" collapsed="false">
      <c r="B54073" s="0" t="s">
        <v>124</v>
      </c>
    </row>
    <row r="54075" customFormat="false" ht="12.8" hidden="false" customHeight="false" outlineLevel="0" collapsed="false">
      <c r="A54075" s="0" t="s">
        <v>18930</v>
      </c>
      <c r="B54075" s="0" t="str">
        <f aca="false">HYPERLINK("https://lindat.mff.cuni.cz/services/teitok/pdtc10/index.php?action=vallex&amp;frame=v-w7667f1", "vniknout (v-w7667f1)")</f>
        <v>vniknout (v-w7667f1)</v>
      </c>
    </row>
    <row r="54076" customFormat="false" ht="12.8" hidden="false" customHeight="false" outlineLevel="0" collapsed="false">
      <c r="B54076" s="0" t="s">
        <v>7</v>
      </c>
      <c r="E54076" s="0" t="s">
        <v>1706</v>
      </c>
      <c r="F54076" s="0" t="s">
        <v>1706</v>
      </c>
    </row>
    <row r="54077" customFormat="false" ht="12.8" hidden="false" customHeight="false" outlineLevel="0" collapsed="false">
      <c r="B54077" s="0" t="s">
        <v>124</v>
      </c>
      <c r="E54077" s="0" t="s">
        <v>1707</v>
      </c>
      <c r="F54077" s="0" t="s">
        <v>1707</v>
      </c>
    </row>
    <row r="54079" customFormat="false" ht="12.8" hidden="false" customHeight="false" outlineLevel="0" collapsed="false">
      <c r="A54079" s="0" t="s">
        <v>18931</v>
      </c>
      <c r="B54079" s="0" t="str">
        <f aca="false">HYPERLINK("https://lindat.mff.cuni.cz/services/teitok/pdtc10/index.php?action=vallex&amp;frame=v-w11835_ZUf1_ZU", "vnořit (v-w11835_ZUf1_ZU)")</f>
        <v>vnořit (v-w11835_ZUf1_ZU)</v>
      </c>
    </row>
    <row r="54080" customFormat="false" ht="12.8" hidden="false" customHeight="false" outlineLevel="0" collapsed="false">
      <c r="B54080" s="0" t="s">
        <v>7</v>
      </c>
    </row>
    <row r="54081" customFormat="false" ht="12.8" hidden="false" customHeight="false" outlineLevel="0" collapsed="false">
      <c r="B54081" s="0" t="s">
        <v>14</v>
      </c>
    </row>
    <row r="54082" customFormat="false" ht="12.8" hidden="false" customHeight="false" outlineLevel="0" collapsed="false">
      <c r="B54082" s="0" t="s">
        <v>338</v>
      </c>
    </row>
    <row r="54084" customFormat="false" ht="12.8" hidden="false" customHeight="false" outlineLevel="0" collapsed="false">
      <c r="A54084" s="0" t="s">
        <v>18932</v>
      </c>
      <c r="B54084" s="0" t="str">
        <f aca="false">HYPERLINK("https://lindat.mff.cuni.cz/services/teitok/pdtc10/index.php?action=vallex&amp;frame=v-w7675f1", "vnucovat (v-w7675f1)")</f>
        <v>vnucovat (v-w7675f1)</v>
      </c>
    </row>
    <row r="54085" customFormat="false" ht="12.8" hidden="false" customHeight="false" outlineLevel="0" collapsed="false">
      <c r="B54085" s="0" t="s">
        <v>7</v>
      </c>
      <c r="C54085" s="0" t="s">
        <v>1154</v>
      </c>
      <c r="D54085" s="0" t="s">
        <v>10073</v>
      </c>
      <c r="E54085" s="0" t="s">
        <v>10073</v>
      </c>
      <c r="F54085" s="0" t="s">
        <v>10073</v>
      </c>
    </row>
    <row r="54086" customFormat="false" ht="12.8" hidden="false" customHeight="false" outlineLevel="0" collapsed="false">
      <c r="B54086" s="0" t="s">
        <v>172</v>
      </c>
      <c r="C54086" s="0" t="s">
        <v>7210</v>
      </c>
      <c r="D54086" s="0" t="s">
        <v>10074</v>
      </c>
      <c r="E54086" s="0" t="s">
        <v>10074</v>
      </c>
      <c r="F54086" s="0" t="s">
        <v>10074</v>
      </c>
    </row>
    <row r="54087" customFormat="false" ht="12.8" hidden="false" customHeight="false" outlineLevel="0" collapsed="false">
      <c r="B54087" s="0" t="s">
        <v>48</v>
      </c>
      <c r="C54087" s="0" t="s">
        <v>3052</v>
      </c>
      <c r="D54087" s="0" t="s">
        <v>10075</v>
      </c>
      <c r="E54087" s="0" t="s">
        <v>10075</v>
      </c>
      <c r="F54087" s="0" t="s">
        <v>10075</v>
      </c>
    </row>
    <row r="54089" customFormat="false" ht="12.8" hidden="false" customHeight="false" outlineLevel="0" collapsed="false">
      <c r="A54089" s="0" t="s">
        <v>18933</v>
      </c>
      <c r="B54089" s="0" t="str">
        <f aca="false">HYPERLINK("https://lindat.mff.cuni.cz/services/teitok/pdtc10/index.php?action=vallex&amp;frame=v-w7676f1", "vnucovat se (v-w7676f1)")</f>
        <v>vnucovat se (v-w7676f1)</v>
      </c>
    </row>
    <row r="54090" customFormat="false" ht="12.8" hidden="false" customHeight="false" outlineLevel="0" collapsed="false">
      <c r="B54090" s="0" t="s">
        <v>7</v>
      </c>
    </row>
    <row r="54091" customFormat="false" ht="12.8" hidden="false" customHeight="false" outlineLevel="0" collapsed="false">
      <c r="B54091" s="0" t="s">
        <v>142</v>
      </c>
    </row>
    <row r="54093" customFormat="false" ht="12.8" hidden="false" customHeight="false" outlineLevel="0" collapsed="false">
      <c r="A54093" s="0" t="s">
        <v>18934</v>
      </c>
      <c r="B54093" s="0" t="str">
        <f aca="false">HYPERLINK("https://lindat.mff.cuni.cz/services/teitok/pdtc10/index.php?action=vallex&amp;frame=v-w7678f1", "vnutit (v-w7678f1)")</f>
        <v>vnutit (v-w7678f1)</v>
      </c>
    </row>
    <row r="54094" customFormat="false" ht="12.8" hidden="false" customHeight="false" outlineLevel="0" collapsed="false">
      <c r="B54094" s="0" t="s">
        <v>7</v>
      </c>
      <c r="C54094" s="0" t="s">
        <v>191</v>
      </c>
      <c r="D54094" s="0" t="s">
        <v>10073</v>
      </c>
      <c r="E54094" s="0" t="s">
        <v>10073</v>
      </c>
      <c r="F54094" s="0" t="s">
        <v>10073</v>
      </c>
    </row>
    <row r="54095" customFormat="false" ht="12.8" hidden="false" customHeight="false" outlineLevel="0" collapsed="false">
      <c r="B54095" s="0" t="s">
        <v>172</v>
      </c>
      <c r="C54095" s="0" t="s">
        <v>384</v>
      </c>
      <c r="D54095" s="0" t="s">
        <v>10074</v>
      </c>
      <c r="E54095" s="0" t="s">
        <v>10074</v>
      </c>
      <c r="F54095" s="0" t="s">
        <v>10074</v>
      </c>
    </row>
    <row r="54096" customFormat="false" ht="12.8" hidden="false" customHeight="false" outlineLevel="0" collapsed="false">
      <c r="B54096" s="0" t="s">
        <v>48</v>
      </c>
      <c r="C54096" s="0" t="s">
        <v>5001</v>
      </c>
      <c r="D54096" s="0" t="s">
        <v>10075</v>
      </c>
      <c r="E54096" s="0" t="s">
        <v>10075</v>
      </c>
      <c r="F54096" s="0" t="s">
        <v>10075</v>
      </c>
    </row>
    <row r="54098" customFormat="false" ht="12.8" hidden="false" customHeight="false" outlineLevel="0" collapsed="false">
      <c r="A54098" s="0" t="s">
        <v>18935</v>
      </c>
      <c r="B54098" s="0" t="str">
        <f aca="false">HYPERLINK("https://lindat.mff.cuni.cz/services/teitok/pdtc10/index.php?action=vallex&amp;frame=v-whsa_936hsa_937", "vnutit se (v-whsa_936hsa_937)")</f>
        <v>vnutit se (v-whsa_936hsa_937)</v>
      </c>
    </row>
    <row r="54099" customFormat="false" ht="12.8" hidden="false" customHeight="false" outlineLevel="0" collapsed="false">
      <c r="B54099" s="0" t="s">
        <v>7</v>
      </c>
    </row>
    <row r="54100" customFormat="false" ht="12.8" hidden="false" customHeight="false" outlineLevel="0" collapsed="false">
      <c r="B54100" s="0" t="s">
        <v>142</v>
      </c>
    </row>
    <row r="54102" customFormat="false" ht="12.8" hidden="false" customHeight="false" outlineLevel="0" collapsed="false">
      <c r="A54102" s="0" t="s">
        <v>18936</v>
      </c>
      <c r="B54102" s="0" t="str">
        <f aca="false">HYPERLINK("https://lindat.mff.cuni.cz/services/teitok/pdtc10/index.php?action=vallex&amp;frame=v-w7665f1", "vnášet (v-w7665f1)")</f>
        <v>vnášet (v-w7665f1)</v>
      </c>
    </row>
    <row r="54103" customFormat="false" ht="12.8" hidden="false" customHeight="false" outlineLevel="0" collapsed="false">
      <c r="B54103" s="0" t="s">
        <v>7</v>
      </c>
    </row>
    <row r="54104" customFormat="false" ht="12.8" hidden="false" customHeight="false" outlineLevel="0" collapsed="false">
      <c r="B54104" s="0" t="s">
        <v>14</v>
      </c>
    </row>
    <row r="54105" customFormat="false" ht="12.8" hidden="false" customHeight="false" outlineLevel="0" collapsed="false">
      <c r="B54105" s="0" t="s">
        <v>124</v>
      </c>
    </row>
    <row r="54107" customFormat="false" ht="12.8" hidden="false" customHeight="false" outlineLevel="0" collapsed="false">
      <c r="A54107" s="0" t="s">
        <v>18937</v>
      </c>
      <c r="B54107" s="0" t="str">
        <f aca="false">HYPERLINK("https://lindat.mff.cuni.cz/services/teitok/pdtc10/index.php?action=vallex&amp;frame=v-w7666f1", "vnést (v-w7666f1)")</f>
        <v>vnést (v-w7666f1)</v>
      </c>
    </row>
    <row r="54108" customFormat="false" ht="12.8" hidden="false" customHeight="false" outlineLevel="0" collapsed="false">
      <c r="B54108" s="0" t="s">
        <v>7</v>
      </c>
      <c r="C54108" s="0" t="s">
        <v>7303</v>
      </c>
      <c r="D54108" s="0" t="s">
        <v>2323</v>
      </c>
      <c r="E54108" s="0" t="s">
        <v>2323</v>
      </c>
      <c r="F54108" s="0" t="s">
        <v>2323</v>
      </c>
    </row>
    <row r="54109" customFormat="false" ht="12.8" hidden="false" customHeight="false" outlineLevel="0" collapsed="false">
      <c r="B54109" s="0" t="s">
        <v>14</v>
      </c>
      <c r="C54109" s="0" t="s">
        <v>18938</v>
      </c>
      <c r="D54109" s="0" t="s">
        <v>1918</v>
      </c>
      <c r="E54109" s="0" t="s">
        <v>1918</v>
      </c>
      <c r="F54109" s="0" t="s">
        <v>1918</v>
      </c>
    </row>
    <row r="54110" customFormat="false" ht="12.8" hidden="false" customHeight="false" outlineLevel="0" collapsed="false">
      <c r="B54110" s="0" t="s">
        <v>124</v>
      </c>
      <c r="C54110" s="0" t="s">
        <v>18939</v>
      </c>
      <c r="D54110" s="0" t="s">
        <v>2325</v>
      </c>
      <c r="E54110" s="0" t="s">
        <v>2325</v>
      </c>
      <c r="F54110" s="0" t="s">
        <v>2325</v>
      </c>
    </row>
    <row r="54112" customFormat="false" ht="12.8" hidden="false" customHeight="false" outlineLevel="0" collapsed="false">
      <c r="A54112" s="0" t="s">
        <v>18940</v>
      </c>
      <c r="B54112" s="0" t="str">
        <f aca="false">HYPERLINK("https://lindat.mff.cuni.cz/services/teitok/pdtc10/index.php?action=vallex&amp;frame=v-w7672f2", "vnímat (v-w7672f2)")</f>
        <v>vnímat (v-w7672f2)</v>
      </c>
    </row>
    <row r="54113" customFormat="false" ht="12.8" hidden="false" customHeight="false" outlineLevel="0" collapsed="false">
      <c r="B54113" s="0" t="s">
        <v>7</v>
      </c>
      <c r="C54113" s="0" t="s">
        <v>18941</v>
      </c>
      <c r="D54113" s="0" t="s">
        <v>451</v>
      </c>
      <c r="E54113" s="0" t="s">
        <v>451</v>
      </c>
      <c r="F54113" s="0" t="s">
        <v>451</v>
      </c>
    </row>
    <row r="54114" customFormat="false" ht="12.8" hidden="false" customHeight="false" outlineLevel="0" collapsed="false">
      <c r="B54114" s="0" t="s">
        <v>14</v>
      </c>
      <c r="C54114" s="0" t="s">
        <v>18942</v>
      </c>
      <c r="D54114" s="0" t="s">
        <v>453</v>
      </c>
      <c r="E54114" s="0" t="s">
        <v>453</v>
      </c>
      <c r="F54114" s="0" t="s">
        <v>453</v>
      </c>
    </row>
    <row r="54115" customFormat="false" ht="12.8" hidden="false" customHeight="false" outlineLevel="0" collapsed="false">
      <c r="B54115" s="0" t="s">
        <v>1358</v>
      </c>
      <c r="C54115" s="0" t="s">
        <v>18943</v>
      </c>
      <c r="D54115" s="0" t="s">
        <v>455</v>
      </c>
      <c r="E54115" s="0" t="s">
        <v>455</v>
      </c>
      <c r="F54115" s="0" t="s">
        <v>455</v>
      </c>
    </row>
    <row r="54117" customFormat="false" ht="12.8" hidden="false" customHeight="false" outlineLevel="0" collapsed="false">
      <c r="A54117" s="0" t="s">
        <v>18944</v>
      </c>
      <c r="B54117" s="0" t="str">
        <f aca="false">HYPERLINK("https://lindat.mff.cuni.cz/services/teitok/pdtc10/index.php?action=vallex&amp;frame=v-w7672f3_ZU", "vnímat (v-w7672f3_ZU)")</f>
        <v>vnímat (v-w7672f3_ZU)</v>
      </c>
    </row>
    <row r="54118" customFormat="false" ht="12.8" hidden="false" customHeight="false" outlineLevel="0" collapsed="false">
      <c r="B54118" s="0" t="s">
        <v>7</v>
      </c>
      <c r="C54118" s="0" t="s">
        <v>1458</v>
      </c>
      <c r="D54118" s="0" t="s">
        <v>1448</v>
      </c>
      <c r="E54118" s="0" t="s">
        <v>1448</v>
      </c>
      <c r="F54118" s="0" t="s">
        <v>1448</v>
      </c>
    </row>
    <row r="54119" customFormat="false" ht="12.8" hidden="false" customHeight="false" outlineLevel="0" collapsed="false">
      <c r="B54119" s="0" t="s">
        <v>54</v>
      </c>
      <c r="C54119" s="0" t="s">
        <v>1532</v>
      </c>
      <c r="D54119" s="0" t="s">
        <v>26</v>
      </c>
      <c r="E54119" s="0" t="s">
        <v>26</v>
      </c>
      <c r="F54119" s="0" t="s">
        <v>26</v>
      </c>
    </row>
    <row r="54121" customFormat="false" ht="12.8" hidden="false" customHeight="false" outlineLevel="0" collapsed="false">
      <c r="A54121" s="0" t="s">
        <v>18944</v>
      </c>
      <c r="B54121" s="0" t="str">
        <f aca="false">HYPERLINK("https://lindat.mff.cuni.cz/services/teitok/pdtc10/index.php?action=vallex&amp;frame=v-w7672f1", "vnímat (v-w7672f1) - substituted with v-w7672f3_ZU")</f>
        <v>vnímat (v-w7672f1) - substituted with v-w7672f3_ZU</v>
      </c>
    </row>
    <row r="54122" customFormat="false" ht="12.8" hidden="false" customHeight="false" outlineLevel="0" collapsed="false">
      <c r="B54122" s="0" t="s">
        <v>7</v>
      </c>
      <c r="C54122" s="0" t="s">
        <v>1154</v>
      </c>
    </row>
    <row r="54123" customFormat="false" ht="12.8" hidden="false" customHeight="false" outlineLevel="0" collapsed="false">
      <c r="B54123" s="0" t="s">
        <v>54</v>
      </c>
      <c r="C54123" s="0" t="s">
        <v>3407</v>
      </c>
    </row>
    <row r="54125" customFormat="false" ht="12.8" hidden="false" customHeight="false" outlineLevel="0" collapsed="false">
      <c r="A54125" s="0" t="s">
        <v>18945</v>
      </c>
      <c r="B54125" s="0" t="str">
        <f aca="false">HYPERLINK("https://lindat.mff.cuni.cz/services/teitok/pdtc10/index.php?action=vallex&amp;frame=v-w7672hsa_716", "vnímat (v-w7672hsa_716)")</f>
        <v>vnímat (v-w7672hsa_716)</v>
      </c>
    </row>
    <row r="54126" customFormat="false" ht="12.8" hidden="false" customHeight="false" outlineLevel="0" collapsed="false">
      <c r="B54126" s="0" t="s">
        <v>7</v>
      </c>
    </row>
    <row r="54127" customFormat="false" ht="12.8" hidden="false" customHeight="false" outlineLevel="0" collapsed="false">
      <c r="B54127" s="0" t="s">
        <v>14</v>
      </c>
    </row>
    <row r="54128" customFormat="false" ht="12.8" hidden="false" customHeight="false" outlineLevel="0" collapsed="false">
      <c r="B54128" s="0" t="s">
        <v>662</v>
      </c>
    </row>
    <row r="54130" customFormat="false" ht="12.8" hidden="false" customHeight="false" outlineLevel="0" collapsed="false">
      <c r="A54130" s="0" t="s">
        <v>18946</v>
      </c>
      <c r="B54130" s="0" t="str">
        <f aca="false">HYPERLINK("https://lindat.mff.cuni.cz/services/teitok/pdtc10/index.php?action=vallex&amp;frame=v-w7680f1", "vodit (v-w7680f1)")</f>
        <v>vodit (v-w7680f1)</v>
      </c>
    </row>
    <row r="54131" customFormat="false" ht="12.8" hidden="false" customHeight="false" outlineLevel="0" collapsed="false">
      <c r="B54131" s="0" t="s">
        <v>7</v>
      </c>
      <c r="C54131" s="0" t="s">
        <v>1509</v>
      </c>
      <c r="D54131" s="0" t="s">
        <v>2675</v>
      </c>
      <c r="E54131" s="0" t="s">
        <v>2675</v>
      </c>
      <c r="F54131" s="0" t="s">
        <v>2675</v>
      </c>
    </row>
    <row r="54132" customFormat="false" ht="12.8" hidden="false" customHeight="false" outlineLevel="0" collapsed="false">
      <c r="B54132" s="0" t="s">
        <v>14</v>
      </c>
      <c r="C54132" s="0" t="s">
        <v>14312</v>
      </c>
      <c r="D54132" s="0" t="s">
        <v>2677</v>
      </c>
      <c r="E54132" s="0" t="s">
        <v>2677</v>
      </c>
      <c r="F54132" s="0" t="s">
        <v>2677</v>
      </c>
    </row>
    <row r="54134" customFormat="false" ht="12.8" hidden="false" customHeight="false" outlineLevel="0" collapsed="false">
      <c r="A54134" s="0" t="s">
        <v>18947</v>
      </c>
      <c r="B54134" s="0" t="str">
        <f aca="false">HYPERLINK("https://lindat.mff.cuni.cz/services/teitok/pdtc10/index.php?action=vallex&amp;frame=v-w12279_ZUf1_ZU", "vojákovat (v-w12279_ZUf1_ZU)")</f>
        <v>vojákovat (v-w12279_ZUf1_ZU)</v>
      </c>
    </row>
    <row r="54135" customFormat="false" ht="12.8" hidden="false" customHeight="false" outlineLevel="0" collapsed="false">
      <c r="B54135" s="0" t="s">
        <v>7</v>
      </c>
    </row>
    <row r="54137" customFormat="false" ht="12.8" hidden="false" customHeight="false" outlineLevel="0" collapsed="false">
      <c r="A54137" s="0" t="s">
        <v>18948</v>
      </c>
      <c r="B54137" s="0" t="str">
        <f aca="false">HYPERLINK("https://lindat.mff.cuni.cz/services/teitok/pdtc10/index.php?action=vallex&amp;frame=v-w7683f1", "volat (v-w7683f1)")</f>
        <v>volat (v-w7683f1)</v>
      </c>
    </row>
    <row r="54138" customFormat="false" ht="12.8" hidden="false" customHeight="false" outlineLevel="0" collapsed="false">
      <c r="B54138" s="0" t="s">
        <v>7</v>
      </c>
      <c r="C54138" s="0" t="s">
        <v>3664</v>
      </c>
      <c r="D54138" s="0" t="s">
        <v>2797</v>
      </c>
      <c r="E54138" s="0" t="s">
        <v>2797</v>
      </c>
      <c r="F54138" s="0" t="s">
        <v>2797</v>
      </c>
    </row>
    <row r="54139" customFormat="false" ht="12.8" hidden="false" customHeight="false" outlineLevel="0" collapsed="false">
      <c r="B54139" s="0" t="s">
        <v>367</v>
      </c>
      <c r="D54139" s="0" t="s">
        <v>8694</v>
      </c>
      <c r="E54139" s="0" t="s">
        <v>8694</v>
      </c>
      <c r="F54139" s="0" t="s">
        <v>8694</v>
      </c>
    </row>
    <row r="54140" customFormat="false" ht="12.8" hidden="false" customHeight="false" outlineLevel="0" collapsed="false">
      <c r="B54140" s="0" t="s">
        <v>48</v>
      </c>
      <c r="C54140" s="0" t="s">
        <v>18949</v>
      </c>
      <c r="D54140" s="0" t="s">
        <v>398</v>
      </c>
      <c r="E54140" s="0" t="s">
        <v>398</v>
      </c>
      <c r="F54140" s="0" t="s">
        <v>398</v>
      </c>
    </row>
    <row r="54142" customFormat="false" ht="12.8" hidden="false" customHeight="false" outlineLevel="0" collapsed="false">
      <c r="A54142" s="0" t="s">
        <v>18950</v>
      </c>
      <c r="B54142" s="0" t="str">
        <f aca="false">HYPERLINK("https://lindat.mff.cuni.cz/services/teitok/pdtc10/index.php?action=vallex&amp;frame=v-w7683f10_ZU", "volat (v-w7683f10_ZU)")</f>
        <v>volat (v-w7683f10_ZU)</v>
      </c>
    </row>
    <row r="54143" customFormat="false" ht="12.8" hidden="false" customHeight="false" outlineLevel="0" collapsed="false">
      <c r="B54143" s="0" t="s">
        <v>7</v>
      </c>
    </row>
    <row r="54144" customFormat="false" ht="12.8" hidden="false" customHeight="false" outlineLevel="0" collapsed="false">
      <c r="B54144" s="0" t="s">
        <v>18951</v>
      </c>
    </row>
    <row r="54145" customFormat="false" ht="12.8" hidden="false" customHeight="false" outlineLevel="0" collapsed="false">
      <c r="B54145" s="0" t="s">
        <v>4101</v>
      </c>
    </row>
    <row r="54147" customFormat="false" ht="12.8" hidden="false" customHeight="false" outlineLevel="0" collapsed="false">
      <c r="A54147" s="0" t="s">
        <v>18950</v>
      </c>
      <c r="B54147" s="0" t="str">
        <f aca="false">HYPERLINK("https://lindat.mff.cuni.cz/services/teitok/pdtc10/index.php?action=vallex&amp;frame=v-w7683f6", "volat (v-w7683f6) - substituted with v-w7683f10_ZU")</f>
        <v>volat (v-w7683f6) - substituted with v-w7683f10_ZU</v>
      </c>
    </row>
    <row r="54148" customFormat="false" ht="12.8" hidden="false" customHeight="false" outlineLevel="0" collapsed="false">
      <c r="B54148" s="0" t="s">
        <v>7</v>
      </c>
      <c r="C54148" s="0" t="s">
        <v>3664</v>
      </c>
    </row>
    <row r="54149" customFormat="false" ht="12.8" hidden="false" customHeight="false" outlineLevel="0" collapsed="false">
      <c r="B54149" s="0" t="s">
        <v>18951</v>
      </c>
    </row>
    <row r="54150" customFormat="false" ht="12.8" hidden="false" customHeight="false" outlineLevel="0" collapsed="false">
      <c r="B54150" s="0" t="s">
        <v>4101</v>
      </c>
      <c r="C54150" s="0" t="s">
        <v>18949</v>
      </c>
    </row>
    <row r="54152" customFormat="false" ht="12.8" hidden="false" customHeight="false" outlineLevel="0" collapsed="false">
      <c r="A54152" s="0" t="s">
        <v>18952</v>
      </c>
      <c r="B54152" s="0" t="str">
        <f aca="false">HYPERLINK("https://lindat.mff.cuni.cz/services/teitok/pdtc10/index.php?action=vallex&amp;frame=v-w7683f9", "volat (v-w7683f9)")</f>
        <v>volat (v-w7683f9)</v>
      </c>
    </row>
    <row r="54153" customFormat="false" ht="12.8" hidden="false" customHeight="false" outlineLevel="0" collapsed="false">
      <c r="B54153" s="0" t="s">
        <v>7</v>
      </c>
    </row>
    <row r="54154" customFormat="false" ht="12.8" hidden="false" customHeight="false" outlineLevel="0" collapsed="false">
      <c r="B54154" s="0" t="s">
        <v>244</v>
      </c>
    </row>
    <row r="54155" customFormat="false" ht="12.8" hidden="false" customHeight="false" outlineLevel="0" collapsed="false">
      <c r="B54155" s="0" t="s">
        <v>2767</v>
      </c>
    </row>
    <row r="54157" customFormat="false" ht="12.8" hidden="false" customHeight="false" outlineLevel="0" collapsed="false">
      <c r="A54157" s="0" t="s">
        <v>18953</v>
      </c>
      <c r="B54157" s="0" t="str">
        <f aca="false">HYPERLINK("https://lindat.mff.cuni.cz/services/teitok/pdtc10/index.php?action=vallex&amp;frame=v-w7683f3", "volat (v-w7683f3)")</f>
        <v>volat (v-w7683f3)</v>
      </c>
    </row>
    <row r="54158" customFormat="false" ht="12.8" hidden="false" customHeight="false" outlineLevel="0" collapsed="false">
      <c r="B54158" s="0" t="s">
        <v>7</v>
      </c>
      <c r="C54158" s="0" t="s">
        <v>3664</v>
      </c>
      <c r="D54158" s="0" t="s">
        <v>14671</v>
      </c>
      <c r="E54158" s="0" t="s">
        <v>10458</v>
      </c>
      <c r="F54158" s="0" t="s">
        <v>10458</v>
      </c>
    </row>
    <row r="54159" customFormat="false" ht="12.8" hidden="false" customHeight="false" outlineLevel="0" collapsed="false">
      <c r="B54159" s="0" t="s">
        <v>14</v>
      </c>
      <c r="C54159" s="0" t="s">
        <v>2641</v>
      </c>
      <c r="D54159" s="0" t="s">
        <v>10088</v>
      </c>
      <c r="E54159" s="0" t="s">
        <v>2584</v>
      </c>
      <c r="F54159" s="0" t="s">
        <v>2584</v>
      </c>
    </row>
    <row r="54161" customFormat="false" ht="12.8" hidden="false" customHeight="false" outlineLevel="0" collapsed="false">
      <c r="A54161" s="0" t="s">
        <v>18954</v>
      </c>
      <c r="B54161" s="0" t="str">
        <f aca="false">HYPERLINK("https://lindat.mff.cuni.cz/services/teitok/pdtc10/index.php?action=vallex&amp;frame=v-w7683f11_ZU", "volat (v-w7683f11_ZU)")</f>
        <v>volat (v-w7683f11_ZU)</v>
      </c>
    </row>
    <row r="54162" customFormat="false" ht="12.8" hidden="false" customHeight="false" outlineLevel="0" collapsed="false">
      <c r="B54162" s="0" t="s">
        <v>7</v>
      </c>
    </row>
    <row r="54163" customFormat="false" ht="12.8" hidden="false" customHeight="false" outlineLevel="0" collapsed="false">
      <c r="B54163" s="0" t="s">
        <v>14</v>
      </c>
    </row>
    <row r="54165" customFormat="false" ht="12.8" hidden="false" customHeight="false" outlineLevel="0" collapsed="false">
      <c r="A54165" s="0" t="s">
        <v>18954</v>
      </c>
      <c r="B54165" s="0" t="str">
        <f aca="false">HYPERLINK("https://lindat.mff.cuni.cz/services/teitok/pdtc10/index.php?action=vallex&amp;frame=v-w7683f5", "volat (v-w7683f5) - substituted with v-w7683f11_ZU")</f>
        <v>volat (v-w7683f5) - substituted with v-w7683f11_ZU</v>
      </c>
    </row>
    <row r="54166" customFormat="false" ht="12.8" hidden="false" customHeight="false" outlineLevel="0" collapsed="false">
      <c r="B54166" s="0" t="s">
        <v>7</v>
      </c>
      <c r="C54166" s="0" t="s">
        <v>1226</v>
      </c>
      <c r="D54166" s="0" t="s">
        <v>14671</v>
      </c>
      <c r="E54166" s="0" t="s">
        <v>10458</v>
      </c>
      <c r="F54166" s="0" t="s">
        <v>10458</v>
      </c>
    </row>
    <row r="54167" customFormat="false" ht="12.8" hidden="false" customHeight="false" outlineLevel="0" collapsed="false">
      <c r="B54167" s="0" t="s">
        <v>14</v>
      </c>
      <c r="C54167" s="0" t="s">
        <v>1605</v>
      </c>
      <c r="D54167" s="0" t="s">
        <v>10088</v>
      </c>
      <c r="E54167" s="0" t="s">
        <v>2584</v>
      </c>
      <c r="F54167" s="0" t="s">
        <v>2584</v>
      </c>
    </row>
    <row r="54169" customFormat="false" ht="12.8" hidden="false" customHeight="false" outlineLevel="0" collapsed="false">
      <c r="A54169" s="0" t="s">
        <v>18955</v>
      </c>
      <c r="B54169" s="0" t="str">
        <f aca="false">HYPERLINK("https://lindat.mff.cuni.cz/services/teitok/pdtc10/index.php?action=vallex&amp;frame=v-w7683f2", "volat (v-w7683f2)")</f>
        <v>volat (v-w7683f2)</v>
      </c>
    </row>
    <row r="54170" customFormat="false" ht="12.8" hidden="false" customHeight="false" outlineLevel="0" collapsed="false">
      <c r="B54170" s="0" t="s">
        <v>7</v>
      </c>
      <c r="C54170" s="0" t="s">
        <v>9879</v>
      </c>
      <c r="D54170" s="0" t="s">
        <v>18956</v>
      </c>
      <c r="E54170" s="0" t="s">
        <v>18956</v>
      </c>
      <c r="F54170" s="0" t="s">
        <v>18956</v>
      </c>
    </row>
    <row r="54171" customFormat="false" ht="12.8" hidden="false" customHeight="false" outlineLevel="0" collapsed="false">
      <c r="B54171" s="0" t="s">
        <v>1375</v>
      </c>
      <c r="C54171" s="0" t="s">
        <v>18957</v>
      </c>
      <c r="D54171" s="0" t="s">
        <v>18958</v>
      </c>
      <c r="E54171" s="0" t="s">
        <v>18958</v>
      </c>
      <c r="F54171" s="0" t="s">
        <v>18958</v>
      </c>
    </row>
    <row r="54173" customFormat="false" ht="12.8" hidden="false" customHeight="false" outlineLevel="0" collapsed="false">
      <c r="A54173" s="0" t="s">
        <v>18959</v>
      </c>
      <c r="B54173" s="0" t="str">
        <f aca="false">HYPERLINK("https://lindat.mff.cuni.cz/services/teitok/pdtc10/index.php?action=vallex&amp;frame=v-w7683f7", "volat (v-w7683f7)")</f>
        <v>volat (v-w7683f7)</v>
      </c>
    </row>
    <row r="54174" customFormat="false" ht="12.8" hidden="false" customHeight="false" outlineLevel="0" collapsed="false">
      <c r="B54174" s="0" t="s">
        <v>7</v>
      </c>
      <c r="C54174" s="0" t="s">
        <v>1226</v>
      </c>
      <c r="D54174" s="0" t="s">
        <v>2797</v>
      </c>
      <c r="E54174" s="0" t="s">
        <v>2797</v>
      </c>
      <c r="F54174" s="0" t="s">
        <v>2797</v>
      </c>
    </row>
    <row r="54175" customFormat="false" ht="12.8" hidden="false" customHeight="false" outlineLevel="0" collapsed="false">
      <c r="B54175" s="0" t="s">
        <v>48</v>
      </c>
      <c r="C54175" s="0" t="s">
        <v>12074</v>
      </c>
      <c r="D54175" s="0" t="s">
        <v>398</v>
      </c>
      <c r="E54175" s="0" t="s">
        <v>398</v>
      </c>
      <c r="F54175" s="0" t="s">
        <v>398</v>
      </c>
    </row>
    <row r="54176" customFormat="false" ht="12.8" hidden="false" customHeight="false" outlineLevel="0" collapsed="false">
      <c r="B54176" s="0" t="s">
        <v>363</v>
      </c>
      <c r="C54176" s="0" t="s">
        <v>3694</v>
      </c>
      <c r="D54176" s="0" t="s">
        <v>8694</v>
      </c>
      <c r="E54176" s="0" t="s">
        <v>8694</v>
      </c>
      <c r="F54176" s="0" t="s">
        <v>8694</v>
      </c>
    </row>
    <row r="54178" customFormat="false" ht="12.8" hidden="false" customHeight="false" outlineLevel="0" collapsed="false">
      <c r="A54178" s="0" t="s">
        <v>18960</v>
      </c>
      <c r="B54178" s="0" t="str">
        <f aca="false">HYPERLINK("https://lindat.mff.cuni.cz/services/teitok/pdtc10/index.php?action=vallex&amp;frame=v-w7683f8", "volat (v-w7683f8)")</f>
        <v>volat (v-w7683f8)</v>
      </c>
    </row>
    <row r="54179" customFormat="false" ht="12.8" hidden="false" customHeight="false" outlineLevel="0" collapsed="false">
      <c r="B54179" s="0" t="s">
        <v>7</v>
      </c>
    </row>
    <row r="54180" customFormat="false" ht="12.8" hidden="false" customHeight="false" outlineLevel="0" collapsed="false">
      <c r="B54180" s="0" t="s">
        <v>48</v>
      </c>
    </row>
    <row r="54181" customFormat="false" ht="12.8" hidden="false" customHeight="false" outlineLevel="0" collapsed="false">
      <c r="B54181" s="0" t="s">
        <v>5518</v>
      </c>
    </row>
    <row r="54182" customFormat="false" ht="12.8" hidden="false" customHeight="false" outlineLevel="0" collapsed="false">
      <c r="B54182" s="0" t="s">
        <v>363</v>
      </c>
    </row>
    <row r="54184" customFormat="false" ht="12.8" hidden="false" customHeight="false" outlineLevel="0" collapsed="false">
      <c r="A54184" s="0" t="s">
        <v>18961</v>
      </c>
      <c r="B54184" s="0" t="str">
        <f aca="false">HYPERLINK("https://lindat.mff.cuni.cz/services/teitok/pdtc10/index.php?action=vallex&amp;frame=v-w7683f4", "volat (v-w7683f4)")</f>
        <v>volat (v-w7683f4)</v>
      </c>
    </row>
    <row r="54185" customFormat="false" ht="12.8" hidden="false" customHeight="false" outlineLevel="0" collapsed="false">
      <c r="B54185" s="0" t="s">
        <v>7</v>
      </c>
      <c r="C54185" s="0" t="s">
        <v>2557</v>
      </c>
      <c r="D54185" s="0" t="s">
        <v>2797</v>
      </c>
      <c r="E54185" s="0" t="s">
        <v>2797</v>
      </c>
      <c r="F54185" s="0" t="s">
        <v>2797</v>
      </c>
    </row>
    <row r="54186" customFormat="false" ht="12.8" hidden="false" customHeight="false" outlineLevel="0" collapsed="false">
      <c r="B54186" s="0" t="s">
        <v>124</v>
      </c>
      <c r="C54186" s="0" t="s">
        <v>17163</v>
      </c>
      <c r="D54186" s="0" t="s">
        <v>17040</v>
      </c>
      <c r="E54186" s="0" t="s">
        <v>17040</v>
      </c>
      <c r="F54186" s="0" t="s">
        <v>17040</v>
      </c>
    </row>
    <row r="54187" customFormat="false" ht="12.8" hidden="false" customHeight="false" outlineLevel="0" collapsed="false">
      <c r="B54187" s="0" t="s">
        <v>363</v>
      </c>
      <c r="C54187" s="0" t="s">
        <v>9234</v>
      </c>
      <c r="D54187" s="0" t="s">
        <v>8694</v>
      </c>
      <c r="E54187" s="0" t="s">
        <v>8694</v>
      </c>
      <c r="F54187" s="0" t="s">
        <v>8694</v>
      </c>
    </row>
    <row r="54189" customFormat="false" ht="12.8" hidden="false" customHeight="false" outlineLevel="0" collapsed="false">
      <c r="A54189" s="0" t="s">
        <v>18962</v>
      </c>
      <c r="B54189" s="0" t="str">
        <f aca="false">HYPERLINK("https://lindat.mff.cuni.cz/services/teitok/pdtc10/index.php?action=vallex&amp;frame=v-whsa_610hsa_611", "volat si (v-whsa_610hsa_611)")</f>
        <v>volat si (v-whsa_610hsa_611)</v>
      </c>
    </row>
    <row r="54190" customFormat="false" ht="12.8" hidden="false" customHeight="false" outlineLevel="0" collapsed="false">
      <c r="B54190" s="0" t="s">
        <v>7</v>
      </c>
    </row>
    <row r="54191" customFormat="false" ht="12.8" hidden="false" customHeight="false" outlineLevel="0" collapsed="false">
      <c r="B54191" s="0" t="s">
        <v>14</v>
      </c>
    </row>
    <row r="54192" customFormat="false" ht="12.8" hidden="false" customHeight="false" outlineLevel="0" collapsed="false">
      <c r="B54192" s="0" t="s">
        <v>207</v>
      </c>
    </row>
    <row r="54194" customFormat="false" ht="12.8" hidden="false" customHeight="false" outlineLevel="0" collapsed="false">
      <c r="A54194" s="0" t="s">
        <v>18963</v>
      </c>
      <c r="B54194" s="0" t="str">
        <f aca="false">HYPERLINK("https://lindat.mff.cuni.cz/services/teitok/pdtc10/index.php?action=vallex&amp;frame=v-w7686f1", "volit (v-w7686f1)")</f>
        <v>volit (v-w7686f1)</v>
      </c>
    </row>
    <row r="54195" customFormat="false" ht="12.8" hidden="false" customHeight="false" outlineLevel="0" collapsed="false">
      <c r="B54195" s="0" t="s">
        <v>7</v>
      </c>
      <c r="C54195" s="0" t="s">
        <v>18964</v>
      </c>
      <c r="D54195" s="0" t="s">
        <v>14784</v>
      </c>
      <c r="E54195" s="0" t="s">
        <v>14784</v>
      </c>
      <c r="F54195" s="0" t="s">
        <v>14784</v>
      </c>
    </row>
    <row r="54196" customFormat="false" ht="12.8" hidden="false" customHeight="false" outlineLevel="0" collapsed="false">
      <c r="B54196" s="0" t="s">
        <v>232</v>
      </c>
      <c r="C54196" s="0" t="s">
        <v>18965</v>
      </c>
      <c r="D54196" s="0" t="s">
        <v>14786</v>
      </c>
      <c r="E54196" s="0" t="s">
        <v>14786</v>
      </c>
      <c r="F54196" s="0" t="s">
        <v>14786</v>
      </c>
    </row>
    <row r="54197" customFormat="false" ht="12.8" hidden="false" customHeight="false" outlineLevel="0" collapsed="false">
      <c r="B54197" s="0" t="s">
        <v>14787</v>
      </c>
      <c r="D54197" s="0" t="s">
        <v>14789</v>
      </c>
      <c r="E54197" s="0" t="s">
        <v>14789</v>
      </c>
      <c r="F54197" s="0" t="s">
        <v>14789</v>
      </c>
    </row>
    <row r="54199" customFormat="false" ht="12.8" hidden="false" customHeight="false" outlineLevel="0" collapsed="false">
      <c r="A54199" s="0" t="s">
        <v>18966</v>
      </c>
      <c r="B54199" s="0" t="str">
        <f aca="false">HYPERLINK("https://lindat.mff.cuni.cz/services/teitok/pdtc10/index.php?action=vallex&amp;frame=v-w7686f2", "volit (v-w7686f2)")</f>
        <v>volit (v-w7686f2)</v>
      </c>
    </row>
    <row r="54200" customFormat="false" ht="12.8" hidden="false" customHeight="false" outlineLevel="0" collapsed="false">
      <c r="B54200" s="0" t="s">
        <v>7</v>
      </c>
      <c r="C54200" s="0" t="s">
        <v>3778</v>
      </c>
    </row>
    <row r="54201" customFormat="false" ht="12.8" hidden="false" customHeight="false" outlineLevel="0" collapsed="false">
      <c r="B54201" s="0" t="s">
        <v>14</v>
      </c>
      <c r="C54201" s="0" t="s">
        <v>1168</v>
      </c>
    </row>
    <row r="54202" customFormat="false" ht="12.8" hidden="false" customHeight="false" outlineLevel="0" collapsed="false">
      <c r="B54202" s="0" t="s">
        <v>11691</v>
      </c>
    </row>
    <row r="54204" customFormat="false" ht="12.8" hidden="false" customHeight="false" outlineLevel="0" collapsed="false">
      <c r="A54204" s="0" t="s">
        <v>18967</v>
      </c>
      <c r="B54204" s="0" t="str">
        <f aca="false">HYPERLINK("https://lindat.mff.cuni.cz/services/teitok/pdtc10/index.php?action=vallex&amp;frame=v-whsa_800f1_ZU", "volávat (v-whsa_800f1_ZU)")</f>
        <v>volávat (v-whsa_800f1_ZU)</v>
      </c>
    </row>
    <row r="54205" customFormat="false" ht="12.8" hidden="false" customHeight="false" outlineLevel="0" collapsed="false">
      <c r="B54205" s="0" t="s">
        <v>7</v>
      </c>
    </row>
    <row r="54206" customFormat="false" ht="12.8" hidden="false" customHeight="false" outlineLevel="0" collapsed="false">
      <c r="B54206" s="0" t="s">
        <v>367</v>
      </c>
    </row>
    <row r="54207" customFormat="false" ht="12.8" hidden="false" customHeight="false" outlineLevel="0" collapsed="false">
      <c r="B54207" s="0" t="s">
        <v>48</v>
      </c>
    </row>
    <row r="54209" customFormat="false" ht="12.8" hidden="false" customHeight="false" outlineLevel="0" collapsed="false">
      <c r="A54209" s="0" t="s">
        <v>18967</v>
      </c>
      <c r="B54209" s="0" t="str">
        <f aca="false">HYPERLINK("https://lindat.mff.cuni.cz/services/teitok/pdtc10/index.php?action=vallex&amp;frame=v-whsb_800hsa_801", "volávat (v-whsb_800hsa_801) - substituted with v-whsa_800f1_ZU")</f>
        <v>volávat (v-whsb_800hsa_801) - substituted with v-whsa_800f1_ZU</v>
      </c>
    </row>
    <row r="54210" customFormat="false" ht="12.8" hidden="false" customHeight="false" outlineLevel="0" collapsed="false">
      <c r="B54210" s="0" t="s">
        <v>7</v>
      </c>
    </row>
    <row r="54211" customFormat="false" ht="12.8" hidden="false" customHeight="false" outlineLevel="0" collapsed="false">
      <c r="B54211" s="0" t="s">
        <v>367</v>
      </c>
    </row>
    <row r="54212" customFormat="false" ht="12.8" hidden="false" customHeight="false" outlineLevel="0" collapsed="false">
      <c r="B54212" s="0" t="s">
        <v>48</v>
      </c>
    </row>
    <row r="54214" customFormat="false" ht="12.8" hidden="false" customHeight="false" outlineLevel="0" collapsed="false">
      <c r="A54214" s="0" t="s">
        <v>18968</v>
      </c>
      <c r="B54214" s="0" t="str">
        <f aca="false">HYPERLINK("https://lindat.mff.cuni.cz/services/teitok/pdtc10/index.php?action=vallex&amp;frame=v-w7687f1", "vonět (v-w7687f1)")</f>
        <v>vonět (v-w7687f1)</v>
      </c>
    </row>
    <row r="54215" customFormat="false" ht="12.8" hidden="false" customHeight="false" outlineLevel="0" collapsed="false">
      <c r="B54215" s="0" t="s">
        <v>603</v>
      </c>
    </row>
    <row r="54216" customFormat="false" ht="12.8" hidden="false" customHeight="false" outlineLevel="0" collapsed="false">
      <c r="B54216" s="0" t="s">
        <v>5095</v>
      </c>
    </row>
    <row r="54218" customFormat="false" ht="12.8" hidden="false" customHeight="false" outlineLevel="0" collapsed="false">
      <c r="A54218" s="0" t="s">
        <v>18969</v>
      </c>
      <c r="B54218" s="0" t="str">
        <f aca="false">HYPERLINK("https://lindat.mff.cuni.cz/services/teitok/pdtc10/index.php?action=vallex&amp;frame=v-w7687f2", "vonět (v-w7687f2)")</f>
        <v>vonět (v-w7687f2)</v>
      </c>
    </row>
    <row r="54219" customFormat="false" ht="12.8" hidden="false" customHeight="false" outlineLevel="0" collapsed="false">
      <c r="B54219" s="0" t="s">
        <v>7</v>
      </c>
      <c r="C54219" s="0" t="s">
        <v>396</v>
      </c>
    </row>
    <row r="54220" customFormat="false" ht="12.8" hidden="false" customHeight="false" outlineLevel="0" collapsed="false">
      <c r="B54220" s="0" t="s">
        <v>12511</v>
      </c>
    </row>
    <row r="54222" customFormat="false" ht="12.8" hidden="false" customHeight="false" outlineLevel="0" collapsed="false">
      <c r="A54222" s="0" t="s">
        <v>18970</v>
      </c>
      <c r="B54222" s="0" t="str">
        <f aca="false">HYPERLINK("https://lindat.mff.cuni.cz/services/teitok/pdtc10/index.php?action=vallex&amp;frame=v-w7688f1", "voperovat (v-w7688f1)")</f>
        <v>voperovat (v-w7688f1)</v>
      </c>
    </row>
    <row r="54223" customFormat="false" ht="12.8" hidden="false" customHeight="false" outlineLevel="0" collapsed="false">
      <c r="B54223" s="0" t="s">
        <v>7</v>
      </c>
    </row>
    <row r="54224" customFormat="false" ht="12.8" hidden="false" customHeight="false" outlineLevel="0" collapsed="false">
      <c r="B54224" s="0" t="s">
        <v>14</v>
      </c>
    </row>
    <row r="54225" customFormat="false" ht="12.8" hidden="false" customHeight="false" outlineLevel="0" collapsed="false">
      <c r="B54225" s="0" t="s">
        <v>48</v>
      </c>
    </row>
    <row r="54227" customFormat="false" ht="12.8" hidden="false" customHeight="false" outlineLevel="0" collapsed="false">
      <c r="A54227" s="0" t="s">
        <v>18971</v>
      </c>
      <c r="B54227" s="0" t="str">
        <f aca="false">HYPERLINK("https://lindat.mff.cuni.cz/services/teitok/pdtc10/index.php?action=vallex&amp;frame=v-w7689f3_MM", "vozit (v-w7689f3_MM)")</f>
        <v>vozit (v-w7689f3_MM)</v>
      </c>
    </row>
    <row r="54228" customFormat="false" ht="12.8" hidden="false" customHeight="false" outlineLevel="0" collapsed="false">
      <c r="B54228" s="0" t="s">
        <v>7</v>
      </c>
    </row>
    <row r="54229" customFormat="false" ht="12.8" hidden="false" customHeight="false" outlineLevel="0" collapsed="false">
      <c r="B54229" s="0" t="s">
        <v>232</v>
      </c>
    </row>
    <row r="54231" customFormat="false" ht="12.8" hidden="false" customHeight="false" outlineLevel="0" collapsed="false">
      <c r="A54231" s="0" t="s">
        <v>18971</v>
      </c>
      <c r="B54231" s="0" t="str">
        <f aca="false">HYPERLINK("https://lindat.mff.cuni.cz/services/teitok/pdtc10/index.php?action=vallex&amp;frame=v-w7689f1", "vozit (v-w7689f1) - substituted with v-w7689f3_MM")</f>
        <v>vozit (v-w7689f1) - substituted with v-w7689f3_MM</v>
      </c>
    </row>
    <row r="54232" customFormat="false" ht="12.8" hidden="false" customHeight="false" outlineLevel="0" collapsed="false">
      <c r="B54232" s="0" t="s">
        <v>7</v>
      </c>
      <c r="C54232" s="0" t="s">
        <v>184</v>
      </c>
      <c r="D54232" s="0" t="s">
        <v>2051</v>
      </c>
      <c r="E54232" s="0" t="s">
        <v>2051</v>
      </c>
      <c r="F54232" s="0" t="s">
        <v>2051</v>
      </c>
    </row>
    <row r="54233" customFormat="false" ht="12.8" hidden="false" customHeight="false" outlineLevel="0" collapsed="false">
      <c r="B54233" s="0" t="s">
        <v>232</v>
      </c>
      <c r="C54233" s="0" t="s">
        <v>47</v>
      </c>
      <c r="D54233" s="0" t="s">
        <v>2053</v>
      </c>
      <c r="E54233" s="0" t="s">
        <v>2053</v>
      </c>
      <c r="F54233" s="0" t="s">
        <v>2053</v>
      </c>
    </row>
    <row r="54235" customFormat="false" ht="12.8" hidden="false" customHeight="false" outlineLevel="0" collapsed="false">
      <c r="A54235" s="0" t="s">
        <v>18972</v>
      </c>
      <c r="B54235" s="0" t="str">
        <f aca="false">HYPERLINK("https://lindat.mff.cuni.cz/services/teitok/pdtc10/index.php?action=vallex&amp;frame=v-w7689f2_ZU", "vozit (v-w7689f2_ZU)")</f>
        <v>vozit (v-w7689f2_ZU)</v>
      </c>
    </row>
    <row r="54236" customFormat="false" ht="12.8" hidden="false" customHeight="false" outlineLevel="0" collapsed="false">
      <c r="B54236" s="0" t="s">
        <v>7</v>
      </c>
    </row>
    <row r="54237" customFormat="false" ht="12.8" hidden="false" customHeight="false" outlineLevel="0" collapsed="false">
      <c r="B54237" s="0" t="s">
        <v>14</v>
      </c>
    </row>
    <row r="54239" customFormat="false" ht="12.8" hidden="false" customHeight="false" outlineLevel="0" collapsed="false">
      <c r="A54239" s="0" t="s">
        <v>18973</v>
      </c>
      <c r="B54239" s="0" t="str">
        <f aca="false">HYPERLINK("https://lindat.mff.cuni.cz/services/teitok/pdtc10/index.php?action=vallex&amp;frame=v-w7690f1", "vozit se (v-w7690f1)")</f>
        <v>vozit se (v-w7690f1)</v>
      </c>
    </row>
    <row r="54240" customFormat="false" ht="12.8" hidden="false" customHeight="false" outlineLevel="0" collapsed="false">
      <c r="B54240" s="0" t="s">
        <v>7</v>
      </c>
    </row>
    <row r="54242" customFormat="false" ht="12.8" hidden="false" customHeight="false" outlineLevel="0" collapsed="false">
      <c r="A54242" s="0" t="s">
        <v>18974</v>
      </c>
      <c r="B54242" s="0" t="str">
        <f aca="false">HYPERLINK("https://lindat.mff.cuni.cz/services/teitok/pdtc10/index.php?action=vallex&amp;frame=v-w7690f2_ZU", "vozit se (v-w7690f2_ZU)")</f>
        <v>vozit se (v-w7690f2_ZU)</v>
      </c>
    </row>
    <row r="54243" customFormat="false" ht="12.8" hidden="false" customHeight="false" outlineLevel="0" collapsed="false">
      <c r="B54243" s="0" t="s">
        <v>7</v>
      </c>
    </row>
    <row r="54244" customFormat="false" ht="12.8" hidden="false" customHeight="false" outlineLevel="0" collapsed="false">
      <c r="B54244" s="0" t="s">
        <v>220</v>
      </c>
    </row>
    <row r="54246" customFormat="false" ht="12.8" hidden="false" customHeight="false" outlineLevel="0" collapsed="false">
      <c r="A54246" s="0" t="s">
        <v>18974</v>
      </c>
      <c r="B54246" s="0" t="str">
        <f aca="false">HYPERLINK("https://lindat.mff.cuni.cz/services/teitok/pdtc10/index.php?action=vallex&amp;frame=v-w7690hsa_17", "vozit se (v-w7690hsa_17) - substituted with v-w7690f2_ZU")</f>
        <v>vozit se (v-w7690hsa_17) - substituted with v-w7690f2_ZU</v>
      </c>
    </row>
    <row r="54247" customFormat="false" ht="12.8" hidden="false" customHeight="false" outlineLevel="0" collapsed="false">
      <c r="B54247" s="0" t="s">
        <v>7</v>
      </c>
    </row>
    <row r="54248" customFormat="false" ht="12.8" hidden="false" customHeight="false" outlineLevel="0" collapsed="false">
      <c r="B54248" s="0" t="s">
        <v>220</v>
      </c>
    </row>
    <row r="54250" customFormat="false" ht="12.8" hidden="false" customHeight="false" outlineLevel="0" collapsed="false">
      <c r="A54250" s="0" t="s">
        <v>18975</v>
      </c>
      <c r="B54250" s="0" t="str">
        <f aca="false">HYPERLINK("https://lindat.mff.cuni.cz/services/teitok/pdtc10/index.php?action=vallex&amp;frame=v-whsa_472hsa_473", "vozívat (v-whsa_472hsa_473)")</f>
        <v>vozívat (v-whsa_472hsa_473)</v>
      </c>
    </row>
    <row r="54251" customFormat="false" ht="12.8" hidden="false" customHeight="false" outlineLevel="0" collapsed="false">
      <c r="B54251" s="0" t="s">
        <v>7</v>
      </c>
    </row>
    <row r="54252" customFormat="false" ht="12.8" hidden="false" customHeight="false" outlineLevel="0" collapsed="false">
      <c r="B54252" s="0" t="s">
        <v>14</v>
      </c>
    </row>
    <row r="54254" customFormat="false" ht="12.8" hidden="false" customHeight="false" outlineLevel="0" collapsed="false">
      <c r="A54254" s="0" t="s">
        <v>18976</v>
      </c>
      <c r="B54254" s="0" t="str">
        <f aca="false">HYPERLINK("https://lindat.mff.cuni.cz/services/teitok/pdtc10/index.php?action=vallex&amp;frame=v-whsa_1859hsa_1860", "vošukat (v-whsa_1859hsa_1860)")</f>
        <v>vošukat (v-whsa_1859hsa_1860)</v>
      </c>
    </row>
    <row r="54255" customFormat="false" ht="12.8" hidden="false" customHeight="false" outlineLevel="0" collapsed="false">
      <c r="B54255" s="0" t="s">
        <v>7</v>
      </c>
    </row>
    <row r="54256" customFormat="false" ht="12.8" hidden="false" customHeight="false" outlineLevel="0" collapsed="false">
      <c r="B54256" s="0" t="s">
        <v>14</v>
      </c>
    </row>
    <row r="54258" customFormat="false" ht="12.8" hidden="false" customHeight="false" outlineLevel="0" collapsed="false">
      <c r="A54258" s="0" t="s">
        <v>18977</v>
      </c>
      <c r="B54258" s="0" t="str">
        <f aca="false">HYPERLINK("https://lindat.mff.cuni.cz/services/teitok/pdtc10/index.php?action=vallex&amp;frame=v-w10826f3", "vpadnout (v-w10826f3)")</f>
        <v>vpadnout (v-w10826f3)</v>
      </c>
    </row>
    <row r="54259" customFormat="false" ht="12.8" hidden="false" customHeight="false" outlineLevel="0" collapsed="false">
      <c r="B54259" s="0" t="s">
        <v>7</v>
      </c>
    </row>
    <row r="54260" customFormat="false" ht="12.8" hidden="false" customHeight="false" outlineLevel="0" collapsed="false">
      <c r="B54260" s="0" t="s">
        <v>279</v>
      </c>
    </row>
    <row r="54262" customFormat="false" ht="12.8" hidden="false" customHeight="false" outlineLevel="0" collapsed="false">
      <c r="A54262" s="0" t="s">
        <v>18978</v>
      </c>
      <c r="B54262" s="0" t="str">
        <f aca="false">HYPERLINK("https://lindat.mff.cuni.cz/services/teitok/pdtc10/index.php?action=vallex&amp;frame=v-w10826f2", "vpadnout (v-w10826f2)")</f>
        <v>vpadnout (v-w10826f2)</v>
      </c>
    </row>
    <row r="54263" customFormat="false" ht="12.8" hidden="false" customHeight="false" outlineLevel="0" collapsed="false">
      <c r="B54263" s="0" t="s">
        <v>7</v>
      </c>
    </row>
    <row r="54264" customFormat="false" ht="12.8" hidden="false" customHeight="false" outlineLevel="0" collapsed="false">
      <c r="B54264" s="0" t="s">
        <v>124</v>
      </c>
    </row>
    <row r="54266" customFormat="false" ht="12.8" hidden="false" customHeight="false" outlineLevel="0" collapsed="false">
      <c r="A54266" s="0" t="s">
        <v>18979</v>
      </c>
      <c r="B54266" s="0" t="str">
        <f aca="false">HYPERLINK("https://lindat.mff.cuni.cz/services/teitok/pdtc10/index.php?action=vallex&amp;frame=v-w11020f2", "vpadávat (v-w11020f2)")</f>
        <v>vpadávat (v-w11020f2)</v>
      </c>
    </row>
    <row r="54267" customFormat="false" ht="12.8" hidden="false" customHeight="false" outlineLevel="0" collapsed="false">
      <c r="B54267" s="0" t="s">
        <v>7</v>
      </c>
    </row>
    <row r="54268" customFormat="false" ht="12.8" hidden="false" customHeight="false" outlineLevel="0" collapsed="false">
      <c r="B54268" s="0" t="s">
        <v>279</v>
      </c>
    </row>
    <row r="54270" customFormat="false" ht="12.8" hidden="false" customHeight="false" outlineLevel="0" collapsed="false">
      <c r="A54270" s="0" t="s">
        <v>18980</v>
      </c>
      <c r="B54270" s="0" t="str">
        <f aca="false">HYPERLINK("https://lindat.mff.cuni.cz/services/teitok/pdtc10/index.php?action=vallex&amp;frame=v-w7693f1", "vpašovat (v-w7693f1)")</f>
        <v>vpašovat (v-w7693f1)</v>
      </c>
    </row>
    <row r="54271" customFormat="false" ht="12.8" hidden="false" customHeight="false" outlineLevel="0" collapsed="false">
      <c r="B54271" s="0" t="s">
        <v>7</v>
      </c>
    </row>
    <row r="54272" customFormat="false" ht="12.8" hidden="false" customHeight="false" outlineLevel="0" collapsed="false">
      <c r="B54272" s="0" t="s">
        <v>14</v>
      </c>
    </row>
    <row r="54273" customFormat="false" ht="12.8" hidden="false" customHeight="false" outlineLevel="0" collapsed="false">
      <c r="B54273" s="0" t="s">
        <v>124</v>
      </c>
    </row>
    <row r="54275" customFormat="false" ht="12.8" hidden="false" customHeight="false" outlineLevel="0" collapsed="false">
      <c r="A54275" s="0" t="s">
        <v>18981</v>
      </c>
      <c r="B54275" s="0" t="str">
        <f aca="false">HYPERLINK("https://lindat.mff.cuni.cz/services/teitok/pdtc10/index.php?action=vallex&amp;frame=v-whsa_51f1_ZU", "vpisovat (v-whsa_51f1_ZU)")</f>
        <v>vpisovat (v-whsa_51f1_ZU)</v>
      </c>
    </row>
    <row r="54276" customFormat="false" ht="12.8" hidden="false" customHeight="false" outlineLevel="0" collapsed="false">
      <c r="B54276" s="0" t="s">
        <v>7</v>
      </c>
      <c r="C54276" s="0" t="s">
        <v>191</v>
      </c>
      <c r="D54276" s="0" t="s">
        <v>3918</v>
      </c>
      <c r="E54276" s="0" t="s">
        <v>18982</v>
      </c>
      <c r="F54276" s="0" t="s">
        <v>18982</v>
      </c>
    </row>
    <row r="54277" customFormat="false" ht="12.8" hidden="false" customHeight="false" outlineLevel="0" collapsed="false">
      <c r="B54277" s="0" t="s">
        <v>6839</v>
      </c>
      <c r="C54277" s="0" t="s">
        <v>47</v>
      </c>
      <c r="D54277" s="0" t="s">
        <v>18983</v>
      </c>
      <c r="E54277" s="0" t="s">
        <v>18984</v>
      </c>
      <c r="F54277" s="0" t="s">
        <v>18984</v>
      </c>
    </row>
    <row r="54278" customFormat="false" ht="12.8" hidden="false" customHeight="false" outlineLevel="0" collapsed="false">
      <c r="B54278" s="0" t="s">
        <v>124</v>
      </c>
      <c r="E54278" s="0" t="s">
        <v>18799</v>
      </c>
      <c r="F54278" s="0" t="s">
        <v>18799</v>
      </c>
    </row>
    <row r="54280" customFormat="false" ht="12.8" hidden="false" customHeight="false" outlineLevel="0" collapsed="false">
      <c r="A54280" s="0" t="s">
        <v>18981</v>
      </c>
      <c r="B54280" s="0" t="str">
        <f aca="false">HYPERLINK("https://lindat.mff.cuni.cz/services/teitok/pdtc10/index.php?action=vallex&amp;frame=v-whsa_51hsa_52", "vpisovat (v-whsa_51hsa_52) - substituted with v-whsa_51f1_ZU")</f>
        <v>vpisovat (v-whsa_51hsa_52) - substituted with v-whsa_51f1_ZU</v>
      </c>
    </row>
    <row r="54281" customFormat="false" ht="12.8" hidden="false" customHeight="false" outlineLevel="0" collapsed="false">
      <c r="B54281" s="0" t="s">
        <v>7</v>
      </c>
    </row>
    <row r="54282" customFormat="false" ht="12.8" hidden="false" customHeight="false" outlineLevel="0" collapsed="false">
      <c r="B54282" s="0" t="s">
        <v>6839</v>
      </c>
    </row>
    <row r="54283" customFormat="false" ht="12.8" hidden="false" customHeight="false" outlineLevel="0" collapsed="false">
      <c r="B54283" s="0" t="s">
        <v>124</v>
      </c>
    </row>
    <row r="54285" customFormat="false" ht="12.8" hidden="false" customHeight="false" outlineLevel="0" collapsed="false">
      <c r="A54285" s="0" t="s">
        <v>18985</v>
      </c>
      <c r="B54285" s="0" t="str">
        <f aca="false">HYPERLINK("https://lindat.mff.cuni.cz/services/teitok/pdtc10/index.php?action=vallex&amp;frame=v-w10155f2", "vplout (v-w10155f2)")</f>
        <v>vplout (v-w10155f2)</v>
      </c>
    </row>
    <row r="54286" customFormat="false" ht="12.8" hidden="false" customHeight="false" outlineLevel="0" collapsed="false">
      <c r="B54286" s="0" t="s">
        <v>7</v>
      </c>
    </row>
    <row r="54287" customFormat="false" ht="12.8" hidden="false" customHeight="false" outlineLevel="0" collapsed="false">
      <c r="B54287" s="0" t="s">
        <v>124</v>
      </c>
    </row>
    <row r="54289" customFormat="false" ht="12.8" hidden="false" customHeight="false" outlineLevel="0" collapsed="false">
      <c r="A54289" s="0" t="s">
        <v>18986</v>
      </c>
      <c r="B54289" s="0" t="str">
        <f aca="false">HYPERLINK("https://lindat.mff.cuni.cz/services/teitok/pdtc10/index.php?action=vallex&amp;frame=v-w7697f1", "vplouvat (v-w7697f1)")</f>
        <v>vplouvat (v-w7697f1)</v>
      </c>
    </row>
    <row r="54290" customFormat="false" ht="12.8" hidden="false" customHeight="false" outlineLevel="0" collapsed="false">
      <c r="B54290" s="0" t="s">
        <v>7</v>
      </c>
      <c r="D54290" s="0" t="s">
        <v>2587</v>
      </c>
      <c r="E54290" s="0" t="s">
        <v>2588</v>
      </c>
      <c r="F54290" s="0" t="s">
        <v>2588</v>
      </c>
    </row>
    <row r="54291" customFormat="false" ht="12.8" hidden="false" customHeight="false" outlineLevel="0" collapsed="false">
      <c r="B54291" s="0" t="s">
        <v>124</v>
      </c>
      <c r="D54291" s="0" t="s">
        <v>1707</v>
      </c>
      <c r="E54291" s="0" t="s">
        <v>1707</v>
      </c>
      <c r="F54291" s="0" t="s">
        <v>1707</v>
      </c>
    </row>
    <row r="54293" customFormat="false" ht="12.8" hidden="false" customHeight="false" outlineLevel="0" collapsed="false">
      <c r="A54293" s="0" t="s">
        <v>18987</v>
      </c>
      <c r="B54293" s="0" t="str">
        <f aca="false">HYPERLINK("https://lindat.mff.cuni.cz/services/teitok/pdtc10/index.php?action=vallex&amp;frame=v-w7697f2", "vplouvat (v-w7697f2)")</f>
        <v>vplouvat (v-w7697f2)</v>
      </c>
    </row>
    <row r="54294" customFormat="false" ht="12.8" hidden="false" customHeight="false" outlineLevel="0" collapsed="false">
      <c r="B54294" s="0" t="s">
        <v>7</v>
      </c>
    </row>
    <row r="54295" customFormat="false" ht="12.8" hidden="false" customHeight="false" outlineLevel="0" collapsed="false">
      <c r="B54295" s="0" t="s">
        <v>124</v>
      </c>
    </row>
    <row r="54297" customFormat="false" ht="12.8" hidden="false" customHeight="false" outlineLevel="0" collapsed="false">
      <c r="A54297" s="0" t="s">
        <v>18988</v>
      </c>
      <c r="B54297" s="0" t="str">
        <f aca="false">HYPERLINK("https://lindat.mff.cuni.cz/services/teitok/pdtc10/index.php?action=vallex&amp;frame=v-w12216_ZUf1_ZU", "vplynout (v-w12216_ZUf1_ZU)")</f>
        <v>vplynout (v-w12216_ZUf1_ZU)</v>
      </c>
    </row>
    <row r="54298" customFormat="false" ht="12.8" hidden="false" customHeight="false" outlineLevel="0" collapsed="false">
      <c r="B54298" s="0" t="s">
        <v>7</v>
      </c>
    </row>
    <row r="54299" customFormat="false" ht="12.8" hidden="false" customHeight="false" outlineLevel="0" collapsed="false">
      <c r="B54299" s="0" t="s">
        <v>338</v>
      </c>
    </row>
    <row r="54301" customFormat="false" ht="12.8" hidden="false" customHeight="false" outlineLevel="0" collapsed="false">
      <c r="A54301" s="0" t="s">
        <v>18989</v>
      </c>
      <c r="B54301" s="0" t="str">
        <f aca="false">HYPERLINK("https://lindat.mff.cuni.cz/services/teitok/pdtc10/index.php?action=vallex&amp;frame=v-w7695f1", "vplést (v-w7695f1)")</f>
        <v>vplést (v-w7695f1)</v>
      </c>
    </row>
    <row r="54302" customFormat="false" ht="12.8" hidden="false" customHeight="false" outlineLevel="0" collapsed="false">
      <c r="B54302" s="0" t="s">
        <v>7</v>
      </c>
    </row>
    <row r="54303" customFormat="false" ht="12.8" hidden="false" customHeight="false" outlineLevel="0" collapsed="false">
      <c r="B54303" s="0" t="s">
        <v>14</v>
      </c>
    </row>
    <row r="54304" customFormat="false" ht="12.8" hidden="false" customHeight="false" outlineLevel="0" collapsed="false">
      <c r="B54304" s="0" t="s">
        <v>124</v>
      </c>
    </row>
    <row r="54306" customFormat="false" ht="12.8" hidden="false" customHeight="false" outlineLevel="0" collapsed="false">
      <c r="A54306" s="0" t="s">
        <v>18990</v>
      </c>
      <c r="B54306" s="0" t="str">
        <f aca="false">HYPERLINK("https://lindat.mff.cuni.cz/services/teitok/pdtc10/index.php?action=vallex&amp;frame=v-w7696f1", "vplétat (v-w7696f1)")</f>
        <v>vplétat (v-w7696f1)</v>
      </c>
    </row>
    <row r="54307" customFormat="false" ht="12.8" hidden="false" customHeight="false" outlineLevel="0" collapsed="false">
      <c r="B54307" s="0" t="s">
        <v>7</v>
      </c>
    </row>
    <row r="54308" customFormat="false" ht="12.8" hidden="false" customHeight="false" outlineLevel="0" collapsed="false">
      <c r="B54308" s="0" t="s">
        <v>985</v>
      </c>
    </row>
    <row r="54309" customFormat="false" ht="12.8" hidden="false" customHeight="false" outlineLevel="0" collapsed="false">
      <c r="B54309" s="0" t="s">
        <v>81</v>
      </c>
    </row>
    <row r="54311" customFormat="false" ht="12.8" hidden="false" customHeight="false" outlineLevel="0" collapsed="false">
      <c r="A54311" s="0" t="s">
        <v>18991</v>
      </c>
      <c r="B54311" s="0" t="str">
        <f aca="false">HYPERLINK("https://lindat.mff.cuni.cz/services/teitok/pdtc10/index.php?action=vallex&amp;frame=v-w11287f1", "vplížit se (v-w11287f1)")</f>
        <v>vplížit se (v-w11287f1)</v>
      </c>
    </row>
    <row r="54312" customFormat="false" ht="12.8" hidden="false" customHeight="false" outlineLevel="0" collapsed="false">
      <c r="B54312" s="0" t="s">
        <v>7</v>
      </c>
      <c r="C54312" s="0" t="s">
        <v>184</v>
      </c>
      <c r="D54312" s="0" t="s">
        <v>2736</v>
      </c>
      <c r="E54312" s="0" t="s">
        <v>2736</v>
      </c>
      <c r="F54312" s="0" t="s">
        <v>2736</v>
      </c>
    </row>
    <row r="54313" customFormat="false" ht="12.8" hidden="false" customHeight="false" outlineLevel="0" collapsed="false">
      <c r="B54313" s="0" t="s">
        <v>124</v>
      </c>
    </row>
    <row r="54315" customFormat="false" ht="12.8" hidden="false" customHeight="false" outlineLevel="0" collapsed="false">
      <c r="A54315" s="0" t="s">
        <v>18992</v>
      </c>
      <c r="B54315" s="0" t="str">
        <f aca="false">HYPERLINK("https://lindat.mff.cuni.cz/services/teitok/pdtc10/index.php?action=vallex&amp;frame=v-w7698f1", "vpouštět (v-w7698f1)")</f>
        <v>vpouštět (v-w7698f1)</v>
      </c>
    </row>
    <row r="54316" customFormat="false" ht="12.8" hidden="false" customHeight="false" outlineLevel="0" collapsed="false">
      <c r="B54316" s="0" t="s">
        <v>7</v>
      </c>
    </row>
    <row r="54317" customFormat="false" ht="12.8" hidden="false" customHeight="false" outlineLevel="0" collapsed="false">
      <c r="B54317" s="0" t="s">
        <v>14</v>
      </c>
    </row>
    <row r="54318" customFormat="false" ht="12.8" hidden="false" customHeight="false" outlineLevel="0" collapsed="false">
      <c r="B54318" s="0" t="s">
        <v>124</v>
      </c>
    </row>
    <row r="54320" customFormat="false" ht="12.8" hidden="false" customHeight="false" outlineLevel="0" collapsed="false">
      <c r="A54320" s="0" t="s">
        <v>18993</v>
      </c>
      <c r="B54320" s="0" t="str">
        <f aca="false">HYPERLINK("https://lindat.mff.cuni.cz/services/teitok/pdtc10/index.php?action=vallex&amp;frame=v-w10381f2", "vpravit (v-w10381f2)")</f>
        <v>vpravit (v-w10381f2)</v>
      </c>
    </row>
    <row r="54321" customFormat="false" ht="12.8" hidden="false" customHeight="false" outlineLevel="0" collapsed="false">
      <c r="B54321" s="0" t="s">
        <v>7</v>
      </c>
      <c r="D54321" s="0" t="s">
        <v>18994</v>
      </c>
      <c r="E54321" s="0" t="s">
        <v>18994</v>
      </c>
      <c r="F54321" s="0" t="s">
        <v>18994</v>
      </c>
    </row>
    <row r="54322" customFormat="false" ht="12.8" hidden="false" customHeight="false" outlineLevel="0" collapsed="false">
      <c r="B54322" s="0" t="s">
        <v>14</v>
      </c>
      <c r="D54322" s="0" t="s">
        <v>18995</v>
      </c>
      <c r="E54322" s="0" t="s">
        <v>18995</v>
      </c>
      <c r="F54322" s="0" t="s">
        <v>18995</v>
      </c>
    </row>
    <row r="54323" customFormat="false" ht="12.8" hidden="false" customHeight="false" outlineLevel="0" collapsed="false">
      <c r="B54323" s="0" t="s">
        <v>124</v>
      </c>
      <c r="D54323" s="0" t="s">
        <v>2238</v>
      </c>
      <c r="E54323" s="0" t="s">
        <v>2238</v>
      </c>
      <c r="F54323" s="0" t="s">
        <v>2238</v>
      </c>
    </row>
    <row r="54325" customFormat="false" ht="12.8" hidden="false" customHeight="false" outlineLevel="0" collapsed="false">
      <c r="A54325" s="0" t="s">
        <v>18996</v>
      </c>
      <c r="B54325" s="0" t="str">
        <f aca="false">HYPERLINK("https://lindat.mff.cuni.cz/services/teitok/pdtc10/index.php?action=vallex&amp;frame=v-w7699f1", "vpravovat se (v-w7699f1)")</f>
        <v>vpravovat se (v-w7699f1)</v>
      </c>
    </row>
    <row r="54326" customFormat="false" ht="12.8" hidden="false" customHeight="false" outlineLevel="0" collapsed="false">
      <c r="B54326" s="0" t="s">
        <v>7</v>
      </c>
    </row>
    <row r="54327" customFormat="false" ht="12.8" hidden="false" customHeight="false" outlineLevel="0" collapsed="false">
      <c r="B54327" s="0" t="s">
        <v>124</v>
      </c>
    </row>
    <row r="54329" customFormat="false" ht="12.8" hidden="false" customHeight="false" outlineLevel="0" collapsed="false">
      <c r="A54329" s="0" t="s">
        <v>18997</v>
      </c>
      <c r="B54329" s="0" t="str">
        <f aca="false">HYPERLINK("https://lindat.mff.cuni.cz/services/teitok/pdtc10/index.php?action=vallex&amp;frame=v-w7700f1", "vpustit (v-w7700f1)")</f>
        <v>vpustit (v-w7700f1)</v>
      </c>
    </row>
    <row r="54330" customFormat="false" ht="12.8" hidden="false" customHeight="false" outlineLevel="0" collapsed="false">
      <c r="B54330" s="0" t="s">
        <v>7</v>
      </c>
      <c r="C54330" s="0" t="s">
        <v>4677</v>
      </c>
    </row>
    <row r="54331" customFormat="false" ht="12.8" hidden="false" customHeight="false" outlineLevel="0" collapsed="false">
      <c r="B54331" s="0" t="s">
        <v>14</v>
      </c>
      <c r="C54331" s="0" t="s">
        <v>4345</v>
      </c>
    </row>
    <row r="54332" customFormat="false" ht="12.8" hidden="false" customHeight="false" outlineLevel="0" collapsed="false">
      <c r="B54332" s="0" t="s">
        <v>124</v>
      </c>
    </row>
    <row r="54334" customFormat="false" ht="12.8" hidden="false" customHeight="false" outlineLevel="0" collapsed="false">
      <c r="A54334" s="0" t="s">
        <v>18998</v>
      </c>
      <c r="B54334" s="0" t="str">
        <f aca="false">HYPERLINK("https://lindat.mff.cuni.cz/services/teitok/pdtc10/index.php?action=vallex&amp;frame=v-w7694f1", "vpíjet se (v-w7694f1)")</f>
        <v>vpíjet se (v-w7694f1)</v>
      </c>
    </row>
    <row r="54335" customFormat="false" ht="12.8" hidden="false" customHeight="false" outlineLevel="0" collapsed="false">
      <c r="B54335" s="0" t="s">
        <v>7</v>
      </c>
    </row>
    <row r="54336" customFormat="false" ht="12.8" hidden="false" customHeight="false" outlineLevel="0" collapsed="false">
      <c r="B54336" s="0" t="s">
        <v>124</v>
      </c>
    </row>
    <row r="54338" customFormat="false" ht="12.8" hidden="false" customHeight="false" outlineLevel="0" collapsed="false">
      <c r="A54338" s="0" t="s">
        <v>18999</v>
      </c>
      <c r="B54338" s="0" t="str">
        <f aca="false">HYPERLINK("https://lindat.mff.cuni.cz/services/teitok/pdtc10/index.php?action=vallex&amp;frame=v-w7702f1", "vracet (v-w7702f1)")</f>
        <v>vracet (v-w7702f1)</v>
      </c>
    </row>
    <row r="54339" customFormat="false" ht="12.8" hidden="false" customHeight="false" outlineLevel="0" collapsed="false">
      <c r="B54339" s="0" t="s">
        <v>7</v>
      </c>
      <c r="C54339" s="0" t="s">
        <v>504</v>
      </c>
      <c r="D54339" s="0" t="s">
        <v>4161</v>
      </c>
      <c r="E54339" s="0" t="s">
        <v>4161</v>
      </c>
      <c r="F54339" s="0" t="s">
        <v>4161</v>
      </c>
    </row>
    <row r="54340" customFormat="false" ht="12.8" hidden="false" customHeight="false" outlineLevel="0" collapsed="false">
      <c r="B54340" s="0" t="s">
        <v>14</v>
      </c>
      <c r="C54340" s="0" t="s">
        <v>488</v>
      </c>
      <c r="D54340" s="0" t="s">
        <v>7170</v>
      </c>
      <c r="E54340" s="0" t="s">
        <v>7170</v>
      </c>
      <c r="F54340" s="0" t="s">
        <v>7170</v>
      </c>
    </row>
    <row r="54341" customFormat="false" ht="12.8" hidden="false" customHeight="false" outlineLevel="0" collapsed="false">
      <c r="B54341" s="0" t="s">
        <v>48</v>
      </c>
      <c r="C54341" s="0" t="s">
        <v>16819</v>
      </c>
      <c r="D54341" s="0" t="s">
        <v>7171</v>
      </c>
      <c r="E54341" s="0" t="s">
        <v>7171</v>
      </c>
      <c r="F54341" s="0" t="s">
        <v>7171</v>
      </c>
    </row>
    <row r="54343" customFormat="false" ht="12.8" hidden="false" customHeight="false" outlineLevel="0" collapsed="false">
      <c r="A54343" s="0" t="s">
        <v>19000</v>
      </c>
      <c r="B54343" s="0" t="str">
        <f aca="false">HYPERLINK("https://lindat.mff.cuni.cz/services/teitok/pdtc10/index.php?action=vallex&amp;frame=v-w7702f3", "vracet (v-w7702f3)")</f>
        <v>vracet (v-w7702f3)</v>
      </c>
    </row>
    <row r="54344" customFormat="false" ht="12.8" hidden="false" customHeight="false" outlineLevel="0" collapsed="false">
      <c r="B54344" s="0" t="s">
        <v>7</v>
      </c>
    </row>
    <row r="54345" customFormat="false" ht="12.8" hidden="false" customHeight="false" outlineLevel="0" collapsed="false">
      <c r="B54345" s="0" t="s">
        <v>14</v>
      </c>
    </row>
    <row r="54346" customFormat="false" ht="12.8" hidden="false" customHeight="false" outlineLevel="0" collapsed="false">
      <c r="B54346" s="0" t="s">
        <v>19001</v>
      </c>
    </row>
    <row r="54348" customFormat="false" ht="12.8" hidden="false" customHeight="false" outlineLevel="0" collapsed="false">
      <c r="A54348" s="0" t="s">
        <v>19002</v>
      </c>
      <c r="B54348" s="0" t="str">
        <f aca="false">HYPERLINK("https://lindat.mff.cuni.cz/services/teitok/pdtc10/index.php?action=vallex&amp;frame=v-w7702f2", "vracet (v-w7702f2)")</f>
        <v>vracet (v-w7702f2)</v>
      </c>
    </row>
    <row r="54349" customFormat="false" ht="12.8" hidden="false" customHeight="false" outlineLevel="0" collapsed="false">
      <c r="B54349" s="0" t="s">
        <v>265</v>
      </c>
      <c r="D54349" s="0" t="s">
        <v>7173</v>
      </c>
      <c r="E54349" s="0" t="s">
        <v>7173</v>
      </c>
      <c r="F54349" s="0" t="s">
        <v>7173</v>
      </c>
    </row>
    <row r="54350" customFormat="false" ht="12.8" hidden="false" customHeight="false" outlineLevel="0" collapsed="false">
      <c r="B54350" s="0" t="s">
        <v>14</v>
      </c>
      <c r="D54350" s="0" t="s">
        <v>7174</v>
      </c>
      <c r="E54350" s="0" t="s">
        <v>7174</v>
      </c>
      <c r="F54350" s="0" t="s">
        <v>7174</v>
      </c>
    </row>
    <row r="54351" customFormat="false" ht="12.8" hidden="false" customHeight="false" outlineLevel="0" collapsed="false">
      <c r="B54351" s="0" t="s">
        <v>124</v>
      </c>
      <c r="D54351" s="0" t="s">
        <v>7175</v>
      </c>
      <c r="E54351" s="0" t="s">
        <v>7175</v>
      </c>
      <c r="F54351" s="0" t="s">
        <v>7175</v>
      </c>
    </row>
    <row r="54353" customFormat="false" ht="12.8" hidden="false" customHeight="false" outlineLevel="0" collapsed="false">
      <c r="A54353" s="0" t="s">
        <v>19003</v>
      </c>
      <c r="B54353" s="0" t="str">
        <f aca="false">HYPERLINK("https://lindat.mff.cuni.cz/services/teitok/pdtc10/index.php?action=vallex&amp;frame=v-w7703f2", "vracet se (v-w7703f2)")</f>
        <v>vracet se (v-w7703f2)</v>
      </c>
    </row>
    <row r="54354" customFormat="false" ht="12.8" hidden="false" customHeight="false" outlineLevel="0" collapsed="false">
      <c r="B54354" s="0" t="s">
        <v>7</v>
      </c>
      <c r="C54354" s="0" t="s">
        <v>4716</v>
      </c>
      <c r="D54354" s="0" t="s">
        <v>7178</v>
      </c>
      <c r="E54354" s="0" t="s">
        <v>7178</v>
      </c>
      <c r="F54354" s="0" t="s">
        <v>7178</v>
      </c>
    </row>
    <row r="54355" customFormat="false" ht="12.8" hidden="false" customHeight="false" outlineLevel="0" collapsed="false">
      <c r="B54355" s="0" t="s">
        <v>237</v>
      </c>
      <c r="C54355" s="0" t="s">
        <v>47</v>
      </c>
      <c r="D54355" s="0" t="s">
        <v>384</v>
      </c>
      <c r="E54355" s="0" t="s">
        <v>384</v>
      </c>
      <c r="F54355" s="0" t="s">
        <v>384</v>
      </c>
    </row>
    <row r="54357" customFormat="false" ht="12.8" hidden="false" customHeight="false" outlineLevel="0" collapsed="false">
      <c r="A54357" s="0" t="s">
        <v>19004</v>
      </c>
      <c r="B54357" s="0" t="str">
        <f aca="false">HYPERLINK("https://lindat.mff.cuni.cz/services/teitok/pdtc10/index.php?action=vallex&amp;frame=v-w7703f5", "vracet se (v-w7703f5)")</f>
        <v>vracet se (v-w7703f5)</v>
      </c>
    </row>
    <row r="54358" customFormat="false" ht="12.8" hidden="false" customHeight="false" outlineLevel="0" collapsed="false">
      <c r="B54358" s="0" t="s">
        <v>7</v>
      </c>
      <c r="C54358" s="0" t="s">
        <v>8198</v>
      </c>
      <c r="D54358" s="0" t="s">
        <v>7178</v>
      </c>
      <c r="E54358" s="0" t="s">
        <v>7178</v>
      </c>
      <c r="F54358" s="0" t="s">
        <v>7178</v>
      </c>
    </row>
    <row r="54359" customFormat="false" ht="12.8" hidden="false" customHeight="false" outlineLevel="0" collapsed="false">
      <c r="B54359" s="0" t="s">
        <v>279</v>
      </c>
      <c r="D54359" s="0" t="s">
        <v>7179</v>
      </c>
      <c r="E54359" s="0" t="s">
        <v>7179</v>
      </c>
      <c r="F54359" s="0" t="s">
        <v>7179</v>
      </c>
    </row>
    <row r="54361" customFormat="false" ht="12.8" hidden="false" customHeight="false" outlineLevel="0" collapsed="false">
      <c r="A54361" s="0" t="s">
        <v>19005</v>
      </c>
      <c r="B54361" s="0" t="str">
        <f aca="false">HYPERLINK("https://lindat.mff.cuni.cz/services/teitok/pdtc10/index.php?action=vallex&amp;frame=v-w7703f1", "vracet se (v-w7703f1)")</f>
        <v>vracet se (v-w7703f1)</v>
      </c>
    </row>
    <row r="54362" customFormat="false" ht="12.8" hidden="false" customHeight="false" outlineLevel="0" collapsed="false">
      <c r="B54362" s="0" t="s">
        <v>7</v>
      </c>
      <c r="C54362" s="0" t="s">
        <v>19006</v>
      </c>
      <c r="D54362" s="0" t="s">
        <v>1705</v>
      </c>
      <c r="E54362" s="0" t="s">
        <v>1706</v>
      </c>
      <c r="F54362" s="0" t="s">
        <v>1706</v>
      </c>
    </row>
    <row r="54363" customFormat="false" ht="12.8" hidden="false" customHeight="false" outlineLevel="0" collapsed="false">
      <c r="B54363" s="0" t="s">
        <v>124</v>
      </c>
      <c r="C54363" s="0" t="s">
        <v>19007</v>
      </c>
      <c r="D54363" s="0" t="s">
        <v>1707</v>
      </c>
      <c r="E54363" s="0" t="s">
        <v>1707</v>
      </c>
      <c r="F54363" s="0" t="s">
        <v>1707</v>
      </c>
    </row>
    <row r="54365" customFormat="false" ht="12.8" hidden="false" customHeight="false" outlineLevel="0" collapsed="false">
      <c r="A54365" s="0" t="s">
        <v>19008</v>
      </c>
      <c r="B54365" s="0" t="str">
        <f aca="false">HYPERLINK("https://lindat.mff.cuni.cz/services/teitok/pdtc10/index.php?action=vallex&amp;frame=v-w7703f3", "vracet se (v-w7703f3)")</f>
        <v>vracet se (v-w7703f3)</v>
      </c>
    </row>
    <row r="54366" customFormat="false" ht="12.8" hidden="false" customHeight="false" outlineLevel="0" collapsed="false">
      <c r="B54366" s="0" t="s">
        <v>7</v>
      </c>
      <c r="C54366" s="0" t="s">
        <v>7602</v>
      </c>
    </row>
    <row r="54368" customFormat="false" ht="12.8" hidden="false" customHeight="false" outlineLevel="0" collapsed="false">
      <c r="A54368" s="0" t="s">
        <v>19009</v>
      </c>
      <c r="B54368" s="0" t="str">
        <f aca="false">HYPERLINK("https://lindat.mff.cuni.cz/services/teitok/pdtc10/index.php?action=vallex&amp;frame=v-w7703f4", "vracet se (v-w7703f4)")</f>
        <v>vracet se (v-w7703f4)</v>
      </c>
    </row>
    <row r="54369" customFormat="false" ht="12.8" hidden="false" customHeight="false" outlineLevel="0" collapsed="false">
      <c r="B54369" s="0" t="s">
        <v>7</v>
      </c>
    </row>
    <row r="54370" customFormat="false" ht="12.8" hidden="false" customHeight="false" outlineLevel="0" collapsed="false">
      <c r="B54370" s="0" t="s">
        <v>19010</v>
      </c>
    </row>
    <row r="54372" customFormat="false" ht="12.8" hidden="false" customHeight="false" outlineLevel="0" collapsed="false">
      <c r="A54372" s="0" t="s">
        <v>19011</v>
      </c>
      <c r="B54372" s="0" t="str">
        <f aca="false">HYPERLINK("https://lindat.mff.cuni.cz/services/teitok/pdtc10/index.php?action=vallex&amp;frame=v-w12209_ZUf1_ZU", "vracívat se (v-w12209_ZUf1_ZU)")</f>
        <v>vracívat se (v-w12209_ZUf1_ZU)</v>
      </c>
    </row>
    <row r="54373" customFormat="false" ht="12.8" hidden="false" customHeight="false" outlineLevel="0" collapsed="false">
      <c r="B54373" s="0" t="s">
        <v>7</v>
      </c>
    </row>
    <row r="54374" customFormat="false" ht="12.8" hidden="false" customHeight="false" outlineLevel="0" collapsed="false">
      <c r="B54374" s="0" t="s">
        <v>338</v>
      </c>
    </row>
    <row r="54376" customFormat="false" ht="12.8" hidden="false" customHeight="false" outlineLevel="0" collapsed="false">
      <c r="A54376" s="0" t="s">
        <v>19012</v>
      </c>
      <c r="B54376" s="0" t="str">
        <f aca="false">HYPERLINK("https://lindat.mff.cuni.cz/services/teitok/pdtc10/index.php?action=vallex&amp;frame=v-w10718f2", "vrazit (v-w10718f2)")</f>
        <v>vrazit (v-w10718f2)</v>
      </c>
    </row>
    <row r="54377" customFormat="false" ht="12.8" hidden="false" customHeight="false" outlineLevel="0" collapsed="false">
      <c r="B54377" s="0" t="s">
        <v>7</v>
      </c>
    </row>
    <row r="54378" customFormat="false" ht="12.8" hidden="false" customHeight="false" outlineLevel="0" collapsed="false">
      <c r="B54378" s="0" t="s">
        <v>14</v>
      </c>
      <c r="C54378" s="0" t="s">
        <v>33</v>
      </c>
    </row>
    <row r="54379" customFormat="false" ht="12.8" hidden="false" customHeight="false" outlineLevel="0" collapsed="false">
      <c r="B54379" s="0" t="s">
        <v>124</v>
      </c>
    </row>
    <row r="54381" customFormat="false" ht="12.8" hidden="false" customHeight="false" outlineLevel="0" collapsed="false">
      <c r="A54381" s="0" t="s">
        <v>19013</v>
      </c>
      <c r="B54381" s="0" t="str">
        <f aca="false">HYPERLINK("https://lindat.mff.cuni.cz/services/teitok/pdtc10/index.php?action=vallex&amp;frame=v-w10718f3", "vrazit (v-w10718f3)")</f>
        <v>vrazit (v-w10718f3)</v>
      </c>
    </row>
    <row r="54382" customFormat="false" ht="12.8" hidden="false" customHeight="false" outlineLevel="0" collapsed="false">
      <c r="B54382" s="0" t="s">
        <v>7</v>
      </c>
    </row>
    <row r="54383" customFormat="false" ht="12.8" hidden="false" customHeight="false" outlineLevel="0" collapsed="false">
      <c r="B54383" s="0" t="s">
        <v>124</v>
      </c>
    </row>
    <row r="54385" customFormat="false" ht="12.8" hidden="false" customHeight="false" outlineLevel="0" collapsed="false">
      <c r="A54385" s="0" t="s">
        <v>19014</v>
      </c>
      <c r="B54385" s="0" t="str">
        <f aca="false">HYPERLINK("https://lindat.mff.cuni.cz/services/teitok/pdtc10/index.php?action=vallex&amp;frame=v-w10718f5", "vrazit (v-w10718f5)")</f>
        <v>vrazit (v-w10718f5)</v>
      </c>
    </row>
    <row r="54386" customFormat="false" ht="12.8" hidden="false" customHeight="false" outlineLevel="0" collapsed="false">
      <c r="B54386" s="0" t="s">
        <v>7</v>
      </c>
      <c r="C54386" s="0" t="s">
        <v>46</v>
      </c>
    </row>
    <row r="54387" customFormat="false" ht="12.8" hidden="false" customHeight="false" outlineLevel="0" collapsed="false">
      <c r="B54387" s="0" t="s">
        <v>19015</v>
      </c>
      <c r="C54387" s="0" t="s">
        <v>3589</v>
      </c>
    </row>
    <row r="54388" customFormat="false" ht="12.8" hidden="false" customHeight="false" outlineLevel="0" collapsed="false">
      <c r="B54388" s="0" t="s">
        <v>142</v>
      </c>
    </row>
    <row r="54390" customFormat="false" ht="12.8" hidden="false" customHeight="false" outlineLevel="0" collapsed="false">
      <c r="A54390" s="0" t="s">
        <v>19016</v>
      </c>
      <c r="B54390" s="0" t="str">
        <f aca="false">HYPERLINK("https://lindat.mff.cuni.cz/services/teitok/pdtc10/index.php?action=vallex&amp;frame=v-w10718f6_ZU", "vrazit (v-w10718f6_ZU)")</f>
        <v>vrazit (v-w10718f6_ZU)</v>
      </c>
    </row>
    <row r="54391" customFormat="false" ht="12.8" hidden="false" customHeight="false" outlineLevel="0" collapsed="false">
      <c r="B54391" s="0" t="s">
        <v>7</v>
      </c>
    </row>
    <row r="54392" customFormat="false" ht="12.8" hidden="false" customHeight="false" outlineLevel="0" collapsed="false">
      <c r="B54392" s="0" t="s">
        <v>14</v>
      </c>
    </row>
    <row r="54393" customFormat="false" ht="12.8" hidden="false" customHeight="false" outlineLevel="0" collapsed="false">
      <c r="B54393" s="0" t="s">
        <v>48</v>
      </c>
    </row>
    <row r="54395" customFormat="false" ht="12.8" hidden="false" customHeight="false" outlineLevel="0" collapsed="false">
      <c r="A54395" s="0" t="s">
        <v>19017</v>
      </c>
      <c r="B54395" s="0" t="str">
        <f aca="false">HYPERLINK("https://lindat.mff.cuni.cz/services/teitok/pdtc10/index.php?action=vallex&amp;frame=v-w10718f7_ZU", "vrazit (v-w10718f7_ZU)")</f>
        <v>vrazit (v-w10718f7_ZU)</v>
      </c>
    </row>
    <row r="54396" customFormat="false" ht="12.8" hidden="false" customHeight="false" outlineLevel="0" collapsed="false">
      <c r="B54396" s="0" t="s">
        <v>7</v>
      </c>
    </row>
    <row r="54397" customFormat="false" ht="12.8" hidden="false" customHeight="false" outlineLevel="0" collapsed="false">
      <c r="B54397" s="0" t="s">
        <v>338</v>
      </c>
    </row>
    <row r="54399" customFormat="false" ht="12.8" hidden="false" customHeight="false" outlineLevel="0" collapsed="false">
      <c r="A54399" s="0" t="s">
        <v>19018</v>
      </c>
      <c r="B54399" s="0" t="str">
        <f aca="false">HYPERLINK("https://lindat.mff.cuni.cz/services/teitok/pdtc10/index.php?action=vallex&amp;frame=v-w10459f2", "vraštit (v-w10459f2)")</f>
        <v>vraštit (v-w10459f2)</v>
      </c>
    </row>
    <row r="54400" customFormat="false" ht="12.8" hidden="false" customHeight="false" outlineLevel="0" collapsed="false">
      <c r="B54400" s="0" t="s">
        <v>7</v>
      </c>
    </row>
    <row r="54401" customFormat="false" ht="12.8" hidden="false" customHeight="false" outlineLevel="0" collapsed="false">
      <c r="B54401" s="0" t="s">
        <v>14</v>
      </c>
    </row>
    <row r="54403" customFormat="false" ht="12.8" hidden="false" customHeight="false" outlineLevel="0" collapsed="false">
      <c r="A54403" s="0" t="s">
        <v>19019</v>
      </c>
      <c r="B54403" s="0" t="str">
        <f aca="false">HYPERLINK("https://lindat.mff.cuni.cz/services/teitok/pdtc10/index.php?action=vallex&amp;frame=v-w7710f1", "vraždit (v-w7710f1)")</f>
        <v>vraždit (v-w7710f1)</v>
      </c>
    </row>
    <row r="54404" customFormat="false" ht="12.8" hidden="false" customHeight="false" outlineLevel="0" collapsed="false">
      <c r="B54404" s="0" t="s">
        <v>7</v>
      </c>
      <c r="C54404" s="0" t="s">
        <v>335</v>
      </c>
      <c r="D54404" s="0" t="s">
        <v>5057</v>
      </c>
      <c r="E54404" s="0" t="s">
        <v>5057</v>
      </c>
      <c r="F54404" s="0" t="s">
        <v>5057</v>
      </c>
    </row>
    <row r="54405" customFormat="false" ht="12.8" hidden="false" customHeight="false" outlineLevel="0" collapsed="false">
      <c r="B54405" s="0" t="s">
        <v>14</v>
      </c>
      <c r="C54405" s="0" t="s">
        <v>33</v>
      </c>
      <c r="D54405" s="0" t="s">
        <v>8042</v>
      </c>
      <c r="E54405" s="0" t="s">
        <v>8042</v>
      </c>
      <c r="F54405" s="0" t="s">
        <v>8042</v>
      </c>
    </row>
    <row r="54407" customFormat="false" ht="12.8" hidden="false" customHeight="false" outlineLevel="0" collapsed="false">
      <c r="A54407" s="0" t="s">
        <v>19020</v>
      </c>
      <c r="B54407" s="0" t="str">
        <f aca="false">HYPERLINK("https://lindat.mff.cuni.cz/services/teitok/pdtc10/index.php?action=vallex&amp;frame=v-w7719f1", "vrcholit (v-w7719f1)")</f>
        <v>vrcholit (v-w7719f1)</v>
      </c>
    </row>
    <row r="54408" customFormat="false" ht="12.8" hidden="false" customHeight="false" outlineLevel="0" collapsed="false">
      <c r="B54408" s="0" t="s">
        <v>7</v>
      </c>
      <c r="C54408" s="0" t="s">
        <v>708</v>
      </c>
      <c r="D54408" s="0" t="s">
        <v>736</v>
      </c>
      <c r="E54408" s="0" t="s">
        <v>736</v>
      </c>
      <c r="F54408" s="0" t="s">
        <v>736</v>
      </c>
    </row>
    <row r="54410" customFormat="false" ht="12.8" hidden="false" customHeight="false" outlineLevel="0" collapsed="false">
      <c r="A54410" s="0" t="s">
        <v>19021</v>
      </c>
      <c r="B54410" s="0" t="str">
        <f aca="false">HYPERLINK("https://lindat.mff.cuni.cz/services/teitok/pdtc10/index.php?action=vallex&amp;frame=v-w7714f5_ZU", "vrhat (v-w7714f5_ZU)")</f>
        <v>vrhat (v-w7714f5_ZU)</v>
      </c>
    </row>
    <row r="54411" customFormat="false" ht="12.8" hidden="false" customHeight="false" outlineLevel="0" collapsed="false">
      <c r="B54411" s="0" t="s">
        <v>7</v>
      </c>
      <c r="C54411" s="0" t="s">
        <v>184</v>
      </c>
      <c r="D54411" s="0" t="s">
        <v>2323</v>
      </c>
      <c r="E54411" s="0" t="s">
        <v>2323</v>
      </c>
      <c r="F54411" s="0" t="s">
        <v>2323</v>
      </c>
    </row>
    <row r="54412" customFormat="false" ht="12.8" hidden="false" customHeight="false" outlineLevel="0" collapsed="false">
      <c r="B54412" s="0" t="s">
        <v>14</v>
      </c>
      <c r="C54412" s="0" t="s">
        <v>384</v>
      </c>
      <c r="D54412" s="0" t="s">
        <v>1918</v>
      </c>
      <c r="E54412" s="0" t="s">
        <v>1918</v>
      </c>
      <c r="F54412" s="0" t="s">
        <v>1918</v>
      </c>
    </row>
    <row r="54413" customFormat="false" ht="12.8" hidden="false" customHeight="false" outlineLevel="0" collapsed="false">
      <c r="B54413" s="0" t="s">
        <v>279</v>
      </c>
      <c r="C54413" s="0" t="s">
        <v>1105</v>
      </c>
      <c r="D54413" s="0" t="s">
        <v>2325</v>
      </c>
      <c r="E54413" s="0" t="s">
        <v>2325</v>
      </c>
      <c r="F54413" s="0" t="s">
        <v>2325</v>
      </c>
    </row>
    <row r="54415" customFormat="false" ht="12.8" hidden="false" customHeight="false" outlineLevel="0" collapsed="false">
      <c r="A54415" s="0" t="s">
        <v>19022</v>
      </c>
      <c r="B54415" s="0" t="str">
        <f aca="false">HYPERLINK("https://lindat.mff.cuni.cz/services/teitok/pdtc10/index.php?action=vallex&amp;frame=v-w7714f2", "vrhat (v-w7714f2)")</f>
        <v>vrhat (v-w7714f2)</v>
      </c>
    </row>
    <row r="54416" customFormat="false" ht="12.8" hidden="false" customHeight="false" outlineLevel="0" collapsed="false">
      <c r="B54416" s="0" t="s">
        <v>7</v>
      </c>
    </row>
    <row r="54417" customFormat="false" ht="12.8" hidden="false" customHeight="false" outlineLevel="0" collapsed="false">
      <c r="B54417" s="0" t="s">
        <v>1836</v>
      </c>
    </row>
    <row r="54419" customFormat="false" ht="12.8" hidden="false" customHeight="false" outlineLevel="0" collapsed="false">
      <c r="A54419" s="0" t="s">
        <v>19023</v>
      </c>
      <c r="B54419" s="0" t="str">
        <f aca="false">HYPERLINK("https://lindat.mff.cuni.cz/services/teitok/pdtc10/index.php?action=vallex&amp;frame=v-w7714f3", "vrhat (v-w7714f3)")</f>
        <v>vrhat (v-w7714f3)</v>
      </c>
    </row>
    <row r="54420" customFormat="false" ht="12.8" hidden="false" customHeight="false" outlineLevel="0" collapsed="false">
      <c r="B54420" s="0" t="s">
        <v>7</v>
      </c>
    </row>
    <row r="54421" customFormat="false" ht="12.8" hidden="false" customHeight="false" outlineLevel="0" collapsed="false">
      <c r="B54421" s="0" t="s">
        <v>14</v>
      </c>
    </row>
    <row r="54423" customFormat="false" ht="12.8" hidden="false" customHeight="false" outlineLevel="0" collapsed="false">
      <c r="A54423" s="0" t="s">
        <v>19024</v>
      </c>
      <c r="B54423" s="0" t="str">
        <f aca="false">HYPERLINK("https://lindat.mff.cuni.cz/services/teitok/pdtc10/index.php?action=vallex&amp;frame=v-w7714f4", "vrhat (v-w7714f4)")</f>
        <v>vrhat (v-w7714f4)</v>
      </c>
    </row>
    <row r="54424" customFormat="false" ht="12.8" hidden="false" customHeight="false" outlineLevel="0" collapsed="false">
      <c r="B54424" s="0" t="s">
        <v>7</v>
      </c>
    </row>
    <row r="54425" customFormat="false" ht="12.8" hidden="false" customHeight="false" outlineLevel="0" collapsed="false">
      <c r="B54425" s="0" t="s">
        <v>14</v>
      </c>
    </row>
    <row r="54427" customFormat="false" ht="12.8" hidden="false" customHeight="false" outlineLevel="0" collapsed="false">
      <c r="A54427" s="0" t="s">
        <v>19025</v>
      </c>
      <c r="B54427" s="0" t="str">
        <f aca="false">HYPERLINK("https://lindat.mff.cuni.cz/services/teitok/pdtc10/index.php?action=vallex&amp;frame=v-w7714f7_ZU", "vrhat (v-w7714f7_ZU)")</f>
        <v>vrhat (v-w7714f7_ZU)</v>
      </c>
    </row>
    <row r="54428" customFormat="false" ht="12.8" hidden="false" customHeight="false" outlineLevel="0" collapsed="false">
      <c r="B54428" s="0" t="s">
        <v>7</v>
      </c>
    </row>
    <row r="54429" customFormat="false" ht="12.8" hidden="false" customHeight="false" outlineLevel="0" collapsed="false">
      <c r="B54429" s="0" t="s">
        <v>19026</v>
      </c>
    </row>
    <row r="54430" customFormat="false" ht="12.8" hidden="false" customHeight="false" outlineLevel="0" collapsed="false">
      <c r="B54430" s="0" t="s">
        <v>124</v>
      </c>
    </row>
    <row r="54432" customFormat="false" ht="12.8" hidden="false" customHeight="false" outlineLevel="0" collapsed="false">
      <c r="A54432" s="0" t="s">
        <v>19025</v>
      </c>
      <c r="B54432" s="0" t="str">
        <f aca="false">HYPERLINK("https://lindat.mff.cuni.cz/services/teitok/pdtc10/index.php?action=vallex&amp;frame=v-w7714f1", "vrhat (v-w7714f1) - substituted with v-w7714f7_ZU")</f>
        <v>vrhat (v-w7714f1) - substituted with v-w7714f7_ZU</v>
      </c>
    </row>
    <row r="54433" customFormat="false" ht="12.8" hidden="false" customHeight="false" outlineLevel="0" collapsed="false">
      <c r="B54433" s="0" t="s">
        <v>7</v>
      </c>
      <c r="C54433" s="0" t="s">
        <v>149</v>
      </c>
    </row>
    <row r="54434" customFormat="false" ht="12.8" hidden="false" customHeight="false" outlineLevel="0" collapsed="false">
      <c r="B54434" s="0" t="s">
        <v>19026</v>
      </c>
      <c r="C54434" s="0" t="s">
        <v>18642</v>
      </c>
    </row>
    <row r="54435" customFormat="false" ht="12.8" hidden="false" customHeight="false" outlineLevel="0" collapsed="false">
      <c r="B54435" s="0" t="s">
        <v>124</v>
      </c>
      <c r="C54435" s="0" t="s">
        <v>19027</v>
      </c>
    </row>
    <row r="54437" customFormat="false" ht="12.8" hidden="false" customHeight="false" outlineLevel="0" collapsed="false">
      <c r="A54437" s="0" t="s">
        <v>19025</v>
      </c>
      <c r="B54437" s="0" t="str">
        <f aca="false">HYPERLINK("https://lindat.mff.cuni.cz/services/teitok/pdtc10/index.php?action=vallex&amp;frame=v-w7714hsa_140", "vrhat (v-w7714hsa_140) - substituted with v-w7714f7_ZU")</f>
        <v>vrhat (v-w7714hsa_140) - substituted with v-w7714f7_ZU</v>
      </c>
    </row>
    <row r="54438" customFormat="false" ht="12.8" hidden="false" customHeight="false" outlineLevel="0" collapsed="false">
      <c r="B54438" s="0" t="s">
        <v>7</v>
      </c>
      <c r="C54438" s="0" t="s">
        <v>149</v>
      </c>
      <c r="D54438" s="0" t="s">
        <v>19028</v>
      </c>
      <c r="E54438" s="0" t="s">
        <v>19028</v>
      </c>
      <c r="F54438" s="0" t="s">
        <v>19028</v>
      </c>
    </row>
    <row r="54439" customFormat="false" ht="12.8" hidden="false" customHeight="false" outlineLevel="0" collapsed="false">
      <c r="B54439" s="0" t="s">
        <v>19026</v>
      </c>
      <c r="C54439" s="0" t="s">
        <v>18642</v>
      </c>
    </row>
    <row r="54440" customFormat="false" ht="12.8" hidden="false" customHeight="false" outlineLevel="0" collapsed="false">
      <c r="B54440" s="0" t="s">
        <v>124</v>
      </c>
      <c r="C54440" s="0" t="s">
        <v>19027</v>
      </c>
      <c r="D54440" s="0" t="s">
        <v>19029</v>
      </c>
      <c r="E54440" s="0" t="s">
        <v>19029</v>
      </c>
      <c r="F54440" s="0" t="s">
        <v>19029</v>
      </c>
    </row>
    <row r="54442" customFormat="false" ht="12.8" hidden="false" customHeight="false" outlineLevel="0" collapsed="false">
      <c r="A54442" s="0" t="s">
        <v>19030</v>
      </c>
      <c r="B54442" s="0" t="str">
        <f aca="false">HYPERLINK("https://lindat.mff.cuni.cz/services/teitok/pdtc10/index.php?action=vallex&amp;frame=v-w7714f6_ZU", "vrhat (v-w7714f6_ZU)")</f>
        <v>vrhat (v-w7714f6_ZU)</v>
      </c>
    </row>
    <row r="54443" customFormat="false" ht="12.8" hidden="false" customHeight="false" outlineLevel="0" collapsed="false">
      <c r="B54443" s="0" t="s">
        <v>7</v>
      </c>
      <c r="C54443" s="0" t="s">
        <v>3243</v>
      </c>
      <c r="D54443" s="0" t="s">
        <v>2323</v>
      </c>
      <c r="E54443" s="0" t="s">
        <v>2323</v>
      </c>
      <c r="F54443" s="0" t="s">
        <v>2323</v>
      </c>
    </row>
    <row r="54444" customFormat="false" ht="12.8" hidden="false" customHeight="false" outlineLevel="0" collapsed="false">
      <c r="B54444" s="0" t="s">
        <v>14</v>
      </c>
      <c r="C54444" s="0" t="s">
        <v>3244</v>
      </c>
      <c r="D54444" s="0" t="s">
        <v>1918</v>
      </c>
      <c r="E54444" s="0" t="s">
        <v>1918</v>
      </c>
      <c r="F54444" s="0" t="s">
        <v>1918</v>
      </c>
    </row>
    <row r="54445" customFormat="false" ht="12.8" hidden="false" customHeight="false" outlineLevel="0" collapsed="false">
      <c r="B54445" s="0" t="s">
        <v>279</v>
      </c>
      <c r="D54445" s="0" t="s">
        <v>2325</v>
      </c>
      <c r="E54445" s="0" t="s">
        <v>2325</v>
      </c>
      <c r="F54445" s="0" t="s">
        <v>2325</v>
      </c>
    </row>
    <row r="54447" customFormat="false" ht="12.8" hidden="false" customHeight="false" outlineLevel="0" collapsed="false">
      <c r="A54447" s="0" t="s">
        <v>19030</v>
      </c>
      <c r="B54447" s="0" t="str">
        <f aca="false">HYPERLINK("https://lindat.mff.cuni.cz/services/teitok/pdtc10/index.php?action=vallex&amp;frame=v-w7714hsa_139", "vrhat (v-w7714hsa_139) - substituted with v-w7714f6_ZU")</f>
        <v>vrhat (v-w7714hsa_139) - substituted with v-w7714f6_ZU</v>
      </c>
    </row>
    <row r="54448" customFormat="false" ht="12.8" hidden="false" customHeight="false" outlineLevel="0" collapsed="false">
      <c r="B54448" s="0" t="s">
        <v>7</v>
      </c>
    </row>
    <row r="54449" customFormat="false" ht="12.8" hidden="false" customHeight="false" outlineLevel="0" collapsed="false">
      <c r="B54449" s="0" t="s">
        <v>14</v>
      </c>
    </row>
    <row r="54450" customFormat="false" ht="12.8" hidden="false" customHeight="false" outlineLevel="0" collapsed="false">
      <c r="B54450" s="0" t="s">
        <v>279</v>
      </c>
    </row>
    <row r="54452" customFormat="false" ht="12.8" hidden="false" customHeight="false" outlineLevel="0" collapsed="false">
      <c r="A54452" s="0" t="s">
        <v>19031</v>
      </c>
      <c r="B54452" s="0" t="str">
        <f aca="false">HYPERLINK("https://lindat.mff.cuni.cz/services/teitok/pdtc10/index.php?action=vallex&amp;frame=v-w7715f5_ZU", "vrhat se (v-w7715f5_ZU)")</f>
        <v>vrhat se (v-w7715f5_ZU)</v>
      </c>
    </row>
    <row r="54453" customFormat="false" ht="12.8" hidden="false" customHeight="false" outlineLevel="0" collapsed="false">
      <c r="B54453" s="0" t="s">
        <v>7</v>
      </c>
      <c r="F54453" s="0" t="s">
        <v>3180</v>
      </c>
    </row>
    <row r="54454" customFormat="false" ht="12.8" hidden="false" customHeight="false" outlineLevel="0" collapsed="false">
      <c r="B54454" s="0" t="s">
        <v>41</v>
      </c>
      <c r="F54454" s="0" t="s">
        <v>1522</v>
      </c>
    </row>
    <row r="54456" customFormat="false" ht="12.8" hidden="false" customHeight="false" outlineLevel="0" collapsed="false">
      <c r="A54456" s="0" t="s">
        <v>19032</v>
      </c>
      <c r="B54456" s="0" t="str">
        <f aca="false">HYPERLINK("https://lindat.mff.cuni.cz/services/teitok/pdtc10/index.php?action=vallex&amp;frame=v-w7715f3_ZU", "vrhat se (v-w7715f3_ZU)")</f>
        <v>vrhat se (v-w7715f3_ZU)</v>
      </c>
    </row>
    <row r="54457" customFormat="false" ht="12.8" hidden="false" customHeight="false" outlineLevel="0" collapsed="false">
      <c r="B54457" s="0" t="s">
        <v>7</v>
      </c>
      <c r="C54457" s="0" t="s">
        <v>184</v>
      </c>
      <c r="D54457" s="0" t="s">
        <v>113</v>
      </c>
      <c r="E54457" s="0" t="s">
        <v>113</v>
      </c>
      <c r="F54457" s="0" t="s">
        <v>113</v>
      </c>
    </row>
    <row r="54458" customFormat="false" ht="12.8" hidden="false" customHeight="false" outlineLevel="0" collapsed="false">
      <c r="B54458" s="0" t="s">
        <v>124</v>
      </c>
      <c r="D54458" s="0" t="s">
        <v>2162</v>
      </c>
      <c r="E54458" s="0" t="s">
        <v>2162</v>
      </c>
      <c r="F54458" s="0" t="s">
        <v>2162</v>
      </c>
    </row>
    <row r="54460" customFormat="false" ht="12.8" hidden="false" customHeight="false" outlineLevel="0" collapsed="false">
      <c r="A54460" s="0" t="s">
        <v>19032</v>
      </c>
      <c r="B54460" s="0" t="str">
        <f aca="false">HYPERLINK("https://lindat.mff.cuni.cz/services/teitok/pdtc10/index.php?action=vallex&amp;frame=v-w7715f1", "vrhat se (v-w7715f1) - substituted with v-w7715f3_ZU")</f>
        <v>vrhat se (v-w7715f1) - substituted with v-w7715f3_ZU</v>
      </c>
    </row>
    <row r="54461" customFormat="false" ht="12.8" hidden="false" customHeight="false" outlineLevel="0" collapsed="false">
      <c r="B54461" s="0" t="s">
        <v>7</v>
      </c>
    </row>
    <row r="54462" customFormat="false" ht="12.8" hidden="false" customHeight="false" outlineLevel="0" collapsed="false">
      <c r="B54462" s="0" t="s">
        <v>124</v>
      </c>
    </row>
    <row r="54464" customFormat="false" ht="12.8" hidden="false" customHeight="false" outlineLevel="0" collapsed="false">
      <c r="A54464" s="0" t="s">
        <v>19033</v>
      </c>
      <c r="B54464" s="0" t="str">
        <f aca="false">HYPERLINK("https://lindat.mff.cuni.cz/services/teitok/pdtc10/index.php?action=vallex&amp;frame=v-w7715f2_ZU", "vrhat se (v-w7715f2_ZU)")</f>
        <v>vrhat se (v-w7715f2_ZU)</v>
      </c>
    </row>
    <row r="54465" customFormat="false" ht="12.8" hidden="false" customHeight="false" outlineLevel="0" collapsed="false">
      <c r="B54465" s="0" t="s">
        <v>7</v>
      </c>
    </row>
    <row r="54466" customFormat="false" ht="12.8" hidden="false" customHeight="false" outlineLevel="0" collapsed="false">
      <c r="B54466" s="0" t="s">
        <v>338</v>
      </c>
    </row>
    <row r="54468" customFormat="false" ht="12.8" hidden="false" customHeight="false" outlineLevel="0" collapsed="false">
      <c r="A54468" s="0" t="s">
        <v>19034</v>
      </c>
      <c r="B54468" s="0" t="str">
        <f aca="false">HYPERLINK("https://lindat.mff.cuni.cz/services/teitok/pdtc10/index.php?action=vallex&amp;frame=v-w7715f4_ZU", "vrhat se (v-w7715f4_ZU)")</f>
        <v>vrhat se (v-w7715f4_ZU)</v>
      </c>
    </row>
    <row r="54469" customFormat="false" ht="12.8" hidden="false" customHeight="false" outlineLevel="0" collapsed="false">
      <c r="B54469" s="0" t="s">
        <v>7</v>
      </c>
    </row>
    <row r="54471" customFormat="false" ht="12.8" hidden="false" customHeight="false" outlineLevel="0" collapsed="false">
      <c r="A54471" s="0" t="s">
        <v>19035</v>
      </c>
      <c r="B54471" s="0" t="str">
        <f aca="false">HYPERLINK("https://lindat.mff.cuni.cz/services/teitok/pdtc10/index.php?action=vallex&amp;frame=v-w7716f1", "vrhnout (v-w7716f1)")</f>
        <v>vrhnout (v-w7716f1)</v>
      </c>
    </row>
    <row r="54472" customFormat="false" ht="12.8" hidden="false" customHeight="false" outlineLevel="0" collapsed="false">
      <c r="B54472" s="0" t="s">
        <v>7</v>
      </c>
      <c r="C54472" s="0" t="s">
        <v>46</v>
      </c>
    </row>
    <row r="54473" customFormat="false" ht="12.8" hidden="false" customHeight="false" outlineLevel="0" collapsed="false">
      <c r="B54473" s="0" t="s">
        <v>14</v>
      </c>
      <c r="C54473" s="0" t="s">
        <v>567</v>
      </c>
    </row>
    <row r="54474" customFormat="false" ht="12.8" hidden="false" customHeight="false" outlineLevel="0" collapsed="false">
      <c r="B54474" s="0" t="s">
        <v>124</v>
      </c>
    </row>
    <row r="54476" customFormat="false" ht="12.8" hidden="false" customHeight="false" outlineLevel="0" collapsed="false">
      <c r="A54476" s="0" t="s">
        <v>19036</v>
      </c>
      <c r="B54476" s="0" t="str">
        <f aca="false">HYPERLINK("https://lindat.mff.cuni.cz/services/teitok/pdtc10/index.php?action=vallex&amp;frame=v-w7716f2", "vrhnout (v-w7716f2)")</f>
        <v>vrhnout (v-w7716f2)</v>
      </c>
    </row>
    <row r="54477" customFormat="false" ht="12.8" hidden="false" customHeight="false" outlineLevel="0" collapsed="false">
      <c r="B54477" s="0" t="s">
        <v>7</v>
      </c>
    </row>
    <row r="54478" customFormat="false" ht="12.8" hidden="false" customHeight="false" outlineLevel="0" collapsed="false">
      <c r="B54478" s="0" t="s">
        <v>1836</v>
      </c>
    </row>
    <row r="54480" customFormat="false" ht="12.8" hidden="false" customHeight="false" outlineLevel="0" collapsed="false">
      <c r="A54480" s="0" t="s">
        <v>19037</v>
      </c>
      <c r="B54480" s="0" t="str">
        <f aca="false">HYPERLINK("https://lindat.mff.cuni.cz/services/teitok/pdtc10/index.php?action=vallex&amp;frame=v-w7716f3", "vrhnout (v-w7716f3)")</f>
        <v>vrhnout (v-w7716f3)</v>
      </c>
    </row>
    <row r="54481" customFormat="false" ht="12.8" hidden="false" customHeight="false" outlineLevel="0" collapsed="false">
      <c r="B54481" s="0" t="s">
        <v>7</v>
      </c>
      <c r="C54481" s="0" t="s">
        <v>149</v>
      </c>
      <c r="D54481" s="0" t="s">
        <v>19028</v>
      </c>
      <c r="E54481" s="0" t="s">
        <v>19028</v>
      </c>
      <c r="F54481" s="0" t="s">
        <v>19028</v>
      </c>
    </row>
    <row r="54482" customFormat="false" ht="12.8" hidden="false" customHeight="false" outlineLevel="0" collapsed="false">
      <c r="B54482" s="0" t="s">
        <v>19038</v>
      </c>
      <c r="C54482" s="0" t="s">
        <v>18642</v>
      </c>
    </row>
    <row r="54483" customFormat="false" ht="12.8" hidden="false" customHeight="false" outlineLevel="0" collapsed="false">
      <c r="B54483" s="0" t="s">
        <v>124</v>
      </c>
      <c r="C54483" s="0" t="s">
        <v>19027</v>
      </c>
      <c r="D54483" s="0" t="s">
        <v>19029</v>
      </c>
      <c r="E54483" s="0" t="s">
        <v>19029</v>
      </c>
      <c r="F54483" s="0" t="s">
        <v>19029</v>
      </c>
    </row>
    <row r="54485" customFormat="false" ht="12.8" hidden="false" customHeight="false" outlineLevel="0" collapsed="false">
      <c r="A54485" s="0" t="s">
        <v>19039</v>
      </c>
      <c r="B54485" s="0" t="str">
        <f aca="false">HYPERLINK("https://lindat.mff.cuni.cz/services/teitok/pdtc10/index.php?action=vallex&amp;frame=v-w7717f3_ZU", "vrhnout se (v-w7717f3_ZU)")</f>
        <v>vrhnout se (v-w7717f3_ZU)</v>
      </c>
    </row>
    <row r="54486" customFormat="false" ht="12.8" hidden="false" customHeight="false" outlineLevel="0" collapsed="false">
      <c r="B54486" s="0" t="s">
        <v>7</v>
      </c>
      <c r="C54486" s="0" t="s">
        <v>113</v>
      </c>
      <c r="D54486" s="0" t="s">
        <v>1104</v>
      </c>
      <c r="E54486" s="0" t="s">
        <v>1104</v>
      </c>
      <c r="F54486" s="0" t="s">
        <v>19040</v>
      </c>
    </row>
    <row r="54487" customFormat="false" ht="12.8" hidden="false" customHeight="false" outlineLevel="0" collapsed="false">
      <c r="B54487" s="0" t="s">
        <v>4535</v>
      </c>
      <c r="C54487" s="0" t="s">
        <v>47</v>
      </c>
      <c r="D54487" s="0" t="s">
        <v>19041</v>
      </c>
      <c r="E54487" s="0" t="s">
        <v>19041</v>
      </c>
      <c r="F54487" s="0" t="s">
        <v>19042</v>
      </c>
    </row>
    <row r="54489" customFormat="false" ht="12.8" hidden="false" customHeight="false" outlineLevel="0" collapsed="false">
      <c r="A54489" s="0" t="s">
        <v>19039</v>
      </c>
      <c r="B54489" s="0" t="str">
        <f aca="false">HYPERLINK("https://lindat.mff.cuni.cz/services/teitok/pdtc10/index.php?action=vallex&amp;frame=v-w7717f2_ZU", "vrhnout se (v-w7717f2_ZU) - substituted with v-w7717f3_ZU")</f>
        <v>vrhnout se (v-w7717f2_ZU) - substituted with v-w7717f3_ZU</v>
      </c>
    </row>
    <row r="54490" customFormat="false" ht="12.8" hidden="false" customHeight="false" outlineLevel="0" collapsed="false">
      <c r="B54490" s="0" t="s">
        <v>7</v>
      </c>
      <c r="C54490" s="0" t="s">
        <v>10862</v>
      </c>
    </row>
    <row r="54491" customFormat="false" ht="12.8" hidden="false" customHeight="false" outlineLevel="0" collapsed="false">
      <c r="B54491" s="0" t="s">
        <v>4535</v>
      </c>
    </row>
    <row r="54493" customFormat="false" ht="12.8" hidden="false" customHeight="false" outlineLevel="0" collapsed="false">
      <c r="A54493" s="0" t="s">
        <v>19043</v>
      </c>
      <c r="B54493" s="0" t="str">
        <f aca="false">HYPERLINK("https://lindat.mff.cuni.cz/services/teitok/pdtc10/index.php?action=vallex&amp;frame=v-w7717f1", "vrhnout se (v-w7717f1)")</f>
        <v>vrhnout se (v-w7717f1)</v>
      </c>
    </row>
    <row r="54494" customFormat="false" ht="12.8" hidden="false" customHeight="false" outlineLevel="0" collapsed="false">
      <c r="B54494" s="0" t="s">
        <v>7</v>
      </c>
      <c r="C54494" s="0" t="s">
        <v>19044</v>
      </c>
      <c r="D54494" s="0" t="s">
        <v>113</v>
      </c>
      <c r="E54494" s="0" t="s">
        <v>113</v>
      </c>
      <c r="F54494" s="0" t="s">
        <v>113</v>
      </c>
    </row>
    <row r="54495" customFormat="false" ht="12.8" hidden="false" customHeight="false" outlineLevel="0" collapsed="false">
      <c r="B54495" s="0" t="s">
        <v>124</v>
      </c>
      <c r="C54495" s="0" t="s">
        <v>2054</v>
      </c>
      <c r="D54495" s="0" t="s">
        <v>2162</v>
      </c>
      <c r="E54495" s="0" t="s">
        <v>2162</v>
      </c>
      <c r="F54495" s="0" t="s">
        <v>2162</v>
      </c>
    </row>
    <row r="54497" customFormat="false" ht="12.8" hidden="false" customHeight="false" outlineLevel="0" collapsed="false">
      <c r="A54497" s="0" t="s">
        <v>19045</v>
      </c>
      <c r="B54497" s="0" t="str">
        <f aca="false">HYPERLINK("https://lindat.mff.cuni.cz/services/teitok/pdtc10/index.php?action=vallex&amp;frame=v-w7717f5_ZU", "vrhnout se (v-w7717f5_ZU)")</f>
        <v>vrhnout se (v-w7717f5_ZU)</v>
      </c>
    </row>
    <row r="54498" customFormat="false" ht="12.8" hidden="false" customHeight="false" outlineLevel="0" collapsed="false">
      <c r="B54498" s="0" t="s">
        <v>7</v>
      </c>
      <c r="C54498" s="0" t="s">
        <v>623</v>
      </c>
      <c r="D54498" s="0" t="s">
        <v>108</v>
      </c>
      <c r="E54498" s="0" t="s">
        <v>108</v>
      </c>
      <c r="F54498" s="0" t="s">
        <v>108</v>
      </c>
    </row>
    <row r="54499" customFormat="false" ht="12.8" hidden="false" customHeight="false" outlineLevel="0" collapsed="false">
      <c r="B54499" s="0" t="s">
        <v>338</v>
      </c>
      <c r="C54499" s="0" t="s">
        <v>13921</v>
      </c>
      <c r="D54499" s="0" t="s">
        <v>4037</v>
      </c>
      <c r="E54499" s="0" t="s">
        <v>4037</v>
      </c>
      <c r="F54499" s="0" t="s">
        <v>4037</v>
      </c>
    </row>
    <row r="54501" customFormat="false" ht="12.8" hidden="false" customHeight="false" outlineLevel="0" collapsed="false">
      <c r="A54501" s="0" t="s">
        <v>19045</v>
      </c>
      <c r="B54501" s="0" t="str">
        <f aca="false">HYPERLINK("https://lindat.mff.cuni.cz/services/teitok/pdtc10/index.php?action=vallex&amp;frame=v-w7717f4_ZU", "vrhnout se (v-w7717f4_ZU) - substituted with v-w7717f5_ZU")</f>
        <v>vrhnout se (v-w7717f4_ZU) - substituted with v-w7717f5_ZU</v>
      </c>
    </row>
    <row r="54502" customFormat="false" ht="12.8" hidden="false" customHeight="false" outlineLevel="0" collapsed="false">
      <c r="B54502" s="0" t="s">
        <v>7</v>
      </c>
    </row>
    <row r="54503" customFormat="false" ht="12.8" hidden="false" customHeight="false" outlineLevel="0" collapsed="false">
      <c r="B54503" s="0" t="s">
        <v>338</v>
      </c>
    </row>
    <row r="54505" customFormat="false" ht="12.8" hidden="false" customHeight="false" outlineLevel="0" collapsed="false">
      <c r="A54505" s="0" t="s">
        <v>19046</v>
      </c>
      <c r="B54505" s="0" t="str">
        <f aca="false">HYPERLINK("https://lindat.mff.cuni.cz/services/teitok/pdtc10/index.php?action=vallex&amp;frame=v-whsa_1073hsa_1074", "vrnět (v-whsa_1073hsa_1074)")</f>
        <v>vrnět (v-whsa_1073hsa_1074)</v>
      </c>
    </row>
    <row r="54506" customFormat="false" ht="12.8" hidden="false" customHeight="false" outlineLevel="0" collapsed="false">
      <c r="B54506" s="0" t="s">
        <v>7</v>
      </c>
      <c r="C54506" s="0" t="s">
        <v>46</v>
      </c>
    </row>
    <row r="54507" customFormat="false" ht="12.8" hidden="false" customHeight="false" outlineLevel="0" collapsed="false">
      <c r="B54507" s="0" t="s">
        <v>10238</v>
      </c>
      <c r="C54507" s="0" t="s">
        <v>47</v>
      </c>
    </row>
    <row r="54509" customFormat="false" ht="12.8" hidden="false" customHeight="false" outlineLevel="0" collapsed="false">
      <c r="A54509" s="0" t="s">
        <v>19047</v>
      </c>
      <c r="B54509" s="0" t="str">
        <f aca="false">HYPERLINK("https://lindat.mff.cuni.cz/services/teitok/pdtc10/index.php?action=vallex&amp;frame=v-whsa_141hsa_142", "vrnět se (v-whsa_141hsa_142)")</f>
        <v>vrnět se (v-whsa_141hsa_142)</v>
      </c>
    </row>
    <row r="54510" customFormat="false" ht="12.8" hidden="false" customHeight="false" outlineLevel="0" collapsed="false">
      <c r="B54510" s="0" t="s">
        <v>7</v>
      </c>
    </row>
    <row r="54512" customFormat="false" ht="12.8" hidden="false" customHeight="false" outlineLevel="0" collapsed="false">
      <c r="A54512" s="0" t="s">
        <v>19048</v>
      </c>
      <c r="B54512" s="0" t="str">
        <f aca="false">HYPERLINK("https://lindat.mff.cuni.cz/services/teitok/pdtc10/index.php?action=vallex&amp;frame=v-w7724f2", "vrtat (v-w7724f2)")</f>
        <v>vrtat (v-w7724f2)</v>
      </c>
    </row>
    <row r="54513" customFormat="false" ht="12.8" hidden="false" customHeight="false" outlineLevel="0" collapsed="false">
      <c r="B54513" s="0" t="s">
        <v>7</v>
      </c>
      <c r="C54513" s="0" t="s">
        <v>335</v>
      </c>
    </row>
    <row r="54514" customFormat="false" ht="12.8" hidden="false" customHeight="false" outlineLevel="0" collapsed="false">
      <c r="B54514" s="0" t="s">
        <v>14</v>
      </c>
      <c r="C54514" s="0" t="s">
        <v>19049</v>
      </c>
    </row>
    <row r="54516" customFormat="false" ht="12.8" hidden="false" customHeight="false" outlineLevel="0" collapsed="false">
      <c r="A54516" s="0" t="s">
        <v>19050</v>
      </c>
      <c r="B54516" s="0" t="str">
        <f aca="false">HYPERLINK("https://lindat.mff.cuni.cz/services/teitok/pdtc10/index.php?action=vallex&amp;frame=v-w7724f1", "vrtat (v-w7724f1)")</f>
        <v>vrtat (v-w7724f1)</v>
      </c>
    </row>
    <row r="54517" customFormat="false" ht="12.8" hidden="false" customHeight="false" outlineLevel="0" collapsed="false">
      <c r="B54517" s="0" t="s">
        <v>18782</v>
      </c>
    </row>
    <row r="54518" customFormat="false" ht="12.8" hidden="false" customHeight="false" outlineLevel="0" collapsed="false">
      <c r="B54518" s="0" t="s">
        <v>11915</v>
      </c>
    </row>
    <row r="54519" customFormat="false" ht="12.8" hidden="false" customHeight="false" outlineLevel="0" collapsed="false">
      <c r="B54519" s="0" t="s">
        <v>142</v>
      </c>
    </row>
    <row r="54521" customFormat="false" ht="12.8" hidden="false" customHeight="false" outlineLevel="0" collapsed="false">
      <c r="A54521" s="0" t="s">
        <v>19051</v>
      </c>
      <c r="B54521" s="0" t="str">
        <f aca="false">HYPERLINK("https://lindat.mff.cuni.cz/services/teitok/pdtc10/index.php?action=vallex&amp;frame=v-w7724f3_ZU", "vrtat (v-w7724f3_ZU)")</f>
        <v>vrtat (v-w7724f3_ZU)</v>
      </c>
    </row>
    <row r="54522" customFormat="false" ht="12.8" hidden="false" customHeight="false" outlineLevel="0" collapsed="false">
      <c r="B54522" s="0" t="s">
        <v>7</v>
      </c>
    </row>
    <row r="54523" customFormat="false" ht="12.8" hidden="false" customHeight="false" outlineLevel="0" collapsed="false">
      <c r="B54523" s="0" t="s">
        <v>14</v>
      </c>
    </row>
    <row r="54525" customFormat="false" ht="12.8" hidden="false" customHeight="false" outlineLevel="0" collapsed="false">
      <c r="A54525" s="0" t="s">
        <v>19051</v>
      </c>
      <c r="B54525" s="0" t="str">
        <f aca="false">HYPERLINK("https://lindat.mff.cuni.cz/services/teitok/pdtc10/index.php?action=vallex&amp;frame=v-w7724hsa_502", "vrtat (v-w7724hsa_502) - substituted with v-w7724f3_ZU")</f>
        <v>vrtat (v-w7724hsa_502) - substituted with v-w7724f3_ZU</v>
      </c>
    </row>
    <row r="54526" customFormat="false" ht="12.8" hidden="false" customHeight="false" outlineLevel="0" collapsed="false">
      <c r="B54526" s="0" t="s">
        <v>7</v>
      </c>
    </row>
    <row r="54527" customFormat="false" ht="12.8" hidden="false" customHeight="false" outlineLevel="0" collapsed="false">
      <c r="B54527" s="0" t="s">
        <v>14</v>
      </c>
    </row>
    <row r="54529" customFormat="false" ht="12.8" hidden="false" customHeight="false" outlineLevel="0" collapsed="false">
      <c r="A54529" s="0" t="s">
        <v>19052</v>
      </c>
      <c r="B54529" s="0" t="str">
        <f aca="false">HYPERLINK("https://lindat.mff.cuni.cz/services/teitok/pdtc10/index.php?action=vallex&amp;frame=v-whsa_878hsa_879", "vrtat se (v-whsa_878hsa_879)")</f>
        <v>vrtat se (v-whsa_878hsa_879)</v>
      </c>
    </row>
    <row r="54530" customFormat="false" ht="12.8" hidden="false" customHeight="false" outlineLevel="0" collapsed="false">
      <c r="B54530" s="0" t="s">
        <v>7</v>
      </c>
      <c r="C54530" s="0" t="s">
        <v>191</v>
      </c>
      <c r="D54530" s="0" t="s">
        <v>46</v>
      </c>
      <c r="E54530" s="0" t="s">
        <v>46</v>
      </c>
      <c r="F54530" s="0" t="s">
        <v>46</v>
      </c>
    </row>
    <row r="54531" customFormat="false" ht="12.8" hidden="false" customHeight="false" outlineLevel="0" collapsed="false">
      <c r="B54531" s="0" t="s">
        <v>387</v>
      </c>
      <c r="C54531" s="0" t="s">
        <v>384</v>
      </c>
      <c r="D54531" s="0" t="s">
        <v>78</v>
      </c>
      <c r="E54531" s="0" t="s">
        <v>78</v>
      </c>
      <c r="F54531" s="0" t="s">
        <v>78</v>
      </c>
    </row>
    <row r="54533" customFormat="false" ht="12.8" hidden="false" customHeight="false" outlineLevel="0" collapsed="false">
      <c r="A54533" s="0" t="s">
        <v>19053</v>
      </c>
      <c r="B54533" s="0" t="str">
        <f aca="false">HYPERLINK("https://lindat.mff.cuni.cz/services/teitok/pdtc10/index.php?action=vallex&amp;frame=v-whsa_878f1_ZU", "vrtat se (v-whsa_878f1_ZU)")</f>
        <v>vrtat se (v-whsa_878f1_ZU)</v>
      </c>
    </row>
    <row r="54534" customFormat="false" ht="12.8" hidden="false" customHeight="false" outlineLevel="0" collapsed="false">
      <c r="B54534" s="0" t="s">
        <v>7</v>
      </c>
    </row>
    <row r="54536" customFormat="false" ht="12.8" hidden="false" customHeight="false" outlineLevel="0" collapsed="false">
      <c r="A54536" s="0" t="s">
        <v>19054</v>
      </c>
      <c r="B54536" s="0" t="str">
        <f aca="false">HYPERLINK("https://lindat.mff.cuni.cz/services/teitok/pdtc10/index.php?action=vallex&amp;frame=v-w11085f2", "vrtět (v-w11085f2)")</f>
        <v>vrtět (v-w11085f2)</v>
      </c>
    </row>
    <row r="54537" customFormat="false" ht="12.8" hidden="false" customHeight="false" outlineLevel="0" collapsed="false">
      <c r="B54537" s="0" t="s">
        <v>7</v>
      </c>
    </row>
    <row r="54538" customFormat="false" ht="12.8" hidden="false" customHeight="false" outlineLevel="0" collapsed="false">
      <c r="B54538" s="0" t="s">
        <v>216</v>
      </c>
    </row>
    <row r="54540" customFormat="false" ht="12.8" hidden="false" customHeight="false" outlineLevel="0" collapsed="false">
      <c r="A54540" s="0" t="s">
        <v>19055</v>
      </c>
      <c r="B54540" s="0" t="str">
        <f aca="false">HYPERLINK("https://lindat.mff.cuni.cz/services/teitok/pdtc10/index.php?action=vallex&amp;frame=v-w11458f1", "vrtět se (v-w11458f1)")</f>
        <v>vrtět se (v-w11458f1)</v>
      </c>
    </row>
    <row r="54541" customFormat="false" ht="12.8" hidden="false" customHeight="false" outlineLevel="0" collapsed="false">
      <c r="B54541" s="0" t="s">
        <v>7</v>
      </c>
      <c r="C54541" s="0" t="s">
        <v>46</v>
      </c>
      <c r="D54541" s="0" t="s">
        <v>9332</v>
      </c>
      <c r="E54541" s="0" t="s">
        <v>9332</v>
      </c>
      <c r="F54541" s="0" t="s">
        <v>9332</v>
      </c>
    </row>
    <row r="54543" customFormat="false" ht="12.8" hidden="false" customHeight="false" outlineLevel="0" collapsed="false">
      <c r="A54543" s="0" t="s">
        <v>19056</v>
      </c>
      <c r="B54543" s="0" t="str">
        <f aca="false">HYPERLINK("https://lindat.mff.cuni.cz/services/teitok/pdtc10/index.php?action=vallex&amp;frame=v-whsa_696hsa_697", "vrzat (v-whsa_696hsa_697)")</f>
        <v>vrzat (v-whsa_696hsa_697)</v>
      </c>
    </row>
    <row r="54544" customFormat="false" ht="12.8" hidden="false" customHeight="false" outlineLevel="0" collapsed="false">
      <c r="B54544" s="0" t="s">
        <v>7</v>
      </c>
    </row>
    <row r="54545" customFormat="false" ht="12.8" hidden="false" customHeight="false" outlineLevel="0" collapsed="false">
      <c r="B54545" s="0" t="s">
        <v>216</v>
      </c>
    </row>
    <row r="54547" customFormat="false" ht="12.8" hidden="false" customHeight="false" outlineLevel="0" collapsed="false">
      <c r="A54547" s="0" t="s">
        <v>19057</v>
      </c>
      <c r="B54547" s="0" t="str">
        <f aca="false">HYPERLINK("https://lindat.mff.cuni.cz/services/teitok/pdtc10/index.php?action=vallex&amp;frame=v-w7705f7_ZU", "vrátit (v-w7705f7_ZU)")</f>
        <v>vrátit (v-w7705f7_ZU)</v>
      </c>
    </row>
    <row r="54548" customFormat="false" ht="12.8" hidden="false" customHeight="false" outlineLevel="0" collapsed="false">
      <c r="B54548" s="0" t="s">
        <v>7</v>
      </c>
    </row>
    <row r="54549" customFormat="false" ht="12.8" hidden="false" customHeight="false" outlineLevel="0" collapsed="false">
      <c r="B54549" s="0" t="s">
        <v>232</v>
      </c>
    </row>
    <row r="54550" customFormat="false" ht="12.8" hidden="false" customHeight="false" outlineLevel="0" collapsed="false">
      <c r="B54550" s="0" t="s">
        <v>48</v>
      </c>
    </row>
    <row r="54552" customFormat="false" ht="12.8" hidden="false" customHeight="false" outlineLevel="0" collapsed="false">
      <c r="A54552" s="0" t="s">
        <v>19057</v>
      </c>
      <c r="B54552" s="0" t="str">
        <f aca="false">HYPERLINK("https://lindat.mff.cuni.cz/services/teitok/pdtc10/index.php?action=vallex&amp;frame=v-w7705f1", "vrátit (v-w7705f1) - substituted with v-w7705f7_ZU")</f>
        <v>vrátit (v-w7705f1) - substituted with v-w7705f7_ZU</v>
      </c>
    </row>
    <row r="54553" customFormat="false" ht="12.8" hidden="false" customHeight="false" outlineLevel="0" collapsed="false">
      <c r="B54553" s="0" t="s">
        <v>7</v>
      </c>
      <c r="C54553" s="0" t="s">
        <v>1154</v>
      </c>
      <c r="D54553" s="0" t="s">
        <v>4161</v>
      </c>
      <c r="E54553" s="0" t="s">
        <v>4161</v>
      </c>
      <c r="F54553" s="0" t="s">
        <v>4161</v>
      </c>
    </row>
    <row r="54554" customFormat="false" ht="12.8" hidden="false" customHeight="false" outlineLevel="0" collapsed="false">
      <c r="B54554" s="0" t="s">
        <v>232</v>
      </c>
      <c r="C54554" s="0" t="s">
        <v>19058</v>
      </c>
      <c r="D54554" s="0" t="s">
        <v>7170</v>
      </c>
      <c r="E54554" s="0" t="s">
        <v>7170</v>
      </c>
      <c r="F54554" s="0" t="s">
        <v>7170</v>
      </c>
    </row>
    <row r="54555" customFormat="false" ht="12.8" hidden="false" customHeight="false" outlineLevel="0" collapsed="false">
      <c r="B54555" s="0" t="s">
        <v>48</v>
      </c>
      <c r="C54555" s="0" t="s">
        <v>19059</v>
      </c>
      <c r="D54555" s="0" t="s">
        <v>7171</v>
      </c>
      <c r="E54555" s="0" t="s">
        <v>7171</v>
      </c>
      <c r="F54555" s="0" t="s">
        <v>7171</v>
      </c>
    </row>
    <row r="54557" customFormat="false" ht="12.8" hidden="false" customHeight="false" outlineLevel="0" collapsed="false">
      <c r="A54557" s="0" t="s">
        <v>19060</v>
      </c>
      <c r="B54557" s="0" t="str">
        <f aca="false">HYPERLINK("https://lindat.mff.cuni.cz/services/teitok/pdtc10/index.php?action=vallex&amp;frame=v-w7705f6_ZU", "vrátit (v-w7705f6_ZU)")</f>
        <v>vrátit (v-w7705f6_ZU)</v>
      </c>
    </row>
    <row r="54558" customFormat="false" ht="12.8" hidden="false" customHeight="false" outlineLevel="0" collapsed="false">
      <c r="B54558" s="0" t="s">
        <v>7</v>
      </c>
    </row>
    <row r="54559" customFormat="false" ht="12.8" hidden="false" customHeight="false" outlineLevel="0" collapsed="false">
      <c r="B54559" s="0" t="s">
        <v>14</v>
      </c>
    </row>
    <row r="54560" customFormat="false" ht="12.8" hidden="false" customHeight="false" outlineLevel="0" collapsed="false">
      <c r="B54560" s="0" t="s">
        <v>19061</v>
      </c>
    </row>
    <row r="54562" customFormat="false" ht="12.8" hidden="false" customHeight="false" outlineLevel="0" collapsed="false">
      <c r="A54562" s="0" t="s">
        <v>19060</v>
      </c>
      <c r="B54562" s="0" t="str">
        <f aca="false">HYPERLINK("https://lindat.mff.cuni.cz/services/teitok/pdtc10/index.php?action=vallex&amp;frame=v-w7705f3", "vrátit (v-w7705f3) - substituted with v-w7705f6_ZU")</f>
        <v>vrátit (v-w7705f3) - substituted with v-w7705f6_ZU</v>
      </c>
    </row>
    <row r="54563" customFormat="false" ht="12.8" hidden="false" customHeight="false" outlineLevel="0" collapsed="false">
      <c r="B54563" s="0" t="s">
        <v>7</v>
      </c>
      <c r="C54563" s="0" t="s">
        <v>19062</v>
      </c>
    </row>
    <row r="54564" customFormat="false" ht="12.8" hidden="false" customHeight="false" outlineLevel="0" collapsed="false">
      <c r="B54564" s="0" t="s">
        <v>14</v>
      </c>
      <c r="C54564" s="0" t="s">
        <v>3244</v>
      </c>
    </row>
    <row r="54565" customFormat="false" ht="12.8" hidden="false" customHeight="false" outlineLevel="0" collapsed="false">
      <c r="B54565" s="0" t="s">
        <v>19061</v>
      </c>
    </row>
    <row r="54567" customFormat="false" ht="12.8" hidden="false" customHeight="false" outlineLevel="0" collapsed="false">
      <c r="A54567" s="0" t="s">
        <v>19060</v>
      </c>
      <c r="B54567" s="0" t="str">
        <f aca="false">HYPERLINK("https://lindat.mff.cuni.cz/services/teitok/pdtc10/index.php?action=vallex&amp;frame=v-w7705hsa_787", "vrátit (v-w7705hsa_787) - substituted with v-w7705f6_ZU")</f>
        <v>vrátit (v-w7705hsa_787) - substituted with v-w7705f6_ZU</v>
      </c>
    </row>
    <row r="54568" customFormat="false" ht="12.8" hidden="false" customHeight="false" outlineLevel="0" collapsed="false">
      <c r="B54568" s="0" t="s">
        <v>7</v>
      </c>
    </row>
    <row r="54569" customFormat="false" ht="12.8" hidden="false" customHeight="false" outlineLevel="0" collapsed="false">
      <c r="B54569" s="0" t="s">
        <v>14</v>
      </c>
      <c r="C54569" s="0" t="s">
        <v>567</v>
      </c>
    </row>
    <row r="54570" customFormat="false" ht="12.8" hidden="false" customHeight="false" outlineLevel="0" collapsed="false">
      <c r="B54570" s="0" t="s">
        <v>19061</v>
      </c>
    </row>
    <row r="54572" customFormat="false" ht="12.8" hidden="false" customHeight="false" outlineLevel="0" collapsed="false">
      <c r="A54572" s="0" t="s">
        <v>19063</v>
      </c>
      <c r="B54572" s="0" t="str">
        <f aca="false">HYPERLINK("https://lindat.mff.cuni.cz/services/teitok/pdtc10/index.php?action=vallex&amp;frame=v-w7705f4", "vrátit (v-w7705f4)")</f>
        <v>vrátit (v-w7705f4)</v>
      </c>
    </row>
    <row r="54573" customFormat="false" ht="12.8" hidden="false" customHeight="false" outlineLevel="0" collapsed="false">
      <c r="B54573" s="0" t="s">
        <v>7</v>
      </c>
    </row>
    <row r="54574" customFormat="false" ht="12.8" hidden="false" customHeight="false" outlineLevel="0" collapsed="false">
      <c r="B54574" s="0" t="s">
        <v>14</v>
      </c>
    </row>
    <row r="54575" customFormat="false" ht="12.8" hidden="false" customHeight="false" outlineLevel="0" collapsed="false">
      <c r="B54575" s="0" t="s">
        <v>11</v>
      </c>
    </row>
    <row r="54577" customFormat="false" ht="12.8" hidden="false" customHeight="false" outlineLevel="0" collapsed="false">
      <c r="A54577" s="0" t="s">
        <v>19064</v>
      </c>
      <c r="B54577" s="0" t="str">
        <f aca="false">HYPERLINK("https://lindat.mff.cuni.cz/services/teitok/pdtc10/index.php?action=vallex&amp;frame=v-w7705f2", "vrátit (v-w7705f2)")</f>
        <v>vrátit (v-w7705f2)</v>
      </c>
    </row>
    <row r="54578" customFormat="false" ht="12.8" hidden="false" customHeight="false" outlineLevel="0" collapsed="false">
      <c r="B54578" s="0" t="s">
        <v>7</v>
      </c>
      <c r="C54578" s="0" t="s">
        <v>9402</v>
      </c>
      <c r="D54578" s="0" t="s">
        <v>19065</v>
      </c>
      <c r="E54578" s="0" t="s">
        <v>19065</v>
      </c>
      <c r="F54578" s="0" t="s">
        <v>19065</v>
      </c>
    </row>
    <row r="54579" customFormat="false" ht="12.8" hidden="false" customHeight="false" outlineLevel="0" collapsed="false">
      <c r="B54579" s="0" t="s">
        <v>14</v>
      </c>
      <c r="C54579" s="0" t="s">
        <v>19066</v>
      </c>
      <c r="D54579" s="0" t="s">
        <v>19067</v>
      </c>
      <c r="E54579" s="0" t="s">
        <v>19067</v>
      </c>
      <c r="F54579" s="0" t="s">
        <v>19067</v>
      </c>
    </row>
    <row r="54580" customFormat="false" ht="12.8" hidden="false" customHeight="false" outlineLevel="0" collapsed="false">
      <c r="B54580" s="0" t="s">
        <v>124</v>
      </c>
      <c r="C54580" s="0" t="s">
        <v>19068</v>
      </c>
      <c r="D54580" s="0" t="s">
        <v>19069</v>
      </c>
      <c r="E54580" s="0" t="s">
        <v>19069</v>
      </c>
      <c r="F54580" s="0" t="s">
        <v>19069</v>
      </c>
    </row>
    <row r="54582" customFormat="false" ht="12.8" hidden="false" customHeight="false" outlineLevel="0" collapsed="false">
      <c r="A54582" s="0" t="s">
        <v>19070</v>
      </c>
      <c r="B54582" s="0" t="str">
        <f aca="false">HYPERLINK("https://lindat.mff.cuni.cz/services/teitok/pdtc10/index.php?action=vallex&amp;frame=v-w7705f5_ZU", "vrátit (v-w7705f5_ZU)")</f>
        <v>vrátit (v-w7705f5_ZU)</v>
      </c>
    </row>
    <row r="54583" customFormat="false" ht="12.8" hidden="false" customHeight="false" outlineLevel="0" collapsed="false">
      <c r="B54583" s="0" t="s">
        <v>7</v>
      </c>
      <c r="C54583" s="0" t="s">
        <v>31</v>
      </c>
      <c r="D54583" s="0" t="s">
        <v>2323</v>
      </c>
      <c r="E54583" s="0" t="s">
        <v>2323</v>
      </c>
      <c r="F54583" s="0" t="s">
        <v>2323</v>
      </c>
    </row>
    <row r="54584" customFormat="false" ht="12.8" hidden="false" customHeight="false" outlineLevel="0" collapsed="false">
      <c r="B54584" s="0" t="s">
        <v>19071</v>
      </c>
      <c r="D54584" s="0" t="s">
        <v>19072</v>
      </c>
      <c r="E54584" s="0" t="s">
        <v>19072</v>
      </c>
      <c r="F54584" s="0" t="s">
        <v>19072</v>
      </c>
    </row>
    <row r="54585" customFormat="false" ht="12.8" hidden="false" customHeight="false" outlineLevel="0" collapsed="false">
      <c r="B54585" s="0" t="s">
        <v>14</v>
      </c>
      <c r="C54585" s="0" t="s">
        <v>1170</v>
      </c>
      <c r="D54585" s="0" t="s">
        <v>1918</v>
      </c>
      <c r="E54585" s="0" t="s">
        <v>1918</v>
      </c>
      <c r="F54585" s="0" t="s">
        <v>1918</v>
      </c>
    </row>
    <row r="54587" customFormat="false" ht="12.8" hidden="false" customHeight="false" outlineLevel="0" collapsed="false">
      <c r="A54587" s="0" t="s">
        <v>19073</v>
      </c>
      <c r="B54587" s="0" t="str">
        <f aca="false">HYPERLINK("https://lindat.mff.cuni.cz/services/teitok/pdtc10/index.php?action=vallex&amp;frame=v-w7705hsa_786", "vrátit (v-w7705hsa_786)")</f>
        <v>vrátit (v-w7705hsa_786)</v>
      </c>
    </row>
    <row r="54588" customFormat="false" ht="12.8" hidden="false" customHeight="false" outlineLevel="0" collapsed="false">
      <c r="B54588" s="0" t="s">
        <v>7</v>
      </c>
    </row>
    <row r="54589" customFormat="false" ht="12.8" hidden="false" customHeight="false" outlineLevel="0" collapsed="false">
      <c r="B54589" s="0" t="s">
        <v>14</v>
      </c>
      <c r="C54589" s="0" t="s">
        <v>567</v>
      </c>
    </row>
    <row r="54591" customFormat="false" ht="12.8" hidden="false" customHeight="false" outlineLevel="0" collapsed="false">
      <c r="A54591" s="0" t="s">
        <v>19074</v>
      </c>
      <c r="B54591" s="0" t="str">
        <f aca="false">HYPERLINK("https://lindat.mff.cuni.cz/services/teitok/pdtc10/index.php?action=vallex&amp;frame=v-w7706f2", "vrátit se (v-w7706f2)")</f>
        <v>vrátit se (v-w7706f2)</v>
      </c>
    </row>
    <row r="54592" customFormat="false" ht="12.8" hidden="false" customHeight="false" outlineLevel="0" collapsed="false">
      <c r="B54592" s="0" t="s">
        <v>7</v>
      </c>
      <c r="C54592" s="0" t="s">
        <v>577</v>
      </c>
      <c r="F54592" s="0" t="s">
        <v>19075</v>
      </c>
    </row>
    <row r="54593" customFormat="false" ht="12.8" hidden="false" customHeight="false" outlineLevel="0" collapsed="false">
      <c r="B54593" s="0" t="s">
        <v>142</v>
      </c>
      <c r="C54593" s="0" t="s">
        <v>8017</v>
      </c>
      <c r="F54593" s="0" t="s">
        <v>19076</v>
      </c>
    </row>
    <row r="54595" customFormat="false" ht="12.8" hidden="false" customHeight="false" outlineLevel="0" collapsed="false">
      <c r="A54595" s="0" t="s">
        <v>19077</v>
      </c>
      <c r="B54595" s="0" t="str">
        <f aca="false">HYPERLINK("https://lindat.mff.cuni.cz/services/teitok/pdtc10/index.php?action=vallex&amp;frame=v-w7706f3", "vrátit se (v-w7706f3)")</f>
        <v>vrátit se (v-w7706f3)</v>
      </c>
    </row>
    <row r="54596" customFormat="false" ht="12.8" hidden="false" customHeight="false" outlineLevel="0" collapsed="false">
      <c r="B54596" s="0" t="s">
        <v>7</v>
      </c>
      <c r="C54596" s="0" t="s">
        <v>19078</v>
      </c>
      <c r="D54596" s="0" t="s">
        <v>7178</v>
      </c>
      <c r="E54596" s="0" t="s">
        <v>7178</v>
      </c>
      <c r="F54596" s="0" t="s">
        <v>7178</v>
      </c>
    </row>
    <row r="54597" customFormat="false" ht="12.8" hidden="false" customHeight="false" outlineLevel="0" collapsed="false">
      <c r="B54597" s="0" t="s">
        <v>237</v>
      </c>
      <c r="C54597" s="0" t="s">
        <v>19079</v>
      </c>
      <c r="D54597" s="0" t="s">
        <v>384</v>
      </c>
      <c r="E54597" s="0" t="s">
        <v>384</v>
      </c>
      <c r="F54597" s="0" t="s">
        <v>384</v>
      </c>
    </row>
    <row r="54599" customFormat="false" ht="12.8" hidden="false" customHeight="false" outlineLevel="0" collapsed="false">
      <c r="A54599" s="0" t="s">
        <v>19080</v>
      </c>
      <c r="B54599" s="0" t="str">
        <f aca="false">HYPERLINK("https://lindat.mff.cuni.cz/services/teitok/pdtc10/index.php?action=vallex&amp;frame=v-w7706f5", "vrátit se (v-w7706f5)")</f>
        <v>vrátit se (v-w7706f5)</v>
      </c>
    </row>
    <row r="54600" customFormat="false" ht="12.8" hidden="false" customHeight="false" outlineLevel="0" collapsed="false">
      <c r="B54600" s="0" t="s">
        <v>7</v>
      </c>
      <c r="C54600" s="0" t="s">
        <v>19081</v>
      </c>
      <c r="D54600" s="0" t="s">
        <v>7178</v>
      </c>
      <c r="E54600" s="0" t="s">
        <v>7178</v>
      </c>
      <c r="F54600" s="0" t="s">
        <v>7178</v>
      </c>
    </row>
    <row r="54601" customFormat="false" ht="12.8" hidden="false" customHeight="false" outlineLevel="0" collapsed="false">
      <c r="B54601" s="0" t="s">
        <v>279</v>
      </c>
      <c r="C54601" s="0" t="s">
        <v>19082</v>
      </c>
      <c r="D54601" s="0" t="s">
        <v>7179</v>
      </c>
      <c r="E54601" s="0" t="s">
        <v>7179</v>
      </c>
      <c r="F54601" s="0" t="s">
        <v>7179</v>
      </c>
    </row>
    <row r="54603" customFormat="false" ht="12.8" hidden="false" customHeight="false" outlineLevel="0" collapsed="false">
      <c r="A54603" s="0" t="s">
        <v>19083</v>
      </c>
      <c r="B54603" s="0" t="str">
        <f aca="false">HYPERLINK("https://lindat.mff.cuni.cz/services/teitok/pdtc10/index.php?action=vallex&amp;frame=v-w7706f1", "vrátit se (v-w7706f1)")</f>
        <v>vrátit se (v-w7706f1)</v>
      </c>
    </row>
    <row r="54604" customFormat="false" ht="12.8" hidden="false" customHeight="false" outlineLevel="0" collapsed="false">
      <c r="B54604" s="0" t="s">
        <v>7</v>
      </c>
      <c r="C54604" s="0" t="s">
        <v>19084</v>
      </c>
      <c r="D54604" s="0" t="s">
        <v>1705</v>
      </c>
      <c r="E54604" s="0" t="s">
        <v>1706</v>
      </c>
      <c r="F54604" s="0" t="s">
        <v>1706</v>
      </c>
    </row>
    <row r="54605" customFormat="false" ht="12.8" hidden="false" customHeight="false" outlineLevel="0" collapsed="false">
      <c r="B54605" s="0" t="s">
        <v>124</v>
      </c>
      <c r="C54605" s="0" t="s">
        <v>19085</v>
      </c>
      <c r="D54605" s="0" t="s">
        <v>1707</v>
      </c>
      <c r="E54605" s="0" t="s">
        <v>1707</v>
      </c>
      <c r="F54605" s="0" t="s">
        <v>1707</v>
      </c>
    </row>
    <row r="54607" customFormat="false" ht="12.8" hidden="false" customHeight="false" outlineLevel="0" collapsed="false">
      <c r="A54607" s="0" t="s">
        <v>19086</v>
      </c>
      <c r="B54607" s="0" t="str">
        <f aca="false">HYPERLINK("https://lindat.mff.cuni.cz/services/teitok/pdtc10/index.php?action=vallex&amp;frame=v-w7706f4", "vrátit se (v-w7706f4)")</f>
        <v>vrátit se (v-w7706f4)</v>
      </c>
    </row>
    <row r="54608" customFormat="false" ht="12.8" hidden="false" customHeight="false" outlineLevel="0" collapsed="false">
      <c r="B54608" s="0" t="s">
        <v>7</v>
      </c>
      <c r="C54608" s="0" t="s">
        <v>9719</v>
      </c>
    </row>
    <row r="54610" customFormat="false" ht="12.8" hidden="false" customHeight="false" outlineLevel="0" collapsed="false">
      <c r="A54610" s="0" t="s">
        <v>19087</v>
      </c>
      <c r="B54610" s="0" t="str">
        <f aca="false">HYPERLINK("https://lindat.mff.cuni.cz/services/teitok/pdtc10/index.php?action=vallex&amp;frame=v-w7706f6_ZU", "vrátit se (v-w7706f6_ZU)")</f>
        <v>vrátit se (v-w7706f6_ZU)</v>
      </c>
    </row>
    <row r="54611" customFormat="false" ht="12.8" hidden="false" customHeight="false" outlineLevel="0" collapsed="false">
      <c r="B54611" s="0" t="s">
        <v>7</v>
      </c>
      <c r="C54611" s="0" t="s">
        <v>7215</v>
      </c>
    </row>
    <row r="54612" customFormat="false" ht="12.8" hidden="false" customHeight="false" outlineLevel="0" collapsed="false">
      <c r="B54612" s="0" t="s">
        <v>63</v>
      </c>
    </row>
    <row r="54613" customFormat="false" ht="12.8" hidden="false" customHeight="false" outlineLevel="0" collapsed="false">
      <c r="B54613" s="0" t="s">
        <v>19088</v>
      </c>
    </row>
    <row r="54615" customFormat="false" ht="12.8" hidden="false" customHeight="false" outlineLevel="0" collapsed="false">
      <c r="A54615" s="0" t="s">
        <v>19087</v>
      </c>
      <c r="B54615" s="0" t="str">
        <f aca="false">HYPERLINK("https://lindat.mff.cuni.cz/services/teitok/pdtc10/index.php?action=vallex&amp;frame=v-w7706hsa_251", "vrátit se (v-w7706hsa_251) - substituted with v-w7706f6_ZU")</f>
        <v>vrátit se (v-w7706hsa_251) - substituted with v-w7706f6_ZU</v>
      </c>
    </row>
    <row r="54616" customFormat="false" ht="12.8" hidden="false" customHeight="false" outlineLevel="0" collapsed="false">
      <c r="B54616" s="0" t="s">
        <v>7</v>
      </c>
    </row>
    <row r="54617" customFormat="false" ht="12.8" hidden="false" customHeight="false" outlineLevel="0" collapsed="false">
      <c r="B54617" s="0" t="s">
        <v>63</v>
      </c>
    </row>
    <row r="54618" customFormat="false" ht="12.8" hidden="false" customHeight="false" outlineLevel="0" collapsed="false">
      <c r="B54618" s="0" t="s">
        <v>19088</v>
      </c>
    </row>
    <row r="54620" customFormat="false" ht="12.8" hidden="false" customHeight="false" outlineLevel="0" collapsed="false">
      <c r="A54620" s="0" t="s">
        <v>19089</v>
      </c>
      <c r="B54620" s="0" t="str">
        <f aca="false">HYPERLINK("https://lindat.mff.cuni.cz/services/teitok/pdtc10/index.php?action=vallex&amp;frame=v-w10297f2", "vrávorat (v-w10297f2)")</f>
        <v>vrávorat (v-w10297f2)</v>
      </c>
    </row>
    <row r="54621" customFormat="false" ht="12.8" hidden="false" customHeight="false" outlineLevel="0" collapsed="false">
      <c r="B54621" s="0" t="s">
        <v>7</v>
      </c>
      <c r="C54621" s="0" t="s">
        <v>4638</v>
      </c>
      <c r="D54621" s="0" t="s">
        <v>3954</v>
      </c>
      <c r="E54621" s="0" t="s">
        <v>3954</v>
      </c>
      <c r="F54621" s="0" t="s">
        <v>3954</v>
      </c>
    </row>
    <row r="54623" customFormat="false" ht="12.8" hidden="false" customHeight="false" outlineLevel="0" collapsed="false">
      <c r="A54623" s="0" t="s">
        <v>19090</v>
      </c>
      <c r="B54623" s="0" t="str">
        <f aca="false">HYPERLINK("https://lindat.mff.cuni.cz/services/teitok/pdtc10/index.php?action=vallex&amp;frame=v-w7711f1", "vrážet (v-w7711f1)")</f>
        <v>vrážet (v-w7711f1)</v>
      </c>
    </row>
    <row r="54624" customFormat="false" ht="12.8" hidden="false" customHeight="false" outlineLevel="0" collapsed="false">
      <c r="B54624" s="0" t="s">
        <v>7</v>
      </c>
      <c r="C54624" s="0" t="s">
        <v>191</v>
      </c>
      <c r="D54624" s="0" t="s">
        <v>2235</v>
      </c>
      <c r="E54624" s="0" t="s">
        <v>2235</v>
      </c>
      <c r="F54624" s="0" t="s">
        <v>2235</v>
      </c>
    </row>
    <row r="54625" customFormat="false" ht="12.8" hidden="false" customHeight="false" outlineLevel="0" collapsed="false">
      <c r="B54625" s="0" t="s">
        <v>14</v>
      </c>
      <c r="C54625" s="0" t="s">
        <v>155</v>
      </c>
      <c r="D54625" s="0" t="s">
        <v>2237</v>
      </c>
      <c r="E54625" s="0" t="s">
        <v>2237</v>
      </c>
      <c r="F54625" s="0" t="s">
        <v>2237</v>
      </c>
    </row>
    <row r="54626" customFormat="false" ht="12.8" hidden="false" customHeight="false" outlineLevel="0" collapsed="false">
      <c r="B54626" s="0" t="s">
        <v>124</v>
      </c>
      <c r="C54626" s="0" t="s">
        <v>2238</v>
      </c>
      <c r="D54626" s="0" t="s">
        <v>2238</v>
      </c>
      <c r="E54626" s="0" t="s">
        <v>2238</v>
      </c>
      <c r="F54626" s="0" t="s">
        <v>2238</v>
      </c>
    </row>
    <row r="54628" customFormat="false" ht="12.8" hidden="false" customHeight="false" outlineLevel="0" collapsed="false">
      <c r="A54628" s="0" t="s">
        <v>19091</v>
      </c>
      <c r="B54628" s="0" t="str">
        <f aca="false">HYPERLINK("https://lindat.mff.cuni.cz/services/teitok/pdtc10/index.php?action=vallex&amp;frame=v-w7725f1", "vrýt se (v-w7725f1)")</f>
        <v>vrýt se (v-w7725f1)</v>
      </c>
    </row>
    <row r="54629" customFormat="false" ht="12.8" hidden="false" customHeight="false" outlineLevel="0" collapsed="false">
      <c r="B54629" s="0" t="s">
        <v>7</v>
      </c>
    </row>
    <row r="54630" customFormat="false" ht="12.8" hidden="false" customHeight="false" outlineLevel="0" collapsed="false">
      <c r="B54630" s="0" t="s">
        <v>124</v>
      </c>
    </row>
    <row r="54632" customFormat="false" ht="12.8" hidden="false" customHeight="false" outlineLevel="0" collapsed="false">
      <c r="A54632" s="0" t="s">
        <v>19092</v>
      </c>
      <c r="B54632" s="0" t="str">
        <f aca="false">HYPERLINK("https://lindat.mff.cuni.cz/services/teitok/pdtc10/index.php?action=vallex&amp;frame=v-w7713f1", "vrčet (v-w7713f1)")</f>
        <v>vrčet (v-w7713f1)</v>
      </c>
    </row>
    <row r="54633" customFormat="false" ht="12.8" hidden="false" customHeight="false" outlineLevel="0" collapsed="false">
      <c r="B54633" s="0" t="s">
        <v>7</v>
      </c>
    </row>
    <row r="54634" customFormat="false" ht="12.8" hidden="false" customHeight="false" outlineLevel="0" collapsed="false">
      <c r="B54634" s="0" t="s">
        <v>63</v>
      </c>
    </row>
    <row r="54636" customFormat="false" ht="12.8" hidden="false" customHeight="false" outlineLevel="0" collapsed="false">
      <c r="A54636" s="0" t="s">
        <v>19093</v>
      </c>
      <c r="B54636" s="0" t="str">
        <f aca="false">HYPERLINK("https://lindat.mff.cuni.cz/services/teitok/pdtc10/index.php?action=vallex&amp;frame=v-w7713f3", "vrčet (v-w7713f3)")</f>
        <v>vrčet (v-w7713f3)</v>
      </c>
    </row>
    <row r="54637" customFormat="false" ht="12.8" hidden="false" customHeight="false" outlineLevel="0" collapsed="false">
      <c r="B54637" s="0" t="s">
        <v>7</v>
      </c>
      <c r="C54637" s="0" t="s">
        <v>46</v>
      </c>
      <c r="D54637" s="0" t="s">
        <v>3051</v>
      </c>
      <c r="E54637" s="0" t="s">
        <v>3051</v>
      </c>
      <c r="F54637" s="0" t="s">
        <v>3051</v>
      </c>
    </row>
    <row r="54638" customFormat="false" ht="12.8" hidden="false" customHeight="false" outlineLevel="0" collapsed="false">
      <c r="B54638" s="0" t="s">
        <v>63</v>
      </c>
      <c r="D54638" s="0" t="s">
        <v>1588</v>
      </c>
      <c r="E54638" s="0" t="s">
        <v>1588</v>
      </c>
      <c r="F54638" s="0" t="s">
        <v>1588</v>
      </c>
    </row>
    <row r="54640" customFormat="false" ht="12.8" hidden="false" customHeight="false" outlineLevel="0" collapsed="false">
      <c r="A54640" s="0" t="s">
        <v>19094</v>
      </c>
      <c r="B54640" s="0" t="str">
        <f aca="false">HYPERLINK("https://lindat.mff.cuni.cz/services/teitok/pdtc10/index.php?action=vallex&amp;frame=v-w7713f2", "vrčet (v-w7713f2)")</f>
        <v>vrčet (v-w7713f2)</v>
      </c>
    </row>
    <row r="54641" customFormat="false" ht="12.8" hidden="false" customHeight="false" outlineLevel="0" collapsed="false">
      <c r="B54641" s="0" t="s">
        <v>7</v>
      </c>
      <c r="C54641" s="0" t="s">
        <v>247</v>
      </c>
      <c r="D54641" s="0" t="s">
        <v>348</v>
      </c>
      <c r="E54641" s="0" t="s">
        <v>348</v>
      </c>
      <c r="F54641" s="0" t="s">
        <v>348</v>
      </c>
    </row>
    <row r="54643" customFormat="false" ht="12.8" hidden="false" customHeight="false" outlineLevel="0" collapsed="false">
      <c r="A54643" s="0" t="s">
        <v>19095</v>
      </c>
      <c r="B54643" s="0" t="str">
        <f aca="false">HYPERLINK("https://lindat.mff.cuni.cz/services/teitok/pdtc10/index.php?action=vallex&amp;frame=v-w7722f1", "vršit (v-w7722f1)")</f>
        <v>vršit (v-w7722f1)</v>
      </c>
    </row>
    <row r="54644" customFormat="false" ht="12.8" hidden="false" customHeight="false" outlineLevel="0" collapsed="false">
      <c r="B54644" s="0" t="s">
        <v>7</v>
      </c>
      <c r="C54644" s="0" t="s">
        <v>191</v>
      </c>
      <c r="D54644" s="0" t="s">
        <v>191</v>
      </c>
      <c r="E54644" s="0" t="s">
        <v>191</v>
      </c>
      <c r="F54644" s="0" t="s">
        <v>191</v>
      </c>
    </row>
    <row r="54645" customFormat="false" ht="12.8" hidden="false" customHeight="false" outlineLevel="0" collapsed="false">
      <c r="B54645" s="0" t="s">
        <v>14</v>
      </c>
      <c r="C54645" s="0" t="s">
        <v>16428</v>
      </c>
      <c r="D54645" s="0" t="s">
        <v>155</v>
      </c>
      <c r="E54645" s="0" t="s">
        <v>155</v>
      </c>
      <c r="F54645" s="0" t="s">
        <v>155</v>
      </c>
    </row>
    <row r="54647" customFormat="false" ht="12.8" hidden="false" customHeight="false" outlineLevel="0" collapsed="false">
      <c r="A54647" s="0" t="s">
        <v>19096</v>
      </c>
      <c r="B54647" s="0" t="str">
        <f aca="false">HYPERLINK("https://lindat.mff.cuni.cz/services/teitok/pdtc10/index.php?action=vallex&amp;frame=v-w11343f1", "vršit se (v-w11343f1)")</f>
        <v>vršit se (v-w11343f1)</v>
      </c>
    </row>
    <row r="54648" customFormat="false" ht="12.8" hidden="false" customHeight="false" outlineLevel="0" collapsed="false">
      <c r="B54648" s="0" t="s">
        <v>7</v>
      </c>
      <c r="C54648" s="0" t="s">
        <v>2894</v>
      </c>
      <c r="D54648" s="0" t="s">
        <v>4767</v>
      </c>
      <c r="E54648" s="0" t="s">
        <v>4767</v>
      </c>
      <c r="F54648" s="0" t="s">
        <v>4767</v>
      </c>
    </row>
    <row r="54650" customFormat="false" ht="12.8" hidden="false" customHeight="false" outlineLevel="0" collapsed="false">
      <c r="A54650" s="0" t="s">
        <v>19097</v>
      </c>
      <c r="B54650" s="0" t="str">
        <f aca="false">HYPERLINK("https://lindat.mff.cuni.cz/services/teitok/pdtc10/index.php?action=vallex&amp;frame=v-w7728f2", "vsadit (v-w7728f2)")</f>
        <v>vsadit (v-w7728f2)</v>
      </c>
    </row>
    <row r="54651" customFormat="false" ht="12.8" hidden="false" customHeight="false" outlineLevel="0" collapsed="false">
      <c r="B54651" s="0" t="s">
        <v>7</v>
      </c>
      <c r="C54651" s="0" t="s">
        <v>184</v>
      </c>
    </row>
    <row r="54652" customFormat="false" ht="12.8" hidden="false" customHeight="false" outlineLevel="0" collapsed="false">
      <c r="B54652" s="0" t="s">
        <v>14</v>
      </c>
      <c r="C54652" s="0" t="s">
        <v>19098</v>
      </c>
    </row>
    <row r="54653" customFormat="false" ht="12.8" hidden="false" customHeight="false" outlineLevel="0" collapsed="false">
      <c r="B54653" s="0" t="s">
        <v>84</v>
      </c>
      <c r="C54653" s="0" t="s">
        <v>361</v>
      </c>
    </row>
    <row r="54655" customFormat="false" ht="12.8" hidden="false" customHeight="false" outlineLevel="0" collapsed="false">
      <c r="A54655" s="0" t="s">
        <v>19099</v>
      </c>
      <c r="B54655" s="0" t="str">
        <f aca="false">HYPERLINK("https://lindat.mff.cuni.cz/services/teitok/pdtc10/index.php?action=vallex&amp;frame=v-w7728f1", "vsadit (v-w7728f1)")</f>
        <v>vsadit (v-w7728f1)</v>
      </c>
    </row>
    <row r="54656" customFormat="false" ht="12.8" hidden="false" customHeight="false" outlineLevel="0" collapsed="false">
      <c r="B54656" s="0" t="s">
        <v>7</v>
      </c>
      <c r="C54656" s="0" t="s">
        <v>1287</v>
      </c>
      <c r="D54656" s="0" t="s">
        <v>1263</v>
      </c>
      <c r="E54656" s="0" t="s">
        <v>1263</v>
      </c>
      <c r="F54656" s="0" t="s">
        <v>1263</v>
      </c>
    </row>
    <row r="54657" customFormat="false" ht="12.8" hidden="false" customHeight="false" outlineLevel="0" collapsed="false">
      <c r="B54657" s="0" t="s">
        <v>41</v>
      </c>
      <c r="C54657" s="0" t="s">
        <v>19100</v>
      </c>
      <c r="D54657" s="0" t="s">
        <v>6331</v>
      </c>
      <c r="E54657" s="0" t="s">
        <v>6331</v>
      </c>
      <c r="F54657" s="0" t="s">
        <v>6331</v>
      </c>
    </row>
    <row r="54659" customFormat="false" ht="12.8" hidden="false" customHeight="false" outlineLevel="0" collapsed="false">
      <c r="A54659" s="0" t="s">
        <v>19101</v>
      </c>
      <c r="B54659" s="0" t="str">
        <f aca="false">HYPERLINK("https://lindat.mff.cuni.cz/services/teitok/pdtc10/index.php?action=vallex&amp;frame=v-w7728hsa_528", "vsadit (v-w7728hsa_528)")</f>
        <v>vsadit (v-w7728hsa_528)</v>
      </c>
    </row>
    <row r="54660" customFormat="false" ht="12.8" hidden="false" customHeight="false" outlineLevel="0" collapsed="false">
      <c r="B54660" s="0" t="s">
        <v>7</v>
      </c>
    </row>
    <row r="54661" customFormat="false" ht="12.8" hidden="false" customHeight="false" outlineLevel="0" collapsed="false">
      <c r="B54661" s="0" t="s">
        <v>14</v>
      </c>
    </row>
    <row r="54662" customFormat="false" ht="12.8" hidden="false" customHeight="false" outlineLevel="0" collapsed="false">
      <c r="B54662" s="0" t="s">
        <v>124</v>
      </c>
    </row>
    <row r="54664" customFormat="false" ht="12.8" hidden="false" customHeight="false" outlineLevel="0" collapsed="false">
      <c r="A54664" s="0" t="s">
        <v>19102</v>
      </c>
      <c r="B54664" s="0" t="str">
        <f aca="false">HYPERLINK("https://lindat.mff.cuni.cz/services/teitok/pdtc10/index.php?action=vallex&amp;frame=v-w7729f3_ZU", "vsadit se (v-w7729f3_ZU)")</f>
        <v>vsadit se (v-w7729f3_ZU)</v>
      </c>
    </row>
    <row r="54665" customFormat="false" ht="12.8" hidden="false" customHeight="false" outlineLevel="0" collapsed="false">
      <c r="B54665" s="0" t="s">
        <v>7</v>
      </c>
      <c r="C54665" s="0" t="s">
        <v>126</v>
      </c>
      <c r="D54665" s="0" t="s">
        <v>113</v>
      </c>
      <c r="E54665" s="0" t="s">
        <v>113</v>
      </c>
      <c r="F54665" s="0" t="s">
        <v>113</v>
      </c>
    </row>
    <row r="54666" customFormat="false" ht="12.8" hidden="false" customHeight="false" outlineLevel="0" collapsed="false">
      <c r="B54666" s="0" t="s">
        <v>207</v>
      </c>
      <c r="C54666" s="0" t="s">
        <v>16994</v>
      </c>
      <c r="D54666" s="0" t="s">
        <v>16994</v>
      </c>
      <c r="E54666" s="0" t="s">
        <v>16994</v>
      </c>
      <c r="F54666" s="0" t="s">
        <v>16994</v>
      </c>
    </row>
    <row r="54667" customFormat="false" ht="12.8" hidden="false" customHeight="false" outlineLevel="0" collapsed="false">
      <c r="B54667" s="0" t="s">
        <v>19103</v>
      </c>
      <c r="C54667" s="0" t="s">
        <v>19104</v>
      </c>
      <c r="D54667" s="0" t="s">
        <v>2112</v>
      </c>
      <c r="E54667" s="0" t="s">
        <v>2112</v>
      </c>
      <c r="F54667" s="0" t="s">
        <v>2112</v>
      </c>
    </row>
    <row r="54668" customFormat="false" ht="12.8" hidden="false" customHeight="false" outlineLevel="0" collapsed="false">
      <c r="B54668" s="0" t="s">
        <v>2721</v>
      </c>
      <c r="C54668" s="0" t="s">
        <v>16996</v>
      </c>
      <c r="D54668" s="0" t="s">
        <v>16996</v>
      </c>
      <c r="E54668" s="0" t="s">
        <v>16996</v>
      </c>
      <c r="F54668" s="0" t="s">
        <v>16996</v>
      </c>
    </row>
    <row r="54670" customFormat="false" ht="12.8" hidden="false" customHeight="false" outlineLevel="0" collapsed="false">
      <c r="A54670" s="0" t="s">
        <v>19102</v>
      </c>
      <c r="B54670" s="0" t="str">
        <f aca="false">HYPERLINK("https://lindat.mff.cuni.cz/services/teitok/pdtc10/index.php?action=vallex&amp;frame=v-w7729f1", "vsadit se (v-w7729f1) - substituted with v-w7729f3_ZU")</f>
        <v>vsadit se (v-w7729f1) - substituted with v-w7729f3_ZU</v>
      </c>
    </row>
    <row r="54671" customFormat="false" ht="12.8" hidden="false" customHeight="false" outlineLevel="0" collapsed="false">
      <c r="B54671" s="0" t="s">
        <v>7</v>
      </c>
      <c r="C54671" s="0" t="s">
        <v>126</v>
      </c>
    </row>
    <row r="54672" customFormat="false" ht="12.8" hidden="false" customHeight="false" outlineLevel="0" collapsed="false">
      <c r="B54672" s="0" t="s">
        <v>207</v>
      </c>
      <c r="C54672" s="0" t="s">
        <v>16994</v>
      </c>
    </row>
    <row r="54673" customFormat="false" ht="12.8" hidden="false" customHeight="false" outlineLevel="0" collapsed="false">
      <c r="B54673" s="0" t="s">
        <v>19103</v>
      </c>
      <c r="C54673" s="0" t="s">
        <v>19104</v>
      </c>
    </row>
    <row r="54674" customFormat="false" ht="12.8" hidden="false" customHeight="false" outlineLevel="0" collapsed="false">
      <c r="B54674" s="0" t="s">
        <v>2721</v>
      </c>
      <c r="C54674" s="0" t="s">
        <v>16996</v>
      </c>
    </row>
    <row r="54676" customFormat="false" ht="12.8" hidden="false" customHeight="false" outlineLevel="0" collapsed="false">
      <c r="A54676" s="0" t="s">
        <v>19102</v>
      </c>
      <c r="B54676" s="0" t="str">
        <f aca="false">HYPERLINK("https://lindat.mff.cuni.cz/services/teitok/pdtc10/index.php?action=vallex&amp;frame=v-w7729f2_ZU", "vsadit se (v-w7729f2_ZU) - substituted with v-w7729f3_ZU")</f>
        <v>vsadit se (v-w7729f2_ZU) - substituted with v-w7729f3_ZU</v>
      </c>
    </row>
    <row r="54677" customFormat="false" ht="12.8" hidden="false" customHeight="false" outlineLevel="0" collapsed="false">
      <c r="B54677" s="0" t="s">
        <v>7</v>
      </c>
    </row>
    <row r="54678" customFormat="false" ht="12.8" hidden="false" customHeight="false" outlineLevel="0" collapsed="false">
      <c r="B54678" s="0" t="s">
        <v>207</v>
      </c>
    </row>
    <row r="54679" customFormat="false" ht="12.8" hidden="false" customHeight="false" outlineLevel="0" collapsed="false">
      <c r="B54679" s="0" t="s">
        <v>19103</v>
      </c>
    </row>
    <row r="54680" customFormat="false" ht="12.8" hidden="false" customHeight="false" outlineLevel="0" collapsed="false">
      <c r="B54680" s="0" t="s">
        <v>2721</v>
      </c>
    </row>
    <row r="54682" customFormat="false" ht="12.8" hidden="false" customHeight="false" outlineLevel="0" collapsed="false">
      <c r="A54682" s="0" t="s">
        <v>19105</v>
      </c>
      <c r="B54682" s="0" t="str">
        <f aca="false">HYPERLINK("https://lindat.mff.cuni.cz/services/teitok/pdtc10/index.php?action=vallex&amp;frame=v-w7734f4", "vstoupit (v-w7734f4)")</f>
        <v>vstoupit (v-w7734f4)</v>
      </c>
    </row>
    <row r="54683" customFormat="false" ht="12.8" hidden="false" customHeight="false" outlineLevel="0" collapsed="false">
      <c r="B54683" s="0" t="s">
        <v>7</v>
      </c>
      <c r="C54683" s="0" t="s">
        <v>8535</v>
      </c>
    </row>
    <row r="54684" customFormat="false" ht="12.8" hidden="false" customHeight="false" outlineLevel="0" collapsed="false">
      <c r="B54684" s="0" t="s">
        <v>985</v>
      </c>
      <c r="C54684" s="0" t="s">
        <v>585</v>
      </c>
    </row>
    <row r="54686" customFormat="false" ht="12.8" hidden="false" customHeight="false" outlineLevel="0" collapsed="false">
      <c r="A54686" s="0" t="s">
        <v>19106</v>
      </c>
      <c r="B54686" s="0" t="str">
        <f aca="false">HYPERLINK("https://lindat.mff.cuni.cz/services/teitok/pdtc10/index.php?action=vallex&amp;frame=v-w7734f5", "vstoupit (v-w7734f5)")</f>
        <v>vstoupit (v-w7734f5)</v>
      </c>
    </row>
    <row r="54687" customFormat="false" ht="12.8" hidden="false" customHeight="false" outlineLevel="0" collapsed="false">
      <c r="B54687" s="0" t="s">
        <v>7</v>
      </c>
      <c r="C54687" s="0" t="s">
        <v>8535</v>
      </c>
      <c r="D54687" s="0" t="s">
        <v>1705</v>
      </c>
      <c r="E54687" s="0" t="s">
        <v>1706</v>
      </c>
      <c r="F54687" s="0" t="s">
        <v>1706</v>
      </c>
    </row>
    <row r="54688" customFormat="false" ht="12.8" hidden="false" customHeight="false" outlineLevel="0" collapsed="false">
      <c r="B54688" s="0" t="s">
        <v>279</v>
      </c>
      <c r="C54688" s="0" t="s">
        <v>18760</v>
      </c>
      <c r="D54688" s="0" t="s">
        <v>1707</v>
      </c>
      <c r="E54688" s="0" t="s">
        <v>1707</v>
      </c>
      <c r="F54688" s="0" t="s">
        <v>1707</v>
      </c>
    </row>
    <row r="54690" customFormat="false" ht="12.8" hidden="false" customHeight="false" outlineLevel="0" collapsed="false">
      <c r="A54690" s="0" t="s">
        <v>19107</v>
      </c>
      <c r="B54690" s="0" t="str">
        <f aca="false">HYPERLINK("https://lindat.mff.cuni.cz/services/teitok/pdtc10/index.php?action=vallex&amp;frame=v-w7734f1", "vstoupit (v-w7734f1)")</f>
        <v>vstoupit (v-w7734f1)</v>
      </c>
    </row>
    <row r="54691" customFormat="false" ht="12.8" hidden="false" customHeight="false" outlineLevel="0" collapsed="false">
      <c r="B54691" s="0" t="s">
        <v>7</v>
      </c>
      <c r="C54691" s="0" t="s">
        <v>19108</v>
      </c>
      <c r="D54691" s="0" t="s">
        <v>19109</v>
      </c>
      <c r="E54691" s="0" t="s">
        <v>19110</v>
      </c>
      <c r="F54691" s="0" t="s">
        <v>19110</v>
      </c>
    </row>
    <row r="54692" customFormat="false" ht="12.8" hidden="false" customHeight="false" outlineLevel="0" collapsed="false">
      <c r="B54692" s="0" t="s">
        <v>124</v>
      </c>
      <c r="C54692" s="0" t="s">
        <v>19111</v>
      </c>
      <c r="D54692" s="0" t="s">
        <v>1707</v>
      </c>
      <c r="E54692" s="0" t="s">
        <v>1707</v>
      </c>
      <c r="F54692" s="0" t="s">
        <v>1707</v>
      </c>
    </row>
    <row r="54694" customFormat="false" ht="12.8" hidden="false" customHeight="false" outlineLevel="0" collapsed="false">
      <c r="A54694" s="0" t="s">
        <v>19112</v>
      </c>
      <c r="B54694" s="0" t="str">
        <f aca="false">HYPERLINK("https://lindat.mff.cuni.cz/services/teitok/pdtc10/index.php?action=vallex&amp;frame=v-w7734f3", "vstoupit (v-w7734f3)")</f>
        <v>vstoupit (v-w7734f3)</v>
      </c>
    </row>
    <row r="54695" customFormat="false" ht="12.8" hidden="false" customHeight="false" outlineLevel="0" collapsed="false">
      <c r="B54695" s="0" t="s">
        <v>7</v>
      </c>
      <c r="C54695" s="0" t="s">
        <v>19113</v>
      </c>
      <c r="D54695" s="0" t="s">
        <v>3837</v>
      </c>
      <c r="E54695" s="0" t="s">
        <v>3837</v>
      </c>
      <c r="F54695" s="0" t="s">
        <v>3837</v>
      </c>
    </row>
    <row r="54696" customFormat="false" ht="12.8" hidden="false" customHeight="false" outlineLevel="0" collapsed="false">
      <c r="B54696" s="0" t="s">
        <v>124</v>
      </c>
      <c r="C54696" s="0" t="s">
        <v>19114</v>
      </c>
      <c r="D54696" s="0" t="s">
        <v>7040</v>
      </c>
      <c r="E54696" s="0" t="s">
        <v>7040</v>
      </c>
      <c r="F54696" s="0" t="s">
        <v>7040</v>
      </c>
    </row>
    <row r="54698" customFormat="false" ht="12.8" hidden="false" customHeight="false" outlineLevel="0" collapsed="false">
      <c r="A54698" s="0" t="s">
        <v>19115</v>
      </c>
      <c r="B54698" s="0" t="str">
        <f aca="false">HYPERLINK("https://lindat.mff.cuni.cz/services/teitok/pdtc10/index.php?action=vallex&amp;frame=v-w7734f2", "vstoupit (v-w7734f2)")</f>
        <v>vstoupit (v-w7734f2)</v>
      </c>
    </row>
    <row r="54699" customFormat="false" ht="12.8" hidden="false" customHeight="false" outlineLevel="0" collapsed="false">
      <c r="B54699" s="0" t="s">
        <v>7</v>
      </c>
      <c r="C54699" s="0" t="s">
        <v>19116</v>
      </c>
      <c r="D54699" s="0" t="s">
        <v>2332</v>
      </c>
      <c r="E54699" s="0" t="s">
        <v>2332</v>
      </c>
      <c r="F54699" s="0" t="s">
        <v>2332</v>
      </c>
    </row>
    <row r="54700" customFormat="false" ht="12.8" hidden="false" customHeight="false" outlineLevel="0" collapsed="false">
      <c r="B54700" s="0" t="s">
        <v>19117</v>
      </c>
      <c r="C54700" s="0" t="s">
        <v>19118</v>
      </c>
      <c r="D54700" s="0" t="s">
        <v>18786</v>
      </c>
      <c r="E54700" s="0" t="s">
        <v>18786</v>
      </c>
      <c r="F54700" s="0" t="s">
        <v>18786</v>
      </c>
    </row>
    <row r="54702" customFormat="false" ht="12.8" hidden="false" customHeight="false" outlineLevel="0" collapsed="false">
      <c r="A54702" s="0" t="s">
        <v>19119</v>
      </c>
      <c r="B54702" s="0" t="str">
        <f aca="false">HYPERLINK("https://lindat.mff.cuni.cz/services/teitok/pdtc10/index.php?action=vallex&amp;frame=v-w7742f3", "vstupovat (v-w7742f3)")</f>
        <v>vstupovat (v-w7742f3)</v>
      </c>
    </row>
    <row r="54703" customFormat="false" ht="12.8" hidden="false" customHeight="false" outlineLevel="0" collapsed="false">
      <c r="B54703" s="0" t="s">
        <v>7</v>
      </c>
    </row>
    <row r="54704" customFormat="false" ht="12.8" hidden="false" customHeight="false" outlineLevel="0" collapsed="false">
      <c r="B54704" s="0" t="s">
        <v>985</v>
      </c>
    </row>
    <row r="54706" customFormat="false" ht="12.8" hidden="false" customHeight="false" outlineLevel="0" collapsed="false">
      <c r="A54706" s="0" t="s">
        <v>19120</v>
      </c>
      <c r="B54706" s="0" t="str">
        <f aca="false">HYPERLINK("https://lindat.mff.cuni.cz/services/teitok/pdtc10/index.php?action=vallex&amp;frame=v-w7742f2", "vstupovat (v-w7742f2)")</f>
        <v>vstupovat (v-w7742f2)</v>
      </c>
    </row>
    <row r="54707" customFormat="false" ht="12.8" hidden="false" customHeight="false" outlineLevel="0" collapsed="false">
      <c r="B54707" s="0" t="s">
        <v>7</v>
      </c>
      <c r="C54707" s="0" t="s">
        <v>19121</v>
      </c>
      <c r="D54707" s="0" t="s">
        <v>1705</v>
      </c>
      <c r="E54707" s="0" t="s">
        <v>1706</v>
      </c>
      <c r="F54707" s="0" t="s">
        <v>1706</v>
      </c>
    </row>
    <row r="54708" customFormat="false" ht="12.8" hidden="false" customHeight="false" outlineLevel="0" collapsed="false">
      <c r="B54708" s="0" t="s">
        <v>279</v>
      </c>
      <c r="C54708" s="0" t="s">
        <v>19122</v>
      </c>
      <c r="D54708" s="0" t="s">
        <v>1707</v>
      </c>
      <c r="E54708" s="0" t="s">
        <v>1707</v>
      </c>
      <c r="F54708" s="0" t="s">
        <v>1707</v>
      </c>
    </row>
    <row r="54710" customFormat="false" ht="12.8" hidden="false" customHeight="false" outlineLevel="0" collapsed="false">
      <c r="A54710" s="0" t="s">
        <v>19123</v>
      </c>
      <c r="B54710" s="0" t="str">
        <f aca="false">HYPERLINK("https://lindat.mff.cuni.cz/services/teitok/pdtc10/index.php?action=vallex&amp;frame=v-w7742f1", "vstupovat (v-w7742f1)")</f>
        <v>vstupovat (v-w7742f1)</v>
      </c>
    </row>
    <row r="54711" customFormat="false" ht="12.8" hidden="false" customHeight="false" outlineLevel="0" collapsed="false">
      <c r="B54711" s="0" t="s">
        <v>7</v>
      </c>
      <c r="C54711" s="0" t="s">
        <v>19124</v>
      </c>
      <c r="D54711" s="0" t="s">
        <v>19125</v>
      </c>
      <c r="E54711" s="0" t="s">
        <v>19126</v>
      </c>
      <c r="F54711" s="0" t="s">
        <v>19126</v>
      </c>
    </row>
    <row r="54712" customFormat="false" ht="12.8" hidden="false" customHeight="false" outlineLevel="0" collapsed="false">
      <c r="B54712" s="0" t="s">
        <v>124</v>
      </c>
      <c r="C54712" s="0" t="s">
        <v>19127</v>
      </c>
      <c r="D54712" s="0" t="s">
        <v>19128</v>
      </c>
      <c r="E54712" s="0" t="s">
        <v>19128</v>
      </c>
      <c r="F54712" s="0" t="s">
        <v>19128</v>
      </c>
    </row>
    <row r="54714" customFormat="false" ht="12.8" hidden="false" customHeight="false" outlineLevel="0" collapsed="false">
      <c r="A54714" s="0" t="s">
        <v>19129</v>
      </c>
      <c r="B54714" s="0" t="str">
        <f aca="false">HYPERLINK("https://lindat.mff.cuni.cz/services/teitok/pdtc10/index.php?action=vallex&amp;frame=v-w7742f4", "vstupovat (v-w7742f4)")</f>
        <v>vstupovat (v-w7742f4)</v>
      </c>
    </row>
    <row r="54715" customFormat="false" ht="12.8" hidden="false" customHeight="false" outlineLevel="0" collapsed="false">
      <c r="B54715" s="0" t="s">
        <v>7</v>
      </c>
      <c r="C54715" s="0" t="s">
        <v>8535</v>
      </c>
      <c r="D54715" s="0" t="s">
        <v>3837</v>
      </c>
      <c r="E54715" s="0" t="s">
        <v>3837</v>
      </c>
      <c r="F54715" s="0" t="s">
        <v>3837</v>
      </c>
    </row>
    <row r="54716" customFormat="false" ht="12.8" hidden="false" customHeight="false" outlineLevel="0" collapsed="false">
      <c r="B54716" s="0" t="s">
        <v>124</v>
      </c>
      <c r="C54716" s="0" t="s">
        <v>18760</v>
      </c>
      <c r="D54716" s="0" t="s">
        <v>7040</v>
      </c>
      <c r="E54716" s="0" t="s">
        <v>7040</v>
      </c>
      <c r="F54716" s="0" t="s">
        <v>7040</v>
      </c>
    </row>
    <row r="54718" customFormat="false" ht="12.8" hidden="false" customHeight="false" outlineLevel="0" collapsed="false">
      <c r="A54718" s="0" t="s">
        <v>19130</v>
      </c>
      <c r="B54718" s="0" t="str">
        <f aca="false">HYPERLINK("https://lindat.mff.cuni.cz/services/teitok/pdtc10/index.php?action=vallex&amp;frame=v-w7742f5", "vstupovat (v-w7742f5)")</f>
        <v>vstupovat (v-w7742f5)</v>
      </c>
    </row>
    <row r="54719" customFormat="false" ht="12.8" hidden="false" customHeight="false" outlineLevel="0" collapsed="false">
      <c r="B54719" s="0" t="s">
        <v>7</v>
      </c>
      <c r="D54719" s="0" t="s">
        <v>2332</v>
      </c>
      <c r="E54719" s="0" t="s">
        <v>2332</v>
      </c>
      <c r="F54719" s="0" t="s">
        <v>2332</v>
      </c>
    </row>
    <row r="54720" customFormat="false" ht="12.8" hidden="false" customHeight="false" outlineLevel="0" collapsed="false">
      <c r="B54720" s="0" t="s">
        <v>19117</v>
      </c>
      <c r="D54720" s="0" t="s">
        <v>18786</v>
      </c>
      <c r="E54720" s="0" t="s">
        <v>18786</v>
      </c>
      <c r="F54720" s="0" t="s">
        <v>18786</v>
      </c>
    </row>
    <row r="54722" customFormat="false" ht="12.8" hidden="false" customHeight="false" outlineLevel="0" collapsed="false">
      <c r="A54722" s="0" t="s">
        <v>19131</v>
      </c>
      <c r="B54722" s="0" t="str">
        <f aca="false">HYPERLINK("https://lindat.mff.cuni.cz/services/teitok/pdtc10/index.php?action=vallex&amp;frame=v-w7731f1", "vstát (v-w7731f1)")</f>
        <v>vstát (v-w7731f1)</v>
      </c>
    </row>
    <row r="54723" customFormat="false" ht="12.8" hidden="false" customHeight="false" outlineLevel="0" collapsed="false">
      <c r="B54723" s="0" t="s">
        <v>7</v>
      </c>
      <c r="C54723" s="0" t="s">
        <v>19132</v>
      </c>
    </row>
    <row r="54725" customFormat="false" ht="12.8" hidden="false" customHeight="false" outlineLevel="0" collapsed="false">
      <c r="A54725" s="0" t="s">
        <v>19133</v>
      </c>
      <c r="B54725" s="0" t="str">
        <f aca="false">HYPERLINK("https://lindat.mff.cuni.cz/services/teitok/pdtc10/index.php?action=vallex&amp;frame=v-w7731f2_ZU", "vstát (v-w7731f2_ZU)")</f>
        <v>vstát (v-w7731f2_ZU)</v>
      </c>
    </row>
    <row r="54726" customFormat="false" ht="12.8" hidden="false" customHeight="false" outlineLevel="0" collapsed="false">
      <c r="B54726" s="0" t="s">
        <v>7</v>
      </c>
      <c r="C54726" s="0" t="s">
        <v>5274</v>
      </c>
    </row>
    <row r="54728" customFormat="false" ht="12.8" hidden="false" customHeight="false" outlineLevel="0" collapsed="false">
      <c r="A54728" s="0" t="s">
        <v>19134</v>
      </c>
      <c r="B54728" s="0" t="str">
        <f aca="false">HYPERLINK("https://lindat.mff.cuni.cz/services/teitok/pdtc10/index.php?action=vallex&amp;frame=v-w7733f1", "vstávat (v-w7733f1)")</f>
        <v>vstávat (v-w7733f1)</v>
      </c>
    </row>
    <row r="54729" customFormat="false" ht="12.8" hidden="false" customHeight="false" outlineLevel="0" collapsed="false">
      <c r="B54729" s="0" t="s">
        <v>7</v>
      </c>
      <c r="C54729" s="0" t="s">
        <v>247</v>
      </c>
    </row>
    <row r="54731" customFormat="false" ht="12.8" hidden="false" customHeight="false" outlineLevel="0" collapsed="false">
      <c r="A54731" s="0" t="s">
        <v>19135</v>
      </c>
      <c r="B54731" s="0" t="str">
        <f aca="false">HYPERLINK("https://lindat.mff.cuni.cz/services/teitok/pdtc10/index.php?action=vallex&amp;frame=v-w7733f2", "vstávat (v-w7733f2)")</f>
        <v>vstávat (v-w7733f2)</v>
      </c>
    </row>
    <row r="54732" customFormat="false" ht="12.8" hidden="false" customHeight="false" outlineLevel="0" collapsed="false">
      <c r="B54732" s="0" t="s">
        <v>7</v>
      </c>
    </row>
    <row r="54734" customFormat="false" ht="12.8" hidden="false" customHeight="false" outlineLevel="0" collapsed="false">
      <c r="A54734" s="0" t="s">
        <v>19136</v>
      </c>
      <c r="B54734" s="0" t="str">
        <f aca="false">HYPERLINK("https://lindat.mff.cuni.cz/services/teitok/pdtc10/index.php?action=vallex&amp;frame=v-w7733f4_ZU", "vstávat (v-w7733f4_ZU)")</f>
        <v>vstávat (v-w7733f4_ZU)</v>
      </c>
    </row>
    <row r="54735" customFormat="false" ht="12.8" hidden="false" customHeight="false" outlineLevel="0" collapsed="false">
      <c r="B54735" s="0" t="s">
        <v>19137</v>
      </c>
    </row>
    <row r="54736" customFormat="false" ht="12.8" hidden="false" customHeight="false" outlineLevel="0" collapsed="false">
      <c r="B54736" s="0" t="s">
        <v>603</v>
      </c>
    </row>
    <row r="54737" customFormat="false" ht="12.8" hidden="false" customHeight="false" outlineLevel="0" collapsed="false">
      <c r="B54737" s="0" t="s">
        <v>581</v>
      </c>
    </row>
    <row r="54739" customFormat="false" ht="12.8" hidden="false" customHeight="false" outlineLevel="0" collapsed="false">
      <c r="A54739" s="0" t="s">
        <v>19136</v>
      </c>
      <c r="B54739" s="0" t="str">
        <f aca="false">HYPERLINK("https://lindat.mff.cuni.cz/services/teitok/pdtc10/index.php?action=vallex&amp;frame=v-w7733f3_ZU", "vstávat (v-w7733f3_ZU) - substituted with v-w7733f4_ZU")</f>
        <v>vstávat (v-w7733f3_ZU) - substituted with v-w7733f4_ZU</v>
      </c>
    </row>
    <row r="54740" customFormat="false" ht="12.8" hidden="false" customHeight="false" outlineLevel="0" collapsed="false">
      <c r="B54740" s="0" t="s">
        <v>19137</v>
      </c>
    </row>
    <row r="54741" customFormat="false" ht="12.8" hidden="false" customHeight="false" outlineLevel="0" collapsed="false">
      <c r="B54741" s="0" t="s">
        <v>603</v>
      </c>
    </row>
    <row r="54742" customFormat="false" ht="12.8" hidden="false" customHeight="false" outlineLevel="0" collapsed="false">
      <c r="B54742" s="0" t="s">
        <v>581</v>
      </c>
    </row>
    <row r="54744" customFormat="false" ht="12.8" hidden="false" customHeight="false" outlineLevel="0" collapsed="false">
      <c r="A54744" s="0" t="s">
        <v>19138</v>
      </c>
      <c r="B54744" s="0" t="str">
        <f aca="false">HYPERLINK("https://lindat.mff.cuni.cz/services/teitok/pdtc10/index.php?action=vallex&amp;frame=v-w7735f1", "vstřebat (v-w7735f1)")</f>
        <v>vstřebat (v-w7735f1)</v>
      </c>
    </row>
    <row r="54745" customFormat="false" ht="12.8" hidden="false" customHeight="false" outlineLevel="0" collapsed="false">
      <c r="B54745" s="0" t="s">
        <v>7</v>
      </c>
      <c r="C54745" s="0" t="s">
        <v>118</v>
      </c>
      <c r="D54745" s="0" t="s">
        <v>22</v>
      </c>
      <c r="E54745" s="0" t="s">
        <v>22</v>
      </c>
      <c r="F54745" s="0" t="s">
        <v>22</v>
      </c>
    </row>
    <row r="54746" customFormat="false" ht="12.8" hidden="false" customHeight="false" outlineLevel="0" collapsed="false">
      <c r="B54746" s="0" t="s">
        <v>172</v>
      </c>
      <c r="C54746" s="0" t="s">
        <v>159</v>
      </c>
      <c r="D54746" s="0" t="s">
        <v>25</v>
      </c>
      <c r="E54746" s="0" t="s">
        <v>25</v>
      </c>
      <c r="F54746" s="0" t="s">
        <v>25</v>
      </c>
    </row>
    <row r="54748" customFormat="false" ht="12.8" hidden="false" customHeight="false" outlineLevel="0" collapsed="false">
      <c r="A54748" s="0" t="s">
        <v>19139</v>
      </c>
      <c r="B54748" s="0" t="str">
        <f aca="false">HYPERLINK("https://lindat.mff.cuni.cz/services/teitok/pdtc10/index.php?action=vallex&amp;frame=v-w7737f1", "vstřebávat (v-w7737f1)")</f>
        <v>vstřebávat (v-w7737f1)</v>
      </c>
    </row>
    <row r="54749" customFormat="false" ht="12.8" hidden="false" customHeight="false" outlineLevel="0" collapsed="false">
      <c r="B54749" s="0" t="s">
        <v>7</v>
      </c>
      <c r="D54749" s="0" t="s">
        <v>22</v>
      </c>
      <c r="E54749" s="0" t="s">
        <v>22</v>
      </c>
      <c r="F54749" s="0" t="s">
        <v>22</v>
      </c>
    </row>
    <row r="54750" customFormat="false" ht="12.8" hidden="false" customHeight="false" outlineLevel="0" collapsed="false">
      <c r="B54750" s="0" t="s">
        <v>172</v>
      </c>
      <c r="D54750" s="0" t="s">
        <v>25</v>
      </c>
      <c r="E54750" s="0" t="s">
        <v>25</v>
      </c>
      <c r="F54750" s="0" t="s">
        <v>25</v>
      </c>
    </row>
    <row r="54752" customFormat="false" ht="12.8" hidden="false" customHeight="false" outlineLevel="0" collapsed="false">
      <c r="A54752" s="0" t="s">
        <v>19140</v>
      </c>
      <c r="B54752" s="0" t="str">
        <f aca="false">HYPERLINK("https://lindat.mff.cuni.cz/services/teitok/pdtc10/index.php?action=vallex&amp;frame=v-w7739f1", "vstřelit (v-w7739f1)")</f>
        <v>vstřelit (v-w7739f1)</v>
      </c>
    </row>
    <row r="54753" customFormat="false" ht="12.8" hidden="false" customHeight="false" outlineLevel="0" collapsed="false">
      <c r="B54753" s="0" t="s">
        <v>7</v>
      </c>
    </row>
    <row r="54754" customFormat="false" ht="12.8" hidden="false" customHeight="false" outlineLevel="0" collapsed="false">
      <c r="B54754" s="0" t="s">
        <v>14</v>
      </c>
    </row>
    <row r="54755" customFormat="false" ht="12.8" hidden="false" customHeight="false" outlineLevel="0" collapsed="false">
      <c r="B54755" s="0" t="s">
        <v>106</v>
      </c>
    </row>
    <row r="54757" customFormat="false" ht="12.8" hidden="false" customHeight="false" outlineLevel="0" collapsed="false">
      <c r="A54757" s="0" t="s">
        <v>19141</v>
      </c>
      <c r="B54757" s="0" t="str">
        <f aca="false">HYPERLINK("https://lindat.mff.cuni.cz/services/teitok/pdtc10/index.php?action=vallex&amp;frame=v-whsa_404f1_ZU", "vstřikovat (v-whsa_404f1_ZU)")</f>
        <v>vstřikovat (v-whsa_404f1_ZU)</v>
      </c>
    </row>
    <row r="54758" customFormat="false" ht="12.8" hidden="false" customHeight="false" outlineLevel="0" collapsed="false">
      <c r="B54758" s="0" t="s">
        <v>7</v>
      </c>
      <c r="C54758" s="0" t="s">
        <v>9294</v>
      </c>
    </row>
    <row r="54759" customFormat="false" ht="12.8" hidden="false" customHeight="false" outlineLevel="0" collapsed="false">
      <c r="B54759" s="0" t="s">
        <v>14</v>
      </c>
      <c r="C54759" s="0" t="s">
        <v>7579</v>
      </c>
    </row>
    <row r="54760" customFormat="false" ht="12.8" hidden="false" customHeight="false" outlineLevel="0" collapsed="false">
      <c r="B54760" s="0" t="s">
        <v>124</v>
      </c>
    </row>
    <row r="54762" customFormat="false" ht="12.8" hidden="false" customHeight="false" outlineLevel="0" collapsed="false">
      <c r="A54762" s="0" t="s">
        <v>19141</v>
      </c>
      <c r="B54762" s="0" t="str">
        <f aca="false">HYPERLINK("https://lindat.mff.cuni.cz/services/teitok/pdtc10/index.php?action=vallex&amp;frame=v-whsa_404hsa_405", "vstřikovat (v-whsa_404hsa_405) - substituted with v-whsa_404f1_ZU")</f>
        <v>vstřikovat (v-whsa_404hsa_405) - substituted with v-whsa_404f1_ZU</v>
      </c>
    </row>
    <row r="54763" customFormat="false" ht="12.8" hidden="false" customHeight="false" outlineLevel="0" collapsed="false">
      <c r="B54763" s="0" t="s">
        <v>7</v>
      </c>
    </row>
    <row r="54764" customFormat="false" ht="12.8" hidden="false" customHeight="false" outlineLevel="0" collapsed="false">
      <c r="B54764" s="0" t="s">
        <v>14</v>
      </c>
    </row>
    <row r="54765" customFormat="false" ht="12.8" hidden="false" customHeight="false" outlineLevel="0" collapsed="false">
      <c r="B54765" s="0" t="s">
        <v>124</v>
      </c>
    </row>
    <row r="54767" customFormat="false" ht="12.8" hidden="false" customHeight="false" outlineLevel="0" collapsed="false">
      <c r="A54767" s="0" t="s">
        <v>19142</v>
      </c>
      <c r="B54767" s="0" t="str">
        <f aca="false">HYPERLINK("https://lindat.mff.cuni.cz/services/teitok/pdtc10/index.php?action=vallex&amp;frame=v-w12206_ZUf1_ZU", "vstříknout (v-w12206_ZUf1_ZU)")</f>
        <v>vstříknout (v-w12206_ZUf1_ZU)</v>
      </c>
    </row>
    <row r="54768" customFormat="false" ht="12.8" hidden="false" customHeight="false" outlineLevel="0" collapsed="false">
      <c r="B54768" s="0" t="s">
        <v>7</v>
      </c>
    </row>
    <row r="54769" customFormat="false" ht="12.8" hidden="false" customHeight="false" outlineLevel="0" collapsed="false">
      <c r="B54769" s="0" t="s">
        <v>14</v>
      </c>
    </row>
    <row r="54770" customFormat="false" ht="12.8" hidden="false" customHeight="false" outlineLevel="0" collapsed="false">
      <c r="B54770" s="0" t="s">
        <v>124</v>
      </c>
    </row>
    <row r="54772" customFormat="false" ht="12.8" hidden="false" customHeight="false" outlineLevel="0" collapsed="false">
      <c r="A54772" s="0" t="s">
        <v>19143</v>
      </c>
      <c r="B54772" s="0" t="str">
        <f aca="false">HYPERLINK("https://lindat.mff.cuni.cz/services/teitok/pdtc10/index.php?action=vallex&amp;frame=v-whsa_373f1_ZU", "vsunout (v-whsa_373f1_ZU)")</f>
        <v>vsunout (v-whsa_373f1_ZU)</v>
      </c>
    </row>
    <row r="54773" customFormat="false" ht="12.8" hidden="false" customHeight="false" outlineLevel="0" collapsed="false">
      <c r="B54773" s="0" t="s">
        <v>7</v>
      </c>
      <c r="D54773" s="0" t="s">
        <v>2235</v>
      </c>
      <c r="E54773" s="0" t="s">
        <v>2235</v>
      </c>
      <c r="F54773" s="0" t="s">
        <v>2235</v>
      </c>
    </row>
    <row r="54774" customFormat="false" ht="12.8" hidden="false" customHeight="false" outlineLevel="0" collapsed="false">
      <c r="B54774" s="0" t="s">
        <v>14</v>
      </c>
      <c r="C54774" s="0" t="s">
        <v>155</v>
      </c>
      <c r="D54774" s="0" t="s">
        <v>2237</v>
      </c>
      <c r="E54774" s="0" t="s">
        <v>2237</v>
      </c>
      <c r="F54774" s="0" t="s">
        <v>2237</v>
      </c>
    </row>
    <row r="54775" customFormat="false" ht="12.8" hidden="false" customHeight="false" outlineLevel="0" collapsed="false">
      <c r="B54775" s="0" t="s">
        <v>124</v>
      </c>
      <c r="D54775" s="0" t="s">
        <v>2238</v>
      </c>
      <c r="E54775" s="0" t="s">
        <v>2238</v>
      </c>
      <c r="F54775" s="0" t="s">
        <v>2238</v>
      </c>
    </row>
    <row r="54777" customFormat="false" ht="12.8" hidden="false" customHeight="false" outlineLevel="0" collapsed="false">
      <c r="A54777" s="0" t="s">
        <v>19143</v>
      </c>
      <c r="B54777" s="0" t="str">
        <f aca="false">HYPERLINK("https://lindat.mff.cuni.cz/services/teitok/pdtc10/index.php?action=vallex&amp;frame=v-whsa_373hsa_374", "vsunout (v-whsa_373hsa_374) - substituted with v-whsa_373f1_ZU")</f>
        <v>vsunout (v-whsa_373hsa_374) - substituted with v-whsa_373f1_ZU</v>
      </c>
    </row>
    <row r="54778" customFormat="false" ht="12.8" hidden="false" customHeight="false" outlineLevel="0" collapsed="false">
      <c r="B54778" s="0" t="s">
        <v>7</v>
      </c>
    </row>
    <row r="54779" customFormat="false" ht="12.8" hidden="false" customHeight="false" outlineLevel="0" collapsed="false">
      <c r="B54779" s="0" t="s">
        <v>14</v>
      </c>
    </row>
    <row r="54780" customFormat="false" ht="12.8" hidden="false" customHeight="false" outlineLevel="0" collapsed="false">
      <c r="B54780" s="0" t="s">
        <v>124</v>
      </c>
    </row>
    <row r="54782" customFormat="false" ht="12.8" hidden="false" customHeight="false" outlineLevel="0" collapsed="false">
      <c r="A54782" s="0" t="s">
        <v>19144</v>
      </c>
      <c r="B54782" s="0" t="str">
        <f aca="false">HYPERLINK("https://lindat.mff.cuni.cz/services/teitok/pdtc10/index.php?action=vallex&amp;frame=v-w10071f2", "vsázet (v-w10071f2)")</f>
        <v>vsázet (v-w10071f2)</v>
      </c>
    </row>
    <row r="54783" customFormat="false" ht="12.8" hidden="false" customHeight="false" outlineLevel="0" collapsed="false">
      <c r="B54783" s="0" t="s">
        <v>7</v>
      </c>
      <c r="C54783" s="0" t="s">
        <v>335</v>
      </c>
      <c r="D54783" s="0" t="s">
        <v>1263</v>
      </c>
      <c r="E54783" s="0" t="s">
        <v>1263</v>
      </c>
      <c r="F54783" s="0" t="s">
        <v>1263</v>
      </c>
    </row>
    <row r="54784" customFormat="false" ht="12.8" hidden="false" customHeight="false" outlineLevel="0" collapsed="false">
      <c r="B54784" s="0" t="s">
        <v>41</v>
      </c>
      <c r="C54784" s="0" t="s">
        <v>47</v>
      </c>
      <c r="D54784" s="0" t="s">
        <v>6331</v>
      </c>
      <c r="E54784" s="0" t="s">
        <v>6331</v>
      </c>
      <c r="F54784" s="0" t="s">
        <v>6331</v>
      </c>
    </row>
    <row r="54786" customFormat="false" ht="12.8" hidden="false" customHeight="false" outlineLevel="0" collapsed="false">
      <c r="A54786" s="0" t="s">
        <v>19145</v>
      </c>
      <c r="B54786" s="0" t="str">
        <f aca="false">HYPERLINK("https://lindat.mff.cuni.cz/services/teitok/pdtc10/index.php?action=vallex&amp;frame=v-w11234f1", "vsázet se (v-w11234f1)")</f>
        <v>vsázet se (v-w11234f1)</v>
      </c>
    </row>
    <row r="54787" customFormat="false" ht="12.8" hidden="false" customHeight="false" outlineLevel="0" collapsed="false">
      <c r="B54787" s="0" t="s">
        <v>7</v>
      </c>
    </row>
    <row r="54788" customFormat="false" ht="12.8" hidden="false" customHeight="false" outlineLevel="0" collapsed="false">
      <c r="B54788" s="0" t="s">
        <v>16583</v>
      </c>
    </row>
    <row r="54789" customFormat="false" ht="12.8" hidden="false" customHeight="false" outlineLevel="0" collapsed="false">
      <c r="B54789" s="0" t="s">
        <v>2767</v>
      </c>
    </row>
    <row r="54791" customFormat="false" ht="12.8" hidden="false" customHeight="false" outlineLevel="0" collapsed="false">
      <c r="A54791" s="0" t="s">
        <v>19146</v>
      </c>
      <c r="B54791" s="0" t="str">
        <f aca="false">HYPERLINK("https://lindat.mff.cuni.cz/services/teitok/pdtc10/index.php?action=vallex&amp;frame=v-w7730f1", "vsítit (v-w7730f1)")</f>
        <v>vsítit (v-w7730f1)</v>
      </c>
    </row>
    <row r="54792" customFormat="false" ht="12.8" hidden="false" customHeight="false" outlineLevel="0" collapsed="false">
      <c r="B54792" s="0" t="s">
        <v>7</v>
      </c>
    </row>
    <row r="54793" customFormat="false" ht="12.8" hidden="false" customHeight="false" outlineLevel="0" collapsed="false">
      <c r="B54793" s="0" t="s">
        <v>14</v>
      </c>
    </row>
    <row r="54794" customFormat="false" ht="12.8" hidden="false" customHeight="false" outlineLevel="0" collapsed="false">
      <c r="B54794" s="0" t="s">
        <v>106</v>
      </c>
    </row>
    <row r="54796" customFormat="false" ht="12.8" hidden="false" customHeight="false" outlineLevel="0" collapsed="false">
      <c r="A54796" s="0" t="s">
        <v>19147</v>
      </c>
      <c r="B54796" s="0" t="str">
        <f aca="false">HYPERLINK("https://lindat.mff.cuni.cz/services/teitok/pdtc10/index.php?action=vallex&amp;frame=v-w7748f2", "vtahovat (v-w7748f2)")</f>
        <v>vtahovat (v-w7748f2)</v>
      </c>
    </row>
    <row r="54797" customFormat="false" ht="12.8" hidden="false" customHeight="false" outlineLevel="0" collapsed="false">
      <c r="B54797" s="0" t="s">
        <v>7</v>
      </c>
      <c r="D54797" s="0" t="s">
        <v>2323</v>
      </c>
      <c r="E54797" s="0" t="s">
        <v>2323</v>
      </c>
      <c r="F54797" s="0" t="s">
        <v>2323</v>
      </c>
    </row>
    <row r="54798" customFormat="false" ht="12.8" hidden="false" customHeight="false" outlineLevel="0" collapsed="false">
      <c r="B54798" s="0" t="s">
        <v>14</v>
      </c>
      <c r="D54798" s="0" t="s">
        <v>1918</v>
      </c>
      <c r="E54798" s="0" t="s">
        <v>1918</v>
      </c>
      <c r="F54798" s="0" t="s">
        <v>1918</v>
      </c>
    </row>
    <row r="54799" customFormat="false" ht="12.8" hidden="false" customHeight="false" outlineLevel="0" collapsed="false">
      <c r="B54799" s="0" t="s">
        <v>279</v>
      </c>
      <c r="D54799" s="0" t="s">
        <v>2325</v>
      </c>
      <c r="E54799" s="0" t="s">
        <v>2325</v>
      </c>
      <c r="F54799" s="0" t="s">
        <v>2325</v>
      </c>
    </row>
    <row r="54801" customFormat="false" ht="12.8" hidden="false" customHeight="false" outlineLevel="0" collapsed="false">
      <c r="A54801" s="0" t="s">
        <v>19148</v>
      </c>
      <c r="B54801" s="0" t="str">
        <f aca="false">HYPERLINK("https://lindat.mff.cuni.cz/services/teitok/pdtc10/index.php?action=vallex&amp;frame=v-w7748f1", "vtahovat (v-w7748f1)")</f>
        <v>vtahovat (v-w7748f1)</v>
      </c>
    </row>
    <row r="54802" customFormat="false" ht="12.8" hidden="false" customHeight="false" outlineLevel="0" collapsed="false">
      <c r="B54802" s="0" t="s">
        <v>7</v>
      </c>
    </row>
    <row r="54803" customFormat="false" ht="12.8" hidden="false" customHeight="false" outlineLevel="0" collapsed="false">
      <c r="B54803" s="0" t="s">
        <v>14</v>
      </c>
    </row>
    <row r="54804" customFormat="false" ht="12.8" hidden="false" customHeight="false" outlineLevel="0" collapsed="false">
      <c r="B54804" s="0" t="s">
        <v>124</v>
      </c>
    </row>
    <row r="54806" customFormat="false" ht="12.8" hidden="false" customHeight="false" outlineLevel="0" collapsed="false">
      <c r="A54806" s="0" t="s">
        <v>19149</v>
      </c>
      <c r="B54806" s="0" t="str">
        <f aca="false">HYPERLINK("https://lindat.mff.cuni.cz/services/teitok/pdtc10/index.php?action=vallex&amp;frame=v-w7755f1", "vtipkovat (v-w7755f1)")</f>
        <v>vtipkovat (v-w7755f1)</v>
      </c>
    </row>
    <row r="54807" customFormat="false" ht="12.8" hidden="false" customHeight="false" outlineLevel="0" collapsed="false">
      <c r="B54807" s="0" t="s">
        <v>7</v>
      </c>
      <c r="C54807" s="0" t="s">
        <v>118</v>
      </c>
      <c r="D54807" s="0" t="s">
        <v>118</v>
      </c>
      <c r="E54807" s="0" t="s">
        <v>118</v>
      </c>
      <c r="F54807" s="0" t="s">
        <v>118</v>
      </c>
    </row>
    <row r="54808" customFormat="false" ht="12.8" hidden="false" customHeight="false" outlineLevel="0" collapsed="false">
      <c r="B54808" s="0" t="s">
        <v>19150</v>
      </c>
      <c r="C54808" s="0" t="s">
        <v>8610</v>
      </c>
      <c r="D54808" s="0" t="s">
        <v>8610</v>
      </c>
      <c r="E54808" s="0" t="s">
        <v>8610</v>
      </c>
      <c r="F54808" s="0" t="s">
        <v>8610</v>
      </c>
    </row>
    <row r="54809" customFormat="false" ht="12.8" hidden="false" customHeight="false" outlineLevel="0" collapsed="false">
      <c r="B54809" s="0" t="s">
        <v>2767</v>
      </c>
    </row>
    <row r="54811" customFormat="false" ht="12.8" hidden="false" customHeight="false" outlineLevel="0" collapsed="false">
      <c r="A54811" s="0" t="s">
        <v>19151</v>
      </c>
      <c r="B54811" s="0" t="str">
        <f aca="false">HYPERLINK("https://lindat.mff.cuni.cz/services/teitok/pdtc10/index.php?action=vallex&amp;frame=v-w7758f2", "vtisknout (v-w7758f2)")</f>
        <v>vtisknout (v-w7758f2)</v>
      </c>
    </row>
    <row r="54812" customFormat="false" ht="12.8" hidden="false" customHeight="false" outlineLevel="0" collapsed="false">
      <c r="B54812" s="0" t="s">
        <v>7</v>
      </c>
      <c r="C54812" s="0" t="s">
        <v>8623</v>
      </c>
    </row>
    <row r="54813" customFormat="false" ht="12.8" hidden="false" customHeight="false" outlineLevel="0" collapsed="false">
      <c r="B54813" s="0" t="s">
        <v>14</v>
      </c>
    </row>
    <row r="54814" customFormat="false" ht="12.8" hidden="false" customHeight="false" outlineLevel="0" collapsed="false">
      <c r="B54814" s="0" t="s">
        <v>48</v>
      </c>
      <c r="C54814" s="0" t="s">
        <v>19152</v>
      </c>
    </row>
    <row r="54816" customFormat="false" ht="12.8" hidden="false" customHeight="false" outlineLevel="0" collapsed="false">
      <c r="A54816" s="0" t="s">
        <v>19153</v>
      </c>
      <c r="B54816" s="0" t="str">
        <f aca="false">HYPERLINK("https://lindat.mff.cuni.cz/services/teitok/pdtc10/index.php?action=vallex&amp;frame=v-w7758f1", "vtisknout (v-w7758f1)")</f>
        <v>vtisknout (v-w7758f1)</v>
      </c>
    </row>
    <row r="54817" customFormat="false" ht="12.8" hidden="false" customHeight="false" outlineLevel="0" collapsed="false">
      <c r="B54817" s="0" t="s">
        <v>7</v>
      </c>
    </row>
    <row r="54818" customFormat="false" ht="12.8" hidden="false" customHeight="false" outlineLevel="0" collapsed="false">
      <c r="B54818" s="0" t="s">
        <v>14</v>
      </c>
    </row>
    <row r="54819" customFormat="false" ht="12.8" hidden="false" customHeight="false" outlineLevel="0" collapsed="false">
      <c r="B54819" s="0" t="s">
        <v>124</v>
      </c>
    </row>
    <row r="54821" customFormat="false" ht="12.8" hidden="false" customHeight="false" outlineLevel="0" collapsed="false">
      <c r="A54821" s="0" t="s">
        <v>19154</v>
      </c>
      <c r="B54821" s="0" t="str">
        <f aca="false">HYPERLINK("https://lindat.mff.cuni.cz/services/teitok/pdtc10/index.php?action=vallex&amp;frame=v-w7759f2", "vtiskovat (v-w7759f2)")</f>
        <v>vtiskovat (v-w7759f2)</v>
      </c>
    </row>
    <row r="54822" customFormat="false" ht="12.8" hidden="false" customHeight="false" outlineLevel="0" collapsed="false">
      <c r="B54822" s="0" t="s">
        <v>7</v>
      </c>
    </row>
    <row r="54823" customFormat="false" ht="12.8" hidden="false" customHeight="false" outlineLevel="0" collapsed="false">
      <c r="B54823" s="0" t="s">
        <v>2313</v>
      </c>
    </row>
    <row r="54824" customFormat="false" ht="12.8" hidden="false" customHeight="false" outlineLevel="0" collapsed="false">
      <c r="B54824" s="0" t="s">
        <v>48</v>
      </c>
    </row>
    <row r="54826" customFormat="false" ht="12.8" hidden="false" customHeight="false" outlineLevel="0" collapsed="false">
      <c r="A54826" s="0" t="s">
        <v>19155</v>
      </c>
      <c r="B54826" s="0" t="str">
        <f aca="false">HYPERLINK("https://lindat.mff.cuni.cz/services/teitok/pdtc10/index.php?action=vallex&amp;frame=v-w7759f1", "vtiskovat (v-w7759f1)")</f>
        <v>vtiskovat (v-w7759f1)</v>
      </c>
    </row>
    <row r="54827" customFormat="false" ht="12.8" hidden="false" customHeight="false" outlineLevel="0" collapsed="false">
      <c r="B54827" s="0" t="s">
        <v>7</v>
      </c>
    </row>
    <row r="54828" customFormat="false" ht="12.8" hidden="false" customHeight="false" outlineLevel="0" collapsed="false">
      <c r="B54828" s="0" t="s">
        <v>14</v>
      </c>
    </row>
    <row r="54829" customFormat="false" ht="12.8" hidden="false" customHeight="false" outlineLevel="0" collapsed="false">
      <c r="B54829" s="0" t="s">
        <v>124</v>
      </c>
    </row>
    <row r="54831" customFormat="false" ht="12.8" hidden="false" customHeight="false" outlineLevel="0" collapsed="false">
      <c r="A54831" s="0" t="s">
        <v>19156</v>
      </c>
      <c r="B54831" s="0" t="str">
        <f aca="false">HYPERLINK("https://lindat.mff.cuni.cz/services/teitok/pdtc10/index.php?action=vallex&amp;frame=v-w7760f1", "vtlačit (v-w7760f1)")</f>
        <v>vtlačit (v-w7760f1)</v>
      </c>
    </row>
    <row r="54832" customFormat="false" ht="12.8" hidden="false" customHeight="false" outlineLevel="0" collapsed="false">
      <c r="B54832" s="0" t="s">
        <v>7</v>
      </c>
    </row>
    <row r="54833" customFormat="false" ht="12.8" hidden="false" customHeight="false" outlineLevel="0" collapsed="false">
      <c r="B54833" s="0" t="s">
        <v>14</v>
      </c>
    </row>
    <row r="54834" customFormat="false" ht="12.8" hidden="false" customHeight="false" outlineLevel="0" collapsed="false">
      <c r="B54834" s="0" t="s">
        <v>124</v>
      </c>
    </row>
    <row r="54836" customFormat="false" ht="12.8" hidden="false" customHeight="false" outlineLevel="0" collapsed="false">
      <c r="A54836" s="0" t="s">
        <v>19157</v>
      </c>
      <c r="B54836" s="0" t="str">
        <f aca="false">HYPERLINK("https://lindat.mff.cuni.cz/services/teitok/pdtc10/index.php?action=vallex&amp;frame=v-w10883f2", "vtlačovat (v-w10883f2)")</f>
        <v>vtlačovat (v-w10883f2)</v>
      </c>
    </row>
    <row r="54837" customFormat="false" ht="12.8" hidden="false" customHeight="false" outlineLevel="0" collapsed="false">
      <c r="B54837" s="0" t="s">
        <v>7</v>
      </c>
    </row>
    <row r="54838" customFormat="false" ht="12.8" hidden="false" customHeight="false" outlineLevel="0" collapsed="false">
      <c r="B54838" s="0" t="s">
        <v>14</v>
      </c>
    </row>
    <row r="54839" customFormat="false" ht="12.8" hidden="false" customHeight="false" outlineLevel="0" collapsed="false">
      <c r="B54839" s="0" t="s">
        <v>124</v>
      </c>
    </row>
    <row r="54841" customFormat="false" ht="12.8" hidden="false" customHeight="false" outlineLevel="0" collapsed="false">
      <c r="A54841" s="0" t="s">
        <v>19158</v>
      </c>
      <c r="B54841" s="0" t="str">
        <f aca="false">HYPERLINK("https://lindat.mff.cuni.cz/services/teitok/pdtc10/index.php?action=vallex&amp;frame=v-w7761f1", "vtrhnout (v-w7761f1)")</f>
        <v>vtrhnout (v-w7761f1)</v>
      </c>
    </row>
    <row r="54842" customFormat="false" ht="12.8" hidden="false" customHeight="false" outlineLevel="0" collapsed="false">
      <c r="B54842" s="0" t="s">
        <v>7</v>
      </c>
      <c r="C54842" s="0" t="s">
        <v>19159</v>
      </c>
      <c r="D54842" s="0" t="s">
        <v>88</v>
      </c>
      <c r="E54842" s="0" t="s">
        <v>88</v>
      </c>
      <c r="F54842" s="0" t="s">
        <v>88</v>
      </c>
    </row>
    <row r="54843" customFormat="false" ht="12.8" hidden="false" customHeight="false" outlineLevel="0" collapsed="false">
      <c r="B54843" s="0" t="s">
        <v>124</v>
      </c>
      <c r="C54843" s="0" t="s">
        <v>4037</v>
      </c>
      <c r="D54843" s="0" t="s">
        <v>4037</v>
      </c>
      <c r="E54843" s="0" t="s">
        <v>4037</v>
      </c>
      <c r="F54843" s="0" t="s">
        <v>4037</v>
      </c>
    </row>
    <row r="54845" customFormat="false" ht="12.8" hidden="false" customHeight="false" outlineLevel="0" collapsed="false">
      <c r="A54845" s="0" t="s">
        <v>19160</v>
      </c>
      <c r="B54845" s="0" t="str">
        <f aca="false">HYPERLINK("https://lindat.mff.cuni.cz/services/teitok/pdtc10/index.php?action=vallex&amp;frame=v-w10469f2", "vtrhávat (v-w10469f2)")</f>
        <v>vtrhávat (v-w10469f2)</v>
      </c>
    </row>
    <row r="54846" customFormat="false" ht="12.8" hidden="false" customHeight="false" outlineLevel="0" collapsed="false">
      <c r="B54846" s="0" t="s">
        <v>7</v>
      </c>
      <c r="C54846" s="0" t="s">
        <v>3855</v>
      </c>
      <c r="D54846" s="0" t="s">
        <v>73</v>
      </c>
      <c r="E54846" s="0" t="s">
        <v>73</v>
      </c>
      <c r="F54846" s="0" t="s">
        <v>73</v>
      </c>
    </row>
    <row r="54847" customFormat="false" ht="12.8" hidden="false" customHeight="false" outlineLevel="0" collapsed="false">
      <c r="B54847" s="0" t="s">
        <v>124</v>
      </c>
    </row>
    <row r="54849" customFormat="false" ht="12.8" hidden="false" customHeight="false" outlineLevel="0" collapsed="false">
      <c r="A54849" s="0" t="s">
        <v>19161</v>
      </c>
      <c r="B54849" s="0" t="str">
        <f aca="false">HYPERLINK("https://lindat.mff.cuni.cz/services/teitok/pdtc10/index.php?action=vallex&amp;frame=v-w7747f1", "vtáhnout (v-w7747f1)")</f>
        <v>vtáhnout (v-w7747f1)</v>
      </c>
    </row>
    <row r="54850" customFormat="false" ht="12.8" hidden="false" customHeight="false" outlineLevel="0" collapsed="false">
      <c r="B54850" s="0" t="s">
        <v>7</v>
      </c>
      <c r="C54850" s="0" t="s">
        <v>3591</v>
      </c>
      <c r="D54850" s="0" t="s">
        <v>2323</v>
      </c>
      <c r="E54850" s="0" t="s">
        <v>2323</v>
      </c>
      <c r="F54850" s="0" t="s">
        <v>2323</v>
      </c>
    </row>
    <row r="54851" customFormat="false" ht="12.8" hidden="false" customHeight="false" outlineLevel="0" collapsed="false">
      <c r="B54851" s="0" t="s">
        <v>14</v>
      </c>
      <c r="C54851" s="0" t="s">
        <v>4180</v>
      </c>
      <c r="D54851" s="0" t="s">
        <v>1918</v>
      </c>
      <c r="E54851" s="0" t="s">
        <v>1918</v>
      </c>
      <c r="F54851" s="0" t="s">
        <v>1918</v>
      </c>
    </row>
    <row r="54852" customFormat="false" ht="12.8" hidden="false" customHeight="false" outlineLevel="0" collapsed="false">
      <c r="B54852" s="0" t="s">
        <v>279</v>
      </c>
      <c r="D54852" s="0" t="s">
        <v>2325</v>
      </c>
      <c r="E54852" s="0" t="s">
        <v>2325</v>
      </c>
      <c r="F54852" s="0" t="s">
        <v>2325</v>
      </c>
    </row>
    <row r="54854" customFormat="false" ht="12.8" hidden="false" customHeight="false" outlineLevel="0" collapsed="false">
      <c r="A54854" s="0" t="s">
        <v>19162</v>
      </c>
      <c r="B54854" s="0" t="str">
        <f aca="false">HYPERLINK("https://lindat.mff.cuni.cz/services/teitok/pdtc10/index.php?action=vallex&amp;frame=v-w7747f2", "vtáhnout (v-w7747f2)")</f>
        <v>vtáhnout (v-w7747f2)</v>
      </c>
    </row>
    <row r="54855" customFormat="false" ht="12.8" hidden="false" customHeight="false" outlineLevel="0" collapsed="false">
      <c r="B54855" s="0" t="s">
        <v>7</v>
      </c>
      <c r="C54855" s="0" t="s">
        <v>184</v>
      </c>
    </row>
    <row r="54856" customFormat="false" ht="12.8" hidden="false" customHeight="false" outlineLevel="0" collapsed="false">
      <c r="B54856" s="0" t="s">
        <v>14</v>
      </c>
      <c r="C54856" s="0" t="s">
        <v>461</v>
      </c>
    </row>
    <row r="54857" customFormat="false" ht="12.8" hidden="false" customHeight="false" outlineLevel="0" collapsed="false">
      <c r="B54857" s="0" t="s">
        <v>124</v>
      </c>
    </row>
    <row r="54859" customFormat="false" ht="12.8" hidden="false" customHeight="false" outlineLevel="0" collapsed="false">
      <c r="A54859" s="0" t="s">
        <v>19163</v>
      </c>
      <c r="B54859" s="0" t="str">
        <f aca="false">HYPERLINK("https://lindat.mff.cuni.cz/services/teitok/pdtc10/index.php?action=vallex&amp;frame=v-w7757f1", "vtírat se (v-w7757f1)")</f>
        <v>vtírat se (v-w7757f1)</v>
      </c>
    </row>
    <row r="54860" customFormat="false" ht="12.8" hidden="false" customHeight="false" outlineLevel="0" collapsed="false">
      <c r="B54860" s="0" t="s">
        <v>7</v>
      </c>
    </row>
    <row r="54861" customFormat="false" ht="12.8" hidden="false" customHeight="false" outlineLevel="0" collapsed="false">
      <c r="B54861" s="0" t="s">
        <v>124</v>
      </c>
    </row>
    <row r="54863" customFormat="false" ht="12.8" hidden="false" customHeight="false" outlineLevel="0" collapsed="false">
      <c r="A54863" s="0" t="s">
        <v>19164</v>
      </c>
      <c r="B54863" s="0" t="str">
        <f aca="false">HYPERLINK("https://lindat.mff.cuni.cz/services/teitok/pdtc10/index.php?action=vallex&amp;frame=v-w7752f1", "vtělit (v-w7752f1)")</f>
        <v>vtělit (v-w7752f1)</v>
      </c>
    </row>
    <row r="54864" customFormat="false" ht="12.8" hidden="false" customHeight="false" outlineLevel="0" collapsed="false">
      <c r="B54864" s="0" t="s">
        <v>7</v>
      </c>
      <c r="D54864" s="0" t="s">
        <v>19165</v>
      </c>
      <c r="E54864" s="0" t="s">
        <v>19165</v>
      </c>
      <c r="F54864" s="0" t="s">
        <v>19165</v>
      </c>
    </row>
    <row r="54865" customFormat="false" ht="12.8" hidden="false" customHeight="false" outlineLevel="0" collapsed="false">
      <c r="B54865" s="0" t="s">
        <v>14</v>
      </c>
      <c r="D54865" s="0" t="s">
        <v>19166</v>
      </c>
      <c r="E54865" s="0" t="s">
        <v>19166</v>
      </c>
      <c r="F54865" s="0" t="s">
        <v>19166</v>
      </c>
    </row>
    <row r="54866" customFormat="false" ht="12.8" hidden="false" customHeight="false" outlineLevel="0" collapsed="false">
      <c r="B54866" s="0" t="s">
        <v>124</v>
      </c>
      <c r="D54866" s="0" t="s">
        <v>18799</v>
      </c>
      <c r="E54866" s="0" t="s">
        <v>18799</v>
      </c>
      <c r="F54866" s="0" t="s">
        <v>18799</v>
      </c>
    </row>
    <row r="54868" customFormat="false" ht="12.8" hidden="false" customHeight="false" outlineLevel="0" collapsed="false">
      <c r="A54868" s="0" t="s">
        <v>19167</v>
      </c>
      <c r="B54868" s="0" t="str">
        <f aca="false">HYPERLINK("https://lindat.mff.cuni.cz/services/teitok/pdtc10/index.php?action=vallex&amp;frame=v-w7753f1", "vtěsnat (v-w7753f1)")</f>
        <v>vtěsnat (v-w7753f1)</v>
      </c>
    </row>
    <row r="54869" customFormat="false" ht="12.8" hidden="false" customHeight="false" outlineLevel="0" collapsed="false">
      <c r="B54869" s="0" t="s">
        <v>7</v>
      </c>
    </row>
    <row r="54870" customFormat="false" ht="12.8" hidden="false" customHeight="false" outlineLevel="0" collapsed="false">
      <c r="B54870" s="0" t="s">
        <v>14</v>
      </c>
    </row>
    <row r="54871" customFormat="false" ht="12.8" hidden="false" customHeight="false" outlineLevel="0" collapsed="false">
      <c r="B54871" s="0" t="s">
        <v>124</v>
      </c>
    </row>
    <row r="54873" customFormat="false" ht="12.8" hidden="false" customHeight="false" outlineLevel="0" collapsed="false">
      <c r="A54873" s="0" t="s">
        <v>19168</v>
      </c>
      <c r="B54873" s="0" t="str">
        <f aca="false">HYPERLINK("https://lindat.mff.cuni.cz/services/teitok/pdtc10/index.php?action=vallex&amp;frame=v-w12309_MMf1_MM", "vtěsnat se (v-w12309_MMf1_MM)")</f>
        <v>vtěsnat se (v-w12309_MMf1_MM)</v>
      </c>
    </row>
    <row r="54874" customFormat="false" ht="12.8" hidden="false" customHeight="false" outlineLevel="0" collapsed="false">
      <c r="B54874" s="0" t="s">
        <v>7</v>
      </c>
    </row>
    <row r="54875" customFormat="false" ht="12.8" hidden="false" customHeight="false" outlineLevel="0" collapsed="false">
      <c r="B54875" s="0" t="s">
        <v>124</v>
      </c>
    </row>
    <row r="54877" customFormat="false" ht="12.8" hidden="false" customHeight="false" outlineLevel="0" collapsed="false">
      <c r="A54877" s="0" t="s">
        <v>19169</v>
      </c>
      <c r="B54877" s="0" t="str">
        <f aca="false">HYPERLINK("https://lindat.mff.cuni.cz/services/teitok/pdtc10/index.php?action=vallex&amp;frame=v-w10464f2", "vybalancovat (v-w10464f2)")</f>
        <v>vybalancovat (v-w10464f2)</v>
      </c>
    </row>
    <row r="54878" customFormat="false" ht="12.8" hidden="false" customHeight="false" outlineLevel="0" collapsed="false">
      <c r="B54878" s="0" t="s">
        <v>7</v>
      </c>
      <c r="D54878" s="0" t="s">
        <v>113</v>
      </c>
      <c r="E54878" s="0" t="s">
        <v>113</v>
      </c>
      <c r="F54878" s="0" t="s">
        <v>19170</v>
      </c>
    </row>
    <row r="54879" customFormat="false" ht="12.8" hidden="false" customHeight="false" outlineLevel="0" collapsed="false">
      <c r="B54879" s="0" t="s">
        <v>14</v>
      </c>
      <c r="D54879" s="0" t="s">
        <v>2666</v>
      </c>
      <c r="E54879" s="0" t="s">
        <v>2666</v>
      </c>
      <c r="F54879" s="0" t="s">
        <v>12991</v>
      </c>
    </row>
    <row r="54881" customFormat="false" ht="12.8" hidden="false" customHeight="false" outlineLevel="0" collapsed="false">
      <c r="A54881" s="0" t="s">
        <v>19171</v>
      </c>
      <c r="B54881" s="0" t="str">
        <f aca="false">HYPERLINK("https://lindat.mff.cuni.cz/services/teitok/pdtc10/index.php?action=vallex&amp;frame=v-w11893_ZUf1_ZU", "vybalit (v-w11893_ZUf1_ZU)")</f>
        <v>vybalit (v-w11893_ZUf1_ZU)</v>
      </c>
    </row>
    <row r="54882" customFormat="false" ht="12.8" hidden="false" customHeight="false" outlineLevel="0" collapsed="false">
      <c r="B54882" s="0" t="s">
        <v>7</v>
      </c>
    </row>
    <row r="54883" customFormat="false" ht="12.8" hidden="false" customHeight="false" outlineLevel="0" collapsed="false">
      <c r="B54883" s="0" t="s">
        <v>14</v>
      </c>
    </row>
    <row r="54885" customFormat="false" ht="12.8" hidden="false" customHeight="false" outlineLevel="0" collapsed="false">
      <c r="A54885" s="0" t="s">
        <v>19172</v>
      </c>
      <c r="B54885" s="0" t="str">
        <f aca="false">HYPERLINK("https://lindat.mff.cuni.cz/services/teitok/pdtc10/index.php?action=vallex&amp;frame=v-whsa_1093hsa_1094", "vybalovat (v-whsa_1093hsa_1094)")</f>
        <v>vybalovat (v-whsa_1093hsa_1094)</v>
      </c>
    </row>
    <row r="54886" customFormat="false" ht="12.8" hidden="false" customHeight="false" outlineLevel="0" collapsed="false">
      <c r="B54886" s="0" t="s">
        <v>7</v>
      </c>
    </row>
    <row r="54887" customFormat="false" ht="12.8" hidden="false" customHeight="false" outlineLevel="0" collapsed="false">
      <c r="B54887" s="0" t="s">
        <v>14</v>
      </c>
    </row>
    <row r="54888" customFormat="false" ht="12.8" hidden="false" customHeight="false" outlineLevel="0" collapsed="false">
      <c r="B54888" s="0" t="s">
        <v>459</v>
      </c>
    </row>
    <row r="54890" customFormat="false" ht="12.8" hidden="false" customHeight="false" outlineLevel="0" collapsed="false">
      <c r="A54890" s="0" t="s">
        <v>19173</v>
      </c>
      <c r="B54890" s="0" t="str">
        <f aca="false">HYPERLINK("https://lindat.mff.cuni.cz/services/teitok/pdtc10/index.php?action=vallex&amp;frame=v-whsa_1093hsa_1095", "vybalovat (v-whsa_1093hsa_1095)")</f>
        <v>vybalovat (v-whsa_1093hsa_1095)</v>
      </c>
    </row>
    <row r="54891" customFormat="false" ht="12.8" hidden="false" customHeight="false" outlineLevel="0" collapsed="false">
      <c r="B54891" s="0" t="s">
        <v>7</v>
      </c>
    </row>
    <row r="54892" customFormat="false" ht="12.8" hidden="false" customHeight="false" outlineLevel="0" collapsed="false">
      <c r="B54892" s="0" t="s">
        <v>14</v>
      </c>
    </row>
    <row r="54894" customFormat="false" ht="12.8" hidden="false" customHeight="false" outlineLevel="0" collapsed="false">
      <c r="A54894" s="0" t="s">
        <v>19174</v>
      </c>
      <c r="B54894" s="0" t="str">
        <f aca="false">HYPERLINK("https://lindat.mff.cuni.cz/services/teitok/pdtc10/index.php?action=vallex&amp;frame=v-w7765f1", "vybarvit (v-w7765f1)")</f>
        <v>vybarvit (v-w7765f1)</v>
      </c>
    </row>
    <row r="54895" customFormat="false" ht="12.8" hidden="false" customHeight="false" outlineLevel="0" collapsed="false">
      <c r="B54895" s="0" t="s">
        <v>7</v>
      </c>
    </row>
    <row r="54896" customFormat="false" ht="12.8" hidden="false" customHeight="false" outlineLevel="0" collapsed="false">
      <c r="B54896" s="0" t="s">
        <v>172</v>
      </c>
    </row>
    <row r="54897" customFormat="false" ht="12.8" hidden="false" customHeight="false" outlineLevel="0" collapsed="false">
      <c r="B54897" s="0" t="s">
        <v>106</v>
      </c>
    </row>
    <row r="54899" customFormat="false" ht="12.8" hidden="false" customHeight="false" outlineLevel="0" collapsed="false">
      <c r="A54899" s="0" t="s">
        <v>19175</v>
      </c>
      <c r="B54899" s="0" t="str">
        <f aca="false">HYPERLINK("https://lindat.mff.cuni.cz/services/teitok/pdtc10/index.php?action=vallex&amp;frame=v-w11774_ZUf1_ZU", "vybarvovat se (v-w11774_ZUf1_ZU)")</f>
        <v>vybarvovat se (v-w11774_ZUf1_ZU)</v>
      </c>
    </row>
    <row r="54900" customFormat="false" ht="12.8" hidden="false" customHeight="false" outlineLevel="0" collapsed="false">
      <c r="B54900" s="0" t="s">
        <v>7</v>
      </c>
    </row>
    <row r="54902" customFormat="false" ht="12.8" hidden="false" customHeight="false" outlineLevel="0" collapsed="false">
      <c r="A54902" s="0" t="s">
        <v>19176</v>
      </c>
      <c r="B54902" s="0" t="str">
        <f aca="false">HYPERLINK("https://lindat.mff.cuni.cz/services/teitok/pdtc10/index.php?action=vallex&amp;frame=v-w7768f1", "vybavit (v-w7768f1)")</f>
        <v>vybavit (v-w7768f1)</v>
      </c>
    </row>
    <row r="54903" customFormat="false" ht="12.8" hidden="false" customHeight="false" outlineLevel="0" collapsed="false">
      <c r="B54903" s="0" t="s">
        <v>7</v>
      </c>
      <c r="C54903" s="0" t="s">
        <v>19177</v>
      </c>
      <c r="D54903" s="0" t="s">
        <v>8931</v>
      </c>
      <c r="E54903" s="0" t="s">
        <v>8931</v>
      </c>
      <c r="F54903" s="0" t="s">
        <v>8931</v>
      </c>
    </row>
    <row r="54904" customFormat="false" ht="12.8" hidden="false" customHeight="false" outlineLevel="0" collapsed="false">
      <c r="B54904" s="0" t="s">
        <v>14</v>
      </c>
      <c r="C54904" s="0" t="s">
        <v>19178</v>
      </c>
      <c r="D54904" s="0" t="s">
        <v>8932</v>
      </c>
      <c r="E54904" s="0" t="s">
        <v>8932</v>
      </c>
      <c r="F54904" s="0" t="s">
        <v>8932</v>
      </c>
    </row>
    <row r="54905" customFormat="false" ht="12.8" hidden="false" customHeight="false" outlineLevel="0" collapsed="false">
      <c r="B54905" s="0" t="s">
        <v>6292</v>
      </c>
      <c r="C54905" s="0" t="s">
        <v>18609</v>
      </c>
      <c r="D54905" s="0" t="s">
        <v>8933</v>
      </c>
      <c r="E54905" s="0" t="s">
        <v>8933</v>
      </c>
      <c r="F54905" s="0" t="s">
        <v>8933</v>
      </c>
    </row>
    <row r="54907" customFormat="false" ht="12.8" hidden="false" customHeight="false" outlineLevel="0" collapsed="false">
      <c r="A54907" s="0" t="s">
        <v>19179</v>
      </c>
      <c r="B54907" s="0" t="str">
        <f aca="false">HYPERLINK("https://lindat.mff.cuni.cz/services/teitok/pdtc10/index.php?action=vallex&amp;frame=v-w7769f1", "vybavit se (v-w7769f1)")</f>
        <v>vybavit se (v-w7769f1)</v>
      </c>
    </row>
    <row r="54908" customFormat="false" ht="12.8" hidden="false" customHeight="false" outlineLevel="0" collapsed="false">
      <c r="B54908" s="0" t="s">
        <v>603</v>
      </c>
      <c r="E54908" s="0" t="s">
        <v>19180</v>
      </c>
      <c r="F54908" s="0" t="s">
        <v>19180</v>
      </c>
    </row>
    <row r="54909" customFormat="false" ht="12.8" hidden="false" customHeight="false" outlineLevel="0" collapsed="false">
      <c r="B54909" s="0" t="s">
        <v>13961</v>
      </c>
      <c r="E54909" s="0" t="s">
        <v>19181</v>
      </c>
      <c r="F54909" s="0" t="s">
        <v>19181</v>
      </c>
    </row>
    <row r="54911" customFormat="false" ht="12.8" hidden="false" customHeight="false" outlineLevel="0" collapsed="false">
      <c r="A54911" s="0" t="s">
        <v>19182</v>
      </c>
      <c r="B54911" s="0" t="str">
        <f aca="false">HYPERLINK("https://lindat.mff.cuni.cz/services/teitok/pdtc10/index.php?action=vallex&amp;frame=v-w7770f2_ZU", "vybavit si (v-w7770f2_ZU)")</f>
        <v>vybavit si (v-w7770f2_ZU)</v>
      </c>
    </row>
    <row r="54912" customFormat="false" ht="12.8" hidden="false" customHeight="false" outlineLevel="0" collapsed="false">
      <c r="B54912" s="0" t="s">
        <v>7</v>
      </c>
    </row>
    <row r="54913" customFormat="false" ht="12.8" hidden="false" customHeight="false" outlineLevel="0" collapsed="false">
      <c r="B54913" s="0" t="s">
        <v>10836</v>
      </c>
    </row>
    <row r="54915" customFormat="false" ht="12.8" hidden="false" customHeight="false" outlineLevel="0" collapsed="false">
      <c r="A54915" s="0" t="s">
        <v>19182</v>
      </c>
      <c r="B54915" s="0" t="str">
        <f aca="false">HYPERLINK("https://lindat.mff.cuni.cz/services/teitok/pdtc10/index.php?action=vallex&amp;frame=v-w7770f1", "vybavit si (v-w7770f1) - substituted with v-w7770f2_ZU")</f>
        <v>vybavit si (v-w7770f1) - substituted with v-w7770f2_ZU</v>
      </c>
    </row>
    <row r="54916" customFormat="false" ht="12.8" hidden="false" customHeight="false" outlineLevel="0" collapsed="false">
      <c r="B54916" s="0" t="s">
        <v>7</v>
      </c>
      <c r="C54916" s="0" t="s">
        <v>428</v>
      </c>
      <c r="D54916" s="0" t="s">
        <v>5057</v>
      </c>
      <c r="E54916" s="0" t="s">
        <v>5057</v>
      </c>
      <c r="F54916" s="0" t="s">
        <v>5057</v>
      </c>
    </row>
    <row r="54917" customFormat="false" ht="12.8" hidden="false" customHeight="false" outlineLevel="0" collapsed="false">
      <c r="B54917" s="0" t="s">
        <v>10836</v>
      </c>
      <c r="C54917" s="0" t="s">
        <v>5595</v>
      </c>
      <c r="D54917" s="0" t="s">
        <v>9591</v>
      </c>
      <c r="E54917" s="0" t="s">
        <v>9591</v>
      </c>
      <c r="F54917" s="0" t="s">
        <v>9591</v>
      </c>
    </row>
    <row r="54919" customFormat="false" ht="12.8" hidden="false" customHeight="false" outlineLevel="0" collapsed="false">
      <c r="A54919" s="0" t="s">
        <v>19183</v>
      </c>
      <c r="B54919" s="0" t="str">
        <f aca="false">HYPERLINK("https://lindat.mff.cuni.cz/services/teitok/pdtc10/index.php?action=vallex&amp;frame=v-w7771f1", "vybavovat (v-w7771f1)")</f>
        <v>vybavovat (v-w7771f1)</v>
      </c>
    </row>
    <row r="54920" customFormat="false" ht="12.8" hidden="false" customHeight="false" outlineLevel="0" collapsed="false">
      <c r="B54920" s="0" t="s">
        <v>7</v>
      </c>
      <c r="C54920" s="0" t="s">
        <v>184</v>
      </c>
      <c r="D54920" s="0" t="s">
        <v>8931</v>
      </c>
      <c r="E54920" s="0" t="s">
        <v>8931</v>
      </c>
      <c r="F54920" s="0" t="s">
        <v>8931</v>
      </c>
    </row>
    <row r="54921" customFormat="false" ht="12.8" hidden="false" customHeight="false" outlineLevel="0" collapsed="false">
      <c r="B54921" s="0" t="s">
        <v>14</v>
      </c>
      <c r="C54921" s="0" t="s">
        <v>78</v>
      </c>
      <c r="D54921" s="0" t="s">
        <v>8932</v>
      </c>
      <c r="E54921" s="0" t="s">
        <v>8932</v>
      </c>
      <c r="F54921" s="0" t="s">
        <v>8932</v>
      </c>
    </row>
    <row r="54923" customFormat="false" ht="12.8" hidden="false" customHeight="false" outlineLevel="0" collapsed="false">
      <c r="A54923" s="0" t="s">
        <v>19184</v>
      </c>
      <c r="B54923" s="0" t="str">
        <f aca="false">HYPERLINK("https://lindat.mff.cuni.cz/services/teitok/pdtc10/index.php?action=vallex&amp;frame=v-w7772f2", "vybavovat se (v-w7772f2)")</f>
        <v>vybavovat se (v-w7772f2)</v>
      </c>
    </row>
    <row r="54924" customFormat="false" ht="12.8" hidden="false" customHeight="false" outlineLevel="0" collapsed="false">
      <c r="B54924" s="0" t="s">
        <v>7</v>
      </c>
    </row>
    <row r="54925" customFormat="false" ht="12.8" hidden="false" customHeight="false" outlineLevel="0" collapsed="false">
      <c r="B54925" s="0" t="s">
        <v>244</v>
      </c>
    </row>
    <row r="54926" customFormat="false" ht="12.8" hidden="false" customHeight="false" outlineLevel="0" collapsed="false">
      <c r="B54926" s="0" t="s">
        <v>2767</v>
      </c>
    </row>
    <row r="54928" customFormat="false" ht="12.8" hidden="false" customHeight="false" outlineLevel="0" collapsed="false">
      <c r="A54928" s="0" t="s">
        <v>19185</v>
      </c>
      <c r="B54928" s="0" t="str">
        <f aca="false">HYPERLINK("https://lindat.mff.cuni.cz/services/teitok/pdtc10/index.php?action=vallex&amp;frame=v-w7772f1", "vybavovat se (v-w7772f1)")</f>
        <v>vybavovat se (v-w7772f1)</v>
      </c>
    </row>
    <row r="54929" customFormat="false" ht="12.8" hidden="false" customHeight="false" outlineLevel="0" collapsed="false">
      <c r="B54929" s="0" t="s">
        <v>603</v>
      </c>
      <c r="E54929" s="0" t="s">
        <v>19180</v>
      </c>
      <c r="F54929" s="0" t="s">
        <v>19180</v>
      </c>
    </row>
    <row r="54930" customFormat="false" ht="12.8" hidden="false" customHeight="false" outlineLevel="0" collapsed="false">
      <c r="B54930" s="0" t="s">
        <v>17678</v>
      </c>
      <c r="E54930" s="0" t="s">
        <v>19181</v>
      </c>
      <c r="F54930" s="0" t="s">
        <v>19181</v>
      </c>
    </row>
    <row r="54932" customFormat="false" ht="12.8" hidden="false" customHeight="false" outlineLevel="0" collapsed="false">
      <c r="A54932" s="0" t="s">
        <v>19186</v>
      </c>
      <c r="B54932" s="0" t="str">
        <f aca="false">HYPERLINK("https://lindat.mff.cuni.cz/services/teitok/pdtc10/index.php?action=vallex&amp;frame=v-w11617_ZUf1_ZU", "vybavovat si (v-w11617_ZUf1_ZU)")</f>
        <v>vybavovat si (v-w11617_ZUf1_ZU)</v>
      </c>
    </row>
    <row r="54933" customFormat="false" ht="12.8" hidden="false" customHeight="false" outlineLevel="0" collapsed="false">
      <c r="B54933" s="0" t="s">
        <v>7</v>
      </c>
      <c r="C54933" s="0" t="s">
        <v>428</v>
      </c>
      <c r="D54933" s="0" t="s">
        <v>5057</v>
      </c>
      <c r="E54933" s="0" t="s">
        <v>5057</v>
      </c>
      <c r="F54933" s="0" t="s">
        <v>5057</v>
      </c>
    </row>
    <row r="54934" customFormat="false" ht="12.8" hidden="false" customHeight="false" outlineLevel="0" collapsed="false">
      <c r="B54934" s="0" t="s">
        <v>14</v>
      </c>
      <c r="C54934" s="0" t="s">
        <v>5595</v>
      </c>
      <c r="D54934" s="0" t="s">
        <v>9591</v>
      </c>
      <c r="E54934" s="0" t="s">
        <v>9591</v>
      </c>
      <c r="F54934" s="0" t="s">
        <v>9591</v>
      </c>
    </row>
    <row r="54936" customFormat="false" ht="12.8" hidden="false" customHeight="false" outlineLevel="0" collapsed="false">
      <c r="A54936" s="0" t="s">
        <v>19187</v>
      </c>
      <c r="B54936" s="0" t="str">
        <f aca="false">HYPERLINK("https://lindat.mff.cuni.cz/services/teitok/pdtc10/index.php?action=vallex&amp;frame=v-w10999hsa_610", "vybičovat (v-w10999hsa_610)")</f>
        <v>vybičovat (v-w10999hsa_610)</v>
      </c>
    </row>
    <row r="54937" customFormat="false" ht="12.8" hidden="false" customHeight="false" outlineLevel="0" collapsed="false">
      <c r="B54937" s="0" t="s">
        <v>7</v>
      </c>
      <c r="C54937" s="0" t="s">
        <v>191</v>
      </c>
      <c r="D54937" s="0" t="s">
        <v>191</v>
      </c>
      <c r="E54937" s="0" t="s">
        <v>191</v>
      </c>
      <c r="F54937" s="0" t="s">
        <v>191</v>
      </c>
    </row>
    <row r="54938" customFormat="false" ht="12.8" hidden="false" customHeight="false" outlineLevel="0" collapsed="false">
      <c r="B54938" s="0" t="s">
        <v>19188</v>
      </c>
      <c r="C54938" s="0" t="s">
        <v>7237</v>
      </c>
    </row>
    <row r="54939" customFormat="false" ht="12.8" hidden="false" customHeight="false" outlineLevel="0" collapsed="false">
      <c r="B54939" s="0" t="s">
        <v>11</v>
      </c>
    </row>
    <row r="54941" customFormat="false" ht="12.8" hidden="false" customHeight="false" outlineLevel="0" collapsed="false">
      <c r="A54941" s="0" t="s">
        <v>19189</v>
      </c>
      <c r="B54941" s="0" t="str">
        <f aca="false">HYPERLINK("https://lindat.mff.cuni.cz/services/teitok/pdtc10/index.php?action=vallex&amp;frame=v-w10999f2", "vybičovat (v-w10999f2)")</f>
        <v>vybičovat (v-w10999f2)</v>
      </c>
    </row>
    <row r="54942" customFormat="false" ht="12.8" hidden="false" customHeight="false" outlineLevel="0" collapsed="false">
      <c r="B54942" s="0" t="s">
        <v>7</v>
      </c>
    </row>
    <row r="54943" customFormat="false" ht="12.8" hidden="false" customHeight="false" outlineLevel="0" collapsed="false">
      <c r="B54943" s="0" t="s">
        <v>6155</v>
      </c>
    </row>
    <row r="54944" customFormat="false" ht="12.8" hidden="false" customHeight="false" outlineLevel="0" collapsed="false">
      <c r="B54944" s="0" t="s">
        <v>14</v>
      </c>
    </row>
    <row r="54945" customFormat="false" ht="12.8" hidden="false" customHeight="false" outlineLevel="0" collapsed="false">
      <c r="B54945" s="0" t="s">
        <v>11</v>
      </c>
    </row>
    <row r="54947" customFormat="false" ht="12.8" hidden="false" customHeight="false" outlineLevel="0" collapsed="false">
      <c r="A54947" s="0" t="s">
        <v>19190</v>
      </c>
      <c r="B54947" s="0" t="str">
        <f aca="false">HYPERLINK("https://lindat.mff.cuni.cz/services/teitok/pdtc10/index.php?action=vallex&amp;frame=v-w7785f1", "vyblednout (v-w7785f1)")</f>
        <v>vyblednout (v-w7785f1)</v>
      </c>
    </row>
    <row r="54948" customFormat="false" ht="12.8" hidden="false" customHeight="false" outlineLevel="0" collapsed="false">
      <c r="B54948" s="0" t="s">
        <v>7</v>
      </c>
      <c r="C54948" s="0" t="s">
        <v>4651</v>
      </c>
      <c r="D54948" s="0" t="s">
        <v>5380</v>
      </c>
      <c r="E54948" s="0" t="s">
        <v>5380</v>
      </c>
      <c r="F54948" s="0" t="s">
        <v>5380</v>
      </c>
    </row>
    <row r="54950" customFormat="false" ht="12.8" hidden="false" customHeight="false" outlineLevel="0" collapsed="false">
      <c r="A54950" s="0" t="s">
        <v>19191</v>
      </c>
      <c r="B54950" s="0" t="str">
        <f aca="false">HYPERLINK("https://lindat.mff.cuni.cz/services/teitok/pdtc10/index.php?action=vallex&amp;frame=v-w7788f1", "vybojovat (v-w7788f1)")</f>
        <v>vybojovat (v-w7788f1)</v>
      </c>
    </row>
    <row r="54951" customFormat="false" ht="12.8" hidden="false" customHeight="false" outlineLevel="0" collapsed="false">
      <c r="B54951" s="0" t="s">
        <v>7</v>
      </c>
      <c r="C54951" s="0" t="s">
        <v>113</v>
      </c>
      <c r="D54951" s="0" t="s">
        <v>43</v>
      </c>
      <c r="E54951" s="0" t="s">
        <v>43</v>
      </c>
      <c r="F54951" s="0" t="s">
        <v>43</v>
      </c>
    </row>
    <row r="54952" customFormat="false" ht="12.8" hidden="false" customHeight="false" outlineLevel="0" collapsed="false">
      <c r="B54952" s="0" t="s">
        <v>11750</v>
      </c>
      <c r="C54952" s="0" t="s">
        <v>74</v>
      </c>
      <c r="D54952" s="0" t="s">
        <v>2887</v>
      </c>
      <c r="E54952" s="0" t="s">
        <v>2887</v>
      </c>
      <c r="F54952" s="0" t="s">
        <v>2887</v>
      </c>
    </row>
    <row r="54953" customFormat="false" ht="12.8" hidden="false" customHeight="false" outlineLevel="0" collapsed="false">
      <c r="B54953" s="0" t="s">
        <v>19192</v>
      </c>
      <c r="D54953" s="0" t="s">
        <v>19193</v>
      </c>
      <c r="E54953" s="0" t="s">
        <v>19193</v>
      </c>
      <c r="F54953" s="0" t="s">
        <v>19193</v>
      </c>
    </row>
    <row r="54955" customFormat="false" ht="12.8" hidden="false" customHeight="false" outlineLevel="0" collapsed="false">
      <c r="A54955" s="0" t="s">
        <v>19194</v>
      </c>
      <c r="B54955" s="0" t="str">
        <f aca="false">HYPERLINK("https://lindat.mff.cuni.cz/services/teitok/pdtc10/index.php?action=vallex&amp;frame=v-w7788hsa_834", "vybojovat (v-w7788hsa_834)")</f>
        <v>vybojovat (v-w7788hsa_834)</v>
      </c>
    </row>
    <row r="54956" customFormat="false" ht="12.8" hidden="false" customHeight="false" outlineLevel="0" collapsed="false">
      <c r="B54956" s="0" t="s">
        <v>7</v>
      </c>
      <c r="D54956" s="0" t="s">
        <v>43</v>
      </c>
      <c r="E54956" s="0" t="s">
        <v>43</v>
      </c>
      <c r="F54956" s="0" t="s">
        <v>43</v>
      </c>
    </row>
    <row r="54957" customFormat="false" ht="12.8" hidden="false" customHeight="false" outlineLevel="0" collapsed="false">
      <c r="B54957" s="0" t="s">
        <v>14</v>
      </c>
      <c r="C54957" s="0" t="s">
        <v>155</v>
      </c>
      <c r="D54957" s="0" t="s">
        <v>2887</v>
      </c>
      <c r="E54957" s="0" t="s">
        <v>2887</v>
      </c>
      <c r="F54957" s="0" t="s">
        <v>2887</v>
      </c>
    </row>
    <row r="54958" customFormat="false" ht="12.8" hidden="false" customHeight="false" outlineLevel="0" collapsed="false">
      <c r="B54958" s="0" t="s">
        <v>441</v>
      </c>
      <c r="C54958" s="0" t="s">
        <v>5360</v>
      </c>
      <c r="D54958" s="0" t="s">
        <v>19195</v>
      </c>
      <c r="E54958" s="0" t="s">
        <v>19195</v>
      </c>
      <c r="F54958" s="0" t="s">
        <v>19195</v>
      </c>
    </row>
    <row r="54960" customFormat="false" ht="12.8" hidden="false" customHeight="false" outlineLevel="0" collapsed="false">
      <c r="A54960" s="0" t="s">
        <v>19196</v>
      </c>
      <c r="B54960" s="0" t="str">
        <f aca="false">HYPERLINK("https://lindat.mff.cuni.cz/services/teitok/pdtc10/index.php?action=vallex&amp;frame=v-whsa_2054f1_ZU", "vybombardovat (v-whsa_2054f1_ZU)")</f>
        <v>vybombardovat (v-whsa_2054f1_ZU)</v>
      </c>
    </row>
    <row r="54961" customFormat="false" ht="12.8" hidden="false" customHeight="false" outlineLevel="0" collapsed="false">
      <c r="B54961" s="0" t="s">
        <v>7</v>
      </c>
    </row>
    <row r="54962" customFormat="false" ht="12.8" hidden="false" customHeight="false" outlineLevel="0" collapsed="false">
      <c r="B54962" s="0" t="s">
        <v>14</v>
      </c>
    </row>
    <row r="54964" customFormat="false" ht="12.8" hidden="false" customHeight="false" outlineLevel="0" collapsed="false">
      <c r="A54964" s="0" t="s">
        <v>19196</v>
      </c>
      <c r="B54964" s="0" t="str">
        <f aca="false">HYPERLINK("https://lindat.mff.cuni.cz/services/teitok/pdtc10/index.php?action=vallex&amp;frame=v-whsa_2054hsa_2055", "vybombardovat (v-whsa_2054hsa_2055) - substituted with v-whsa_2054f1_ZU")</f>
        <v>vybombardovat (v-whsa_2054hsa_2055) - substituted with v-whsa_2054f1_ZU</v>
      </c>
    </row>
    <row r="54965" customFormat="false" ht="12.8" hidden="false" customHeight="false" outlineLevel="0" collapsed="false">
      <c r="B54965" s="0" t="s">
        <v>7</v>
      </c>
    </row>
    <row r="54966" customFormat="false" ht="12.8" hidden="false" customHeight="false" outlineLevel="0" collapsed="false">
      <c r="B54966" s="0" t="s">
        <v>14</v>
      </c>
    </row>
    <row r="54968" customFormat="false" ht="12.8" hidden="false" customHeight="false" outlineLevel="0" collapsed="false">
      <c r="A54968" s="0" t="s">
        <v>19197</v>
      </c>
      <c r="B54968" s="0" t="str">
        <f aca="false">HYPERLINK("https://lindat.mff.cuni.cz/services/teitok/pdtc10/index.php?action=vallex&amp;frame=v-w10323f3", "vybouchnout (v-w10323f3)")</f>
        <v>vybouchnout (v-w10323f3)</v>
      </c>
    </row>
    <row r="54969" customFormat="false" ht="12.8" hidden="false" customHeight="false" outlineLevel="0" collapsed="false">
      <c r="B54969" s="0" t="s">
        <v>7</v>
      </c>
    </row>
    <row r="54971" customFormat="false" ht="12.8" hidden="false" customHeight="false" outlineLevel="0" collapsed="false">
      <c r="A54971" s="0" t="s">
        <v>19198</v>
      </c>
      <c r="B54971" s="0" t="str">
        <f aca="false">HYPERLINK("https://lindat.mff.cuni.cz/services/teitok/pdtc10/index.php?action=vallex&amp;frame=v-w10323hsa_1102", "vybouchnout (v-w10323hsa_1102)")</f>
        <v>vybouchnout (v-w10323hsa_1102)</v>
      </c>
    </row>
    <row r="54972" customFormat="false" ht="12.8" hidden="false" customHeight="false" outlineLevel="0" collapsed="false">
      <c r="B54972" s="0" t="s">
        <v>7</v>
      </c>
      <c r="C54972" s="0" t="s">
        <v>247</v>
      </c>
      <c r="D54972" s="0" t="s">
        <v>1902</v>
      </c>
      <c r="E54972" s="0" t="s">
        <v>1902</v>
      </c>
      <c r="F54972" s="0" t="s">
        <v>1902</v>
      </c>
    </row>
    <row r="54974" customFormat="false" ht="12.8" hidden="false" customHeight="false" outlineLevel="0" collapsed="false">
      <c r="A54974" s="0" t="s">
        <v>19199</v>
      </c>
      <c r="B54974" s="0" t="str">
        <f aca="false">HYPERLINK("https://lindat.mff.cuni.cz/services/teitok/pdtc10/index.php?action=vallex&amp;frame=v-w10323f2", "vybouchnout (v-w10323f2)")</f>
        <v>vybouchnout (v-w10323f2)</v>
      </c>
    </row>
    <row r="54975" customFormat="false" ht="12.8" hidden="false" customHeight="false" outlineLevel="0" collapsed="false">
      <c r="B54975" s="0" t="s">
        <v>7</v>
      </c>
    </row>
    <row r="54976" customFormat="false" ht="12.8" hidden="false" customHeight="false" outlineLevel="0" collapsed="false">
      <c r="B54976" s="0" t="s">
        <v>14</v>
      </c>
    </row>
    <row r="54978" customFormat="false" ht="12.8" hidden="false" customHeight="false" outlineLevel="0" collapsed="false">
      <c r="A54978" s="0" t="s">
        <v>19200</v>
      </c>
      <c r="B54978" s="0" t="str">
        <f aca="false">HYPERLINK("https://lindat.mff.cuni.cz/services/teitok/pdtc10/index.php?action=vallex&amp;frame=v-w11394f1", "vyboulit se (v-w11394f1)")</f>
        <v>vyboulit se (v-w11394f1)</v>
      </c>
    </row>
    <row r="54979" customFormat="false" ht="12.8" hidden="false" customHeight="false" outlineLevel="0" collapsed="false">
      <c r="B54979" s="0" t="s">
        <v>7</v>
      </c>
    </row>
    <row r="54981" customFormat="false" ht="12.8" hidden="false" customHeight="false" outlineLevel="0" collapsed="false">
      <c r="A54981" s="0" t="s">
        <v>19201</v>
      </c>
      <c r="B54981" s="0" t="str">
        <f aca="false">HYPERLINK("https://lindat.mff.cuni.cz/services/teitok/pdtc10/index.php?action=vallex&amp;frame=v-w7790f1", "vybourat (v-w7790f1)")</f>
        <v>vybourat (v-w7790f1)</v>
      </c>
    </row>
    <row r="54982" customFormat="false" ht="12.8" hidden="false" customHeight="false" outlineLevel="0" collapsed="false">
      <c r="B54982" s="0" t="s">
        <v>7</v>
      </c>
    </row>
    <row r="54983" customFormat="false" ht="12.8" hidden="false" customHeight="false" outlineLevel="0" collapsed="false">
      <c r="B54983" s="0" t="s">
        <v>14</v>
      </c>
    </row>
    <row r="54985" customFormat="false" ht="12.8" hidden="false" customHeight="false" outlineLevel="0" collapsed="false">
      <c r="A54985" s="0" t="s">
        <v>19202</v>
      </c>
      <c r="B54985" s="0" t="str">
        <f aca="false">HYPERLINK("https://lindat.mff.cuni.cz/services/teitok/pdtc10/index.php?action=vallex&amp;frame=v-w7790f2", "vybourat (v-w7790f2)")</f>
        <v>vybourat (v-w7790f2)</v>
      </c>
    </row>
    <row r="54986" customFormat="false" ht="12.8" hidden="false" customHeight="false" outlineLevel="0" collapsed="false">
      <c r="B54986" s="0" t="s">
        <v>7</v>
      </c>
    </row>
    <row r="54987" customFormat="false" ht="12.8" hidden="false" customHeight="false" outlineLevel="0" collapsed="false">
      <c r="B54987" s="0" t="s">
        <v>14</v>
      </c>
    </row>
    <row r="54989" customFormat="false" ht="12.8" hidden="false" customHeight="false" outlineLevel="0" collapsed="false">
      <c r="A54989" s="0" t="s">
        <v>19203</v>
      </c>
      <c r="B54989" s="0" t="str">
        <f aca="false">HYPERLINK("https://lindat.mff.cuni.cz/services/teitok/pdtc10/index.php?action=vallex&amp;frame=v-w7791f1", "vybourat se (v-w7791f1)")</f>
        <v>vybourat se (v-w7791f1)</v>
      </c>
    </row>
    <row r="54990" customFormat="false" ht="12.8" hidden="false" customHeight="false" outlineLevel="0" collapsed="false">
      <c r="B54990" s="0" t="s">
        <v>7</v>
      </c>
    </row>
    <row r="54992" customFormat="false" ht="12.8" hidden="false" customHeight="false" outlineLevel="0" collapsed="false">
      <c r="A54992" s="0" t="s">
        <v>19204</v>
      </c>
      <c r="B54992" s="0" t="str">
        <f aca="false">HYPERLINK("https://lindat.mff.cuni.cz/services/teitok/pdtc10/index.php?action=vallex&amp;frame=v-whsa_581hsa_582", "vybourávat (v-whsa_581hsa_582)")</f>
        <v>vybourávat (v-whsa_581hsa_582)</v>
      </c>
    </row>
    <row r="54993" customFormat="false" ht="12.8" hidden="false" customHeight="false" outlineLevel="0" collapsed="false">
      <c r="B54993" s="0" t="s">
        <v>7</v>
      </c>
    </row>
    <row r="54994" customFormat="false" ht="12.8" hidden="false" customHeight="false" outlineLevel="0" collapsed="false">
      <c r="B54994" s="0" t="s">
        <v>14</v>
      </c>
    </row>
    <row r="54996" customFormat="false" ht="12.8" hidden="false" customHeight="false" outlineLevel="0" collapsed="false">
      <c r="A54996" s="0" t="s">
        <v>19205</v>
      </c>
      <c r="B54996" s="0" t="str">
        <f aca="false">HYPERLINK("https://lindat.mff.cuni.cz/services/teitok/pdtc10/index.php?action=vallex&amp;frame=v-w11773_ZUf1_ZU", "vybouřit se (v-w11773_ZUf1_ZU)")</f>
        <v>vybouřit se (v-w11773_ZUf1_ZU)</v>
      </c>
    </row>
    <row r="54997" customFormat="false" ht="12.8" hidden="false" customHeight="false" outlineLevel="0" collapsed="false">
      <c r="B54997" s="0" t="s">
        <v>7</v>
      </c>
    </row>
    <row r="54999" customFormat="false" ht="12.8" hidden="false" customHeight="false" outlineLevel="0" collapsed="false">
      <c r="A54999" s="0" t="s">
        <v>19206</v>
      </c>
      <c r="B54999" s="0" t="str">
        <f aca="false">HYPERLINK("https://lindat.mff.cuni.cz/services/teitok/pdtc10/index.php?action=vallex&amp;frame=v-w7792f1", "vyboxovat (v-w7792f1)")</f>
        <v>vyboxovat (v-w7792f1)</v>
      </c>
    </row>
    <row r="55000" customFormat="false" ht="12.8" hidden="false" customHeight="false" outlineLevel="0" collapsed="false">
      <c r="B55000" s="0" t="s">
        <v>7</v>
      </c>
    </row>
    <row r="55001" customFormat="false" ht="12.8" hidden="false" customHeight="false" outlineLevel="0" collapsed="false">
      <c r="B55001" s="0" t="s">
        <v>14</v>
      </c>
    </row>
    <row r="55002" customFormat="false" ht="12.8" hidden="false" customHeight="false" outlineLevel="0" collapsed="false">
      <c r="B55002" s="0" t="s">
        <v>459</v>
      </c>
    </row>
    <row r="55004" customFormat="false" ht="12.8" hidden="false" customHeight="false" outlineLevel="0" collapsed="false">
      <c r="A55004" s="0" t="s">
        <v>19207</v>
      </c>
      <c r="B55004" s="0" t="str">
        <f aca="false">HYPERLINK("https://lindat.mff.cuni.cz/services/teitok/pdtc10/index.php?action=vallex&amp;frame=v-w7786f1", "vybočit (v-w7786f1)")</f>
        <v>vybočit (v-w7786f1)</v>
      </c>
    </row>
    <row r="55005" customFormat="false" ht="12.8" hidden="false" customHeight="false" outlineLevel="0" collapsed="false">
      <c r="B55005" s="0" t="s">
        <v>7</v>
      </c>
    </row>
    <row r="55006" customFormat="false" ht="12.8" hidden="false" customHeight="false" outlineLevel="0" collapsed="false">
      <c r="B55006" s="0" t="s">
        <v>459</v>
      </c>
    </row>
    <row r="55008" customFormat="false" ht="12.8" hidden="false" customHeight="false" outlineLevel="0" collapsed="false">
      <c r="A55008" s="0" t="s">
        <v>19208</v>
      </c>
      <c r="B55008" s="0" t="str">
        <f aca="false">HYPERLINK("https://lindat.mff.cuni.cz/services/teitok/pdtc10/index.php?action=vallex&amp;frame=v-w7787f1", "vybočovat (v-w7787f1)")</f>
        <v>vybočovat (v-w7787f1)</v>
      </c>
    </row>
    <row r="55009" customFormat="false" ht="12.8" hidden="false" customHeight="false" outlineLevel="0" collapsed="false">
      <c r="B55009" s="0" t="s">
        <v>7</v>
      </c>
    </row>
    <row r="55010" customFormat="false" ht="12.8" hidden="false" customHeight="false" outlineLevel="0" collapsed="false">
      <c r="B55010" s="0" t="s">
        <v>459</v>
      </c>
    </row>
    <row r="55012" customFormat="false" ht="12.8" hidden="false" customHeight="false" outlineLevel="0" collapsed="false">
      <c r="A55012" s="0" t="s">
        <v>19209</v>
      </c>
      <c r="B55012" s="0" t="str">
        <f aca="false">HYPERLINK("https://lindat.mff.cuni.cz/services/teitok/pdtc10/index.php?action=vallex&amp;frame=v-w7793f1", "vybrakovat (v-w7793f1)")</f>
        <v>vybrakovat (v-w7793f1)</v>
      </c>
    </row>
    <row r="55013" customFormat="false" ht="12.8" hidden="false" customHeight="false" outlineLevel="0" collapsed="false">
      <c r="B55013" s="0" t="s">
        <v>7</v>
      </c>
    </row>
    <row r="55014" customFormat="false" ht="12.8" hidden="false" customHeight="false" outlineLevel="0" collapsed="false">
      <c r="B55014" s="0" t="s">
        <v>14</v>
      </c>
    </row>
    <row r="55016" customFormat="false" ht="12.8" hidden="false" customHeight="false" outlineLevel="0" collapsed="false">
      <c r="A55016" s="0" t="s">
        <v>19210</v>
      </c>
      <c r="B55016" s="0" t="str">
        <f aca="false">HYPERLINK("https://lindat.mff.cuni.cz/services/teitok/pdtc10/index.php?action=vallex&amp;frame=v-w7796f5_ZU", "vybrat (v-w7796f5_ZU)")</f>
        <v>vybrat (v-w7796f5_ZU)</v>
      </c>
    </row>
    <row r="55017" customFormat="false" ht="12.8" hidden="false" customHeight="false" outlineLevel="0" collapsed="false">
      <c r="B55017" s="0" t="s">
        <v>7</v>
      </c>
    </row>
    <row r="55018" customFormat="false" ht="12.8" hidden="false" customHeight="false" outlineLevel="0" collapsed="false">
      <c r="B55018" s="0" t="s">
        <v>172</v>
      </c>
    </row>
    <row r="55019" customFormat="false" ht="12.8" hidden="false" customHeight="false" outlineLevel="0" collapsed="false">
      <c r="B55019" s="0" t="s">
        <v>14787</v>
      </c>
    </row>
    <row r="55021" customFormat="false" ht="12.8" hidden="false" customHeight="false" outlineLevel="0" collapsed="false">
      <c r="A55021" s="0" t="s">
        <v>19210</v>
      </c>
      <c r="B55021" s="0" t="str">
        <f aca="false">HYPERLINK("https://lindat.mff.cuni.cz/services/teitok/pdtc10/index.php?action=vallex&amp;frame=v-w7796f1", "vybrat (v-w7796f1) - substituted with v-w7796f5_ZU")</f>
        <v>vybrat (v-w7796f1) - substituted with v-w7796f5_ZU</v>
      </c>
    </row>
    <row r="55022" customFormat="false" ht="12.8" hidden="false" customHeight="false" outlineLevel="0" collapsed="false">
      <c r="B55022" s="0" t="s">
        <v>7</v>
      </c>
      <c r="C55022" s="0" t="s">
        <v>19211</v>
      </c>
      <c r="D55022" s="0" t="s">
        <v>14784</v>
      </c>
      <c r="E55022" s="0" t="s">
        <v>14784</v>
      </c>
      <c r="F55022" s="0" t="s">
        <v>14784</v>
      </c>
    </row>
    <row r="55023" customFormat="false" ht="12.8" hidden="false" customHeight="false" outlineLevel="0" collapsed="false">
      <c r="B55023" s="0" t="s">
        <v>172</v>
      </c>
      <c r="C55023" s="0" t="s">
        <v>19212</v>
      </c>
      <c r="D55023" s="0" t="s">
        <v>14786</v>
      </c>
      <c r="E55023" s="0" t="s">
        <v>14786</v>
      </c>
      <c r="F55023" s="0" t="s">
        <v>14786</v>
      </c>
    </row>
    <row r="55024" customFormat="false" ht="12.8" hidden="false" customHeight="false" outlineLevel="0" collapsed="false">
      <c r="B55024" s="0" t="s">
        <v>14787</v>
      </c>
      <c r="C55024" s="0" t="s">
        <v>19213</v>
      </c>
      <c r="D55024" s="0" t="s">
        <v>14789</v>
      </c>
      <c r="E55024" s="0" t="s">
        <v>14789</v>
      </c>
      <c r="F55024" s="0" t="s">
        <v>14789</v>
      </c>
    </row>
    <row r="55026" customFormat="false" ht="12.8" hidden="false" customHeight="false" outlineLevel="0" collapsed="false">
      <c r="A55026" s="0" t="s">
        <v>19214</v>
      </c>
      <c r="B55026" s="0" t="str">
        <f aca="false">HYPERLINK("https://lindat.mff.cuni.cz/services/teitok/pdtc10/index.php?action=vallex&amp;frame=v-w7796f3", "vybrat (v-w7796f3)")</f>
        <v>vybrat (v-w7796f3)</v>
      </c>
    </row>
    <row r="55027" customFormat="false" ht="12.8" hidden="false" customHeight="false" outlineLevel="0" collapsed="false">
      <c r="B55027" s="0" t="s">
        <v>7</v>
      </c>
      <c r="C55027" s="0" t="s">
        <v>2560</v>
      </c>
    </row>
    <row r="55028" customFormat="false" ht="12.8" hidden="false" customHeight="false" outlineLevel="0" collapsed="false">
      <c r="B55028" s="0" t="s">
        <v>14</v>
      </c>
      <c r="C55028" s="0" t="s">
        <v>19215</v>
      </c>
    </row>
    <row r="55029" customFormat="false" ht="12.8" hidden="false" customHeight="false" outlineLevel="0" collapsed="false">
      <c r="B55029" s="0" t="s">
        <v>441</v>
      </c>
      <c r="C55029" s="0" t="s">
        <v>19216</v>
      </c>
    </row>
    <row r="55031" customFormat="false" ht="12.8" hidden="false" customHeight="false" outlineLevel="0" collapsed="false">
      <c r="A55031" s="0" t="s">
        <v>19217</v>
      </c>
      <c r="B55031" s="0" t="str">
        <f aca="false">HYPERLINK("https://lindat.mff.cuni.cz/services/teitok/pdtc10/index.php?action=vallex&amp;frame=v-w7796f2", "vybrat (v-w7796f2)")</f>
        <v>vybrat (v-w7796f2)</v>
      </c>
    </row>
    <row r="55032" customFormat="false" ht="12.8" hidden="false" customHeight="false" outlineLevel="0" collapsed="false">
      <c r="B55032" s="0" t="s">
        <v>7</v>
      </c>
      <c r="C55032" s="0" t="s">
        <v>19218</v>
      </c>
    </row>
    <row r="55033" customFormat="false" ht="12.8" hidden="false" customHeight="false" outlineLevel="0" collapsed="false">
      <c r="B55033" s="0" t="s">
        <v>14</v>
      </c>
      <c r="C55033" s="0" t="s">
        <v>19219</v>
      </c>
    </row>
    <row r="55034" customFormat="false" ht="12.8" hidden="false" customHeight="false" outlineLevel="0" collapsed="false">
      <c r="B55034" s="0" t="s">
        <v>459</v>
      </c>
      <c r="C55034" s="0" t="s">
        <v>19220</v>
      </c>
    </row>
    <row r="55036" customFormat="false" ht="12.8" hidden="false" customHeight="false" outlineLevel="0" collapsed="false">
      <c r="A55036" s="0" t="s">
        <v>19221</v>
      </c>
      <c r="B55036" s="0" t="str">
        <f aca="false">HYPERLINK("https://lindat.mff.cuni.cz/services/teitok/pdtc10/index.php?action=vallex&amp;frame=v-w7796f4_ZU", "vybrat (v-w7796f4_ZU)")</f>
        <v>vybrat (v-w7796f4_ZU)</v>
      </c>
    </row>
    <row r="55037" customFormat="false" ht="12.8" hidden="false" customHeight="false" outlineLevel="0" collapsed="false">
      <c r="B55037" s="0" t="s">
        <v>7</v>
      </c>
      <c r="C55037" s="0" t="s">
        <v>184</v>
      </c>
    </row>
    <row r="55038" customFormat="false" ht="12.8" hidden="false" customHeight="false" outlineLevel="0" collapsed="false">
      <c r="B55038" s="0" t="s">
        <v>14</v>
      </c>
      <c r="C55038" s="0" t="s">
        <v>1170</v>
      </c>
    </row>
    <row r="55039" customFormat="false" ht="12.8" hidden="false" customHeight="false" outlineLevel="0" collapsed="false">
      <c r="B55039" s="0" t="s">
        <v>10545</v>
      </c>
    </row>
    <row r="55041" customFormat="false" ht="12.8" hidden="false" customHeight="false" outlineLevel="0" collapsed="false">
      <c r="A55041" s="0" t="s">
        <v>19222</v>
      </c>
      <c r="B55041" s="0" t="str">
        <f aca="false">HYPERLINK("https://lindat.mff.cuni.cz/services/teitok/pdtc10/index.php?action=vallex&amp;frame=v-w7796f6_ZU", "vybrat (v-w7796f6_ZU)")</f>
        <v>vybrat (v-w7796f6_ZU)</v>
      </c>
    </row>
    <row r="55042" customFormat="false" ht="12.8" hidden="false" customHeight="false" outlineLevel="0" collapsed="false">
      <c r="B55042" s="0" t="s">
        <v>7</v>
      </c>
    </row>
    <row r="55043" customFormat="false" ht="12.8" hidden="false" customHeight="false" outlineLevel="0" collapsed="false">
      <c r="B55043" s="0" t="s">
        <v>14</v>
      </c>
    </row>
    <row r="55045" customFormat="false" ht="12.8" hidden="false" customHeight="false" outlineLevel="0" collapsed="false">
      <c r="A55045" s="0" t="s">
        <v>19223</v>
      </c>
      <c r="B55045" s="0" t="str">
        <f aca="false">HYPERLINK("https://lindat.mff.cuni.cz/services/teitok/pdtc10/index.php?action=vallex&amp;frame=v-w7797f3_ZU", "vybrousit (v-w7797f3_ZU)")</f>
        <v>vybrousit (v-w7797f3_ZU)</v>
      </c>
    </row>
    <row r="55046" customFormat="false" ht="12.8" hidden="false" customHeight="false" outlineLevel="0" collapsed="false">
      <c r="B55046" s="0" t="s">
        <v>7</v>
      </c>
      <c r="C55046" s="0" t="s">
        <v>191</v>
      </c>
      <c r="D55046" s="0" t="s">
        <v>46</v>
      </c>
      <c r="E55046" s="0" t="s">
        <v>46</v>
      </c>
      <c r="F55046" s="0" t="s">
        <v>46</v>
      </c>
    </row>
    <row r="55047" customFormat="false" ht="12.8" hidden="false" customHeight="false" outlineLevel="0" collapsed="false">
      <c r="B55047" s="0" t="s">
        <v>14</v>
      </c>
      <c r="C55047" s="0" t="s">
        <v>47</v>
      </c>
      <c r="D55047" s="0" t="s">
        <v>33</v>
      </c>
      <c r="E55047" s="0" t="s">
        <v>33</v>
      </c>
      <c r="F55047" s="0" t="s">
        <v>33</v>
      </c>
    </row>
    <row r="55048" customFormat="false" ht="12.8" hidden="false" customHeight="false" outlineLevel="0" collapsed="false">
      <c r="B55048" s="0" t="s">
        <v>35</v>
      </c>
    </row>
    <row r="55049" customFormat="false" ht="12.8" hidden="false" customHeight="false" outlineLevel="0" collapsed="false">
      <c r="B55049" s="0" t="s">
        <v>181</v>
      </c>
    </row>
    <row r="55051" customFormat="false" ht="12.8" hidden="false" customHeight="false" outlineLevel="0" collapsed="false">
      <c r="A55051" s="0" t="s">
        <v>19223</v>
      </c>
      <c r="B55051" s="0" t="str">
        <f aca="false">HYPERLINK("https://lindat.mff.cuni.cz/services/teitok/pdtc10/index.php?action=vallex&amp;frame=v-w7797f2_ZU", "vybrousit (v-w7797f2_ZU) - substituted with v-w7797f3_ZU")</f>
        <v>vybrousit (v-w7797f2_ZU) - substituted with v-w7797f3_ZU</v>
      </c>
    </row>
    <row r="55052" customFormat="false" ht="12.8" hidden="false" customHeight="false" outlineLevel="0" collapsed="false">
      <c r="B55052" s="0" t="s">
        <v>7</v>
      </c>
      <c r="C55052" s="0" t="s">
        <v>191</v>
      </c>
    </row>
    <row r="55053" customFormat="false" ht="12.8" hidden="false" customHeight="false" outlineLevel="0" collapsed="false">
      <c r="B55053" s="0" t="s">
        <v>14</v>
      </c>
      <c r="C55053" s="0" t="s">
        <v>115</v>
      </c>
    </row>
    <row r="55054" customFormat="false" ht="12.8" hidden="false" customHeight="false" outlineLevel="0" collapsed="false">
      <c r="B55054" s="0" t="s">
        <v>35</v>
      </c>
    </row>
    <row r="55055" customFormat="false" ht="12.8" hidden="false" customHeight="false" outlineLevel="0" collapsed="false">
      <c r="B55055" s="0" t="s">
        <v>181</v>
      </c>
    </row>
    <row r="55057" customFormat="false" ht="12.8" hidden="false" customHeight="false" outlineLevel="0" collapsed="false">
      <c r="A55057" s="0" t="s">
        <v>19224</v>
      </c>
      <c r="B55057" s="0" t="str">
        <f aca="false">HYPERLINK("https://lindat.mff.cuni.cz/services/teitok/pdtc10/index.php?action=vallex&amp;frame=v-w7797f1", "vybrousit (v-w7797f1)")</f>
        <v>vybrousit (v-w7797f1)</v>
      </c>
    </row>
    <row r="55058" customFormat="false" ht="12.8" hidden="false" customHeight="false" outlineLevel="0" collapsed="false">
      <c r="B55058" s="0" t="s">
        <v>7</v>
      </c>
      <c r="C55058" s="0" t="s">
        <v>184</v>
      </c>
      <c r="D55058" s="0" t="s">
        <v>569</v>
      </c>
      <c r="E55058" s="0" t="s">
        <v>569</v>
      </c>
      <c r="F55058" s="0" t="s">
        <v>569</v>
      </c>
    </row>
    <row r="55059" customFormat="false" ht="12.8" hidden="false" customHeight="false" outlineLevel="0" collapsed="false">
      <c r="B55059" s="0" t="s">
        <v>14</v>
      </c>
      <c r="C55059" s="0" t="s">
        <v>155</v>
      </c>
      <c r="D55059" s="0" t="s">
        <v>47</v>
      </c>
      <c r="E55059" s="0" t="s">
        <v>47</v>
      </c>
      <c r="F55059" s="0" t="s">
        <v>47</v>
      </c>
    </row>
    <row r="55061" customFormat="false" ht="12.8" hidden="false" customHeight="false" outlineLevel="0" collapsed="false">
      <c r="A55061" s="0" t="s">
        <v>19225</v>
      </c>
      <c r="B55061" s="0" t="str">
        <f aca="false">HYPERLINK("https://lindat.mff.cuni.cz/services/teitok/pdtc10/index.php?action=vallex&amp;frame=v-w7798f1", "vybruslit (v-w7798f1)")</f>
        <v>vybruslit (v-w7798f1)</v>
      </c>
    </row>
    <row r="55062" customFormat="false" ht="12.8" hidden="false" customHeight="false" outlineLevel="0" collapsed="false">
      <c r="B55062" s="0" t="s">
        <v>7</v>
      </c>
    </row>
    <row r="55063" customFormat="false" ht="12.8" hidden="false" customHeight="false" outlineLevel="0" collapsed="false">
      <c r="B55063" s="0" t="s">
        <v>459</v>
      </c>
    </row>
    <row r="55065" customFormat="false" ht="12.8" hidden="false" customHeight="false" outlineLevel="0" collapsed="false">
      <c r="A55065" s="0" t="s">
        <v>19226</v>
      </c>
      <c r="B55065" s="0" t="str">
        <f aca="false">HYPERLINK("https://lindat.mff.cuni.cz/services/teitok/pdtc10/index.php?action=vallex&amp;frame=v-whsa_759hsa_760", "vybrušovat (v-whsa_759hsa_760)")</f>
        <v>vybrušovat (v-whsa_759hsa_760)</v>
      </c>
    </row>
    <row r="55066" customFormat="false" ht="12.8" hidden="false" customHeight="false" outlineLevel="0" collapsed="false">
      <c r="B55066" s="0" t="s">
        <v>7</v>
      </c>
    </row>
    <row r="55067" customFormat="false" ht="12.8" hidden="false" customHeight="false" outlineLevel="0" collapsed="false">
      <c r="B55067" s="0" t="s">
        <v>14</v>
      </c>
    </row>
    <row r="55069" customFormat="false" ht="12.8" hidden="false" customHeight="false" outlineLevel="0" collapsed="false">
      <c r="A55069" s="0" t="s">
        <v>19227</v>
      </c>
      <c r="B55069" s="0" t="str">
        <f aca="false">HYPERLINK("https://lindat.mff.cuni.cz/services/teitok/pdtc10/index.php?action=vallex&amp;frame=v-w7803f1", "vybuchnout (v-w7803f1)")</f>
        <v>vybuchnout (v-w7803f1)</v>
      </c>
    </row>
    <row r="55070" customFormat="false" ht="12.8" hidden="false" customHeight="false" outlineLevel="0" collapsed="false">
      <c r="B55070" s="0" t="s">
        <v>7</v>
      </c>
      <c r="C55070" s="0" t="s">
        <v>19228</v>
      </c>
      <c r="D55070" s="0" t="s">
        <v>1715</v>
      </c>
      <c r="E55070" s="0" t="s">
        <v>1715</v>
      </c>
      <c r="F55070" s="0" t="s">
        <v>1715</v>
      </c>
    </row>
    <row r="55072" customFormat="false" ht="12.8" hidden="false" customHeight="false" outlineLevel="0" collapsed="false">
      <c r="A55072" s="0" t="s">
        <v>19229</v>
      </c>
      <c r="B55072" s="0" t="str">
        <f aca="false">HYPERLINK("https://lindat.mff.cuni.cz/services/teitok/pdtc10/index.php?action=vallex&amp;frame=v-w7803hsa_764", "vybuchnout (v-w7803hsa_764)")</f>
        <v>vybuchnout (v-w7803hsa_764)</v>
      </c>
    </row>
    <row r="55073" customFormat="false" ht="12.8" hidden="false" customHeight="false" outlineLevel="0" collapsed="false">
      <c r="B55073" s="0" t="s">
        <v>7</v>
      </c>
      <c r="C55073" s="0" t="s">
        <v>191</v>
      </c>
    </row>
    <row r="55074" customFormat="false" ht="12.8" hidden="false" customHeight="false" outlineLevel="0" collapsed="false">
      <c r="B55074" s="0" t="s">
        <v>14047</v>
      </c>
      <c r="C55074" s="0" t="s">
        <v>155</v>
      </c>
    </row>
    <row r="55075" customFormat="false" ht="12.8" hidden="false" customHeight="false" outlineLevel="0" collapsed="false">
      <c r="B55075" s="0" t="s">
        <v>4101</v>
      </c>
      <c r="C55075" s="0" t="s">
        <v>1165</v>
      </c>
    </row>
    <row r="55077" customFormat="false" ht="12.8" hidden="false" customHeight="false" outlineLevel="0" collapsed="false">
      <c r="A55077" s="0" t="s">
        <v>19230</v>
      </c>
      <c r="B55077" s="0" t="str">
        <f aca="false">HYPERLINK("https://lindat.mff.cuni.cz/services/teitok/pdtc10/index.php?action=vallex&amp;frame=v-w7803f3_ZU", "vybuchnout (v-w7803f3_ZU)")</f>
        <v>vybuchnout (v-w7803f3_ZU)</v>
      </c>
    </row>
    <row r="55078" customFormat="false" ht="12.8" hidden="false" customHeight="false" outlineLevel="0" collapsed="false">
      <c r="B55078" s="0" t="s">
        <v>7</v>
      </c>
    </row>
    <row r="55079" customFormat="false" ht="12.8" hidden="false" customHeight="false" outlineLevel="0" collapsed="false">
      <c r="B55079" s="0" t="s">
        <v>19231</v>
      </c>
    </row>
    <row r="55081" customFormat="false" ht="12.8" hidden="false" customHeight="false" outlineLevel="0" collapsed="false">
      <c r="A55081" s="0" t="s">
        <v>19230</v>
      </c>
      <c r="B55081" s="0" t="str">
        <f aca="false">HYPERLINK("https://lindat.mff.cuni.cz/services/teitok/pdtc10/index.php?action=vallex&amp;frame=v-w7803f2_ZU", "vybuchnout (v-w7803f2_ZU) - substituted with v-w7803f3_ZU")</f>
        <v>vybuchnout (v-w7803f2_ZU) - substituted with v-w7803f3_ZU</v>
      </c>
    </row>
    <row r="55082" customFormat="false" ht="12.8" hidden="false" customHeight="false" outlineLevel="0" collapsed="false">
      <c r="B55082" s="0" t="s">
        <v>7</v>
      </c>
    </row>
    <row r="55083" customFormat="false" ht="12.8" hidden="false" customHeight="false" outlineLevel="0" collapsed="false">
      <c r="B55083" s="0" t="s">
        <v>19231</v>
      </c>
    </row>
    <row r="55085" customFormat="false" ht="12.8" hidden="false" customHeight="false" outlineLevel="0" collapsed="false">
      <c r="A55085" s="0" t="s">
        <v>19230</v>
      </c>
      <c r="B55085" s="0" t="str">
        <f aca="false">HYPERLINK("https://lindat.mff.cuni.cz/services/teitok/pdtc10/index.php?action=vallex&amp;frame=v-w7803hsa_654", "vybuchnout (v-w7803hsa_654) - substituted with v-w7803f3_ZU")</f>
        <v>vybuchnout (v-w7803hsa_654) - substituted with v-w7803f3_ZU</v>
      </c>
    </row>
    <row r="55086" customFormat="false" ht="12.8" hidden="false" customHeight="false" outlineLevel="0" collapsed="false">
      <c r="B55086" s="0" t="s">
        <v>7</v>
      </c>
    </row>
    <row r="55087" customFormat="false" ht="12.8" hidden="false" customHeight="false" outlineLevel="0" collapsed="false">
      <c r="B55087" s="0" t="s">
        <v>19231</v>
      </c>
    </row>
    <row r="55089" customFormat="false" ht="12.8" hidden="false" customHeight="false" outlineLevel="0" collapsed="false">
      <c r="A55089" s="0" t="s">
        <v>19232</v>
      </c>
      <c r="B55089" s="0" t="str">
        <f aca="false">HYPERLINK("https://lindat.mff.cuni.cz/services/teitok/pdtc10/index.php?action=vallex&amp;frame=v-w10653f2", "vybuchovat (v-w10653f2)")</f>
        <v>vybuchovat (v-w10653f2)</v>
      </c>
    </row>
    <row r="55090" customFormat="false" ht="12.8" hidden="false" customHeight="false" outlineLevel="0" collapsed="false">
      <c r="B55090" s="0" t="s">
        <v>7</v>
      </c>
    </row>
    <row r="55092" customFormat="false" ht="12.8" hidden="false" customHeight="false" outlineLevel="0" collapsed="false">
      <c r="A55092" s="0" t="s">
        <v>19233</v>
      </c>
      <c r="B55092" s="0" t="str">
        <f aca="false">HYPERLINK("https://lindat.mff.cuni.cz/services/teitok/pdtc10/index.php?action=vallex&amp;frame=v-w10852f2", "vybudit (v-w10852f2)")</f>
        <v>vybudit (v-w10852f2)</v>
      </c>
    </row>
    <row r="55093" customFormat="false" ht="12.8" hidden="false" customHeight="false" outlineLevel="0" collapsed="false">
      <c r="B55093" s="0" t="s">
        <v>7</v>
      </c>
    </row>
    <row r="55094" customFormat="false" ht="12.8" hidden="false" customHeight="false" outlineLevel="0" collapsed="false">
      <c r="B55094" s="0" t="s">
        <v>14</v>
      </c>
    </row>
    <row r="55095" customFormat="false" ht="12.8" hidden="false" customHeight="false" outlineLevel="0" collapsed="false">
      <c r="B55095" s="0" t="s">
        <v>35</v>
      </c>
    </row>
    <row r="55097" customFormat="false" ht="12.8" hidden="false" customHeight="false" outlineLevel="0" collapsed="false">
      <c r="A55097" s="0" t="s">
        <v>19234</v>
      </c>
      <c r="B55097" s="0" t="str">
        <f aca="false">HYPERLINK("https://lindat.mff.cuni.cz/services/teitok/pdtc10/index.php?action=vallex&amp;frame=v-w7801f2", "vybudovat (v-w7801f2)")</f>
        <v>vybudovat (v-w7801f2)</v>
      </c>
    </row>
    <row r="55098" customFormat="false" ht="12.8" hidden="false" customHeight="false" outlineLevel="0" collapsed="false">
      <c r="B55098" s="0" t="s">
        <v>7</v>
      </c>
      <c r="C55098" s="0" t="s">
        <v>19235</v>
      </c>
      <c r="D55098" s="0" t="s">
        <v>19236</v>
      </c>
      <c r="E55098" s="0" t="s">
        <v>19236</v>
      </c>
      <c r="F55098" s="0" t="s">
        <v>19236</v>
      </c>
    </row>
    <row r="55099" customFormat="false" ht="12.8" hidden="false" customHeight="false" outlineLevel="0" collapsed="false">
      <c r="B55099" s="0" t="s">
        <v>14</v>
      </c>
      <c r="C55099" s="0" t="s">
        <v>14267</v>
      </c>
      <c r="D55099" s="0" t="s">
        <v>19237</v>
      </c>
      <c r="E55099" s="0" t="s">
        <v>19237</v>
      </c>
      <c r="F55099" s="0" t="s">
        <v>19237</v>
      </c>
    </row>
    <row r="55100" customFormat="false" ht="12.8" hidden="false" customHeight="false" outlineLevel="0" collapsed="false">
      <c r="B55100" s="0" t="s">
        <v>586</v>
      </c>
      <c r="C55100" s="0" t="s">
        <v>5459</v>
      </c>
      <c r="D55100" s="0" t="s">
        <v>19238</v>
      </c>
      <c r="E55100" s="0" t="s">
        <v>19238</v>
      </c>
      <c r="F55100" s="0" t="s">
        <v>19238</v>
      </c>
    </row>
    <row r="55102" customFormat="false" ht="12.8" hidden="false" customHeight="false" outlineLevel="0" collapsed="false">
      <c r="A55102" s="0" t="s">
        <v>19239</v>
      </c>
      <c r="B55102" s="0" t="str">
        <f aca="false">HYPERLINK("https://lindat.mff.cuni.cz/services/teitok/pdtc10/index.php?action=vallex&amp;frame=v-w7801f1", "vybudovat (v-w7801f1)")</f>
        <v>vybudovat (v-w7801f1)</v>
      </c>
    </row>
    <row r="55103" customFormat="false" ht="12.8" hidden="false" customHeight="false" outlineLevel="0" collapsed="false">
      <c r="B55103" s="0" t="s">
        <v>7</v>
      </c>
      <c r="C55103" s="0" t="s">
        <v>19240</v>
      </c>
      <c r="D55103" s="0" t="s">
        <v>591</v>
      </c>
      <c r="E55103" s="0" t="s">
        <v>19241</v>
      </c>
      <c r="F55103" s="0" t="s">
        <v>19241</v>
      </c>
    </row>
    <row r="55104" customFormat="false" ht="12.8" hidden="false" customHeight="false" outlineLevel="0" collapsed="false">
      <c r="B55104" s="0" t="s">
        <v>14</v>
      </c>
      <c r="C55104" s="0" t="s">
        <v>19242</v>
      </c>
      <c r="D55104" s="0" t="s">
        <v>593</v>
      </c>
      <c r="E55104" s="0" t="s">
        <v>19243</v>
      </c>
      <c r="F55104" s="0" t="s">
        <v>19243</v>
      </c>
    </row>
    <row r="55105" customFormat="false" ht="12.8" hidden="false" customHeight="false" outlineLevel="0" collapsed="false">
      <c r="B55105" s="0" t="s">
        <v>35</v>
      </c>
      <c r="C55105" s="0" t="s">
        <v>594</v>
      </c>
      <c r="D55105" s="0" t="s">
        <v>595</v>
      </c>
      <c r="E55105" s="0" t="s">
        <v>19244</v>
      </c>
      <c r="F55105" s="0" t="s">
        <v>19244</v>
      </c>
    </row>
    <row r="55107" customFormat="false" ht="12.8" hidden="false" customHeight="false" outlineLevel="0" collapsed="false">
      <c r="A55107" s="0" t="s">
        <v>19245</v>
      </c>
      <c r="B55107" s="0" t="str">
        <f aca="false">HYPERLINK("https://lindat.mff.cuni.cz/services/teitok/pdtc10/index.php?action=vallex&amp;frame=v-w7804f1", "vybujet (v-w7804f1)")</f>
        <v>vybujet (v-w7804f1)</v>
      </c>
    </row>
    <row r="55108" customFormat="false" ht="12.8" hidden="false" customHeight="false" outlineLevel="0" collapsed="false">
      <c r="B55108" s="0" t="s">
        <v>7</v>
      </c>
      <c r="D55108" s="0" t="s">
        <v>200</v>
      </c>
      <c r="E55108" s="0" t="s">
        <v>200</v>
      </c>
      <c r="F55108" s="0" t="s">
        <v>200</v>
      </c>
    </row>
    <row r="55110" customFormat="false" ht="12.8" hidden="false" customHeight="false" outlineLevel="0" collapsed="false">
      <c r="A55110" s="0" t="s">
        <v>19246</v>
      </c>
      <c r="B55110" s="0" t="str">
        <f aca="false">HYPERLINK("https://lindat.mff.cuni.cz/services/teitok/pdtc10/index.php?action=vallex&amp;frame=v-w7805hsa_840", "vyburcovat (v-w7805hsa_840)")</f>
        <v>vyburcovat (v-w7805hsa_840)</v>
      </c>
    </row>
    <row r="55111" customFormat="false" ht="12.8" hidden="false" customHeight="false" outlineLevel="0" collapsed="false">
      <c r="B55111" s="0" t="s">
        <v>7</v>
      </c>
      <c r="C55111" s="0" t="s">
        <v>31</v>
      </c>
      <c r="D55111" s="0" t="s">
        <v>2969</v>
      </c>
      <c r="E55111" s="0" t="s">
        <v>2969</v>
      </c>
      <c r="F55111" s="0" t="s">
        <v>2969</v>
      </c>
    </row>
    <row r="55112" customFormat="false" ht="12.8" hidden="false" customHeight="false" outlineLevel="0" collapsed="false">
      <c r="B55112" s="0" t="s">
        <v>14</v>
      </c>
      <c r="C55112" s="0" t="s">
        <v>78</v>
      </c>
      <c r="D55112" s="0" t="s">
        <v>19247</v>
      </c>
      <c r="E55112" s="0" t="s">
        <v>19248</v>
      </c>
      <c r="F55112" s="0" t="s">
        <v>19248</v>
      </c>
    </row>
    <row r="55113" customFormat="false" ht="12.8" hidden="false" customHeight="false" outlineLevel="0" collapsed="false">
      <c r="B55113" s="0" t="s">
        <v>35</v>
      </c>
    </row>
    <row r="55114" customFormat="false" ht="12.8" hidden="false" customHeight="false" outlineLevel="0" collapsed="false">
      <c r="B55114" s="0" t="s">
        <v>2114</v>
      </c>
      <c r="D55114" s="0" t="s">
        <v>19249</v>
      </c>
      <c r="E55114" s="0" t="s">
        <v>19250</v>
      </c>
      <c r="F55114" s="0" t="s">
        <v>19250</v>
      </c>
    </row>
    <row r="55116" customFormat="false" ht="12.8" hidden="false" customHeight="false" outlineLevel="0" collapsed="false">
      <c r="A55116" s="0" t="s">
        <v>19246</v>
      </c>
      <c r="B55116" s="0" t="str">
        <f aca="false">HYPERLINK("https://lindat.mff.cuni.cz/services/teitok/pdtc10/index.php?action=vallex&amp;frame=v-w7805f1", "vyburcovat (v-w7805f1) - substituted with v-w7805hsa_840")</f>
        <v>vyburcovat (v-w7805f1) - substituted with v-w7805hsa_840</v>
      </c>
    </row>
    <row r="55117" customFormat="false" ht="12.8" hidden="false" customHeight="false" outlineLevel="0" collapsed="false">
      <c r="B55117" s="0" t="s">
        <v>7</v>
      </c>
      <c r="C55117" s="0" t="s">
        <v>46</v>
      </c>
    </row>
    <row r="55118" customFormat="false" ht="12.8" hidden="false" customHeight="false" outlineLevel="0" collapsed="false">
      <c r="B55118" s="0" t="s">
        <v>14</v>
      </c>
      <c r="C55118" s="0" t="s">
        <v>1289</v>
      </c>
    </row>
    <row r="55119" customFormat="false" ht="12.8" hidden="false" customHeight="false" outlineLevel="0" collapsed="false">
      <c r="B55119" s="0" t="s">
        <v>35</v>
      </c>
    </row>
    <row r="55120" customFormat="false" ht="12.8" hidden="false" customHeight="false" outlineLevel="0" collapsed="false">
      <c r="B55120" s="0" t="s">
        <v>2114</v>
      </c>
    </row>
    <row r="55122" customFormat="false" ht="12.8" hidden="false" customHeight="false" outlineLevel="0" collapsed="false">
      <c r="A55122" s="0" t="s">
        <v>19251</v>
      </c>
      <c r="B55122" s="0" t="str">
        <f aca="false">HYPERLINK("https://lindat.mff.cuni.cz/services/teitok/pdtc10/index.php?action=vallex&amp;frame=v-w7778f1", "vybídnout (v-w7778f1)")</f>
        <v>vybídnout (v-w7778f1)</v>
      </c>
    </row>
    <row r="55123" customFormat="false" ht="12.8" hidden="false" customHeight="false" outlineLevel="0" collapsed="false">
      <c r="B55123" s="0" t="s">
        <v>7</v>
      </c>
      <c r="C55123" s="0" t="s">
        <v>7871</v>
      </c>
      <c r="D55123" s="0" t="s">
        <v>3051</v>
      </c>
      <c r="E55123" s="0" t="s">
        <v>3051</v>
      </c>
      <c r="F55123" s="0" t="s">
        <v>3051</v>
      </c>
    </row>
    <row r="55124" customFormat="false" ht="12.8" hidden="false" customHeight="false" outlineLevel="0" collapsed="false">
      <c r="B55124" s="0" t="s">
        <v>2561</v>
      </c>
      <c r="C55124" s="0" t="s">
        <v>19252</v>
      </c>
      <c r="D55124" s="0" t="s">
        <v>9767</v>
      </c>
      <c r="E55124" s="0" t="s">
        <v>9768</v>
      </c>
      <c r="F55124" s="0" t="s">
        <v>9768</v>
      </c>
    </row>
    <row r="55125" customFormat="false" ht="12.8" hidden="false" customHeight="false" outlineLevel="0" collapsed="false">
      <c r="B55125" s="0" t="s">
        <v>81</v>
      </c>
      <c r="C55125" s="0" t="s">
        <v>19253</v>
      </c>
      <c r="D55125" s="0" t="s">
        <v>9770</v>
      </c>
      <c r="E55125" s="0" t="s">
        <v>9771</v>
      </c>
      <c r="F55125" s="0" t="s">
        <v>9771</v>
      </c>
    </row>
    <row r="55127" customFormat="false" ht="12.8" hidden="false" customHeight="false" outlineLevel="0" collapsed="false">
      <c r="A55127" s="0" t="s">
        <v>19254</v>
      </c>
      <c r="B55127" s="0" t="str">
        <f aca="false">HYPERLINK("https://lindat.mff.cuni.cz/services/teitok/pdtc10/index.php?action=vallex&amp;frame=v-w11062f3", "vybíhat (v-w11062f3)")</f>
        <v>vybíhat (v-w11062f3)</v>
      </c>
    </row>
    <row r="55128" customFormat="false" ht="12.8" hidden="false" customHeight="false" outlineLevel="0" collapsed="false">
      <c r="B55128" s="0" t="s">
        <v>7</v>
      </c>
      <c r="C55128" s="0" t="s">
        <v>13537</v>
      </c>
    </row>
    <row r="55129" customFormat="false" ht="12.8" hidden="false" customHeight="false" outlineLevel="0" collapsed="false">
      <c r="B55129" s="0" t="s">
        <v>459</v>
      </c>
    </row>
    <row r="55131" customFormat="false" ht="12.8" hidden="false" customHeight="false" outlineLevel="0" collapsed="false">
      <c r="A55131" s="0" t="s">
        <v>19255</v>
      </c>
      <c r="B55131" s="0" t="str">
        <f aca="false">HYPERLINK("https://lindat.mff.cuni.cz/services/teitok/pdtc10/index.php?action=vallex&amp;frame=v-w11062f2", "vybíhat (v-w11062f2)")</f>
        <v>vybíhat (v-w11062f2)</v>
      </c>
    </row>
    <row r="55132" customFormat="false" ht="12.8" hidden="false" customHeight="false" outlineLevel="0" collapsed="false">
      <c r="B55132" s="0" t="s">
        <v>7</v>
      </c>
    </row>
    <row r="55133" customFormat="false" ht="12.8" hidden="false" customHeight="false" outlineLevel="0" collapsed="false">
      <c r="B55133" s="0" t="s">
        <v>459</v>
      </c>
    </row>
    <row r="55135" customFormat="false" ht="12.8" hidden="false" customHeight="false" outlineLevel="0" collapsed="false">
      <c r="A55135" s="0" t="s">
        <v>19256</v>
      </c>
      <c r="B55135" s="0" t="str">
        <f aca="false">HYPERLINK("https://lindat.mff.cuni.cz/services/teitok/pdtc10/index.php?action=vallex&amp;frame=v-w11062hsa_1150", "vybíhat (v-w11062hsa_1150)")</f>
        <v>vybíhat (v-w11062hsa_1150)</v>
      </c>
    </row>
    <row r="55136" customFormat="false" ht="12.8" hidden="false" customHeight="false" outlineLevel="0" collapsed="false">
      <c r="B55136" s="0" t="s">
        <v>7</v>
      </c>
    </row>
    <row r="55137" customFormat="false" ht="12.8" hidden="false" customHeight="false" outlineLevel="0" collapsed="false">
      <c r="B55137" s="0" t="s">
        <v>14</v>
      </c>
    </row>
    <row r="55139" customFormat="false" ht="12.8" hidden="false" customHeight="false" outlineLevel="0" collapsed="false">
      <c r="A55139" s="0" t="s">
        <v>19257</v>
      </c>
      <c r="B55139" s="0" t="str">
        <f aca="false">HYPERLINK("https://lindat.mff.cuni.cz/services/teitok/pdtc10/index.php?action=vallex&amp;frame=v-w7780f1", "vybíjet (v-w7780f1)")</f>
        <v>vybíjet (v-w7780f1)</v>
      </c>
    </row>
    <row r="55140" customFormat="false" ht="12.8" hidden="false" customHeight="false" outlineLevel="0" collapsed="false">
      <c r="B55140" s="0" t="s">
        <v>7</v>
      </c>
    </row>
    <row r="55141" customFormat="false" ht="12.8" hidden="false" customHeight="false" outlineLevel="0" collapsed="false">
      <c r="B55141" s="0" t="s">
        <v>14</v>
      </c>
    </row>
    <row r="55143" customFormat="false" ht="12.8" hidden="false" customHeight="false" outlineLevel="0" collapsed="false">
      <c r="A55143" s="0" t="s">
        <v>19258</v>
      </c>
      <c r="B55143" s="0" t="str">
        <f aca="false">HYPERLINK("https://lindat.mff.cuni.cz/services/teitok/pdtc10/index.php?action=vallex&amp;frame=v-w7780f2_ZU", "vybíjet (v-w7780f2_ZU)")</f>
        <v>vybíjet (v-w7780f2_ZU)</v>
      </c>
    </row>
    <row r="55144" customFormat="false" ht="12.8" hidden="false" customHeight="false" outlineLevel="0" collapsed="false">
      <c r="B55144" s="0" t="s">
        <v>7</v>
      </c>
    </row>
    <row r="55145" customFormat="false" ht="12.8" hidden="false" customHeight="false" outlineLevel="0" collapsed="false">
      <c r="B55145" s="0" t="s">
        <v>14</v>
      </c>
    </row>
    <row r="55147" customFormat="false" ht="12.8" hidden="false" customHeight="false" outlineLevel="0" collapsed="false">
      <c r="A55147" s="0" t="s">
        <v>19259</v>
      </c>
      <c r="B55147" s="0" t="str">
        <f aca="false">HYPERLINK("https://lindat.mff.cuni.cz/services/teitok/pdtc10/index.php?action=vallex&amp;frame=v-w10314f2", "vybílit (v-w10314f2)")</f>
        <v>vybílit (v-w10314f2)</v>
      </c>
    </row>
    <row r="55148" customFormat="false" ht="12.8" hidden="false" customHeight="false" outlineLevel="0" collapsed="false">
      <c r="B55148" s="0" t="s">
        <v>7</v>
      </c>
    </row>
    <row r="55149" customFormat="false" ht="12.8" hidden="false" customHeight="false" outlineLevel="0" collapsed="false">
      <c r="B55149" s="0" t="s">
        <v>14</v>
      </c>
    </row>
    <row r="55151" customFormat="false" ht="12.8" hidden="false" customHeight="false" outlineLevel="0" collapsed="false">
      <c r="A55151" s="0" t="s">
        <v>19260</v>
      </c>
      <c r="B55151" s="0" t="str">
        <f aca="false">HYPERLINK("https://lindat.mff.cuni.cz/services/teitok/pdtc10/index.php?action=vallex&amp;frame=v-w7782f4_ZU", "vybírat (v-w7782f4_ZU)")</f>
        <v>vybírat (v-w7782f4_ZU)</v>
      </c>
    </row>
    <row r="55152" customFormat="false" ht="12.8" hidden="false" customHeight="false" outlineLevel="0" collapsed="false">
      <c r="B55152" s="0" t="s">
        <v>7</v>
      </c>
      <c r="C55152" s="0" t="s">
        <v>19261</v>
      </c>
      <c r="D55152" s="0" t="s">
        <v>14784</v>
      </c>
      <c r="E55152" s="0" t="s">
        <v>14784</v>
      </c>
      <c r="F55152" s="0" t="s">
        <v>14784</v>
      </c>
    </row>
    <row r="55153" customFormat="false" ht="12.8" hidden="false" customHeight="false" outlineLevel="0" collapsed="false">
      <c r="B55153" s="0" t="s">
        <v>232</v>
      </c>
      <c r="C55153" s="0" t="s">
        <v>19262</v>
      </c>
      <c r="D55153" s="0" t="s">
        <v>14786</v>
      </c>
      <c r="E55153" s="0" t="s">
        <v>14786</v>
      </c>
      <c r="F55153" s="0" t="s">
        <v>14786</v>
      </c>
    </row>
    <row r="55154" customFormat="false" ht="12.8" hidden="false" customHeight="false" outlineLevel="0" collapsed="false">
      <c r="B55154" s="0" t="s">
        <v>14787</v>
      </c>
      <c r="C55154" s="0" t="s">
        <v>19263</v>
      </c>
      <c r="D55154" s="0" t="s">
        <v>14789</v>
      </c>
      <c r="E55154" s="0" t="s">
        <v>14789</v>
      </c>
      <c r="F55154" s="0" t="s">
        <v>14789</v>
      </c>
    </row>
    <row r="55155" customFormat="false" ht="12.8" hidden="false" customHeight="false" outlineLevel="0" collapsed="false">
      <c r="B55155" s="0" t="s">
        <v>550</v>
      </c>
      <c r="C55155" s="0" t="s">
        <v>1527</v>
      </c>
    </row>
    <row r="55157" customFormat="false" ht="12.8" hidden="false" customHeight="false" outlineLevel="0" collapsed="false">
      <c r="A55157" s="0" t="s">
        <v>19260</v>
      </c>
      <c r="B55157" s="0" t="str">
        <f aca="false">HYPERLINK("https://lindat.mff.cuni.cz/services/teitok/pdtc10/index.php?action=vallex&amp;frame=v-w7782f1", "vybírat (v-w7782f1) - substituted with v-w7782f4_ZU")</f>
        <v>vybírat (v-w7782f1) - substituted with v-w7782f4_ZU</v>
      </c>
    </row>
    <row r="55158" customFormat="false" ht="12.8" hidden="false" customHeight="false" outlineLevel="0" collapsed="false">
      <c r="B55158" s="0" t="s">
        <v>7</v>
      </c>
      <c r="C55158" s="0" t="s">
        <v>1386</v>
      </c>
    </row>
    <row r="55159" customFormat="false" ht="12.8" hidden="false" customHeight="false" outlineLevel="0" collapsed="false">
      <c r="B55159" s="0" t="s">
        <v>232</v>
      </c>
      <c r="C55159" s="0" t="s">
        <v>19264</v>
      </c>
    </row>
    <row r="55160" customFormat="false" ht="12.8" hidden="false" customHeight="false" outlineLevel="0" collapsed="false">
      <c r="B55160" s="0" t="s">
        <v>14787</v>
      </c>
      <c r="C55160" s="0" t="s">
        <v>19265</v>
      </c>
    </row>
    <row r="55161" customFormat="false" ht="12.8" hidden="false" customHeight="false" outlineLevel="0" collapsed="false">
      <c r="B55161" s="0" t="s">
        <v>550</v>
      </c>
    </row>
    <row r="55163" customFormat="false" ht="12.8" hidden="false" customHeight="false" outlineLevel="0" collapsed="false">
      <c r="A55163" s="0" t="s">
        <v>19266</v>
      </c>
      <c r="B55163" s="0" t="str">
        <f aca="false">HYPERLINK("https://lindat.mff.cuni.cz/services/teitok/pdtc10/index.php?action=vallex&amp;frame=v-w7782f2", "vybírat (v-w7782f2)")</f>
        <v>vybírat (v-w7782f2)</v>
      </c>
    </row>
    <row r="55164" customFormat="false" ht="12.8" hidden="false" customHeight="false" outlineLevel="0" collapsed="false">
      <c r="B55164" s="0" t="s">
        <v>7</v>
      </c>
      <c r="C55164" s="0" t="s">
        <v>2668</v>
      </c>
    </row>
    <row r="55165" customFormat="false" ht="12.8" hidden="false" customHeight="false" outlineLevel="0" collapsed="false">
      <c r="B55165" s="0" t="s">
        <v>14</v>
      </c>
      <c r="C55165" s="0" t="s">
        <v>7856</v>
      </c>
    </row>
    <row r="55166" customFormat="false" ht="12.8" hidden="false" customHeight="false" outlineLevel="0" collapsed="false">
      <c r="B55166" s="0" t="s">
        <v>441</v>
      </c>
    </row>
    <row r="55168" customFormat="false" ht="12.8" hidden="false" customHeight="false" outlineLevel="0" collapsed="false">
      <c r="A55168" s="0" t="s">
        <v>19267</v>
      </c>
      <c r="B55168" s="0" t="str">
        <f aca="false">HYPERLINK("https://lindat.mff.cuni.cz/services/teitok/pdtc10/index.php?action=vallex&amp;frame=v-w7782f3", "vybírat (v-w7782f3)")</f>
        <v>vybírat (v-w7782f3)</v>
      </c>
    </row>
    <row r="55169" customFormat="false" ht="12.8" hidden="false" customHeight="false" outlineLevel="0" collapsed="false">
      <c r="B55169" s="0" t="s">
        <v>7</v>
      </c>
      <c r="C55169" s="0" t="s">
        <v>118</v>
      </c>
    </row>
    <row r="55170" customFormat="false" ht="12.8" hidden="false" customHeight="false" outlineLevel="0" collapsed="false">
      <c r="B55170" s="0" t="s">
        <v>14</v>
      </c>
      <c r="C55170" s="0" t="s">
        <v>625</v>
      </c>
    </row>
    <row r="55171" customFormat="false" ht="12.8" hidden="false" customHeight="false" outlineLevel="0" collapsed="false">
      <c r="B55171" s="0" t="s">
        <v>459</v>
      </c>
      <c r="C55171" s="0" t="s">
        <v>8091</v>
      </c>
    </row>
    <row r="55173" customFormat="false" ht="12.8" hidden="false" customHeight="false" outlineLevel="0" collapsed="false">
      <c r="A55173" s="0" t="s">
        <v>19268</v>
      </c>
      <c r="B55173" s="0" t="str">
        <f aca="false">HYPERLINK("https://lindat.mff.cuni.cz/services/teitok/pdtc10/index.php?action=vallex&amp;frame=v-w11050f2", "vybít (v-w11050f2)")</f>
        <v>vybít (v-w11050f2)</v>
      </c>
    </row>
    <row r="55174" customFormat="false" ht="12.8" hidden="false" customHeight="false" outlineLevel="0" collapsed="false">
      <c r="B55174" s="0" t="s">
        <v>7</v>
      </c>
      <c r="C55174" s="0" t="s">
        <v>191</v>
      </c>
      <c r="D55174" s="0" t="s">
        <v>1549</v>
      </c>
      <c r="E55174" s="0" t="s">
        <v>1550</v>
      </c>
      <c r="F55174" s="0" t="s">
        <v>1550</v>
      </c>
    </row>
    <row r="55175" customFormat="false" ht="12.8" hidden="false" customHeight="false" outlineLevel="0" collapsed="false">
      <c r="B55175" s="0" t="s">
        <v>14</v>
      </c>
      <c r="C55175" s="0" t="s">
        <v>155</v>
      </c>
      <c r="D55175" s="0" t="s">
        <v>1164</v>
      </c>
      <c r="E55175" s="0" t="s">
        <v>1551</v>
      </c>
      <c r="F55175" s="0" t="s">
        <v>1551</v>
      </c>
    </row>
    <row r="55177" customFormat="false" ht="12.8" hidden="false" customHeight="false" outlineLevel="0" collapsed="false">
      <c r="A55177" s="0" t="s">
        <v>19269</v>
      </c>
      <c r="B55177" s="0" t="str">
        <f aca="false">HYPERLINK("https://lindat.mff.cuni.cz/services/teitok/pdtc10/index.php?action=vallex&amp;frame=v-w11050f3_ZU", "vybít (v-w11050f3_ZU)")</f>
        <v>vybít (v-w11050f3_ZU)</v>
      </c>
    </row>
    <row r="55178" customFormat="false" ht="12.8" hidden="false" customHeight="false" outlineLevel="0" collapsed="false">
      <c r="B55178" s="0" t="s">
        <v>7</v>
      </c>
    </row>
    <row r="55179" customFormat="false" ht="12.8" hidden="false" customHeight="false" outlineLevel="0" collapsed="false">
      <c r="B55179" s="0" t="s">
        <v>14</v>
      </c>
    </row>
    <row r="55181" customFormat="false" ht="12.8" hidden="false" customHeight="false" outlineLevel="0" collapsed="false">
      <c r="A55181" s="0" t="s">
        <v>19270</v>
      </c>
      <c r="B55181" s="0" t="str">
        <f aca="false">HYPERLINK("https://lindat.mff.cuni.cz/services/teitok/pdtc10/index.php?action=vallex&amp;frame=v-w7783f1", "vybízet (v-w7783f1)")</f>
        <v>vybízet (v-w7783f1)</v>
      </c>
    </row>
    <row r="55182" customFormat="false" ht="12.8" hidden="false" customHeight="false" outlineLevel="0" collapsed="false">
      <c r="B55182" s="0" t="s">
        <v>7</v>
      </c>
      <c r="C55182" s="0" t="s">
        <v>19271</v>
      </c>
      <c r="D55182" s="0" t="s">
        <v>3051</v>
      </c>
      <c r="E55182" s="0" t="s">
        <v>3051</v>
      </c>
      <c r="F55182" s="0" t="s">
        <v>3051</v>
      </c>
    </row>
    <row r="55183" customFormat="false" ht="12.8" hidden="false" customHeight="false" outlineLevel="0" collapsed="false">
      <c r="B55183" s="0" t="s">
        <v>2561</v>
      </c>
      <c r="C55183" s="0" t="s">
        <v>19272</v>
      </c>
      <c r="D55183" s="0" t="s">
        <v>9767</v>
      </c>
      <c r="E55183" s="0" t="s">
        <v>9768</v>
      </c>
      <c r="F55183" s="0" t="s">
        <v>9768</v>
      </c>
    </row>
    <row r="55184" customFormat="false" ht="12.8" hidden="false" customHeight="false" outlineLevel="0" collapsed="false">
      <c r="B55184" s="0" t="s">
        <v>81</v>
      </c>
      <c r="C55184" s="0" t="s">
        <v>19273</v>
      </c>
      <c r="D55184" s="0" t="s">
        <v>9770</v>
      </c>
      <c r="E55184" s="0" t="s">
        <v>9771</v>
      </c>
      <c r="F55184" s="0" t="s">
        <v>9771</v>
      </c>
    </row>
    <row r="55186" customFormat="false" ht="12.8" hidden="false" customHeight="false" outlineLevel="0" collapsed="false">
      <c r="A55186" s="0" t="s">
        <v>19274</v>
      </c>
      <c r="B55186" s="0" t="str">
        <f aca="false">HYPERLINK("https://lindat.mff.cuni.cz/services/teitok/pdtc10/index.php?action=vallex&amp;frame=v-w7806f1", "vybýt (v-w7806f1)")</f>
        <v>vybýt (v-w7806f1)</v>
      </c>
    </row>
    <row r="55187" customFormat="false" ht="12.8" hidden="false" customHeight="false" outlineLevel="0" collapsed="false">
      <c r="B55187" s="0" t="s">
        <v>7</v>
      </c>
    </row>
    <row r="55188" customFormat="false" ht="12.8" hidden="false" customHeight="false" outlineLevel="0" collapsed="false">
      <c r="B55188" s="0" t="s">
        <v>63</v>
      </c>
    </row>
    <row r="55190" customFormat="false" ht="12.8" hidden="false" customHeight="false" outlineLevel="0" collapsed="false">
      <c r="A55190" s="0" t="s">
        <v>19275</v>
      </c>
      <c r="B55190" s="0" t="str">
        <f aca="false">HYPERLINK("https://lindat.mff.cuni.cz/services/teitok/pdtc10/index.php?action=vallex&amp;frame=v-w7773f2_ZU", "vyběhat (v-w7773f2_ZU)")</f>
        <v>vyběhat (v-w7773f2_ZU)</v>
      </c>
    </row>
    <row r="55191" customFormat="false" ht="12.8" hidden="false" customHeight="false" outlineLevel="0" collapsed="false">
      <c r="B55191" s="0" t="s">
        <v>7</v>
      </c>
    </row>
    <row r="55192" customFormat="false" ht="12.8" hidden="false" customHeight="false" outlineLevel="0" collapsed="false">
      <c r="B55192" s="0" t="s">
        <v>4100</v>
      </c>
    </row>
    <row r="55194" customFormat="false" ht="12.8" hidden="false" customHeight="false" outlineLevel="0" collapsed="false">
      <c r="A55194" s="0" t="s">
        <v>19275</v>
      </c>
      <c r="B55194" s="0" t="str">
        <f aca="false">HYPERLINK("https://lindat.mff.cuni.cz/services/teitok/pdtc10/index.php?action=vallex&amp;frame=v-w7773f1", "vyběhat (v-w7773f1) - substituted with v-w7773f2_ZU")</f>
        <v>vyběhat (v-w7773f1) - substituted with v-w7773f2_ZU</v>
      </c>
    </row>
    <row r="55195" customFormat="false" ht="12.8" hidden="false" customHeight="false" outlineLevel="0" collapsed="false">
      <c r="B55195" s="0" t="s">
        <v>7</v>
      </c>
    </row>
    <row r="55196" customFormat="false" ht="12.8" hidden="false" customHeight="false" outlineLevel="0" collapsed="false">
      <c r="B55196" s="0" t="s">
        <v>4100</v>
      </c>
    </row>
    <row r="55198" customFormat="false" ht="12.8" hidden="false" customHeight="false" outlineLevel="0" collapsed="false">
      <c r="A55198" s="0" t="s">
        <v>19276</v>
      </c>
      <c r="B55198" s="0" t="str">
        <f aca="false">HYPERLINK("https://lindat.mff.cuni.cz/services/teitok/pdtc10/index.php?action=vallex&amp;frame=v-w7773hsa_1627", "vyběhat (v-w7773hsa_1627)")</f>
        <v>vyběhat (v-w7773hsa_1627)</v>
      </c>
    </row>
    <row r="55199" customFormat="false" ht="12.8" hidden="false" customHeight="false" outlineLevel="0" collapsed="false">
      <c r="B55199" s="0" t="s">
        <v>7</v>
      </c>
    </row>
    <row r="55200" customFormat="false" ht="12.8" hidden="false" customHeight="false" outlineLevel="0" collapsed="false">
      <c r="B55200" s="0" t="s">
        <v>14</v>
      </c>
    </row>
    <row r="55202" customFormat="false" ht="12.8" hidden="false" customHeight="false" outlineLevel="0" collapsed="false">
      <c r="A55202" s="0" t="s">
        <v>19277</v>
      </c>
      <c r="B55202" s="0" t="str">
        <f aca="false">HYPERLINK("https://lindat.mff.cuni.cz/services/teitok/pdtc10/index.php?action=vallex&amp;frame=v-w7774f1", "vyběhnout (v-w7774f1)")</f>
        <v>vyběhnout (v-w7774f1)</v>
      </c>
    </row>
    <row r="55203" customFormat="false" ht="12.8" hidden="false" customHeight="false" outlineLevel="0" collapsed="false">
      <c r="B55203" s="0" t="s">
        <v>7</v>
      </c>
      <c r="C55203" s="0" t="s">
        <v>7360</v>
      </c>
      <c r="D55203" s="0" t="s">
        <v>1582</v>
      </c>
      <c r="E55203" s="0" t="s">
        <v>1582</v>
      </c>
      <c r="F55203" s="0" t="s">
        <v>1582</v>
      </c>
    </row>
    <row r="55204" customFormat="false" ht="12.8" hidden="false" customHeight="false" outlineLevel="0" collapsed="false">
      <c r="B55204" s="0" t="s">
        <v>459</v>
      </c>
      <c r="D55204" s="0" t="s">
        <v>1583</v>
      </c>
      <c r="E55204" s="0" t="s">
        <v>1583</v>
      </c>
      <c r="F55204" s="0" t="s">
        <v>1583</v>
      </c>
    </row>
    <row r="55206" customFormat="false" ht="12.8" hidden="false" customHeight="false" outlineLevel="0" collapsed="false">
      <c r="A55206" s="0" t="s">
        <v>19278</v>
      </c>
      <c r="B55206" s="0" t="str">
        <f aca="false">HYPERLINK("https://lindat.mff.cuni.cz/services/teitok/pdtc10/index.php?action=vallex&amp;frame=v-w7774hsa_334", "vyběhnout (v-w7774hsa_334)")</f>
        <v>vyběhnout (v-w7774hsa_334)</v>
      </c>
    </row>
    <row r="55207" customFormat="false" ht="12.8" hidden="false" customHeight="false" outlineLevel="0" collapsed="false">
      <c r="B55207" s="0" t="s">
        <v>7</v>
      </c>
    </row>
    <row r="55208" customFormat="false" ht="12.8" hidden="false" customHeight="false" outlineLevel="0" collapsed="false">
      <c r="B55208" s="0" t="s">
        <v>548</v>
      </c>
    </row>
    <row r="55210" customFormat="false" ht="12.8" hidden="false" customHeight="false" outlineLevel="0" collapsed="false">
      <c r="A55210" s="0" t="s">
        <v>19279</v>
      </c>
      <c r="B55210" s="0" t="str">
        <f aca="false">HYPERLINK("https://lindat.mff.cuni.cz/services/teitok/pdtc10/index.php?action=vallex&amp;frame=v-w7774hsa_252", "vyběhnout (v-w7774hsa_252)")</f>
        <v>vyběhnout (v-w7774hsa_252)</v>
      </c>
    </row>
    <row r="55211" customFormat="false" ht="12.8" hidden="false" customHeight="false" outlineLevel="0" collapsed="false">
      <c r="B55211" s="0" t="s">
        <v>7</v>
      </c>
    </row>
    <row r="55212" customFormat="false" ht="12.8" hidden="false" customHeight="false" outlineLevel="0" collapsed="false">
      <c r="B55212" s="0" t="s">
        <v>14</v>
      </c>
    </row>
    <row r="55214" customFormat="false" ht="12.8" hidden="false" customHeight="false" outlineLevel="0" collapsed="false">
      <c r="A55214" s="0" t="s">
        <v>19280</v>
      </c>
      <c r="B55214" s="0" t="str">
        <f aca="false">HYPERLINK("https://lindat.mff.cuni.cz/services/teitok/pdtc10/index.php?action=vallex&amp;frame=v-whsa_1004hsa_1005", "vycachtat se (v-whsa_1004hsa_1005)")</f>
        <v>vycachtat se (v-whsa_1004hsa_1005)</v>
      </c>
    </row>
    <row r="55215" customFormat="false" ht="12.8" hidden="false" customHeight="false" outlineLevel="0" collapsed="false">
      <c r="B55215" s="0" t="s">
        <v>7</v>
      </c>
    </row>
    <row r="55217" customFormat="false" ht="12.8" hidden="false" customHeight="false" outlineLevel="0" collapsed="false">
      <c r="A55217" s="0" t="s">
        <v>19281</v>
      </c>
      <c r="B55217" s="0" t="str">
        <f aca="false">HYPERLINK("https://lindat.mff.cuni.cz/services/teitok/pdtc10/index.php?action=vallex&amp;frame=v-w7807f1", "vycementovat (v-w7807f1)")</f>
        <v>vycementovat (v-w7807f1)</v>
      </c>
    </row>
    <row r="55218" customFormat="false" ht="12.8" hidden="false" customHeight="false" outlineLevel="0" collapsed="false">
      <c r="B55218" s="0" t="s">
        <v>7</v>
      </c>
    </row>
    <row r="55219" customFormat="false" ht="12.8" hidden="false" customHeight="false" outlineLevel="0" collapsed="false">
      <c r="B55219" s="0" t="s">
        <v>14</v>
      </c>
    </row>
    <row r="55221" customFormat="false" ht="12.8" hidden="false" customHeight="false" outlineLevel="0" collapsed="false">
      <c r="A55221" s="0" t="s">
        <v>19282</v>
      </c>
      <c r="B55221" s="0" t="str">
        <f aca="false">HYPERLINK("https://lindat.mff.cuni.cz/services/teitok/pdtc10/index.php?action=vallex&amp;frame=v-w7808f1", "vycestovat (v-w7808f1)")</f>
        <v>vycestovat (v-w7808f1)</v>
      </c>
    </row>
    <row r="55222" customFormat="false" ht="12.8" hidden="false" customHeight="false" outlineLevel="0" collapsed="false">
      <c r="B55222" s="0" t="s">
        <v>7</v>
      </c>
    </row>
    <row r="55223" customFormat="false" ht="12.8" hidden="false" customHeight="false" outlineLevel="0" collapsed="false">
      <c r="B55223" s="0" t="s">
        <v>459</v>
      </c>
    </row>
    <row r="55225" customFormat="false" ht="12.8" hidden="false" customHeight="false" outlineLevel="0" collapsed="false">
      <c r="A55225" s="0" t="s">
        <v>19283</v>
      </c>
      <c r="B55225" s="0" t="str">
        <f aca="false">HYPERLINK("https://lindat.mff.cuni.cz/services/teitok/pdtc10/index.php?action=vallex&amp;frame=v-whsa_474hsa_475", "vychladit (v-whsa_474hsa_475)")</f>
        <v>vychladit (v-whsa_474hsa_475)</v>
      </c>
    </row>
    <row r="55226" customFormat="false" ht="12.8" hidden="false" customHeight="false" outlineLevel="0" collapsed="false">
      <c r="B55226" s="0" t="s">
        <v>7</v>
      </c>
    </row>
    <row r="55227" customFormat="false" ht="12.8" hidden="false" customHeight="false" outlineLevel="0" collapsed="false">
      <c r="B55227" s="0" t="s">
        <v>14</v>
      </c>
    </row>
    <row r="55229" customFormat="false" ht="12.8" hidden="false" customHeight="false" outlineLevel="0" collapsed="false">
      <c r="A55229" s="0" t="s">
        <v>19284</v>
      </c>
      <c r="B55229" s="0" t="str">
        <f aca="false">HYPERLINK("https://lindat.mff.cuni.cz/services/teitok/pdtc10/index.php?action=vallex&amp;frame=v-w7952f1", "vychladnout (v-w7952f1)")</f>
        <v>vychladnout (v-w7952f1)</v>
      </c>
    </row>
    <row r="55230" customFormat="false" ht="12.8" hidden="false" customHeight="false" outlineLevel="0" collapsed="false">
      <c r="B55230" s="0" t="s">
        <v>7</v>
      </c>
      <c r="C55230" s="0" t="s">
        <v>4651</v>
      </c>
    </row>
    <row r="55232" customFormat="false" ht="12.8" hidden="false" customHeight="false" outlineLevel="0" collapsed="false">
      <c r="A55232" s="0" t="s">
        <v>19285</v>
      </c>
      <c r="B55232" s="0" t="str">
        <f aca="false">HYPERLINK("https://lindat.mff.cuni.cz/services/teitok/pdtc10/index.php?action=vallex&amp;frame=v-w7952f2_ZU", "vychladnout (v-w7952f2_ZU)")</f>
        <v>vychladnout (v-w7952f2_ZU)</v>
      </c>
    </row>
    <row r="55233" customFormat="false" ht="12.8" hidden="false" customHeight="false" outlineLevel="0" collapsed="false">
      <c r="B55233" s="0" t="s">
        <v>7</v>
      </c>
    </row>
    <row r="55235" customFormat="false" ht="12.8" hidden="false" customHeight="false" outlineLevel="0" collapsed="false">
      <c r="A55235" s="0" t="s">
        <v>19286</v>
      </c>
      <c r="B55235" s="0" t="str">
        <f aca="false">HYPERLINK("https://lindat.mff.cuni.cz/services/teitok/pdtc10/index.php?action=vallex&amp;frame=v-w11337hsa_26", "vychloubat se (v-w11337hsa_26)")</f>
        <v>vychloubat se (v-w11337hsa_26)</v>
      </c>
    </row>
    <row r="55236" customFormat="false" ht="12.8" hidden="false" customHeight="false" outlineLevel="0" collapsed="false">
      <c r="B55236" s="0" t="s">
        <v>7</v>
      </c>
      <c r="C55236" s="0" t="s">
        <v>3918</v>
      </c>
      <c r="D55236" s="0" t="s">
        <v>194</v>
      </c>
      <c r="E55236" s="0" t="s">
        <v>194</v>
      </c>
      <c r="F55236" s="0" t="s">
        <v>194</v>
      </c>
    </row>
    <row r="55237" customFormat="false" ht="12.8" hidden="false" customHeight="false" outlineLevel="0" collapsed="false">
      <c r="B55237" s="0" t="s">
        <v>3934</v>
      </c>
      <c r="C55237" s="0" t="s">
        <v>1315</v>
      </c>
      <c r="D55237" s="0" t="s">
        <v>24</v>
      </c>
      <c r="E55237" s="0" t="s">
        <v>24</v>
      </c>
      <c r="F55237" s="0" t="s">
        <v>24</v>
      </c>
    </row>
    <row r="55238" customFormat="false" ht="12.8" hidden="false" customHeight="false" outlineLevel="0" collapsed="false">
      <c r="B55238" s="0" t="s">
        <v>293</v>
      </c>
      <c r="C55238" s="0" t="s">
        <v>1165</v>
      </c>
      <c r="D55238" s="0" t="s">
        <v>1165</v>
      </c>
      <c r="E55238" s="0" t="s">
        <v>1165</v>
      </c>
      <c r="F55238" s="0" t="s">
        <v>1165</v>
      </c>
    </row>
    <row r="55240" customFormat="false" ht="12.8" hidden="false" customHeight="false" outlineLevel="0" collapsed="false">
      <c r="A55240" s="0" t="s">
        <v>19286</v>
      </c>
      <c r="B55240" s="0" t="str">
        <f aca="false">HYPERLINK("https://lindat.mff.cuni.cz/services/teitok/pdtc10/index.php?action=vallex&amp;frame=v-w11337f1", "vychloubat se (v-w11337f1) - substituted with v-w11337hsa_26")</f>
        <v>vychloubat se (v-w11337f1) - substituted with v-w11337hsa_26</v>
      </c>
    </row>
    <row r="55241" customFormat="false" ht="12.8" hidden="false" customHeight="false" outlineLevel="0" collapsed="false">
      <c r="B55241" s="0" t="s">
        <v>7</v>
      </c>
      <c r="C55241" s="0" t="s">
        <v>1263</v>
      </c>
    </row>
    <row r="55242" customFormat="false" ht="12.8" hidden="false" customHeight="false" outlineLevel="0" collapsed="false">
      <c r="B55242" s="0" t="s">
        <v>3934</v>
      </c>
      <c r="C55242" s="0" t="s">
        <v>1289</v>
      </c>
    </row>
    <row r="55243" customFormat="false" ht="12.8" hidden="false" customHeight="false" outlineLevel="0" collapsed="false">
      <c r="B55243" s="0" t="s">
        <v>293</v>
      </c>
      <c r="C55243" s="0" t="s">
        <v>1165</v>
      </c>
    </row>
    <row r="55245" customFormat="false" ht="12.8" hidden="false" customHeight="false" outlineLevel="0" collapsed="false">
      <c r="A55245" s="0" t="s">
        <v>19287</v>
      </c>
      <c r="B55245" s="0" t="str">
        <f aca="false">HYPERLINK("https://lindat.mff.cuni.cz/services/teitok/pdtc10/index.php?action=vallex&amp;frame=v-w7954f1", "vychodit (v-w7954f1)")</f>
        <v>vychodit (v-w7954f1)</v>
      </c>
    </row>
    <row r="55246" customFormat="false" ht="12.8" hidden="false" customHeight="false" outlineLevel="0" collapsed="false">
      <c r="B55246" s="0" t="s">
        <v>7</v>
      </c>
    </row>
    <row r="55247" customFormat="false" ht="12.8" hidden="false" customHeight="false" outlineLevel="0" collapsed="false">
      <c r="B55247" s="0" t="s">
        <v>14</v>
      </c>
    </row>
    <row r="55249" customFormat="false" ht="12.8" hidden="false" customHeight="false" outlineLevel="0" collapsed="false">
      <c r="A55249" s="0" t="s">
        <v>19288</v>
      </c>
      <c r="B55249" s="0" t="str">
        <f aca="false">HYPERLINK("https://lindat.mff.cuni.cz/services/teitok/pdtc10/index.php?action=vallex&amp;frame=v-w7956f2", "vychovat (v-w7956f2)")</f>
        <v>vychovat (v-w7956f2)</v>
      </c>
    </row>
    <row r="55250" customFormat="false" ht="12.8" hidden="false" customHeight="false" outlineLevel="0" collapsed="false">
      <c r="B55250" s="0" t="s">
        <v>7</v>
      </c>
    </row>
    <row r="55251" customFormat="false" ht="12.8" hidden="false" customHeight="false" outlineLevel="0" collapsed="false">
      <c r="B55251" s="0" t="s">
        <v>14</v>
      </c>
    </row>
    <row r="55252" customFormat="false" ht="12.8" hidden="false" customHeight="false" outlineLevel="0" collapsed="false">
      <c r="B55252" s="0" t="s">
        <v>35</v>
      </c>
    </row>
    <row r="55254" customFormat="false" ht="12.8" hidden="false" customHeight="false" outlineLevel="0" collapsed="false">
      <c r="A55254" s="0" t="s">
        <v>19289</v>
      </c>
      <c r="B55254" s="0" t="str">
        <f aca="false">HYPERLINK("https://lindat.mff.cuni.cz/services/teitok/pdtc10/index.php?action=vallex&amp;frame=v-w7956f1", "vychovat (v-w7956f1)")</f>
        <v>vychovat (v-w7956f1)</v>
      </c>
    </row>
    <row r="55255" customFormat="false" ht="12.8" hidden="false" customHeight="false" outlineLevel="0" collapsed="false">
      <c r="B55255" s="0" t="s">
        <v>7</v>
      </c>
      <c r="C55255" s="0" t="s">
        <v>191</v>
      </c>
      <c r="D55255" s="0" t="s">
        <v>8548</v>
      </c>
      <c r="E55255" s="0" t="s">
        <v>8548</v>
      </c>
      <c r="F55255" s="0" t="s">
        <v>8548</v>
      </c>
    </row>
    <row r="55256" customFormat="false" ht="12.8" hidden="false" customHeight="false" outlineLevel="0" collapsed="false">
      <c r="B55256" s="0" t="s">
        <v>14</v>
      </c>
      <c r="C55256" s="0" t="s">
        <v>33</v>
      </c>
      <c r="D55256" s="0" t="s">
        <v>4212</v>
      </c>
      <c r="E55256" s="0" t="s">
        <v>4212</v>
      </c>
      <c r="F55256" s="0" t="s">
        <v>4212</v>
      </c>
    </row>
    <row r="55258" customFormat="false" ht="12.8" hidden="false" customHeight="false" outlineLevel="0" collapsed="false">
      <c r="A55258" s="0" t="s">
        <v>19290</v>
      </c>
      <c r="B55258" s="0" t="str">
        <f aca="false">HYPERLINK("https://lindat.mff.cuni.cz/services/teitok/pdtc10/index.php?action=vallex&amp;frame=v-w7958f2", "vychovávat (v-w7958f2)")</f>
        <v>vychovávat (v-w7958f2)</v>
      </c>
    </row>
    <row r="55259" customFormat="false" ht="12.8" hidden="false" customHeight="false" outlineLevel="0" collapsed="false">
      <c r="B55259" s="0" t="s">
        <v>7</v>
      </c>
    </row>
    <row r="55260" customFormat="false" ht="12.8" hidden="false" customHeight="false" outlineLevel="0" collapsed="false">
      <c r="B55260" s="0" t="s">
        <v>14</v>
      </c>
    </row>
    <row r="55261" customFormat="false" ht="12.8" hidden="false" customHeight="false" outlineLevel="0" collapsed="false">
      <c r="B55261" s="0" t="s">
        <v>35</v>
      </c>
    </row>
    <row r="55263" customFormat="false" ht="12.8" hidden="false" customHeight="false" outlineLevel="0" collapsed="false">
      <c r="A55263" s="0" t="s">
        <v>19291</v>
      </c>
      <c r="B55263" s="0" t="str">
        <f aca="false">HYPERLINK("https://lindat.mff.cuni.cz/services/teitok/pdtc10/index.php?action=vallex&amp;frame=v-w7958f1", "vychovávat (v-w7958f1)")</f>
        <v>vychovávat (v-w7958f1)</v>
      </c>
    </row>
    <row r="55264" customFormat="false" ht="12.8" hidden="false" customHeight="false" outlineLevel="0" collapsed="false">
      <c r="B55264" s="0" t="s">
        <v>7</v>
      </c>
    </row>
    <row r="55265" customFormat="false" ht="12.8" hidden="false" customHeight="false" outlineLevel="0" collapsed="false">
      <c r="B55265" s="0" t="s">
        <v>14</v>
      </c>
      <c r="C55265" s="0" t="s">
        <v>384</v>
      </c>
    </row>
    <row r="55267" customFormat="false" ht="12.8" hidden="false" customHeight="false" outlineLevel="0" collapsed="false">
      <c r="A55267" s="0" t="s">
        <v>19292</v>
      </c>
      <c r="B55267" s="0" t="str">
        <f aca="false">HYPERLINK("https://lindat.mff.cuni.cz/services/teitok/pdtc10/index.php?action=vallex&amp;frame=v-w7959f1", "vychrlit (v-w7959f1)")</f>
        <v>vychrlit (v-w7959f1)</v>
      </c>
    </row>
    <row r="55268" customFormat="false" ht="12.8" hidden="false" customHeight="false" outlineLevel="0" collapsed="false">
      <c r="B55268" s="0" t="s">
        <v>7</v>
      </c>
      <c r="C55268" s="0" t="s">
        <v>191</v>
      </c>
    </row>
    <row r="55269" customFormat="false" ht="12.8" hidden="false" customHeight="false" outlineLevel="0" collapsed="false">
      <c r="B55269" s="0" t="s">
        <v>3818</v>
      </c>
      <c r="C55269" s="0" t="s">
        <v>47</v>
      </c>
    </row>
    <row r="55270" customFormat="false" ht="12.8" hidden="false" customHeight="false" outlineLevel="0" collapsed="false">
      <c r="B55270" s="0" t="s">
        <v>4101</v>
      </c>
    </row>
    <row r="55272" customFormat="false" ht="12.8" hidden="false" customHeight="false" outlineLevel="0" collapsed="false">
      <c r="A55272" s="0" t="s">
        <v>19293</v>
      </c>
      <c r="B55272" s="0" t="str">
        <f aca="false">HYPERLINK("https://lindat.mff.cuni.cz/services/teitok/pdtc10/index.php?action=vallex&amp;frame=v-w7959f2_ZU", "vychrlit (v-w7959f2_ZU)")</f>
        <v>vychrlit (v-w7959f2_ZU)</v>
      </c>
    </row>
    <row r="55273" customFormat="false" ht="12.8" hidden="false" customHeight="false" outlineLevel="0" collapsed="false">
      <c r="B55273" s="0" t="s">
        <v>7</v>
      </c>
      <c r="C55273" s="0" t="s">
        <v>88</v>
      </c>
    </row>
    <row r="55274" customFormat="false" ht="12.8" hidden="false" customHeight="false" outlineLevel="0" collapsed="false">
      <c r="B55274" s="0" t="s">
        <v>14</v>
      </c>
      <c r="C55274" s="0" t="s">
        <v>120</v>
      </c>
    </row>
    <row r="55276" customFormat="false" ht="12.8" hidden="false" customHeight="false" outlineLevel="0" collapsed="false">
      <c r="A55276" s="0" t="s">
        <v>19294</v>
      </c>
      <c r="B55276" s="0" t="str">
        <f aca="false">HYPERLINK("https://lindat.mff.cuni.cz/services/teitok/pdtc10/index.php?action=vallex&amp;frame=v-w7960f1", "vychutnat (v-w7960f1)")</f>
        <v>vychutnat (v-w7960f1)</v>
      </c>
    </row>
    <row r="55277" customFormat="false" ht="12.8" hidden="false" customHeight="false" outlineLevel="0" collapsed="false">
      <c r="B55277" s="0" t="s">
        <v>7</v>
      </c>
      <c r="D55277" s="0" t="s">
        <v>2199</v>
      </c>
      <c r="E55277" s="0" t="s">
        <v>2199</v>
      </c>
      <c r="F55277" s="0" t="s">
        <v>2199</v>
      </c>
    </row>
    <row r="55278" customFormat="false" ht="12.8" hidden="false" customHeight="false" outlineLevel="0" collapsed="false">
      <c r="B55278" s="0" t="s">
        <v>54</v>
      </c>
      <c r="D55278" s="0" t="s">
        <v>2201</v>
      </c>
      <c r="E55278" s="0" t="s">
        <v>2201</v>
      </c>
      <c r="F55278" s="0" t="s">
        <v>2201</v>
      </c>
    </row>
    <row r="55280" customFormat="false" ht="12.8" hidden="false" customHeight="false" outlineLevel="0" collapsed="false">
      <c r="A55280" s="0" t="s">
        <v>19295</v>
      </c>
      <c r="B55280" s="0" t="str">
        <f aca="false">HYPERLINK("https://lindat.mff.cuni.cz/services/teitok/pdtc10/index.php?action=vallex&amp;frame=v-w7961f1", "vychutnat si (v-w7961f1)")</f>
        <v>vychutnat si (v-w7961f1)</v>
      </c>
    </row>
    <row r="55281" customFormat="false" ht="12.8" hidden="false" customHeight="false" outlineLevel="0" collapsed="false">
      <c r="B55281" s="0" t="s">
        <v>7</v>
      </c>
      <c r="C55281" s="0" t="s">
        <v>1226</v>
      </c>
      <c r="D55281" s="0" t="s">
        <v>2199</v>
      </c>
      <c r="E55281" s="0" t="s">
        <v>2199</v>
      </c>
      <c r="F55281" s="0" t="s">
        <v>17323</v>
      </c>
    </row>
    <row r="55282" customFormat="false" ht="12.8" hidden="false" customHeight="false" outlineLevel="0" collapsed="false">
      <c r="B55282" s="0" t="s">
        <v>172</v>
      </c>
      <c r="C55282" s="0" t="s">
        <v>3860</v>
      </c>
      <c r="D55282" s="0" t="s">
        <v>2201</v>
      </c>
      <c r="E55282" s="0" t="s">
        <v>2201</v>
      </c>
      <c r="F55282" s="0" t="s">
        <v>17325</v>
      </c>
    </row>
    <row r="55284" customFormat="false" ht="12.8" hidden="false" customHeight="false" outlineLevel="0" collapsed="false">
      <c r="A55284" s="0" t="s">
        <v>19296</v>
      </c>
      <c r="B55284" s="0" t="str">
        <f aca="false">HYPERLINK("https://lindat.mff.cuni.cz/services/teitok/pdtc10/index.php?action=vallex&amp;frame=v-w11310f1", "vychutnávat si (v-w11310f1)")</f>
        <v>vychutnávat si (v-w11310f1)</v>
      </c>
    </row>
    <row r="55285" customFormat="false" ht="12.8" hidden="false" customHeight="false" outlineLevel="0" collapsed="false">
      <c r="B55285" s="0" t="s">
        <v>7</v>
      </c>
      <c r="C55285" s="0" t="s">
        <v>2797</v>
      </c>
      <c r="D55285" s="0" t="s">
        <v>2199</v>
      </c>
      <c r="E55285" s="0" t="s">
        <v>2199</v>
      </c>
      <c r="F55285" s="0" t="s">
        <v>17323</v>
      </c>
    </row>
    <row r="55286" customFormat="false" ht="12.8" hidden="false" customHeight="false" outlineLevel="0" collapsed="false">
      <c r="B55286" s="0" t="s">
        <v>172</v>
      </c>
      <c r="C55286" s="0" t="s">
        <v>342</v>
      </c>
      <c r="D55286" s="0" t="s">
        <v>2201</v>
      </c>
      <c r="E55286" s="0" t="s">
        <v>2201</v>
      </c>
      <c r="F55286" s="0" t="s">
        <v>17325</v>
      </c>
    </row>
    <row r="55288" customFormat="false" ht="12.8" hidden="false" customHeight="false" outlineLevel="0" collapsed="false">
      <c r="A55288" s="0" t="s">
        <v>19297</v>
      </c>
      <c r="B55288" s="0" t="str">
        <f aca="false">HYPERLINK("https://lindat.mff.cuni.cz/services/teitok/pdtc10/index.php?action=vallex&amp;frame=v-w11310hsa_1233", "vychutnávat si (v-w11310hsa_1233)")</f>
        <v>vychutnávat si (v-w11310hsa_1233)</v>
      </c>
    </row>
    <row r="55289" customFormat="false" ht="12.8" hidden="false" customHeight="false" outlineLevel="0" collapsed="false">
      <c r="B55289" s="0" t="s">
        <v>7</v>
      </c>
    </row>
    <row r="55290" customFormat="false" ht="12.8" hidden="false" customHeight="false" outlineLevel="0" collapsed="false">
      <c r="B55290" s="0" t="s">
        <v>14</v>
      </c>
    </row>
    <row r="55292" customFormat="false" ht="12.8" hidden="false" customHeight="false" outlineLevel="0" collapsed="false">
      <c r="A55292" s="0" t="s">
        <v>19298</v>
      </c>
      <c r="B55292" s="0" t="str">
        <f aca="false">HYPERLINK("https://lindat.mff.cuni.cz/services/teitok/pdtc10/index.php?action=vallex&amp;frame=v-w7963f1", "vychvalovat (v-w7963f1)")</f>
        <v>vychvalovat (v-w7963f1)</v>
      </c>
    </row>
    <row r="55293" customFormat="false" ht="12.8" hidden="false" customHeight="false" outlineLevel="0" collapsed="false">
      <c r="B55293" s="0" t="s">
        <v>7</v>
      </c>
      <c r="C55293" s="0" t="s">
        <v>126</v>
      </c>
      <c r="D55293" s="0" t="s">
        <v>1261</v>
      </c>
      <c r="E55293" s="0" t="s">
        <v>1261</v>
      </c>
      <c r="F55293" s="0" t="s">
        <v>1261</v>
      </c>
    </row>
    <row r="55294" customFormat="false" ht="12.8" hidden="false" customHeight="false" outlineLevel="0" collapsed="false">
      <c r="B55294" s="0" t="s">
        <v>9059</v>
      </c>
      <c r="C55294" s="0" t="s">
        <v>24</v>
      </c>
      <c r="D55294" s="0" t="s">
        <v>1262</v>
      </c>
      <c r="E55294" s="0" t="s">
        <v>1262</v>
      </c>
      <c r="F55294" s="0" t="s">
        <v>1262</v>
      </c>
    </row>
    <row r="55296" customFormat="false" ht="12.8" hidden="false" customHeight="false" outlineLevel="0" collapsed="false">
      <c r="A55296" s="0" t="s">
        <v>19299</v>
      </c>
      <c r="B55296" s="0" t="str">
        <f aca="false">HYPERLINK("https://lindat.mff.cuni.cz/services/teitok/pdtc10/index.php?action=vallex&amp;frame=v-whsa_691f1_ZU", "vychylovat se (v-whsa_691f1_ZU)")</f>
        <v>vychylovat se (v-whsa_691f1_ZU)</v>
      </c>
    </row>
    <row r="55297" customFormat="false" ht="12.8" hidden="false" customHeight="false" outlineLevel="0" collapsed="false">
      <c r="B55297" s="0" t="s">
        <v>7</v>
      </c>
      <c r="D55297" s="0" t="s">
        <v>3954</v>
      </c>
      <c r="E55297" s="0" t="s">
        <v>3954</v>
      </c>
      <c r="F55297" s="0" t="s">
        <v>3954</v>
      </c>
    </row>
    <row r="55299" customFormat="false" ht="12.8" hidden="false" customHeight="false" outlineLevel="0" collapsed="false">
      <c r="A55299" s="0" t="s">
        <v>19299</v>
      </c>
      <c r="B55299" s="0" t="str">
        <f aca="false">HYPERLINK("https://lindat.mff.cuni.cz/services/teitok/pdtc10/index.php?action=vallex&amp;frame=v-whsa_691hsa_692", "vychylovat se (v-whsa_691hsa_692) - substituted with v-whsa_691f1_ZU")</f>
        <v>vychylovat se (v-whsa_691hsa_692) - substituted with v-whsa_691f1_ZU</v>
      </c>
    </row>
    <row r="55300" customFormat="false" ht="12.8" hidden="false" customHeight="false" outlineLevel="0" collapsed="false">
      <c r="B55300" s="0" t="s">
        <v>7</v>
      </c>
    </row>
    <row r="55302" customFormat="false" ht="12.8" hidden="false" customHeight="false" outlineLevel="0" collapsed="false">
      <c r="A55302" s="0" t="s">
        <v>19300</v>
      </c>
      <c r="B55302" s="0" t="str">
        <f aca="false">HYPERLINK("https://lindat.mff.cuni.cz/services/teitok/pdtc10/index.php?action=vallex&amp;frame=v-w7965f1", "vychytat (v-w7965f1)")</f>
        <v>vychytat (v-w7965f1)</v>
      </c>
    </row>
    <row r="55303" customFormat="false" ht="12.8" hidden="false" customHeight="false" outlineLevel="0" collapsed="false">
      <c r="B55303" s="0" t="s">
        <v>7</v>
      </c>
    </row>
    <row r="55304" customFormat="false" ht="12.8" hidden="false" customHeight="false" outlineLevel="0" collapsed="false">
      <c r="B55304" s="0" t="s">
        <v>14</v>
      </c>
    </row>
    <row r="55306" customFormat="false" ht="12.8" hidden="false" customHeight="false" outlineLevel="0" collapsed="false">
      <c r="A55306" s="0" t="s">
        <v>19301</v>
      </c>
      <c r="B55306" s="0" t="str">
        <f aca="false">HYPERLINK("https://lindat.mff.cuni.cz/services/teitok/pdtc10/index.php?action=vallex&amp;frame=v-w7965f2", "vychytat (v-w7965f2)")</f>
        <v>vychytat (v-w7965f2)</v>
      </c>
    </row>
    <row r="55307" customFormat="false" ht="12.8" hidden="false" customHeight="false" outlineLevel="0" collapsed="false">
      <c r="B55307" s="0" t="s">
        <v>7</v>
      </c>
    </row>
    <row r="55308" customFormat="false" ht="12.8" hidden="false" customHeight="false" outlineLevel="0" collapsed="false">
      <c r="B55308" s="0" t="s">
        <v>14</v>
      </c>
    </row>
    <row r="55310" customFormat="false" ht="12.8" hidden="false" customHeight="false" outlineLevel="0" collapsed="false">
      <c r="A55310" s="0" t="s">
        <v>19302</v>
      </c>
      <c r="B55310" s="0" t="str">
        <f aca="false">HYPERLINK("https://lindat.mff.cuni.cz/services/teitok/pdtc10/index.php?action=vallex&amp;frame=v-w7951f12", "vycházet (v-w7951f12)")</f>
        <v>vycházet (v-w7951f12)</v>
      </c>
    </row>
    <row r="55311" customFormat="false" ht="12.8" hidden="false" customHeight="false" outlineLevel="0" collapsed="false">
      <c r="B55311" s="0" t="s">
        <v>265</v>
      </c>
    </row>
    <row r="55312" customFormat="false" ht="12.8" hidden="false" customHeight="false" outlineLevel="0" collapsed="false">
      <c r="B55312" s="0" t="s">
        <v>19303</v>
      </c>
    </row>
    <row r="55314" customFormat="false" ht="12.8" hidden="false" customHeight="false" outlineLevel="0" collapsed="false">
      <c r="A55314" s="0" t="s">
        <v>19304</v>
      </c>
      <c r="B55314" s="0" t="str">
        <f aca="false">HYPERLINK("https://lindat.mff.cuni.cz/services/teitok/pdtc10/index.php?action=vallex&amp;frame=v-w7951f14", "vycházet (v-w7951f14)")</f>
        <v>vycházet (v-w7951f14)</v>
      </c>
    </row>
    <row r="55315" customFormat="false" ht="12.8" hidden="false" customHeight="false" outlineLevel="0" collapsed="false">
      <c r="B55315" s="0" t="s">
        <v>7</v>
      </c>
    </row>
    <row r="55316" customFormat="false" ht="12.8" hidden="false" customHeight="false" outlineLevel="0" collapsed="false">
      <c r="B55316" s="0" t="s">
        <v>14</v>
      </c>
    </row>
    <row r="55318" customFormat="false" ht="12.8" hidden="false" customHeight="false" outlineLevel="0" collapsed="false">
      <c r="A55318" s="0" t="s">
        <v>19305</v>
      </c>
      <c r="B55318" s="0" t="str">
        <f aca="false">HYPERLINK("https://lindat.mff.cuni.cz/services/teitok/pdtc10/index.php?action=vallex&amp;frame=v-w7951f17", "vycházet (v-w7951f17)")</f>
        <v>vycházet (v-w7951f17)</v>
      </c>
    </row>
    <row r="55319" customFormat="false" ht="12.8" hidden="false" customHeight="false" outlineLevel="0" collapsed="false">
      <c r="B55319" s="0" t="s">
        <v>7</v>
      </c>
      <c r="D55319" s="0" t="s">
        <v>16716</v>
      </c>
      <c r="E55319" s="0" t="s">
        <v>16716</v>
      </c>
      <c r="F55319" s="0" t="s">
        <v>16716</v>
      </c>
    </row>
    <row r="55320" customFormat="false" ht="12.8" hidden="false" customHeight="false" outlineLevel="0" collapsed="false">
      <c r="B55320" s="0" t="s">
        <v>41</v>
      </c>
      <c r="D55320" s="0" t="s">
        <v>19306</v>
      </c>
      <c r="E55320" s="0" t="s">
        <v>19306</v>
      </c>
      <c r="F55320" s="0" t="s">
        <v>19306</v>
      </c>
    </row>
    <row r="55322" customFormat="false" ht="12.8" hidden="false" customHeight="false" outlineLevel="0" collapsed="false">
      <c r="A55322" s="0" t="s">
        <v>19307</v>
      </c>
      <c r="B55322" s="0" t="str">
        <f aca="false">HYPERLINK("https://lindat.mff.cuni.cz/services/teitok/pdtc10/index.php?action=vallex&amp;frame=v-w7951f13", "vycházet (v-w7951f13)")</f>
        <v>vycházet (v-w7951f13)</v>
      </c>
    </row>
    <row r="55323" customFormat="false" ht="12.8" hidden="false" customHeight="false" outlineLevel="0" collapsed="false">
      <c r="B55323" s="0" t="s">
        <v>7</v>
      </c>
    </row>
    <row r="55324" customFormat="false" ht="12.8" hidden="false" customHeight="false" outlineLevel="0" collapsed="false">
      <c r="B55324" s="0" t="s">
        <v>41</v>
      </c>
    </row>
    <row r="55326" customFormat="false" ht="12.8" hidden="false" customHeight="false" outlineLevel="0" collapsed="false">
      <c r="A55326" s="0" t="s">
        <v>19308</v>
      </c>
      <c r="B55326" s="0" t="str">
        <f aca="false">HYPERLINK("https://lindat.mff.cuni.cz/services/teitok/pdtc10/index.php?action=vallex&amp;frame=v-w7951f8", "vycházet (v-w7951f8)")</f>
        <v>vycházet (v-w7951f8)</v>
      </c>
    </row>
    <row r="55327" customFormat="false" ht="12.8" hidden="false" customHeight="false" outlineLevel="0" collapsed="false">
      <c r="B55327" s="0" t="s">
        <v>7</v>
      </c>
    </row>
    <row r="55328" customFormat="false" ht="12.8" hidden="false" customHeight="false" outlineLevel="0" collapsed="false">
      <c r="B55328" s="0" t="s">
        <v>548</v>
      </c>
    </row>
    <row r="55330" customFormat="false" ht="12.8" hidden="false" customHeight="false" outlineLevel="0" collapsed="false">
      <c r="A55330" s="0" t="s">
        <v>19309</v>
      </c>
      <c r="B55330" s="0" t="str">
        <f aca="false">HYPERLINK("https://lindat.mff.cuni.cz/services/teitok/pdtc10/index.php?action=vallex&amp;frame=v-w7951f4", "vycházet (v-w7951f4)")</f>
        <v>vycházet (v-w7951f4)</v>
      </c>
    </row>
    <row r="55331" customFormat="false" ht="12.8" hidden="false" customHeight="false" outlineLevel="0" collapsed="false">
      <c r="B55331" s="0" t="s">
        <v>7</v>
      </c>
      <c r="C55331" s="0" t="s">
        <v>10720</v>
      </c>
      <c r="D55331" s="0" t="s">
        <v>9818</v>
      </c>
      <c r="E55331" s="0" t="s">
        <v>9818</v>
      </c>
      <c r="F55331" s="0" t="s">
        <v>9818</v>
      </c>
    </row>
    <row r="55332" customFormat="false" ht="12.8" hidden="false" customHeight="false" outlineLevel="0" collapsed="false">
      <c r="B55332" s="0" t="s">
        <v>1490</v>
      </c>
      <c r="C55332" s="0" t="s">
        <v>19310</v>
      </c>
      <c r="D55332" s="0" t="s">
        <v>9820</v>
      </c>
      <c r="E55332" s="0" t="s">
        <v>9820</v>
      </c>
      <c r="F55332" s="0" t="s">
        <v>9820</v>
      </c>
    </row>
    <row r="55334" customFormat="false" ht="12.8" hidden="false" customHeight="false" outlineLevel="0" collapsed="false">
      <c r="A55334" s="0" t="s">
        <v>19311</v>
      </c>
      <c r="B55334" s="0" t="str">
        <f aca="false">HYPERLINK("https://lindat.mff.cuni.cz/services/teitok/pdtc10/index.php?action=vallex&amp;frame=v-w7951f1", "vycházet (v-w7951f1)")</f>
        <v>vycházet (v-w7951f1)</v>
      </c>
    </row>
    <row r="55335" customFormat="false" ht="12.8" hidden="false" customHeight="false" outlineLevel="0" collapsed="false">
      <c r="B55335" s="0" t="s">
        <v>7</v>
      </c>
      <c r="C55335" s="0" t="s">
        <v>19312</v>
      </c>
      <c r="D55335" s="0" t="s">
        <v>9818</v>
      </c>
      <c r="E55335" s="0" t="s">
        <v>9818</v>
      </c>
      <c r="F55335" s="0" t="s">
        <v>9818</v>
      </c>
    </row>
    <row r="55336" customFormat="false" ht="12.8" hidden="false" customHeight="false" outlineLevel="0" collapsed="false">
      <c r="B55336" s="0" t="s">
        <v>227</v>
      </c>
      <c r="C55336" s="0" t="s">
        <v>19313</v>
      </c>
      <c r="D55336" s="0" t="s">
        <v>9820</v>
      </c>
      <c r="E55336" s="0" t="s">
        <v>9820</v>
      </c>
      <c r="F55336" s="0" t="s">
        <v>9820</v>
      </c>
    </row>
    <row r="55338" customFormat="false" ht="12.8" hidden="false" customHeight="false" outlineLevel="0" collapsed="false">
      <c r="A55338" s="0" t="s">
        <v>19314</v>
      </c>
      <c r="B55338" s="0" t="str">
        <f aca="false">HYPERLINK("https://lindat.mff.cuni.cz/services/teitok/pdtc10/index.php?action=vallex&amp;frame=v-w7951f11", "vycházet (v-w7951f11)")</f>
        <v>vycházet (v-w7951f11)</v>
      </c>
    </row>
    <row r="55339" customFormat="false" ht="12.8" hidden="false" customHeight="false" outlineLevel="0" collapsed="false">
      <c r="B55339" s="0" t="s">
        <v>7</v>
      </c>
      <c r="C55339" s="0" t="s">
        <v>358</v>
      </c>
    </row>
    <row r="55340" customFormat="false" ht="12.8" hidden="false" customHeight="false" outlineLevel="0" collapsed="false">
      <c r="B55340" s="0" t="s">
        <v>227</v>
      </c>
    </row>
    <row r="55341" customFormat="false" ht="12.8" hidden="false" customHeight="false" outlineLevel="0" collapsed="false">
      <c r="B55341" s="0" t="s">
        <v>474</v>
      </c>
    </row>
    <row r="55342" customFormat="false" ht="12.8" hidden="false" customHeight="false" outlineLevel="0" collapsed="false">
      <c r="B55342" s="0" t="s">
        <v>2406</v>
      </c>
    </row>
    <row r="55344" customFormat="false" ht="12.8" hidden="false" customHeight="false" outlineLevel="0" collapsed="false">
      <c r="A55344" s="0" t="s">
        <v>19315</v>
      </c>
      <c r="B55344" s="0" t="str">
        <f aca="false">HYPERLINK("https://lindat.mff.cuni.cz/services/teitok/pdtc10/index.php?action=vallex&amp;frame=v-w7951f16", "vycházet (v-w7951f16)")</f>
        <v>vycházet (v-w7951f16)</v>
      </c>
    </row>
    <row r="55345" customFormat="false" ht="12.8" hidden="false" customHeight="false" outlineLevel="0" collapsed="false">
      <c r="B55345" s="0" t="s">
        <v>7</v>
      </c>
    </row>
    <row r="55346" customFormat="false" ht="12.8" hidden="false" customHeight="false" outlineLevel="0" collapsed="false">
      <c r="B55346" s="0" t="s">
        <v>227</v>
      </c>
    </row>
    <row r="55348" customFormat="false" ht="12.8" hidden="false" customHeight="false" outlineLevel="0" collapsed="false">
      <c r="A55348" s="0" t="s">
        <v>19316</v>
      </c>
      <c r="B55348" s="0" t="str">
        <f aca="false">HYPERLINK("https://lindat.mff.cuni.cz/services/teitok/pdtc10/index.php?action=vallex&amp;frame=v-w7951f6", "vycházet (v-w7951f6)")</f>
        <v>vycházet (v-w7951f6)</v>
      </c>
    </row>
    <row r="55349" customFormat="false" ht="12.8" hidden="false" customHeight="false" outlineLevel="0" collapsed="false">
      <c r="B55349" s="0" t="s">
        <v>7</v>
      </c>
      <c r="C55349" s="0" t="s">
        <v>13537</v>
      </c>
    </row>
    <row r="55350" customFormat="false" ht="12.8" hidden="false" customHeight="false" outlineLevel="0" collapsed="false">
      <c r="B55350" s="0" t="s">
        <v>459</v>
      </c>
    </row>
    <row r="55352" customFormat="false" ht="12.8" hidden="false" customHeight="false" outlineLevel="0" collapsed="false">
      <c r="A55352" s="0" t="s">
        <v>19317</v>
      </c>
      <c r="B55352" s="0" t="str">
        <f aca="false">HYPERLINK("https://lindat.mff.cuni.cz/services/teitok/pdtc10/index.php?action=vallex&amp;frame=v-w7951f15", "vycházet (v-w7951f15)")</f>
        <v>vycházet (v-w7951f15)</v>
      </c>
    </row>
    <row r="55353" customFormat="false" ht="12.8" hidden="false" customHeight="false" outlineLevel="0" collapsed="false">
      <c r="B55353" s="0" t="s">
        <v>7</v>
      </c>
      <c r="D55353" s="0" t="s">
        <v>73</v>
      </c>
      <c r="E55353" s="0" t="s">
        <v>73</v>
      </c>
      <c r="F55353" s="0" t="s">
        <v>73</v>
      </c>
    </row>
    <row r="55354" customFormat="false" ht="12.8" hidden="false" customHeight="false" outlineLevel="0" collapsed="false">
      <c r="B55354" s="0" t="s">
        <v>124</v>
      </c>
    </row>
    <row r="55356" customFormat="false" ht="12.8" hidden="false" customHeight="false" outlineLevel="0" collapsed="false">
      <c r="A55356" s="0" t="s">
        <v>19318</v>
      </c>
      <c r="B55356" s="0" t="str">
        <f aca="false">HYPERLINK("https://lindat.mff.cuni.cz/services/teitok/pdtc10/index.php?action=vallex&amp;frame=v-w7951hsa_391", "vycházet (v-w7951hsa_391)")</f>
        <v>vycházet (v-w7951hsa_391)</v>
      </c>
    </row>
    <row r="55357" customFormat="false" ht="12.8" hidden="false" customHeight="false" outlineLevel="0" collapsed="false">
      <c r="B55357" s="0" t="s">
        <v>7</v>
      </c>
      <c r="C55357" s="0" t="s">
        <v>498</v>
      </c>
      <c r="D55357" s="0" t="s">
        <v>13484</v>
      </c>
      <c r="E55357" s="0" t="s">
        <v>13484</v>
      </c>
      <c r="F55357" s="0" t="s">
        <v>13484</v>
      </c>
    </row>
    <row r="55358" customFormat="false" ht="12.8" hidden="false" customHeight="false" outlineLevel="0" collapsed="false">
      <c r="B55358" s="0" t="s">
        <v>19319</v>
      </c>
      <c r="C55358" s="0" t="s">
        <v>5644</v>
      </c>
      <c r="D55358" s="0" t="s">
        <v>19320</v>
      </c>
      <c r="E55358" s="0" t="s">
        <v>19320</v>
      </c>
      <c r="F55358" s="0" t="s">
        <v>19320</v>
      </c>
    </row>
    <row r="55360" customFormat="false" ht="12.8" hidden="false" customHeight="false" outlineLevel="0" collapsed="false">
      <c r="A55360" s="0" t="s">
        <v>19318</v>
      </c>
      <c r="B55360" s="0" t="str">
        <f aca="false">HYPERLINK("https://lindat.mff.cuni.cz/services/teitok/pdtc10/index.php?action=vallex&amp;frame=v-w7951f9", "vycházet (v-w7951f9) - substituted with v-w7951hsa_391")</f>
        <v>vycházet (v-w7951f9) - substituted with v-w7951hsa_391</v>
      </c>
    </row>
    <row r="55361" customFormat="false" ht="12.8" hidden="false" customHeight="false" outlineLevel="0" collapsed="false">
      <c r="B55361" s="0" t="s">
        <v>7</v>
      </c>
    </row>
    <row r="55362" customFormat="false" ht="12.8" hidden="false" customHeight="false" outlineLevel="0" collapsed="false">
      <c r="B55362" s="0" t="s">
        <v>19319</v>
      </c>
    </row>
    <row r="55364" customFormat="false" ht="12.8" hidden="false" customHeight="false" outlineLevel="0" collapsed="false">
      <c r="A55364" s="0" t="s">
        <v>19321</v>
      </c>
      <c r="B55364" s="0" t="str">
        <f aca="false">HYPERLINK("https://lindat.mff.cuni.cz/services/teitok/pdtc10/index.php?action=vallex&amp;frame=v-w7951f5", "vycházet (v-w7951f5)")</f>
        <v>vycházet (v-w7951f5)</v>
      </c>
    </row>
    <row r="55365" customFormat="false" ht="12.8" hidden="false" customHeight="false" outlineLevel="0" collapsed="false">
      <c r="B55365" s="0" t="s">
        <v>265</v>
      </c>
    </row>
    <row r="55367" customFormat="false" ht="12.8" hidden="false" customHeight="false" outlineLevel="0" collapsed="false">
      <c r="A55367" s="0" t="s">
        <v>19322</v>
      </c>
      <c r="B55367" s="0" t="str">
        <f aca="false">HYPERLINK("https://lindat.mff.cuni.cz/services/teitok/pdtc10/index.php?action=vallex&amp;frame=v-w7951f2", "vycházet (v-w7951f2)")</f>
        <v>vycházet (v-w7951f2)</v>
      </c>
    </row>
    <row r="55368" customFormat="false" ht="12.8" hidden="false" customHeight="false" outlineLevel="0" collapsed="false">
      <c r="B55368" s="0" t="s">
        <v>7</v>
      </c>
    </row>
    <row r="55370" customFormat="false" ht="12.8" hidden="false" customHeight="false" outlineLevel="0" collapsed="false">
      <c r="A55370" s="0" t="s">
        <v>19323</v>
      </c>
      <c r="B55370" s="0" t="str">
        <f aca="false">HYPERLINK("https://lindat.mff.cuni.cz/services/teitok/pdtc10/index.php?action=vallex&amp;frame=v-w7951f3", "vycházet (v-w7951f3)")</f>
        <v>vycházet (v-w7951f3)</v>
      </c>
    </row>
    <row r="55371" customFormat="false" ht="12.8" hidden="false" customHeight="false" outlineLevel="0" collapsed="false">
      <c r="B55371" s="0" t="s">
        <v>7</v>
      </c>
      <c r="C55371" s="0" t="s">
        <v>498</v>
      </c>
    </row>
    <row r="55373" customFormat="false" ht="12.8" hidden="false" customHeight="false" outlineLevel="0" collapsed="false">
      <c r="A55373" s="0" t="s">
        <v>19324</v>
      </c>
      <c r="B55373" s="0" t="str">
        <f aca="false">HYPERLINK("https://lindat.mff.cuni.cz/services/teitok/pdtc10/index.php?action=vallex&amp;frame=v-w7951f10", "vycházet (v-w7951f10)")</f>
        <v>vycházet (v-w7951f10)</v>
      </c>
    </row>
    <row r="55374" customFormat="false" ht="12.8" hidden="false" customHeight="false" outlineLevel="0" collapsed="false">
      <c r="B55374" s="0" t="s">
        <v>7</v>
      </c>
    </row>
    <row r="55375" customFormat="false" ht="12.8" hidden="false" customHeight="false" outlineLevel="0" collapsed="false">
      <c r="B55375" s="0" t="s">
        <v>19325</v>
      </c>
    </row>
    <row r="55376" customFormat="false" ht="12.8" hidden="false" customHeight="false" outlineLevel="0" collapsed="false">
      <c r="B55376" s="0" t="s">
        <v>142</v>
      </c>
    </row>
    <row r="55378" customFormat="false" ht="12.8" hidden="false" customHeight="false" outlineLevel="0" collapsed="false">
      <c r="A55378" s="0" t="s">
        <v>19326</v>
      </c>
      <c r="B55378" s="0" t="str">
        <f aca="false">HYPERLINK("https://lindat.mff.cuni.cz/services/teitok/pdtc10/index.php?action=vallex&amp;frame=v-w7951f7", "vycházet (v-w7951f7)")</f>
        <v>vycházet (v-w7951f7)</v>
      </c>
    </row>
    <row r="55379" customFormat="false" ht="12.8" hidden="false" customHeight="false" outlineLevel="0" collapsed="false">
      <c r="B55379" s="0" t="s">
        <v>641</v>
      </c>
      <c r="C55379" s="0" t="s">
        <v>358</v>
      </c>
      <c r="D55379" s="0" t="s">
        <v>1715</v>
      </c>
      <c r="E55379" s="0" t="s">
        <v>1715</v>
      </c>
      <c r="F55379" s="0" t="s">
        <v>1715</v>
      </c>
    </row>
    <row r="55380" customFormat="false" ht="12.8" hidden="false" customHeight="false" outlineLevel="0" collapsed="false">
      <c r="B55380" s="0" t="s">
        <v>3077</v>
      </c>
    </row>
    <row r="55382" customFormat="false" ht="12.8" hidden="false" customHeight="false" outlineLevel="0" collapsed="false">
      <c r="A55382" s="0" t="s">
        <v>19327</v>
      </c>
      <c r="B55382" s="0" t="str">
        <f aca="false">HYPERLINK("https://lindat.mff.cuni.cz/services/teitok/pdtc10/index.php?action=vallex&amp;frame=v-w7951f18_ZU", "vycházet (v-w7951f18_ZU)")</f>
        <v>vycházet (v-w7951f18_ZU)</v>
      </c>
    </row>
    <row r="55383" customFormat="false" ht="12.8" hidden="false" customHeight="false" outlineLevel="0" collapsed="false">
      <c r="B55383" s="0" t="s">
        <v>603</v>
      </c>
    </row>
    <row r="55384" customFormat="false" ht="12.8" hidden="false" customHeight="false" outlineLevel="0" collapsed="false">
      <c r="B55384" s="0" t="s">
        <v>19328</v>
      </c>
    </row>
    <row r="55386" customFormat="false" ht="12.8" hidden="false" customHeight="false" outlineLevel="0" collapsed="false">
      <c r="A55386" s="0" t="s">
        <v>19329</v>
      </c>
      <c r="B55386" s="0" t="str">
        <f aca="false">HYPERLINK("https://lindat.mff.cuni.cz/services/teitok/pdtc10/index.php?action=vallex&amp;frame=v-w7951f19_ZU", "vycházet (v-w7951f19_ZU)")</f>
        <v>vycházet (v-w7951f19_ZU)</v>
      </c>
    </row>
    <row r="55387" customFormat="false" ht="12.8" hidden="false" customHeight="false" outlineLevel="0" collapsed="false">
      <c r="B55387" s="0" t="s">
        <v>7</v>
      </c>
    </row>
    <row r="55388" customFormat="false" ht="12.8" hidden="false" customHeight="false" outlineLevel="0" collapsed="false">
      <c r="B55388" s="0" t="s">
        <v>119</v>
      </c>
    </row>
    <row r="55390" customFormat="false" ht="12.8" hidden="false" customHeight="false" outlineLevel="0" collapsed="false">
      <c r="A55390" s="0" t="s">
        <v>19330</v>
      </c>
      <c r="B55390" s="0" t="str">
        <f aca="false">HYPERLINK("https://lindat.mff.cuni.cz/services/teitok/pdtc10/index.php?action=vallex&amp;frame=v-w7951f20_MM", "vycházet (v-w7951f20_MM)")</f>
        <v>vycházet (v-w7951f20_MM)</v>
      </c>
    </row>
    <row r="55391" customFormat="false" ht="12.8" hidden="false" customHeight="false" outlineLevel="0" collapsed="false">
      <c r="B55391" s="0" t="s">
        <v>7</v>
      </c>
    </row>
    <row r="55392" customFormat="false" ht="12.8" hidden="false" customHeight="false" outlineLevel="0" collapsed="false">
      <c r="B55392" s="0" t="s">
        <v>19331</v>
      </c>
    </row>
    <row r="55394" customFormat="false" ht="12.8" hidden="false" customHeight="false" outlineLevel="0" collapsed="false">
      <c r="A55394" s="0" t="s">
        <v>19332</v>
      </c>
      <c r="B55394" s="0" t="str">
        <f aca="false">HYPERLINK("https://lindat.mff.cuni.cz/services/teitok/pdtc10/index.php?action=vallex&amp;frame=v-w7964f1", "vychýlit (v-w7964f1)")</f>
        <v>vychýlit (v-w7964f1)</v>
      </c>
    </row>
    <row r="55395" customFormat="false" ht="12.8" hidden="false" customHeight="false" outlineLevel="0" collapsed="false">
      <c r="B55395" s="0" t="s">
        <v>7</v>
      </c>
    </row>
    <row r="55396" customFormat="false" ht="12.8" hidden="false" customHeight="false" outlineLevel="0" collapsed="false">
      <c r="B55396" s="0" t="s">
        <v>14</v>
      </c>
    </row>
    <row r="55398" customFormat="false" ht="12.8" hidden="false" customHeight="false" outlineLevel="0" collapsed="false">
      <c r="A55398" s="0" t="s">
        <v>19333</v>
      </c>
      <c r="B55398" s="0" t="str">
        <f aca="false">HYPERLINK("https://lindat.mff.cuni.cz/services/teitok/pdtc10/index.php?action=vallex&amp;frame=v-w11276f1", "vychýlit se (v-w11276f1)")</f>
        <v>vychýlit se (v-w11276f1)</v>
      </c>
    </row>
    <row r="55399" customFormat="false" ht="12.8" hidden="false" customHeight="false" outlineLevel="0" collapsed="false">
      <c r="B55399" s="0" t="s">
        <v>7</v>
      </c>
      <c r="C55399" s="0" t="s">
        <v>12612</v>
      </c>
      <c r="D55399" s="0" t="s">
        <v>3954</v>
      </c>
      <c r="E55399" s="0" t="s">
        <v>3954</v>
      </c>
      <c r="F55399" s="0" t="s">
        <v>3954</v>
      </c>
    </row>
    <row r="55401" customFormat="false" ht="12.8" hidden="false" customHeight="false" outlineLevel="0" collapsed="false">
      <c r="A55401" s="0" t="s">
        <v>19334</v>
      </c>
      <c r="B55401" s="0" t="str">
        <f aca="false">HYPERLINK("https://lindat.mff.cuni.cz/services/teitok/pdtc10/index.php?action=vallex&amp;frame=v-w7810f1", "vycouvat (v-w7810f1)")</f>
        <v>vycouvat (v-w7810f1)</v>
      </c>
    </row>
    <row r="55402" customFormat="false" ht="12.8" hidden="false" customHeight="false" outlineLevel="0" collapsed="false">
      <c r="B55402" s="0" t="s">
        <v>7</v>
      </c>
      <c r="C55402" s="0" t="s">
        <v>19335</v>
      </c>
      <c r="D55402" s="0" t="s">
        <v>1399</v>
      </c>
      <c r="E55402" s="0" t="s">
        <v>1399</v>
      </c>
      <c r="F55402" s="0" t="s">
        <v>1399</v>
      </c>
    </row>
    <row r="55403" customFormat="false" ht="12.8" hidden="false" customHeight="false" outlineLevel="0" collapsed="false">
      <c r="B55403" s="0" t="s">
        <v>459</v>
      </c>
      <c r="D55403" s="0" t="s">
        <v>19336</v>
      </c>
      <c r="E55403" s="0" t="s">
        <v>19336</v>
      </c>
      <c r="F55403" s="0" t="s">
        <v>19336</v>
      </c>
    </row>
    <row r="55405" customFormat="false" ht="12.8" hidden="false" customHeight="false" outlineLevel="0" collapsed="false">
      <c r="A55405" s="0" t="s">
        <v>19337</v>
      </c>
      <c r="B55405" s="0" t="str">
        <f aca="false">HYPERLINK("https://lindat.mff.cuni.cz/services/teitok/pdtc10/index.php?action=vallex&amp;frame=v-w7810f2", "vycouvat (v-w7810f2)")</f>
        <v>vycouvat (v-w7810f2)</v>
      </c>
    </row>
    <row r="55406" customFormat="false" ht="12.8" hidden="false" customHeight="false" outlineLevel="0" collapsed="false">
      <c r="B55406" s="0" t="s">
        <v>7</v>
      </c>
    </row>
    <row r="55407" customFormat="false" ht="12.8" hidden="false" customHeight="false" outlineLevel="0" collapsed="false">
      <c r="B55407" s="0" t="s">
        <v>459</v>
      </c>
    </row>
    <row r="55409" customFormat="false" ht="12.8" hidden="false" customHeight="false" outlineLevel="0" collapsed="false">
      <c r="A55409" s="0" t="s">
        <v>19338</v>
      </c>
      <c r="B55409" s="0" t="str">
        <f aca="false">HYPERLINK("https://lindat.mff.cuni.cz/services/teitok/pdtc10/index.php?action=vallex&amp;frame=v-w7811f1", "vycucat (v-w7811f1)")</f>
        <v>vycucat (v-w7811f1)</v>
      </c>
    </row>
    <row r="55410" customFormat="false" ht="12.8" hidden="false" customHeight="false" outlineLevel="0" collapsed="false">
      <c r="B55410" s="0" t="s">
        <v>7</v>
      </c>
    </row>
    <row r="55411" customFormat="false" ht="12.8" hidden="false" customHeight="false" outlineLevel="0" collapsed="false">
      <c r="B55411" s="0" t="s">
        <v>14</v>
      </c>
    </row>
    <row r="55412" customFormat="false" ht="12.8" hidden="false" customHeight="false" outlineLevel="0" collapsed="false">
      <c r="B55412" s="0" t="s">
        <v>459</v>
      </c>
    </row>
    <row r="55414" customFormat="false" ht="12.8" hidden="false" customHeight="false" outlineLevel="0" collapsed="false">
      <c r="A55414" s="0" t="s">
        <v>19339</v>
      </c>
      <c r="B55414" s="0" t="str">
        <f aca="false">HYPERLINK("https://lindat.mff.cuni.cz/services/teitok/pdtc10/index.php?action=vallex&amp;frame=v-w7811hsa_1463", "vycucat (v-w7811hsa_1463)")</f>
        <v>vycucat (v-w7811hsa_1463)</v>
      </c>
    </row>
    <row r="55415" customFormat="false" ht="12.8" hidden="false" customHeight="false" outlineLevel="0" collapsed="false">
      <c r="B55415" s="0" t="s">
        <v>7</v>
      </c>
    </row>
    <row r="55416" customFormat="false" ht="12.8" hidden="false" customHeight="false" outlineLevel="0" collapsed="false">
      <c r="B55416" s="0" t="s">
        <v>14</v>
      </c>
    </row>
    <row r="55418" customFormat="false" ht="12.8" hidden="false" customHeight="false" outlineLevel="0" collapsed="false">
      <c r="A55418" s="0" t="s">
        <v>19340</v>
      </c>
      <c r="B55418" s="0" t="str">
        <f aca="false">HYPERLINK("https://lindat.mff.cuni.cz/services/teitok/pdtc10/index.php?action=vallex&amp;frame=v-w7812f1", "vycucat si (v-w7812f1)")</f>
        <v>vycucat si (v-w7812f1)</v>
      </c>
    </row>
    <row r="55419" customFormat="false" ht="12.8" hidden="false" customHeight="false" outlineLevel="0" collapsed="false">
      <c r="B55419" s="0" t="s">
        <v>7</v>
      </c>
    </row>
    <row r="55420" customFormat="false" ht="12.8" hidden="false" customHeight="false" outlineLevel="0" collapsed="false">
      <c r="B55420" s="0" t="s">
        <v>19341</v>
      </c>
    </row>
    <row r="55421" customFormat="false" ht="12.8" hidden="false" customHeight="false" outlineLevel="0" collapsed="false">
      <c r="B55421" s="0" t="s">
        <v>172</v>
      </c>
    </row>
    <row r="55423" customFormat="false" ht="12.8" hidden="false" customHeight="false" outlineLevel="0" collapsed="false">
      <c r="A55423" s="0" t="s">
        <v>19342</v>
      </c>
      <c r="B55423" s="0" t="str">
        <f aca="false">HYPERLINK("https://lindat.mff.cuni.cz/services/teitok/pdtc10/index.php?action=vallex&amp;frame=v-w11976_ZUf1_ZU", "vycucávat (v-w11976_ZUf1_ZU)")</f>
        <v>vycucávat (v-w11976_ZUf1_ZU)</v>
      </c>
    </row>
    <row r="55424" customFormat="false" ht="12.8" hidden="false" customHeight="false" outlineLevel="0" collapsed="false">
      <c r="B55424" s="0" t="s">
        <v>7</v>
      </c>
    </row>
    <row r="55425" customFormat="false" ht="12.8" hidden="false" customHeight="false" outlineLevel="0" collapsed="false">
      <c r="B55425" s="0" t="s">
        <v>14</v>
      </c>
    </row>
    <row r="55427" customFormat="false" ht="12.8" hidden="false" customHeight="false" outlineLevel="0" collapsed="false">
      <c r="A55427" s="0" t="s">
        <v>19343</v>
      </c>
      <c r="B55427" s="0" t="str">
        <f aca="false">HYPERLINK("https://lindat.mff.cuni.cz/services/teitok/pdtc10/index.php?action=vallex&amp;frame=v-w11126f2", "vycvičit (v-w11126f2)")</f>
        <v>vycvičit (v-w11126f2)</v>
      </c>
    </row>
    <row r="55428" customFormat="false" ht="12.8" hidden="false" customHeight="false" outlineLevel="0" collapsed="false">
      <c r="B55428" s="0" t="s">
        <v>7</v>
      </c>
      <c r="C55428" s="0" t="s">
        <v>8548</v>
      </c>
      <c r="D55428" s="0" t="s">
        <v>8548</v>
      </c>
      <c r="E55428" s="0" t="s">
        <v>8548</v>
      </c>
      <c r="F55428" s="0" t="s">
        <v>8548</v>
      </c>
    </row>
    <row r="55429" customFormat="false" ht="12.8" hidden="false" customHeight="false" outlineLevel="0" collapsed="false">
      <c r="B55429" s="0" t="s">
        <v>14</v>
      </c>
      <c r="C55429" s="0" t="s">
        <v>13756</v>
      </c>
      <c r="D55429" s="0" t="s">
        <v>4212</v>
      </c>
      <c r="E55429" s="0" t="s">
        <v>4212</v>
      </c>
      <c r="F55429" s="0" t="s">
        <v>4212</v>
      </c>
    </row>
    <row r="55431" customFormat="false" ht="12.8" hidden="false" customHeight="false" outlineLevel="0" collapsed="false">
      <c r="A55431" s="0" t="s">
        <v>19344</v>
      </c>
      <c r="B55431" s="0" t="str">
        <f aca="false">HYPERLINK("https://lindat.mff.cuni.cz/services/teitok/pdtc10/index.php?action=vallex&amp;frame=v-w7809f1", "vycítit (v-w7809f1)")</f>
        <v>vycítit (v-w7809f1)</v>
      </c>
    </row>
    <row r="55432" customFormat="false" ht="12.8" hidden="false" customHeight="false" outlineLevel="0" collapsed="false">
      <c r="B55432" s="0" t="s">
        <v>7</v>
      </c>
      <c r="C55432" s="0" t="s">
        <v>8313</v>
      </c>
      <c r="D55432" s="0" t="s">
        <v>1448</v>
      </c>
      <c r="E55432" s="0" t="s">
        <v>19345</v>
      </c>
      <c r="F55432" s="0" t="s">
        <v>19345</v>
      </c>
    </row>
    <row r="55433" customFormat="false" ht="12.8" hidden="false" customHeight="false" outlineLevel="0" collapsed="false">
      <c r="B55433" s="0" t="s">
        <v>54</v>
      </c>
      <c r="C55433" s="0" t="s">
        <v>19346</v>
      </c>
      <c r="D55433" s="0" t="s">
        <v>26</v>
      </c>
      <c r="E55433" s="0" t="s">
        <v>1631</v>
      </c>
      <c r="F55433" s="0" t="s">
        <v>1631</v>
      </c>
    </row>
    <row r="55435" customFormat="false" ht="12.8" hidden="false" customHeight="false" outlineLevel="0" collapsed="false">
      <c r="A55435" s="0" t="s">
        <v>19347</v>
      </c>
      <c r="B55435" s="0" t="str">
        <f aca="false">HYPERLINK("https://lindat.mff.cuni.cz/services/teitok/pdtc10/index.php?action=vallex&amp;frame=v-w7809f2", "vycítit (v-w7809f2)")</f>
        <v>vycítit (v-w7809f2)</v>
      </c>
    </row>
    <row r="55436" customFormat="false" ht="12.8" hidden="false" customHeight="false" outlineLevel="0" collapsed="false">
      <c r="B55436" s="0" t="s">
        <v>7</v>
      </c>
    </row>
    <row r="55437" customFormat="false" ht="12.8" hidden="false" customHeight="false" outlineLevel="0" collapsed="false">
      <c r="B55437" s="0" t="s">
        <v>17428</v>
      </c>
    </row>
    <row r="55439" customFormat="false" ht="12.8" hidden="false" customHeight="false" outlineLevel="0" collapsed="false">
      <c r="A55439" s="0" t="s">
        <v>19348</v>
      </c>
      <c r="B55439" s="0" t="str">
        <f aca="false">HYPERLINK("https://lindat.mff.cuni.cz/services/teitok/pdtc10/index.php?action=vallex&amp;frame=v-w7842f2", "vydat (v-w7842f2)")</f>
        <v>vydat (v-w7842f2)</v>
      </c>
    </row>
    <row r="55440" customFormat="false" ht="12.8" hidden="false" customHeight="false" outlineLevel="0" collapsed="false">
      <c r="B55440" s="0" t="s">
        <v>7</v>
      </c>
      <c r="D55440" s="0" t="s">
        <v>191</v>
      </c>
      <c r="E55440" s="0" t="s">
        <v>191</v>
      </c>
      <c r="F55440" s="0" t="s">
        <v>191</v>
      </c>
    </row>
    <row r="55441" customFormat="false" ht="12.8" hidden="false" customHeight="false" outlineLevel="0" collapsed="false">
      <c r="B55441" s="0" t="s">
        <v>14</v>
      </c>
      <c r="C55441" s="0" t="s">
        <v>47</v>
      </c>
      <c r="D55441" s="0" t="s">
        <v>384</v>
      </c>
      <c r="E55441" s="0" t="s">
        <v>384</v>
      </c>
      <c r="F55441" s="0" t="s">
        <v>384</v>
      </c>
    </row>
    <row r="55442" customFormat="false" ht="12.8" hidden="false" customHeight="false" outlineLevel="0" collapsed="false">
      <c r="B55442" s="0" t="s">
        <v>48</v>
      </c>
    </row>
    <row r="55444" customFormat="false" ht="12.8" hidden="false" customHeight="false" outlineLevel="0" collapsed="false">
      <c r="A55444" s="0" t="s">
        <v>19349</v>
      </c>
      <c r="B55444" s="0" t="str">
        <f aca="false">HYPERLINK("https://lindat.mff.cuni.cz/services/teitok/pdtc10/index.php?action=vallex&amp;frame=v-w7842hsa_169", "vydat (v-w7842hsa_169)")</f>
        <v>vydat (v-w7842hsa_169)</v>
      </c>
    </row>
    <row r="55445" customFormat="false" ht="12.8" hidden="false" customHeight="false" outlineLevel="0" collapsed="false">
      <c r="B55445" s="0" t="s">
        <v>7</v>
      </c>
      <c r="C55445" s="0" t="s">
        <v>3603</v>
      </c>
      <c r="D55445" s="0" t="s">
        <v>1484</v>
      </c>
      <c r="E55445" s="0" t="s">
        <v>1484</v>
      </c>
      <c r="F55445" s="0" t="s">
        <v>1484</v>
      </c>
    </row>
    <row r="55446" customFormat="false" ht="12.8" hidden="false" customHeight="false" outlineLevel="0" collapsed="false">
      <c r="B55446" s="0" t="s">
        <v>14</v>
      </c>
      <c r="C55446" s="0" t="s">
        <v>3604</v>
      </c>
      <c r="D55446" s="0" t="s">
        <v>1485</v>
      </c>
      <c r="E55446" s="0" t="s">
        <v>1485</v>
      </c>
      <c r="F55446" s="0" t="s">
        <v>1485</v>
      </c>
    </row>
    <row r="55447" customFormat="false" ht="12.8" hidden="false" customHeight="false" outlineLevel="0" collapsed="false">
      <c r="B55447" s="0" t="s">
        <v>3012</v>
      </c>
      <c r="C55447" s="0" t="s">
        <v>1556</v>
      </c>
      <c r="D55447" s="0" t="s">
        <v>1487</v>
      </c>
      <c r="E55447" s="0" t="s">
        <v>1487</v>
      </c>
      <c r="F55447" s="0" t="s">
        <v>1487</v>
      </c>
    </row>
    <row r="55449" customFormat="false" ht="12.8" hidden="false" customHeight="false" outlineLevel="0" collapsed="false">
      <c r="A55449" s="0" t="s">
        <v>19349</v>
      </c>
      <c r="B55449" s="0" t="str">
        <f aca="false">HYPERLINK("https://lindat.mff.cuni.cz/services/teitok/pdtc10/index.php?action=vallex&amp;frame=v-w7842f10", "vydat (v-w7842f10) - substituted with v-w7842hsa_169")</f>
        <v>vydat (v-w7842f10) - substituted with v-w7842hsa_169</v>
      </c>
    </row>
    <row r="55450" customFormat="false" ht="12.8" hidden="false" customHeight="false" outlineLevel="0" collapsed="false">
      <c r="B55450" s="0" t="s">
        <v>7</v>
      </c>
      <c r="C55450" s="0" t="s">
        <v>19350</v>
      </c>
    </row>
    <row r="55451" customFormat="false" ht="12.8" hidden="false" customHeight="false" outlineLevel="0" collapsed="false">
      <c r="B55451" s="0" t="s">
        <v>14</v>
      </c>
      <c r="C55451" s="0" t="s">
        <v>19351</v>
      </c>
    </row>
    <row r="55452" customFormat="false" ht="12.8" hidden="false" customHeight="false" outlineLevel="0" collapsed="false">
      <c r="B55452" s="0" t="s">
        <v>3012</v>
      </c>
      <c r="C55452" s="0" t="s">
        <v>19352</v>
      </c>
    </row>
    <row r="55454" customFormat="false" ht="12.8" hidden="false" customHeight="false" outlineLevel="0" collapsed="false">
      <c r="A55454" s="0" t="s">
        <v>19353</v>
      </c>
      <c r="B55454" s="0" t="str">
        <f aca="false">HYPERLINK("https://lindat.mff.cuni.cz/services/teitok/pdtc10/index.php?action=vallex&amp;frame=v-w7842f12", "vydat (v-w7842f12)")</f>
        <v>vydat (v-w7842f12)</v>
      </c>
    </row>
    <row r="55455" customFormat="false" ht="12.8" hidden="false" customHeight="false" outlineLevel="0" collapsed="false">
      <c r="B55455" s="0" t="s">
        <v>7</v>
      </c>
    </row>
    <row r="55456" customFormat="false" ht="12.8" hidden="false" customHeight="false" outlineLevel="0" collapsed="false">
      <c r="B55456" s="0" t="s">
        <v>14</v>
      </c>
    </row>
    <row r="55457" customFormat="false" ht="12.8" hidden="false" customHeight="false" outlineLevel="0" collapsed="false">
      <c r="B55457" s="0" t="s">
        <v>637</v>
      </c>
    </row>
    <row r="55459" customFormat="false" ht="12.8" hidden="false" customHeight="false" outlineLevel="0" collapsed="false">
      <c r="A55459" s="0" t="s">
        <v>19354</v>
      </c>
      <c r="B55459" s="0" t="str">
        <f aca="false">HYPERLINK("https://lindat.mff.cuni.cz/services/teitok/pdtc10/index.php?action=vallex&amp;frame=v-w7842f3", "vydat (v-w7842f3)")</f>
        <v>vydat (v-w7842f3)</v>
      </c>
    </row>
    <row r="55460" customFormat="false" ht="12.8" hidden="false" customHeight="false" outlineLevel="0" collapsed="false">
      <c r="B55460" s="0" t="s">
        <v>7</v>
      </c>
      <c r="C55460" s="0" t="s">
        <v>19355</v>
      </c>
      <c r="D55460" s="0" t="s">
        <v>1410</v>
      </c>
      <c r="E55460" s="0" t="s">
        <v>1410</v>
      </c>
      <c r="F55460" s="0" t="s">
        <v>1410</v>
      </c>
    </row>
    <row r="55461" customFormat="false" ht="12.8" hidden="false" customHeight="false" outlineLevel="0" collapsed="false">
      <c r="B55461" s="0" t="s">
        <v>14</v>
      </c>
      <c r="C55461" s="0" t="s">
        <v>19356</v>
      </c>
      <c r="D55461" s="0" t="s">
        <v>1411</v>
      </c>
      <c r="E55461" s="0" t="s">
        <v>1411</v>
      </c>
      <c r="F55461" s="0" t="s">
        <v>1411</v>
      </c>
    </row>
    <row r="55462" customFormat="false" ht="12.8" hidden="false" customHeight="false" outlineLevel="0" collapsed="false">
      <c r="B55462" s="0" t="s">
        <v>550</v>
      </c>
      <c r="C55462" s="0" t="s">
        <v>19357</v>
      </c>
      <c r="D55462" s="0" t="s">
        <v>2954</v>
      </c>
      <c r="E55462" s="0" t="s">
        <v>2954</v>
      </c>
      <c r="F55462" s="0" t="s">
        <v>2954</v>
      </c>
    </row>
    <row r="55464" customFormat="false" ht="12.8" hidden="false" customHeight="false" outlineLevel="0" collapsed="false">
      <c r="A55464" s="0" t="s">
        <v>19358</v>
      </c>
      <c r="B55464" s="0" t="str">
        <f aca="false">HYPERLINK("https://lindat.mff.cuni.cz/services/teitok/pdtc10/index.php?action=vallex&amp;frame=v-w7842f6", "vydat (v-w7842f6)")</f>
        <v>vydat (v-w7842f6)</v>
      </c>
    </row>
    <row r="55465" customFormat="false" ht="12.8" hidden="false" customHeight="false" outlineLevel="0" collapsed="false">
      <c r="B55465" s="0" t="s">
        <v>7</v>
      </c>
      <c r="C55465" s="0" t="s">
        <v>3603</v>
      </c>
      <c r="D55465" s="0" t="s">
        <v>191</v>
      </c>
      <c r="E55465" s="0" t="s">
        <v>191</v>
      </c>
      <c r="F55465" s="0" t="s">
        <v>191</v>
      </c>
    </row>
    <row r="55466" customFormat="false" ht="12.8" hidden="false" customHeight="false" outlineLevel="0" collapsed="false">
      <c r="B55466" s="0" t="s">
        <v>14</v>
      </c>
      <c r="C55466" s="0" t="s">
        <v>10010</v>
      </c>
      <c r="D55466" s="0" t="s">
        <v>384</v>
      </c>
      <c r="E55466" s="0" t="s">
        <v>384</v>
      </c>
      <c r="F55466" s="0" t="s">
        <v>384</v>
      </c>
    </row>
    <row r="55467" customFormat="false" ht="12.8" hidden="false" customHeight="false" outlineLevel="0" collapsed="false">
      <c r="B55467" s="0" t="s">
        <v>124</v>
      </c>
    </row>
    <row r="55469" customFormat="false" ht="12.8" hidden="false" customHeight="false" outlineLevel="0" collapsed="false">
      <c r="A55469" s="0" t="s">
        <v>19359</v>
      </c>
      <c r="B55469" s="0" t="str">
        <f aca="false">HYPERLINK("https://lindat.mff.cuni.cz/services/teitok/pdtc10/index.php?action=vallex&amp;frame=v-w7842f1", "vydat (v-w7842f1)")</f>
        <v>vydat (v-w7842f1)</v>
      </c>
    </row>
    <row r="55470" customFormat="false" ht="12.8" hidden="false" customHeight="false" outlineLevel="0" collapsed="false">
      <c r="B55470" s="0" t="s">
        <v>7</v>
      </c>
      <c r="C55470" s="0" t="s">
        <v>19360</v>
      </c>
      <c r="D55470" s="0" t="s">
        <v>12464</v>
      </c>
      <c r="E55470" s="0" t="s">
        <v>12464</v>
      </c>
      <c r="F55470" s="0" t="s">
        <v>12464</v>
      </c>
    </row>
    <row r="55471" customFormat="false" ht="12.8" hidden="false" customHeight="false" outlineLevel="0" collapsed="false">
      <c r="B55471" s="0" t="s">
        <v>172</v>
      </c>
      <c r="C55471" s="0" t="s">
        <v>19361</v>
      </c>
      <c r="D55471" s="0" t="s">
        <v>12466</v>
      </c>
      <c r="E55471" s="0" t="s">
        <v>12466</v>
      </c>
      <c r="F55471" s="0" t="s">
        <v>12466</v>
      </c>
    </row>
    <row r="55473" customFormat="false" ht="12.8" hidden="false" customHeight="false" outlineLevel="0" collapsed="false">
      <c r="A55473" s="0" t="s">
        <v>19362</v>
      </c>
      <c r="B55473" s="0" t="str">
        <f aca="false">HYPERLINK("https://lindat.mff.cuni.cz/services/teitok/pdtc10/index.php?action=vallex&amp;frame=v-w7842f13", "vydat (v-w7842f13)")</f>
        <v>vydat (v-w7842f13)</v>
      </c>
    </row>
    <row r="55474" customFormat="false" ht="12.8" hidden="false" customHeight="false" outlineLevel="0" collapsed="false">
      <c r="B55474" s="0" t="s">
        <v>7</v>
      </c>
      <c r="C55474" s="0" t="s">
        <v>163</v>
      </c>
      <c r="F55474" s="0" t="s">
        <v>19363</v>
      </c>
    </row>
    <row r="55475" customFormat="false" ht="12.8" hidden="false" customHeight="false" outlineLevel="0" collapsed="false">
      <c r="B55475" s="0" t="s">
        <v>14</v>
      </c>
      <c r="C55475" s="0" t="s">
        <v>19364</v>
      </c>
    </row>
    <row r="55477" customFormat="false" ht="12.8" hidden="false" customHeight="false" outlineLevel="0" collapsed="false">
      <c r="A55477" s="0" t="s">
        <v>19365</v>
      </c>
      <c r="B55477" s="0" t="str">
        <f aca="false">HYPERLINK("https://lindat.mff.cuni.cz/services/teitok/pdtc10/index.php?action=vallex&amp;frame=v-w7842f8", "vydat (v-w7842f8)")</f>
        <v>vydat (v-w7842f8)</v>
      </c>
    </row>
    <row r="55478" customFormat="false" ht="12.8" hidden="false" customHeight="false" outlineLevel="0" collapsed="false">
      <c r="B55478" s="0" t="s">
        <v>7</v>
      </c>
    </row>
    <row r="55479" customFormat="false" ht="12.8" hidden="false" customHeight="false" outlineLevel="0" collapsed="false">
      <c r="B55479" s="0" t="s">
        <v>41</v>
      </c>
    </row>
    <row r="55481" customFormat="false" ht="12.8" hidden="false" customHeight="false" outlineLevel="0" collapsed="false">
      <c r="A55481" s="0" t="s">
        <v>19366</v>
      </c>
      <c r="B55481" s="0" t="str">
        <f aca="false">HYPERLINK("https://lindat.mff.cuni.cz/services/teitok/pdtc10/index.php?action=vallex&amp;frame=v-w7842f11", "vydat (v-w7842f11)")</f>
        <v>vydat (v-w7842f11)</v>
      </c>
    </row>
    <row r="55482" customFormat="false" ht="12.8" hidden="false" customHeight="false" outlineLevel="0" collapsed="false">
      <c r="B55482" s="0" t="s">
        <v>7</v>
      </c>
    </row>
    <row r="55483" customFormat="false" ht="12.8" hidden="false" customHeight="false" outlineLevel="0" collapsed="false">
      <c r="B55483" s="0" t="s">
        <v>491</v>
      </c>
    </row>
    <row r="55485" customFormat="false" ht="12.8" hidden="false" customHeight="false" outlineLevel="0" collapsed="false">
      <c r="A55485" s="0" t="s">
        <v>19367</v>
      </c>
      <c r="B55485" s="0" t="str">
        <f aca="false">HYPERLINK("https://lindat.mff.cuni.cz/services/teitok/pdtc10/index.php?action=vallex&amp;frame=v-w7842f5", "vydat (v-w7842f5)")</f>
        <v>vydat (v-w7842f5)</v>
      </c>
    </row>
    <row r="55486" customFormat="false" ht="12.8" hidden="false" customHeight="false" outlineLevel="0" collapsed="false">
      <c r="B55486" s="0" t="s">
        <v>7</v>
      </c>
      <c r="C55486" s="0" t="s">
        <v>19368</v>
      </c>
      <c r="D55486" s="0" t="s">
        <v>1410</v>
      </c>
      <c r="E55486" s="0" t="s">
        <v>1410</v>
      </c>
      <c r="F55486" s="0" t="s">
        <v>1410</v>
      </c>
    </row>
    <row r="55487" customFormat="false" ht="12.8" hidden="false" customHeight="false" outlineLevel="0" collapsed="false">
      <c r="B55487" s="0" t="s">
        <v>679</v>
      </c>
      <c r="C55487" s="0" t="s">
        <v>19369</v>
      </c>
      <c r="D55487" s="0" t="s">
        <v>18318</v>
      </c>
      <c r="E55487" s="0" t="s">
        <v>18318</v>
      </c>
      <c r="F55487" s="0" t="s">
        <v>18318</v>
      </c>
    </row>
    <row r="55488" customFormat="false" ht="12.8" hidden="false" customHeight="false" outlineLevel="0" collapsed="false">
      <c r="B55488" s="0" t="s">
        <v>1654</v>
      </c>
      <c r="C55488" s="0" t="s">
        <v>18320</v>
      </c>
      <c r="D55488" s="0" t="s">
        <v>19370</v>
      </c>
      <c r="E55488" s="0" t="s">
        <v>19370</v>
      </c>
      <c r="F55488" s="0" t="s">
        <v>19370</v>
      </c>
    </row>
    <row r="55489" customFormat="false" ht="12.8" hidden="false" customHeight="false" outlineLevel="0" collapsed="false">
      <c r="B55489" s="0" t="s">
        <v>106</v>
      </c>
      <c r="C55489" s="0" t="s">
        <v>1556</v>
      </c>
    </row>
    <row r="55491" customFormat="false" ht="12.8" hidden="false" customHeight="false" outlineLevel="0" collapsed="false">
      <c r="A55491" s="0" t="s">
        <v>19371</v>
      </c>
      <c r="B55491" s="0" t="str">
        <f aca="false">HYPERLINK("https://lindat.mff.cuni.cz/services/teitok/pdtc10/index.php?action=vallex&amp;frame=v-w7842hsa_136", "vydat (v-w7842hsa_136)")</f>
        <v>vydat (v-w7842hsa_136)</v>
      </c>
    </row>
    <row r="55492" customFormat="false" ht="12.8" hidden="false" customHeight="false" outlineLevel="0" collapsed="false">
      <c r="B55492" s="0" t="s">
        <v>7</v>
      </c>
    </row>
    <row r="55493" customFormat="false" ht="12.8" hidden="false" customHeight="false" outlineLevel="0" collapsed="false">
      <c r="B55493" s="0" t="s">
        <v>19372</v>
      </c>
    </row>
    <row r="55494" customFormat="false" ht="12.8" hidden="false" customHeight="false" outlineLevel="0" collapsed="false">
      <c r="B55494" s="0" t="s">
        <v>48</v>
      </c>
    </row>
    <row r="55496" customFormat="false" ht="12.8" hidden="false" customHeight="false" outlineLevel="0" collapsed="false">
      <c r="A55496" s="0" t="s">
        <v>19371</v>
      </c>
      <c r="B55496" s="0" t="str">
        <f aca="false">HYPERLINK("https://lindat.mff.cuni.cz/services/teitok/pdtc10/index.php?action=vallex&amp;frame=v-w7842f14_ZU", "vydat (v-w7842f14_ZU) - substituted with v-w7842hsa_136")</f>
        <v>vydat (v-w7842f14_ZU) - substituted with v-w7842hsa_136</v>
      </c>
    </row>
    <row r="55497" customFormat="false" ht="12.8" hidden="false" customHeight="false" outlineLevel="0" collapsed="false">
      <c r="B55497" s="0" t="s">
        <v>7</v>
      </c>
      <c r="C55497" s="0" t="s">
        <v>3603</v>
      </c>
    </row>
    <row r="55498" customFormat="false" ht="12.8" hidden="false" customHeight="false" outlineLevel="0" collapsed="false">
      <c r="B55498" s="0" t="s">
        <v>19372</v>
      </c>
      <c r="C55498" s="0" t="s">
        <v>19373</v>
      </c>
    </row>
    <row r="55499" customFormat="false" ht="12.8" hidden="false" customHeight="false" outlineLevel="0" collapsed="false">
      <c r="B55499" s="0" t="s">
        <v>48</v>
      </c>
      <c r="C55499" s="0" t="s">
        <v>1556</v>
      </c>
    </row>
    <row r="55501" customFormat="false" ht="12.8" hidden="false" customHeight="false" outlineLevel="0" collapsed="false">
      <c r="A55501" s="0" t="s">
        <v>19371</v>
      </c>
      <c r="B55501" s="0" t="str">
        <f aca="false">HYPERLINK("https://lindat.mff.cuni.cz/services/teitok/pdtc10/index.php?action=vallex&amp;frame=v-w7842f15_ZU", "vydat (v-w7842f15_ZU) - substituted with v-w7842hsa_136")</f>
        <v>vydat (v-w7842f15_ZU) - substituted with v-w7842hsa_136</v>
      </c>
    </row>
    <row r="55502" customFormat="false" ht="12.8" hidden="false" customHeight="false" outlineLevel="0" collapsed="false">
      <c r="B55502" s="0" t="s">
        <v>7</v>
      </c>
      <c r="C55502" s="0" t="s">
        <v>3603</v>
      </c>
    </row>
    <row r="55503" customFormat="false" ht="12.8" hidden="false" customHeight="false" outlineLevel="0" collapsed="false">
      <c r="B55503" s="0" t="s">
        <v>19372</v>
      </c>
      <c r="C55503" s="0" t="s">
        <v>19373</v>
      </c>
    </row>
    <row r="55504" customFormat="false" ht="12.8" hidden="false" customHeight="false" outlineLevel="0" collapsed="false">
      <c r="B55504" s="0" t="s">
        <v>48</v>
      </c>
      <c r="C55504" s="0" t="s">
        <v>1556</v>
      </c>
    </row>
    <row r="55506" customFormat="false" ht="12.8" hidden="false" customHeight="false" outlineLevel="0" collapsed="false">
      <c r="A55506" s="0" t="s">
        <v>19371</v>
      </c>
      <c r="B55506" s="0" t="str">
        <f aca="false">HYPERLINK("https://lindat.mff.cuni.cz/services/teitok/pdtc10/index.php?action=vallex&amp;frame=v-w7842f16_ZU", "vydat (v-w7842f16_ZU) - substituted with v-w7842hsa_136")</f>
        <v>vydat (v-w7842f16_ZU) - substituted with v-w7842hsa_136</v>
      </c>
    </row>
    <row r="55507" customFormat="false" ht="12.8" hidden="false" customHeight="false" outlineLevel="0" collapsed="false">
      <c r="B55507" s="0" t="s">
        <v>7</v>
      </c>
      <c r="C55507" s="0" t="s">
        <v>19374</v>
      </c>
    </row>
    <row r="55508" customFormat="false" ht="12.8" hidden="false" customHeight="false" outlineLevel="0" collapsed="false">
      <c r="B55508" s="0" t="s">
        <v>19372</v>
      </c>
      <c r="C55508" s="0" t="s">
        <v>19375</v>
      </c>
    </row>
    <row r="55509" customFormat="false" ht="12.8" hidden="false" customHeight="false" outlineLevel="0" collapsed="false">
      <c r="B55509" s="0" t="s">
        <v>48</v>
      </c>
      <c r="C55509" s="0" t="s">
        <v>19376</v>
      </c>
    </row>
    <row r="55511" customFormat="false" ht="12.8" hidden="false" customHeight="false" outlineLevel="0" collapsed="false">
      <c r="A55511" s="0" t="s">
        <v>19371</v>
      </c>
      <c r="B55511" s="0" t="str">
        <f aca="false">HYPERLINK("https://lindat.mff.cuni.cz/services/teitok/pdtc10/index.php?action=vallex&amp;frame=v-w7842f18_ZU", "vydat (v-w7842f18_ZU) - substituted with v-w7842hsa_136")</f>
        <v>vydat (v-w7842f18_ZU) - substituted with v-w7842hsa_136</v>
      </c>
    </row>
    <row r="55512" customFormat="false" ht="12.8" hidden="false" customHeight="false" outlineLevel="0" collapsed="false">
      <c r="B55512" s="0" t="s">
        <v>7</v>
      </c>
      <c r="C55512" s="0" t="s">
        <v>3603</v>
      </c>
    </row>
    <row r="55513" customFormat="false" ht="12.8" hidden="false" customHeight="false" outlineLevel="0" collapsed="false">
      <c r="B55513" s="0" t="s">
        <v>19372</v>
      </c>
      <c r="C55513" s="0" t="s">
        <v>19373</v>
      </c>
    </row>
    <row r="55514" customFormat="false" ht="12.8" hidden="false" customHeight="false" outlineLevel="0" collapsed="false">
      <c r="B55514" s="0" t="s">
        <v>48</v>
      </c>
      <c r="C55514" s="0" t="s">
        <v>1556</v>
      </c>
    </row>
    <row r="55516" customFormat="false" ht="12.8" hidden="false" customHeight="false" outlineLevel="0" collapsed="false">
      <c r="A55516" s="0" t="s">
        <v>19371</v>
      </c>
      <c r="B55516" s="0" t="str">
        <f aca="false">HYPERLINK("https://lindat.mff.cuni.cz/services/teitok/pdtc10/index.php?action=vallex&amp;frame=v-w7842f19_ZU", "vydat (v-w7842f19_ZU) - substituted with v-w7842hsa_136")</f>
        <v>vydat (v-w7842f19_ZU) - substituted with v-w7842hsa_136</v>
      </c>
    </row>
    <row r="55517" customFormat="false" ht="12.8" hidden="false" customHeight="false" outlineLevel="0" collapsed="false">
      <c r="B55517" s="0" t="s">
        <v>7</v>
      </c>
      <c r="C55517" s="0" t="s">
        <v>3603</v>
      </c>
    </row>
    <row r="55518" customFormat="false" ht="12.8" hidden="false" customHeight="false" outlineLevel="0" collapsed="false">
      <c r="B55518" s="0" t="s">
        <v>19372</v>
      </c>
      <c r="C55518" s="0" t="s">
        <v>19373</v>
      </c>
    </row>
    <row r="55519" customFormat="false" ht="12.8" hidden="false" customHeight="false" outlineLevel="0" collapsed="false">
      <c r="B55519" s="0" t="s">
        <v>48</v>
      </c>
      <c r="C55519" s="0" t="s">
        <v>1556</v>
      </c>
    </row>
    <row r="55521" customFormat="false" ht="12.8" hidden="false" customHeight="false" outlineLevel="0" collapsed="false">
      <c r="A55521" s="0" t="s">
        <v>19371</v>
      </c>
      <c r="B55521" s="0" t="str">
        <f aca="false">HYPERLINK("https://lindat.mff.cuni.cz/services/teitok/pdtc10/index.php?action=vallex&amp;frame=v-w7842f20_ZU", "vydat (v-w7842f20_ZU) - substituted with v-w7842hsa_136")</f>
        <v>vydat (v-w7842f20_ZU) - substituted with v-w7842hsa_136</v>
      </c>
    </row>
    <row r="55522" customFormat="false" ht="12.8" hidden="false" customHeight="false" outlineLevel="0" collapsed="false">
      <c r="B55522" s="0" t="s">
        <v>7</v>
      </c>
      <c r="C55522" s="0" t="s">
        <v>3603</v>
      </c>
      <c r="D55522" s="0" t="s">
        <v>164</v>
      </c>
      <c r="E55522" s="0" t="s">
        <v>164</v>
      </c>
      <c r="F55522" s="0" t="s">
        <v>164</v>
      </c>
    </row>
    <row r="55523" customFormat="false" ht="12.8" hidden="false" customHeight="false" outlineLevel="0" collapsed="false">
      <c r="B55523" s="0" t="s">
        <v>19372</v>
      </c>
      <c r="C55523" s="0" t="s">
        <v>19377</v>
      </c>
      <c r="D55523" s="0" t="s">
        <v>19378</v>
      </c>
      <c r="E55523" s="0" t="s">
        <v>19378</v>
      </c>
      <c r="F55523" s="0" t="s">
        <v>19378</v>
      </c>
    </row>
    <row r="55524" customFormat="false" ht="12.8" hidden="false" customHeight="false" outlineLevel="0" collapsed="false">
      <c r="B55524" s="0" t="s">
        <v>48</v>
      </c>
      <c r="C55524" s="0" t="s">
        <v>1556</v>
      </c>
      <c r="D55524" s="0" t="s">
        <v>168</v>
      </c>
      <c r="E55524" s="0" t="s">
        <v>168</v>
      </c>
      <c r="F55524" s="0" t="s">
        <v>168</v>
      </c>
    </row>
    <row r="55526" customFormat="false" ht="12.8" hidden="false" customHeight="false" outlineLevel="0" collapsed="false">
      <c r="A55526" s="0" t="s">
        <v>19371</v>
      </c>
      <c r="B55526" s="0" t="str">
        <f aca="false">HYPERLINK("https://lindat.mff.cuni.cz/services/teitok/pdtc10/index.php?action=vallex&amp;frame=v-w7842f4", "vydat (v-w7842f4) - substituted with v-w7842hsa_136")</f>
        <v>vydat (v-w7842f4) - substituted with v-w7842hsa_136</v>
      </c>
    </row>
    <row r="55527" customFormat="false" ht="12.8" hidden="false" customHeight="false" outlineLevel="0" collapsed="false">
      <c r="B55527" s="0" t="s">
        <v>7</v>
      </c>
      <c r="C55527" s="0" t="s">
        <v>19379</v>
      </c>
    </row>
    <row r="55528" customFormat="false" ht="12.8" hidden="false" customHeight="false" outlineLevel="0" collapsed="false">
      <c r="B55528" s="0" t="s">
        <v>19372</v>
      </c>
      <c r="C55528" s="0" t="s">
        <v>19380</v>
      </c>
    </row>
    <row r="55529" customFormat="false" ht="12.8" hidden="false" customHeight="false" outlineLevel="0" collapsed="false">
      <c r="B55529" s="0" t="s">
        <v>48</v>
      </c>
      <c r="C55529" s="0" t="s">
        <v>19381</v>
      </c>
    </row>
    <row r="55531" customFormat="false" ht="12.8" hidden="false" customHeight="false" outlineLevel="0" collapsed="false">
      <c r="A55531" s="0" t="s">
        <v>19382</v>
      </c>
      <c r="B55531" s="0" t="str">
        <f aca="false">HYPERLINK("https://lindat.mff.cuni.cz/services/teitok/pdtc10/index.php?action=vallex&amp;frame=v-w7842f7", "vydat (v-w7842f7)")</f>
        <v>vydat (v-w7842f7)</v>
      </c>
    </row>
    <row r="55532" customFormat="false" ht="12.8" hidden="false" customHeight="false" outlineLevel="0" collapsed="false">
      <c r="B55532" s="0" t="s">
        <v>7</v>
      </c>
      <c r="C55532" s="0" t="s">
        <v>277</v>
      </c>
      <c r="D55532" s="0" t="s">
        <v>21</v>
      </c>
      <c r="E55532" s="0" t="s">
        <v>21</v>
      </c>
      <c r="F55532" s="0" t="s">
        <v>21</v>
      </c>
    </row>
    <row r="55533" customFormat="false" ht="12.8" hidden="false" customHeight="false" outlineLevel="0" collapsed="false">
      <c r="B55533" s="0" t="s">
        <v>19383</v>
      </c>
      <c r="C55533" s="0" t="s">
        <v>731</v>
      </c>
    </row>
    <row r="55534" customFormat="false" ht="12.8" hidden="false" customHeight="false" outlineLevel="0" collapsed="false">
      <c r="B55534" s="0" t="s">
        <v>14</v>
      </c>
      <c r="D55534" s="0" t="s">
        <v>1146</v>
      </c>
      <c r="E55534" s="0" t="s">
        <v>1146</v>
      </c>
      <c r="F55534" s="0" t="s">
        <v>1146</v>
      </c>
    </row>
    <row r="55535" customFormat="false" ht="12.8" hidden="false" customHeight="false" outlineLevel="0" collapsed="false">
      <c r="B55535" s="0" t="s">
        <v>106</v>
      </c>
      <c r="D55535" s="0" t="s">
        <v>1165</v>
      </c>
      <c r="E55535" s="0" t="s">
        <v>1165</v>
      </c>
      <c r="F55535" s="0" t="s">
        <v>1165</v>
      </c>
    </row>
    <row r="55537" customFormat="false" ht="12.8" hidden="false" customHeight="false" outlineLevel="0" collapsed="false">
      <c r="A55537" s="0" t="s">
        <v>19384</v>
      </c>
      <c r="B55537" s="0" t="str">
        <f aca="false">HYPERLINK("https://lindat.mff.cuni.cz/services/teitok/pdtc10/index.php?action=vallex&amp;frame=v-w7842f9", "vydat (v-w7842f9)")</f>
        <v>vydat (v-w7842f9)</v>
      </c>
    </row>
    <row r="55538" customFormat="false" ht="12.8" hidden="false" customHeight="false" outlineLevel="0" collapsed="false">
      <c r="B55538" s="0" t="s">
        <v>7</v>
      </c>
    </row>
    <row r="55539" customFormat="false" ht="12.8" hidden="false" customHeight="false" outlineLevel="0" collapsed="false">
      <c r="B55539" s="0" t="s">
        <v>19385</v>
      </c>
    </row>
    <row r="55540" customFormat="false" ht="12.8" hidden="false" customHeight="false" outlineLevel="0" collapsed="false">
      <c r="B55540" s="0" t="s">
        <v>14</v>
      </c>
    </row>
    <row r="55542" customFormat="false" ht="12.8" hidden="false" customHeight="false" outlineLevel="0" collapsed="false">
      <c r="A55542" s="0" t="s">
        <v>19386</v>
      </c>
      <c r="B55542" s="0" t="str">
        <f aca="false">HYPERLINK("https://lindat.mff.cuni.cz/services/teitok/pdtc10/index.php?action=vallex&amp;frame=v-w7842f17_ZU", "vydat (v-w7842f17_ZU)")</f>
        <v>vydat (v-w7842f17_ZU)</v>
      </c>
    </row>
    <row r="55543" customFormat="false" ht="12.8" hidden="false" customHeight="false" outlineLevel="0" collapsed="false">
      <c r="B55543" s="0" t="s">
        <v>7</v>
      </c>
    </row>
    <row r="55544" customFormat="false" ht="12.8" hidden="false" customHeight="false" outlineLevel="0" collapsed="false">
      <c r="B55544" s="0" t="s">
        <v>19387</v>
      </c>
    </row>
    <row r="55545" customFormat="false" ht="12.8" hidden="false" customHeight="false" outlineLevel="0" collapsed="false">
      <c r="B55545" s="0" t="s">
        <v>41</v>
      </c>
    </row>
    <row r="55547" customFormat="false" ht="12.8" hidden="false" customHeight="false" outlineLevel="0" collapsed="false">
      <c r="A55547" s="0" t="s">
        <v>19388</v>
      </c>
      <c r="B55547" s="0" t="str">
        <f aca="false">HYPERLINK("https://lindat.mff.cuni.cz/services/teitok/pdtc10/index.php?action=vallex&amp;frame=v-w7842f21_ZU", "vydat (v-w7842f21_ZU)")</f>
        <v>vydat (v-w7842f21_ZU)</v>
      </c>
    </row>
    <row r="55548" customFormat="false" ht="12.8" hidden="false" customHeight="false" outlineLevel="0" collapsed="false">
      <c r="B55548" s="0" t="s">
        <v>7</v>
      </c>
    </row>
    <row r="55549" customFormat="false" ht="12.8" hidden="false" customHeight="false" outlineLevel="0" collapsed="false">
      <c r="B55549" s="0" t="s">
        <v>19389</v>
      </c>
    </row>
    <row r="55551" customFormat="false" ht="12.8" hidden="false" customHeight="false" outlineLevel="0" collapsed="false">
      <c r="A55551" s="0" t="s">
        <v>19390</v>
      </c>
      <c r="B55551" s="0" t="str">
        <f aca="false">HYPERLINK("https://lindat.mff.cuni.cz/services/teitok/pdtc10/index.php?action=vallex&amp;frame=v-w7842hsa_170", "vydat (v-w7842hsa_170)")</f>
        <v>vydat (v-w7842hsa_170)</v>
      </c>
    </row>
    <row r="55552" customFormat="false" ht="12.8" hidden="false" customHeight="false" outlineLevel="0" collapsed="false">
      <c r="B55552" s="0" t="s">
        <v>7</v>
      </c>
    </row>
    <row r="55553" customFormat="false" ht="12.8" hidden="false" customHeight="false" outlineLevel="0" collapsed="false">
      <c r="B55553" s="0" t="s">
        <v>19391</v>
      </c>
    </row>
    <row r="55555" customFormat="false" ht="12.8" hidden="false" customHeight="false" outlineLevel="0" collapsed="false">
      <c r="A55555" s="0" t="s">
        <v>19392</v>
      </c>
      <c r="B55555" s="0" t="str">
        <f aca="false">HYPERLINK("https://lindat.mff.cuni.cz/services/teitok/pdtc10/index.php?action=vallex&amp;frame=v-w7843f2", "vydat se (v-w7843f2)")</f>
        <v>vydat se (v-w7843f2)</v>
      </c>
    </row>
    <row r="55556" customFormat="false" ht="12.8" hidden="false" customHeight="false" outlineLevel="0" collapsed="false">
      <c r="B55556" s="0" t="s">
        <v>7</v>
      </c>
      <c r="C55556" s="0" t="s">
        <v>19393</v>
      </c>
    </row>
    <row r="55557" customFormat="false" ht="12.8" hidden="false" customHeight="false" outlineLevel="0" collapsed="false">
      <c r="B55557" s="0" t="s">
        <v>227</v>
      </c>
    </row>
    <row r="55559" customFormat="false" ht="12.8" hidden="false" customHeight="false" outlineLevel="0" collapsed="false">
      <c r="A55559" s="0" t="s">
        <v>19394</v>
      </c>
      <c r="B55559" s="0" t="str">
        <f aca="false">HYPERLINK("https://lindat.mff.cuni.cz/services/teitok/pdtc10/index.php?action=vallex&amp;frame=v-w7843f1", "vydat se (v-w7843f1)")</f>
        <v>vydat se (v-w7843f1)</v>
      </c>
    </row>
    <row r="55560" customFormat="false" ht="12.8" hidden="false" customHeight="false" outlineLevel="0" collapsed="false">
      <c r="B55560" s="0" t="s">
        <v>7</v>
      </c>
      <c r="C55560" s="0" t="s">
        <v>19395</v>
      </c>
      <c r="D55560" s="0" t="s">
        <v>3856</v>
      </c>
      <c r="E55560" s="0" t="s">
        <v>3856</v>
      </c>
      <c r="F55560" s="0" t="s">
        <v>3856</v>
      </c>
    </row>
    <row r="55561" customFormat="false" ht="12.8" hidden="false" customHeight="false" outlineLevel="0" collapsed="false">
      <c r="B55561" s="0" t="s">
        <v>124</v>
      </c>
      <c r="C55561" s="0" t="s">
        <v>19396</v>
      </c>
    </row>
    <row r="55563" customFormat="false" ht="12.8" hidden="false" customHeight="false" outlineLevel="0" collapsed="false">
      <c r="A55563" s="0" t="s">
        <v>19397</v>
      </c>
      <c r="B55563" s="0" t="str">
        <f aca="false">HYPERLINK("https://lindat.mff.cuni.cz/services/teitok/pdtc10/index.php?action=vallex&amp;frame=v-w7843f3", "vydat se (v-w7843f3)")</f>
        <v>vydat se (v-w7843f3)</v>
      </c>
    </row>
    <row r="55564" customFormat="false" ht="12.8" hidden="false" customHeight="false" outlineLevel="0" collapsed="false">
      <c r="B55564" s="0" t="s">
        <v>7</v>
      </c>
    </row>
    <row r="55565" customFormat="false" ht="12.8" hidden="false" customHeight="false" outlineLevel="0" collapsed="false">
      <c r="B55565" s="0" t="s">
        <v>19398</v>
      </c>
    </row>
    <row r="55567" customFormat="false" ht="12.8" hidden="false" customHeight="false" outlineLevel="0" collapsed="false">
      <c r="A55567" s="0" t="s">
        <v>19399</v>
      </c>
      <c r="B55567" s="0" t="str">
        <f aca="false">HYPERLINK("https://lindat.mff.cuni.cz/services/teitok/pdtc10/index.php?action=vallex&amp;frame=v-w7841f1", "vydařit se (v-w7841f1)")</f>
        <v>vydařit se (v-w7841f1)</v>
      </c>
    </row>
    <row r="55568" customFormat="false" ht="12.8" hidden="false" customHeight="false" outlineLevel="0" collapsed="false">
      <c r="B55568" s="0" t="s">
        <v>603</v>
      </c>
      <c r="C55568" s="0" t="s">
        <v>46</v>
      </c>
      <c r="D55568" s="0" t="s">
        <v>19400</v>
      </c>
      <c r="E55568" s="0" t="s">
        <v>19400</v>
      </c>
      <c r="F55568" s="0" t="s">
        <v>19400</v>
      </c>
    </row>
    <row r="55569" customFormat="false" ht="12.8" hidden="false" customHeight="false" outlineLevel="0" collapsed="false">
      <c r="B55569" s="0" t="s">
        <v>1496</v>
      </c>
      <c r="C55569" s="0" t="s">
        <v>488</v>
      </c>
      <c r="D55569" s="0" t="s">
        <v>19401</v>
      </c>
      <c r="E55569" s="0" t="s">
        <v>19401</v>
      </c>
      <c r="F55569" s="0" t="s">
        <v>19401</v>
      </c>
    </row>
    <row r="55571" customFormat="false" ht="12.8" hidden="false" customHeight="false" outlineLevel="0" collapsed="false">
      <c r="A55571" s="0" t="s">
        <v>19402</v>
      </c>
      <c r="B55571" s="0" t="str">
        <f aca="false">HYPERLINK("https://lindat.mff.cuni.cz/services/teitok/pdtc10/index.php?action=vallex&amp;frame=v-w7851f1", "vydechnout si (v-w7851f1)")</f>
        <v>vydechnout si (v-w7851f1)</v>
      </c>
    </row>
    <row r="55572" customFormat="false" ht="12.8" hidden="false" customHeight="false" outlineLevel="0" collapsed="false">
      <c r="B55572" s="0" t="s">
        <v>7</v>
      </c>
      <c r="C55572" s="0" t="s">
        <v>191</v>
      </c>
      <c r="D55572" s="0" t="s">
        <v>191</v>
      </c>
      <c r="E55572" s="0" t="s">
        <v>191</v>
      </c>
      <c r="F55572" s="0" t="s">
        <v>191</v>
      </c>
    </row>
    <row r="55574" customFormat="false" ht="12.8" hidden="false" customHeight="false" outlineLevel="0" collapsed="false">
      <c r="A55574" s="0" t="s">
        <v>19403</v>
      </c>
      <c r="B55574" s="0" t="str">
        <f aca="false">HYPERLINK("https://lindat.mff.cuni.cz/services/teitok/pdtc10/index.php?action=vallex&amp;frame=v-w7850f1", "vydedukovat (v-w7850f1)")</f>
        <v>vydedukovat (v-w7850f1)</v>
      </c>
    </row>
    <row r="55575" customFormat="false" ht="12.8" hidden="false" customHeight="false" outlineLevel="0" collapsed="false">
      <c r="B55575" s="0" t="s">
        <v>7</v>
      </c>
      <c r="D55575" s="0" t="s">
        <v>18259</v>
      </c>
      <c r="E55575" s="0" t="s">
        <v>18259</v>
      </c>
      <c r="F55575" s="0" t="s">
        <v>18259</v>
      </c>
    </row>
    <row r="55576" customFormat="false" ht="12.8" hidden="false" customHeight="false" outlineLevel="0" collapsed="false">
      <c r="B55576" s="0" t="s">
        <v>54</v>
      </c>
      <c r="D55576" s="0" t="s">
        <v>18260</v>
      </c>
      <c r="E55576" s="0" t="s">
        <v>18260</v>
      </c>
      <c r="F55576" s="0" t="s">
        <v>18260</v>
      </c>
    </row>
    <row r="55577" customFormat="false" ht="12.8" hidden="false" customHeight="false" outlineLevel="0" collapsed="false">
      <c r="B55577" s="0" t="s">
        <v>3441</v>
      </c>
    </row>
    <row r="55579" customFormat="false" ht="12.8" hidden="false" customHeight="false" outlineLevel="0" collapsed="false">
      <c r="A55579" s="0" t="s">
        <v>19404</v>
      </c>
      <c r="B55579" s="0" t="str">
        <f aca="false">HYPERLINK("https://lindat.mff.cuni.cz/services/teitok/pdtc10/index.php?action=vallex&amp;frame=v-w11670_ZUf1_ZU", "vydezinfikovat (v-w11670_ZUf1_ZU)")</f>
        <v>vydezinfikovat (v-w11670_ZUf1_ZU)</v>
      </c>
    </row>
    <row r="55580" customFormat="false" ht="12.8" hidden="false" customHeight="false" outlineLevel="0" collapsed="false">
      <c r="B55580" s="0" t="s">
        <v>7</v>
      </c>
      <c r="D55580" s="0" t="s">
        <v>108</v>
      </c>
      <c r="E55580" s="0" t="s">
        <v>108</v>
      </c>
      <c r="F55580" s="0" t="s">
        <v>108</v>
      </c>
    </row>
    <row r="55581" customFormat="false" ht="12.8" hidden="false" customHeight="false" outlineLevel="0" collapsed="false">
      <c r="B55581" s="0" t="s">
        <v>14</v>
      </c>
      <c r="D55581" s="0" t="s">
        <v>5146</v>
      </c>
      <c r="E55581" s="0" t="s">
        <v>5146</v>
      </c>
      <c r="F55581" s="0" t="s">
        <v>5146</v>
      </c>
    </row>
    <row r="55582" customFormat="false" ht="12.8" hidden="false" customHeight="false" outlineLevel="0" collapsed="false">
      <c r="B55582" s="0" t="s">
        <v>441</v>
      </c>
      <c r="D55582" s="0" t="s">
        <v>9469</v>
      </c>
      <c r="E55582" s="0" t="s">
        <v>9469</v>
      </c>
      <c r="F55582" s="0" t="s">
        <v>9469</v>
      </c>
    </row>
    <row r="55584" customFormat="false" ht="12.8" hidden="false" customHeight="false" outlineLevel="0" collapsed="false">
      <c r="A55584" s="0" t="s">
        <v>19405</v>
      </c>
      <c r="B55584" s="0" t="str">
        <f aca="false">HYPERLINK("https://lindat.mff.cuni.cz/services/teitok/pdtc10/index.php?action=vallex&amp;frame=v-w7861f1", "vydlabat (v-w7861f1)")</f>
        <v>vydlabat (v-w7861f1)</v>
      </c>
    </row>
    <row r="55585" customFormat="false" ht="12.8" hidden="false" customHeight="false" outlineLevel="0" collapsed="false">
      <c r="B55585" s="0" t="s">
        <v>7</v>
      </c>
      <c r="C55585" s="0" t="s">
        <v>191</v>
      </c>
      <c r="D55585" s="0" t="s">
        <v>46</v>
      </c>
      <c r="E55585" s="0" t="s">
        <v>46</v>
      </c>
      <c r="F55585" s="0" t="s">
        <v>46</v>
      </c>
    </row>
    <row r="55586" customFormat="false" ht="12.8" hidden="false" customHeight="false" outlineLevel="0" collapsed="false">
      <c r="B55586" s="0" t="s">
        <v>14</v>
      </c>
      <c r="C55586" s="0" t="s">
        <v>155</v>
      </c>
      <c r="D55586" s="0" t="s">
        <v>384</v>
      </c>
      <c r="E55586" s="0" t="s">
        <v>384</v>
      </c>
      <c r="F55586" s="0" t="s">
        <v>384</v>
      </c>
    </row>
    <row r="55587" customFormat="false" ht="12.8" hidden="false" customHeight="false" outlineLevel="0" collapsed="false">
      <c r="B55587" s="0" t="s">
        <v>35</v>
      </c>
    </row>
    <row r="55589" customFormat="false" ht="12.8" hidden="false" customHeight="false" outlineLevel="0" collapsed="false">
      <c r="A55589" s="0" t="s">
        <v>19406</v>
      </c>
      <c r="B55589" s="0" t="str">
        <f aca="false">HYPERLINK("https://lindat.mff.cuni.cz/services/teitok/pdtc10/index.php?action=vallex&amp;frame=v-w7862f1", "vydlužit si (v-w7862f1)")</f>
        <v>vydlužit si (v-w7862f1)</v>
      </c>
    </row>
    <row r="55590" customFormat="false" ht="12.8" hidden="false" customHeight="false" outlineLevel="0" collapsed="false">
      <c r="B55590" s="0" t="s">
        <v>7</v>
      </c>
    </row>
    <row r="55591" customFormat="false" ht="12.8" hidden="false" customHeight="false" outlineLevel="0" collapsed="false">
      <c r="B55591" s="0" t="s">
        <v>14</v>
      </c>
    </row>
    <row r="55592" customFormat="false" ht="12.8" hidden="false" customHeight="false" outlineLevel="0" collapsed="false">
      <c r="B55592" s="0" t="s">
        <v>441</v>
      </c>
    </row>
    <row r="55594" customFormat="false" ht="12.8" hidden="false" customHeight="false" outlineLevel="0" collapsed="false">
      <c r="A55594" s="0" t="s">
        <v>19407</v>
      </c>
      <c r="B55594" s="0" t="str">
        <f aca="false">HYPERLINK("https://lindat.mff.cuni.cz/services/teitok/pdtc10/index.php?action=vallex&amp;frame=v-w10344f2", "vydláždit (v-w10344f2)")</f>
        <v>vydláždit (v-w10344f2)</v>
      </c>
    </row>
    <row r="55595" customFormat="false" ht="12.8" hidden="false" customHeight="false" outlineLevel="0" collapsed="false">
      <c r="B55595" s="0" t="s">
        <v>7</v>
      </c>
      <c r="C55595" s="0" t="s">
        <v>46</v>
      </c>
      <c r="D55595" s="0" t="s">
        <v>184</v>
      </c>
      <c r="E55595" s="0" t="s">
        <v>184</v>
      </c>
      <c r="F55595" s="0" t="s">
        <v>184</v>
      </c>
    </row>
    <row r="55596" customFormat="false" ht="12.8" hidden="false" customHeight="false" outlineLevel="0" collapsed="false">
      <c r="B55596" s="0" t="s">
        <v>14</v>
      </c>
      <c r="C55596" s="0" t="s">
        <v>47</v>
      </c>
      <c r="D55596" s="0" t="s">
        <v>6832</v>
      </c>
      <c r="E55596" s="0" t="s">
        <v>6832</v>
      </c>
      <c r="F55596" s="0" t="s">
        <v>6832</v>
      </c>
    </row>
    <row r="55598" customFormat="false" ht="12.8" hidden="false" customHeight="false" outlineLevel="0" collapsed="false">
      <c r="A55598" s="0" t="s">
        <v>19408</v>
      </c>
      <c r="B55598" s="0" t="str">
        <f aca="false">HYPERLINK("https://lindat.mff.cuni.cz/services/teitok/pdtc10/index.php?action=vallex&amp;frame=v-w10344hsa_285", "vydláždit (v-w10344hsa_285)")</f>
        <v>vydláždit (v-w10344hsa_285)</v>
      </c>
    </row>
    <row r="55599" customFormat="false" ht="12.8" hidden="false" customHeight="false" outlineLevel="0" collapsed="false">
      <c r="B55599" s="0" t="s">
        <v>7</v>
      </c>
    </row>
    <row r="55600" customFormat="false" ht="12.8" hidden="false" customHeight="false" outlineLevel="0" collapsed="false">
      <c r="B55600" s="0" t="s">
        <v>14</v>
      </c>
    </row>
    <row r="55602" customFormat="false" ht="12.8" hidden="false" customHeight="false" outlineLevel="0" collapsed="false">
      <c r="A55602" s="0" t="s">
        <v>19409</v>
      </c>
      <c r="B55602" s="0" t="str">
        <f aca="false">HYPERLINK("https://lindat.mff.cuni.cz/services/teitok/pdtc10/index.php?action=vallex&amp;frame=v-w7863f1", "vydobýt (v-w7863f1)")</f>
        <v>vydobýt (v-w7863f1)</v>
      </c>
    </row>
    <row r="55603" customFormat="false" ht="12.8" hidden="false" customHeight="false" outlineLevel="0" collapsed="false">
      <c r="B55603" s="0" t="s">
        <v>7</v>
      </c>
      <c r="C55603" s="0" t="s">
        <v>3803</v>
      </c>
      <c r="D55603" s="0" t="s">
        <v>43</v>
      </c>
      <c r="E55603" s="0" t="s">
        <v>43</v>
      </c>
      <c r="F55603" s="0" t="s">
        <v>43</v>
      </c>
    </row>
    <row r="55604" customFormat="false" ht="12.8" hidden="false" customHeight="false" outlineLevel="0" collapsed="false">
      <c r="B55604" s="0" t="s">
        <v>14</v>
      </c>
      <c r="C55604" s="0" t="s">
        <v>3725</v>
      </c>
      <c r="D55604" s="0" t="s">
        <v>2887</v>
      </c>
      <c r="E55604" s="0" t="s">
        <v>2887</v>
      </c>
      <c r="F55604" s="0" t="s">
        <v>2887</v>
      </c>
    </row>
    <row r="55606" customFormat="false" ht="12.8" hidden="false" customHeight="false" outlineLevel="0" collapsed="false">
      <c r="A55606" s="0" t="s">
        <v>19410</v>
      </c>
      <c r="B55606" s="0" t="str">
        <f aca="false">HYPERLINK("https://lindat.mff.cuni.cz/services/teitok/pdtc10/index.php?action=vallex&amp;frame=v-whsa_246f1_ZU", "vydojit (v-whsa_246f1_ZU)")</f>
        <v>vydojit (v-whsa_246f1_ZU)</v>
      </c>
    </row>
    <row r="55607" customFormat="false" ht="12.8" hidden="false" customHeight="false" outlineLevel="0" collapsed="false">
      <c r="B55607" s="0" t="s">
        <v>7</v>
      </c>
      <c r="C55607" s="0" t="s">
        <v>191</v>
      </c>
      <c r="D55607" s="0" t="s">
        <v>11678</v>
      </c>
      <c r="E55607" s="0" t="s">
        <v>11678</v>
      </c>
      <c r="F55607" s="0" t="s">
        <v>11678</v>
      </c>
    </row>
    <row r="55608" customFormat="false" ht="12.8" hidden="false" customHeight="false" outlineLevel="0" collapsed="false">
      <c r="B55608" s="0" t="s">
        <v>14</v>
      </c>
      <c r="C55608" s="0" t="s">
        <v>1588</v>
      </c>
    </row>
    <row r="55609" customFormat="false" ht="12.8" hidden="false" customHeight="false" outlineLevel="0" collapsed="false">
      <c r="B55609" s="0" t="s">
        <v>19411</v>
      </c>
      <c r="D55609" s="0" t="s">
        <v>18340</v>
      </c>
      <c r="E55609" s="0" t="s">
        <v>18340</v>
      </c>
      <c r="F55609" s="0" t="s">
        <v>18340</v>
      </c>
    </row>
    <row r="55611" customFormat="false" ht="12.8" hidden="false" customHeight="false" outlineLevel="0" collapsed="false">
      <c r="A55611" s="0" t="s">
        <v>19410</v>
      </c>
      <c r="B55611" s="0" t="str">
        <f aca="false">HYPERLINK("https://lindat.mff.cuni.cz/services/teitok/pdtc10/index.php?action=vallex&amp;frame=v-whsa_246hsa_247", "vydojit (v-whsa_246hsa_247) - substituted with v-whsa_246f1_ZU")</f>
        <v>vydojit (v-whsa_246hsa_247) - substituted with v-whsa_246f1_ZU</v>
      </c>
    </row>
    <row r="55612" customFormat="false" ht="12.8" hidden="false" customHeight="false" outlineLevel="0" collapsed="false">
      <c r="B55612" s="0" t="s">
        <v>7</v>
      </c>
    </row>
    <row r="55613" customFormat="false" ht="12.8" hidden="false" customHeight="false" outlineLevel="0" collapsed="false">
      <c r="B55613" s="0" t="s">
        <v>14</v>
      </c>
    </row>
    <row r="55614" customFormat="false" ht="12.8" hidden="false" customHeight="false" outlineLevel="0" collapsed="false">
      <c r="B55614" s="0" t="s">
        <v>19411</v>
      </c>
    </row>
    <row r="55616" customFormat="false" ht="12.8" hidden="false" customHeight="false" outlineLevel="0" collapsed="false">
      <c r="A55616" s="0" t="s">
        <v>19412</v>
      </c>
      <c r="B55616" s="0" t="str">
        <f aca="false">HYPERLINK("https://lindat.mff.cuni.cz/services/teitok/pdtc10/index.php?action=vallex&amp;frame=v-w7864f2", "vydolovat (v-w7864f2)")</f>
        <v>vydolovat (v-w7864f2)</v>
      </c>
    </row>
    <row r="55617" customFormat="false" ht="12.8" hidden="false" customHeight="false" outlineLevel="0" collapsed="false">
      <c r="B55617" s="0" t="s">
        <v>7</v>
      </c>
    </row>
    <row r="55618" customFormat="false" ht="12.8" hidden="false" customHeight="false" outlineLevel="0" collapsed="false">
      <c r="B55618" s="0" t="s">
        <v>14</v>
      </c>
    </row>
    <row r="55619" customFormat="false" ht="12.8" hidden="false" customHeight="false" outlineLevel="0" collapsed="false">
      <c r="B55619" s="0" t="s">
        <v>19411</v>
      </c>
    </row>
    <row r="55621" customFormat="false" ht="12.8" hidden="false" customHeight="false" outlineLevel="0" collapsed="false">
      <c r="A55621" s="0" t="s">
        <v>19413</v>
      </c>
      <c r="B55621" s="0" t="str">
        <f aca="false">HYPERLINK("https://lindat.mff.cuni.cz/services/teitok/pdtc10/index.php?action=vallex&amp;frame=v-w7864f1", "vydolovat (v-w7864f1)")</f>
        <v>vydolovat (v-w7864f1)</v>
      </c>
    </row>
    <row r="55622" customFormat="false" ht="12.8" hidden="false" customHeight="false" outlineLevel="0" collapsed="false">
      <c r="B55622" s="0" t="s">
        <v>7</v>
      </c>
    </row>
    <row r="55623" customFormat="false" ht="12.8" hidden="false" customHeight="false" outlineLevel="0" collapsed="false">
      <c r="B55623" s="0" t="s">
        <v>14</v>
      </c>
    </row>
    <row r="55625" customFormat="false" ht="12.8" hidden="false" customHeight="false" outlineLevel="0" collapsed="false">
      <c r="A55625" s="0" t="s">
        <v>19414</v>
      </c>
      <c r="B55625" s="0" t="str">
        <f aca="false">HYPERLINK("https://lindat.mff.cuni.cz/services/teitok/pdtc10/index.php?action=vallex&amp;frame=v-w7865f1", "vydovádět se (v-w7865f1)")</f>
        <v>vydovádět se (v-w7865f1)</v>
      </c>
    </row>
    <row r="55626" customFormat="false" ht="12.8" hidden="false" customHeight="false" outlineLevel="0" collapsed="false">
      <c r="B55626" s="0" t="s">
        <v>7</v>
      </c>
    </row>
    <row r="55628" customFormat="false" ht="12.8" hidden="false" customHeight="false" outlineLevel="0" collapsed="false">
      <c r="A55628" s="0" t="s">
        <v>19415</v>
      </c>
      <c r="B55628" s="0" t="str">
        <f aca="false">HYPERLINK("https://lindat.mff.cuni.cz/services/teitok/pdtc10/index.php?action=vallex&amp;frame=v-w7866f1", "vydražit (v-w7866f1)")</f>
        <v>vydražit (v-w7866f1)</v>
      </c>
    </row>
    <row r="55629" customFormat="false" ht="12.8" hidden="false" customHeight="false" outlineLevel="0" collapsed="false">
      <c r="B55629" s="0" t="s">
        <v>7</v>
      </c>
      <c r="C55629" s="0" t="s">
        <v>623</v>
      </c>
      <c r="D55629" s="0" t="s">
        <v>623</v>
      </c>
      <c r="E55629" s="0" t="s">
        <v>623</v>
      </c>
      <c r="F55629" s="0" t="s">
        <v>623</v>
      </c>
    </row>
    <row r="55630" customFormat="false" ht="12.8" hidden="false" customHeight="false" outlineLevel="0" collapsed="false">
      <c r="B55630" s="0" t="s">
        <v>14</v>
      </c>
      <c r="C55630" s="0" t="s">
        <v>625</v>
      </c>
      <c r="D55630" s="0" t="s">
        <v>625</v>
      </c>
      <c r="E55630" s="0" t="s">
        <v>625</v>
      </c>
      <c r="F55630" s="0" t="s">
        <v>625</v>
      </c>
    </row>
    <row r="55632" customFormat="false" ht="12.8" hidden="false" customHeight="false" outlineLevel="0" collapsed="false">
      <c r="A55632" s="0" t="s">
        <v>19416</v>
      </c>
      <c r="B55632" s="0" t="str">
        <f aca="false">HYPERLINK("https://lindat.mff.cuni.cz/services/teitok/pdtc10/index.php?action=vallex&amp;frame=v-whsa_1939f1_ZU", "vydrbat (v-whsa_1939f1_ZU)")</f>
        <v>vydrbat (v-whsa_1939f1_ZU)</v>
      </c>
    </row>
    <row r="55633" customFormat="false" ht="12.8" hidden="false" customHeight="false" outlineLevel="0" collapsed="false">
      <c r="B55633" s="0" t="s">
        <v>7</v>
      </c>
    </row>
    <row r="55634" customFormat="false" ht="12.8" hidden="false" customHeight="false" outlineLevel="0" collapsed="false">
      <c r="B55634" s="0" t="s">
        <v>14</v>
      </c>
    </row>
    <row r="55635" customFormat="false" ht="12.8" hidden="false" customHeight="false" outlineLevel="0" collapsed="false">
      <c r="B55635" s="0" t="s">
        <v>441</v>
      </c>
    </row>
    <row r="55637" customFormat="false" ht="12.8" hidden="false" customHeight="false" outlineLevel="0" collapsed="false">
      <c r="A55637" s="0" t="s">
        <v>19416</v>
      </c>
      <c r="B55637" s="0" t="str">
        <f aca="false">HYPERLINK("https://lindat.mff.cuni.cz/services/teitok/pdtc10/index.php?action=vallex&amp;frame=v-whsa_1939hsa_1940", "vydrbat (v-whsa_1939hsa_1940) - substituted with v-whsa_1939f1_ZU")</f>
        <v>vydrbat (v-whsa_1939hsa_1940) - substituted with v-whsa_1939f1_ZU</v>
      </c>
    </row>
    <row r="55638" customFormat="false" ht="12.8" hidden="false" customHeight="false" outlineLevel="0" collapsed="false">
      <c r="B55638" s="0" t="s">
        <v>7</v>
      </c>
    </row>
    <row r="55639" customFormat="false" ht="12.8" hidden="false" customHeight="false" outlineLevel="0" collapsed="false">
      <c r="B55639" s="0" t="s">
        <v>14</v>
      </c>
    </row>
    <row r="55640" customFormat="false" ht="12.8" hidden="false" customHeight="false" outlineLevel="0" collapsed="false">
      <c r="B55640" s="0" t="s">
        <v>441</v>
      </c>
    </row>
    <row r="55642" customFormat="false" ht="12.8" hidden="false" customHeight="false" outlineLevel="0" collapsed="false">
      <c r="A55642" s="0" t="s">
        <v>19417</v>
      </c>
      <c r="B55642" s="0" t="str">
        <f aca="false">HYPERLINK("https://lindat.mff.cuni.cz/services/teitok/pdtc10/index.php?action=vallex&amp;frame=v-w11619_ZUf1_ZU", "vydrápat se (v-w11619_ZUf1_ZU)")</f>
        <v>vydrápat se (v-w11619_ZUf1_ZU)</v>
      </c>
    </row>
    <row r="55643" customFormat="false" ht="12.8" hidden="false" customHeight="false" outlineLevel="0" collapsed="false">
      <c r="B55643" s="0" t="s">
        <v>7</v>
      </c>
      <c r="C55643" s="0" t="s">
        <v>191</v>
      </c>
      <c r="D55643" s="0" t="s">
        <v>4783</v>
      </c>
      <c r="E55643" s="0" t="s">
        <v>4783</v>
      </c>
      <c r="F55643" s="0" t="s">
        <v>4783</v>
      </c>
    </row>
    <row r="55644" customFormat="false" ht="12.8" hidden="false" customHeight="false" outlineLevel="0" collapsed="false">
      <c r="B55644" s="0" t="s">
        <v>5382</v>
      </c>
    </row>
    <row r="55646" customFormat="false" ht="12.8" hidden="false" customHeight="false" outlineLevel="0" collapsed="false">
      <c r="A55646" s="0" t="s">
        <v>19418</v>
      </c>
      <c r="B55646" s="0" t="str">
        <f aca="false">HYPERLINK("https://lindat.mff.cuni.cz/services/teitok/pdtc10/index.php?action=vallex&amp;frame=v-w7867f3_ZU", "vydržet (v-w7867f3_ZU)")</f>
        <v>vydržet (v-w7867f3_ZU)</v>
      </c>
    </row>
    <row r="55647" customFormat="false" ht="12.8" hidden="false" customHeight="false" outlineLevel="0" collapsed="false">
      <c r="B55647" s="0" t="s">
        <v>7</v>
      </c>
    </row>
    <row r="55648" customFormat="false" ht="12.8" hidden="false" customHeight="false" outlineLevel="0" collapsed="false">
      <c r="B55648" s="0" t="s">
        <v>1444</v>
      </c>
    </row>
    <row r="55650" customFormat="false" ht="12.8" hidden="false" customHeight="false" outlineLevel="0" collapsed="false">
      <c r="A55650" s="0" t="s">
        <v>19418</v>
      </c>
      <c r="B55650" s="0" t="str">
        <f aca="false">HYPERLINK("https://lindat.mff.cuni.cz/services/teitok/pdtc10/index.php?action=vallex&amp;frame=v-w7867f2", "vydržet (v-w7867f2) - substituted with v-w7867f3_ZU")</f>
        <v>vydržet (v-w7867f2) - substituted with v-w7867f3_ZU</v>
      </c>
    </row>
    <row r="55651" customFormat="false" ht="12.8" hidden="false" customHeight="false" outlineLevel="0" collapsed="false">
      <c r="B55651" s="0" t="s">
        <v>7</v>
      </c>
      <c r="C55651" s="0" t="s">
        <v>19419</v>
      </c>
    </row>
    <row r="55652" customFormat="false" ht="12.8" hidden="false" customHeight="false" outlineLevel="0" collapsed="false">
      <c r="B55652" s="0" t="s">
        <v>1444</v>
      </c>
      <c r="C55652" s="0" t="s">
        <v>19420</v>
      </c>
    </row>
    <row r="55654" customFormat="false" ht="12.8" hidden="false" customHeight="false" outlineLevel="0" collapsed="false">
      <c r="A55654" s="0" t="s">
        <v>19418</v>
      </c>
      <c r="B55654" s="0" t="str">
        <f aca="false">HYPERLINK("https://lindat.mff.cuni.cz/services/teitok/pdtc10/index.php?action=vallex&amp;frame=v-w7867hsa_371", "vydržet (v-w7867hsa_371) - substituted with v-w7867f3_ZU")</f>
        <v>vydržet (v-w7867hsa_371) - substituted with v-w7867f3_ZU</v>
      </c>
    </row>
    <row r="55655" customFormat="false" ht="12.8" hidden="false" customHeight="false" outlineLevel="0" collapsed="false">
      <c r="B55655" s="0" t="s">
        <v>7</v>
      </c>
    </row>
    <row r="55656" customFormat="false" ht="12.8" hidden="false" customHeight="false" outlineLevel="0" collapsed="false">
      <c r="B55656" s="0" t="s">
        <v>1444</v>
      </c>
    </row>
    <row r="55658" customFormat="false" ht="12.8" hidden="false" customHeight="false" outlineLevel="0" collapsed="false">
      <c r="A55658" s="0" t="s">
        <v>19421</v>
      </c>
      <c r="B55658" s="0" t="str">
        <f aca="false">HYPERLINK("https://lindat.mff.cuni.cz/services/teitok/pdtc10/index.php?action=vallex&amp;frame=v-w7867f1", "vydržet (v-w7867f1)")</f>
        <v>vydržet (v-w7867f1)</v>
      </c>
    </row>
    <row r="55659" customFormat="false" ht="12.8" hidden="false" customHeight="false" outlineLevel="0" collapsed="false">
      <c r="B55659" s="0" t="s">
        <v>7</v>
      </c>
      <c r="C55659" s="0" t="s">
        <v>12609</v>
      </c>
      <c r="D55659" s="0" t="s">
        <v>12251</v>
      </c>
      <c r="E55659" s="0" t="s">
        <v>12251</v>
      </c>
      <c r="F55659" s="0" t="s">
        <v>12251</v>
      </c>
    </row>
    <row r="55661" customFormat="false" ht="12.8" hidden="false" customHeight="false" outlineLevel="0" collapsed="false">
      <c r="A55661" s="0" t="s">
        <v>19422</v>
      </c>
      <c r="B55661" s="0" t="str">
        <f aca="false">HYPERLINK("https://lindat.mff.cuni.cz/services/teitok/pdtc10/index.php?action=vallex&amp;frame=v-w7868f1", "vydržovat (v-w7868f1)")</f>
        <v>vydržovat (v-w7868f1)</v>
      </c>
    </row>
    <row r="55662" customFormat="false" ht="12.8" hidden="false" customHeight="false" outlineLevel="0" collapsed="false">
      <c r="B55662" s="0" t="s">
        <v>7</v>
      </c>
    </row>
    <row r="55663" customFormat="false" ht="12.8" hidden="false" customHeight="false" outlineLevel="0" collapsed="false">
      <c r="B55663" s="0" t="s">
        <v>14</v>
      </c>
    </row>
    <row r="55665" customFormat="false" ht="12.8" hidden="false" customHeight="false" outlineLevel="0" collapsed="false">
      <c r="A55665" s="0" t="s">
        <v>19423</v>
      </c>
      <c r="B55665" s="0" t="str">
        <f aca="false">HYPERLINK("https://lindat.mff.cuni.cz/services/teitok/pdtc10/index.php?action=vallex&amp;frame=v-w12229_ZUf1_ZU", "vydyndat (v-w12229_ZUf1_ZU)")</f>
        <v>vydyndat (v-w12229_ZUf1_ZU)</v>
      </c>
    </row>
    <row r="55666" customFormat="false" ht="12.8" hidden="false" customHeight="false" outlineLevel="0" collapsed="false">
      <c r="B55666" s="0" t="s">
        <v>7</v>
      </c>
    </row>
    <row r="55667" customFormat="false" ht="12.8" hidden="false" customHeight="false" outlineLevel="0" collapsed="false">
      <c r="B55667" s="0" t="s">
        <v>14</v>
      </c>
    </row>
    <row r="55668" customFormat="false" ht="12.8" hidden="false" customHeight="false" outlineLevel="0" collapsed="false">
      <c r="B55668" s="0" t="s">
        <v>35</v>
      </c>
    </row>
    <row r="55670" customFormat="false" ht="12.8" hidden="false" customHeight="false" outlineLevel="0" collapsed="false">
      <c r="A55670" s="0" t="s">
        <v>19424</v>
      </c>
      <c r="B55670" s="0" t="str">
        <f aca="false">HYPERLINK("https://lindat.mff.cuni.cz/services/teitok/pdtc10/index.php?action=vallex&amp;frame=v-w7846f9_ZU", "vydávat (v-w7846f9_ZU)")</f>
        <v>vydávat (v-w7846f9_ZU)</v>
      </c>
    </row>
    <row r="55671" customFormat="false" ht="12.8" hidden="false" customHeight="false" outlineLevel="0" collapsed="false">
      <c r="B55671" s="0" t="s">
        <v>7</v>
      </c>
      <c r="C55671" s="0" t="s">
        <v>3603</v>
      </c>
    </row>
    <row r="55672" customFormat="false" ht="12.8" hidden="false" customHeight="false" outlineLevel="0" collapsed="false">
      <c r="B55672" s="0" t="s">
        <v>14</v>
      </c>
      <c r="C55672" s="0" t="s">
        <v>3604</v>
      </c>
    </row>
    <row r="55673" customFormat="false" ht="12.8" hidden="false" customHeight="false" outlineLevel="0" collapsed="false">
      <c r="B55673" s="0" t="s">
        <v>48</v>
      </c>
      <c r="C55673" s="0" t="s">
        <v>1556</v>
      </c>
    </row>
    <row r="55675" customFormat="false" ht="12.8" hidden="false" customHeight="false" outlineLevel="0" collapsed="false">
      <c r="A55675" s="0" t="s">
        <v>19424</v>
      </c>
      <c r="B55675" s="0" t="str">
        <f aca="false">HYPERLINK("https://lindat.mff.cuni.cz/services/teitok/pdtc10/index.php?action=vallex&amp;frame=v-w7846f2", "vydávat (v-w7846f2) - substituted with v-w7846f9_ZU")</f>
        <v>vydávat (v-w7846f2) - substituted with v-w7846f9_ZU</v>
      </c>
    </row>
    <row r="55676" customFormat="false" ht="12.8" hidden="false" customHeight="false" outlineLevel="0" collapsed="false">
      <c r="B55676" s="0" t="s">
        <v>7</v>
      </c>
      <c r="C55676" s="0" t="s">
        <v>19425</v>
      </c>
    </row>
    <row r="55677" customFormat="false" ht="12.8" hidden="false" customHeight="false" outlineLevel="0" collapsed="false">
      <c r="B55677" s="0" t="s">
        <v>14</v>
      </c>
      <c r="C55677" s="0" t="s">
        <v>19426</v>
      </c>
    </row>
    <row r="55678" customFormat="false" ht="12.8" hidden="false" customHeight="false" outlineLevel="0" collapsed="false">
      <c r="B55678" s="0" t="s">
        <v>48</v>
      </c>
      <c r="C55678" s="0" t="s">
        <v>1851</v>
      </c>
    </row>
    <row r="55680" customFormat="false" ht="12.8" hidden="false" customHeight="false" outlineLevel="0" collapsed="false">
      <c r="A55680" s="0" t="s">
        <v>19427</v>
      </c>
      <c r="B55680" s="0" t="str">
        <f aca="false">HYPERLINK("https://lindat.mff.cuni.cz/services/teitok/pdtc10/index.php?action=vallex&amp;frame=v-w7846f7", "vydávat (v-w7846f7)")</f>
        <v>vydávat (v-w7846f7)</v>
      </c>
    </row>
    <row r="55681" customFormat="false" ht="12.8" hidden="false" customHeight="false" outlineLevel="0" collapsed="false">
      <c r="B55681" s="0" t="s">
        <v>7</v>
      </c>
      <c r="D55681" s="0" t="s">
        <v>191</v>
      </c>
      <c r="E55681" s="0" t="s">
        <v>191</v>
      </c>
      <c r="F55681" s="0" t="s">
        <v>191</v>
      </c>
    </row>
    <row r="55682" customFormat="false" ht="12.8" hidden="false" customHeight="false" outlineLevel="0" collapsed="false">
      <c r="B55682" s="0" t="s">
        <v>14</v>
      </c>
      <c r="D55682" s="0" t="s">
        <v>384</v>
      </c>
      <c r="E55682" s="0" t="s">
        <v>384</v>
      </c>
      <c r="F55682" s="0" t="s">
        <v>384</v>
      </c>
    </row>
    <row r="55683" customFormat="false" ht="12.8" hidden="false" customHeight="false" outlineLevel="0" collapsed="false">
      <c r="B55683" s="0" t="s">
        <v>48</v>
      </c>
    </row>
    <row r="55685" customFormat="false" ht="12.8" hidden="false" customHeight="false" outlineLevel="0" collapsed="false">
      <c r="A55685" s="0" t="s">
        <v>19428</v>
      </c>
      <c r="B55685" s="0" t="str">
        <f aca="false">HYPERLINK("https://lindat.mff.cuni.cz/services/teitok/pdtc10/index.php?action=vallex&amp;frame=v-w7846f3", "vydávat (v-w7846f3)")</f>
        <v>vydávat (v-w7846f3)</v>
      </c>
    </row>
    <row r="55686" customFormat="false" ht="12.8" hidden="false" customHeight="false" outlineLevel="0" collapsed="false">
      <c r="B55686" s="0" t="s">
        <v>7</v>
      </c>
      <c r="C55686" s="0" t="s">
        <v>19429</v>
      </c>
    </row>
    <row r="55687" customFormat="false" ht="12.8" hidden="false" customHeight="false" outlineLevel="0" collapsed="false">
      <c r="B55687" s="0" t="s">
        <v>14</v>
      </c>
      <c r="C55687" s="0" t="s">
        <v>8221</v>
      </c>
    </row>
    <row r="55688" customFormat="false" ht="12.8" hidden="false" customHeight="false" outlineLevel="0" collapsed="false">
      <c r="B55688" s="0" t="s">
        <v>637</v>
      </c>
      <c r="C55688" s="0" t="s">
        <v>19430</v>
      </c>
    </row>
    <row r="55690" customFormat="false" ht="12.8" hidden="false" customHeight="false" outlineLevel="0" collapsed="false">
      <c r="A55690" s="0" t="s">
        <v>19431</v>
      </c>
      <c r="B55690" s="0" t="str">
        <f aca="false">HYPERLINK("https://lindat.mff.cuni.cz/services/teitok/pdtc10/index.php?action=vallex&amp;frame=v-w7846f4", "vydávat (v-w7846f4)")</f>
        <v>vydávat (v-w7846f4)</v>
      </c>
    </row>
    <row r="55691" customFormat="false" ht="12.8" hidden="false" customHeight="false" outlineLevel="0" collapsed="false">
      <c r="B55691" s="0" t="s">
        <v>7</v>
      </c>
      <c r="C55691" s="0" t="s">
        <v>18312</v>
      </c>
      <c r="D55691" s="0" t="s">
        <v>1410</v>
      </c>
      <c r="E55691" s="0" t="s">
        <v>1410</v>
      </c>
      <c r="F55691" s="0" t="s">
        <v>1410</v>
      </c>
    </row>
    <row r="55692" customFormat="false" ht="12.8" hidden="false" customHeight="false" outlineLevel="0" collapsed="false">
      <c r="B55692" s="0" t="s">
        <v>14</v>
      </c>
      <c r="C55692" s="0" t="s">
        <v>18313</v>
      </c>
      <c r="D55692" s="0" t="s">
        <v>1411</v>
      </c>
      <c r="E55692" s="0" t="s">
        <v>1411</v>
      </c>
      <c r="F55692" s="0" t="s">
        <v>1411</v>
      </c>
    </row>
    <row r="55693" customFormat="false" ht="12.8" hidden="false" customHeight="false" outlineLevel="0" collapsed="false">
      <c r="B55693" s="0" t="s">
        <v>550</v>
      </c>
      <c r="D55693" s="0" t="s">
        <v>2954</v>
      </c>
      <c r="E55693" s="0" t="s">
        <v>2954</v>
      </c>
      <c r="F55693" s="0" t="s">
        <v>2954</v>
      </c>
    </row>
    <row r="55695" customFormat="false" ht="12.8" hidden="false" customHeight="false" outlineLevel="0" collapsed="false">
      <c r="A55695" s="0" t="s">
        <v>19432</v>
      </c>
      <c r="B55695" s="0" t="str">
        <f aca="false">HYPERLINK("https://lindat.mff.cuni.cz/services/teitok/pdtc10/index.php?action=vallex&amp;frame=v-w7846f8", "vydávat (v-w7846f8)")</f>
        <v>vydávat (v-w7846f8)</v>
      </c>
    </row>
    <row r="55696" customFormat="false" ht="12.8" hidden="false" customHeight="false" outlineLevel="0" collapsed="false">
      <c r="B55696" s="0" t="s">
        <v>7</v>
      </c>
      <c r="D55696" s="0" t="s">
        <v>191</v>
      </c>
      <c r="E55696" s="0" t="s">
        <v>191</v>
      </c>
      <c r="F55696" s="0" t="s">
        <v>191</v>
      </c>
    </row>
    <row r="55697" customFormat="false" ht="12.8" hidden="false" customHeight="false" outlineLevel="0" collapsed="false">
      <c r="B55697" s="0" t="s">
        <v>14</v>
      </c>
      <c r="D55697" s="0" t="s">
        <v>384</v>
      </c>
      <c r="E55697" s="0" t="s">
        <v>384</v>
      </c>
      <c r="F55697" s="0" t="s">
        <v>384</v>
      </c>
    </row>
    <row r="55698" customFormat="false" ht="12.8" hidden="false" customHeight="false" outlineLevel="0" collapsed="false">
      <c r="B55698" s="0" t="s">
        <v>124</v>
      </c>
    </row>
    <row r="55700" customFormat="false" ht="12.8" hidden="false" customHeight="false" outlineLevel="0" collapsed="false">
      <c r="A55700" s="0" t="s">
        <v>19433</v>
      </c>
      <c r="B55700" s="0" t="str">
        <f aca="false">HYPERLINK("https://lindat.mff.cuni.cz/services/teitok/pdtc10/index.php?action=vallex&amp;frame=v-w7846f1", "vydávat (v-w7846f1)")</f>
        <v>vydávat (v-w7846f1)</v>
      </c>
    </row>
    <row r="55701" customFormat="false" ht="12.8" hidden="false" customHeight="false" outlineLevel="0" collapsed="false">
      <c r="B55701" s="0" t="s">
        <v>7</v>
      </c>
      <c r="C55701" s="0" t="s">
        <v>19434</v>
      </c>
      <c r="D55701" s="0" t="s">
        <v>12464</v>
      </c>
      <c r="E55701" s="0" t="s">
        <v>12464</v>
      </c>
      <c r="F55701" s="0" t="s">
        <v>12464</v>
      </c>
    </row>
    <row r="55702" customFormat="false" ht="12.8" hidden="false" customHeight="false" outlineLevel="0" collapsed="false">
      <c r="B55702" s="0" t="s">
        <v>172</v>
      </c>
      <c r="C55702" s="0" t="s">
        <v>19435</v>
      </c>
      <c r="D55702" s="0" t="s">
        <v>12466</v>
      </c>
      <c r="E55702" s="0" t="s">
        <v>12466</v>
      </c>
      <c r="F55702" s="0" t="s">
        <v>12466</v>
      </c>
    </row>
    <row r="55704" customFormat="false" ht="12.8" hidden="false" customHeight="false" outlineLevel="0" collapsed="false">
      <c r="A55704" s="0" t="s">
        <v>19436</v>
      </c>
      <c r="B55704" s="0" t="str">
        <f aca="false">HYPERLINK("https://lindat.mff.cuni.cz/services/teitok/pdtc10/index.php?action=vallex&amp;frame=v-w7846f5", "vydávat (v-w7846f5)")</f>
        <v>vydávat (v-w7846f5)</v>
      </c>
    </row>
    <row r="55705" customFormat="false" ht="12.8" hidden="false" customHeight="false" outlineLevel="0" collapsed="false">
      <c r="B55705" s="0" t="s">
        <v>7</v>
      </c>
      <c r="F55705" s="0" t="s">
        <v>19363</v>
      </c>
    </row>
    <row r="55706" customFormat="false" ht="12.8" hidden="false" customHeight="false" outlineLevel="0" collapsed="false">
      <c r="B55706" s="0" t="s">
        <v>14</v>
      </c>
    </row>
    <row r="55708" customFormat="false" ht="12.8" hidden="false" customHeight="false" outlineLevel="0" collapsed="false">
      <c r="A55708" s="0" t="s">
        <v>19437</v>
      </c>
      <c r="B55708" s="0" t="str">
        <f aca="false">HYPERLINK("https://lindat.mff.cuni.cz/services/teitok/pdtc10/index.php?action=vallex&amp;frame=v-w7846f10_ZU", "vydávat (v-w7846f10_ZU)")</f>
        <v>vydávat (v-w7846f10_ZU)</v>
      </c>
    </row>
    <row r="55709" customFormat="false" ht="12.8" hidden="false" customHeight="false" outlineLevel="0" collapsed="false">
      <c r="B55709" s="0" t="s">
        <v>7</v>
      </c>
    </row>
    <row r="55710" customFormat="false" ht="12.8" hidden="false" customHeight="false" outlineLevel="0" collapsed="false">
      <c r="B55710" s="0" t="s">
        <v>19438</v>
      </c>
    </row>
    <row r="55711" customFormat="false" ht="12.8" hidden="false" customHeight="false" outlineLevel="0" collapsed="false">
      <c r="B55711" s="0" t="s">
        <v>48</v>
      </c>
    </row>
    <row r="55713" customFormat="false" ht="12.8" hidden="false" customHeight="false" outlineLevel="0" collapsed="false">
      <c r="A55713" s="0" t="s">
        <v>19437</v>
      </c>
      <c r="B55713" s="0" t="str">
        <f aca="false">HYPERLINK("https://lindat.mff.cuni.cz/services/teitok/pdtc10/index.php?action=vallex&amp;frame=v-w7846f6", "vydávat (v-w7846f6) - substituted with v-w7846f10_ZU")</f>
        <v>vydávat (v-w7846f6) - substituted with v-w7846f10_ZU</v>
      </c>
    </row>
    <row r="55714" customFormat="false" ht="12.8" hidden="false" customHeight="false" outlineLevel="0" collapsed="false">
      <c r="B55714" s="0" t="s">
        <v>7</v>
      </c>
      <c r="D55714" s="0" t="s">
        <v>164</v>
      </c>
      <c r="E55714" s="0" t="s">
        <v>164</v>
      </c>
      <c r="F55714" s="0" t="s">
        <v>164</v>
      </c>
    </row>
    <row r="55715" customFormat="false" ht="12.8" hidden="false" customHeight="false" outlineLevel="0" collapsed="false">
      <c r="B55715" s="0" t="s">
        <v>19438</v>
      </c>
      <c r="D55715" s="0" t="s">
        <v>19378</v>
      </c>
      <c r="E55715" s="0" t="s">
        <v>19378</v>
      </c>
      <c r="F55715" s="0" t="s">
        <v>19378</v>
      </c>
    </row>
    <row r="55716" customFormat="false" ht="12.8" hidden="false" customHeight="false" outlineLevel="0" collapsed="false">
      <c r="B55716" s="0" t="s">
        <v>48</v>
      </c>
      <c r="D55716" s="0" t="s">
        <v>168</v>
      </c>
      <c r="E55716" s="0" t="s">
        <v>168</v>
      </c>
      <c r="F55716" s="0" t="s">
        <v>168</v>
      </c>
    </row>
    <row r="55718" customFormat="false" ht="12.8" hidden="false" customHeight="false" outlineLevel="0" collapsed="false">
      <c r="A55718" s="0" t="s">
        <v>19439</v>
      </c>
      <c r="B55718" s="0" t="str">
        <f aca="false">HYPERLINK("https://lindat.mff.cuni.cz/services/teitok/pdtc10/index.php?action=vallex&amp;frame=v-w7848f3", "vydávat se (v-w7848f3)")</f>
        <v>vydávat se (v-w7848f3)</v>
      </c>
    </row>
    <row r="55719" customFormat="false" ht="12.8" hidden="false" customHeight="false" outlineLevel="0" collapsed="false">
      <c r="B55719" s="0" t="s">
        <v>7</v>
      </c>
    </row>
    <row r="55720" customFormat="false" ht="12.8" hidden="false" customHeight="false" outlineLevel="0" collapsed="false">
      <c r="B55720" s="0" t="s">
        <v>227</v>
      </c>
    </row>
    <row r="55722" customFormat="false" ht="12.8" hidden="false" customHeight="false" outlineLevel="0" collapsed="false">
      <c r="A55722" s="0" t="s">
        <v>19440</v>
      </c>
      <c r="B55722" s="0" t="str">
        <f aca="false">HYPERLINK("https://lindat.mff.cuni.cz/services/teitok/pdtc10/index.php?action=vallex&amp;frame=v-w7848f2", "vydávat se (v-w7848f2)")</f>
        <v>vydávat se (v-w7848f2)</v>
      </c>
    </row>
    <row r="55723" customFormat="false" ht="12.8" hidden="false" customHeight="false" outlineLevel="0" collapsed="false">
      <c r="B55723" s="0" t="s">
        <v>7</v>
      </c>
      <c r="C55723" s="0" t="s">
        <v>19441</v>
      </c>
      <c r="D55723" s="0" t="s">
        <v>1559</v>
      </c>
      <c r="E55723" s="0" t="s">
        <v>1559</v>
      </c>
      <c r="F55723" s="0" t="s">
        <v>1559</v>
      </c>
    </row>
    <row r="55724" customFormat="false" ht="12.8" hidden="false" customHeight="false" outlineLevel="0" collapsed="false">
      <c r="B55724" s="0" t="s">
        <v>491</v>
      </c>
      <c r="C55724" s="0" t="s">
        <v>19442</v>
      </c>
      <c r="D55724" s="0" t="s">
        <v>8699</v>
      </c>
      <c r="E55724" s="0" t="s">
        <v>8699</v>
      </c>
      <c r="F55724" s="0" t="s">
        <v>8699</v>
      </c>
    </row>
    <row r="55726" customFormat="false" ht="12.8" hidden="false" customHeight="false" outlineLevel="0" collapsed="false">
      <c r="A55726" s="0" t="s">
        <v>19443</v>
      </c>
      <c r="B55726" s="0" t="str">
        <f aca="false">HYPERLINK("https://lindat.mff.cuni.cz/services/teitok/pdtc10/index.php?action=vallex&amp;frame=v-w7848f1", "vydávat se (v-w7848f1)")</f>
        <v>vydávat se (v-w7848f1)</v>
      </c>
    </row>
    <row r="55727" customFormat="false" ht="12.8" hidden="false" customHeight="false" outlineLevel="0" collapsed="false">
      <c r="B55727" s="0" t="s">
        <v>7</v>
      </c>
      <c r="C55727" s="0" t="s">
        <v>19444</v>
      </c>
      <c r="D55727" s="0" t="s">
        <v>3856</v>
      </c>
      <c r="E55727" s="0" t="s">
        <v>3856</v>
      </c>
      <c r="F55727" s="0" t="s">
        <v>3856</v>
      </c>
    </row>
    <row r="55728" customFormat="false" ht="12.8" hidden="false" customHeight="false" outlineLevel="0" collapsed="false">
      <c r="B55728" s="0" t="s">
        <v>124</v>
      </c>
    </row>
    <row r="55730" customFormat="false" ht="12.8" hidden="false" customHeight="false" outlineLevel="0" collapsed="false">
      <c r="A55730" s="0" t="s">
        <v>19445</v>
      </c>
      <c r="B55730" s="0" t="str">
        <f aca="false">HYPERLINK("https://lindat.mff.cuni.cz/services/teitok/pdtc10/index.php?action=vallex&amp;frame=v-w7860f1", "vydírat (v-w7860f1)")</f>
        <v>vydírat (v-w7860f1)</v>
      </c>
    </row>
    <row r="55731" customFormat="false" ht="12.8" hidden="false" customHeight="false" outlineLevel="0" collapsed="false">
      <c r="B55731" s="0" t="s">
        <v>7</v>
      </c>
      <c r="C55731" s="0" t="s">
        <v>335</v>
      </c>
      <c r="D55731" s="0" t="s">
        <v>335</v>
      </c>
      <c r="E55731" s="0" t="s">
        <v>335</v>
      </c>
      <c r="F55731" s="0" t="s">
        <v>335</v>
      </c>
    </row>
    <row r="55732" customFormat="false" ht="12.8" hidden="false" customHeight="false" outlineLevel="0" collapsed="false">
      <c r="B55732" s="0" t="s">
        <v>14</v>
      </c>
      <c r="C55732" s="0" t="s">
        <v>8646</v>
      </c>
      <c r="D55732" s="0" t="s">
        <v>8646</v>
      </c>
      <c r="E55732" s="0" t="s">
        <v>8646</v>
      </c>
      <c r="F55732" s="0" t="s">
        <v>8646</v>
      </c>
    </row>
    <row r="55734" customFormat="false" ht="12.8" hidden="false" customHeight="false" outlineLevel="0" collapsed="false">
      <c r="A55734" s="0" t="s">
        <v>19446</v>
      </c>
      <c r="B55734" s="0" t="str">
        <f aca="false">HYPERLINK("https://lindat.mff.cuni.cz/services/teitok/pdtc10/index.php?action=vallex&amp;frame=v-w7869f1", "vydýchat se (v-w7869f1)")</f>
        <v>vydýchat se (v-w7869f1)</v>
      </c>
    </row>
    <row r="55735" customFormat="false" ht="12.8" hidden="false" customHeight="false" outlineLevel="0" collapsed="false">
      <c r="B55735" s="0" t="s">
        <v>7</v>
      </c>
    </row>
    <row r="55737" customFormat="false" ht="12.8" hidden="false" customHeight="false" outlineLevel="0" collapsed="false">
      <c r="A55737" s="0" t="s">
        <v>19447</v>
      </c>
      <c r="B55737" s="0" t="str">
        <f aca="false">HYPERLINK("https://lindat.mff.cuni.cz/services/teitok/pdtc10/index.php?action=vallex&amp;frame=v-w7849f1", "vydědit (v-w7849f1)")</f>
        <v>vydědit (v-w7849f1)</v>
      </c>
    </row>
    <row r="55738" customFormat="false" ht="12.8" hidden="false" customHeight="false" outlineLevel="0" collapsed="false">
      <c r="B55738" s="0" t="s">
        <v>7</v>
      </c>
    </row>
    <row r="55739" customFormat="false" ht="12.8" hidden="false" customHeight="false" outlineLevel="0" collapsed="false">
      <c r="B55739" s="0" t="s">
        <v>14</v>
      </c>
    </row>
    <row r="55741" customFormat="false" ht="12.8" hidden="false" customHeight="false" outlineLevel="0" collapsed="false">
      <c r="A55741" s="0" t="s">
        <v>19448</v>
      </c>
      <c r="B55741" s="0" t="str">
        <f aca="false">HYPERLINK("https://lindat.mff.cuni.cz/services/teitok/pdtc10/index.php?action=vallex&amp;frame=v-w7853f3_ZU", "vydělat (v-w7853f3_ZU)")</f>
        <v>vydělat (v-w7853f3_ZU)</v>
      </c>
    </row>
    <row r="55742" customFormat="false" ht="12.8" hidden="false" customHeight="false" outlineLevel="0" collapsed="false">
      <c r="B55742" s="0" t="s">
        <v>7</v>
      </c>
      <c r="C55742" s="0" t="s">
        <v>9077</v>
      </c>
      <c r="D55742" s="0" t="s">
        <v>1725</v>
      </c>
      <c r="E55742" s="0" t="s">
        <v>1725</v>
      </c>
      <c r="F55742" s="0" t="s">
        <v>1725</v>
      </c>
    </row>
    <row r="55743" customFormat="false" ht="12.8" hidden="false" customHeight="false" outlineLevel="0" collapsed="false">
      <c r="B55743" s="0" t="s">
        <v>14</v>
      </c>
      <c r="C55743" s="0" t="s">
        <v>1277</v>
      </c>
      <c r="D55743" s="0" t="s">
        <v>1728</v>
      </c>
      <c r="E55743" s="0" t="s">
        <v>1728</v>
      </c>
      <c r="F55743" s="0" t="s">
        <v>1728</v>
      </c>
    </row>
    <row r="55744" customFormat="false" ht="12.8" hidden="false" customHeight="false" outlineLevel="0" collapsed="false">
      <c r="B55744" s="0" t="s">
        <v>19449</v>
      </c>
      <c r="D55744" s="0" t="s">
        <v>1730</v>
      </c>
      <c r="E55744" s="0" t="s">
        <v>1730</v>
      </c>
      <c r="F55744" s="0" t="s">
        <v>1730</v>
      </c>
    </row>
    <row r="55746" customFormat="false" ht="12.8" hidden="false" customHeight="false" outlineLevel="0" collapsed="false">
      <c r="A55746" s="0" t="s">
        <v>19448</v>
      </c>
      <c r="B55746" s="0" t="str">
        <f aca="false">HYPERLINK("https://lindat.mff.cuni.cz/services/teitok/pdtc10/index.php?action=vallex&amp;frame=v-w7853f1", "vydělat (v-w7853f1) - substituted with v-w7853f3_ZU")</f>
        <v>vydělat (v-w7853f1) - substituted with v-w7853f3_ZU</v>
      </c>
    </row>
    <row r="55747" customFormat="false" ht="12.8" hidden="false" customHeight="false" outlineLevel="0" collapsed="false">
      <c r="B55747" s="0" t="s">
        <v>7</v>
      </c>
      <c r="C55747" s="0" t="s">
        <v>19450</v>
      </c>
    </row>
    <row r="55748" customFormat="false" ht="12.8" hidden="false" customHeight="false" outlineLevel="0" collapsed="false">
      <c r="B55748" s="0" t="s">
        <v>14</v>
      </c>
      <c r="C55748" s="0" t="s">
        <v>4644</v>
      </c>
    </row>
    <row r="55749" customFormat="false" ht="12.8" hidden="false" customHeight="false" outlineLevel="0" collapsed="false">
      <c r="B55749" s="0" t="s">
        <v>19449</v>
      </c>
      <c r="C55749" s="0" t="s">
        <v>19451</v>
      </c>
    </row>
    <row r="55751" customFormat="false" ht="12.8" hidden="false" customHeight="false" outlineLevel="0" collapsed="false">
      <c r="A55751" s="0" t="s">
        <v>19448</v>
      </c>
      <c r="B55751" s="0" t="str">
        <f aca="false">HYPERLINK("https://lindat.mff.cuni.cz/services/teitok/pdtc10/index.php?action=vallex&amp;frame=v-w7853f2_ZU", "vydělat (v-w7853f2_ZU) - substituted with v-w7853f3_ZU")</f>
        <v>vydělat (v-w7853f2_ZU) - substituted with v-w7853f3_ZU</v>
      </c>
    </row>
    <row r="55752" customFormat="false" ht="12.8" hidden="false" customHeight="false" outlineLevel="0" collapsed="false">
      <c r="B55752" s="0" t="s">
        <v>7</v>
      </c>
      <c r="C55752" s="0" t="s">
        <v>19452</v>
      </c>
    </row>
    <row r="55753" customFormat="false" ht="12.8" hidden="false" customHeight="false" outlineLevel="0" collapsed="false">
      <c r="B55753" s="0" t="s">
        <v>14</v>
      </c>
      <c r="C55753" s="0" t="s">
        <v>12162</v>
      </c>
    </row>
    <row r="55754" customFormat="false" ht="12.8" hidden="false" customHeight="false" outlineLevel="0" collapsed="false">
      <c r="B55754" s="0" t="s">
        <v>19449</v>
      </c>
      <c r="C55754" s="0" t="s">
        <v>19453</v>
      </c>
    </row>
    <row r="55756" customFormat="false" ht="12.8" hidden="false" customHeight="false" outlineLevel="0" collapsed="false">
      <c r="A55756" s="0" t="s">
        <v>19448</v>
      </c>
      <c r="B55756" s="0" t="str">
        <f aca="false">HYPERLINK("https://lindat.mff.cuni.cz/services/teitok/pdtc10/index.php?action=vallex&amp;frame=v-w7853hsa_301", "vydělat (v-w7853hsa_301) - substituted with v-w7853f3_ZU")</f>
        <v>vydělat (v-w7853hsa_301) - substituted with v-w7853f3_ZU</v>
      </c>
    </row>
    <row r="55757" customFormat="false" ht="12.8" hidden="false" customHeight="false" outlineLevel="0" collapsed="false">
      <c r="B55757" s="0" t="s">
        <v>7</v>
      </c>
    </row>
    <row r="55758" customFormat="false" ht="12.8" hidden="false" customHeight="false" outlineLevel="0" collapsed="false">
      <c r="B55758" s="0" t="s">
        <v>14</v>
      </c>
    </row>
    <row r="55759" customFormat="false" ht="12.8" hidden="false" customHeight="false" outlineLevel="0" collapsed="false">
      <c r="B55759" s="0" t="s">
        <v>19449</v>
      </c>
    </row>
    <row r="55761" customFormat="false" ht="12.8" hidden="false" customHeight="false" outlineLevel="0" collapsed="false">
      <c r="A55761" s="0" t="s">
        <v>19454</v>
      </c>
      <c r="B55761" s="0" t="str">
        <f aca="false">HYPERLINK("https://lindat.mff.cuni.cz/services/teitok/pdtc10/index.php?action=vallex&amp;frame=v-w7853hsa_239", "vydělat (v-w7853hsa_239)")</f>
        <v>vydělat (v-w7853hsa_239)</v>
      </c>
    </row>
    <row r="55762" customFormat="false" ht="12.8" hidden="false" customHeight="false" outlineLevel="0" collapsed="false">
      <c r="B55762" s="0" t="s">
        <v>7</v>
      </c>
    </row>
    <row r="55763" customFormat="false" ht="12.8" hidden="false" customHeight="false" outlineLevel="0" collapsed="false">
      <c r="B55763" s="0" t="s">
        <v>14</v>
      </c>
    </row>
    <row r="55765" customFormat="false" ht="12.8" hidden="false" customHeight="false" outlineLevel="0" collapsed="false">
      <c r="A55765" s="0" t="s">
        <v>19455</v>
      </c>
      <c r="B55765" s="0" t="str">
        <f aca="false">HYPERLINK("https://lindat.mff.cuni.cz/services/teitok/pdtc10/index.php?action=vallex&amp;frame=v-w7856f1", "vydělit (v-w7856f1)")</f>
        <v>vydělit (v-w7856f1)</v>
      </c>
    </row>
    <row r="55766" customFormat="false" ht="12.8" hidden="false" customHeight="false" outlineLevel="0" collapsed="false">
      <c r="B55766" s="0" t="s">
        <v>7</v>
      </c>
      <c r="C55766" s="0" t="s">
        <v>335</v>
      </c>
    </row>
    <row r="55767" customFormat="false" ht="12.8" hidden="false" customHeight="false" outlineLevel="0" collapsed="false">
      <c r="B55767" s="0" t="s">
        <v>14</v>
      </c>
      <c r="C55767" s="0" t="s">
        <v>1209</v>
      </c>
    </row>
    <row r="55768" customFormat="false" ht="12.8" hidden="false" customHeight="false" outlineLevel="0" collapsed="false">
      <c r="B55768" s="0" t="s">
        <v>459</v>
      </c>
    </row>
    <row r="55770" customFormat="false" ht="12.8" hidden="false" customHeight="false" outlineLevel="0" collapsed="false">
      <c r="A55770" s="0" t="s">
        <v>19456</v>
      </c>
      <c r="B55770" s="0" t="str">
        <f aca="false">HYPERLINK("https://lindat.mff.cuni.cz/services/teitok/pdtc10/index.php?action=vallex&amp;frame=v-w7856f2_ZU", "vydělit (v-w7856f2_ZU)")</f>
        <v>vydělit (v-w7856f2_ZU)</v>
      </c>
    </row>
    <row r="55771" customFormat="false" ht="12.8" hidden="false" customHeight="false" outlineLevel="0" collapsed="false">
      <c r="B55771" s="0" t="s">
        <v>7</v>
      </c>
      <c r="C55771" s="0" t="s">
        <v>191</v>
      </c>
    </row>
    <row r="55772" customFormat="false" ht="12.8" hidden="false" customHeight="false" outlineLevel="0" collapsed="false">
      <c r="B55772" s="0" t="s">
        <v>14</v>
      </c>
      <c r="C55772" s="0" t="s">
        <v>155</v>
      </c>
    </row>
    <row r="55773" customFormat="false" ht="12.8" hidden="false" customHeight="false" outlineLevel="0" collapsed="false">
      <c r="B55773" s="0" t="s">
        <v>1408</v>
      </c>
      <c r="C55773" s="0" t="s">
        <v>4597</v>
      </c>
    </row>
    <row r="55775" customFormat="false" ht="12.8" hidden="false" customHeight="false" outlineLevel="0" collapsed="false">
      <c r="A55775" s="0" t="s">
        <v>19456</v>
      </c>
      <c r="B55775" s="0" t="str">
        <f aca="false">HYPERLINK("https://lindat.mff.cuni.cz/services/teitok/pdtc10/index.php?action=vallex&amp;frame=v-w7856hsa_685", "vydělit (v-w7856hsa_685) - substituted with v-w7856f2_ZU")</f>
        <v>vydělit (v-w7856hsa_685) - substituted with v-w7856f2_ZU</v>
      </c>
    </row>
    <row r="55776" customFormat="false" ht="12.8" hidden="false" customHeight="false" outlineLevel="0" collapsed="false">
      <c r="B55776" s="0" t="s">
        <v>7</v>
      </c>
    </row>
    <row r="55777" customFormat="false" ht="12.8" hidden="false" customHeight="false" outlineLevel="0" collapsed="false">
      <c r="B55777" s="0" t="s">
        <v>14</v>
      </c>
    </row>
    <row r="55778" customFormat="false" ht="12.8" hidden="false" customHeight="false" outlineLevel="0" collapsed="false">
      <c r="B55778" s="0" t="s">
        <v>1408</v>
      </c>
    </row>
    <row r="55780" customFormat="false" ht="12.8" hidden="false" customHeight="false" outlineLevel="0" collapsed="false">
      <c r="A55780" s="0" t="s">
        <v>19457</v>
      </c>
      <c r="B55780" s="0" t="str">
        <f aca="false">HYPERLINK("https://lindat.mff.cuni.cz/services/teitok/pdtc10/index.php?action=vallex&amp;frame=v-w7857f1", "vydělit se (v-w7857f1)")</f>
        <v>vydělit se (v-w7857f1)</v>
      </c>
    </row>
    <row r="55781" customFormat="false" ht="12.8" hidden="false" customHeight="false" outlineLevel="0" collapsed="false">
      <c r="B55781" s="0" t="s">
        <v>7</v>
      </c>
    </row>
    <row r="55782" customFormat="false" ht="12.8" hidden="false" customHeight="false" outlineLevel="0" collapsed="false">
      <c r="B55782" s="0" t="s">
        <v>459</v>
      </c>
    </row>
    <row r="55784" customFormat="false" ht="12.8" hidden="false" customHeight="false" outlineLevel="0" collapsed="false">
      <c r="A55784" s="0" t="s">
        <v>19458</v>
      </c>
      <c r="B55784" s="0" t="str">
        <f aca="false">HYPERLINK("https://lindat.mff.cuni.cz/services/teitok/pdtc10/index.php?action=vallex&amp;frame=v-w7858f1", "vydělovat se (v-w7858f1)")</f>
        <v>vydělovat se (v-w7858f1)</v>
      </c>
    </row>
    <row r="55785" customFormat="false" ht="12.8" hidden="false" customHeight="false" outlineLevel="0" collapsed="false">
      <c r="B55785" s="0" t="s">
        <v>7</v>
      </c>
    </row>
    <row r="55786" customFormat="false" ht="12.8" hidden="false" customHeight="false" outlineLevel="0" collapsed="false">
      <c r="B55786" s="0" t="s">
        <v>459</v>
      </c>
    </row>
    <row r="55788" customFormat="false" ht="12.8" hidden="false" customHeight="false" outlineLevel="0" collapsed="false">
      <c r="A55788" s="0" t="s">
        <v>19459</v>
      </c>
      <c r="B55788" s="0" t="str">
        <f aca="false">HYPERLINK("https://lindat.mff.cuni.cz/services/teitok/pdtc10/index.php?action=vallex&amp;frame=v-w7854f1", "vydělávat (v-w7854f1)")</f>
        <v>vydělávat (v-w7854f1)</v>
      </c>
    </row>
    <row r="55789" customFormat="false" ht="12.8" hidden="false" customHeight="false" outlineLevel="0" collapsed="false">
      <c r="B55789" s="0" t="s">
        <v>7</v>
      </c>
      <c r="C55789" s="0" t="s">
        <v>19460</v>
      </c>
      <c r="D55789" s="0" t="s">
        <v>1725</v>
      </c>
      <c r="E55789" s="0" t="s">
        <v>1725</v>
      </c>
      <c r="F55789" s="0" t="s">
        <v>1725</v>
      </c>
    </row>
    <row r="55790" customFormat="false" ht="12.8" hidden="false" customHeight="false" outlineLevel="0" collapsed="false">
      <c r="B55790" s="0" t="s">
        <v>14</v>
      </c>
      <c r="C55790" s="0" t="s">
        <v>17210</v>
      </c>
      <c r="D55790" s="0" t="s">
        <v>1728</v>
      </c>
      <c r="E55790" s="0" t="s">
        <v>1728</v>
      </c>
      <c r="F55790" s="0" t="s">
        <v>1728</v>
      </c>
    </row>
    <row r="55791" customFormat="false" ht="12.8" hidden="false" customHeight="false" outlineLevel="0" collapsed="false">
      <c r="B55791" s="0" t="s">
        <v>586</v>
      </c>
      <c r="C55791" s="0" t="s">
        <v>19461</v>
      </c>
      <c r="D55791" s="0" t="s">
        <v>1730</v>
      </c>
      <c r="E55791" s="0" t="s">
        <v>1730</v>
      </c>
      <c r="F55791" s="0" t="s">
        <v>1730</v>
      </c>
    </row>
    <row r="55793" customFormat="false" ht="12.8" hidden="false" customHeight="false" outlineLevel="0" collapsed="false">
      <c r="A55793" s="0" t="s">
        <v>19462</v>
      </c>
      <c r="B55793" s="0" t="str">
        <f aca="false">HYPERLINK("https://lindat.mff.cuni.cz/services/teitok/pdtc10/index.php?action=vallex&amp;frame=v-w10454f2", "vyděsit (v-w10454f2)")</f>
        <v>vyděsit (v-w10454f2)</v>
      </c>
    </row>
    <row r="55794" customFormat="false" ht="12.8" hidden="false" customHeight="false" outlineLevel="0" collapsed="false">
      <c r="B55794" s="0" t="s">
        <v>7</v>
      </c>
      <c r="C55794" s="0" t="s">
        <v>19463</v>
      </c>
      <c r="D55794" s="0" t="s">
        <v>3576</v>
      </c>
      <c r="E55794" s="0" t="s">
        <v>3576</v>
      </c>
      <c r="F55794" s="0" t="s">
        <v>3576</v>
      </c>
    </row>
    <row r="55795" customFormat="false" ht="12.8" hidden="false" customHeight="false" outlineLevel="0" collapsed="false">
      <c r="B55795" s="0" t="s">
        <v>14</v>
      </c>
      <c r="C55795" s="0" t="s">
        <v>1315</v>
      </c>
      <c r="D55795" s="0" t="s">
        <v>2641</v>
      </c>
      <c r="E55795" s="0" t="s">
        <v>2641</v>
      </c>
      <c r="F55795" s="0" t="s">
        <v>2641</v>
      </c>
    </row>
    <row r="55797" customFormat="false" ht="12.8" hidden="false" customHeight="false" outlineLevel="0" collapsed="false">
      <c r="A55797" s="0" t="s">
        <v>19464</v>
      </c>
      <c r="B55797" s="0" t="str">
        <f aca="false">HYPERLINK("https://lindat.mff.cuni.cz/services/teitok/pdtc10/index.php?action=vallex&amp;frame=v-w11319f1", "vyděsit se (v-w11319f1)")</f>
        <v>vyděsit se (v-w11319f1)</v>
      </c>
    </row>
    <row r="55798" customFormat="false" ht="12.8" hidden="false" customHeight="false" outlineLevel="0" collapsed="false">
      <c r="B55798" s="0" t="s">
        <v>7</v>
      </c>
      <c r="C55798" s="0" t="s">
        <v>396</v>
      </c>
      <c r="D55798" s="0" t="s">
        <v>5375</v>
      </c>
      <c r="E55798" s="0" t="s">
        <v>5375</v>
      </c>
      <c r="F55798" s="0" t="s">
        <v>5375</v>
      </c>
    </row>
    <row r="55800" customFormat="false" ht="12.8" hidden="false" customHeight="false" outlineLevel="0" collapsed="false">
      <c r="A55800" s="0" t="s">
        <v>19465</v>
      </c>
      <c r="B55800" s="0" t="str">
        <f aca="false">HYPERLINK("https://lindat.mff.cuni.cz/services/teitok/pdtc10/index.php?action=vallex&amp;frame=v-w10916f2", "vydřít (v-w10916f2)")</f>
        <v>vydřít (v-w10916f2)</v>
      </c>
    </row>
    <row r="55801" customFormat="false" ht="12.8" hidden="false" customHeight="false" outlineLevel="0" collapsed="false">
      <c r="B55801" s="0" t="s">
        <v>7</v>
      </c>
      <c r="C55801" s="0" t="s">
        <v>184</v>
      </c>
    </row>
    <row r="55802" customFormat="false" ht="12.8" hidden="false" customHeight="false" outlineLevel="0" collapsed="false">
      <c r="B55802" s="0" t="s">
        <v>14</v>
      </c>
      <c r="C55802" s="0" t="s">
        <v>155</v>
      </c>
    </row>
    <row r="55803" customFormat="false" ht="12.8" hidden="false" customHeight="false" outlineLevel="0" collapsed="false">
      <c r="B55803" s="0" t="s">
        <v>7321</v>
      </c>
    </row>
    <row r="55805" customFormat="false" ht="12.8" hidden="false" customHeight="false" outlineLevel="0" collapsed="false">
      <c r="A55805" s="0" t="s">
        <v>19466</v>
      </c>
      <c r="B55805" s="0" t="str">
        <f aca="false">HYPERLINK("https://lindat.mff.cuni.cz/services/teitok/pdtc10/index.php?action=vallex&amp;frame=v-w11620_ZUf1_ZU", "vyexpedovat (v-w11620_ZUf1_ZU)")</f>
        <v>vyexpedovat (v-w11620_ZUf1_ZU)</v>
      </c>
    </row>
    <row r="55806" customFormat="false" ht="12.8" hidden="false" customHeight="false" outlineLevel="0" collapsed="false">
      <c r="B55806" s="0" t="s">
        <v>7</v>
      </c>
    </row>
    <row r="55807" customFormat="false" ht="12.8" hidden="false" customHeight="false" outlineLevel="0" collapsed="false">
      <c r="B55807" s="0" t="s">
        <v>14</v>
      </c>
    </row>
    <row r="55808" customFormat="false" ht="12.8" hidden="false" customHeight="false" outlineLevel="0" collapsed="false">
      <c r="B55808" s="0" t="s">
        <v>5382</v>
      </c>
    </row>
    <row r="55810" customFormat="false" ht="12.8" hidden="false" customHeight="false" outlineLevel="0" collapsed="false">
      <c r="A55810" s="0" t="s">
        <v>19467</v>
      </c>
      <c r="B55810" s="0" t="str">
        <f aca="false">HYPERLINK("https://lindat.mff.cuni.cz/services/teitok/pdtc10/index.php?action=vallex&amp;frame=v-w7870f1", "vyfasovat (v-w7870f1)")</f>
        <v>vyfasovat (v-w7870f1)</v>
      </c>
    </row>
    <row r="55811" customFormat="false" ht="12.8" hidden="false" customHeight="false" outlineLevel="0" collapsed="false">
      <c r="B55811" s="0" t="s">
        <v>7</v>
      </c>
      <c r="D55811" s="0" t="s">
        <v>2361</v>
      </c>
      <c r="E55811" s="0" t="s">
        <v>2361</v>
      </c>
      <c r="F55811" s="0" t="s">
        <v>2361</v>
      </c>
    </row>
    <row r="55812" customFormat="false" ht="12.8" hidden="false" customHeight="false" outlineLevel="0" collapsed="false">
      <c r="B55812" s="0" t="s">
        <v>14</v>
      </c>
      <c r="D55812" s="0" t="s">
        <v>2363</v>
      </c>
      <c r="E55812" s="0" t="s">
        <v>2363</v>
      </c>
      <c r="F55812" s="0" t="s">
        <v>2363</v>
      </c>
    </row>
    <row r="55814" customFormat="false" ht="12.8" hidden="false" customHeight="false" outlineLevel="0" collapsed="false">
      <c r="A55814" s="0" t="s">
        <v>19468</v>
      </c>
      <c r="B55814" s="0" t="str">
        <f aca="false">HYPERLINK("https://lindat.mff.cuni.cz/services/teitok/pdtc10/index.php?action=vallex&amp;frame=v-w7870f2_ZU", "vyfasovat (v-w7870f2_ZU)")</f>
        <v>vyfasovat (v-w7870f2_ZU)</v>
      </c>
    </row>
    <row r="55815" customFormat="false" ht="12.8" hidden="false" customHeight="false" outlineLevel="0" collapsed="false">
      <c r="B55815" s="0" t="s">
        <v>7</v>
      </c>
    </row>
    <row r="55816" customFormat="false" ht="12.8" hidden="false" customHeight="false" outlineLevel="0" collapsed="false">
      <c r="B55816" s="0" t="s">
        <v>14</v>
      </c>
    </row>
    <row r="55818" customFormat="false" ht="12.8" hidden="false" customHeight="false" outlineLevel="0" collapsed="false">
      <c r="A55818" s="0" t="s">
        <v>19469</v>
      </c>
      <c r="B55818" s="0" t="str">
        <f aca="false">HYPERLINK("https://lindat.mff.cuni.cz/services/teitok/pdtc10/index.php?action=vallex&amp;frame=v-w10901f2", "vyfotit (v-w10901f2)")</f>
        <v>vyfotit (v-w10901f2)</v>
      </c>
    </row>
    <row r="55819" customFormat="false" ht="12.8" hidden="false" customHeight="false" outlineLevel="0" collapsed="false">
      <c r="B55819" s="0" t="s">
        <v>7</v>
      </c>
    </row>
    <row r="55820" customFormat="false" ht="12.8" hidden="false" customHeight="false" outlineLevel="0" collapsed="false">
      <c r="B55820" s="0" t="s">
        <v>14</v>
      </c>
    </row>
    <row r="55822" customFormat="false" ht="12.8" hidden="false" customHeight="false" outlineLevel="0" collapsed="false">
      <c r="A55822" s="0" t="s">
        <v>19470</v>
      </c>
      <c r="B55822" s="0" t="str">
        <f aca="false">HYPERLINK("https://lindat.mff.cuni.cz/services/teitok/pdtc10/index.php?action=vallex&amp;frame=v-w10901f3_ZU", "vyfotit (v-w10901f3_ZU)")</f>
        <v>vyfotit (v-w10901f3_ZU)</v>
      </c>
    </row>
    <row r="55823" customFormat="false" ht="12.8" hidden="false" customHeight="false" outlineLevel="0" collapsed="false">
      <c r="B55823" s="0" t="s">
        <v>7</v>
      </c>
    </row>
    <row r="55824" customFormat="false" ht="12.8" hidden="false" customHeight="false" outlineLevel="0" collapsed="false">
      <c r="B55824" s="0" t="s">
        <v>14</v>
      </c>
    </row>
    <row r="55826" customFormat="false" ht="12.8" hidden="false" customHeight="false" outlineLevel="0" collapsed="false">
      <c r="A55826" s="0" t="s">
        <v>19471</v>
      </c>
      <c r="B55826" s="0" t="str">
        <f aca="false">HYPERLINK("https://lindat.mff.cuni.cz/services/teitok/pdtc10/index.php?action=vallex&amp;frame=v-w11900_ZUf3_ZU", "vyfotit se (v-w11900_ZUf3_ZU)")</f>
        <v>vyfotit se (v-w11900_ZUf3_ZU)</v>
      </c>
    </row>
    <row r="55827" customFormat="false" ht="12.8" hidden="false" customHeight="false" outlineLevel="0" collapsed="false">
      <c r="B55827" s="0" t="s">
        <v>7</v>
      </c>
    </row>
    <row r="55828" customFormat="false" ht="12.8" hidden="false" customHeight="false" outlineLevel="0" collapsed="false">
      <c r="B55828" s="0" t="s">
        <v>2871</v>
      </c>
    </row>
    <row r="55830" customFormat="false" ht="12.8" hidden="false" customHeight="false" outlineLevel="0" collapsed="false">
      <c r="A55830" s="0" t="s">
        <v>19471</v>
      </c>
      <c r="B55830" s="0" t="str">
        <f aca="false">HYPERLINK("https://lindat.mff.cuni.cz/services/teitok/pdtc10/index.php?action=vallex&amp;frame=v-w11900_ZUf1_ZU", "vyfotit se (v-w11900_ZUf1_ZU) - substituted with v-w11900_ZUf3_ZU")</f>
        <v>vyfotit se (v-w11900_ZUf1_ZU) - substituted with v-w11900_ZUf3_ZU</v>
      </c>
    </row>
    <row r="55831" customFormat="false" ht="12.8" hidden="false" customHeight="false" outlineLevel="0" collapsed="false">
      <c r="B55831" s="0" t="s">
        <v>7</v>
      </c>
    </row>
    <row r="55832" customFormat="false" ht="12.8" hidden="false" customHeight="false" outlineLevel="0" collapsed="false">
      <c r="B55832" s="0" t="s">
        <v>2871</v>
      </c>
    </row>
    <row r="55834" customFormat="false" ht="12.8" hidden="false" customHeight="false" outlineLevel="0" collapsed="false">
      <c r="A55834" s="0" t="s">
        <v>19471</v>
      </c>
      <c r="B55834" s="0" t="str">
        <f aca="false">HYPERLINK("https://lindat.mff.cuni.cz/services/teitok/pdtc10/index.php?action=vallex&amp;frame=v-w11900_ZUf2_ZU", "vyfotit se (v-w11900_ZUf2_ZU) - substituted with v-w11900_ZUf3_ZU")</f>
        <v>vyfotit se (v-w11900_ZUf2_ZU) - substituted with v-w11900_ZUf3_ZU</v>
      </c>
    </row>
    <row r="55835" customFormat="false" ht="12.8" hidden="false" customHeight="false" outlineLevel="0" collapsed="false">
      <c r="B55835" s="0" t="s">
        <v>7</v>
      </c>
    </row>
    <row r="55836" customFormat="false" ht="12.8" hidden="false" customHeight="false" outlineLevel="0" collapsed="false">
      <c r="B55836" s="0" t="s">
        <v>2871</v>
      </c>
    </row>
    <row r="55838" customFormat="false" ht="12.8" hidden="false" customHeight="false" outlineLevel="0" collapsed="false">
      <c r="A55838" s="0" t="s">
        <v>19472</v>
      </c>
      <c r="B55838" s="0" t="str">
        <f aca="false">HYPERLINK("https://lindat.mff.cuni.cz/services/teitok/pdtc10/index.php?action=vallex&amp;frame=v-w7871f1", "vyfotografovat (v-w7871f1)")</f>
        <v>vyfotografovat (v-w7871f1)</v>
      </c>
    </row>
    <row r="55839" customFormat="false" ht="12.8" hidden="false" customHeight="false" outlineLevel="0" collapsed="false">
      <c r="B55839" s="0" t="s">
        <v>7</v>
      </c>
    </row>
    <row r="55840" customFormat="false" ht="12.8" hidden="false" customHeight="false" outlineLevel="0" collapsed="false">
      <c r="B55840" s="0" t="s">
        <v>14</v>
      </c>
    </row>
    <row r="55842" customFormat="false" ht="12.8" hidden="false" customHeight="false" outlineLevel="0" collapsed="false">
      <c r="A55842" s="0" t="s">
        <v>19473</v>
      </c>
      <c r="B55842" s="0" t="str">
        <f aca="false">HYPERLINK("https://lindat.mff.cuni.cz/services/teitok/pdtc10/index.php?action=vallex&amp;frame=v-w11362f1", "vyfotografovat se (v-w11362f1)")</f>
        <v>vyfotografovat se (v-w11362f1)</v>
      </c>
    </row>
    <row r="55843" customFormat="false" ht="12.8" hidden="false" customHeight="false" outlineLevel="0" collapsed="false">
      <c r="B55843" s="0" t="s">
        <v>7</v>
      </c>
    </row>
    <row r="55844" customFormat="false" ht="12.8" hidden="false" customHeight="false" outlineLevel="0" collapsed="false">
      <c r="B55844" s="0" t="s">
        <v>548</v>
      </c>
    </row>
    <row r="55846" customFormat="false" ht="12.8" hidden="false" customHeight="false" outlineLevel="0" collapsed="false">
      <c r="A55846" s="0" t="s">
        <v>19474</v>
      </c>
      <c r="B55846" s="0" t="str">
        <f aca="false">HYPERLINK("https://lindat.mff.cuni.cz/services/teitok/pdtc10/index.php?action=vallex&amp;frame=v-w7872f1", "vyfouknout (v-w7872f1)")</f>
        <v>vyfouknout (v-w7872f1)</v>
      </c>
    </row>
    <row r="55847" customFormat="false" ht="12.8" hidden="false" customHeight="false" outlineLevel="0" collapsed="false">
      <c r="B55847" s="0" t="s">
        <v>7</v>
      </c>
    </row>
    <row r="55848" customFormat="false" ht="12.8" hidden="false" customHeight="false" outlineLevel="0" collapsed="false">
      <c r="B55848" s="0" t="s">
        <v>14</v>
      </c>
    </row>
    <row r="55849" customFormat="false" ht="12.8" hidden="false" customHeight="false" outlineLevel="0" collapsed="false">
      <c r="B55849" s="0" t="s">
        <v>35</v>
      </c>
    </row>
    <row r="55851" customFormat="false" ht="12.8" hidden="false" customHeight="false" outlineLevel="0" collapsed="false">
      <c r="A55851" s="0" t="s">
        <v>19475</v>
      </c>
      <c r="B55851" s="0" t="str">
        <f aca="false">HYPERLINK("https://lindat.mff.cuni.cz/services/teitok/pdtc10/index.php?action=vallex&amp;frame=v-w7872hsa_1098", "vyfouknout (v-w7872hsa_1098)")</f>
        <v>vyfouknout (v-w7872hsa_1098)</v>
      </c>
    </row>
    <row r="55852" customFormat="false" ht="12.8" hidden="false" customHeight="false" outlineLevel="0" collapsed="false">
      <c r="B55852" s="0" t="s">
        <v>7</v>
      </c>
    </row>
    <row r="55853" customFormat="false" ht="12.8" hidden="false" customHeight="false" outlineLevel="0" collapsed="false">
      <c r="B55853" s="0" t="s">
        <v>14</v>
      </c>
    </row>
    <row r="55854" customFormat="false" ht="12.8" hidden="false" customHeight="false" outlineLevel="0" collapsed="false">
      <c r="B55854" s="0" t="s">
        <v>48</v>
      </c>
    </row>
    <row r="55856" customFormat="false" ht="12.8" hidden="false" customHeight="false" outlineLevel="0" collapsed="false">
      <c r="A55856" s="0" t="s">
        <v>19476</v>
      </c>
      <c r="B55856" s="0" t="str">
        <f aca="false">HYPERLINK("https://lindat.mff.cuni.cz/services/teitok/pdtc10/index.php?action=vallex&amp;frame=v-w11188f2", "vygenerovat (v-w11188f2)")</f>
        <v>vygenerovat (v-w11188f2)</v>
      </c>
    </row>
    <row r="55857" customFormat="false" ht="12.8" hidden="false" customHeight="false" outlineLevel="0" collapsed="false">
      <c r="B55857" s="0" t="s">
        <v>7</v>
      </c>
      <c r="C55857" s="0" t="s">
        <v>3610</v>
      </c>
      <c r="D55857" s="0" t="s">
        <v>3728</v>
      </c>
      <c r="E55857" s="0" t="s">
        <v>19477</v>
      </c>
      <c r="F55857" s="0" t="s">
        <v>19477</v>
      </c>
    </row>
    <row r="55858" customFormat="false" ht="12.8" hidden="false" customHeight="false" outlineLevel="0" collapsed="false">
      <c r="B55858" s="0" t="s">
        <v>14</v>
      </c>
      <c r="C55858" s="0" t="s">
        <v>324</v>
      </c>
      <c r="D55858" s="0" t="s">
        <v>3729</v>
      </c>
      <c r="E55858" s="0" t="s">
        <v>19478</v>
      </c>
      <c r="F55858" s="0" t="s">
        <v>19478</v>
      </c>
    </row>
    <row r="55859" customFormat="false" ht="12.8" hidden="false" customHeight="false" outlineLevel="0" collapsed="false">
      <c r="B55859" s="0" t="s">
        <v>35</v>
      </c>
      <c r="E55859" s="0" t="s">
        <v>1940</v>
      </c>
      <c r="F55859" s="0" t="s">
        <v>1940</v>
      </c>
    </row>
    <row r="55861" customFormat="false" ht="12.8" hidden="false" customHeight="false" outlineLevel="0" collapsed="false">
      <c r="A55861" s="0" t="s">
        <v>19479</v>
      </c>
      <c r="B55861" s="0" t="str">
        <f aca="false">HYPERLINK("https://lindat.mff.cuni.cz/services/teitok/pdtc10/index.php?action=vallex&amp;frame=v-w7873f1", "vygradovat (v-w7873f1)")</f>
        <v>vygradovat (v-w7873f1)</v>
      </c>
    </row>
    <row r="55862" customFormat="false" ht="12.8" hidden="false" customHeight="false" outlineLevel="0" collapsed="false">
      <c r="B55862" s="0" t="s">
        <v>7</v>
      </c>
    </row>
    <row r="55863" customFormat="false" ht="12.8" hidden="false" customHeight="false" outlineLevel="0" collapsed="false">
      <c r="B55863" s="0" t="s">
        <v>14</v>
      </c>
    </row>
    <row r="55865" customFormat="false" ht="12.8" hidden="false" customHeight="false" outlineLevel="0" collapsed="false">
      <c r="A55865" s="0" t="s">
        <v>19480</v>
      </c>
      <c r="B55865" s="0" t="str">
        <f aca="false">HYPERLINK("https://lindat.mff.cuni.cz/services/teitok/pdtc10/index.php?action=vallex&amp;frame=v-w7874f1", "vygumovat (v-w7874f1)")</f>
        <v>vygumovat (v-w7874f1)</v>
      </c>
    </row>
    <row r="55866" customFormat="false" ht="12.8" hidden="false" customHeight="false" outlineLevel="0" collapsed="false">
      <c r="B55866" s="0" t="s">
        <v>7</v>
      </c>
    </row>
    <row r="55867" customFormat="false" ht="12.8" hidden="false" customHeight="false" outlineLevel="0" collapsed="false">
      <c r="B55867" s="0" t="s">
        <v>14</v>
      </c>
    </row>
    <row r="55868" customFormat="false" ht="12.8" hidden="false" customHeight="false" outlineLevel="0" collapsed="false">
      <c r="B55868" s="0" t="s">
        <v>459</v>
      </c>
    </row>
    <row r="55870" customFormat="false" ht="12.8" hidden="false" customHeight="false" outlineLevel="0" collapsed="false">
      <c r="A55870" s="0" t="s">
        <v>19481</v>
      </c>
      <c r="B55870" s="0" t="str">
        <f aca="false">HYPERLINK("https://lindat.mff.cuni.cz/services/teitok/pdtc10/index.php?action=vallex&amp;frame=v-w7878f1", "vyhasnout (v-w7878f1)")</f>
        <v>vyhasnout (v-w7878f1)</v>
      </c>
    </row>
    <row r="55871" customFormat="false" ht="12.8" hidden="false" customHeight="false" outlineLevel="0" collapsed="false">
      <c r="B55871" s="0" t="s">
        <v>7</v>
      </c>
    </row>
    <row r="55873" customFormat="false" ht="12.8" hidden="false" customHeight="false" outlineLevel="0" collapsed="false">
      <c r="A55873" s="0" t="s">
        <v>19482</v>
      </c>
      <c r="B55873" s="0" t="str">
        <f aca="false">HYPERLINK("https://lindat.mff.cuni.cz/services/teitok/pdtc10/index.php?action=vallex&amp;frame=v-w7878f2", "vyhasnout (v-w7878f2)")</f>
        <v>vyhasnout (v-w7878f2)</v>
      </c>
    </row>
    <row r="55874" customFormat="false" ht="12.8" hidden="false" customHeight="false" outlineLevel="0" collapsed="false">
      <c r="B55874" s="0" t="s">
        <v>7</v>
      </c>
    </row>
    <row r="55876" customFormat="false" ht="12.8" hidden="false" customHeight="false" outlineLevel="0" collapsed="false">
      <c r="A55876" s="0" t="s">
        <v>19483</v>
      </c>
      <c r="B55876" s="0" t="str">
        <f aca="false">HYPERLINK("https://lindat.mff.cuni.cz/services/teitok/pdtc10/index.php?action=vallex&amp;frame=v-w7877f1", "vyhasínat (v-w7877f1)")</f>
        <v>vyhasínat (v-w7877f1)</v>
      </c>
    </row>
    <row r="55877" customFormat="false" ht="12.8" hidden="false" customHeight="false" outlineLevel="0" collapsed="false">
      <c r="B55877" s="0" t="s">
        <v>7</v>
      </c>
    </row>
    <row r="55879" customFormat="false" ht="12.8" hidden="false" customHeight="false" outlineLevel="0" collapsed="false">
      <c r="A55879" s="0" t="s">
        <v>19484</v>
      </c>
      <c r="B55879" s="0" t="str">
        <f aca="false">HYPERLINK("https://lindat.mff.cuni.cz/services/teitok/pdtc10/index.php?action=vallex&amp;frame=v-w7881f1", "vyhazovat (v-w7881f1)")</f>
        <v>vyhazovat (v-w7881f1)</v>
      </c>
    </row>
    <row r="55880" customFormat="false" ht="12.8" hidden="false" customHeight="false" outlineLevel="0" collapsed="false">
      <c r="B55880" s="0" t="s">
        <v>7</v>
      </c>
      <c r="C55880" s="0" t="s">
        <v>2736</v>
      </c>
      <c r="D55880" s="0" t="s">
        <v>1567</v>
      </c>
      <c r="E55880" s="0" t="s">
        <v>1567</v>
      </c>
      <c r="F55880" s="0" t="s">
        <v>1567</v>
      </c>
    </row>
    <row r="55881" customFormat="false" ht="12.8" hidden="false" customHeight="false" outlineLevel="0" collapsed="false">
      <c r="B55881" s="0" t="s">
        <v>14</v>
      </c>
      <c r="C55881" s="0" t="s">
        <v>1315</v>
      </c>
      <c r="D55881" s="0" t="s">
        <v>1568</v>
      </c>
      <c r="E55881" s="0" t="s">
        <v>1568</v>
      </c>
      <c r="F55881" s="0" t="s">
        <v>1568</v>
      </c>
    </row>
    <row r="55882" customFormat="false" ht="12.8" hidden="false" customHeight="false" outlineLevel="0" collapsed="false">
      <c r="B55882" s="0" t="s">
        <v>459</v>
      </c>
      <c r="D55882" s="0" t="s">
        <v>1569</v>
      </c>
      <c r="E55882" s="0" t="s">
        <v>1569</v>
      </c>
      <c r="F55882" s="0" t="s">
        <v>1569</v>
      </c>
    </row>
    <row r="55884" customFormat="false" ht="12.8" hidden="false" customHeight="false" outlineLevel="0" collapsed="false">
      <c r="A55884" s="0" t="s">
        <v>19485</v>
      </c>
      <c r="B55884" s="0" t="str">
        <f aca="false">HYPERLINK("https://lindat.mff.cuni.cz/services/teitok/pdtc10/index.php?action=vallex&amp;frame=v-w7881f3_ZU", "vyhazovat (v-w7881f3_ZU)")</f>
        <v>vyhazovat (v-w7881f3_ZU)</v>
      </c>
    </row>
    <row r="55885" customFormat="false" ht="12.8" hidden="false" customHeight="false" outlineLevel="0" collapsed="false">
      <c r="B55885" s="0" t="s">
        <v>7</v>
      </c>
      <c r="C55885" s="0" t="s">
        <v>2736</v>
      </c>
    </row>
    <row r="55886" customFormat="false" ht="12.8" hidden="false" customHeight="false" outlineLevel="0" collapsed="false">
      <c r="B55886" s="0" t="s">
        <v>19486</v>
      </c>
    </row>
    <row r="55887" customFormat="false" ht="12.8" hidden="false" customHeight="false" outlineLevel="0" collapsed="false">
      <c r="B55887" s="0" t="s">
        <v>14</v>
      </c>
      <c r="C55887" s="0" t="s">
        <v>1315</v>
      </c>
    </row>
    <row r="55889" customFormat="false" ht="12.8" hidden="false" customHeight="false" outlineLevel="0" collapsed="false">
      <c r="A55889" s="0" t="s">
        <v>19485</v>
      </c>
      <c r="B55889" s="0" t="str">
        <f aca="false">HYPERLINK("https://lindat.mff.cuni.cz/services/teitok/pdtc10/index.php?action=vallex&amp;frame=v-w7881f2_ZU", "vyhazovat (v-w7881f2_ZU) - substituted with v-w7881f3_ZU")</f>
        <v>vyhazovat (v-w7881f2_ZU) - substituted with v-w7881f3_ZU</v>
      </c>
    </row>
    <row r="55890" customFormat="false" ht="12.8" hidden="false" customHeight="false" outlineLevel="0" collapsed="false">
      <c r="B55890" s="0" t="s">
        <v>7</v>
      </c>
      <c r="C55890" s="0" t="s">
        <v>2736</v>
      </c>
    </row>
    <row r="55891" customFormat="false" ht="12.8" hidden="false" customHeight="false" outlineLevel="0" collapsed="false">
      <c r="B55891" s="0" t="s">
        <v>19486</v>
      </c>
    </row>
    <row r="55892" customFormat="false" ht="12.8" hidden="false" customHeight="false" outlineLevel="0" collapsed="false">
      <c r="B55892" s="0" t="s">
        <v>14</v>
      </c>
      <c r="C55892" s="0" t="s">
        <v>1315</v>
      </c>
    </row>
    <row r="55894" customFormat="false" ht="12.8" hidden="false" customHeight="false" outlineLevel="0" collapsed="false">
      <c r="A55894" s="0" t="s">
        <v>19487</v>
      </c>
      <c r="B55894" s="0" t="str">
        <f aca="false">HYPERLINK("https://lindat.mff.cuni.cz/services/teitok/pdtc10/index.php?action=vallex&amp;frame=v-w7881hsa_144", "vyhazovat (v-w7881hsa_144)")</f>
        <v>vyhazovat (v-w7881hsa_144)</v>
      </c>
    </row>
    <row r="55895" customFormat="false" ht="12.8" hidden="false" customHeight="false" outlineLevel="0" collapsed="false">
      <c r="B55895" s="0" t="s">
        <v>7</v>
      </c>
      <c r="C55895" s="0" t="s">
        <v>108</v>
      </c>
    </row>
    <row r="55896" customFormat="false" ht="12.8" hidden="false" customHeight="false" outlineLevel="0" collapsed="false">
      <c r="B55896" s="0" t="s">
        <v>14</v>
      </c>
      <c r="C55896" s="0" t="s">
        <v>1315</v>
      </c>
    </row>
    <row r="55898" customFormat="false" ht="12.8" hidden="false" customHeight="false" outlineLevel="0" collapsed="false">
      <c r="A55898" s="0" t="s">
        <v>19488</v>
      </c>
      <c r="B55898" s="0" t="str">
        <f aca="false">HYPERLINK("https://lindat.mff.cuni.cz/services/teitok/pdtc10/index.php?action=vallex&amp;frame=v-w7881hsa_145", "vyhazovat (v-w7881hsa_145)")</f>
        <v>vyhazovat (v-w7881hsa_145)</v>
      </c>
    </row>
    <row r="55899" customFormat="false" ht="12.8" hidden="false" customHeight="false" outlineLevel="0" collapsed="false">
      <c r="B55899" s="0" t="s">
        <v>7</v>
      </c>
    </row>
    <row r="55900" customFormat="false" ht="12.8" hidden="false" customHeight="false" outlineLevel="0" collapsed="false">
      <c r="B55900" s="0" t="s">
        <v>14</v>
      </c>
    </row>
    <row r="55902" customFormat="false" ht="12.8" hidden="false" customHeight="false" outlineLevel="0" collapsed="false">
      <c r="A55902" s="0" t="s">
        <v>19489</v>
      </c>
      <c r="B55902" s="0" t="str">
        <f aca="false">HYPERLINK("https://lindat.mff.cuni.cz/services/teitok/pdtc10/index.php?action=vallex&amp;frame=v-w7881hsa_105", "vyhazovat (v-w7881hsa_105)")</f>
        <v>vyhazovat (v-w7881hsa_105)</v>
      </c>
    </row>
    <row r="55903" customFormat="false" ht="12.8" hidden="false" customHeight="false" outlineLevel="0" collapsed="false">
      <c r="B55903" s="0" t="s">
        <v>7</v>
      </c>
    </row>
    <row r="55904" customFormat="false" ht="12.8" hidden="false" customHeight="false" outlineLevel="0" collapsed="false">
      <c r="B55904" s="0" t="s">
        <v>14</v>
      </c>
    </row>
    <row r="55906" customFormat="false" ht="12.8" hidden="false" customHeight="false" outlineLevel="0" collapsed="false">
      <c r="A55906" s="0" t="s">
        <v>19490</v>
      </c>
      <c r="B55906" s="0" t="str">
        <f aca="false">HYPERLINK("https://lindat.mff.cuni.cz/services/teitok/pdtc10/index.php?action=vallex&amp;frame=v-w7881hsa_146", "vyhazovat (v-w7881hsa_146)")</f>
        <v>vyhazovat (v-w7881hsa_146)</v>
      </c>
    </row>
    <row r="55907" customFormat="false" ht="12.8" hidden="false" customHeight="false" outlineLevel="0" collapsed="false">
      <c r="B55907" s="0" t="s">
        <v>7</v>
      </c>
    </row>
    <row r="55908" customFormat="false" ht="12.8" hidden="false" customHeight="false" outlineLevel="0" collapsed="false">
      <c r="B55908" s="0" t="s">
        <v>19491</v>
      </c>
    </row>
    <row r="55909" customFormat="false" ht="12.8" hidden="false" customHeight="false" outlineLevel="0" collapsed="false">
      <c r="B55909" s="0" t="s">
        <v>14</v>
      </c>
    </row>
    <row r="55911" customFormat="false" ht="12.8" hidden="false" customHeight="false" outlineLevel="0" collapsed="false">
      <c r="A55911" s="0" t="s">
        <v>19492</v>
      </c>
      <c r="B55911" s="0" t="str">
        <f aca="false">HYPERLINK("https://lindat.mff.cuni.cz/services/teitok/pdtc10/index.php?action=vallex&amp;frame=v-w12057_ZUf1_ZU", "vyhecovat (v-w12057_ZUf1_ZU)")</f>
        <v>vyhecovat (v-w12057_ZUf1_ZU)</v>
      </c>
    </row>
    <row r="55912" customFormat="false" ht="12.8" hidden="false" customHeight="false" outlineLevel="0" collapsed="false">
      <c r="B55912" s="0" t="s">
        <v>7</v>
      </c>
    </row>
    <row r="55913" customFormat="false" ht="12.8" hidden="false" customHeight="false" outlineLevel="0" collapsed="false">
      <c r="B55913" s="0" t="s">
        <v>81</v>
      </c>
    </row>
    <row r="55914" customFormat="false" ht="12.8" hidden="false" customHeight="false" outlineLevel="0" collapsed="false">
      <c r="B55914" s="0" t="s">
        <v>19493</v>
      </c>
    </row>
    <row r="55916" customFormat="false" ht="12.8" hidden="false" customHeight="false" outlineLevel="0" collapsed="false">
      <c r="A55916" s="0" t="s">
        <v>19494</v>
      </c>
      <c r="B55916" s="0" t="str">
        <f aca="false">HYPERLINK("https://lindat.mff.cuni.cz/services/teitok/pdtc10/index.php?action=vallex&amp;frame=v-w7883f1", "vyhladit (v-w7883f1)")</f>
        <v>vyhladit (v-w7883f1)</v>
      </c>
    </row>
    <row r="55917" customFormat="false" ht="12.8" hidden="false" customHeight="false" outlineLevel="0" collapsed="false">
      <c r="B55917" s="0" t="s">
        <v>7</v>
      </c>
    </row>
    <row r="55918" customFormat="false" ht="12.8" hidden="false" customHeight="false" outlineLevel="0" collapsed="false">
      <c r="B55918" s="0" t="s">
        <v>14</v>
      </c>
    </row>
    <row r="55920" customFormat="false" ht="12.8" hidden="false" customHeight="false" outlineLevel="0" collapsed="false">
      <c r="A55920" s="0" t="s">
        <v>19495</v>
      </c>
      <c r="B55920" s="0" t="str">
        <f aca="false">HYPERLINK("https://lindat.mff.cuni.cz/services/teitok/pdtc10/index.php?action=vallex&amp;frame=v-w7883f2", "vyhladit (v-w7883f2)")</f>
        <v>vyhladit (v-w7883f2)</v>
      </c>
    </row>
    <row r="55921" customFormat="false" ht="12.8" hidden="false" customHeight="false" outlineLevel="0" collapsed="false">
      <c r="B55921" s="0" t="s">
        <v>7</v>
      </c>
    </row>
    <row r="55922" customFormat="false" ht="12.8" hidden="false" customHeight="false" outlineLevel="0" collapsed="false">
      <c r="B55922" s="0" t="s">
        <v>14</v>
      </c>
    </row>
    <row r="55924" customFormat="false" ht="12.8" hidden="false" customHeight="false" outlineLevel="0" collapsed="false">
      <c r="A55924" s="0" t="s">
        <v>19496</v>
      </c>
      <c r="B55924" s="0" t="str">
        <f aca="false">HYPERLINK("https://lindat.mff.cuni.cz/services/teitok/pdtc10/index.php?action=vallex&amp;frame=v-w10639f3", "vyhladovět (v-w10639f3)")</f>
        <v>vyhladovět (v-w10639f3)</v>
      </c>
    </row>
    <row r="55925" customFormat="false" ht="12.8" hidden="false" customHeight="false" outlineLevel="0" collapsed="false">
      <c r="B55925" s="0" t="s">
        <v>7</v>
      </c>
      <c r="C55925" s="0" t="s">
        <v>191</v>
      </c>
      <c r="D55925" s="0" t="s">
        <v>184</v>
      </c>
      <c r="E55925" s="0" t="s">
        <v>184</v>
      </c>
      <c r="F55925" s="0" t="s">
        <v>184</v>
      </c>
    </row>
    <row r="55926" customFormat="false" ht="12.8" hidden="false" customHeight="false" outlineLevel="0" collapsed="false">
      <c r="B55926" s="0" t="s">
        <v>14</v>
      </c>
      <c r="C55926" s="0" t="s">
        <v>8646</v>
      </c>
      <c r="D55926" s="0" t="s">
        <v>6832</v>
      </c>
      <c r="E55926" s="0" t="s">
        <v>6832</v>
      </c>
      <c r="F55926" s="0" t="s">
        <v>6832</v>
      </c>
    </row>
    <row r="55928" customFormat="false" ht="12.8" hidden="false" customHeight="false" outlineLevel="0" collapsed="false">
      <c r="A55928" s="0" t="s">
        <v>19497</v>
      </c>
      <c r="B55928" s="0" t="str">
        <f aca="false">HYPERLINK("https://lindat.mff.cuni.cz/services/teitok/pdtc10/index.php?action=vallex&amp;frame=v-w10639f2", "vyhladovět (v-w10639f2)")</f>
        <v>vyhladovět (v-w10639f2)</v>
      </c>
    </row>
    <row r="55929" customFormat="false" ht="12.8" hidden="false" customHeight="false" outlineLevel="0" collapsed="false">
      <c r="B55929" s="0" t="s">
        <v>7</v>
      </c>
    </row>
    <row r="55931" customFormat="false" ht="12.8" hidden="false" customHeight="false" outlineLevel="0" collapsed="false">
      <c r="A55931" s="0" t="s">
        <v>19498</v>
      </c>
      <c r="B55931" s="0" t="str">
        <f aca="false">HYPERLINK("https://lindat.mff.cuni.cz/services/teitok/pdtc10/index.php?action=vallex&amp;frame=v-w7891f1", "vyhlazovat (v-w7891f1)")</f>
        <v>vyhlazovat (v-w7891f1)</v>
      </c>
    </row>
    <row r="55932" customFormat="false" ht="12.8" hidden="false" customHeight="false" outlineLevel="0" collapsed="false">
      <c r="B55932" s="0" t="s">
        <v>7</v>
      </c>
    </row>
    <row r="55933" customFormat="false" ht="12.8" hidden="false" customHeight="false" outlineLevel="0" collapsed="false">
      <c r="B55933" s="0" t="s">
        <v>14</v>
      </c>
    </row>
    <row r="55935" customFormat="false" ht="12.8" hidden="false" customHeight="false" outlineLevel="0" collapsed="false">
      <c r="A55935" s="0" t="s">
        <v>19499</v>
      </c>
      <c r="B55935" s="0" t="str">
        <f aca="false">HYPERLINK("https://lindat.mff.cuni.cz/services/teitok/pdtc10/index.php?action=vallex&amp;frame=v-w7889f1", "vyhlašovat (v-w7889f1)")</f>
        <v>vyhlašovat (v-w7889f1)</v>
      </c>
    </row>
    <row r="55936" customFormat="false" ht="12.8" hidden="false" customHeight="false" outlineLevel="0" collapsed="false">
      <c r="B55936" s="0" t="s">
        <v>7</v>
      </c>
      <c r="D55936" s="0" t="s">
        <v>164</v>
      </c>
      <c r="E55936" s="0" t="s">
        <v>164</v>
      </c>
      <c r="F55936" s="0" t="s">
        <v>164</v>
      </c>
    </row>
    <row r="55937" customFormat="false" ht="12.8" hidden="false" customHeight="false" outlineLevel="0" collapsed="false">
      <c r="B55937" s="0" t="s">
        <v>54</v>
      </c>
      <c r="D55937" s="0" t="s">
        <v>167</v>
      </c>
      <c r="E55937" s="0" t="s">
        <v>167</v>
      </c>
      <c r="F55937" s="0" t="s">
        <v>167</v>
      </c>
    </row>
    <row r="55939" customFormat="false" ht="12.8" hidden="false" customHeight="false" outlineLevel="0" collapsed="false">
      <c r="A55939" s="0" t="s">
        <v>19500</v>
      </c>
      <c r="B55939" s="0" t="str">
        <f aca="false">HYPERLINK("https://lindat.mff.cuni.cz/services/teitok/pdtc10/index.php?action=vallex&amp;frame=v-w7889f2", "vyhlašovat (v-w7889f2)")</f>
        <v>vyhlašovat (v-w7889f2)</v>
      </c>
    </row>
    <row r="55940" customFormat="false" ht="12.8" hidden="false" customHeight="false" outlineLevel="0" collapsed="false">
      <c r="B55940" s="0" t="s">
        <v>7</v>
      </c>
    </row>
    <row r="55941" customFormat="false" ht="12.8" hidden="false" customHeight="false" outlineLevel="0" collapsed="false">
      <c r="B55941" s="0" t="s">
        <v>19501</v>
      </c>
    </row>
    <row r="55942" customFormat="false" ht="12.8" hidden="false" customHeight="false" outlineLevel="0" collapsed="false">
      <c r="B55942" s="0" t="s">
        <v>48</v>
      </c>
    </row>
    <row r="55944" customFormat="false" ht="12.8" hidden="false" customHeight="false" outlineLevel="0" collapsed="false">
      <c r="A55944" s="0" t="s">
        <v>19502</v>
      </c>
      <c r="B55944" s="0" t="str">
        <f aca="false">HYPERLINK("https://lindat.mff.cuni.cz/services/teitok/pdtc10/index.php?action=vallex&amp;frame=v-w7893f1", "vyhledat (v-w7893f1)")</f>
        <v>vyhledat (v-w7893f1)</v>
      </c>
    </row>
    <row r="55945" customFormat="false" ht="12.8" hidden="false" customHeight="false" outlineLevel="0" collapsed="false">
      <c r="B55945" s="0" t="s">
        <v>7</v>
      </c>
      <c r="C55945" s="0" t="s">
        <v>19503</v>
      </c>
      <c r="D55945" s="0" t="s">
        <v>1813</v>
      </c>
      <c r="E55945" s="0" t="s">
        <v>1813</v>
      </c>
      <c r="F55945" s="0" t="s">
        <v>1813</v>
      </c>
    </row>
    <row r="55946" customFormat="false" ht="12.8" hidden="false" customHeight="false" outlineLevel="0" collapsed="false">
      <c r="B55946" s="0" t="s">
        <v>14</v>
      </c>
      <c r="C55946" s="0" t="s">
        <v>19504</v>
      </c>
      <c r="D55946" s="0" t="s">
        <v>1815</v>
      </c>
      <c r="E55946" s="0" t="s">
        <v>1815</v>
      </c>
      <c r="F55946" s="0" t="s">
        <v>1815</v>
      </c>
    </row>
    <row r="55948" customFormat="false" ht="12.8" hidden="false" customHeight="false" outlineLevel="0" collapsed="false">
      <c r="A55948" s="0" t="s">
        <v>19505</v>
      </c>
      <c r="B55948" s="0" t="str">
        <f aca="false">HYPERLINK("https://lindat.mff.cuni.cz/services/teitok/pdtc10/index.php?action=vallex&amp;frame=v-w7895f1", "vyhledávat (v-w7895f1)")</f>
        <v>vyhledávat (v-w7895f1)</v>
      </c>
    </row>
    <row r="55949" customFormat="false" ht="12.8" hidden="false" customHeight="false" outlineLevel="0" collapsed="false">
      <c r="B55949" s="0" t="s">
        <v>7</v>
      </c>
      <c r="C55949" s="0" t="s">
        <v>19506</v>
      </c>
      <c r="D55949" s="0" t="s">
        <v>1813</v>
      </c>
      <c r="E55949" s="0" t="s">
        <v>1813</v>
      </c>
      <c r="F55949" s="0" t="s">
        <v>1813</v>
      </c>
    </row>
    <row r="55950" customFormat="false" ht="12.8" hidden="false" customHeight="false" outlineLevel="0" collapsed="false">
      <c r="B55950" s="0" t="s">
        <v>14</v>
      </c>
      <c r="C55950" s="0" t="s">
        <v>11727</v>
      </c>
      <c r="D55950" s="0" t="s">
        <v>1815</v>
      </c>
      <c r="E55950" s="0" t="s">
        <v>1815</v>
      </c>
      <c r="F55950" s="0" t="s">
        <v>1815</v>
      </c>
    </row>
    <row r="55952" customFormat="false" ht="12.8" hidden="false" customHeight="false" outlineLevel="0" collapsed="false">
      <c r="A55952" s="0" t="s">
        <v>19507</v>
      </c>
      <c r="B55952" s="0" t="str">
        <f aca="false">HYPERLINK("https://lindat.mff.cuni.cz/services/teitok/pdtc10/index.php?action=vallex&amp;frame=v-w7895hsa_803", "vyhledávat (v-w7895hsa_803)")</f>
        <v>vyhledávat (v-w7895hsa_803)</v>
      </c>
    </row>
    <row r="55953" customFormat="false" ht="12.8" hidden="false" customHeight="false" outlineLevel="0" collapsed="false">
      <c r="B55953" s="0" t="s">
        <v>7</v>
      </c>
      <c r="C55953" s="0" t="s">
        <v>2560</v>
      </c>
    </row>
    <row r="55954" customFormat="false" ht="12.8" hidden="false" customHeight="false" outlineLevel="0" collapsed="false">
      <c r="B55954" s="0" t="s">
        <v>14</v>
      </c>
      <c r="C55954" s="0" t="s">
        <v>11703</v>
      </c>
    </row>
    <row r="55956" customFormat="false" ht="12.8" hidden="false" customHeight="false" outlineLevel="0" collapsed="false">
      <c r="A55956" s="0" t="s">
        <v>19508</v>
      </c>
      <c r="B55956" s="0" t="str">
        <f aca="false">HYPERLINK("https://lindat.mff.cuni.cz/services/teitok/pdtc10/index.php?action=vallex&amp;frame=v-w7899f1", "vyhloubit (v-w7899f1)")</f>
        <v>vyhloubit (v-w7899f1)</v>
      </c>
    </row>
    <row r="55957" customFormat="false" ht="12.8" hidden="false" customHeight="false" outlineLevel="0" collapsed="false">
      <c r="B55957" s="0" t="s">
        <v>7</v>
      </c>
      <c r="C55957" s="0" t="s">
        <v>335</v>
      </c>
    </row>
    <row r="55958" customFormat="false" ht="12.8" hidden="false" customHeight="false" outlineLevel="0" collapsed="false">
      <c r="B55958" s="0" t="s">
        <v>14</v>
      </c>
      <c r="C55958" s="0" t="s">
        <v>19049</v>
      </c>
    </row>
    <row r="55960" customFormat="false" ht="12.8" hidden="false" customHeight="false" outlineLevel="0" collapsed="false">
      <c r="A55960" s="0" t="s">
        <v>19509</v>
      </c>
      <c r="B55960" s="0" t="str">
        <f aca="false">HYPERLINK("https://lindat.mff.cuni.cz/services/teitok/pdtc10/index.php?action=vallex&amp;frame=v-w7884f2", "vyhlásit (v-w7884f2)")</f>
        <v>vyhlásit (v-w7884f2)</v>
      </c>
    </row>
    <row r="55961" customFormat="false" ht="12.8" hidden="false" customHeight="false" outlineLevel="0" collapsed="false">
      <c r="B55961" s="0" t="s">
        <v>7</v>
      </c>
      <c r="C55961" s="0" t="s">
        <v>569</v>
      </c>
      <c r="D55961" s="0" t="s">
        <v>8111</v>
      </c>
      <c r="E55961" s="0" t="s">
        <v>410</v>
      </c>
      <c r="F55961" s="0" t="s">
        <v>410</v>
      </c>
    </row>
    <row r="55962" customFormat="false" ht="12.8" hidden="false" customHeight="false" outlineLevel="0" collapsed="false">
      <c r="B55962" s="0" t="s">
        <v>14</v>
      </c>
      <c r="C55962" s="0" t="s">
        <v>1170</v>
      </c>
      <c r="D55962" s="0" t="s">
        <v>3860</v>
      </c>
      <c r="E55962" s="0" t="s">
        <v>3725</v>
      </c>
      <c r="F55962" s="0" t="s">
        <v>3725</v>
      </c>
    </row>
    <row r="55963" customFormat="false" ht="12.8" hidden="false" customHeight="false" outlineLevel="0" collapsed="false">
      <c r="B55963" s="0" t="s">
        <v>4657</v>
      </c>
      <c r="C55963" s="0" t="s">
        <v>19510</v>
      </c>
      <c r="D55963" s="0" t="s">
        <v>19511</v>
      </c>
      <c r="E55963" s="0" t="s">
        <v>11693</v>
      </c>
      <c r="F55963" s="0" t="s">
        <v>11693</v>
      </c>
    </row>
    <row r="55965" customFormat="false" ht="12.8" hidden="false" customHeight="false" outlineLevel="0" collapsed="false">
      <c r="A55965" s="0" t="s">
        <v>19512</v>
      </c>
      <c r="B55965" s="0" t="str">
        <f aca="false">HYPERLINK("https://lindat.mff.cuni.cz/services/teitok/pdtc10/index.php?action=vallex&amp;frame=v-w7884f1", "vyhlásit (v-w7884f1)")</f>
        <v>vyhlásit (v-w7884f1)</v>
      </c>
    </row>
    <row r="55966" customFormat="false" ht="12.8" hidden="false" customHeight="false" outlineLevel="0" collapsed="false">
      <c r="B55966" s="0" t="s">
        <v>7</v>
      </c>
      <c r="C55966" s="0" t="s">
        <v>19513</v>
      </c>
      <c r="D55966" s="0" t="s">
        <v>164</v>
      </c>
      <c r="E55966" s="0" t="s">
        <v>164</v>
      </c>
      <c r="F55966" s="0" t="s">
        <v>164</v>
      </c>
    </row>
    <row r="55967" customFormat="false" ht="12.8" hidden="false" customHeight="false" outlineLevel="0" collapsed="false">
      <c r="B55967" s="0" t="s">
        <v>54</v>
      </c>
      <c r="C55967" s="0" t="s">
        <v>19514</v>
      </c>
      <c r="D55967" s="0" t="s">
        <v>167</v>
      </c>
      <c r="E55967" s="0" t="s">
        <v>167</v>
      </c>
      <c r="F55967" s="0" t="s">
        <v>167</v>
      </c>
    </row>
    <row r="55969" customFormat="false" ht="12.8" hidden="false" customHeight="false" outlineLevel="0" collapsed="false">
      <c r="A55969" s="0" t="s">
        <v>19515</v>
      </c>
      <c r="B55969" s="0" t="str">
        <f aca="false">HYPERLINK("https://lindat.mff.cuni.cz/services/teitok/pdtc10/index.php?action=vallex&amp;frame=v-w7884f4_ZU", "vyhlásit (v-w7884f4_ZU)")</f>
        <v>vyhlásit (v-w7884f4_ZU)</v>
      </c>
    </row>
    <row r="55970" customFormat="false" ht="12.8" hidden="false" customHeight="false" outlineLevel="0" collapsed="false">
      <c r="B55970" s="0" t="s">
        <v>7</v>
      </c>
      <c r="C55970" s="0" t="s">
        <v>569</v>
      </c>
      <c r="D55970" s="0" t="s">
        <v>164</v>
      </c>
      <c r="E55970" s="0" t="s">
        <v>164</v>
      </c>
      <c r="F55970" s="0" t="s">
        <v>164</v>
      </c>
    </row>
    <row r="55971" customFormat="false" ht="12.8" hidden="false" customHeight="false" outlineLevel="0" collapsed="false">
      <c r="B55971" s="0" t="s">
        <v>19516</v>
      </c>
      <c r="C55971" s="0" t="s">
        <v>5800</v>
      </c>
      <c r="D55971" s="0" t="s">
        <v>19378</v>
      </c>
      <c r="E55971" s="0" t="s">
        <v>19378</v>
      </c>
      <c r="F55971" s="0" t="s">
        <v>19378</v>
      </c>
    </row>
    <row r="55972" customFormat="false" ht="12.8" hidden="false" customHeight="false" outlineLevel="0" collapsed="false">
      <c r="B55972" s="0" t="s">
        <v>106</v>
      </c>
      <c r="D55972" s="0" t="s">
        <v>168</v>
      </c>
      <c r="E55972" s="0" t="s">
        <v>168</v>
      </c>
      <c r="F55972" s="0" t="s">
        <v>168</v>
      </c>
    </row>
    <row r="55974" customFormat="false" ht="12.8" hidden="false" customHeight="false" outlineLevel="0" collapsed="false">
      <c r="A55974" s="0" t="s">
        <v>19515</v>
      </c>
      <c r="B55974" s="0" t="str">
        <f aca="false">HYPERLINK("https://lindat.mff.cuni.cz/services/teitok/pdtc10/index.php?action=vallex&amp;frame=v-w7884f3", "vyhlásit (v-w7884f3) - substituted with v-w7884f4_ZU")</f>
        <v>vyhlásit (v-w7884f3) - substituted with v-w7884f4_ZU</v>
      </c>
    </row>
    <row r="55975" customFormat="false" ht="12.8" hidden="false" customHeight="false" outlineLevel="0" collapsed="false">
      <c r="B55975" s="0" t="s">
        <v>7</v>
      </c>
    </row>
    <row r="55976" customFormat="false" ht="12.8" hidden="false" customHeight="false" outlineLevel="0" collapsed="false">
      <c r="B55976" s="0" t="s">
        <v>19516</v>
      </c>
    </row>
    <row r="55977" customFormat="false" ht="12.8" hidden="false" customHeight="false" outlineLevel="0" collapsed="false">
      <c r="B55977" s="0" t="s">
        <v>106</v>
      </c>
    </row>
    <row r="55979" customFormat="false" ht="12.8" hidden="false" customHeight="false" outlineLevel="0" collapsed="false">
      <c r="A55979" s="0" t="s">
        <v>19515</v>
      </c>
      <c r="B55979" s="0" t="str">
        <f aca="false">HYPERLINK("https://lindat.mff.cuni.cz/services/teitok/pdtc10/index.php?action=vallex&amp;frame=v-w7884hsa_693", "vyhlásit (v-w7884hsa_693) - substituted with v-w7884f4_ZU")</f>
        <v>vyhlásit (v-w7884hsa_693) - substituted with v-w7884f4_ZU</v>
      </c>
    </row>
    <row r="55980" customFormat="false" ht="12.8" hidden="false" customHeight="false" outlineLevel="0" collapsed="false">
      <c r="B55980" s="0" t="s">
        <v>7</v>
      </c>
    </row>
    <row r="55981" customFormat="false" ht="12.8" hidden="false" customHeight="false" outlineLevel="0" collapsed="false">
      <c r="B55981" s="0" t="s">
        <v>19516</v>
      </c>
    </row>
    <row r="55982" customFormat="false" ht="12.8" hidden="false" customHeight="false" outlineLevel="0" collapsed="false">
      <c r="B55982" s="0" t="s">
        <v>106</v>
      </c>
    </row>
    <row r="55984" customFormat="false" ht="12.8" hidden="false" customHeight="false" outlineLevel="0" collapsed="false">
      <c r="A55984" s="0" t="s">
        <v>19517</v>
      </c>
      <c r="B55984" s="0" t="str">
        <f aca="false">HYPERLINK("https://lindat.mff.cuni.cz/services/teitok/pdtc10/index.php?action=vallex&amp;frame=v-w11725_ZUf1_ZU", "vyhláskovat (v-w11725_ZUf1_ZU)")</f>
        <v>vyhláskovat (v-w11725_ZUf1_ZU)</v>
      </c>
    </row>
    <row r="55985" customFormat="false" ht="12.8" hidden="false" customHeight="false" outlineLevel="0" collapsed="false">
      <c r="B55985" s="0" t="s">
        <v>7</v>
      </c>
    </row>
    <row r="55986" customFormat="false" ht="12.8" hidden="false" customHeight="false" outlineLevel="0" collapsed="false">
      <c r="B55986" s="0" t="s">
        <v>14</v>
      </c>
    </row>
    <row r="55988" customFormat="false" ht="12.8" hidden="false" customHeight="false" outlineLevel="0" collapsed="false">
      <c r="A55988" s="0" t="s">
        <v>19518</v>
      </c>
      <c r="B55988" s="0" t="str">
        <f aca="false">HYPERLINK("https://lindat.mff.cuni.cz/services/teitok/pdtc10/index.php?action=vallex&amp;frame=v-w7896f1", "vyhlédnout (v-w7896f1)")</f>
        <v>vyhlédnout (v-w7896f1)</v>
      </c>
    </row>
    <row r="55989" customFormat="false" ht="12.8" hidden="false" customHeight="false" outlineLevel="0" collapsed="false">
      <c r="B55989" s="0" t="s">
        <v>7</v>
      </c>
    </row>
    <row r="55990" customFormat="false" ht="12.8" hidden="false" customHeight="false" outlineLevel="0" collapsed="false">
      <c r="B55990" s="0" t="s">
        <v>14</v>
      </c>
    </row>
    <row r="55992" customFormat="false" ht="12.8" hidden="false" customHeight="false" outlineLevel="0" collapsed="false">
      <c r="A55992" s="0" t="s">
        <v>19519</v>
      </c>
      <c r="B55992" s="0" t="str">
        <f aca="false">HYPERLINK("https://lindat.mff.cuni.cz/services/teitok/pdtc10/index.php?action=vallex&amp;frame=v-w12319_MMf1_MM", "vyhlídnout (v-w12319_MMf1_MM)")</f>
        <v>vyhlídnout (v-w12319_MMf1_MM)</v>
      </c>
    </row>
    <row r="55993" customFormat="false" ht="12.8" hidden="false" customHeight="false" outlineLevel="0" collapsed="false">
      <c r="B55993" s="0" t="s">
        <v>7</v>
      </c>
    </row>
    <row r="55994" customFormat="false" ht="12.8" hidden="false" customHeight="false" outlineLevel="0" collapsed="false">
      <c r="B55994" s="0" t="s">
        <v>54</v>
      </c>
    </row>
    <row r="55996" customFormat="false" ht="12.8" hidden="false" customHeight="false" outlineLevel="0" collapsed="false">
      <c r="A55996" s="0" t="s">
        <v>19520</v>
      </c>
      <c r="B55996" s="0" t="str">
        <f aca="false">HYPERLINK("https://lindat.mff.cuni.cz/services/teitok/pdtc10/index.php?action=vallex&amp;frame=v-w7898f1", "vyhlížet (v-w7898f1)")</f>
        <v>vyhlížet (v-w7898f1)</v>
      </c>
    </row>
    <row r="55997" customFormat="false" ht="12.8" hidden="false" customHeight="false" outlineLevel="0" collapsed="false">
      <c r="B55997" s="0" t="s">
        <v>7</v>
      </c>
    </row>
    <row r="55998" customFormat="false" ht="12.8" hidden="false" customHeight="false" outlineLevel="0" collapsed="false">
      <c r="B55998" s="0" t="s">
        <v>474</v>
      </c>
    </row>
    <row r="55999" customFormat="false" ht="12.8" hidden="false" customHeight="false" outlineLevel="0" collapsed="false">
      <c r="B55999" s="0" t="s">
        <v>479</v>
      </c>
    </row>
    <row r="56000" customFormat="false" ht="12.8" hidden="false" customHeight="false" outlineLevel="0" collapsed="false">
      <c r="B56000" s="0" t="s">
        <v>481</v>
      </c>
    </row>
    <row r="56001" customFormat="false" ht="12.8" hidden="false" customHeight="false" outlineLevel="0" collapsed="false">
      <c r="B56001" s="0" t="s">
        <v>483</v>
      </c>
    </row>
    <row r="56003" customFormat="false" ht="12.8" hidden="false" customHeight="false" outlineLevel="0" collapsed="false">
      <c r="A56003" s="0" t="s">
        <v>19521</v>
      </c>
      <c r="B56003" s="0" t="str">
        <f aca="false">HYPERLINK("https://lindat.mff.cuni.cz/services/teitok/pdtc10/index.php?action=vallex&amp;frame=v-w7898hsa_416", "vyhlížet (v-w7898hsa_416)")</f>
        <v>vyhlížet (v-w7898hsa_416)</v>
      </c>
    </row>
    <row r="56004" customFormat="false" ht="12.8" hidden="false" customHeight="false" outlineLevel="0" collapsed="false">
      <c r="B56004" s="0" t="s">
        <v>7</v>
      </c>
    </row>
    <row r="56005" customFormat="false" ht="12.8" hidden="false" customHeight="false" outlineLevel="0" collapsed="false">
      <c r="B56005" s="0" t="s">
        <v>14</v>
      </c>
    </row>
    <row r="56007" customFormat="false" ht="12.8" hidden="false" customHeight="false" outlineLevel="0" collapsed="false">
      <c r="A56007" s="0" t="s">
        <v>19522</v>
      </c>
      <c r="B56007" s="0" t="str">
        <f aca="false">HYPERLINK("https://lindat.mff.cuni.cz/services/teitok/pdtc10/index.php?action=vallex&amp;frame=v-w7898f2_MM", "vyhlížet (v-w7898f2_MM)")</f>
        <v>vyhlížet (v-w7898f2_MM)</v>
      </c>
    </row>
    <row r="56008" customFormat="false" ht="12.8" hidden="false" customHeight="false" outlineLevel="0" collapsed="false">
      <c r="B56008" s="0" t="s">
        <v>7</v>
      </c>
    </row>
    <row r="56009" customFormat="false" ht="12.8" hidden="false" customHeight="false" outlineLevel="0" collapsed="false">
      <c r="B56009" s="0" t="s">
        <v>459</v>
      </c>
    </row>
    <row r="56011" customFormat="false" ht="12.8" hidden="false" customHeight="false" outlineLevel="0" collapsed="false">
      <c r="A56011" s="0" t="s">
        <v>19523</v>
      </c>
      <c r="B56011" s="0" t="str">
        <f aca="false">HYPERLINK("https://lindat.mff.cuni.cz/services/teitok/pdtc10/index.php?action=vallex&amp;frame=v-w7900f1", "vyhmátnout (v-w7900f1)")</f>
        <v>vyhmátnout (v-w7900f1)</v>
      </c>
    </row>
    <row r="56012" customFormat="false" ht="12.8" hidden="false" customHeight="false" outlineLevel="0" collapsed="false">
      <c r="B56012" s="0" t="s">
        <v>7</v>
      </c>
    </row>
    <row r="56013" customFormat="false" ht="12.8" hidden="false" customHeight="false" outlineLevel="0" collapsed="false">
      <c r="B56013" s="0" t="s">
        <v>54</v>
      </c>
    </row>
    <row r="56015" customFormat="false" ht="12.8" hidden="false" customHeight="false" outlineLevel="0" collapsed="false">
      <c r="A56015" s="0" t="s">
        <v>19524</v>
      </c>
      <c r="B56015" s="0" t="str">
        <f aca="false">HYPERLINK("https://lindat.mff.cuni.cz/services/teitok/pdtc10/index.php?action=vallex&amp;frame=v-w7902f10_ZU", "vyhnat (v-w7902f10_ZU)")</f>
        <v>vyhnat (v-w7902f10_ZU)</v>
      </c>
    </row>
    <row r="56016" customFormat="false" ht="12.8" hidden="false" customHeight="false" outlineLevel="0" collapsed="false">
      <c r="B56016" s="0" t="s">
        <v>7</v>
      </c>
      <c r="C56016" s="0" t="s">
        <v>10980</v>
      </c>
      <c r="D56016" s="0" t="s">
        <v>6436</v>
      </c>
      <c r="E56016" s="0" t="s">
        <v>6436</v>
      </c>
      <c r="F56016" s="0" t="s">
        <v>6436</v>
      </c>
    </row>
    <row r="56017" customFormat="false" ht="12.8" hidden="false" customHeight="false" outlineLevel="0" collapsed="false">
      <c r="B56017" s="0" t="s">
        <v>14</v>
      </c>
      <c r="C56017" s="0" t="s">
        <v>4180</v>
      </c>
      <c r="D56017" s="0" t="s">
        <v>6437</v>
      </c>
      <c r="E56017" s="0" t="s">
        <v>6437</v>
      </c>
      <c r="F56017" s="0" t="s">
        <v>6437</v>
      </c>
    </row>
    <row r="56018" customFormat="false" ht="12.8" hidden="false" customHeight="false" outlineLevel="0" collapsed="false">
      <c r="B56018" s="0" t="s">
        <v>35</v>
      </c>
      <c r="D56018" s="0" t="s">
        <v>6438</v>
      </c>
      <c r="E56018" s="0" t="s">
        <v>6438</v>
      </c>
      <c r="F56018" s="0" t="s">
        <v>6438</v>
      </c>
    </row>
    <row r="56019" customFormat="false" ht="12.8" hidden="false" customHeight="false" outlineLevel="0" collapsed="false">
      <c r="B56019" s="0" t="s">
        <v>84</v>
      </c>
      <c r="D56019" s="0" t="s">
        <v>6440</v>
      </c>
      <c r="E56019" s="0" t="s">
        <v>6440</v>
      </c>
      <c r="F56019" s="0" t="s">
        <v>6440</v>
      </c>
    </row>
    <row r="56021" customFormat="false" ht="12.8" hidden="false" customHeight="false" outlineLevel="0" collapsed="false">
      <c r="A56021" s="0" t="s">
        <v>19524</v>
      </c>
      <c r="B56021" s="0" t="str">
        <f aca="false">HYPERLINK("https://lindat.mff.cuni.cz/services/teitok/pdtc10/index.php?action=vallex&amp;frame=v-w7902f4_ZU", "vyhnat (v-w7902f4_ZU) - substituted with v-w7902f10_ZU")</f>
        <v>vyhnat (v-w7902f4_ZU) - substituted with v-w7902f10_ZU</v>
      </c>
    </row>
    <row r="56022" customFormat="false" ht="12.8" hidden="false" customHeight="false" outlineLevel="0" collapsed="false">
      <c r="B56022" s="0" t="s">
        <v>7</v>
      </c>
    </row>
    <row r="56023" customFormat="false" ht="12.8" hidden="false" customHeight="false" outlineLevel="0" collapsed="false">
      <c r="B56023" s="0" t="s">
        <v>14</v>
      </c>
    </row>
    <row r="56024" customFormat="false" ht="12.8" hidden="false" customHeight="false" outlineLevel="0" collapsed="false">
      <c r="B56024" s="0" t="s">
        <v>35</v>
      </c>
    </row>
    <row r="56025" customFormat="false" ht="12.8" hidden="false" customHeight="false" outlineLevel="0" collapsed="false">
      <c r="B56025" s="0" t="s">
        <v>84</v>
      </c>
    </row>
    <row r="56027" customFormat="false" ht="12.8" hidden="false" customHeight="false" outlineLevel="0" collapsed="false">
      <c r="A56027" s="0" t="s">
        <v>19524</v>
      </c>
      <c r="B56027" s="0" t="str">
        <f aca="false">HYPERLINK("https://lindat.mff.cuni.cz/services/teitok/pdtc10/index.php?action=vallex&amp;frame=v-w7902f5_ZU", "vyhnat (v-w7902f5_ZU) - substituted with v-w7902f10_ZU")</f>
        <v>vyhnat (v-w7902f5_ZU) - substituted with v-w7902f10_ZU</v>
      </c>
    </row>
    <row r="56028" customFormat="false" ht="12.8" hidden="false" customHeight="false" outlineLevel="0" collapsed="false">
      <c r="B56028" s="0" t="s">
        <v>7</v>
      </c>
    </row>
    <row r="56029" customFormat="false" ht="12.8" hidden="false" customHeight="false" outlineLevel="0" collapsed="false">
      <c r="B56029" s="0" t="s">
        <v>14</v>
      </c>
    </row>
    <row r="56030" customFormat="false" ht="12.8" hidden="false" customHeight="false" outlineLevel="0" collapsed="false">
      <c r="B56030" s="0" t="s">
        <v>35</v>
      </c>
    </row>
    <row r="56031" customFormat="false" ht="12.8" hidden="false" customHeight="false" outlineLevel="0" collapsed="false">
      <c r="B56031" s="0" t="s">
        <v>84</v>
      </c>
    </row>
    <row r="56033" customFormat="false" ht="12.8" hidden="false" customHeight="false" outlineLevel="0" collapsed="false">
      <c r="A56033" s="0" t="s">
        <v>19524</v>
      </c>
      <c r="B56033" s="0" t="str">
        <f aca="false">HYPERLINK("https://lindat.mff.cuni.cz/services/teitok/pdtc10/index.php?action=vallex&amp;frame=v-w7902f6_ZU", "vyhnat (v-w7902f6_ZU) - substituted with v-w7902f10_ZU")</f>
        <v>vyhnat (v-w7902f6_ZU) - substituted with v-w7902f10_ZU</v>
      </c>
    </row>
    <row r="56034" customFormat="false" ht="12.8" hidden="false" customHeight="false" outlineLevel="0" collapsed="false">
      <c r="B56034" s="0" t="s">
        <v>7</v>
      </c>
      <c r="C56034" s="0" t="s">
        <v>157</v>
      </c>
    </row>
    <row r="56035" customFormat="false" ht="12.8" hidden="false" customHeight="false" outlineLevel="0" collapsed="false">
      <c r="B56035" s="0" t="s">
        <v>14</v>
      </c>
      <c r="C56035" s="0" t="s">
        <v>110</v>
      </c>
    </row>
    <row r="56036" customFormat="false" ht="12.8" hidden="false" customHeight="false" outlineLevel="0" collapsed="false">
      <c r="B56036" s="0" t="s">
        <v>35</v>
      </c>
    </row>
    <row r="56037" customFormat="false" ht="12.8" hidden="false" customHeight="false" outlineLevel="0" collapsed="false">
      <c r="B56037" s="0" t="s">
        <v>84</v>
      </c>
    </row>
    <row r="56039" customFormat="false" ht="12.8" hidden="false" customHeight="false" outlineLevel="0" collapsed="false">
      <c r="A56039" s="0" t="s">
        <v>19525</v>
      </c>
      <c r="B56039" s="0" t="str">
        <f aca="false">HYPERLINK("https://lindat.mff.cuni.cz/services/teitok/pdtc10/index.php?action=vallex&amp;frame=v-w7902f2", "vyhnat (v-w7902f2)")</f>
        <v>vyhnat (v-w7902f2)</v>
      </c>
    </row>
    <row r="56040" customFormat="false" ht="12.8" hidden="false" customHeight="false" outlineLevel="0" collapsed="false">
      <c r="B56040" s="0" t="s">
        <v>7</v>
      </c>
      <c r="C56040" s="0" t="s">
        <v>31</v>
      </c>
    </row>
    <row r="56041" customFormat="false" ht="12.8" hidden="false" customHeight="false" outlineLevel="0" collapsed="false">
      <c r="B56041" s="0" t="s">
        <v>14</v>
      </c>
      <c r="C56041" s="0" t="s">
        <v>74</v>
      </c>
    </row>
    <row r="56042" customFormat="false" ht="12.8" hidden="false" customHeight="false" outlineLevel="0" collapsed="false">
      <c r="B56042" s="0" t="s">
        <v>35</v>
      </c>
    </row>
    <row r="56044" customFormat="false" ht="12.8" hidden="false" customHeight="false" outlineLevel="0" collapsed="false">
      <c r="A56044" s="0" t="s">
        <v>19526</v>
      </c>
      <c r="B56044" s="0" t="str">
        <f aca="false">HYPERLINK("https://lindat.mff.cuni.cz/services/teitok/pdtc10/index.php?action=vallex&amp;frame=v-w7902f1", "vyhnat (v-w7902f1)")</f>
        <v>vyhnat (v-w7902f1)</v>
      </c>
    </row>
    <row r="56045" customFormat="false" ht="12.8" hidden="false" customHeight="false" outlineLevel="0" collapsed="false">
      <c r="B56045" s="0" t="s">
        <v>7</v>
      </c>
      <c r="C56045" s="0" t="s">
        <v>391</v>
      </c>
      <c r="D56045" s="0" t="s">
        <v>1567</v>
      </c>
      <c r="E56045" s="0" t="s">
        <v>1567</v>
      </c>
      <c r="F56045" s="0" t="s">
        <v>1567</v>
      </c>
    </row>
    <row r="56046" customFormat="false" ht="12.8" hidden="false" customHeight="false" outlineLevel="0" collapsed="false">
      <c r="B56046" s="0" t="s">
        <v>14</v>
      </c>
      <c r="C56046" s="0" t="s">
        <v>2694</v>
      </c>
      <c r="D56046" s="0" t="s">
        <v>1568</v>
      </c>
      <c r="E56046" s="0" t="s">
        <v>1568</v>
      </c>
      <c r="F56046" s="0" t="s">
        <v>1568</v>
      </c>
    </row>
    <row r="56047" customFormat="false" ht="12.8" hidden="false" customHeight="false" outlineLevel="0" collapsed="false">
      <c r="B56047" s="0" t="s">
        <v>459</v>
      </c>
      <c r="D56047" s="0" t="s">
        <v>1569</v>
      </c>
      <c r="E56047" s="0" t="s">
        <v>1569</v>
      </c>
      <c r="F56047" s="0" t="s">
        <v>1569</v>
      </c>
    </row>
    <row r="56049" customFormat="false" ht="12.8" hidden="false" customHeight="false" outlineLevel="0" collapsed="false">
      <c r="A56049" s="0" t="s">
        <v>19527</v>
      </c>
      <c r="B56049" s="0" t="str">
        <f aca="false">HYPERLINK("https://lindat.mff.cuni.cz/services/teitok/pdtc10/index.php?action=vallex&amp;frame=v-w7902f3", "vyhnat (v-w7902f3)")</f>
        <v>vyhnat (v-w7902f3)</v>
      </c>
    </row>
    <row r="56050" customFormat="false" ht="12.8" hidden="false" customHeight="false" outlineLevel="0" collapsed="false">
      <c r="B56050" s="0" t="s">
        <v>7</v>
      </c>
    </row>
    <row r="56052" customFormat="false" ht="12.8" hidden="false" customHeight="false" outlineLevel="0" collapsed="false">
      <c r="A56052" s="0" t="s">
        <v>19528</v>
      </c>
      <c r="B56052" s="0" t="str">
        <f aca="false">HYPERLINK("https://lindat.mff.cuni.cz/services/teitok/pdtc10/index.php?action=vallex&amp;frame=v-w7902f9_ZU", "vyhnat (v-w7902f9_ZU)")</f>
        <v>vyhnat (v-w7902f9_ZU)</v>
      </c>
    </row>
    <row r="56053" customFormat="false" ht="12.8" hidden="false" customHeight="false" outlineLevel="0" collapsed="false">
      <c r="B56053" s="0" t="s">
        <v>7</v>
      </c>
    </row>
    <row r="56054" customFormat="false" ht="12.8" hidden="false" customHeight="false" outlineLevel="0" collapsed="false">
      <c r="B56054" s="0" t="s">
        <v>14</v>
      </c>
    </row>
    <row r="56055" customFormat="false" ht="12.8" hidden="false" customHeight="false" outlineLevel="0" collapsed="false">
      <c r="B56055" s="0" t="s">
        <v>338</v>
      </c>
    </row>
    <row r="56057" customFormat="false" ht="12.8" hidden="false" customHeight="false" outlineLevel="0" collapsed="false">
      <c r="A56057" s="0" t="s">
        <v>19528</v>
      </c>
      <c r="B56057" s="0" t="str">
        <f aca="false">HYPERLINK("https://lindat.mff.cuni.cz/services/teitok/pdtc10/index.php?action=vallex&amp;frame=v-w7902f7_ZU", "vyhnat (v-w7902f7_ZU) - substituted with v-w7902f9_ZU")</f>
        <v>vyhnat (v-w7902f7_ZU) - substituted with v-w7902f9_ZU</v>
      </c>
    </row>
    <row r="56058" customFormat="false" ht="12.8" hidden="false" customHeight="false" outlineLevel="0" collapsed="false">
      <c r="B56058" s="0" t="s">
        <v>7</v>
      </c>
    </row>
    <row r="56059" customFormat="false" ht="12.8" hidden="false" customHeight="false" outlineLevel="0" collapsed="false">
      <c r="B56059" s="0" t="s">
        <v>14</v>
      </c>
    </row>
    <row r="56060" customFormat="false" ht="12.8" hidden="false" customHeight="false" outlineLevel="0" collapsed="false">
      <c r="B56060" s="0" t="s">
        <v>338</v>
      </c>
    </row>
    <row r="56062" customFormat="false" ht="12.8" hidden="false" customHeight="false" outlineLevel="0" collapsed="false">
      <c r="A56062" s="0" t="s">
        <v>19528</v>
      </c>
      <c r="B56062" s="0" t="str">
        <f aca="false">HYPERLINK("https://lindat.mff.cuni.cz/services/teitok/pdtc10/index.php?action=vallex&amp;frame=v-w7902f8_ZU", "vyhnat (v-w7902f8_ZU) - substituted with v-w7902f9_ZU")</f>
        <v>vyhnat (v-w7902f8_ZU) - substituted with v-w7902f9_ZU</v>
      </c>
    </row>
    <row r="56063" customFormat="false" ht="12.8" hidden="false" customHeight="false" outlineLevel="0" collapsed="false">
      <c r="B56063" s="0" t="s">
        <v>7</v>
      </c>
    </row>
    <row r="56064" customFormat="false" ht="12.8" hidden="false" customHeight="false" outlineLevel="0" collapsed="false">
      <c r="B56064" s="0" t="s">
        <v>14</v>
      </c>
    </row>
    <row r="56065" customFormat="false" ht="12.8" hidden="false" customHeight="false" outlineLevel="0" collapsed="false">
      <c r="B56065" s="0" t="s">
        <v>338</v>
      </c>
    </row>
    <row r="56067" customFormat="false" ht="12.8" hidden="false" customHeight="false" outlineLevel="0" collapsed="false">
      <c r="A56067" s="0" t="s">
        <v>19529</v>
      </c>
      <c r="B56067" s="0" t="str">
        <f aca="false">HYPERLINK("https://lindat.mff.cuni.cz/services/teitok/pdtc10/index.php?action=vallex&amp;frame=v-w7902f11_ZU", "vyhnat (v-w7902f11_ZU)")</f>
        <v>vyhnat (v-w7902f11_ZU)</v>
      </c>
    </row>
    <row r="56068" customFormat="false" ht="12.8" hidden="false" customHeight="false" outlineLevel="0" collapsed="false">
      <c r="B56068" s="0" t="s">
        <v>7</v>
      </c>
    </row>
    <row r="56069" customFormat="false" ht="12.8" hidden="false" customHeight="false" outlineLevel="0" collapsed="false">
      <c r="B56069" s="0" t="s">
        <v>14</v>
      </c>
    </row>
    <row r="56070" customFormat="false" ht="12.8" hidden="false" customHeight="false" outlineLevel="0" collapsed="false">
      <c r="B56070" s="0" t="s">
        <v>5382</v>
      </c>
    </row>
    <row r="56072" customFormat="false" ht="12.8" hidden="false" customHeight="false" outlineLevel="0" collapsed="false">
      <c r="A56072" s="0" t="s">
        <v>19530</v>
      </c>
      <c r="B56072" s="0" t="str">
        <f aca="false">HYPERLINK("https://lindat.mff.cuni.cz/services/teitok/pdtc10/index.php?action=vallex&amp;frame=v-w7903f1", "vyhnout se (v-w7903f1)")</f>
        <v>vyhnout se (v-w7903f1)</v>
      </c>
    </row>
    <row r="56073" customFormat="false" ht="12.8" hidden="false" customHeight="false" outlineLevel="0" collapsed="false">
      <c r="B56073" s="0" t="s">
        <v>7</v>
      </c>
      <c r="C56073" s="0" t="s">
        <v>19531</v>
      </c>
      <c r="D56073" s="0" t="s">
        <v>5572</v>
      </c>
      <c r="E56073" s="0" t="s">
        <v>5572</v>
      </c>
      <c r="F56073" s="0" t="s">
        <v>5572</v>
      </c>
    </row>
    <row r="56074" customFormat="false" ht="12.8" hidden="false" customHeight="false" outlineLevel="0" collapsed="false">
      <c r="B56074" s="0" t="s">
        <v>142</v>
      </c>
      <c r="C56074" s="0" t="s">
        <v>10828</v>
      </c>
      <c r="D56074" s="0" t="s">
        <v>518</v>
      </c>
      <c r="E56074" s="0" t="s">
        <v>518</v>
      </c>
      <c r="F56074" s="0" t="s">
        <v>518</v>
      </c>
    </row>
    <row r="56076" customFormat="false" ht="12.8" hidden="false" customHeight="false" outlineLevel="0" collapsed="false">
      <c r="A56076" s="0" t="s">
        <v>19532</v>
      </c>
      <c r="B56076" s="0" t="str">
        <f aca="false">HYPERLINK("https://lindat.mff.cuni.cz/services/teitok/pdtc10/index.php?action=vallex&amp;frame=v-w7903f2_ZU", "vyhnout se (v-w7903f2_ZU)")</f>
        <v>vyhnout se (v-w7903f2_ZU)</v>
      </c>
    </row>
    <row r="56077" customFormat="false" ht="12.8" hidden="false" customHeight="false" outlineLevel="0" collapsed="false">
      <c r="B56077" s="0" t="s">
        <v>7</v>
      </c>
    </row>
    <row r="56078" customFormat="false" ht="12.8" hidden="false" customHeight="false" outlineLevel="0" collapsed="false">
      <c r="B56078" s="0" t="s">
        <v>142</v>
      </c>
    </row>
    <row r="56080" customFormat="false" ht="12.8" hidden="false" customHeight="false" outlineLevel="0" collapsed="false">
      <c r="A56080" s="0" t="s">
        <v>19532</v>
      </c>
      <c r="B56080" s="0" t="str">
        <f aca="false">HYPERLINK("https://lindat.mff.cuni.cz/services/teitok/pdtc10/index.php?action=vallex&amp;frame=v-w7903hsa_1246", "vyhnout se (v-w7903hsa_1246) - substituted with v-w7903f2_ZU")</f>
        <v>vyhnout se (v-w7903hsa_1246) - substituted with v-w7903f2_ZU</v>
      </c>
    </row>
    <row r="56081" customFormat="false" ht="12.8" hidden="false" customHeight="false" outlineLevel="0" collapsed="false">
      <c r="B56081" s="0" t="s">
        <v>7</v>
      </c>
    </row>
    <row r="56082" customFormat="false" ht="12.8" hidden="false" customHeight="false" outlineLevel="0" collapsed="false">
      <c r="B56082" s="0" t="s">
        <v>142</v>
      </c>
    </row>
    <row r="56084" customFormat="false" ht="12.8" hidden="false" customHeight="false" outlineLevel="0" collapsed="false">
      <c r="A56084" s="0" t="s">
        <v>19533</v>
      </c>
      <c r="B56084" s="0" t="str">
        <f aca="false">HYPERLINK("https://lindat.mff.cuni.cz/services/teitok/pdtc10/index.php?action=vallex&amp;frame=v-w12239_ZUf1_ZU", "vyhoblovat (v-w12239_ZUf1_ZU)")</f>
        <v>vyhoblovat (v-w12239_ZUf1_ZU)</v>
      </c>
    </row>
    <row r="56085" customFormat="false" ht="12.8" hidden="false" customHeight="false" outlineLevel="0" collapsed="false">
      <c r="B56085" s="0" t="s">
        <v>7</v>
      </c>
    </row>
    <row r="56086" customFormat="false" ht="12.8" hidden="false" customHeight="false" outlineLevel="0" collapsed="false">
      <c r="B56086" s="0" t="s">
        <v>14</v>
      </c>
    </row>
    <row r="56087" customFormat="false" ht="12.8" hidden="false" customHeight="false" outlineLevel="0" collapsed="false">
      <c r="B56087" s="0" t="s">
        <v>35</v>
      </c>
    </row>
    <row r="56089" customFormat="false" ht="12.8" hidden="false" customHeight="false" outlineLevel="0" collapsed="false">
      <c r="A56089" s="0" t="s">
        <v>19534</v>
      </c>
      <c r="B56089" s="0" t="str">
        <f aca="false">HYPERLINK("https://lindat.mff.cuni.cz/services/teitok/pdtc10/index.php?action=vallex&amp;frame=v-w7906f3_ZU", "vyhodit (v-w7906f3_ZU)")</f>
        <v>vyhodit (v-w7906f3_ZU)</v>
      </c>
    </row>
    <row r="56090" customFormat="false" ht="12.8" hidden="false" customHeight="false" outlineLevel="0" collapsed="false">
      <c r="B56090" s="0" t="s">
        <v>7</v>
      </c>
    </row>
    <row r="56091" customFormat="false" ht="12.8" hidden="false" customHeight="false" outlineLevel="0" collapsed="false">
      <c r="B56091" s="0" t="s">
        <v>14</v>
      </c>
    </row>
    <row r="56092" customFormat="false" ht="12.8" hidden="false" customHeight="false" outlineLevel="0" collapsed="false">
      <c r="B56092" s="0" t="s">
        <v>459</v>
      </c>
    </row>
    <row r="56094" customFormat="false" ht="12.8" hidden="false" customHeight="false" outlineLevel="0" collapsed="false">
      <c r="A56094" s="0" t="s">
        <v>19534</v>
      </c>
      <c r="B56094" s="0" t="str">
        <f aca="false">HYPERLINK("https://lindat.mff.cuni.cz/services/teitok/pdtc10/index.php?action=vallex&amp;frame=v-w7906f1", "vyhodit (v-w7906f1) - substituted with v-w7906f3_ZU")</f>
        <v>vyhodit (v-w7906f1) - substituted with v-w7906f3_ZU</v>
      </c>
    </row>
    <row r="56095" customFormat="false" ht="12.8" hidden="false" customHeight="false" outlineLevel="0" collapsed="false">
      <c r="B56095" s="0" t="s">
        <v>7</v>
      </c>
      <c r="C56095" s="0" t="s">
        <v>391</v>
      </c>
      <c r="D56095" s="0" t="s">
        <v>1567</v>
      </c>
      <c r="E56095" s="0" t="s">
        <v>1567</v>
      </c>
      <c r="F56095" s="0" t="s">
        <v>1567</v>
      </c>
    </row>
    <row r="56096" customFormat="false" ht="12.8" hidden="false" customHeight="false" outlineLevel="0" collapsed="false">
      <c r="B56096" s="0" t="s">
        <v>14</v>
      </c>
      <c r="C56096" s="0" t="s">
        <v>4163</v>
      </c>
      <c r="D56096" s="0" t="s">
        <v>1568</v>
      </c>
      <c r="E56096" s="0" t="s">
        <v>1568</v>
      </c>
      <c r="F56096" s="0" t="s">
        <v>1568</v>
      </c>
    </row>
    <row r="56097" customFormat="false" ht="12.8" hidden="false" customHeight="false" outlineLevel="0" collapsed="false">
      <c r="B56097" s="0" t="s">
        <v>459</v>
      </c>
      <c r="C56097" s="0" t="s">
        <v>19535</v>
      </c>
      <c r="D56097" s="0" t="s">
        <v>1569</v>
      </c>
      <c r="E56097" s="0" t="s">
        <v>1569</v>
      </c>
      <c r="F56097" s="0" t="s">
        <v>1569</v>
      </c>
    </row>
    <row r="56099" customFormat="false" ht="12.8" hidden="false" customHeight="false" outlineLevel="0" collapsed="false">
      <c r="A56099" s="0" t="s">
        <v>19536</v>
      </c>
      <c r="B56099" s="0" t="str">
        <f aca="false">HYPERLINK("https://lindat.mff.cuni.cz/services/teitok/pdtc10/index.php?action=vallex&amp;frame=v-w7906f2", "vyhodit (v-w7906f2)")</f>
        <v>vyhodit (v-w7906f2)</v>
      </c>
    </row>
    <row r="56100" customFormat="false" ht="12.8" hidden="false" customHeight="false" outlineLevel="0" collapsed="false">
      <c r="B56100" s="0" t="s">
        <v>7</v>
      </c>
      <c r="C56100" s="0" t="s">
        <v>2736</v>
      </c>
    </row>
    <row r="56101" customFormat="false" ht="12.8" hidden="false" customHeight="false" outlineLevel="0" collapsed="false">
      <c r="B56101" s="0" t="s">
        <v>14</v>
      </c>
      <c r="C56101" s="0" t="s">
        <v>1315</v>
      </c>
    </row>
    <row r="56102" customFormat="false" ht="12.8" hidden="false" customHeight="false" outlineLevel="0" collapsed="false">
      <c r="B56102" s="0" t="s">
        <v>124</v>
      </c>
    </row>
    <row r="56104" customFormat="false" ht="12.8" hidden="false" customHeight="false" outlineLevel="0" collapsed="false">
      <c r="A56104" s="0" t="s">
        <v>19537</v>
      </c>
      <c r="B56104" s="0" t="str">
        <f aca="false">HYPERLINK("https://lindat.mff.cuni.cz/services/teitok/pdtc10/index.php?action=vallex&amp;frame=v-w7906hsa_61", "vyhodit (v-w7906hsa_61)")</f>
        <v>vyhodit (v-w7906hsa_61)</v>
      </c>
    </row>
    <row r="56105" customFormat="false" ht="12.8" hidden="false" customHeight="false" outlineLevel="0" collapsed="false">
      <c r="B56105" s="0" t="s">
        <v>7</v>
      </c>
      <c r="C56105" s="0" t="s">
        <v>194</v>
      </c>
      <c r="D56105" s="0" t="s">
        <v>1567</v>
      </c>
      <c r="E56105" s="0" t="s">
        <v>1567</v>
      </c>
      <c r="F56105" s="0" t="s">
        <v>1567</v>
      </c>
    </row>
    <row r="56106" customFormat="false" ht="12.8" hidden="false" customHeight="false" outlineLevel="0" collapsed="false">
      <c r="B56106" s="0" t="s">
        <v>14</v>
      </c>
      <c r="C56106" s="0" t="s">
        <v>152</v>
      </c>
      <c r="D56106" s="0" t="s">
        <v>1568</v>
      </c>
      <c r="E56106" s="0" t="s">
        <v>1568</v>
      </c>
      <c r="F56106" s="0" t="s">
        <v>1568</v>
      </c>
    </row>
    <row r="56108" customFormat="false" ht="12.8" hidden="false" customHeight="false" outlineLevel="0" collapsed="false">
      <c r="A56108" s="0" t="s">
        <v>19538</v>
      </c>
      <c r="B56108" s="0" t="str">
        <f aca="false">HYPERLINK("https://lindat.mff.cuni.cz/services/teitok/pdtc10/index.php?action=vallex&amp;frame=v-w7906hsa_1169", "vyhodit (v-w7906hsa_1169)")</f>
        <v>vyhodit (v-w7906hsa_1169)</v>
      </c>
    </row>
    <row r="56109" customFormat="false" ht="12.8" hidden="false" customHeight="false" outlineLevel="0" collapsed="false">
      <c r="B56109" s="0" t="s">
        <v>7</v>
      </c>
    </row>
    <row r="56110" customFormat="false" ht="12.8" hidden="false" customHeight="false" outlineLevel="0" collapsed="false">
      <c r="B56110" s="0" t="s">
        <v>14</v>
      </c>
    </row>
    <row r="56112" customFormat="false" ht="12.8" hidden="false" customHeight="false" outlineLevel="0" collapsed="false">
      <c r="A56112" s="0" t="s">
        <v>19539</v>
      </c>
      <c r="B56112" s="0" t="str">
        <f aca="false">HYPERLINK("https://lindat.mff.cuni.cz/services/teitok/pdtc10/index.php?action=vallex&amp;frame=v-w7906hsa_1170", "vyhodit (v-w7906hsa_1170)")</f>
        <v>vyhodit (v-w7906hsa_1170)</v>
      </c>
    </row>
    <row r="56113" customFormat="false" ht="12.8" hidden="false" customHeight="false" outlineLevel="0" collapsed="false">
      <c r="B56113" s="0" t="s">
        <v>7</v>
      </c>
    </row>
    <row r="56114" customFormat="false" ht="12.8" hidden="false" customHeight="false" outlineLevel="0" collapsed="false">
      <c r="B56114" s="0" t="s">
        <v>14</v>
      </c>
    </row>
    <row r="56115" customFormat="false" ht="12.8" hidden="false" customHeight="false" outlineLevel="0" collapsed="false">
      <c r="B56115" s="0" t="s">
        <v>124</v>
      </c>
    </row>
    <row r="56117" customFormat="false" ht="12.8" hidden="false" customHeight="false" outlineLevel="0" collapsed="false">
      <c r="A56117" s="0" t="s">
        <v>19540</v>
      </c>
      <c r="B56117" s="0" t="str">
        <f aca="false">HYPERLINK("https://lindat.mff.cuni.cz/services/teitok/pdtc10/index.php?action=vallex&amp;frame=v-w7907f2", "vyhodit si (v-w7907f2)")</f>
        <v>vyhodit si (v-w7907f2)</v>
      </c>
    </row>
    <row r="56118" customFormat="false" ht="12.8" hidden="false" customHeight="false" outlineLevel="0" collapsed="false">
      <c r="B56118" s="0" t="s">
        <v>7</v>
      </c>
    </row>
    <row r="56119" customFormat="false" ht="12.8" hidden="false" customHeight="false" outlineLevel="0" collapsed="false">
      <c r="B56119" s="0" t="s">
        <v>19541</v>
      </c>
    </row>
    <row r="56121" customFormat="false" ht="12.8" hidden="false" customHeight="false" outlineLevel="0" collapsed="false">
      <c r="A56121" s="0" t="s">
        <v>19542</v>
      </c>
      <c r="B56121" s="0" t="str">
        <f aca="false">HYPERLINK("https://lindat.mff.cuni.cz/services/teitok/pdtc10/index.php?action=vallex&amp;frame=v-w7907f1", "vyhodit si (v-w7907f1)")</f>
        <v>vyhodit si (v-w7907f1)</v>
      </c>
    </row>
    <row r="56122" customFormat="false" ht="12.8" hidden="false" customHeight="false" outlineLevel="0" collapsed="false">
      <c r="B56122" s="0" t="s">
        <v>7</v>
      </c>
    </row>
    <row r="56123" customFormat="false" ht="12.8" hidden="false" customHeight="false" outlineLevel="0" collapsed="false">
      <c r="B56123" s="0" t="s">
        <v>19543</v>
      </c>
    </row>
    <row r="56125" customFormat="false" ht="12.8" hidden="false" customHeight="false" outlineLevel="0" collapsed="false">
      <c r="A56125" s="0" t="s">
        <v>19544</v>
      </c>
      <c r="B56125" s="0" t="str">
        <f aca="false">HYPERLINK("https://lindat.mff.cuni.cz/services/teitok/pdtc10/index.php?action=vallex&amp;frame=v-w7910f1", "vyhodnocovat (v-w7910f1)")</f>
        <v>vyhodnocovat (v-w7910f1)</v>
      </c>
    </row>
    <row r="56126" customFormat="false" ht="12.8" hidden="false" customHeight="false" outlineLevel="0" collapsed="false">
      <c r="B56126" s="0" t="s">
        <v>7</v>
      </c>
      <c r="C56126" s="0" t="s">
        <v>118</v>
      </c>
      <c r="D56126" s="0" t="s">
        <v>3664</v>
      </c>
      <c r="E56126" s="0" t="s">
        <v>3664</v>
      </c>
      <c r="F56126" s="0" t="s">
        <v>3664</v>
      </c>
    </row>
    <row r="56127" customFormat="false" ht="12.8" hidden="false" customHeight="false" outlineLevel="0" collapsed="false">
      <c r="B56127" s="0" t="s">
        <v>1520</v>
      </c>
      <c r="C56127" s="0" t="s">
        <v>110</v>
      </c>
      <c r="D56127" s="0" t="s">
        <v>899</v>
      </c>
      <c r="E56127" s="0" t="s">
        <v>899</v>
      </c>
      <c r="F56127" s="0" t="s">
        <v>899</v>
      </c>
    </row>
    <row r="56129" customFormat="false" ht="12.8" hidden="false" customHeight="false" outlineLevel="0" collapsed="false">
      <c r="A56129" s="0" t="s">
        <v>19545</v>
      </c>
      <c r="B56129" s="0" t="str">
        <f aca="false">HYPERLINK("https://lindat.mff.cuni.cz/services/teitok/pdtc10/index.php?action=vallex&amp;frame=v-w7911f1", "vyhodnotit (v-w7911f1)")</f>
        <v>vyhodnotit (v-w7911f1)</v>
      </c>
    </row>
    <row r="56130" customFormat="false" ht="12.8" hidden="false" customHeight="false" outlineLevel="0" collapsed="false">
      <c r="B56130" s="0" t="s">
        <v>7</v>
      </c>
      <c r="C56130" s="0" t="s">
        <v>3243</v>
      </c>
      <c r="D56130" s="0" t="s">
        <v>3664</v>
      </c>
      <c r="E56130" s="0" t="s">
        <v>3664</v>
      </c>
      <c r="F56130" s="0" t="s">
        <v>3664</v>
      </c>
    </row>
    <row r="56131" customFormat="false" ht="12.8" hidden="false" customHeight="false" outlineLevel="0" collapsed="false">
      <c r="B56131" s="0" t="s">
        <v>1520</v>
      </c>
      <c r="C56131" s="0" t="s">
        <v>4163</v>
      </c>
      <c r="D56131" s="0" t="s">
        <v>899</v>
      </c>
      <c r="E56131" s="0" t="s">
        <v>899</v>
      </c>
      <c r="F56131" s="0" t="s">
        <v>899</v>
      </c>
    </row>
    <row r="56133" customFormat="false" ht="12.8" hidden="false" customHeight="false" outlineLevel="0" collapsed="false">
      <c r="A56133" s="0" t="s">
        <v>19546</v>
      </c>
      <c r="B56133" s="0" t="str">
        <f aca="false">HYPERLINK("https://lindat.mff.cuni.cz/services/teitok/pdtc10/index.php?action=vallex&amp;frame=v-w7914f1", "vyhostit (v-w7914f1)")</f>
        <v>vyhostit (v-w7914f1)</v>
      </c>
    </row>
    <row r="56134" customFormat="false" ht="12.8" hidden="false" customHeight="false" outlineLevel="0" collapsed="false">
      <c r="B56134" s="0" t="s">
        <v>7</v>
      </c>
      <c r="C56134" s="0" t="s">
        <v>191</v>
      </c>
      <c r="D56134" s="0" t="s">
        <v>1567</v>
      </c>
      <c r="E56134" s="0" t="s">
        <v>1567</v>
      </c>
      <c r="F56134" s="0" t="s">
        <v>1567</v>
      </c>
    </row>
    <row r="56135" customFormat="false" ht="12.8" hidden="false" customHeight="false" outlineLevel="0" collapsed="false">
      <c r="B56135" s="0" t="s">
        <v>14</v>
      </c>
      <c r="C56135" s="0" t="s">
        <v>384</v>
      </c>
      <c r="D56135" s="0" t="s">
        <v>1568</v>
      </c>
      <c r="E56135" s="0" t="s">
        <v>1568</v>
      </c>
      <c r="F56135" s="0" t="s">
        <v>1568</v>
      </c>
    </row>
    <row r="56136" customFormat="false" ht="12.8" hidden="false" customHeight="false" outlineLevel="0" collapsed="false">
      <c r="B56136" s="0" t="s">
        <v>459</v>
      </c>
      <c r="C56136" s="0" t="s">
        <v>8091</v>
      </c>
      <c r="D56136" s="0" t="s">
        <v>1569</v>
      </c>
      <c r="E56136" s="0" t="s">
        <v>1569</v>
      </c>
      <c r="F56136" s="0" t="s">
        <v>1569</v>
      </c>
    </row>
    <row r="56138" customFormat="false" ht="12.8" hidden="false" customHeight="false" outlineLevel="0" collapsed="false">
      <c r="A56138" s="0" t="s">
        <v>19547</v>
      </c>
      <c r="B56138" s="0" t="str">
        <f aca="false">HYPERLINK("https://lindat.mff.cuni.cz/services/teitok/pdtc10/index.php?action=vallex&amp;frame=v-w7917f1", "vyhotovit (v-w7917f1)")</f>
        <v>vyhotovit (v-w7917f1)</v>
      </c>
    </row>
    <row r="56139" customFormat="false" ht="12.8" hidden="false" customHeight="false" outlineLevel="0" collapsed="false">
      <c r="B56139" s="0" t="s">
        <v>7</v>
      </c>
    </row>
    <row r="56140" customFormat="false" ht="12.8" hidden="false" customHeight="false" outlineLevel="0" collapsed="false">
      <c r="B56140" s="0" t="s">
        <v>14</v>
      </c>
    </row>
    <row r="56141" customFormat="false" ht="12.8" hidden="false" customHeight="false" outlineLevel="0" collapsed="false">
      <c r="B56141" s="0" t="s">
        <v>35</v>
      </c>
    </row>
    <row r="56143" customFormat="false" ht="12.8" hidden="false" customHeight="false" outlineLevel="0" collapsed="false">
      <c r="A56143" s="0" t="s">
        <v>19548</v>
      </c>
      <c r="B56143" s="0" t="str">
        <f aca="false">HYPERLINK("https://lindat.mff.cuni.cz/services/teitok/pdtc10/index.php?action=vallex&amp;frame=v-w7917f2_ZU", "vyhotovit (v-w7917f2_ZU)")</f>
        <v>vyhotovit (v-w7917f2_ZU)</v>
      </c>
    </row>
    <row r="56144" customFormat="false" ht="12.8" hidden="false" customHeight="false" outlineLevel="0" collapsed="false">
      <c r="B56144" s="0" t="s">
        <v>7</v>
      </c>
    </row>
    <row r="56145" customFormat="false" ht="12.8" hidden="false" customHeight="false" outlineLevel="0" collapsed="false">
      <c r="B56145" s="0" t="s">
        <v>14</v>
      </c>
    </row>
    <row r="56147" customFormat="false" ht="12.8" hidden="false" customHeight="false" outlineLevel="0" collapsed="false">
      <c r="A56147" s="0" t="s">
        <v>19549</v>
      </c>
      <c r="B56147" s="0" t="str">
        <f aca="false">HYPERLINK("https://lindat.mff.cuni.cz/services/teitok/pdtc10/index.php?action=vallex&amp;frame=v-w7918f1", "vyhoupnout se (v-w7918f1)")</f>
        <v>vyhoupnout se (v-w7918f1)</v>
      </c>
    </row>
    <row r="56148" customFormat="false" ht="12.8" hidden="false" customHeight="false" outlineLevel="0" collapsed="false">
      <c r="B56148" s="0" t="s">
        <v>7</v>
      </c>
      <c r="C56148" s="0" t="s">
        <v>19550</v>
      </c>
      <c r="D56148" s="0" t="s">
        <v>6244</v>
      </c>
      <c r="E56148" s="0" t="s">
        <v>6244</v>
      </c>
      <c r="F56148" s="0" t="s">
        <v>6244</v>
      </c>
    </row>
    <row r="56149" customFormat="false" ht="12.8" hidden="false" customHeight="false" outlineLevel="0" collapsed="false">
      <c r="B56149" s="0" t="s">
        <v>124</v>
      </c>
      <c r="C56149" s="0" t="s">
        <v>19551</v>
      </c>
      <c r="D56149" s="0" t="s">
        <v>19552</v>
      </c>
      <c r="E56149" s="0" t="s">
        <v>19552</v>
      </c>
      <c r="F56149" s="0" t="s">
        <v>19552</v>
      </c>
    </row>
    <row r="56151" customFormat="false" ht="12.8" hidden="false" customHeight="false" outlineLevel="0" collapsed="false">
      <c r="A56151" s="0" t="s">
        <v>19553</v>
      </c>
      <c r="B56151" s="0" t="str">
        <f aca="false">HYPERLINK("https://lindat.mff.cuni.cz/services/teitok/pdtc10/index.php?action=vallex&amp;frame=v-w7918f2", "vyhoupnout se (v-w7918f2)")</f>
        <v>vyhoupnout se (v-w7918f2)</v>
      </c>
    </row>
    <row r="56152" customFormat="false" ht="12.8" hidden="false" customHeight="false" outlineLevel="0" collapsed="false">
      <c r="B56152" s="0" t="s">
        <v>7</v>
      </c>
    </row>
    <row r="56153" customFormat="false" ht="12.8" hidden="false" customHeight="false" outlineLevel="0" collapsed="false">
      <c r="B56153" s="0" t="s">
        <v>124</v>
      </c>
    </row>
    <row r="56155" customFormat="false" ht="12.8" hidden="false" customHeight="false" outlineLevel="0" collapsed="false">
      <c r="A56155" s="0" t="s">
        <v>19554</v>
      </c>
      <c r="B56155" s="0" t="str">
        <f aca="false">HYPERLINK("https://lindat.mff.cuni.cz/services/teitok/pdtc10/index.php?action=vallex&amp;frame=v-w7921f1", "vyhovovat (v-w7921f1)")</f>
        <v>vyhovovat (v-w7921f1)</v>
      </c>
    </row>
    <row r="56156" customFormat="false" ht="12.8" hidden="false" customHeight="false" outlineLevel="0" collapsed="false">
      <c r="B56156" s="0" t="s">
        <v>265</v>
      </c>
      <c r="C56156" s="0" t="s">
        <v>19555</v>
      </c>
      <c r="D56156" s="0" t="s">
        <v>3895</v>
      </c>
      <c r="E56156" s="0" t="s">
        <v>3895</v>
      </c>
      <c r="F56156" s="0" t="s">
        <v>3895</v>
      </c>
    </row>
    <row r="56157" customFormat="false" ht="12.8" hidden="false" customHeight="false" outlineLevel="0" collapsed="false">
      <c r="B56157" s="0" t="s">
        <v>3892</v>
      </c>
      <c r="C56157" s="0" t="s">
        <v>19556</v>
      </c>
      <c r="D56157" s="0" t="s">
        <v>3897</v>
      </c>
      <c r="E56157" s="0" t="s">
        <v>3897</v>
      </c>
      <c r="F56157" s="0" t="s">
        <v>3897</v>
      </c>
    </row>
    <row r="56159" customFormat="false" ht="12.8" hidden="false" customHeight="false" outlineLevel="0" collapsed="false">
      <c r="A56159" s="0" t="s">
        <v>19557</v>
      </c>
      <c r="B56159" s="0" t="str">
        <f aca="false">HYPERLINK("https://lindat.mff.cuni.cz/services/teitok/pdtc10/index.php?action=vallex&amp;frame=v-w7921f2", "vyhovovat (v-w7921f2)")</f>
        <v>vyhovovat (v-w7921f2)</v>
      </c>
    </row>
    <row r="56160" customFormat="false" ht="12.8" hidden="false" customHeight="false" outlineLevel="0" collapsed="false">
      <c r="B56160" s="0" t="s">
        <v>7</v>
      </c>
      <c r="C56160" s="0" t="s">
        <v>2894</v>
      </c>
      <c r="D56160" s="0" t="s">
        <v>6744</v>
      </c>
      <c r="E56160" s="0" t="s">
        <v>6744</v>
      </c>
      <c r="F56160" s="0" t="s">
        <v>6744</v>
      </c>
    </row>
    <row r="56161" customFormat="false" ht="12.8" hidden="false" customHeight="false" outlineLevel="0" collapsed="false">
      <c r="B56161" s="0" t="s">
        <v>142</v>
      </c>
      <c r="C56161" s="0" t="s">
        <v>487</v>
      </c>
      <c r="D56161" s="0" t="s">
        <v>6746</v>
      </c>
      <c r="E56161" s="0" t="s">
        <v>6746</v>
      </c>
      <c r="F56161" s="0" t="s">
        <v>6746</v>
      </c>
    </row>
    <row r="56163" customFormat="false" ht="12.8" hidden="false" customHeight="false" outlineLevel="0" collapsed="false">
      <c r="A56163" s="0" t="s">
        <v>19558</v>
      </c>
      <c r="B56163" s="0" t="str">
        <f aca="false">HYPERLINK("https://lindat.mff.cuni.cz/services/teitok/pdtc10/index.php?action=vallex&amp;frame=v-w7920f1", "vyhovět (v-w7920f1)")</f>
        <v>vyhovět (v-w7920f1)</v>
      </c>
    </row>
    <row r="56164" customFormat="false" ht="12.8" hidden="false" customHeight="false" outlineLevel="0" collapsed="false">
      <c r="B56164" s="0" t="s">
        <v>7</v>
      </c>
      <c r="C56164" s="0" t="s">
        <v>7871</v>
      </c>
      <c r="D56164" s="0" t="s">
        <v>6744</v>
      </c>
      <c r="E56164" s="0" t="s">
        <v>6744</v>
      </c>
      <c r="F56164" s="0" t="s">
        <v>19559</v>
      </c>
    </row>
    <row r="56165" customFormat="false" ht="12.8" hidden="false" customHeight="false" outlineLevel="0" collapsed="false">
      <c r="B56165" s="0" t="s">
        <v>142</v>
      </c>
      <c r="C56165" s="0" t="s">
        <v>6196</v>
      </c>
      <c r="D56165" s="0" t="s">
        <v>6746</v>
      </c>
      <c r="E56165" s="0" t="s">
        <v>6746</v>
      </c>
      <c r="F56165" s="0" t="s">
        <v>19560</v>
      </c>
    </row>
    <row r="56167" customFormat="false" ht="12.8" hidden="false" customHeight="false" outlineLevel="0" collapsed="false">
      <c r="A56167" s="0" t="s">
        <v>19561</v>
      </c>
      <c r="B56167" s="0" t="str">
        <f aca="false">HYPERLINK("https://lindat.mff.cuni.cz/services/teitok/pdtc10/index.php?action=vallex&amp;frame=v-w7913f1", "vyhořet (v-w7913f1)")</f>
        <v>vyhořet (v-w7913f1)</v>
      </c>
    </row>
    <row r="56168" customFormat="false" ht="12.8" hidden="false" customHeight="false" outlineLevel="0" collapsed="false">
      <c r="B56168" s="0" t="s">
        <v>7</v>
      </c>
      <c r="D56168" s="0" t="s">
        <v>200</v>
      </c>
      <c r="E56168" s="0" t="s">
        <v>200</v>
      </c>
      <c r="F56168" s="0" t="s">
        <v>200</v>
      </c>
    </row>
    <row r="56170" customFormat="false" ht="12.8" hidden="false" customHeight="false" outlineLevel="0" collapsed="false">
      <c r="A56170" s="0" t="s">
        <v>19562</v>
      </c>
      <c r="B56170" s="0" t="str">
        <f aca="false">HYPERLINK("https://lindat.mff.cuni.cz/services/teitok/pdtc10/index.php?action=vallex&amp;frame=v-w7915f1", "vyhošťovat (v-w7915f1)")</f>
        <v>vyhošťovat (v-w7915f1)</v>
      </c>
    </row>
    <row r="56171" customFormat="false" ht="12.8" hidden="false" customHeight="false" outlineLevel="0" collapsed="false">
      <c r="B56171" s="0" t="s">
        <v>7</v>
      </c>
      <c r="D56171" s="0" t="s">
        <v>1567</v>
      </c>
      <c r="E56171" s="0" t="s">
        <v>1567</v>
      </c>
      <c r="F56171" s="0" t="s">
        <v>1567</v>
      </c>
    </row>
    <row r="56172" customFormat="false" ht="12.8" hidden="false" customHeight="false" outlineLevel="0" collapsed="false">
      <c r="B56172" s="0" t="s">
        <v>14</v>
      </c>
      <c r="D56172" s="0" t="s">
        <v>1568</v>
      </c>
      <c r="E56172" s="0" t="s">
        <v>1568</v>
      </c>
      <c r="F56172" s="0" t="s">
        <v>1568</v>
      </c>
    </row>
    <row r="56173" customFormat="false" ht="12.8" hidden="false" customHeight="false" outlineLevel="0" collapsed="false">
      <c r="B56173" s="0" t="s">
        <v>459</v>
      </c>
      <c r="D56173" s="0" t="s">
        <v>1569</v>
      </c>
      <c r="E56173" s="0" t="s">
        <v>1569</v>
      </c>
      <c r="F56173" s="0" t="s">
        <v>1569</v>
      </c>
    </row>
    <row r="56175" customFormat="false" ht="12.8" hidden="false" customHeight="false" outlineLevel="0" collapsed="false">
      <c r="A56175" s="0" t="s">
        <v>19563</v>
      </c>
      <c r="B56175" s="0" t="str">
        <f aca="false">HYPERLINK("https://lindat.mff.cuni.cz/services/teitok/pdtc10/index.php?action=vallex&amp;frame=v-w12275_ZUf1_ZU", "vyhrabat (v-w12275_ZUf1_ZU)")</f>
        <v>vyhrabat (v-w12275_ZUf1_ZU)</v>
      </c>
    </row>
    <row r="56176" customFormat="false" ht="12.8" hidden="false" customHeight="false" outlineLevel="0" collapsed="false">
      <c r="B56176" s="0" t="s">
        <v>7</v>
      </c>
    </row>
    <row r="56177" customFormat="false" ht="12.8" hidden="false" customHeight="false" outlineLevel="0" collapsed="false">
      <c r="B56177" s="0" t="s">
        <v>14</v>
      </c>
    </row>
    <row r="56179" customFormat="false" ht="12.8" hidden="false" customHeight="false" outlineLevel="0" collapsed="false">
      <c r="A56179" s="0" t="s">
        <v>19564</v>
      </c>
      <c r="B56179" s="0" t="str">
        <f aca="false">HYPERLINK("https://lindat.mff.cuni.cz/services/teitok/pdtc10/index.php?action=vallex&amp;frame=v-w11405f1", "vyhrabat se (v-w11405f1)")</f>
        <v>vyhrabat se (v-w11405f1)</v>
      </c>
    </row>
    <row r="56180" customFormat="false" ht="12.8" hidden="false" customHeight="false" outlineLevel="0" collapsed="false">
      <c r="B56180" s="0" t="s">
        <v>7</v>
      </c>
    </row>
    <row r="56181" customFormat="false" ht="12.8" hidden="false" customHeight="false" outlineLevel="0" collapsed="false">
      <c r="B56181" s="0" t="s">
        <v>459</v>
      </c>
    </row>
    <row r="56183" customFormat="false" ht="12.8" hidden="false" customHeight="false" outlineLevel="0" collapsed="false">
      <c r="A56183" s="0" t="s">
        <v>19565</v>
      </c>
      <c r="B56183" s="0" t="str">
        <f aca="false">HYPERLINK("https://lindat.mff.cuni.cz/services/teitok/pdtc10/index.php?action=vallex&amp;frame=v-w11418f1", "vyhrabávat se (v-w11418f1)")</f>
        <v>vyhrabávat se (v-w11418f1)</v>
      </c>
    </row>
    <row r="56184" customFormat="false" ht="12.8" hidden="false" customHeight="false" outlineLevel="0" collapsed="false">
      <c r="B56184" s="0" t="s">
        <v>7</v>
      </c>
      <c r="D56184" s="0" t="s">
        <v>19566</v>
      </c>
      <c r="E56184" s="0" t="s">
        <v>19566</v>
      </c>
      <c r="F56184" s="0" t="s">
        <v>19566</v>
      </c>
    </row>
    <row r="56185" customFormat="false" ht="12.8" hidden="false" customHeight="false" outlineLevel="0" collapsed="false">
      <c r="B56185" s="0" t="s">
        <v>459</v>
      </c>
    </row>
    <row r="56187" customFormat="false" ht="12.8" hidden="false" customHeight="false" outlineLevel="0" collapsed="false">
      <c r="A56187" s="0" t="s">
        <v>19567</v>
      </c>
      <c r="B56187" s="0" t="str">
        <f aca="false">HYPERLINK("https://lindat.mff.cuni.cz/services/teitok/pdtc10/index.php?action=vallex&amp;frame=v-w7924f2_ZU", "vyhradit (v-w7924f2_ZU)")</f>
        <v>vyhradit (v-w7924f2_ZU)</v>
      </c>
    </row>
    <row r="56188" customFormat="false" ht="12.8" hidden="false" customHeight="false" outlineLevel="0" collapsed="false">
      <c r="B56188" s="0" t="s">
        <v>7</v>
      </c>
    </row>
    <row r="56189" customFormat="false" ht="12.8" hidden="false" customHeight="false" outlineLevel="0" collapsed="false">
      <c r="B56189" s="0" t="s">
        <v>2313</v>
      </c>
    </row>
    <row r="56190" customFormat="false" ht="12.8" hidden="false" customHeight="false" outlineLevel="0" collapsed="false">
      <c r="B56190" s="0" t="s">
        <v>3012</v>
      </c>
    </row>
    <row r="56192" customFormat="false" ht="12.8" hidden="false" customHeight="false" outlineLevel="0" collapsed="false">
      <c r="A56192" s="0" t="s">
        <v>19567</v>
      </c>
      <c r="B56192" s="0" t="str">
        <f aca="false">HYPERLINK("https://lindat.mff.cuni.cz/services/teitok/pdtc10/index.php?action=vallex&amp;frame=v-w7924f1", "vyhradit (v-w7924f1) - substituted with v-w7924f2_ZU")</f>
        <v>vyhradit (v-w7924f1) - substituted with v-w7924f2_ZU</v>
      </c>
    </row>
    <row r="56193" customFormat="false" ht="12.8" hidden="false" customHeight="false" outlineLevel="0" collapsed="false">
      <c r="B56193" s="0" t="s">
        <v>7</v>
      </c>
      <c r="C56193" s="0" t="s">
        <v>19568</v>
      </c>
      <c r="D56193" s="0" t="s">
        <v>2530</v>
      </c>
      <c r="E56193" s="0" t="s">
        <v>2530</v>
      </c>
      <c r="F56193" s="0" t="s">
        <v>2530</v>
      </c>
    </row>
    <row r="56194" customFormat="false" ht="12.8" hidden="false" customHeight="false" outlineLevel="0" collapsed="false">
      <c r="B56194" s="0" t="s">
        <v>2313</v>
      </c>
      <c r="C56194" s="0" t="s">
        <v>19569</v>
      </c>
      <c r="D56194" s="0" t="s">
        <v>8362</v>
      </c>
      <c r="E56194" s="0" t="s">
        <v>8362</v>
      </c>
      <c r="F56194" s="0" t="s">
        <v>8362</v>
      </c>
    </row>
    <row r="56195" customFormat="false" ht="12.8" hidden="false" customHeight="false" outlineLevel="0" collapsed="false">
      <c r="B56195" s="0" t="s">
        <v>3012</v>
      </c>
      <c r="C56195" s="0" t="s">
        <v>19570</v>
      </c>
      <c r="D56195" s="0" t="s">
        <v>1486</v>
      </c>
      <c r="E56195" s="0" t="s">
        <v>1486</v>
      </c>
      <c r="F56195" s="0" t="s">
        <v>1486</v>
      </c>
    </row>
    <row r="56197" customFormat="false" ht="12.8" hidden="false" customHeight="false" outlineLevel="0" collapsed="false">
      <c r="A56197" s="0" t="s">
        <v>19571</v>
      </c>
      <c r="B56197" s="0" t="str">
        <f aca="false">HYPERLINK("https://lindat.mff.cuni.cz/services/teitok/pdtc10/index.php?action=vallex&amp;frame=v-w7924hsa_1362", "vyhradit (v-w7924hsa_1362)")</f>
        <v>vyhradit (v-w7924hsa_1362)</v>
      </c>
    </row>
    <row r="56198" customFormat="false" ht="12.8" hidden="false" customHeight="false" outlineLevel="0" collapsed="false">
      <c r="B56198" s="0" t="s">
        <v>7</v>
      </c>
    </row>
    <row r="56199" customFormat="false" ht="12.8" hidden="false" customHeight="false" outlineLevel="0" collapsed="false">
      <c r="B56199" s="0" t="s">
        <v>14</v>
      </c>
    </row>
    <row r="56201" customFormat="false" ht="12.8" hidden="false" customHeight="false" outlineLevel="0" collapsed="false">
      <c r="A56201" s="0" t="s">
        <v>19572</v>
      </c>
      <c r="B56201" s="0" t="str">
        <f aca="false">HYPERLINK("https://lindat.mff.cuni.cz/services/teitok/pdtc10/index.php?action=vallex&amp;frame=v-w7925f1", "vyhradit si (v-w7925f1)")</f>
        <v>vyhradit si (v-w7925f1)</v>
      </c>
    </row>
    <row r="56202" customFormat="false" ht="12.8" hidden="false" customHeight="false" outlineLevel="0" collapsed="false">
      <c r="B56202" s="0" t="s">
        <v>7</v>
      </c>
      <c r="C56202" s="0" t="s">
        <v>623</v>
      </c>
    </row>
    <row r="56203" customFormat="false" ht="12.8" hidden="false" customHeight="false" outlineLevel="0" collapsed="false">
      <c r="B56203" s="0" t="s">
        <v>14</v>
      </c>
      <c r="C56203" s="0" t="s">
        <v>1809</v>
      </c>
    </row>
    <row r="56205" customFormat="false" ht="12.8" hidden="false" customHeight="false" outlineLevel="0" collapsed="false">
      <c r="A56205" s="0" t="s">
        <v>19573</v>
      </c>
      <c r="B56205" s="0" t="str">
        <f aca="false">HYPERLINK("https://lindat.mff.cuni.cz/services/teitok/pdtc10/index.php?action=vallex&amp;frame=v-w7926f1", "vyhranit (v-w7926f1)")</f>
        <v>vyhranit (v-w7926f1)</v>
      </c>
    </row>
    <row r="56206" customFormat="false" ht="12.8" hidden="false" customHeight="false" outlineLevel="0" collapsed="false">
      <c r="B56206" s="0" t="s">
        <v>7</v>
      </c>
    </row>
    <row r="56207" customFormat="false" ht="12.8" hidden="false" customHeight="false" outlineLevel="0" collapsed="false">
      <c r="B56207" s="0" t="s">
        <v>14</v>
      </c>
    </row>
    <row r="56209" customFormat="false" ht="12.8" hidden="false" customHeight="false" outlineLevel="0" collapsed="false">
      <c r="A56209" s="0" t="s">
        <v>19574</v>
      </c>
      <c r="B56209" s="0" t="str">
        <f aca="false">HYPERLINK("https://lindat.mff.cuni.cz/services/teitok/pdtc10/index.php?action=vallex&amp;frame=v-w7927f1", "vyhranit se (v-w7927f1)")</f>
        <v>vyhranit se (v-w7927f1)</v>
      </c>
    </row>
    <row r="56210" customFormat="false" ht="12.8" hidden="false" customHeight="false" outlineLevel="0" collapsed="false">
      <c r="B56210" s="0" t="s">
        <v>7</v>
      </c>
    </row>
    <row r="56212" customFormat="false" ht="12.8" hidden="false" customHeight="false" outlineLevel="0" collapsed="false">
      <c r="A56212" s="0" t="s">
        <v>19575</v>
      </c>
      <c r="B56212" s="0" t="str">
        <f aca="false">HYPERLINK("https://lindat.mff.cuni.cz/services/teitok/pdtc10/index.php?action=vallex&amp;frame=v-whsa_288hsa_289", "vyhrazovat si (v-whsa_288hsa_289)")</f>
        <v>vyhrazovat si (v-whsa_288hsa_289)</v>
      </c>
    </row>
    <row r="56213" customFormat="false" ht="12.8" hidden="false" customHeight="false" outlineLevel="0" collapsed="false">
      <c r="B56213" s="0" t="s">
        <v>7</v>
      </c>
    </row>
    <row r="56214" customFormat="false" ht="12.8" hidden="false" customHeight="false" outlineLevel="0" collapsed="false">
      <c r="B56214" s="0" t="s">
        <v>14</v>
      </c>
    </row>
    <row r="56216" customFormat="false" ht="12.8" hidden="false" customHeight="false" outlineLevel="0" collapsed="false">
      <c r="A56216" s="0" t="s">
        <v>19576</v>
      </c>
      <c r="B56216" s="0" t="str">
        <f aca="false">HYPERLINK("https://lindat.mff.cuni.cz/services/teitok/pdtc10/index.php?action=vallex&amp;frame=v-w7928f1", "vyhraňovat se (v-w7928f1)")</f>
        <v>vyhraňovat se (v-w7928f1)</v>
      </c>
    </row>
    <row r="56217" customFormat="false" ht="12.8" hidden="false" customHeight="false" outlineLevel="0" collapsed="false">
      <c r="B56217" s="0" t="s">
        <v>7</v>
      </c>
    </row>
    <row r="56219" customFormat="false" ht="12.8" hidden="false" customHeight="false" outlineLevel="0" collapsed="false">
      <c r="A56219" s="0" t="s">
        <v>19577</v>
      </c>
      <c r="B56219" s="0" t="str">
        <f aca="false">HYPERLINK("https://lindat.mff.cuni.cz/services/teitok/pdtc10/index.php?action=vallex&amp;frame=v-w7934f1", "vyhrknout (v-w7934f1)")</f>
        <v>vyhrknout (v-w7934f1)</v>
      </c>
    </row>
    <row r="56220" customFormat="false" ht="12.8" hidden="false" customHeight="false" outlineLevel="0" collapsed="false">
      <c r="B56220" s="0" t="s">
        <v>7</v>
      </c>
    </row>
    <row r="56221" customFormat="false" ht="12.8" hidden="false" customHeight="false" outlineLevel="0" collapsed="false">
      <c r="B56221" s="0" t="s">
        <v>367</v>
      </c>
    </row>
    <row r="56222" customFormat="false" ht="12.8" hidden="false" customHeight="false" outlineLevel="0" collapsed="false">
      <c r="B56222" s="0" t="s">
        <v>4101</v>
      </c>
    </row>
    <row r="56224" customFormat="false" ht="12.8" hidden="false" customHeight="false" outlineLevel="0" collapsed="false">
      <c r="A56224" s="0" t="s">
        <v>19578</v>
      </c>
      <c r="B56224" s="0" t="str">
        <f aca="false">HYPERLINK("https://lindat.mff.cuni.cz/services/teitok/pdtc10/index.php?action=vallex&amp;frame=v-w7934f2", "vyhrknout (v-w7934f2)")</f>
        <v>vyhrknout (v-w7934f2)</v>
      </c>
    </row>
    <row r="56225" customFormat="false" ht="12.8" hidden="false" customHeight="false" outlineLevel="0" collapsed="false">
      <c r="B56225" s="0" t="s">
        <v>7</v>
      </c>
    </row>
    <row r="56226" customFormat="false" ht="12.8" hidden="false" customHeight="false" outlineLevel="0" collapsed="false">
      <c r="B56226" s="0" t="s">
        <v>459</v>
      </c>
    </row>
    <row r="56228" customFormat="false" ht="12.8" hidden="false" customHeight="false" outlineLevel="0" collapsed="false">
      <c r="A56228" s="0" t="s">
        <v>19579</v>
      </c>
      <c r="B56228" s="0" t="str">
        <f aca="false">HYPERLINK("https://lindat.mff.cuni.cz/services/teitok/pdtc10/index.php?action=vallex&amp;frame=v-w7935f1", "vyhrnout se (v-w7935f1)")</f>
        <v>vyhrnout se (v-w7935f1)</v>
      </c>
    </row>
    <row r="56229" customFormat="false" ht="12.8" hidden="false" customHeight="false" outlineLevel="0" collapsed="false">
      <c r="B56229" s="0" t="s">
        <v>7</v>
      </c>
    </row>
    <row r="56230" customFormat="false" ht="12.8" hidden="false" customHeight="false" outlineLevel="0" collapsed="false">
      <c r="B56230" s="0" t="s">
        <v>459</v>
      </c>
    </row>
    <row r="56232" customFormat="false" ht="12.8" hidden="false" customHeight="false" outlineLevel="0" collapsed="false">
      <c r="A56232" s="0" t="s">
        <v>19580</v>
      </c>
      <c r="B56232" s="0" t="str">
        <f aca="false">HYPERLINK("https://lindat.mff.cuni.cz/services/teitok/pdtc10/index.php?action=vallex&amp;frame=v-w7938f1", "vyhrocovat se (v-w7938f1)")</f>
        <v>vyhrocovat se (v-w7938f1)</v>
      </c>
    </row>
    <row r="56233" customFormat="false" ht="12.8" hidden="false" customHeight="false" outlineLevel="0" collapsed="false">
      <c r="B56233" s="0" t="s">
        <v>7</v>
      </c>
      <c r="D56233" s="0" t="s">
        <v>19581</v>
      </c>
      <c r="E56233" s="0" t="s">
        <v>19581</v>
      </c>
      <c r="F56233" s="0" t="s">
        <v>19581</v>
      </c>
    </row>
    <row r="56235" customFormat="false" ht="12.8" hidden="false" customHeight="false" outlineLevel="0" collapsed="false">
      <c r="A56235" s="0" t="s">
        <v>19582</v>
      </c>
      <c r="B56235" s="0" t="str">
        <f aca="false">HYPERLINK("https://lindat.mff.cuni.cz/services/teitok/pdtc10/index.php?action=vallex&amp;frame=v-w7939f1", "vyhrotit (v-w7939f1)")</f>
        <v>vyhrotit (v-w7939f1)</v>
      </c>
    </row>
    <row r="56236" customFormat="false" ht="12.8" hidden="false" customHeight="false" outlineLevel="0" collapsed="false">
      <c r="B56236" s="0" t="s">
        <v>7</v>
      </c>
    </row>
    <row r="56237" customFormat="false" ht="12.8" hidden="false" customHeight="false" outlineLevel="0" collapsed="false">
      <c r="B56237" s="0" t="s">
        <v>14</v>
      </c>
    </row>
    <row r="56239" customFormat="false" ht="12.8" hidden="false" customHeight="false" outlineLevel="0" collapsed="false">
      <c r="A56239" s="0" t="s">
        <v>19583</v>
      </c>
      <c r="B56239" s="0" t="str">
        <f aca="false">HYPERLINK("https://lindat.mff.cuni.cz/services/teitok/pdtc10/index.php?action=vallex&amp;frame=v-w7940f1", "vyhrotit se (v-w7940f1)")</f>
        <v>vyhrotit se (v-w7940f1)</v>
      </c>
    </row>
    <row r="56240" customFormat="false" ht="12.8" hidden="false" customHeight="false" outlineLevel="0" collapsed="false">
      <c r="B56240" s="0" t="s">
        <v>7</v>
      </c>
      <c r="D56240" s="0" t="s">
        <v>6765</v>
      </c>
      <c r="E56240" s="0" t="s">
        <v>6765</v>
      </c>
      <c r="F56240" s="0" t="s">
        <v>6765</v>
      </c>
    </row>
    <row r="56242" customFormat="false" ht="12.8" hidden="false" customHeight="false" outlineLevel="0" collapsed="false">
      <c r="A56242" s="0" t="s">
        <v>19584</v>
      </c>
      <c r="B56242" s="0" t="str">
        <f aca="false">HYPERLINK("https://lindat.mff.cuni.cz/services/teitok/pdtc10/index.php?action=vallex&amp;frame=v-w7942f1", "vyhrožovat (v-w7942f1)")</f>
        <v>vyhrožovat (v-w7942f1)</v>
      </c>
    </row>
    <row r="56243" customFormat="false" ht="12.8" hidden="false" customHeight="false" outlineLevel="0" collapsed="false">
      <c r="B56243" s="0" t="s">
        <v>7</v>
      </c>
      <c r="C56243" s="0" t="s">
        <v>1999</v>
      </c>
      <c r="D56243" s="0" t="s">
        <v>88</v>
      </c>
      <c r="E56243" s="0" t="s">
        <v>88</v>
      </c>
      <c r="F56243" s="0" t="s">
        <v>88</v>
      </c>
    </row>
    <row r="56244" customFormat="false" ht="12.8" hidden="false" customHeight="false" outlineLevel="0" collapsed="false">
      <c r="B56244" s="0" t="s">
        <v>19585</v>
      </c>
      <c r="C56244" s="0" t="s">
        <v>19586</v>
      </c>
      <c r="D56244" s="0" t="s">
        <v>4027</v>
      </c>
      <c r="E56244" s="0" t="s">
        <v>4027</v>
      </c>
      <c r="F56244" s="0" t="s">
        <v>4027</v>
      </c>
    </row>
    <row r="56245" customFormat="false" ht="12.8" hidden="false" customHeight="false" outlineLevel="0" collapsed="false">
      <c r="B56245" s="0" t="s">
        <v>48</v>
      </c>
      <c r="C56245" s="0" t="s">
        <v>1486</v>
      </c>
      <c r="D56245" s="0" t="s">
        <v>1486</v>
      </c>
      <c r="E56245" s="0" t="s">
        <v>1486</v>
      </c>
      <c r="F56245" s="0" t="s">
        <v>1486</v>
      </c>
    </row>
    <row r="56247" customFormat="false" ht="12.8" hidden="false" customHeight="false" outlineLevel="0" collapsed="false">
      <c r="A56247" s="0" t="s">
        <v>19587</v>
      </c>
      <c r="B56247" s="0" t="str">
        <f aca="false">HYPERLINK("https://lindat.mff.cuni.cz/services/teitok/pdtc10/index.php?action=vallex&amp;frame=v-w7942f2", "vyhrožovat (v-w7942f2)")</f>
        <v>vyhrožovat (v-w7942f2)</v>
      </c>
    </row>
    <row r="56248" customFormat="false" ht="12.8" hidden="false" customHeight="false" outlineLevel="0" collapsed="false">
      <c r="B56248" s="0" t="s">
        <v>7</v>
      </c>
    </row>
    <row r="56249" customFormat="false" ht="12.8" hidden="false" customHeight="false" outlineLevel="0" collapsed="false">
      <c r="B56249" s="0" t="s">
        <v>119</v>
      </c>
    </row>
    <row r="56251" customFormat="false" ht="12.8" hidden="false" customHeight="false" outlineLevel="0" collapsed="false">
      <c r="A56251" s="0" t="s">
        <v>19588</v>
      </c>
      <c r="B56251" s="0" t="str">
        <f aca="false">HYPERLINK("https://lindat.mff.cuni.cz/services/teitok/pdtc10/index.php?action=vallex&amp;frame=v-w7929f3_ZU", "vyhrát (v-w7929f3_ZU)")</f>
        <v>vyhrát (v-w7929f3_ZU)</v>
      </c>
    </row>
    <row r="56252" customFormat="false" ht="12.8" hidden="false" customHeight="false" outlineLevel="0" collapsed="false">
      <c r="B56252" s="0" t="s">
        <v>7</v>
      </c>
      <c r="C56252" s="0" t="s">
        <v>2530</v>
      </c>
      <c r="D56252" s="0" t="s">
        <v>91</v>
      </c>
      <c r="E56252" s="0" t="s">
        <v>91</v>
      </c>
      <c r="F56252" s="0" t="s">
        <v>91</v>
      </c>
    </row>
    <row r="56253" customFormat="false" ht="12.8" hidden="false" customHeight="false" outlineLevel="0" collapsed="false">
      <c r="B56253" s="0" t="s">
        <v>11750</v>
      </c>
      <c r="C56253" s="0" t="s">
        <v>1210</v>
      </c>
      <c r="D56253" s="0" t="s">
        <v>6697</v>
      </c>
      <c r="E56253" s="0" t="s">
        <v>6697</v>
      </c>
      <c r="F56253" s="0" t="s">
        <v>6697</v>
      </c>
    </row>
    <row r="56254" customFormat="false" ht="12.8" hidden="false" customHeight="false" outlineLevel="0" collapsed="false">
      <c r="B56254" s="0" t="s">
        <v>19192</v>
      </c>
    </row>
    <row r="56256" customFormat="false" ht="12.8" hidden="false" customHeight="false" outlineLevel="0" collapsed="false">
      <c r="A56256" s="0" t="s">
        <v>19588</v>
      </c>
      <c r="B56256" s="0" t="str">
        <f aca="false">HYPERLINK("https://lindat.mff.cuni.cz/services/teitok/pdtc10/index.php?action=vallex&amp;frame=v-w7929f1", "vyhrát (v-w7929f1) - substituted with v-w7929f3_ZU")</f>
        <v>vyhrát (v-w7929f1) - substituted with v-w7929f3_ZU</v>
      </c>
    </row>
    <row r="56257" customFormat="false" ht="12.8" hidden="false" customHeight="false" outlineLevel="0" collapsed="false">
      <c r="B56257" s="0" t="s">
        <v>7</v>
      </c>
      <c r="C56257" s="0" t="s">
        <v>19589</v>
      </c>
    </row>
    <row r="56258" customFormat="false" ht="12.8" hidden="false" customHeight="false" outlineLevel="0" collapsed="false">
      <c r="B56258" s="0" t="s">
        <v>11750</v>
      </c>
      <c r="C56258" s="0" t="s">
        <v>19590</v>
      </c>
    </row>
    <row r="56259" customFormat="false" ht="12.8" hidden="false" customHeight="false" outlineLevel="0" collapsed="false">
      <c r="B56259" s="0" t="s">
        <v>19192</v>
      </c>
      <c r="C56259" s="0" t="s">
        <v>4967</v>
      </c>
    </row>
    <row r="56261" customFormat="false" ht="12.8" hidden="false" customHeight="false" outlineLevel="0" collapsed="false">
      <c r="A56261" s="0" t="s">
        <v>19591</v>
      </c>
      <c r="B56261" s="0" t="str">
        <f aca="false">HYPERLINK("https://lindat.mff.cuni.cz/services/teitok/pdtc10/index.php?action=vallex&amp;frame=v-w7929f2", "vyhrát (v-w7929f2)")</f>
        <v>vyhrát (v-w7929f2)</v>
      </c>
    </row>
    <row r="56262" customFormat="false" ht="12.8" hidden="false" customHeight="false" outlineLevel="0" collapsed="false">
      <c r="B56262" s="0" t="s">
        <v>7</v>
      </c>
      <c r="C56262" s="0" t="s">
        <v>9359</v>
      </c>
      <c r="D56262" s="0" t="s">
        <v>1725</v>
      </c>
      <c r="E56262" s="0" t="s">
        <v>1725</v>
      </c>
      <c r="F56262" s="0" t="s">
        <v>1725</v>
      </c>
    </row>
    <row r="56263" customFormat="false" ht="12.8" hidden="false" customHeight="false" outlineLevel="0" collapsed="false">
      <c r="B56263" s="0" t="s">
        <v>14</v>
      </c>
      <c r="C56263" s="0" t="s">
        <v>453</v>
      </c>
      <c r="D56263" s="0" t="s">
        <v>1728</v>
      </c>
      <c r="E56263" s="0" t="s">
        <v>1728</v>
      </c>
      <c r="F56263" s="0" t="s">
        <v>1728</v>
      </c>
    </row>
    <row r="56264" customFormat="false" ht="12.8" hidden="false" customHeight="false" outlineLevel="0" collapsed="false">
      <c r="B56264" s="0" t="s">
        <v>586</v>
      </c>
      <c r="D56264" s="0" t="s">
        <v>1730</v>
      </c>
      <c r="E56264" s="0" t="s">
        <v>1730</v>
      </c>
      <c r="F56264" s="0" t="s">
        <v>1730</v>
      </c>
    </row>
    <row r="56266" customFormat="false" ht="12.8" hidden="false" customHeight="false" outlineLevel="0" collapsed="false">
      <c r="A56266" s="0" t="s">
        <v>19592</v>
      </c>
      <c r="B56266" s="0" t="str">
        <f aca="false">HYPERLINK("https://lindat.mff.cuni.cz/services/teitok/pdtc10/index.php?action=vallex&amp;frame=v-w7930f1", "vyhrát se (v-w7930f1)")</f>
        <v>vyhrát se (v-w7930f1)</v>
      </c>
    </row>
    <row r="56267" customFormat="false" ht="12.8" hidden="false" customHeight="false" outlineLevel="0" collapsed="false">
      <c r="B56267" s="0" t="s">
        <v>7</v>
      </c>
    </row>
    <row r="56269" customFormat="false" ht="12.8" hidden="false" customHeight="false" outlineLevel="0" collapsed="false">
      <c r="A56269" s="0" t="s">
        <v>19593</v>
      </c>
      <c r="B56269" s="0" t="str">
        <f aca="false">HYPERLINK("https://lindat.mff.cuni.cz/services/teitok/pdtc10/index.php?action=vallex&amp;frame=v-w7931f1", "vyhrát si (v-w7931f1)")</f>
        <v>vyhrát si (v-w7931f1)</v>
      </c>
    </row>
    <row r="56270" customFormat="false" ht="12.8" hidden="false" customHeight="false" outlineLevel="0" collapsed="false">
      <c r="B56270" s="0" t="s">
        <v>7</v>
      </c>
    </row>
    <row r="56271" customFormat="false" ht="12.8" hidden="false" customHeight="false" outlineLevel="0" collapsed="false">
      <c r="B56271" s="0" t="s">
        <v>2871</v>
      </c>
    </row>
    <row r="56273" customFormat="false" ht="12.8" hidden="false" customHeight="false" outlineLevel="0" collapsed="false">
      <c r="A56273" s="0" t="s">
        <v>19594</v>
      </c>
      <c r="B56273" s="0" t="str">
        <f aca="false">HYPERLINK("https://lindat.mff.cuni.cz/services/teitok/pdtc10/index.php?action=vallex&amp;frame=v-w7933f1", "vyhrávat (v-w7933f1)")</f>
        <v>vyhrávat (v-w7933f1)</v>
      </c>
    </row>
    <row r="56274" customFormat="false" ht="12.8" hidden="false" customHeight="false" outlineLevel="0" collapsed="false">
      <c r="B56274" s="0" t="s">
        <v>7</v>
      </c>
      <c r="C56274" s="0" t="s">
        <v>18569</v>
      </c>
      <c r="D56274" s="0" t="s">
        <v>91</v>
      </c>
      <c r="E56274" s="0" t="s">
        <v>91</v>
      </c>
      <c r="F56274" s="0" t="s">
        <v>91</v>
      </c>
    </row>
    <row r="56275" customFormat="false" ht="12.8" hidden="false" customHeight="false" outlineLevel="0" collapsed="false">
      <c r="B56275" s="0" t="s">
        <v>11750</v>
      </c>
      <c r="C56275" s="0" t="s">
        <v>19595</v>
      </c>
      <c r="D56275" s="0" t="s">
        <v>6697</v>
      </c>
      <c r="E56275" s="0" t="s">
        <v>6697</v>
      </c>
      <c r="F56275" s="0" t="s">
        <v>6697</v>
      </c>
    </row>
    <row r="56276" customFormat="false" ht="12.8" hidden="false" customHeight="false" outlineLevel="0" collapsed="false">
      <c r="B56276" s="0" t="s">
        <v>19192</v>
      </c>
    </row>
    <row r="56278" customFormat="false" ht="12.8" hidden="false" customHeight="false" outlineLevel="0" collapsed="false">
      <c r="A56278" s="0" t="s">
        <v>19596</v>
      </c>
      <c r="B56278" s="0" t="str">
        <f aca="false">HYPERLINK("https://lindat.mff.cuni.cz/services/teitok/pdtc10/index.php?action=vallex&amp;frame=v-w7933f2_ZU", "vyhrávat (v-w7933f2_ZU)")</f>
        <v>vyhrávat (v-w7933f2_ZU)</v>
      </c>
    </row>
    <row r="56279" customFormat="false" ht="12.8" hidden="false" customHeight="false" outlineLevel="0" collapsed="false">
      <c r="B56279" s="0" t="s">
        <v>7</v>
      </c>
    </row>
    <row r="56280" customFormat="false" ht="12.8" hidden="false" customHeight="false" outlineLevel="0" collapsed="false">
      <c r="B56280" s="0" t="s">
        <v>14</v>
      </c>
    </row>
    <row r="56282" customFormat="false" ht="12.8" hidden="false" customHeight="false" outlineLevel="0" collapsed="false">
      <c r="A56282" s="0" t="s">
        <v>19597</v>
      </c>
      <c r="B56282" s="0" t="str">
        <f aca="false">HYPERLINK("https://lindat.mff.cuni.cz/services/teitok/pdtc10/index.php?action=vallex&amp;frame=v-w7933hsa_1259", "vyhrávat (v-w7933hsa_1259)")</f>
        <v>vyhrávat (v-w7933hsa_1259)</v>
      </c>
    </row>
    <row r="56283" customFormat="false" ht="12.8" hidden="false" customHeight="false" outlineLevel="0" collapsed="false">
      <c r="B56283" s="0" t="s">
        <v>7</v>
      </c>
    </row>
    <row r="56285" customFormat="false" ht="12.8" hidden="false" customHeight="false" outlineLevel="0" collapsed="false">
      <c r="A56285" s="0" t="s">
        <v>19598</v>
      </c>
      <c r="B56285" s="0" t="str">
        <f aca="false">HYPERLINK("https://lindat.mff.cuni.cz/services/teitok/pdtc10/index.php?action=vallex&amp;frame=v-w7945f1", "vyhubit (v-w7945f1)")</f>
        <v>vyhubit (v-w7945f1)</v>
      </c>
    </row>
    <row r="56286" customFormat="false" ht="12.8" hidden="false" customHeight="false" outlineLevel="0" collapsed="false">
      <c r="B56286" s="0" t="s">
        <v>7</v>
      </c>
    </row>
    <row r="56287" customFormat="false" ht="12.8" hidden="false" customHeight="false" outlineLevel="0" collapsed="false">
      <c r="B56287" s="0" t="s">
        <v>14</v>
      </c>
    </row>
    <row r="56289" customFormat="false" ht="12.8" hidden="false" customHeight="false" outlineLevel="0" collapsed="false">
      <c r="A56289" s="0" t="s">
        <v>19599</v>
      </c>
      <c r="B56289" s="0" t="str">
        <f aca="false">HYPERLINK("https://lindat.mff.cuni.cz/services/teitok/pdtc10/index.php?action=vallex&amp;frame=v-w10511f2", "vyhubovat (v-w10511f2)")</f>
        <v>vyhubovat (v-w10511f2)</v>
      </c>
    </row>
    <row r="56290" customFormat="false" ht="12.8" hidden="false" customHeight="false" outlineLevel="0" collapsed="false">
      <c r="B56290" s="0" t="s">
        <v>7</v>
      </c>
      <c r="C56290" s="0" t="s">
        <v>191</v>
      </c>
    </row>
    <row r="56291" customFormat="false" ht="12.8" hidden="false" customHeight="false" outlineLevel="0" collapsed="false">
      <c r="B56291" s="0" t="s">
        <v>48</v>
      </c>
      <c r="C56291" s="0" t="s">
        <v>397</v>
      </c>
    </row>
    <row r="56292" customFormat="false" ht="12.8" hidden="false" customHeight="false" outlineLevel="0" collapsed="false">
      <c r="B56292" s="0" t="s">
        <v>16370</v>
      </c>
    </row>
    <row r="56294" customFormat="false" ht="12.8" hidden="false" customHeight="false" outlineLevel="0" collapsed="false">
      <c r="A56294" s="0" t="s">
        <v>19600</v>
      </c>
      <c r="B56294" s="0" t="str">
        <f aca="false">HYPERLINK("https://lindat.mff.cuni.cz/services/teitok/pdtc10/index.php?action=vallex&amp;frame=v-w7948f1", "vyhynout (v-w7948f1)")</f>
        <v>vyhynout (v-w7948f1)</v>
      </c>
    </row>
    <row r="56295" customFormat="false" ht="12.8" hidden="false" customHeight="false" outlineLevel="0" collapsed="false">
      <c r="B56295" s="0" t="s">
        <v>7</v>
      </c>
    </row>
    <row r="56297" customFormat="false" ht="12.8" hidden="false" customHeight="false" outlineLevel="0" collapsed="false">
      <c r="A56297" s="0" t="s">
        <v>19601</v>
      </c>
      <c r="B56297" s="0" t="str">
        <f aca="false">HYPERLINK("https://lindat.mff.cuni.cz/services/teitok/pdtc10/index.php?action=vallex&amp;frame=v-w7876f1", "vyhánět (v-w7876f1)")</f>
        <v>vyhánět (v-w7876f1)</v>
      </c>
    </row>
    <row r="56298" customFormat="false" ht="12.8" hidden="false" customHeight="false" outlineLevel="0" collapsed="false">
      <c r="B56298" s="0" t="s">
        <v>7</v>
      </c>
      <c r="D56298" s="0" t="s">
        <v>1567</v>
      </c>
      <c r="E56298" s="0" t="s">
        <v>1567</v>
      </c>
      <c r="F56298" s="0" t="s">
        <v>1567</v>
      </c>
    </row>
    <row r="56299" customFormat="false" ht="12.8" hidden="false" customHeight="false" outlineLevel="0" collapsed="false">
      <c r="B56299" s="0" t="s">
        <v>14</v>
      </c>
      <c r="D56299" s="0" t="s">
        <v>1568</v>
      </c>
      <c r="E56299" s="0" t="s">
        <v>1568</v>
      </c>
      <c r="F56299" s="0" t="s">
        <v>1568</v>
      </c>
    </row>
    <row r="56300" customFormat="false" ht="12.8" hidden="false" customHeight="false" outlineLevel="0" collapsed="false">
      <c r="B56300" s="0" t="s">
        <v>459</v>
      </c>
      <c r="D56300" s="0" t="s">
        <v>1569</v>
      </c>
      <c r="E56300" s="0" t="s">
        <v>1569</v>
      </c>
      <c r="F56300" s="0" t="s">
        <v>1569</v>
      </c>
    </row>
    <row r="56302" customFormat="false" ht="12.8" hidden="false" customHeight="false" outlineLevel="0" collapsed="false">
      <c r="A56302" s="0" t="s">
        <v>19602</v>
      </c>
      <c r="B56302" s="0" t="str">
        <f aca="false">HYPERLINK("https://lindat.mff.cuni.cz/services/teitok/pdtc10/index.php?action=vallex&amp;frame=v-w7876f2_ZU", "vyhánět (v-w7876f2_ZU)")</f>
        <v>vyhánět (v-w7876f2_ZU)</v>
      </c>
    </row>
    <row r="56303" customFormat="false" ht="12.8" hidden="false" customHeight="false" outlineLevel="0" collapsed="false">
      <c r="B56303" s="0" t="s">
        <v>7</v>
      </c>
      <c r="C56303" s="0" t="s">
        <v>4349</v>
      </c>
      <c r="D56303" s="0" t="s">
        <v>6436</v>
      </c>
      <c r="E56303" s="0" t="s">
        <v>6436</v>
      </c>
      <c r="F56303" s="0" t="s">
        <v>6436</v>
      </c>
    </row>
    <row r="56304" customFormat="false" ht="12.8" hidden="false" customHeight="false" outlineLevel="0" collapsed="false">
      <c r="B56304" s="0" t="s">
        <v>14</v>
      </c>
      <c r="C56304" s="0" t="s">
        <v>16697</v>
      </c>
      <c r="D56304" s="0" t="s">
        <v>6437</v>
      </c>
      <c r="E56304" s="0" t="s">
        <v>6437</v>
      </c>
      <c r="F56304" s="0" t="s">
        <v>6437</v>
      </c>
    </row>
    <row r="56305" customFormat="false" ht="12.8" hidden="false" customHeight="false" outlineLevel="0" collapsed="false">
      <c r="B56305" s="0" t="s">
        <v>338</v>
      </c>
      <c r="D56305" s="0" t="s">
        <v>19603</v>
      </c>
      <c r="E56305" s="0" t="s">
        <v>19603</v>
      </c>
      <c r="F56305" s="0" t="s">
        <v>19603</v>
      </c>
    </row>
    <row r="56307" customFormat="false" ht="12.8" hidden="false" customHeight="false" outlineLevel="0" collapsed="false">
      <c r="A56307" s="0" t="s">
        <v>19604</v>
      </c>
      <c r="B56307" s="0" t="str">
        <f aca="false">HYPERLINK("https://lindat.mff.cuni.cz/services/teitok/pdtc10/index.php?action=vallex&amp;frame=v-w7879f2", "vyházet (v-w7879f2)")</f>
        <v>vyházet (v-w7879f2)</v>
      </c>
    </row>
    <row r="56308" customFormat="false" ht="12.8" hidden="false" customHeight="false" outlineLevel="0" collapsed="false">
      <c r="B56308" s="0" t="s">
        <v>7</v>
      </c>
    </row>
    <row r="56309" customFormat="false" ht="12.8" hidden="false" customHeight="false" outlineLevel="0" collapsed="false">
      <c r="B56309" s="0" t="s">
        <v>14</v>
      </c>
    </row>
    <row r="56310" customFormat="false" ht="12.8" hidden="false" customHeight="false" outlineLevel="0" collapsed="false">
      <c r="B56310" s="0" t="s">
        <v>550</v>
      </c>
    </row>
    <row r="56312" customFormat="false" ht="12.8" hidden="false" customHeight="false" outlineLevel="0" collapsed="false">
      <c r="A56312" s="0" t="s">
        <v>19605</v>
      </c>
      <c r="B56312" s="0" t="str">
        <f aca="false">HYPERLINK("https://lindat.mff.cuni.cz/services/teitok/pdtc10/index.php?action=vallex&amp;frame=v-w7879f3", "vyházet (v-w7879f3)")</f>
        <v>vyházet (v-w7879f3)</v>
      </c>
    </row>
    <row r="56313" customFormat="false" ht="12.8" hidden="false" customHeight="false" outlineLevel="0" collapsed="false">
      <c r="B56313" s="0" t="s">
        <v>7</v>
      </c>
    </row>
    <row r="56314" customFormat="false" ht="12.8" hidden="false" customHeight="false" outlineLevel="0" collapsed="false">
      <c r="B56314" s="0" t="s">
        <v>14</v>
      </c>
    </row>
    <row r="56315" customFormat="false" ht="12.8" hidden="false" customHeight="false" outlineLevel="0" collapsed="false">
      <c r="B56315" s="0" t="s">
        <v>459</v>
      </c>
    </row>
    <row r="56317" customFormat="false" ht="12.8" hidden="false" customHeight="false" outlineLevel="0" collapsed="false">
      <c r="A56317" s="0" t="s">
        <v>19606</v>
      </c>
      <c r="B56317" s="0" t="str">
        <f aca="false">HYPERLINK("https://lindat.mff.cuni.cz/services/teitok/pdtc10/index.php?action=vallex&amp;frame=v-w7879f1", "vyházet (v-w7879f1)")</f>
        <v>vyházet (v-w7879f1)</v>
      </c>
    </row>
    <row r="56318" customFormat="false" ht="12.8" hidden="false" customHeight="false" outlineLevel="0" collapsed="false">
      <c r="B56318" s="0" t="s">
        <v>7</v>
      </c>
    </row>
    <row r="56319" customFormat="false" ht="12.8" hidden="false" customHeight="false" outlineLevel="0" collapsed="false">
      <c r="B56319" s="0" t="s">
        <v>679</v>
      </c>
    </row>
    <row r="56320" customFormat="false" ht="12.8" hidden="false" customHeight="false" outlineLevel="0" collapsed="false">
      <c r="B56320" s="0" t="s">
        <v>19607</v>
      </c>
    </row>
    <row r="56322" customFormat="false" ht="12.8" hidden="false" customHeight="false" outlineLevel="0" collapsed="false">
      <c r="A56322" s="0" t="s">
        <v>19608</v>
      </c>
      <c r="B56322" s="0" t="str">
        <f aca="false">HYPERLINK("https://lindat.mff.cuni.cz/services/teitok/pdtc10/index.php?action=vallex&amp;frame=v-w7879hsa_1844", "vyházet (v-w7879hsa_1844)")</f>
        <v>vyházet (v-w7879hsa_1844)</v>
      </c>
    </row>
    <row r="56323" customFormat="false" ht="12.8" hidden="false" customHeight="false" outlineLevel="0" collapsed="false">
      <c r="B56323" s="0" t="s">
        <v>7</v>
      </c>
    </row>
    <row r="56324" customFormat="false" ht="12.8" hidden="false" customHeight="false" outlineLevel="0" collapsed="false">
      <c r="B56324" s="0" t="s">
        <v>14</v>
      </c>
    </row>
    <row r="56325" customFormat="false" ht="12.8" hidden="false" customHeight="false" outlineLevel="0" collapsed="false">
      <c r="B56325" s="0" t="s">
        <v>459</v>
      </c>
    </row>
    <row r="56327" customFormat="false" ht="12.8" hidden="false" customHeight="false" outlineLevel="0" collapsed="false">
      <c r="A56327" s="0" t="s">
        <v>19609</v>
      </c>
      <c r="B56327" s="0" t="str">
        <f aca="false">HYPERLINK("https://lindat.mff.cuni.cz/services/teitok/pdtc10/index.php?action=vallex&amp;frame=v-w7875f1", "vyháčkovat (v-w7875f1)")</f>
        <v>vyháčkovat (v-w7875f1)</v>
      </c>
    </row>
    <row r="56328" customFormat="false" ht="12.8" hidden="false" customHeight="false" outlineLevel="0" collapsed="false">
      <c r="B56328" s="0" t="s">
        <v>7</v>
      </c>
      <c r="D56328" s="0" t="s">
        <v>335</v>
      </c>
      <c r="E56328" s="0" t="s">
        <v>335</v>
      </c>
      <c r="F56328" s="0" t="s">
        <v>335</v>
      </c>
    </row>
    <row r="56329" customFormat="false" ht="12.8" hidden="false" customHeight="false" outlineLevel="0" collapsed="false">
      <c r="B56329" s="0" t="s">
        <v>14</v>
      </c>
      <c r="D56329" s="0" t="s">
        <v>33</v>
      </c>
      <c r="E56329" s="0" t="s">
        <v>33</v>
      </c>
      <c r="F56329" s="0" t="s">
        <v>33</v>
      </c>
    </row>
    <row r="56331" customFormat="false" ht="12.8" hidden="false" customHeight="false" outlineLevel="0" collapsed="false">
      <c r="A56331" s="0" t="s">
        <v>19610</v>
      </c>
      <c r="B56331" s="0" t="str">
        <f aca="false">HYPERLINK("https://lindat.mff.cuni.cz/services/teitok/pdtc10/index.php?action=vallex&amp;frame=v-w7947f1", "vyhýbat se (v-w7947f1)")</f>
        <v>vyhýbat se (v-w7947f1)</v>
      </c>
    </row>
    <row r="56332" customFormat="false" ht="12.8" hidden="false" customHeight="false" outlineLevel="0" collapsed="false">
      <c r="B56332" s="0" t="s">
        <v>7</v>
      </c>
      <c r="C56332" s="0" t="s">
        <v>411</v>
      </c>
      <c r="D56332" s="0" t="s">
        <v>5572</v>
      </c>
      <c r="E56332" s="0" t="s">
        <v>5572</v>
      </c>
      <c r="F56332" s="0" t="s">
        <v>5572</v>
      </c>
    </row>
    <row r="56333" customFormat="false" ht="12.8" hidden="false" customHeight="false" outlineLevel="0" collapsed="false">
      <c r="B56333" s="0" t="s">
        <v>8297</v>
      </c>
      <c r="C56333" s="0" t="s">
        <v>19611</v>
      </c>
      <c r="D56333" s="0" t="s">
        <v>518</v>
      </c>
      <c r="E56333" s="0" t="s">
        <v>518</v>
      </c>
      <c r="F56333" s="0" t="s">
        <v>518</v>
      </c>
    </row>
    <row r="56335" customFormat="false" ht="12.8" hidden="false" customHeight="false" outlineLevel="0" collapsed="false">
      <c r="A56335" s="0" t="s">
        <v>19612</v>
      </c>
      <c r="B56335" s="0" t="str">
        <f aca="false">HYPERLINK("https://lindat.mff.cuni.cz/services/teitok/pdtc10/index.php?action=vallex&amp;frame=v-w10276f2", "vyhřeznout (v-w10276f2)")</f>
        <v>vyhřeznout (v-w10276f2)</v>
      </c>
    </row>
    <row r="56336" customFormat="false" ht="12.8" hidden="false" customHeight="false" outlineLevel="0" collapsed="false">
      <c r="B56336" s="0" t="s">
        <v>7</v>
      </c>
      <c r="C56336" s="0" t="s">
        <v>184</v>
      </c>
    </row>
    <row r="56337" customFormat="false" ht="12.8" hidden="false" customHeight="false" outlineLevel="0" collapsed="false">
      <c r="B56337" s="0" t="s">
        <v>14</v>
      </c>
      <c r="C56337" s="0" t="s">
        <v>384</v>
      </c>
    </row>
    <row r="56338" customFormat="false" ht="12.8" hidden="false" customHeight="false" outlineLevel="0" collapsed="false">
      <c r="B56338" s="0" t="s">
        <v>459</v>
      </c>
    </row>
    <row r="56340" customFormat="false" ht="12.8" hidden="false" customHeight="false" outlineLevel="0" collapsed="false">
      <c r="A56340" s="0" t="s">
        <v>19613</v>
      </c>
      <c r="B56340" s="0" t="str">
        <f aca="false">HYPERLINK("https://lindat.mff.cuni.cz/services/teitok/pdtc10/index.php?action=vallex&amp;frame=v-whsa_16hsa_17", "vyhřezávat (v-whsa_16hsa_17)")</f>
        <v>vyhřezávat (v-whsa_16hsa_17)</v>
      </c>
    </row>
    <row r="56341" customFormat="false" ht="12.8" hidden="false" customHeight="false" outlineLevel="0" collapsed="false">
      <c r="B56341" s="0" t="s">
        <v>7</v>
      </c>
    </row>
    <row r="56342" customFormat="false" ht="12.8" hidden="false" customHeight="false" outlineLevel="0" collapsed="false">
      <c r="B56342" s="0" t="s">
        <v>459</v>
      </c>
    </row>
    <row r="56344" customFormat="false" ht="12.8" hidden="false" customHeight="false" outlineLevel="0" collapsed="false">
      <c r="A56344" s="0" t="s">
        <v>19614</v>
      </c>
      <c r="B56344" s="0" t="str">
        <f aca="false">HYPERLINK("https://lindat.mff.cuni.cz/services/teitok/pdtc10/index.php?action=vallex&amp;frame=v-whsb_1265hsa_1266", "vyhřát se (v-whsb_1265hsa_1266)")</f>
        <v>vyhřát se (v-whsb_1265hsa_1266)</v>
      </c>
    </row>
    <row r="56345" customFormat="false" ht="12.8" hidden="false" customHeight="false" outlineLevel="0" collapsed="false">
      <c r="B56345" s="0" t="s">
        <v>7</v>
      </c>
    </row>
    <row r="56347" customFormat="false" ht="12.8" hidden="false" customHeight="false" outlineLevel="0" collapsed="false">
      <c r="A56347" s="0" t="s">
        <v>19615</v>
      </c>
      <c r="B56347" s="0" t="str">
        <f aca="false">HYPERLINK("https://lindat.mff.cuni.cz/services/teitok/pdtc10/index.php?action=vallex&amp;frame=v-w7944f1", "vyhřívat se (v-w7944f1)")</f>
        <v>vyhřívat se (v-w7944f1)</v>
      </c>
    </row>
    <row r="56348" customFormat="false" ht="12.8" hidden="false" customHeight="false" outlineLevel="0" collapsed="false">
      <c r="B56348" s="0" t="s">
        <v>7</v>
      </c>
    </row>
    <row r="56350" customFormat="false" ht="12.8" hidden="false" customHeight="false" outlineLevel="0" collapsed="false">
      <c r="A56350" s="0" t="s">
        <v>19616</v>
      </c>
      <c r="B56350" s="0" t="str">
        <f aca="false">HYPERLINK("https://lindat.mff.cuni.cz/services/teitok/pdtc10/index.php?action=vallex&amp;frame=v-w7967f1", "vyinkasovat (v-w7967f1)")</f>
        <v>vyinkasovat (v-w7967f1)</v>
      </c>
    </row>
    <row r="56351" customFormat="false" ht="12.8" hidden="false" customHeight="false" outlineLevel="0" collapsed="false">
      <c r="B56351" s="0" t="s">
        <v>7</v>
      </c>
    </row>
    <row r="56352" customFormat="false" ht="12.8" hidden="false" customHeight="false" outlineLevel="0" collapsed="false">
      <c r="B56352" s="0" t="s">
        <v>14</v>
      </c>
    </row>
    <row r="56353" customFormat="false" ht="12.8" hidden="false" customHeight="false" outlineLevel="0" collapsed="false">
      <c r="B56353" s="0" t="s">
        <v>441</v>
      </c>
    </row>
    <row r="56355" customFormat="false" ht="12.8" hidden="false" customHeight="false" outlineLevel="0" collapsed="false">
      <c r="A56355" s="0" t="s">
        <v>19617</v>
      </c>
      <c r="B56355" s="0" t="str">
        <f aca="false">HYPERLINK("https://lindat.mff.cuni.cz/services/teitok/pdtc10/index.php?action=vallex&amp;frame=v-w7974f1", "vyjadřovat (v-w7974f1)")</f>
        <v>vyjadřovat (v-w7974f1)</v>
      </c>
    </row>
    <row r="56356" customFormat="false" ht="12.8" hidden="false" customHeight="false" outlineLevel="0" collapsed="false">
      <c r="B56356" s="0" t="s">
        <v>7</v>
      </c>
      <c r="C56356" s="0" t="s">
        <v>19618</v>
      </c>
      <c r="D56356" s="0" t="s">
        <v>2170</v>
      </c>
      <c r="E56356" s="0" t="s">
        <v>2170</v>
      </c>
      <c r="F56356" s="0" t="s">
        <v>2170</v>
      </c>
    </row>
    <row r="56357" customFormat="false" ht="12.8" hidden="false" customHeight="false" outlineLevel="0" collapsed="false">
      <c r="B56357" s="0" t="s">
        <v>14</v>
      </c>
      <c r="C56357" s="0" t="s">
        <v>19619</v>
      </c>
      <c r="D56357" s="0" t="s">
        <v>24</v>
      </c>
      <c r="E56357" s="0" t="s">
        <v>24</v>
      </c>
      <c r="F56357" s="0" t="s">
        <v>24</v>
      </c>
    </row>
    <row r="56359" customFormat="false" ht="12.8" hidden="false" customHeight="false" outlineLevel="0" collapsed="false">
      <c r="A56359" s="0" t="s">
        <v>19620</v>
      </c>
      <c r="B56359" s="0" t="str">
        <f aca="false">HYPERLINK("https://lindat.mff.cuni.cz/services/teitok/pdtc10/index.php?action=vallex&amp;frame=v-w7974f3", "vyjadřovat (v-w7974f3)")</f>
        <v>vyjadřovat (v-w7974f3)</v>
      </c>
    </row>
    <row r="56360" customFormat="false" ht="12.8" hidden="false" customHeight="false" outlineLevel="0" collapsed="false">
      <c r="B56360" s="0" t="s">
        <v>7</v>
      </c>
      <c r="C56360" s="0" t="s">
        <v>3944</v>
      </c>
    </row>
    <row r="56361" customFormat="false" ht="12.8" hidden="false" customHeight="false" outlineLevel="0" collapsed="false">
      <c r="B56361" s="0" t="s">
        <v>19621</v>
      </c>
      <c r="C56361" s="0" t="s">
        <v>19622</v>
      </c>
    </row>
    <row r="56362" customFormat="false" ht="12.8" hidden="false" customHeight="false" outlineLevel="0" collapsed="false">
      <c r="B56362" s="0" t="s">
        <v>48</v>
      </c>
    </row>
    <row r="56364" customFormat="false" ht="12.8" hidden="false" customHeight="false" outlineLevel="0" collapsed="false">
      <c r="A56364" s="0" t="s">
        <v>19623</v>
      </c>
      <c r="B56364" s="0" t="str">
        <f aca="false">HYPERLINK("https://lindat.mff.cuni.cz/services/teitok/pdtc10/index.php?action=vallex&amp;frame=v-w7974f6_ZU", "vyjadřovat (v-w7974f6_ZU)")</f>
        <v>vyjadřovat (v-w7974f6_ZU)</v>
      </c>
    </row>
    <row r="56365" customFormat="false" ht="12.8" hidden="false" customHeight="false" outlineLevel="0" collapsed="false">
      <c r="B56365" s="0" t="s">
        <v>7</v>
      </c>
      <c r="C56365" s="0" t="s">
        <v>19624</v>
      </c>
      <c r="D56365" s="0" t="s">
        <v>6728</v>
      </c>
      <c r="E56365" s="0" t="s">
        <v>6728</v>
      </c>
      <c r="F56365" s="0" t="s">
        <v>6728</v>
      </c>
    </row>
    <row r="56366" customFormat="false" ht="12.8" hidden="false" customHeight="false" outlineLevel="0" collapsed="false">
      <c r="B56366" s="0" t="s">
        <v>19625</v>
      </c>
      <c r="C56366" s="0" t="s">
        <v>19626</v>
      </c>
      <c r="D56366" s="0" t="s">
        <v>19627</v>
      </c>
      <c r="E56366" s="0" t="s">
        <v>19627</v>
      </c>
      <c r="F56366" s="0" t="s">
        <v>19627</v>
      </c>
    </row>
    <row r="56368" customFormat="false" ht="12.8" hidden="false" customHeight="false" outlineLevel="0" collapsed="false">
      <c r="A56368" s="0" t="s">
        <v>19623</v>
      </c>
      <c r="B56368" s="0" t="str">
        <f aca="false">HYPERLINK("https://lindat.mff.cuni.cz/services/teitok/pdtc10/index.php?action=vallex&amp;frame=v-w7974f2", "vyjadřovat (v-w7974f2) - substituted with v-w7974f6_ZU")</f>
        <v>vyjadřovat (v-w7974f2) - substituted with v-w7974f6_ZU</v>
      </c>
    </row>
    <row r="56369" customFormat="false" ht="12.8" hidden="false" customHeight="false" outlineLevel="0" collapsed="false">
      <c r="B56369" s="0" t="s">
        <v>7</v>
      </c>
      <c r="C56369" s="0" t="s">
        <v>19628</v>
      </c>
    </row>
    <row r="56370" customFormat="false" ht="12.8" hidden="false" customHeight="false" outlineLevel="0" collapsed="false">
      <c r="B56370" s="0" t="s">
        <v>19625</v>
      </c>
      <c r="C56370" s="0" t="s">
        <v>19629</v>
      </c>
    </row>
    <row r="56372" customFormat="false" ht="12.8" hidden="false" customHeight="false" outlineLevel="0" collapsed="false">
      <c r="A56372" s="0" t="s">
        <v>19623</v>
      </c>
      <c r="B56372" s="0" t="str">
        <f aca="false">HYPERLINK("https://lindat.mff.cuni.cz/services/teitok/pdtc10/index.php?action=vallex&amp;frame=v-w7974f4_ZU", "vyjadřovat (v-w7974f4_ZU) - substituted with v-w7974f6_ZU")</f>
        <v>vyjadřovat (v-w7974f4_ZU) - substituted with v-w7974f6_ZU</v>
      </c>
    </row>
    <row r="56373" customFormat="false" ht="12.8" hidden="false" customHeight="false" outlineLevel="0" collapsed="false">
      <c r="B56373" s="0" t="s">
        <v>7</v>
      </c>
    </row>
    <row r="56374" customFormat="false" ht="12.8" hidden="false" customHeight="false" outlineLevel="0" collapsed="false">
      <c r="B56374" s="0" t="s">
        <v>19625</v>
      </c>
    </row>
    <row r="56376" customFormat="false" ht="12.8" hidden="false" customHeight="false" outlineLevel="0" collapsed="false">
      <c r="A56376" s="0" t="s">
        <v>19623</v>
      </c>
      <c r="B56376" s="0" t="str">
        <f aca="false">HYPERLINK("https://lindat.mff.cuni.cz/services/teitok/pdtc10/index.php?action=vallex&amp;frame=v-w7974f5_ZU", "vyjadřovat (v-w7974f5_ZU) - substituted with v-w7974f6_ZU")</f>
        <v>vyjadřovat (v-w7974f5_ZU) - substituted with v-w7974f6_ZU</v>
      </c>
    </row>
    <row r="56377" customFormat="false" ht="12.8" hidden="false" customHeight="false" outlineLevel="0" collapsed="false">
      <c r="B56377" s="0" t="s">
        <v>7</v>
      </c>
      <c r="C56377" s="0" t="s">
        <v>1801</v>
      </c>
    </row>
    <row r="56378" customFormat="false" ht="12.8" hidden="false" customHeight="false" outlineLevel="0" collapsed="false">
      <c r="B56378" s="0" t="s">
        <v>19625</v>
      </c>
      <c r="C56378" s="0" t="s">
        <v>18517</v>
      </c>
    </row>
    <row r="56380" customFormat="false" ht="12.8" hidden="false" customHeight="false" outlineLevel="0" collapsed="false">
      <c r="A56380" s="0" t="s">
        <v>19630</v>
      </c>
      <c r="B56380" s="0" t="str">
        <f aca="false">HYPERLINK("https://lindat.mff.cuni.cz/services/teitok/pdtc10/index.php?action=vallex&amp;frame=v-w7975f1", "vyjadřovat se (v-w7975f1)")</f>
        <v>vyjadřovat se (v-w7975f1)</v>
      </c>
    </row>
    <row r="56381" customFormat="false" ht="12.8" hidden="false" customHeight="false" outlineLevel="0" collapsed="false">
      <c r="B56381" s="0" t="s">
        <v>7</v>
      </c>
      <c r="C56381" s="0" t="s">
        <v>9355</v>
      </c>
      <c r="D56381" s="0" t="s">
        <v>2668</v>
      </c>
      <c r="E56381" s="0" t="s">
        <v>2668</v>
      </c>
      <c r="F56381" s="0" t="s">
        <v>2668</v>
      </c>
    </row>
    <row r="56382" customFormat="false" ht="12.8" hidden="false" customHeight="false" outlineLevel="0" collapsed="false">
      <c r="B56382" s="0" t="s">
        <v>19631</v>
      </c>
      <c r="C56382" s="0" t="s">
        <v>4180</v>
      </c>
      <c r="D56382" s="0" t="s">
        <v>469</v>
      </c>
      <c r="E56382" s="0" t="s">
        <v>469</v>
      </c>
      <c r="F56382" s="0" t="s">
        <v>469</v>
      </c>
    </row>
    <row r="56384" customFormat="false" ht="12.8" hidden="false" customHeight="false" outlineLevel="0" collapsed="false">
      <c r="A56384" s="0" t="s">
        <v>19632</v>
      </c>
      <c r="B56384" s="0" t="str">
        <f aca="false">HYPERLINK("https://lindat.mff.cuni.cz/services/teitok/pdtc10/index.php?action=vallex&amp;frame=v-w7975f3", "vyjadřovat se (v-w7975f3)")</f>
        <v>vyjadřovat se (v-w7975f3)</v>
      </c>
    </row>
    <row r="56385" customFormat="false" ht="12.8" hidden="false" customHeight="false" outlineLevel="0" collapsed="false">
      <c r="B56385" s="0" t="s">
        <v>7</v>
      </c>
      <c r="D56385" s="0" t="s">
        <v>2668</v>
      </c>
      <c r="E56385" s="0" t="s">
        <v>2668</v>
      </c>
      <c r="F56385" s="0" t="s">
        <v>2668</v>
      </c>
    </row>
    <row r="56386" customFormat="false" ht="12.8" hidden="false" customHeight="false" outlineLevel="0" collapsed="false">
      <c r="B56386" s="0" t="s">
        <v>19633</v>
      </c>
      <c r="D56386" s="0" t="s">
        <v>469</v>
      </c>
      <c r="E56386" s="0" t="s">
        <v>469</v>
      </c>
      <c r="F56386" s="0" t="s">
        <v>469</v>
      </c>
    </row>
    <row r="56388" customFormat="false" ht="12.8" hidden="false" customHeight="false" outlineLevel="0" collapsed="false">
      <c r="A56388" s="0" t="s">
        <v>19634</v>
      </c>
      <c r="B56388" s="0" t="str">
        <f aca="false">HYPERLINK("https://lindat.mff.cuni.cz/services/teitok/pdtc10/index.php?action=vallex&amp;frame=v-w7975f2", "vyjadřovat se (v-w7975f2)")</f>
        <v>vyjadřovat se (v-w7975f2)</v>
      </c>
    </row>
    <row r="56389" customFormat="false" ht="12.8" hidden="false" customHeight="false" outlineLevel="0" collapsed="false">
      <c r="B56389" s="0" t="s">
        <v>7</v>
      </c>
    </row>
    <row r="56390" customFormat="false" ht="12.8" hidden="false" customHeight="false" outlineLevel="0" collapsed="false">
      <c r="B56390" s="0" t="s">
        <v>552</v>
      </c>
    </row>
    <row r="56391" customFormat="false" ht="12.8" hidden="false" customHeight="false" outlineLevel="0" collapsed="false">
      <c r="B56391" s="0" t="s">
        <v>474</v>
      </c>
    </row>
    <row r="56392" customFormat="false" ht="12.8" hidden="false" customHeight="false" outlineLevel="0" collapsed="false">
      <c r="B56392" s="0" t="s">
        <v>477</v>
      </c>
    </row>
    <row r="56393" customFormat="false" ht="12.8" hidden="false" customHeight="false" outlineLevel="0" collapsed="false">
      <c r="B56393" s="0" t="s">
        <v>479</v>
      </c>
    </row>
    <row r="56394" customFormat="false" ht="12.8" hidden="false" customHeight="false" outlineLevel="0" collapsed="false">
      <c r="B56394" s="0" t="s">
        <v>481</v>
      </c>
    </row>
    <row r="56395" customFormat="false" ht="12.8" hidden="false" customHeight="false" outlineLevel="0" collapsed="false">
      <c r="B56395" s="0" t="s">
        <v>483</v>
      </c>
    </row>
    <row r="56397" customFormat="false" ht="12.8" hidden="false" customHeight="false" outlineLevel="0" collapsed="false">
      <c r="A56397" s="0" t="s">
        <v>19635</v>
      </c>
      <c r="B56397" s="0" t="str">
        <f aca="false">HYPERLINK("https://lindat.mff.cuni.cz/services/teitok/pdtc10/index.php?action=vallex&amp;frame=v-w7978f1", "vyjasnit (v-w7978f1)")</f>
        <v>vyjasnit (v-w7978f1)</v>
      </c>
    </row>
    <row r="56398" customFormat="false" ht="12.8" hidden="false" customHeight="false" outlineLevel="0" collapsed="false">
      <c r="B56398" s="0" t="s">
        <v>7</v>
      </c>
      <c r="C56398" s="0" t="s">
        <v>460</v>
      </c>
      <c r="D56398" s="0" t="s">
        <v>7632</v>
      </c>
      <c r="E56398" s="0" t="s">
        <v>7632</v>
      </c>
      <c r="F56398" s="0" t="s">
        <v>7632</v>
      </c>
    </row>
    <row r="56399" customFormat="false" ht="12.8" hidden="false" customHeight="false" outlineLevel="0" collapsed="false">
      <c r="B56399" s="0" t="s">
        <v>2573</v>
      </c>
      <c r="C56399" s="0" t="s">
        <v>1277</v>
      </c>
      <c r="D56399" s="0" t="s">
        <v>7634</v>
      </c>
      <c r="E56399" s="0" t="s">
        <v>7634</v>
      </c>
      <c r="F56399" s="0" t="s">
        <v>7634</v>
      </c>
    </row>
    <row r="56400" customFormat="false" ht="12.8" hidden="false" customHeight="false" outlineLevel="0" collapsed="false">
      <c r="B56400" s="0" t="s">
        <v>48</v>
      </c>
      <c r="C56400" s="0" t="s">
        <v>1165</v>
      </c>
      <c r="D56400" s="0" t="s">
        <v>3288</v>
      </c>
      <c r="E56400" s="0" t="s">
        <v>3288</v>
      </c>
      <c r="F56400" s="0" t="s">
        <v>3288</v>
      </c>
    </row>
    <row r="56402" customFormat="false" ht="12.8" hidden="false" customHeight="false" outlineLevel="0" collapsed="false">
      <c r="A56402" s="0" t="s">
        <v>19636</v>
      </c>
      <c r="B56402" s="0" t="str">
        <f aca="false">HYPERLINK("https://lindat.mff.cuni.cz/services/teitok/pdtc10/index.php?action=vallex&amp;frame=v-w11351f1", "vyjasňovat (v-w11351f1)")</f>
        <v>vyjasňovat (v-w11351f1)</v>
      </c>
    </row>
    <row r="56403" customFormat="false" ht="12.8" hidden="false" customHeight="false" outlineLevel="0" collapsed="false">
      <c r="B56403" s="0" t="s">
        <v>7</v>
      </c>
      <c r="D56403" s="0" t="s">
        <v>7632</v>
      </c>
      <c r="E56403" s="0" t="s">
        <v>7632</v>
      </c>
      <c r="F56403" s="0" t="s">
        <v>7632</v>
      </c>
    </row>
    <row r="56404" customFormat="false" ht="12.8" hidden="false" customHeight="false" outlineLevel="0" collapsed="false">
      <c r="B56404" s="0" t="s">
        <v>2573</v>
      </c>
      <c r="D56404" s="0" t="s">
        <v>7634</v>
      </c>
      <c r="E56404" s="0" t="s">
        <v>7634</v>
      </c>
      <c r="F56404" s="0" t="s">
        <v>7634</v>
      </c>
    </row>
    <row r="56405" customFormat="false" ht="12.8" hidden="false" customHeight="false" outlineLevel="0" collapsed="false">
      <c r="B56405" s="0" t="s">
        <v>48</v>
      </c>
      <c r="D56405" s="0" t="s">
        <v>3288</v>
      </c>
      <c r="E56405" s="0" t="s">
        <v>3288</v>
      </c>
      <c r="F56405" s="0" t="s">
        <v>3288</v>
      </c>
    </row>
    <row r="56407" customFormat="false" ht="12.8" hidden="false" customHeight="false" outlineLevel="0" collapsed="false">
      <c r="A56407" s="0" t="s">
        <v>19637</v>
      </c>
      <c r="B56407" s="0" t="str">
        <f aca="false">HYPERLINK("https://lindat.mff.cuni.cz/services/teitok/pdtc10/index.php?action=vallex&amp;frame=v-w7980f1", "vyjasňovat se (v-w7980f1)")</f>
        <v>vyjasňovat se (v-w7980f1)</v>
      </c>
    </row>
    <row r="56408" customFormat="false" ht="12.8" hidden="false" customHeight="false" outlineLevel="0" collapsed="false">
      <c r="B56408" s="0" t="s">
        <v>7</v>
      </c>
    </row>
    <row r="56410" customFormat="false" ht="12.8" hidden="false" customHeight="false" outlineLevel="0" collapsed="false">
      <c r="A56410" s="0" t="s">
        <v>19638</v>
      </c>
      <c r="B56410" s="0" t="str">
        <f aca="false">HYPERLINK("https://lindat.mff.cuni.cz/services/teitok/pdtc10/index.php?action=vallex&amp;frame=v-w7980f3", "vyjasňovat se (v-w7980f3)")</f>
        <v>vyjasňovat se (v-w7980f3)</v>
      </c>
    </row>
    <row r="56412" customFormat="false" ht="12.8" hidden="false" customHeight="false" outlineLevel="0" collapsed="false">
      <c r="A56412" s="0" t="s">
        <v>19639</v>
      </c>
      <c r="B56412" s="0" t="str">
        <f aca="false">HYPERLINK("https://lindat.mff.cuni.cz/services/teitok/pdtc10/index.php?action=vallex&amp;frame=v-w7981f1", "vyjednat (v-w7981f1)")</f>
        <v>vyjednat (v-w7981f1)</v>
      </c>
    </row>
    <row r="56413" customFormat="false" ht="12.8" hidden="false" customHeight="false" outlineLevel="0" collapsed="false">
      <c r="B56413" s="0" t="s">
        <v>7</v>
      </c>
      <c r="C56413" s="0" t="s">
        <v>2583</v>
      </c>
      <c r="D56413" s="0" t="s">
        <v>1801</v>
      </c>
      <c r="E56413" s="0" t="s">
        <v>1801</v>
      </c>
      <c r="F56413" s="0" t="s">
        <v>1801</v>
      </c>
    </row>
    <row r="56414" customFormat="false" ht="12.8" hidden="false" customHeight="false" outlineLevel="0" collapsed="false">
      <c r="B56414" s="0" t="s">
        <v>172</v>
      </c>
      <c r="C56414" s="0" t="s">
        <v>19640</v>
      </c>
      <c r="D56414" s="0" t="s">
        <v>1804</v>
      </c>
      <c r="E56414" s="0" t="s">
        <v>1804</v>
      </c>
      <c r="F56414" s="0" t="s">
        <v>1804</v>
      </c>
    </row>
    <row r="56415" customFormat="false" ht="12.8" hidden="false" customHeight="false" outlineLevel="0" collapsed="false">
      <c r="B56415" s="0" t="s">
        <v>207</v>
      </c>
      <c r="C56415" s="0" t="s">
        <v>1805</v>
      </c>
      <c r="D56415" s="0" t="s">
        <v>1806</v>
      </c>
      <c r="E56415" s="0" t="s">
        <v>1806</v>
      </c>
      <c r="F56415" s="0" t="s">
        <v>1806</v>
      </c>
    </row>
    <row r="56417" customFormat="false" ht="12.8" hidden="false" customHeight="false" outlineLevel="0" collapsed="false">
      <c r="A56417" s="0" t="s">
        <v>19641</v>
      </c>
      <c r="B56417" s="0" t="str">
        <f aca="false">HYPERLINK("https://lindat.mff.cuni.cz/services/teitok/pdtc10/index.php?action=vallex&amp;frame=v-w7983f2", "vyjednávat (v-w7983f2)")</f>
        <v>vyjednávat (v-w7983f2)</v>
      </c>
    </row>
    <row r="56418" customFormat="false" ht="12.8" hidden="false" customHeight="false" outlineLevel="0" collapsed="false">
      <c r="B56418" s="0" t="s">
        <v>7</v>
      </c>
      <c r="C56418" s="0" t="s">
        <v>4960</v>
      </c>
      <c r="D56418" s="0" t="s">
        <v>1801</v>
      </c>
      <c r="E56418" s="0" t="s">
        <v>1801</v>
      </c>
      <c r="F56418" s="0" t="s">
        <v>1801</v>
      </c>
    </row>
    <row r="56419" customFormat="false" ht="12.8" hidden="false" customHeight="false" outlineLevel="0" collapsed="false">
      <c r="B56419" s="0" t="s">
        <v>172</v>
      </c>
      <c r="C56419" s="0" t="s">
        <v>19642</v>
      </c>
      <c r="D56419" s="0" t="s">
        <v>1804</v>
      </c>
      <c r="E56419" s="0" t="s">
        <v>1804</v>
      </c>
      <c r="F56419" s="0" t="s">
        <v>1804</v>
      </c>
    </row>
    <row r="56420" customFormat="false" ht="12.8" hidden="false" customHeight="false" outlineLevel="0" collapsed="false">
      <c r="B56420" s="0" t="s">
        <v>207</v>
      </c>
      <c r="C56420" s="0" t="s">
        <v>1805</v>
      </c>
      <c r="D56420" s="0" t="s">
        <v>1806</v>
      </c>
      <c r="E56420" s="0" t="s">
        <v>1806</v>
      </c>
      <c r="F56420" s="0" t="s">
        <v>1806</v>
      </c>
    </row>
    <row r="56422" customFormat="false" ht="12.8" hidden="false" customHeight="false" outlineLevel="0" collapsed="false">
      <c r="A56422" s="0" t="s">
        <v>19643</v>
      </c>
      <c r="B56422" s="0" t="str">
        <f aca="false">HYPERLINK("https://lindat.mff.cuni.cz/services/teitok/pdtc10/index.php?action=vallex&amp;frame=v-w7983f1", "vyjednávat (v-w7983f1)")</f>
        <v>vyjednávat (v-w7983f1)</v>
      </c>
    </row>
    <row r="56423" customFormat="false" ht="12.8" hidden="false" customHeight="false" outlineLevel="0" collapsed="false">
      <c r="B56423" s="0" t="s">
        <v>7</v>
      </c>
      <c r="C56423" s="0" t="s">
        <v>19628</v>
      </c>
      <c r="D56423" s="0" t="s">
        <v>1801</v>
      </c>
      <c r="E56423" s="0" t="s">
        <v>1801</v>
      </c>
      <c r="F56423" s="0" t="s">
        <v>1801</v>
      </c>
    </row>
    <row r="56424" customFormat="false" ht="12.8" hidden="false" customHeight="false" outlineLevel="0" collapsed="false">
      <c r="B56424" s="0" t="s">
        <v>19644</v>
      </c>
      <c r="C56424" s="0" t="s">
        <v>19645</v>
      </c>
      <c r="D56424" s="0" t="s">
        <v>1804</v>
      </c>
      <c r="E56424" s="0" t="s">
        <v>1804</v>
      </c>
      <c r="F56424" s="0" t="s">
        <v>1804</v>
      </c>
    </row>
    <row r="56425" customFormat="false" ht="12.8" hidden="false" customHeight="false" outlineLevel="0" collapsed="false">
      <c r="B56425" s="0" t="s">
        <v>207</v>
      </c>
      <c r="C56425" s="0" t="s">
        <v>1805</v>
      </c>
      <c r="D56425" s="0" t="s">
        <v>1806</v>
      </c>
      <c r="E56425" s="0" t="s">
        <v>1806</v>
      </c>
      <c r="F56425" s="0" t="s">
        <v>1806</v>
      </c>
    </row>
    <row r="56427" customFormat="false" ht="12.8" hidden="false" customHeight="false" outlineLevel="0" collapsed="false">
      <c r="A56427" s="0" t="s">
        <v>19646</v>
      </c>
      <c r="B56427" s="0" t="str">
        <f aca="false">HYPERLINK("https://lindat.mff.cuni.cz/services/teitok/pdtc10/index.php?action=vallex&amp;frame=v-w7984f1", "vyjet (v-w7984f1)")</f>
        <v>vyjet (v-w7984f1)</v>
      </c>
    </row>
    <row r="56428" customFormat="false" ht="12.8" hidden="false" customHeight="false" outlineLevel="0" collapsed="false">
      <c r="B56428" s="0" t="s">
        <v>7</v>
      </c>
      <c r="E56428" s="0" t="s">
        <v>1582</v>
      </c>
      <c r="F56428" s="0" t="s">
        <v>1582</v>
      </c>
    </row>
    <row r="56429" customFormat="false" ht="12.8" hidden="false" customHeight="false" outlineLevel="0" collapsed="false">
      <c r="B56429" s="0" t="s">
        <v>459</v>
      </c>
      <c r="E56429" s="0" t="s">
        <v>1583</v>
      </c>
      <c r="F56429" s="0" t="s">
        <v>1583</v>
      </c>
    </row>
    <row r="56431" customFormat="false" ht="12.8" hidden="false" customHeight="false" outlineLevel="0" collapsed="false">
      <c r="A56431" s="0" t="s">
        <v>19647</v>
      </c>
      <c r="B56431" s="0" t="str">
        <f aca="false">HYPERLINK("https://lindat.mff.cuni.cz/services/teitok/pdtc10/index.php?action=vallex&amp;frame=v-w7984f2", "vyjet (v-w7984f2)")</f>
        <v>vyjet (v-w7984f2)</v>
      </c>
    </row>
    <row r="56432" customFormat="false" ht="12.8" hidden="false" customHeight="false" outlineLevel="0" collapsed="false">
      <c r="B56432" s="0" t="s">
        <v>7</v>
      </c>
      <c r="E56432" s="0" t="s">
        <v>1582</v>
      </c>
      <c r="F56432" s="0" t="s">
        <v>1582</v>
      </c>
    </row>
    <row r="56433" customFormat="false" ht="12.8" hidden="false" customHeight="false" outlineLevel="0" collapsed="false">
      <c r="B56433" s="0" t="s">
        <v>124</v>
      </c>
    </row>
    <row r="56435" customFormat="false" ht="12.8" hidden="false" customHeight="false" outlineLevel="0" collapsed="false">
      <c r="A56435" s="0" t="s">
        <v>19648</v>
      </c>
      <c r="B56435" s="0" t="str">
        <f aca="false">HYPERLINK("https://lindat.mff.cuni.cz/services/teitok/pdtc10/index.php?action=vallex&amp;frame=v-w7984f3_ZU", "vyjet (v-w7984f3_ZU)")</f>
        <v>vyjet (v-w7984f3_ZU)</v>
      </c>
    </row>
    <row r="56436" customFormat="false" ht="12.8" hidden="false" customHeight="false" outlineLevel="0" collapsed="false">
      <c r="B56436" s="0" t="s">
        <v>7</v>
      </c>
    </row>
    <row r="56437" customFormat="false" ht="12.8" hidden="false" customHeight="false" outlineLevel="0" collapsed="false">
      <c r="B56437" s="0" t="s">
        <v>41</v>
      </c>
    </row>
    <row r="56439" customFormat="false" ht="12.8" hidden="false" customHeight="false" outlineLevel="0" collapsed="false">
      <c r="A56439" s="0" t="s">
        <v>19649</v>
      </c>
      <c r="B56439" s="0" t="str">
        <f aca="false">HYPERLINK("https://lindat.mff.cuni.cz/services/teitok/pdtc10/index.php?action=vallex&amp;frame=v-w7984hsa_237", "vyjet (v-w7984hsa_237)")</f>
        <v>vyjet (v-w7984hsa_237)</v>
      </c>
    </row>
    <row r="56440" customFormat="false" ht="12.8" hidden="false" customHeight="false" outlineLevel="0" collapsed="false">
      <c r="B56440" s="0" t="s">
        <v>7</v>
      </c>
    </row>
    <row r="56441" customFormat="false" ht="12.8" hidden="false" customHeight="false" outlineLevel="0" collapsed="false">
      <c r="B56441" s="0" t="s">
        <v>14</v>
      </c>
    </row>
    <row r="56443" customFormat="false" ht="12.8" hidden="false" customHeight="false" outlineLevel="0" collapsed="false">
      <c r="A56443" s="0" t="s">
        <v>19650</v>
      </c>
      <c r="B56443" s="0" t="str">
        <f aca="false">HYPERLINK("https://lindat.mff.cuni.cz/services/teitok/pdtc10/index.php?action=vallex&amp;frame=v-w7984hsa_238", "vyjet (v-w7984hsa_238)")</f>
        <v>vyjet (v-w7984hsa_238)</v>
      </c>
    </row>
    <row r="56444" customFormat="false" ht="12.8" hidden="false" customHeight="false" outlineLevel="0" collapsed="false">
      <c r="B56444" s="0" t="s">
        <v>7</v>
      </c>
    </row>
    <row r="56445" customFormat="false" ht="12.8" hidden="false" customHeight="false" outlineLevel="0" collapsed="false">
      <c r="B56445" s="0" t="s">
        <v>459</v>
      </c>
    </row>
    <row r="56447" customFormat="false" ht="12.8" hidden="false" customHeight="false" outlineLevel="0" collapsed="false">
      <c r="A56447" s="0" t="s">
        <v>19651</v>
      </c>
      <c r="B56447" s="0" t="str">
        <f aca="false">HYPERLINK("https://lindat.mff.cuni.cz/services/teitok/pdtc10/index.php?action=vallex&amp;frame=v-w7985f1", "vyjet si (v-w7985f1)")</f>
        <v>vyjet si (v-w7985f1)</v>
      </c>
    </row>
    <row r="56448" customFormat="false" ht="12.8" hidden="false" customHeight="false" outlineLevel="0" collapsed="false">
      <c r="B56448" s="0" t="s">
        <v>7</v>
      </c>
    </row>
    <row r="56449" customFormat="false" ht="12.8" hidden="false" customHeight="false" outlineLevel="0" collapsed="false">
      <c r="B56449" s="0" t="s">
        <v>124</v>
      </c>
    </row>
    <row r="56451" customFormat="false" ht="12.8" hidden="false" customHeight="false" outlineLevel="0" collapsed="false">
      <c r="A56451" s="0" t="s">
        <v>19652</v>
      </c>
      <c r="B56451" s="0" t="str">
        <f aca="false">HYPERLINK("https://lindat.mff.cuni.cz/services/teitok/pdtc10/index.php?action=vallex&amp;frame=v-w7986f1", "vyjevit (v-w7986f1)")</f>
        <v>vyjevit (v-w7986f1)</v>
      </c>
    </row>
    <row r="56452" customFormat="false" ht="12.8" hidden="false" customHeight="false" outlineLevel="0" collapsed="false">
      <c r="B56452" s="0" t="s">
        <v>7</v>
      </c>
    </row>
    <row r="56453" customFormat="false" ht="12.8" hidden="false" customHeight="false" outlineLevel="0" collapsed="false">
      <c r="B56453" s="0" t="s">
        <v>48</v>
      </c>
    </row>
    <row r="56454" customFormat="false" ht="12.8" hidden="false" customHeight="false" outlineLevel="0" collapsed="false">
      <c r="B56454" s="0" t="s">
        <v>19653</v>
      </c>
    </row>
    <row r="56455" customFormat="false" ht="12.8" hidden="false" customHeight="false" outlineLevel="0" collapsed="false">
      <c r="B56455" s="0" t="s">
        <v>12383</v>
      </c>
    </row>
    <row r="56457" customFormat="false" ht="12.8" hidden="false" customHeight="false" outlineLevel="0" collapsed="false">
      <c r="A56457" s="0" t="s">
        <v>19654</v>
      </c>
      <c r="B56457" s="0" t="str">
        <f aca="false">HYPERLINK("https://lindat.mff.cuni.cz/services/teitok/pdtc10/index.php?action=vallex&amp;frame=v-w11284f1", "vyjevit se (v-w11284f1)")</f>
        <v>vyjevit se (v-w11284f1)</v>
      </c>
    </row>
    <row r="56458" customFormat="false" ht="12.8" hidden="false" customHeight="false" outlineLevel="0" collapsed="false">
      <c r="B56458" s="0" t="s">
        <v>641</v>
      </c>
    </row>
    <row r="56459" customFormat="false" ht="12.8" hidden="false" customHeight="false" outlineLevel="0" collapsed="false">
      <c r="B56459" s="0" t="s">
        <v>19655</v>
      </c>
    </row>
    <row r="56461" customFormat="false" ht="12.8" hidden="false" customHeight="false" outlineLevel="0" collapsed="false">
      <c r="A56461" s="0" t="s">
        <v>19656</v>
      </c>
      <c r="B56461" s="0" t="str">
        <f aca="false">HYPERLINK("https://lindat.mff.cuni.cz/services/teitok/pdtc10/index.php?action=vallex&amp;frame=v-w11284f2_ZU", "vyjevit se (v-w11284f2_ZU)")</f>
        <v>vyjevit se (v-w11284f2_ZU)</v>
      </c>
    </row>
    <row r="56462" customFormat="false" ht="12.8" hidden="false" customHeight="false" outlineLevel="0" collapsed="false">
      <c r="B56462" s="0" t="s">
        <v>7</v>
      </c>
      <c r="C56462" s="0" t="s">
        <v>358</v>
      </c>
      <c r="D56462" s="0" t="s">
        <v>1715</v>
      </c>
      <c r="E56462" s="0" t="s">
        <v>1715</v>
      </c>
      <c r="F56462" s="0" t="s">
        <v>1715</v>
      </c>
    </row>
    <row r="56464" customFormat="false" ht="12.8" hidden="false" customHeight="false" outlineLevel="0" collapsed="false">
      <c r="A56464" s="0" t="s">
        <v>19657</v>
      </c>
      <c r="B56464" s="0" t="str">
        <f aca="false">HYPERLINK("https://lindat.mff.cuni.cz/services/teitok/pdtc10/index.php?action=vallex&amp;frame=v-whsa_2009hsa_2010", "vyjezdit se (v-whsa_2009hsa_2010)")</f>
        <v>vyjezdit se (v-whsa_2009hsa_2010)</v>
      </c>
    </row>
    <row r="56465" customFormat="false" ht="12.8" hidden="false" customHeight="false" outlineLevel="0" collapsed="false">
      <c r="B56465" s="0" t="s">
        <v>7</v>
      </c>
    </row>
    <row r="56467" customFormat="false" ht="12.8" hidden="false" customHeight="false" outlineLevel="0" collapsed="false">
      <c r="A56467" s="0" t="s">
        <v>19658</v>
      </c>
      <c r="B56467" s="0" t="str">
        <f aca="false">HYPERLINK("https://lindat.mff.cuni.cz/services/teitok/pdtc10/index.php?action=vallex&amp;frame=v-w7997f1", "vyjmenovat (v-w7997f1)")</f>
        <v>vyjmenovat (v-w7997f1)</v>
      </c>
    </row>
    <row r="56468" customFormat="false" ht="12.8" hidden="false" customHeight="false" outlineLevel="0" collapsed="false">
      <c r="B56468" s="0" t="s">
        <v>7</v>
      </c>
      <c r="C56468" s="0" t="s">
        <v>118</v>
      </c>
      <c r="D56468" s="0" t="s">
        <v>4349</v>
      </c>
      <c r="E56468" s="0" t="s">
        <v>4349</v>
      </c>
      <c r="F56468" s="0" t="s">
        <v>4349</v>
      </c>
    </row>
    <row r="56469" customFormat="false" ht="12.8" hidden="false" customHeight="false" outlineLevel="0" collapsed="false">
      <c r="B56469" s="0" t="s">
        <v>232</v>
      </c>
      <c r="C56469" s="0" t="s">
        <v>11922</v>
      </c>
      <c r="D56469" s="0" t="s">
        <v>4351</v>
      </c>
      <c r="E56469" s="0" t="s">
        <v>4351</v>
      </c>
      <c r="F56469" s="0" t="s">
        <v>4351</v>
      </c>
    </row>
    <row r="56470" customFormat="false" ht="12.8" hidden="false" customHeight="false" outlineLevel="0" collapsed="false">
      <c r="B56470" s="0" t="s">
        <v>106</v>
      </c>
    </row>
    <row r="56472" customFormat="false" ht="12.8" hidden="false" customHeight="false" outlineLevel="0" collapsed="false">
      <c r="A56472" s="0" t="s">
        <v>19659</v>
      </c>
      <c r="B56472" s="0" t="str">
        <f aca="false">HYPERLINK("https://lindat.mff.cuni.cz/services/teitok/pdtc10/index.php?action=vallex&amp;frame=v-w10897f2", "vyjmenovávat (v-w10897f2)")</f>
        <v>vyjmenovávat (v-w10897f2)</v>
      </c>
    </row>
    <row r="56473" customFormat="false" ht="12.8" hidden="false" customHeight="false" outlineLevel="0" collapsed="false">
      <c r="B56473" s="0" t="s">
        <v>7</v>
      </c>
      <c r="C56473" s="0" t="s">
        <v>118</v>
      </c>
      <c r="D56473" s="0" t="s">
        <v>4349</v>
      </c>
      <c r="E56473" s="0" t="s">
        <v>4349</v>
      </c>
      <c r="F56473" s="0" t="s">
        <v>4349</v>
      </c>
    </row>
    <row r="56474" customFormat="false" ht="12.8" hidden="false" customHeight="false" outlineLevel="0" collapsed="false">
      <c r="B56474" s="0" t="s">
        <v>232</v>
      </c>
      <c r="C56474" s="0" t="s">
        <v>11922</v>
      </c>
      <c r="D56474" s="0" t="s">
        <v>4351</v>
      </c>
      <c r="E56474" s="0" t="s">
        <v>4351</v>
      </c>
      <c r="F56474" s="0" t="s">
        <v>4351</v>
      </c>
    </row>
    <row r="56475" customFormat="false" ht="12.8" hidden="false" customHeight="false" outlineLevel="0" collapsed="false">
      <c r="B56475" s="0" t="s">
        <v>106</v>
      </c>
    </row>
    <row r="56477" customFormat="false" ht="12.8" hidden="false" customHeight="false" outlineLevel="0" collapsed="false">
      <c r="A56477" s="0" t="s">
        <v>19660</v>
      </c>
      <c r="B56477" s="0" t="str">
        <f aca="false">HYPERLINK("https://lindat.mff.cuni.cz/services/teitok/pdtc10/index.php?action=vallex&amp;frame=v-w7998f1", "vyjmout (v-w7998f1)")</f>
        <v>vyjmout (v-w7998f1)</v>
      </c>
    </row>
    <row r="56478" customFormat="false" ht="12.8" hidden="false" customHeight="false" outlineLevel="0" collapsed="false">
      <c r="B56478" s="0" t="s">
        <v>7</v>
      </c>
      <c r="C56478" s="0" t="s">
        <v>3844</v>
      </c>
      <c r="D56478" s="0" t="s">
        <v>309</v>
      </c>
      <c r="E56478" s="0" t="s">
        <v>309</v>
      </c>
      <c r="F56478" s="0" t="s">
        <v>309</v>
      </c>
    </row>
    <row r="56479" customFormat="false" ht="12.8" hidden="false" customHeight="false" outlineLevel="0" collapsed="false">
      <c r="B56479" s="0" t="s">
        <v>14</v>
      </c>
      <c r="C56479" s="0" t="s">
        <v>2182</v>
      </c>
      <c r="D56479" s="0" t="s">
        <v>356</v>
      </c>
      <c r="E56479" s="0" t="s">
        <v>1681</v>
      </c>
      <c r="F56479" s="0" t="s">
        <v>1681</v>
      </c>
    </row>
    <row r="56480" customFormat="false" ht="12.8" hidden="false" customHeight="false" outlineLevel="0" collapsed="false">
      <c r="B56480" s="0" t="s">
        <v>459</v>
      </c>
      <c r="D56480" s="0" t="s">
        <v>19661</v>
      </c>
      <c r="E56480" s="0" t="s">
        <v>19661</v>
      </c>
      <c r="F56480" s="0" t="s">
        <v>19661</v>
      </c>
    </row>
    <row r="56482" customFormat="false" ht="12.8" hidden="false" customHeight="false" outlineLevel="0" collapsed="false">
      <c r="A56482" s="0" t="s">
        <v>19662</v>
      </c>
      <c r="B56482" s="0" t="str">
        <f aca="false">HYPERLINK("https://lindat.mff.cuni.cz/services/teitok/pdtc10/index.php?action=vallex&amp;frame=v-w7998f2", "vyjmout (v-w7998f2)")</f>
        <v>vyjmout (v-w7998f2)</v>
      </c>
    </row>
    <row r="56483" customFormat="false" ht="12.8" hidden="false" customHeight="false" outlineLevel="0" collapsed="false">
      <c r="B56483" s="0" t="s">
        <v>7</v>
      </c>
      <c r="C56483" s="0" t="s">
        <v>19663</v>
      </c>
      <c r="D56483" s="0" t="s">
        <v>88</v>
      </c>
      <c r="E56483" s="0" t="s">
        <v>88</v>
      </c>
      <c r="F56483" s="0" t="s">
        <v>88</v>
      </c>
    </row>
    <row r="56484" customFormat="false" ht="12.8" hidden="false" customHeight="false" outlineLevel="0" collapsed="false">
      <c r="B56484" s="0" t="s">
        <v>14</v>
      </c>
      <c r="C56484" s="0" t="s">
        <v>19664</v>
      </c>
      <c r="D56484" s="0" t="s">
        <v>3872</v>
      </c>
      <c r="E56484" s="0" t="s">
        <v>3872</v>
      </c>
      <c r="F56484" s="0" t="s">
        <v>3872</v>
      </c>
    </row>
    <row r="56485" customFormat="false" ht="12.8" hidden="false" customHeight="false" outlineLevel="0" collapsed="false">
      <c r="B56485" s="0" t="s">
        <v>459</v>
      </c>
      <c r="C56485" s="0" t="s">
        <v>16661</v>
      </c>
      <c r="D56485" s="0" t="s">
        <v>8533</v>
      </c>
      <c r="E56485" s="0" t="s">
        <v>8533</v>
      </c>
      <c r="F56485" s="0" t="s">
        <v>8533</v>
      </c>
    </row>
    <row r="56487" customFormat="false" ht="12.8" hidden="false" customHeight="false" outlineLevel="0" collapsed="false">
      <c r="A56487" s="0" t="s">
        <v>19665</v>
      </c>
      <c r="B56487" s="0" t="str">
        <f aca="false">HYPERLINK("https://lindat.mff.cuni.cz/services/teitok/pdtc10/index.php?action=vallex&amp;frame=v-w7970f2", "vyjádřit (v-w7970f2)")</f>
        <v>vyjádřit (v-w7970f2)</v>
      </c>
    </row>
    <row r="56488" customFormat="false" ht="12.8" hidden="false" customHeight="false" outlineLevel="0" collapsed="false">
      <c r="B56488" s="0" t="s">
        <v>7</v>
      </c>
      <c r="C56488" s="0" t="s">
        <v>1386</v>
      </c>
      <c r="D56488" s="0" t="s">
        <v>2170</v>
      </c>
      <c r="E56488" s="0" t="s">
        <v>2170</v>
      </c>
      <c r="F56488" s="0" t="s">
        <v>2170</v>
      </c>
    </row>
    <row r="56489" customFormat="false" ht="12.8" hidden="false" customHeight="false" outlineLevel="0" collapsed="false">
      <c r="B56489" s="0" t="s">
        <v>14</v>
      </c>
      <c r="C56489" s="0" t="s">
        <v>14429</v>
      </c>
      <c r="D56489" s="0" t="s">
        <v>24</v>
      </c>
      <c r="E56489" s="0" t="s">
        <v>24</v>
      </c>
      <c r="F56489" s="0" t="s">
        <v>24</v>
      </c>
    </row>
    <row r="56491" customFormat="false" ht="12.8" hidden="false" customHeight="false" outlineLevel="0" collapsed="false">
      <c r="A56491" s="0" t="s">
        <v>19666</v>
      </c>
      <c r="B56491" s="0" t="str">
        <f aca="false">HYPERLINK("https://lindat.mff.cuni.cz/services/teitok/pdtc10/index.php?action=vallex&amp;frame=v-w7970hsa_859", "vyjádřit (v-w7970hsa_859)")</f>
        <v>vyjádřit (v-w7970hsa_859)</v>
      </c>
    </row>
    <row r="56492" customFormat="false" ht="12.8" hidden="false" customHeight="false" outlineLevel="0" collapsed="false">
      <c r="B56492" s="0" t="s">
        <v>7</v>
      </c>
      <c r="C56492" s="0" t="s">
        <v>3944</v>
      </c>
    </row>
    <row r="56493" customFormat="false" ht="12.8" hidden="false" customHeight="false" outlineLevel="0" collapsed="false">
      <c r="B56493" s="0" t="s">
        <v>19667</v>
      </c>
      <c r="C56493" s="0" t="s">
        <v>19622</v>
      </c>
    </row>
    <row r="56494" customFormat="false" ht="12.8" hidden="false" customHeight="false" outlineLevel="0" collapsed="false">
      <c r="B56494" s="0" t="s">
        <v>48</v>
      </c>
    </row>
    <row r="56496" customFormat="false" ht="12.8" hidden="false" customHeight="false" outlineLevel="0" collapsed="false">
      <c r="A56496" s="0" t="s">
        <v>19666</v>
      </c>
      <c r="B56496" s="0" t="str">
        <f aca="false">HYPERLINK("https://lindat.mff.cuni.cz/services/teitok/pdtc10/index.php?action=vallex&amp;frame=v-w7970f3", "vyjádřit (v-w7970f3) - substituted with v-w7970hsa_859")</f>
        <v>vyjádřit (v-w7970f3) - substituted with v-w7970hsa_859</v>
      </c>
    </row>
    <row r="56497" customFormat="false" ht="12.8" hidden="false" customHeight="false" outlineLevel="0" collapsed="false">
      <c r="B56497" s="0" t="s">
        <v>7</v>
      </c>
      <c r="C56497" s="0" t="s">
        <v>3944</v>
      </c>
    </row>
    <row r="56498" customFormat="false" ht="12.8" hidden="false" customHeight="false" outlineLevel="0" collapsed="false">
      <c r="B56498" s="0" t="s">
        <v>19667</v>
      </c>
      <c r="C56498" s="0" t="s">
        <v>19622</v>
      </c>
    </row>
    <row r="56499" customFormat="false" ht="12.8" hidden="false" customHeight="false" outlineLevel="0" collapsed="false">
      <c r="B56499" s="0" t="s">
        <v>48</v>
      </c>
    </row>
    <row r="56501" customFormat="false" ht="12.8" hidden="false" customHeight="false" outlineLevel="0" collapsed="false">
      <c r="A56501" s="0" t="s">
        <v>19668</v>
      </c>
      <c r="B56501" s="0" t="str">
        <f aca="false">HYPERLINK("https://lindat.mff.cuni.cz/services/teitok/pdtc10/index.php?action=vallex&amp;frame=v-w7970f9_ZU", "vyjádřit (v-w7970f9_ZU)")</f>
        <v>vyjádřit (v-w7970f9_ZU)</v>
      </c>
    </row>
    <row r="56502" customFormat="false" ht="12.8" hidden="false" customHeight="false" outlineLevel="0" collapsed="false">
      <c r="B56502" s="0" t="s">
        <v>7</v>
      </c>
      <c r="C56502" s="0" t="s">
        <v>3944</v>
      </c>
      <c r="D56502" s="0" t="s">
        <v>19669</v>
      </c>
      <c r="E56502" s="0" t="s">
        <v>19669</v>
      </c>
      <c r="F56502" s="0" t="s">
        <v>16128</v>
      </c>
    </row>
    <row r="56503" customFormat="false" ht="12.8" hidden="false" customHeight="false" outlineLevel="0" collapsed="false">
      <c r="B56503" s="0" t="s">
        <v>19670</v>
      </c>
      <c r="C56503" s="0" t="s">
        <v>19622</v>
      </c>
      <c r="D56503" s="0" t="s">
        <v>19671</v>
      </c>
      <c r="E56503" s="0" t="s">
        <v>19671</v>
      </c>
      <c r="F56503" s="0" t="s">
        <v>19672</v>
      </c>
    </row>
    <row r="56505" customFormat="false" ht="12.8" hidden="false" customHeight="false" outlineLevel="0" collapsed="false">
      <c r="A56505" s="0" t="s">
        <v>19668</v>
      </c>
      <c r="B56505" s="0" t="str">
        <f aca="false">HYPERLINK("https://lindat.mff.cuni.cz/services/teitok/pdtc10/index.php?action=vallex&amp;frame=v-w7970f1", "vyjádřit (v-w7970f1) - substituted with v-w7970f9_ZU")</f>
        <v>vyjádřit (v-w7970f1) - substituted with v-w7970f9_ZU</v>
      </c>
    </row>
    <row r="56506" customFormat="false" ht="12.8" hidden="false" customHeight="false" outlineLevel="0" collapsed="false">
      <c r="B56506" s="0" t="s">
        <v>7</v>
      </c>
      <c r="C56506" s="0" t="s">
        <v>19673</v>
      </c>
    </row>
    <row r="56507" customFormat="false" ht="12.8" hidden="false" customHeight="false" outlineLevel="0" collapsed="false">
      <c r="B56507" s="0" t="s">
        <v>19670</v>
      </c>
      <c r="C56507" s="0" t="s">
        <v>19674</v>
      </c>
    </row>
    <row r="56509" customFormat="false" ht="12.8" hidden="false" customHeight="false" outlineLevel="0" collapsed="false">
      <c r="A56509" s="0" t="s">
        <v>19668</v>
      </c>
      <c r="B56509" s="0" t="str">
        <f aca="false">HYPERLINK("https://lindat.mff.cuni.cz/services/teitok/pdtc10/index.php?action=vallex&amp;frame=v-w7970f4_ZU", "vyjádřit (v-w7970f4_ZU) - substituted with v-w7970f9_ZU")</f>
        <v>vyjádřit (v-w7970f4_ZU) - substituted with v-w7970f9_ZU</v>
      </c>
    </row>
    <row r="56510" customFormat="false" ht="12.8" hidden="false" customHeight="false" outlineLevel="0" collapsed="false">
      <c r="B56510" s="0" t="s">
        <v>7</v>
      </c>
      <c r="C56510" s="0" t="s">
        <v>2431</v>
      </c>
    </row>
    <row r="56511" customFormat="false" ht="12.8" hidden="false" customHeight="false" outlineLevel="0" collapsed="false">
      <c r="B56511" s="0" t="s">
        <v>19670</v>
      </c>
      <c r="C56511" s="0" t="s">
        <v>3475</v>
      </c>
    </row>
    <row r="56513" customFormat="false" ht="12.8" hidden="false" customHeight="false" outlineLevel="0" collapsed="false">
      <c r="A56513" s="0" t="s">
        <v>19668</v>
      </c>
      <c r="B56513" s="0" t="str">
        <f aca="false">HYPERLINK("https://lindat.mff.cuni.cz/services/teitok/pdtc10/index.php?action=vallex&amp;frame=v-w7970f5_ZU", "vyjádřit (v-w7970f5_ZU) - substituted with v-w7970f9_ZU")</f>
        <v>vyjádřit (v-w7970f5_ZU) - substituted with v-w7970f9_ZU</v>
      </c>
    </row>
    <row r="56514" customFormat="false" ht="12.8" hidden="false" customHeight="false" outlineLevel="0" collapsed="false">
      <c r="B56514" s="0" t="s">
        <v>7</v>
      </c>
      <c r="C56514" s="0" t="s">
        <v>1613</v>
      </c>
    </row>
    <row r="56515" customFormat="false" ht="12.8" hidden="false" customHeight="false" outlineLevel="0" collapsed="false">
      <c r="B56515" s="0" t="s">
        <v>19670</v>
      </c>
      <c r="C56515" s="0" t="s">
        <v>1462</v>
      </c>
    </row>
    <row r="56517" customFormat="false" ht="12.8" hidden="false" customHeight="false" outlineLevel="0" collapsed="false">
      <c r="A56517" s="0" t="s">
        <v>19668</v>
      </c>
      <c r="B56517" s="0" t="str">
        <f aca="false">HYPERLINK("https://lindat.mff.cuni.cz/services/teitok/pdtc10/index.php?action=vallex&amp;frame=v-w7970f6_ZU", "vyjádřit (v-w7970f6_ZU) - substituted with v-w7970f9_ZU")</f>
        <v>vyjádřit (v-w7970f6_ZU) - substituted with v-w7970f9_ZU</v>
      </c>
    </row>
    <row r="56518" customFormat="false" ht="12.8" hidden="false" customHeight="false" outlineLevel="0" collapsed="false">
      <c r="B56518" s="0" t="s">
        <v>7</v>
      </c>
      <c r="C56518" s="0" t="s">
        <v>3944</v>
      </c>
    </row>
    <row r="56519" customFormat="false" ht="12.8" hidden="false" customHeight="false" outlineLevel="0" collapsed="false">
      <c r="B56519" s="0" t="s">
        <v>19670</v>
      </c>
      <c r="C56519" s="0" t="s">
        <v>19622</v>
      </c>
    </row>
    <row r="56521" customFormat="false" ht="12.8" hidden="false" customHeight="false" outlineLevel="0" collapsed="false">
      <c r="A56521" s="0" t="s">
        <v>19668</v>
      </c>
      <c r="B56521" s="0" t="str">
        <f aca="false">HYPERLINK("https://lindat.mff.cuni.cz/services/teitok/pdtc10/index.php?action=vallex&amp;frame=v-w7970f7_ZU", "vyjádřit (v-w7970f7_ZU) - substituted with v-w7970f9_ZU")</f>
        <v>vyjádřit (v-w7970f7_ZU) - substituted with v-w7970f9_ZU</v>
      </c>
    </row>
    <row r="56522" customFormat="false" ht="12.8" hidden="false" customHeight="false" outlineLevel="0" collapsed="false">
      <c r="B56522" s="0" t="s">
        <v>7</v>
      </c>
      <c r="C56522" s="0" t="s">
        <v>7173</v>
      </c>
    </row>
    <row r="56523" customFormat="false" ht="12.8" hidden="false" customHeight="false" outlineLevel="0" collapsed="false">
      <c r="B56523" s="0" t="s">
        <v>19670</v>
      </c>
      <c r="C56523" s="0" t="s">
        <v>19675</v>
      </c>
    </row>
    <row r="56525" customFormat="false" ht="12.8" hidden="false" customHeight="false" outlineLevel="0" collapsed="false">
      <c r="A56525" s="0" t="s">
        <v>19668</v>
      </c>
      <c r="B56525" s="0" t="str">
        <f aca="false">HYPERLINK("https://lindat.mff.cuni.cz/services/teitok/pdtc10/index.php?action=vallex&amp;frame=v-w7970f8_ZU", "vyjádřit (v-w7970f8_ZU) - substituted with v-w7970f9_ZU")</f>
        <v>vyjádřit (v-w7970f8_ZU) - substituted with v-w7970f9_ZU</v>
      </c>
    </row>
    <row r="56526" customFormat="false" ht="12.8" hidden="false" customHeight="false" outlineLevel="0" collapsed="false">
      <c r="B56526" s="0" t="s">
        <v>7</v>
      </c>
      <c r="C56526" s="0" t="s">
        <v>3944</v>
      </c>
    </row>
    <row r="56527" customFormat="false" ht="12.8" hidden="false" customHeight="false" outlineLevel="0" collapsed="false">
      <c r="B56527" s="0" t="s">
        <v>19670</v>
      </c>
      <c r="C56527" s="0" t="s">
        <v>19622</v>
      </c>
    </row>
    <row r="56529" customFormat="false" ht="12.8" hidden="false" customHeight="false" outlineLevel="0" collapsed="false">
      <c r="A56529" s="0" t="s">
        <v>19668</v>
      </c>
      <c r="B56529" s="0" t="str">
        <f aca="false">HYPERLINK("https://lindat.mff.cuni.cz/services/teitok/pdtc10/index.php?action=vallex&amp;frame=v-w7970hsa_860", "vyjádřit (v-w7970hsa_860) - substituted with v-w7970f9_ZU")</f>
        <v>vyjádřit (v-w7970hsa_860) - substituted with v-w7970f9_ZU</v>
      </c>
    </row>
    <row r="56530" customFormat="false" ht="12.8" hidden="false" customHeight="false" outlineLevel="0" collapsed="false">
      <c r="B56530" s="0" t="s">
        <v>7</v>
      </c>
    </row>
    <row r="56531" customFormat="false" ht="12.8" hidden="false" customHeight="false" outlineLevel="0" collapsed="false">
      <c r="B56531" s="0" t="s">
        <v>19670</v>
      </c>
    </row>
    <row r="56533" customFormat="false" ht="12.8" hidden="false" customHeight="false" outlineLevel="0" collapsed="false">
      <c r="A56533" s="0" t="s">
        <v>19676</v>
      </c>
      <c r="B56533" s="0" t="str">
        <f aca="false">HYPERLINK("https://lindat.mff.cuni.cz/services/teitok/pdtc10/index.php?action=vallex&amp;frame=v-w7971f1", "vyjádřit se (v-w7971f1)")</f>
        <v>vyjádřit se (v-w7971f1)</v>
      </c>
    </row>
    <row r="56534" customFormat="false" ht="12.8" hidden="false" customHeight="false" outlineLevel="0" collapsed="false">
      <c r="B56534" s="0" t="s">
        <v>7</v>
      </c>
      <c r="C56534" s="0" t="s">
        <v>19677</v>
      </c>
      <c r="D56534" s="0" t="s">
        <v>2668</v>
      </c>
      <c r="E56534" s="0" t="s">
        <v>2668</v>
      </c>
      <c r="F56534" s="0" t="s">
        <v>2668</v>
      </c>
    </row>
    <row r="56535" customFormat="false" ht="12.8" hidden="false" customHeight="false" outlineLevel="0" collapsed="false">
      <c r="B56535" s="0" t="s">
        <v>19678</v>
      </c>
      <c r="C56535" s="0" t="s">
        <v>19679</v>
      </c>
      <c r="D56535" s="0" t="s">
        <v>469</v>
      </c>
      <c r="E56535" s="0" t="s">
        <v>469</v>
      </c>
      <c r="F56535" s="0" t="s">
        <v>469</v>
      </c>
    </row>
    <row r="56537" customFormat="false" ht="12.8" hidden="false" customHeight="false" outlineLevel="0" collapsed="false">
      <c r="A56537" s="0" t="s">
        <v>19680</v>
      </c>
      <c r="B56537" s="0" t="str">
        <f aca="false">HYPERLINK("https://lindat.mff.cuni.cz/services/teitok/pdtc10/index.php?action=vallex&amp;frame=v-w7971f3", "vyjádřit se (v-w7971f3)")</f>
        <v>vyjádřit se (v-w7971f3)</v>
      </c>
    </row>
    <row r="56538" customFormat="false" ht="12.8" hidden="false" customHeight="false" outlineLevel="0" collapsed="false">
      <c r="B56538" s="0" t="s">
        <v>7</v>
      </c>
      <c r="D56538" s="0" t="s">
        <v>2668</v>
      </c>
      <c r="E56538" s="0" t="s">
        <v>2668</v>
      </c>
      <c r="F56538" s="0" t="s">
        <v>2668</v>
      </c>
    </row>
    <row r="56539" customFormat="false" ht="12.8" hidden="false" customHeight="false" outlineLevel="0" collapsed="false">
      <c r="B56539" s="0" t="s">
        <v>19633</v>
      </c>
      <c r="D56539" s="0" t="s">
        <v>469</v>
      </c>
      <c r="E56539" s="0" t="s">
        <v>469</v>
      </c>
      <c r="F56539" s="0" t="s">
        <v>469</v>
      </c>
    </row>
    <row r="56541" customFormat="false" ht="12.8" hidden="false" customHeight="false" outlineLevel="0" collapsed="false">
      <c r="A56541" s="0" t="s">
        <v>19681</v>
      </c>
      <c r="B56541" s="0" t="str">
        <f aca="false">HYPERLINK("https://lindat.mff.cuni.cz/services/teitok/pdtc10/index.php?action=vallex&amp;frame=v-w7971f2", "vyjádřit se (v-w7971f2)")</f>
        <v>vyjádřit se (v-w7971f2)</v>
      </c>
    </row>
    <row r="56542" customFormat="false" ht="12.8" hidden="false" customHeight="false" outlineLevel="0" collapsed="false">
      <c r="B56542" s="0" t="s">
        <v>7</v>
      </c>
      <c r="C56542" s="0" t="s">
        <v>623</v>
      </c>
    </row>
    <row r="56543" customFormat="false" ht="12.8" hidden="false" customHeight="false" outlineLevel="0" collapsed="false">
      <c r="B56543" s="0" t="s">
        <v>552</v>
      </c>
      <c r="C56543" s="0" t="s">
        <v>19682</v>
      </c>
    </row>
    <row r="56544" customFormat="false" ht="12.8" hidden="false" customHeight="false" outlineLevel="0" collapsed="false">
      <c r="B56544" s="0" t="s">
        <v>474</v>
      </c>
    </row>
    <row r="56545" customFormat="false" ht="12.8" hidden="false" customHeight="false" outlineLevel="0" collapsed="false">
      <c r="B56545" s="0" t="s">
        <v>477</v>
      </c>
    </row>
    <row r="56546" customFormat="false" ht="12.8" hidden="false" customHeight="false" outlineLevel="0" collapsed="false">
      <c r="B56546" s="0" t="s">
        <v>479</v>
      </c>
    </row>
    <row r="56547" customFormat="false" ht="12.8" hidden="false" customHeight="false" outlineLevel="0" collapsed="false">
      <c r="B56547" s="0" t="s">
        <v>481</v>
      </c>
    </row>
    <row r="56548" customFormat="false" ht="12.8" hidden="false" customHeight="false" outlineLevel="0" collapsed="false">
      <c r="B56548" s="0" t="s">
        <v>483</v>
      </c>
    </row>
    <row r="56550" customFormat="false" ht="12.8" hidden="false" customHeight="false" outlineLevel="0" collapsed="false">
      <c r="A56550" s="0" t="s">
        <v>19683</v>
      </c>
      <c r="B56550" s="0" t="str">
        <f aca="false">HYPERLINK("https://lindat.mff.cuni.cz/services/teitok/pdtc10/index.php?action=vallex&amp;frame=v-w7990f1", "vyjímat (v-w7990f1)")</f>
        <v>vyjímat (v-w7990f1)</v>
      </c>
    </row>
    <row r="56551" customFormat="false" ht="12.8" hidden="false" customHeight="false" outlineLevel="0" collapsed="false">
      <c r="B56551" s="0" t="s">
        <v>7</v>
      </c>
      <c r="D56551" s="0" t="s">
        <v>14784</v>
      </c>
      <c r="E56551" s="0" t="s">
        <v>14784</v>
      </c>
      <c r="F56551" s="0" t="s">
        <v>14784</v>
      </c>
    </row>
    <row r="56552" customFormat="false" ht="12.8" hidden="false" customHeight="false" outlineLevel="0" collapsed="false">
      <c r="B56552" s="0" t="s">
        <v>19684</v>
      </c>
      <c r="D56552" s="0" t="s">
        <v>19685</v>
      </c>
      <c r="E56552" s="0" t="s">
        <v>19686</v>
      </c>
      <c r="F56552" s="0" t="s">
        <v>19686</v>
      </c>
    </row>
    <row r="56553" customFormat="false" ht="12.8" hidden="false" customHeight="false" outlineLevel="0" collapsed="false">
      <c r="B56553" s="0" t="s">
        <v>459</v>
      </c>
      <c r="D56553" s="0" t="s">
        <v>19687</v>
      </c>
      <c r="E56553" s="0" t="s">
        <v>19687</v>
      </c>
      <c r="F56553" s="0" t="s">
        <v>19687</v>
      </c>
    </row>
    <row r="56555" customFormat="false" ht="12.8" hidden="false" customHeight="false" outlineLevel="0" collapsed="false">
      <c r="A56555" s="0" t="s">
        <v>19688</v>
      </c>
      <c r="B56555" s="0" t="str">
        <f aca="false">HYPERLINK("https://lindat.mff.cuni.cz/services/teitok/pdtc10/index.php?action=vallex&amp;frame=v-w7991f1", "vyjímat se (v-w7991f1)")</f>
        <v>vyjímat se (v-w7991f1)</v>
      </c>
    </row>
    <row r="56556" customFormat="false" ht="12.8" hidden="false" customHeight="false" outlineLevel="0" collapsed="false">
      <c r="B56556" s="0" t="s">
        <v>7</v>
      </c>
    </row>
    <row r="56557" customFormat="false" ht="12.8" hidden="false" customHeight="false" outlineLevel="0" collapsed="false">
      <c r="B56557" s="0" t="s">
        <v>11</v>
      </c>
    </row>
    <row r="56559" customFormat="false" ht="12.8" hidden="false" customHeight="false" outlineLevel="0" collapsed="false">
      <c r="A56559" s="0" t="s">
        <v>19689</v>
      </c>
      <c r="B56559" s="0" t="str">
        <f aca="false">HYPERLINK("https://lindat.mff.cuni.cz/services/teitok/pdtc10/index.php?action=vallex&amp;frame=v-w7994f18", "vyjít (v-w7994f18)")</f>
        <v>vyjít (v-w7994f18)</v>
      </c>
    </row>
    <row r="56560" customFormat="false" ht="12.8" hidden="false" customHeight="false" outlineLevel="0" collapsed="false">
      <c r="B56560" s="0" t="s">
        <v>7</v>
      </c>
    </row>
    <row r="56561" customFormat="false" ht="12.8" hidden="false" customHeight="false" outlineLevel="0" collapsed="false">
      <c r="B56561" s="0" t="s">
        <v>14</v>
      </c>
    </row>
    <row r="56563" customFormat="false" ht="12.8" hidden="false" customHeight="false" outlineLevel="0" collapsed="false">
      <c r="A56563" s="0" t="s">
        <v>19690</v>
      </c>
      <c r="B56563" s="0" t="str">
        <f aca="false">HYPERLINK("https://lindat.mff.cuni.cz/services/teitok/pdtc10/index.php?action=vallex&amp;frame=v-w7994f20", "vyjít (v-w7994f20)")</f>
        <v>vyjít (v-w7994f20)</v>
      </c>
    </row>
    <row r="56564" customFormat="false" ht="12.8" hidden="false" customHeight="false" outlineLevel="0" collapsed="false">
      <c r="B56564" s="0" t="s">
        <v>7</v>
      </c>
      <c r="C56564" s="0" t="s">
        <v>13484</v>
      </c>
      <c r="D56564" s="0" t="s">
        <v>16716</v>
      </c>
      <c r="E56564" s="0" t="s">
        <v>16716</v>
      </c>
      <c r="F56564" s="0" t="s">
        <v>16716</v>
      </c>
    </row>
    <row r="56565" customFormat="false" ht="12.8" hidden="false" customHeight="false" outlineLevel="0" collapsed="false">
      <c r="B56565" s="0" t="s">
        <v>41</v>
      </c>
      <c r="C56565" s="0" t="s">
        <v>13485</v>
      </c>
      <c r="D56565" s="0" t="s">
        <v>19306</v>
      </c>
      <c r="E56565" s="0" t="s">
        <v>19306</v>
      </c>
      <c r="F56565" s="0" t="s">
        <v>19306</v>
      </c>
    </row>
    <row r="56567" customFormat="false" ht="12.8" hidden="false" customHeight="false" outlineLevel="0" collapsed="false">
      <c r="A56567" s="0" t="s">
        <v>19691</v>
      </c>
      <c r="B56567" s="0" t="str">
        <f aca="false">HYPERLINK("https://lindat.mff.cuni.cz/services/teitok/pdtc10/index.php?action=vallex&amp;frame=v-w7994f17", "vyjít (v-w7994f17)")</f>
        <v>vyjít (v-w7994f17)</v>
      </c>
    </row>
    <row r="56568" customFormat="false" ht="12.8" hidden="false" customHeight="false" outlineLevel="0" collapsed="false">
      <c r="B56568" s="0" t="s">
        <v>7</v>
      </c>
    </row>
    <row r="56569" customFormat="false" ht="12.8" hidden="false" customHeight="false" outlineLevel="0" collapsed="false">
      <c r="B56569" s="0" t="s">
        <v>41</v>
      </c>
    </row>
    <row r="56571" customFormat="false" ht="12.8" hidden="false" customHeight="false" outlineLevel="0" collapsed="false">
      <c r="A56571" s="0" t="s">
        <v>19692</v>
      </c>
      <c r="B56571" s="0" t="str">
        <f aca="false">HYPERLINK("https://lindat.mff.cuni.cz/services/teitok/pdtc10/index.php?action=vallex&amp;frame=v-w7994f11", "vyjít (v-w7994f11)")</f>
        <v>vyjít (v-w7994f11)</v>
      </c>
    </row>
    <row r="56572" customFormat="false" ht="12.8" hidden="false" customHeight="false" outlineLevel="0" collapsed="false">
      <c r="B56572" s="0" t="s">
        <v>7</v>
      </c>
      <c r="C56572" s="0" t="s">
        <v>191</v>
      </c>
    </row>
    <row r="56573" customFormat="false" ht="12.8" hidden="false" customHeight="false" outlineLevel="0" collapsed="false">
      <c r="B56573" s="0" t="s">
        <v>548</v>
      </c>
    </row>
    <row r="56575" customFormat="false" ht="12.8" hidden="false" customHeight="false" outlineLevel="0" collapsed="false">
      <c r="A56575" s="0" t="s">
        <v>19693</v>
      </c>
      <c r="B56575" s="0" t="str">
        <f aca="false">HYPERLINK("https://lindat.mff.cuni.cz/services/teitok/pdtc10/index.php?action=vallex&amp;frame=v-w7994f19", "vyjít (v-w7994f19)")</f>
        <v>vyjít (v-w7994f19)</v>
      </c>
    </row>
    <row r="56576" customFormat="false" ht="12.8" hidden="false" customHeight="false" outlineLevel="0" collapsed="false">
      <c r="B56576" s="0" t="s">
        <v>7</v>
      </c>
    </row>
    <row r="56577" customFormat="false" ht="12.8" hidden="false" customHeight="false" outlineLevel="0" collapsed="false">
      <c r="B56577" s="0" t="s">
        <v>548</v>
      </c>
    </row>
    <row r="56579" customFormat="false" ht="12.8" hidden="false" customHeight="false" outlineLevel="0" collapsed="false">
      <c r="A56579" s="0" t="s">
        <v>19694</v>
      </c>
      <c r="B56579" s="0" t="str">
        <f aca="false">HYPERLINK("https://lindat.mff.cuni.cz/services/teitok/pdtc10/index.php?action=vallex&amp;frame=v-w7994f16", "vyjít (v-w7994f16)")</f>
        <v>vyjít (v-w7994f16)</v>
      </c>
    </row>
    <row r="56580" customFormat="false" ht="12.8" hidden="false" customHeight="false" outlineLevel="0" collapsed="false">
      <c r="B56580" s="0" t="s">
        <v>7</v>
      </c>
      <c r="C56580" s="0" t="s">
        <v>19695</v>
      </c>
      <c r="D56580" s="0" t="s">
        <v>9818</v>
      </c>
      <c r="E56580" s="0" t="s">
        <v>9818</v>
      </c>
      <c r="F56580" s="0" t="s">
        <v>9818</v>
      </c>
    </row>
    <row r="56581" customFormat="false" ht="12.8" hidden="false" customHeight="false" outlineLevel="0" collapsed="false">
      <c r="B56581" s="0" t="s">
        <v>1490</v>
      </c>
      <c r="C56581" s="0" t="s">
        <v>19696</v>
      </c>
      <c r="D56581" s="0" t="s">
        <v>9820</v>
      </c>
      <c r="E56581" s="0" t="s">
        <v>9820</v>
      </c>
      <c r="F56581" s="0" t="s">
        <v>9820</v>
      </c>
    </row>
    <row r="56583" customFormat="false" ht="12.8" hidden="false" customHeight="false" outlineLevel="0" collapsed="false">
      <c r="A56583" s="0" t="s">
        <v>19697</v>
      </c>
      <c r="B56583" s="0" t="str">
        <f aca="false">HYPERLINK("https://lindat.mff.cuni.cz/services/teitok/pdtc10/index.php?action=vallex&amp;frame=v-w7994f5", "vyjít (v-w7994f5)")</f>
        <v>vyjít (v-w7994f5)</v>
      </c>
    </row>
    <row r="56584" customFormat="false" ht="12.8" hidden="false" customHeight="false" outlineLevel="0" collapsed="false">
      <c r="B56584" s="0" t="s">
        <v>7</v>
      </c>
      <c r="C56584" s="0" t="s">
        <v>7177</v>
      </c>
      <c r="D56584" s="0" t="s">
        <v>9818</v>
      </c>
      <c r="E56584" s="0" t="s">
        <v>9818</v>
      </c>
      <c r="F56584" s="0" t="s">
        <v>9818</v>
      </c>
    </row>
    <row r="56585" customFormat="false" ht="12.8" hidden="false" customHeight="false" outlineLevel="0" collapsed="false">
      <c r="B56585" s="0" t="s">
        <v>227</v>
      </c>
      <c r="C56585" s="0" t="s">
        <v>19310</v>
      </c>
      <c r="D56585" s="0" t="s">
        <v>9820</v>
      </c>
      <c r="E56585" s="0" t="s">
        <v>9820</v>
      </c>
      <c r="F56585" s="0" t="s">
        <v>9820</v>
      </c>
    </row>
    <row r="56587" customFormat="false" ht="12.8" hidden="false" customHeight="false" outlineLevel="0" collapsed="false">
      <c r="A56587" s="0" t="s">
        <v>19698</v>
      </c>
      <c r="B56587" s="0" t="str">
        <f aca="false">HYPERLINK("https://lindat.mff.cuni.cz/services/teitok/pdtc10/index.php?action=vallex&amp;frame=v-w7994f25_ZU", "vyjít (v-w7994f25_ZU)")</f>
        <v>vyjít (v-w7994f25_ZU)</v>
      </c>
    </row>
    <row r="56588" customFormat="false" ht="12.8" hidden="false" customHeight="false" outlineLevel="0" collapsed="false">
      <c r="B56588" s="0" t="s">
        <v>7</v>
      </c>
    </row>
    <row r="56589" customFormat="false" ht="12.8" hidden="false" customHeight="false" outlineLevel="0" collapsed="false">
      <c r="B56589" s="0" t="s">
        <v>227</v>
      </c>
    </row>
    <row r="56590" customFormat="false" ht="12.8" hidden="false" customHeight="false" outlineLevel="0" collapsed="false">
      <c r="B56590" s="0" t="s">
        <v>474</v>
      </c>
    </row>
    <row r="56591" customFormat="false" ht="12.8" hidden="false" customHeight="false" outlineLevel="0" collapsed="false">
      <c r="B56591" s="0" t="s">
        <v>479</v>
      </c>
    </row>
    <row r="56592" customFormat="false" ht="12.8" hidden="false" customHeight="false" outlineLevel="0" collapsed="false">
      <c r="B56592" s="0" t="s">
        <v>2406</v>
      </c>
    </row>
    <row r="56594" customFormat="false" ht="12.8" hidden="false" customHeight="false" outlineLevel="0" collapsed="false">
      <c r="A56594" s="0" t="s">
        <v>19698</v>
      </c>
      <c r="B56594" s="0" t="str">
        <f aca="false">HYPERLINK("https://lindat.mff.cuni.cz/services/teitok/pdtc10/index.php?action=vallex&amp;frame=v-w7994f10", "vyjít (v-w7994f10) - substituted with v-w7994f25_ZU")</f>
        <v>vyjít (v-w7994f10) - substituted with v-w7994f25_ZU</v>
      </c>
    </row>
    <row r="56595" customFormat="false" ht="12.8" hidden="false" customHeight="false" outlineLevel="0" collapsed="false">
      <c r="B56595" s="0" t="s">
        <v>7</v>
      </c>
      <c r="C56595" s="0" t="s">
        <v>2736</v>
      </c>
    </row>
    <row r="56596" customFormat="false" ht="12.8" hidden="false" customHeight="false" outlineLevel="0" collapsed="false">
      <c r="B56596" s="0" t="s">
        <v>227</v>
      </c>
    </row>
    <row r="56597" customFormat="false" ht="12.8" hidden="false" customHeight="false" outlineLevel="0" collapsed="false">
      <c r="B56597" s="0" t="s">
        <v>474</v>
      </c>
    </row>
    <row r="56598" customFormat="false" ht="12.8" hidden="false" customHeight="false" outlineLevel="0" collapsed="false">
      <c r="B56598" s="0" t="s">
        <v>479</v>
      </c>
    </row>
    <row r="56599" customFormat="false" ht="12.8" hidden="false" customHeight="false" outlineLevel="0" collapsed="false">
      <c r="B56599" s="0" t="s">
        <v>2406</v>
      </c>
    </row>
    <row r="56601" customFormat="false" ht="12.8" hidden="false" customHeight="false" outlineLevel="0" collapsed="false">
      <c r="A56601" s="0" t="s">
        <v>19699</v>
      </c>
      <c r="B56601" s="0" t="str">
        <f aca="false">HYPERLINK("https://lindat.mff.cuni.cz/services/teitok/pdtc10/index.php?action=vallex&amp;frame=v-w7994f12", "vyjít (v-w7994f12)")</f>
        <v>vyjít (v-w7994f12)</v>
      </c>
    </row>
    <row r="56602" customFormat="false" ht="12.8" hidden="false" customHeight="false" outlineLevel="0" collapsed="false">
      <c r="B56602" s="0" t="s">
        <v>7</v>
      </c>
    </row>
    <row r="56603" customFormat="false" ht="12.8" hidden="false" customHeight="false" outlineLevel="0" collapsed="false">
      <c r="B56603" s="0" t="s">
        <v>227</v>
      </c>
    </row>
    <row r="56605" customFormat="false" ht="12.8" hidden="false" customHeight="false" outlineLevel="0" collapsed="false">
      <c r="A56605" s="0" t="s">
        <v>19700</v>
      </c>
      <c r="B56605" s="0" t="str">
        <f aca="false">HYPERLINK("https://lindat.mff.cuni.cz/services/teitok/pdtc10/index.php?action=vallex&amp;frame=v-w7994f2", "vyjít (v-w7994f2)")</f>
        <v>vyjít (v-w7994f2)</v>
      </c>
    </row>
    <row r="56606" customFormat="false" ht="12.8" hidden="false" customHeight="false" outlineLevel="0" collapsed="false">
      <c r="B56606" s="0" t="s">
        <v>603</v>
      </c>
    </row>
    <row r="56607" customFormat="false" ht="12.8" hidden="false" customHeight="false" outlineLevel="0" collapsed="false">
      <c r="B56607" s="0" t="s">
        <v>19701</v>
      </c>
      <c r="C56607" s="0" t="s">
        <v>1720</v>
      </c>
    </row>
    <row r="56609" customFormat="false" ht="12.8" hidden="false" customHeight="false" outlineLevel="0" collapsed="false">
      <c r="A56609" s="0" t="s">
        <v>19702</v>
      </c>
      <c r="B56609" s="0" t="str">
        <f aca="false">HYPERLINK("https://lindat.mff.cuni.cz/services/teitok/pdtc10/index.php?action=vallex&amp;frame=v-w7994f15", "vyjít (v-w7994f15)")</f>
        <v>vyjít (v-w7994f15)</v>
      </c>
    </row>
    <row r="56610" customFormat="false" ht="12.8" hidden="false" customHeight="false" outlineLevel="0" collapsed="false">
      <c r="B56610" s="0" t="s">
        <v>7</v>
      </c>
    </row>
    <row r="56611" customFormat="false" ht="12.8" hidden="false" customHeight="false" outlineLevel="0" collapsed="false">
      <c r="B56611" s="0" t="s">
        <v>119</v>
      </c>
    </row>
    <row r="56613" customFormat="false" ht="12.8" hidden="false" customHeight="false" outlineLevel="0" collapsed="false">
      <c r="A56613" s="0" t="s">
        <v>19703</v>
      </c>
      <c r="B56613" s="0" t="str">
        <f aca="false">HYPERLINK("https://lindat.mff.cuni.cz/services/teitok/pdtc10/index.php?action=vallex&amp;frame=v-w7994f4", "vyjít (v-w7994f4)")</f>
        <v>vyjít (v-w7994f4)</v>
      </c>
    </row>
    <row r="56614" customFormat="false" ht="12.8" hidden="false" customHeight="false" outlineLevel="0" collapsed="false">
      <c r="B56614" s="0" t="s">
        <v>7</v>
      </c>
      <c r="C56614" s="0" t="s">
        <v>1154</v>
      </c>
      <c r="D56614" s="0" t="s">
        <v>1582</v>
      </c>
      <c r="E56614" s="0" t="s">
        <v>1582</v>
      </c>
      <c r="F56614" s="0" t="s">
        <v>1582</v>
      </c>
    </row>
    <row r="56615" customFormat="false" ht="12.8" hidden="false" customHeight="false" outlineLevel="0" collapsed="false">
      <c r="B56615" s="0" t="s">
        <v>459</v>
      </c>
      <c r="D56615" s="0" t="s">
        <v>1583</v>
      </c>
      <c r="E56615" s="0" t="s">
        <v>1583</v>
      </c>
      <c r="F56615" s="0" t="s">
        <v>1583</v>
      </c>
    </row>
    <row r="56617" customFormat="false" ht="12.8" hidden="false" customHeight="false" outlineLevel="0" collapsed="false">
      <c r="A56617" s="0" t="s">
        <v>19704</v>
      </c>
      <c r="B56617" s="0" t="str">
        <f aca="false">HYPERLINK("https://lindat.mff.cuni.cz/services/teitok/pdtc10/index.php?action=vallex&amp;frame=v-w7994f13", "vyjít (v-w7994f13)")</f>
        <v>vyjít (v-w7994f13)</v>
      </c>
    </row>
    <row r="56618" customFormat="false" ht="12.8" hidden="false" customHeight="false" outlineLevel="0" collapsed="false">
      <c r="B56618" s="0" t="s">
        <v>7</v>
      </c>
      <c r="C56618" s="0" t="s">
        <v>4472</v>
      </c>
      <c r="D56618" s="0" t="s">
        <v>1582</v>
      </c>
      <c r="E56618" s="0" t="s">
        <v>1582</v>
      </c>
      <c r="F56618" s="0" t="s">
        <v>1582</v>
      </c>
    </row>
    <row r="56619" customFormat="false" ht="12.8" hidden="false" customHeight="false" outlineLevel="0" collapsed="false">
      <c r="B56619" s="0" t="s">
        <v>124</v>
      </c>
    </row>
    <row r="56621" customFormat="false" ht="12.8" hidden="false" customHeight="false" outlineLevel="0" collapsed="false">
      <c r="A56621" s="0" t="s">
        <v>19705</v>
      </c>
      <c r="B56621" s="0" t="str">
        <f aca="false">HYPERLINK("https://lindat.mff.cuni.cz/services/teitok/pdtc10/index.php?action=vallex&amp;frame=v-w7994f6", "vyjít (v-w7994f6)")</f>
        <v>vyjít (v-w7994f6)</v>
      </c>
    </row>
    <row r="56622" customFormat="false" ht="12.8" hidden="false" customHeight="false" outlineLevel="0" collapsed="false">
      <c r="B56622" s="0" t="s">
        <v>265</v>
      </c>
    </row>
    <row r="56623" customFormat="false" ht="12.8" hidden="false" customHeight="false" outlineLevel="0" collapsed="false">
      <c r="B56623" s="0" t="s">
        <v>679</v>
      </c>
    </row>
    <row r="56624" customFormat="false" ht="12.8" hidden="false" customHeight="false" outlineLevel="0" collapsed="false">
      <c r="B56624" s="0" t="s">
        <v>297</v>
      </c>
    </row>
    <row r="56626" customFormat="false" ht="12.8" hidden="false" customHeight="false" outlineLevel="0" collapsed="false">
      <c r="A56626" s="0" t="s">
        <v>19706</v>
      </c>
      <c r="B56626" s="0" t="str">
        <f aca="false">HYPERLINK("https://lindat.mff.cuni.cz/services/teitok/pdtc10/index.php?action=vallex&amp;frame=v-w7994f1", "vyjít (v-w7994f1)")</f>
        <v>vyjít (v-w7994f1)</v>
      </c>
    </row>
    <row r="56627" customFormat="false" ht="12.8" hidden="false" customHeight="false" outlineLevel="0" collapsed="false">
      <c r="B56627" s="0" t="s">
        <v>7</v>
      </c>
      <c r="C56627" s="0" t="s">
        <v>19707</v>
      </c>
    </row>
    <row r="56629" customFormat="false" ht="12.8" hidden="false" customHeight="false" outlineLevel="0" collapsed="false">
      <c r="A56629" s="0" t="s">
        <v>19708</v>
      </c>
      <c r="B56629" s="0" t="str">
        <f aca="false">HYPERLINK("https://lindat.mff.cuni.cz/services/teitok/pdtc10/index.php?action=vallex&amp;frame=v-w7994f3", "vyjít (v-w7994f3)")</f>
        <v>vyjít (v-w7994f3)</v>
      </c>
    </row>
    <row r="56630" customFormat="false" ht="12.8" hidden="false" customHeight="false" outlineLevel="0" collapsed="false">
      <c r="B56630" s="0" t="s">
        <v>7</v>
      </c>
    </row>
    <row r="56632" customFormat="false" ht="12.8" hidden="false" customHeight="false" outlineLevel="0" collapsed="false">
      <c r="A56632" s="0" t="s">
        <v>19709</v>
      </c>
      <c r="B56632" s="0" t="str">
        <f aca="false">HYPERLINK("https://lindat.mff.cuni.cz/services/teitok/pdtc10/index.php?action=vallex&amp;frame=v-w7994f7", "vyjít (v-w7994f7)")</f>
        <v>vyjít (v-w7994f7)</v>
      </c>
    </row>
    <row r="56633" customFormat="false" ht="12.8" hidden="false" customHeight="false" outlineLevel="0" collapsed="false">
      <c r="B56633" s="0" t="s">
        <v>7</v>
      </c>
      <c r="C56633" s="0" t="s">
        <v>19710</v>
      </c>
      <c r="D56633" s="0" t="s">
        <v>2078</v>
      </c>
      <c r="E56633" s="0" t="s">
        <v>2078</v>
      </c>
      <c r="F56633" s="0" t="s">
        <v>2078</v>
      </c>
    </row>
    <row r="56634" customFormat="false" ht="12.8" hidden="false" customHeight="false" outlineLevel="0" collapsed="false">
      <c r="B56634" s="0" t="s">
        <v>552</v>
      </c>
      <c r="D56634" s="0" t="s">
        <v>2079</v>
      </c>
      <c r="E56634" s="0" t="s">
        <v>2079</v>
      </c>
      <c r="F56634" s="0" t="s">
        <v>2079</v>
      </c>
    </row>
    <row r="56635" customFormat="false" ht="12.8" hidden="false" customHeight="false" outlineLevel="0" collapsed="false">
      <c r="B56635" s="0" t="s">
        <v>474</v>
      </c>
      <c r="D56635" s="0" t="s">
        <v>2081</v>
      </c>
      <c r="E56635" s="0" t="s">
        <v>2081</v>
      </c>
      <c r="F56635" s="0" t="s">
        <v>2081</v>
      </c>
    </row>
    <row r="56636" customFormat="false" ht="12.8" hidden="false" customHeight="false" outlineLevel="0" collapsed="false">
      <c r="B56636" s="0" t="s">
        <v>479</v>
      </c>
      <c r="D56636" s="0" t="s">
        <v>2083</v>
      </c>
      <c r="E56636" s="0" t="s">
        <v>2083</v>
      </c>
      <c r="F56636" s="0" t="s">
        <v>2083</v>
      </c>
    </row>
    <row r="56637" customFormat="false" ht="12.8" hidden="false" customHeight="false" outlineLevel="0" collapsed="false">
      <c r="B56637" s="0" t="s">
        <v>481</v>
      </c>
      <c r="D56637" s="0" t="s">
        <v>2084</v>
      </c>
      <c r="E56637" s="0" t="s">
        <v>2084</v>
      </c>
      <c r="F56637" s="0" t="s">
        <v>2084</v>
      </c>
    </row>
    <row r="56639" customFormat="false" ht="12.8" hidden="false" customHeight="false" outlineLevel="0" collapsed="false">
      <c r="A56639" s="0" t="s">
        <v>19711</v>
      </c>
      <c r="B56639" s="0" t="str">
        <f aca="false">HYPERLINK("https://lindat.mff.cuni.cz/services/teitok/pdtc10/index.php?action=vallex&amp;frame=v-w7994f9", "vyjít (v-w7994f9)")</f>
        <v>vyjít (v-w7994f9)</v>
      </c>
    </row>
    <row r="56640" customFormat="false" ht="12.8" hidden="false" customHeight="false" outlineLevel="0" collapsed="false">
      <c r="B56640" s="0" t="s">
        <v>7</v>
      </c>
    </row>
    <row r="56641" customFormat="false" ht="12.8" hidden="false" customHeight="false" outlineLevel="0" collapsed="false">
      <c r="B56641" s="0" t="s">
        <v>19325</v>
      </c>
    </row>
    <row r="56642" customFormat="false" ht="12.8" hidden="false" customHeight="false" outlineLevel="0" collapsed="false">
      <c r="B56642" s="0" t="s">
        <v>142</v>
      </c>
    </row>
    <row r="56644" customFormat="false" ht="12.8" hidden="false" customHeight="false" outlineLevel="0" collapsed="false">
      <c r="A56644" s="0" t="s">
        <v>19712</v>
      </c>
      <c r="B56644" s="0" t="str">
        <f aca="false">HYPERLINK("https://lindat.mff.cuni.cz/services/teitok/pdtc10/index.php?action=vallex&amp;frame=v-w7994f8", "vyjít (v-w7994f8)")</f>
        <v>vyjít (v-w7994f8)</v>
      </c>
    </row>
    <row r="56645" customFormat="false" ht="12.8" hidden="false" customHeight="false" outlineLevel="0" collapsed="false">
      <c r="B56645" s="0" t="s">
        <v>641</v>
      </c>
      <c r="C56645" s="0" t="s">
        <v>19713</v>
      </c>
      <c r="D56645" s="0" t="s">
        <v>1715</v>
      </c>
      <c r="E56645" s="0" t="s">
        <v>1715</v>
      </c>
      <c r="F56645" s="0" t="s">
        <v>1715</v>
      </c>
    </row>
    <row r="56646" customFormat="false" ht="12.8" hidden="false" customHeight="false" outlineLevel="0" collapsed="false">
      <c r="B56646" s="0" t="s">
        <v>3077</v>
      </c>
      <c r="C56646" s="0" t="s">
        <v>19714</v>
      </c>
    </row>
    <row r="56648" customFormat="false" ht="12.8" hidden="false" customHeight="false" outlineLevel="0" collapsed="false">
      <c r="A56648" s="0" t="s">
        <v>19715</v>
      </c>
      <c r="B56648" s="0" t="str">
        <f aca="false">HYPERLINK("https://lindat.mff.cuni.cz/services/teitok/pdtc10/index.php?action=vallex&amp;frame=v-w7994f14", "vyjít (v-w7994f14)")</f>
        <v>vyjít (v-w7994f14)</v>
      </c>
    </row>
    <row r="56649" customFormat="false" ht="12.8" hidden="false" customHeight="false" outlineLevel="0" collapsed="false">
      <c r="B56649" s="0" t="s">
        <v>7</v>
      </c>
    </row>
    <row r="56650" customFormat="false" ht="12.8" hidden="false" customHeight="false" outlineLevel="0" collapsed="false">
      <c r="B56650" s="0" t="s">
        <v>5966</v>
      </c>
    </row>
    <row r="56652" customFormat="false" ht="12.8" hidden="false" customHeight="false" outlineLevel="0" collapsed="false">
      <c r="A56652" s="0" t="s">
        <v>19716</v>
      </c>
      <c r="B56652" s="0" t="str">
        <f aca="false">HYPERLINK("https://lindat.mff.cuni.cz/services/teitok/pdtc10/index.php?action=vallex&amp;frame=v-w7994f21_ZU", "vyjít (v-w7994f21_ZU)")</f>
        <v>vyjít (v-w7994f21_ZU)</v>
      </c>
    </row>
    <row r="56653" customFormat="false" ht="12.8" hidden="false" customHeight="false" outlineLevel="0" collapsed="false">
      <c r="B56653" s="0" t="s">
        <v>7</v>
      </c>
    </row>
    <row r="56654" customFormat="false" ht="12.8" hidden="false" customHeight="false" outlineLevel="0" collapsed="false">
      <c r="B56654" s="0" t="s">
        <v>19717</v>
      </c>
    </row>
    <row r="56656" customFormat="false" ht="12.8" hidden="false" customHeight="false" outlineLevel="0" collapsed="false">
      <c r="A56656" s="0" t="s">
        <v>19718</v>
      </c>
      <c r="B56656" s="0" t="str">
        <f aca="false">HYPERLINK("https://lindat.mff.cuni.cz/services/teitok/pdtc10/index.php?action=vallex&amp;frame=v-w7994f22_ZU", "vyjít (v-w7994f22_ZU)")</f>
        <v>vyjít (v-w7994f22_ZU)</v>
      </c>
    </row>
    <row r="56657" customFormat="false" ht="12.8" hidden="false" customHeight="false" outlineLevel="0" collapsed="false">
      <c r="B56657" s="0" t="s">
        <v>7</v>
      </c>
    </row>
    <row r="56658" customFormat="false" ht="12.8" hidden="false" customHeight="false" outlineLevel="0" collapsed="false">
      <c r="B56658" s="0" t="s">
        <v>19719</v>
      </c>
    </row>
    <row r="56660" customFormat="false" ht="12.8" hidden="false" customHeight="false" outlineLevel="0" collapsed="false">
      <c r="A56660" s="0" t="s">
        <v>19718</v>
      </c>
      <c r="B56660" s="0" t="str">
        <f aca="false">HYPERLINK("https://lindat.mff.cuni.cz/services/teitok/pdtc10/index.php?action=vallex&amp;frame=v-w7994hsa_557", "vyjít (v-w7994hsa_557) - substituted with v-w7994f22_ZU")</f>
        <v>vyjít (v-w7994hsa_557) - substituted with v-w7994f22_ZU</v>
      </c>
    </row>
    <row r="56661" customFormat="false" ht="12.8" hidden="false" customHeight="false" outlineLevel="0" collapsed="false">
      <c r="B56661" s="0" t="s">
        <v>7</v>
      </c>
    </row>
    <row r="56662" customFormat="false" ht="12.8" hidden="false" customHeight="false" outlineLevel="0" collapsed="false">
      <c r="B56662" s="0" t="s">
        <v>19719</v>
      </c>
    </row>
    <row r="56664" customFormat="false" ht="12.8" hidden="false" customHeight="false" outlineLevel="0" collapsed="false">
      <c r="A56664" s="0" t="s">
        <v>19720</v>
      </c>
      <c r="B56664" s="0" t="str">
        <f aca="false">HYPERLINK("https://lindat.mff.cuni.cz/services/teitok/pdtc10/index.php?action=vallex&amp;frame=v-w7994f23_ZU", "vyjít (v-w7994f23_ZU)")</f>
        <v>vyjít (v-w7994f23_ZU)</v>
      </c>
    </row>
    <row r="56665" customFormat="false" ht="12.8" hidden="false" customHeight="false" outlineLevel="0" collapsed="false">
      <c r="B56665" s="0" t="s">
        <v>7</v>
      </c>
    </row>
    <row r="56666" customFormat="false" ht="12.8" hidden="false" customHeight="false" outlineLevel="0" collapsed="false">
      <c r="B56666" s="0" t="s">
        <v>19331</v>
      </c>
    </row>
    <row r="56668" customFormat="false" ht="12.8" hidden="false" customHeight="false" outlineLevel="0" collapsed="false">
      <c r="A56668" s="0" t="s">
        <v>19720</v>
      </c>
      <c r="B56668" s="0" t="str">
        <f aca="false">HYPERLINK("https://lindat.mff.cuni.cz/services/teitok/pdtc10/index.php?action=vallex&amp;frame=v-w7994hsa_1542", "vyjít (v-w7994hsa_1542) - substituted with v-w7994f23_ZU")</f>
        <v>vyjít (v-w7994hsa_1542) - substituted with v-w7994f23_ZU</v>
      </c>
    </row>
    <row r="56669" customFormat="false" ht="12.8" hidden="false" customHeight="false" outlineLevel="0" collapsed="false">
      <c r="B56669" s="0" t="s">
        <v>7</v>
      </c>
    </row>
    <row r="56670" customFormat="false" ht="12.8" hidden="false" customHeight="false" outlineLevel="0" collapsed="false">
      <c r="B56670" s="0" t="s">
        <v>19331</v>
      </c>
    </row>
    <row r="56672" customFormat="false" ht="12.8" hidden="false" customHeight="false" outlineLevel="0" collapsed="false">
      <c r="A56672" s="0" t="s">
        <v>19721</v>
      </c>
      <c r="B56672" s="0" t="str">
        <f aca="false">HYPERLINK("https://lindat.mff.cuni.cz/services/teitok/pdtc10/index.php?action=vallex&amp;frame=v-w7994f24_ZU", "vyjít (v-w7994f24_ZU)")</f>
        <v>vyjít (v-w7994f24_ZU)</v>
      </c>
    </row>
    <row r="56673" customFormat="false" ht="12.8" hidden="false" customHeight="false" outlineLevel="0" collapsed="false">
      <c r="B56673" s="0" t="s">
        <v>7</v>
      </c>
    </row>
    <row r="56674" customFormat="false" ht="12.8" hidden="false" customHeight="false" outlineLevel="0" collapsed="false">
      <c r="B56674" s="0" t="s">
        <v>19722</v>
      </c>
    </row>
    <row r="56676" customFormat="false" ht="12.8" hidden="false" customHeight="false" outlineLevel="0" collapsed="false">
      <c r="A56676" s="0" t="s">
        <v>19723</v>
      </c>
      <c r="B56676" s="0" t="str">
        <f aca="false">HYPERLINK("https://lindat.mff.cuni.cz/services/teitok/pdtc10/index.php?action=vallex&amp;frame=v-w11681_ZUf2_ZU", "vyjít si (v-w11681_ZUf2_ZU)")</f>
        <v>vyjít si (v-w11681_ZUf2_ZU)</v>
      </c>
    </row>
    <row r="56677" customFormat="false" ht="12.8" hidden="false" customHeight="false" outlineLevel="0" collapsed="false">
      <c r="B56677" s="0" t="s">
        <v>7</v>
      </c>
    </row>
    <row r="56678" customFormat="false" ht="12.8" hidden="false" customHeight="false" outlineLevel="0" collapsed="false">
      <c r="B56678" s="0" t="s">
        <v>338</v>
      </c>
    </row>
    <row r="56680" customFormat="false" ht="12.8" hidden="false" customHeight="false" outlineLevel="0" collapsed="false">
      <c r="A56680" s="0" t="s">
        <v>19723</v>
      </c>
      <c r="B56680" s="0" t="str">
        <f aca="false">HYPERLINK("https://lindat.mff.cuni.cz/services/teitok/pdtc10/index.php?action=vallex&amp;frame=v-w11681_ZUf1_ZU", "vyjít si (v-w11681_ZUf1_ZU) - substituted with v-w11681_ZUf2_ZU")</f>
        <v>vyjít si (v-w11681_ZUf1_ZU) - substituted with v-w11681_ZUf2_ZU</v>
      </c>
    </row>
    <row r="56681" customFormat="false" ht="12.8" hidden="false" customHeight="false" outlineLevel="0" collapsed="false">
      <c r="B56681" s="0" t="s">
        <v>7</v>
      </c>
    </row>
    <row r="56682" customFormat="false" ht="12.8" hidden="false" customHeight="false" outlineLevel="0" collapsed="false">
      <c r="B56682" s="0" t="s">
        <v>338</v>
      </c>
    </row>
    <row r="56684" customFormat="false" ht="12.8" hidden="false" customHeight="false" outlineLevel="0" collapsed="false">
      <c r="A56684" s="0" t="s">
        <v>19724</v>
      </c>
      <c r="B56684" s="0" t="str">
        <f aca="false">HYPERLINK("https://lindat.mff.cuni.cz/services/teitok/pdtc10/index.php?action=vallex&amp;frame=v-w7996f2", "vyjíždět (v-w7996f2)")</f>
        <v>vyjíždět (v-w7996f2)</v>
      </c>
    </row>
    <row r="56685" customFormat="false" ht="12.8" hidden="false" customHeight="false" outlineLevel="0" collapsed="false">
      <c r="B56685" s="0" t="s">
        <v>7</v>
      </c>
      <c r="E56685" s="0" t="s">
        <v>1582</v>
      </c>
      <c r="F56685" s="0" t="s">
        <v>1582</v>
      </c>
    </row>
    <row r="56686" customFormat="false" ht="12.8" hidden="false" customHeight="false" outlineLevel="0" collapsed="false">
      <c r="B56686" s="0" t="s">
        <v>459</v>
      </c>
      <c r="E56686" s="0" t="s">
        <v>1583</v>
      </c>
      <c r="F56686" s="0" t="s">
        <v>1583</v>
      </c>
    </row>
    <row r="56688" customFormat="false" ht="12.8" hidden="false" customHeight="false" outlineLevel="0" collapsed="false">
      <c r="A56688" s="0" t="s">
        <v>19725</v>
      </c>
      <c r="B56688" s="0" t="str">
        <f aca="false">HYPERLINK("https://lindat.mff.cuni.cz/services/teitok/pdtc10/index.php?action=vallex&amp;frame=v-w7996f1", "vyjíždět (v-w7996f1)")</f>
        <v>vyjíždět (v-w7996f1)</v>
      </c>
    </row>
    <row r="56689" customFormat="false" ht="12.8" hidden="false" customHeight="false" outlineLevel="0" collapsed="false">
      <c r="B56689" s="0" t="s">
        <v>7</v>
      </c>
      <c r="E56689" s="0" t="s">
        <v>1582</v>
      </c>
      <c r="F56689" s="0" t="s">
        <v>1582</v>
      </c>
    </row>
    <row r="56690" customFormat="false" ht="12.8" hidden="false" customHeight="false" outlineLevel="0" collapsed="false">
      <c r="B56690" s="0" t="s">
        <v>124</v>
      </c>
    </row>
    <row r="56692" customFormat="false" ht="12.8" hidden="false" customHeight="false" outlineLevel="0" collapsed="false">
      <c r="A56692" s="0" t="s">
        <v>19726</v>
      </c>
      <c r="B56692" s="0" t="str">
        <f aca="false">HYPERLINK("https://lindat.mff.cuni.cz/services/teitok/pdtc10/index.php?action=vallex&amp;frame=v-w7996f3_ZU", "vyjíždět (v-w7996f3_ZU)")</f>
        <v>vyjíždět (v-w7996f3_ZU)</v>
      </c>
    </row>
    <row r="56693" customFormat="false" ht="12.8" hidden="false" customHeight="false" outlineLevel="0" collapsed="false">
      <c r="B56693" s="0" t="s">
        <v>7</v>
      </c>
    </row>
    <row r="56694" customFormat="false" ht="12.8" hidden="false" customHeight="false" outlineLevel="0" collapsed="false">
      <c r="B56694" s="0" t="s">
        <v>338</v>
      </c>
    </row>
    <row r="56696" customFormat="false" ht="12.8" hidden="false" customHeight="false" outlineLevel="0" collapsed="false">
      <c r="A56696" s="0" t="s">
        <v>19727</v>
      </c>
      <c r="B56696" s="0" t="str">
        <f aca="false">HYPERLINK("https://lindat.mff.cuni.cz/services/teitok/pdtc10/index.php?action=vallex&amp;frame=v-w7996hsa_370", "vyjíždět (v-w7996hsa_370)")</f>
        <v>vyjíždět (v-w7996hsa_370)</v>
      </c>
    </row>
    <row r="56697" customFormat="false" ht="12.8" hidden="false" customHeight="false" outlineLevel="0" collapsed="false">
      <c r="B56697" s="0" t="s">
        <v>7</v>
      </c>
    </row>
    <row r="56698" customFormat="false" ht="12.8" hidden="false" customHeight="false" outlineLevel="0" collapsed="false">
      <c r="B56698" s="0" t="s">
        <v>14</v>
      </c>
    </row>
    <row r="56700" customFormat="false" ht="12.8" hidden="false" customHeight="false" outlineLevel="0" collapsed="false">
      <c r="A56700" s="0" t="s">
        <v>19728</v>
      </c>
      <c r="B56700" s="0" t="str">
        <f aca="false">HYPERLINK("https://lindat.mff.cuni.cz/services/teitok/pdtc10/index.php?action=vallex&amp;frame=v-w12171_ZUf1_ZU", "vyjíždět si (v-w12171_ZUf1_ZU)")</f>
        <v>vyjíždět si (v-w12171_ZUf1_ZU)</v>
      </c>
    </row>
    <row r="56701" customFormat="false" ht="12.8" hidden="false" customHeight="false" outlineLevel="0" collapsed="false">
      <c r="B56701" s="0" t="s">
        <v>7</v>
      </c>
    </row>
    <row r="56702" customFormat="false" ht="12.8" hidden="false" customHeight="false" outlineLevel="0" collapsed="false">
      <c r="B56702" s="0" t="s">
        <v>338</v>
      </c>
    </row>
    <row r="56704" customFormat="false" ht="12.8" hidden="false" customHeight="false" outlineLevel="0" collapsed="false">
      <c r="A56704" s="0" t="s">
        <v>19729</v>
      </c>
      <c r="B56704" s="0" t="str">
        <f aca="false">HYPERLINK("https://lindat.mff.cuni.cz/services/teitok/pdtc10/index.php?action=vallex&amp;frame=v-w10930f2", "vykalkulovat (v-w10930f2)")</f>
        <v>vykalkulovat (v-w10930f2)</v>
      </c>
    </row>
    <row r="56705" customFormat="false" ht="12.8" hidden="false" customHeight="false" outlineLevel="0" collapsed="false">
      <c r="B56705" s="0" t="s">
        <v>7</v>
      </c>
      <c r="C56705" s="0" t="s">
        <v>149</v>
      </c>
      <c r="D56705" s="0" t="s">
        <v>11401</v>
      </c>
      <c r="E56705" s="0" t="s">
        <v>11401</v>
      </c>
      <c r="F56705" s="0" t="s">
        <v>11401</v>
      </c>
    </row>
    <row r="56706" customFormat="false" ht="12.8" hidden="false" customHeight="false" outlineLevel="0" collapsed="false">
      <c r="B56706" s="0" t="s">
        <v>1520</v>
      </c>
      <c r="C56706" s="0" t="s">
        <v>493</v>
      </c>
      <c r="D56706" s="0" t="s">
        <v>128</v>
      </c>
      <c r="E56706" s="0" t="s">
        <v>128</v>
      </c>
      <c r="F56706" s="0" t="s">
        <v>128</v>
      </c>
    </row>
    <row r="56707" customFormat="false" ht="12.8" hidden="false" customHeight="false" outlineLevel="0" collapsed="false">
      <c r="B56707" s="0" t="s">
        <v>35</v>
      </c>
    </row>
    <row r="56709" customFormat="false" ht="12.8" hidden="false" customHeight="false" outlineLevel="0" collapsed="false">
      <c r="A56709" s="0" t="s">
        <v>19730</v>
      </c>
      <c r="B56709" s="0" t="str">
        <f aca="false">HYPERLINK("https://lindat.mff.cuni.cz/services/teitok/pdtc10/index.php?action=vallex&amp;frame=v-whsa_1845hsa_1846", "vykat (v-whsa_1845hsa_1846)")</f>
        <v>vykat (v-whsa_1845hsa_1846)</v>
      </c>
    </row>
    <row r="56710" customFormat="false" ht="12.8" hidden="false" customHeight="false" outlineLevel="0" collapsed="false">
      <c r="B56710" s="0" t="s">
        <v>7</v>
      </c>
    </row>
    <row r="56711" customFormat="false" ht="12.8" hidden="false" customHeight="false" outlineLevel="0" collapsed="false">
      <c r="B56711" s="0" t="s">
        <v>142</v>
      </c>
    </row>
    <row r="56713" customFormat="false" ht="12.8" hidden="false" customHeight="false" outlineLevel="0" collapsed="false">
      <c r="A56713" s="0" t="s">
        <v>19731</v>
      </c>
      <c r="B56713" s="0" t="str">
        <f aca="false">HYPERLINK("https://lindat.mff.cuni.cz/services/teitok/pdtc10/index.php?action=vallex&amp;frame=v-w8004f1", "vykazovat (v-w8004f1)")</f>
        <v>vykazovat (v-w8004f1)</v>
      </c>
    </row>
    <row r="56714" customFormat="false" ht="12.8" hidden="false" customHeight="false" outlineLevel="0" collapsed="false">
      <c r="B56714" s="0" t="s">
        <v>7</v>
      </c>
      <c r="C56714" s="0" t="s">
        <v>19732</v>
      </c>
      <c r="D56714" s="0" t="s">
        <v>391</v>
      </c>
      <c r="E56714" s="0" t="s">
        <v>391</v>
      </c>
      <c r="F56714" s="0" t="s">
        <v>391</v>
      </c>
    </row>
    <row r="56715" customFormat="false" ht="12.8" hidden="false" customHeight="false" outlineLevel="0" collapsed="false">
      <c r="B56715" s="0" t="s">
        <v>172</v>
      </c>
      <c r="C56715" s="0" t="s">
        <v>19733</v>
      </c>
      <c r="D56715" s="0" t="s">
        <v>1278</v>
      </c>
      <c r="E56715" s="0" t="s">
        <v>1278</v>
      </c>
      <c r="F56715" s="0" t="s">
        <v>1278</v>
      </c>
    </row>
    <row r="56716" customFormat="false" ht="12.8" hidden="false" customHeight="false" outlineLevel="0" collapsed="false">
      <c r="B56716" s="0" t="s">
        <v>106</v>
      </c>
      <c r="C56716" s="0" t="s">
        <v>19734</v>
      </c>
    </row>
    <row r="56718" customFormat="false" ht="12.8" hidden="false" customHeight="false" outlineLevel="0" collapsed="false">
      <c r="A56718" s="0" t="s">
        <v>19735</v>
      </c>
      <c r="B56718" s="0" t="str">
        <f aca="false">HYPERLINK("https://lindat.mff.cuni.cz/services/teitok/pdtc10/index.php?action=vallex&amp;frame=v-w8004f2_ZU", "vykazovat (v-w8004f2_ZU)")</f>
        <v>vykazovat (v-w8004f2_ZU)</v>
      </c>
    </row>
    <row r="56719" customFormat="false" ht="12.8" hidden="false" customHeight="false" outlineLevel="0" collapsed="false">
      <c r="B56719" s="0" t="s">
        <v>7</v>
      </c>
      <c r="D56719" s="0" t="s">
        <v>1567</v>
      </c>
      <c r="E56719" s="0" t="s">
        <v>1567</v>
      </c>
      <c r="F56719" s="0" t="s">
        <v>1567</v>
      </c>
    </row>
    <row r="56720" customFormat="false" ht="12.8" hidden="false" customHeight="false" outlineLevel="0" collapsed="false">
      <c r="B56720" s="0" t="s">
        <v>14</v>
      </c>
      <c r="D56720" s="0" t="s">
        <v>1568</v>
      </c>
      <c r="E56720" s="0" t="s">
        <v>1568</v>
      </c>
      <c r="F56720" s="0" t="s">
        <v>1568</v>
      </c>
    </row>
    <row r="56721" customFormat="false" ht="12.8" hidden="false" customHeight="false" outlineLevel="0" collapsed="false">
      <c r="B56721" s="0" t="s">
        <v>459</v>
      </c>
      <c r="D56721" s="0" t="s">
        <v>1569</v>
      </c>
      <c r="E56721" s="0" t="s">
        <v>1569</v>
      </c>
      <c r="F56721" s="0" t="s">
        <v>1569</v>
      </c>
    </row>
    <row r="56723" customFormat="false" ht="12.8" hidden="false" customHeight="false" outlineLevel="0" collapsed="false">
      <c r="A56723" s="0" t="s">
        <v>19736</v>
      </c>
      <c r="B56723" s="0" t="str">
        <f aca="false">HYPERLINK("https://lindat.mff.cuni.cz/services/teitok/pdtc10/index.php?action=vallex&amp;frame=v-w8004f3_ZU", "vykazovat (v-w8004f3_ZU)")</f>
        <v>vykazovat (v-w8004f3_ZU)</v>
      </c>
    </row>
    <row r="56724" customFormat="false" ht="12.8" hidden="false" customHeight="false" outlineLevel="0" collapsed="false">
      <c r="B56724" s="0" t="s">
        <v>7</v>
      </c>
      <c r="C56724" s="0" t="s">
        <v>163</v>
      </c>
    </row>
    <row r="56725" customFormat="false" ht="12.8" hidden="false" customHeight="false" outlineLevel="0" collapsed="false">
      <c r="B56725" s="0" t="s">
        <v>14</v>
      </c>
      <c r="C56725" s="0" t="s">
        <v>19364</v>
      </c>
    </row>
    <row r="56727" customFormat="false" ht="12.8" hidden="false" customHeight="false" outlineLevel="0" collapsed="false">
      <c r="A56727" s="0" t="s">
        <v>19737</v>
      </c>
      <c r="B56727" s="0" t="str">
        <f aca="false">HYPERLINK("https://lindat.mff.cuni.cz/services/teitok/pdtc10/index.php?action=vallex&amp;frame=v-w10389f3_ZU", "vykašlat (v-w10389f3_ZU)")</f>
        <v>vykašlat (v-w10389f3_ZU)</v>
      </c>
    </row>
    <row r="56728" customFormat="false" ht="12.8" hidden="false" customHeight="false" outlineLevel="0" collapsed="false">
      <c r="B56728" s="0" t="s">
        <v>7</v>
      </c>
      <c r="C56728" s="0" t="s">
        <v>184</v>
      </c>
      <c r="D56728" s="0" t="s">
        <v>184</v>
      </c>
      <c r="E56728" s="0" t="s">
        <v>184</v>
      </c>
      <c r="F56728" s="0" t="s">
        <v>184</v>
      </c>
    </row>
    <row r="56729" customFormat="false" ht="12.8" hidden="false" customHeight="false" outlineLevel="0" collapsed="false">
      <c r="B56729" s="0" t="s">
        <v>14</v>
      </c>
      <c r="C56729" s="0" t="s">
        <v>115</v>
      </c>
      <c r="D56729" s="0" t="s">
        <v>115</v>
      </c>
      <c r="E56729" s="0" t="s">
        <v>115</v>
      </c>
      <c r="F56729" s="0" t="s">
        <v>115</v>
      </c>
    </row>
    <row r="56731" customFormat="false" ht="12.8" hidden="false" customHeight="false" outlineLevel="0" collapsed="false">
      <c r="A56731" s="0" t="s">
        <v>19737</v>
      </c>
      <c r="B56731" s="0" t="str">
        <f aca="false">HYPERLINK("https://lindat.mff.cuni.cz/services/teitok/pdtc10/index.php?action=vallex&amp;frame=v-w10389f2", "vykašlat (v-w10389f2) - substituted with v-w10389f3_ZU")</f>
        <v>vykašlat (v-w10389f2) - substituted with v-w10389f3_ZU</v>
      </c>
    </row>
    <row r="56732" customFormat="false" ht="12.8" hidden="false" customHeight="false" outlineLevel="0" collapsed="false">
      <c r="B56732" s="0" t="s">
        <v>7</v>
      </c>
    </row>
    <row r="56733" customFormat="false" ht="12.8" hidden="false" customHeight="false" outlineLevel="0" collapsed="false">
      <c r="B56733" s="0" t="s">
        <v>14</v>
      </c>
    </row>
    <row r="56735" customFormat="false" ht="12.8" hidden="false" customHeight="false" outlineLevel="0" collapsed="false">
      <c r="A56735" s="0" t="s">
        <v>19738</v>
      </c>
      <c r="B56735" s="0" t="str">
        <f aca="false">HYPERLINK("https://lindat.mff.cuni.cz/services/teitok/pdtc10/index.php?action=vallex&amp;frame=v-whsa_1454f1_ZU", "vykašlat se (v-whsa_1454f1_ZU)")</f>
        <v>vykašlat se (v-whsa_1454f1_ZU)</v>
      </c>
    </row>
    <row r="56736" customFormat="false" ht="12.8" hidden="false" customHeight="false" outlineLevel="0" collapsed="false">
      <c r="B56736" s="0" t="s">
        <v>7</v>
      </c>
    </row>
    <row r="56737" customFormat="false" ht="12.8" hidden="false" customHeight="false" outlineLevel="0" collapsed="false">
      <c r="B56737" s="0" t="s">
        <v>41</v>
      </c>
    </row>
    <row r="56739" customFormat="false" ht="12.8" hidden="false" customHeight="false" outlineLevel="0" collapsed="false">
      <c r="A56739" s="0" t="s">
        <v>19738</v>
      </c>
      <c r="B56739" s="0" t="str">
        <f aca="false">HYPERLINK("https://lindat.mff.cuni.cz/services/teitok/pdtc10/index.php?action=vallex&amp;frame=v-whsa_1454hsa_1455", "vykašlat se (v-whsa_1454hsa_1455) - substituted with v-whsa_1454f1_ZU")</f>
        <v>vykašlat se (v-whsa_1454hsa_1455) - substituted with v-whsa_1454f1_ZU</v>
      </c>
    </row>
    <row r="56740" customFormat="false" ht="12.8" hidden="false" customHeight="false" outlineLevel="0" collapsed="false">
      <c r="B56740" s="0" t="s">
        <v>7</v>
      </c>
    </row>
    <row r="56741" customFormat="false" ht="12.8" hidden="false" customHeight="false" outlineLevel="0" collapsed="false">
      <c r="B56741" s="0" t="s">
        <v>41</v>
      </c>
    </row>
    <row r="56743" customFormat="false" ht="12.8" hidden="false" customHeight="false" outlineLevel="0" collapsed="false">
      <c r="A56743" s="0" t="s">
        <v>19739</v>
      </c>
      <c r="B56743" s="0" t="str">
        <f aca="false">HYPERLINK("https://lindat.mff.cuni.cz/services/teitok/pdtc10/index.php?action=vallex&amp;frame=v-w10090f2", "vykecat (v-w10090f2)")</f>
        <v>vykecat (v-w10090f2)</v>
      </c>
    </row>
    <row r="56744" customFormat="false" ht="12.8" hidden="false" customHeight="false" outlineLevel="0" collapsed="false">
      <c r="B56744" s="0" t="s">
        <v>7</v>
      </c>
      <c r="C56744" s="0" t="s">
        <v>191</v>
      </c>
    </row>
    <row r="56745" customFormat="false" ht="12.8" hidden="false" customHeight="false" outlineLevel="0" collapsed="false">
      <c r="B56745" s="0" t="s">
        <v>48</v>
      </c>
    </row>
    <row r="56746" customFormat="false" ht="12.8" hidden="false" customHeight="false" outlineLevel="0" collapsed="false">
      <c r="B56746" s="0" t="s">
        <v>12381</v>
      </c>
      <c r="C56746" s="0" t="s">
        <v>361</v>
      </c>
    </row>
    <row r="56747" customFormat="false" ht="12.8" hidden="false" customHeight="false" outlineLevel="0" collapsed="false">
      <c r="B56747" s="0" t="s">
        <v>12383</v>
      </c>
    </row>
    <row r="56749" customFormat="false" ht="12.8" hidden="false" customHeight="false" outlineLevel="0" collapsed="false">
      <c r="A56749" s="0" t="s">
        <v>19740</v>
      </c>
      <c r="B56749" s="0" t="str">
        <f aca="false">HYPERLINK("https://lindat.mff.cuni.cz/services/teitok/pdtc10/index.php?action=vallex&amp;frame=v-w10090hsa_98", "vykecat (v-w10090hsa_98)")</f>
        <v>vykecat (v-w10090hsa_98)</v>
      </c>
    </row>
    <row r="56750" customFormat="false" ht="12.8" hidden="false" customHeight="false" outlineLevel="0" collapsed="false">
      <c r="B56750" s="0" t="s">
        <v>7</v>
      </c>
    </row>
    <row r="56751" customFormat="false" ht="12.8" hidden="false" customHeight="false" outlineLevel="0" collapsed="false">
      <c r="B56751" s="0" t="s">
        <v>14</v>
      </c>
    </row>
    <row r="56752" customFormat="false" ht="12.8" hidden="false" customHeight="false" outlineLevel="0" collapsed="false">
      <c r="B56752" s="0" t="s">
        <v>441</v>
      </c>
    </row>
    <row r="56754" customFormat="false" ht="12.8" hidden="false" customHeight="false" outlineLevel="0" collapsed="false">
      <c r="A56754" s="0" t="s">
        <v>19741</v>
      </c>
      <c r="B56754" s="0" t="str">
        <f aca="false">HYPERLINK("https://lindat.mff.cuni.cz/services/teitok/pdtc10/index.php?action=vallex&amp;frame=v-whsa_1385f1_ZU", "vykecat se (v-whsa_1385f1_ZU)")</f>
        <v>vykecat se (v-whsa_1385f1_ZU)</v>
      </c>
    </row>
    <row r="56755" customFormat="false" ht="12.8" hidden="false" customHeight="false" outlineLevel="0" collapsed="false">
      <c r="B56755" s="0" t="s">
        <v>7</v>
      </c>
    </row>
    <row r="56756" customFormat="false" ht="12.8" hidden="false" customHeight="false" outlineLevel="0" collapsed="false">
      <c r="B56756" s="0" t="s">
        <v>581</v>
      </c>
    </row>
    <row r="56758" customFormat="false" ht="12.8" hidden="false" customHeight="false" outlineLevel="0" collapsed="false">
      <c r="A56758" s="0" t="s">
        <v>19741</v>
      </c>
      <c r="B56758" s="0" t="str">
        <f aca="false">HYPERLINK("https://lindat.mff.cuni.cz/services/teitok/pdtc10/index.php?action=vallex&amp;frame=v-whsa_1385hsa_1386", "vykecat se (v-whsa_1385hsa_1386) - substituted with v-whsa_1385f1_ZU")</f>
        <v>vykecat se (v-whsa_1385hsa_1386) - substituted with v-whsa_1385f1_ZU</v>
      </c>
    </row>
    <row r="56759" customFormat="false" ht="12.8" hidden="false" customHeight="false" outlineLevel="0" collapsed="false">
      <c r="B56759" s="0" t="s">
        <v>7</v>
      </c>
    </row>
    <row r="56760" customFormat="false" ht="12.8" hidden="false" customHeight="false" outlineLevel="0" collapsed="false">
      <c r="B56760" s="0" t="s">
        <v>581</v>
      </c>
    </row>
    <row r="56762" customFormat="false" ht="12.8" hidden="false" customHeight="false" outlineLevel="0" collapsed="false">
      <c r="A56762" s="0" t="s">
        <v>19742</v>
      </c>
      <c r="B56762" s="0" t="str">
        <f aca="false">HYPERLINK("https://lindat.mff.cuni.cz/services/teitok/pdtc10/index.php?action=vallex&amp;frame=v-w11854_ZUf2_ZU", "vyklepat (v-w11854_ZUf2_ZU)")</f>
        <v>vyklepat (v-w11854_ZUf2_ZU)</v>
      </c>
    </row>
    <row r="56763" customFormat="false" ht="12.8" hidden="false" customHeight="false" outlineLevel="0" collapsed="false">
      <c r="B56763" s="0" t="s">
        <v>7</v>
      </c>
    </row>
    <row r="56764" customFormat="false" ht="12.8" hidden="false" customHeight="false" outlineLevel="0" collapsed="false">
      <c r="B56764" s="0" t="s">
        <v>14</v>
      </c>
    </row>
    <row r="56765" customFormat="false" ht="12.8" hidden="false" customHeight="false" outlineLevel="0" collapsed="false">
      <c r="B56765" s="0" t="s">
        <v>441</v>
      </c>
    </row>
    <row r="56767" customFormat="false" ht="12.8" hidden="false" customHeight="false" outlineLevel="0" collapsed="false">
      <c r="A56767" s="0" t="s">
        <v>19742</v>
      </c>
      <c r="B56767" s="0" t="str">
        <f aca="false">HYPERLINK("https://lindat.mff.cuni.cz/services/teitok/pdtc10/index.php?action=vallex&amp;frame=v-w11854_ZUf1_ZU", "vyklepat (v-w11854_ZUf1_ZU) - substituted with v-w11854_ZUf2_ZU")</f>
        <v>vyklepat (v-w11854_ZUf1_ZU) - substituted with v-w11854_ZUf2_ZU</v>
      </c>
    </row>
    <row r="56768" customFormat="false" ht="12.8" hidden="false" customHeight="false" outlineLevel="0" collapsed="false">
      <c r="B56768" s="0" t="s">
        <v>7</v>
      </c>
    </row>
    <row r="56769" customFormat="false" ht="12.8" hidden="false" customHeight="false" outlineLevel="0" collapsed="false">
      <c r="B56769" s="0" t="s">
        <v>14</v>
      </c>
    </row>
    <row r="56770" customFormat="false" ht="12.8" hidden="false" customHeight="false" outlineLevel="0" collapsed="false">
      <c r="B56770" s="0" t="s">
        <v>441</v>
      </c>
    </row>
    <row r="56772" customFormat="false" ht="12.8" hidden="false" customHeight="false" outlineLevel="0" collapsed="false">
      <c r="A56772" s="0" t="s">
        <v>19743</v>
      </c>
      <c r="B56772" s="0" t="str">
        <f aca="false">HYPERLINK("https://lindat.mff.cuni.cz/services/teitok/pdtc10/index.php?action=vallex&amp;frame=v-w8010f1", "vyklidit (v-w8010f1)")</f>
        <v>vyklidit (v-w8010f1)</v>
      </c>
    </row>
    <row r="56773" customFormat="false" ht="12.8" hidden="false" customHeight="false" outlineLevel="0" collapsed="false">
      <c r="B56773" s="0" t="s">
        <v>7</v>
      </c>
    </row>
    <row r="56774" customFormat="false" ht="12.8" hidden="false" customHeight="false" outlineLevel="0" collapsed="false">
      <c r="B56774" s="0" t="s">
        <v>14</v>
      </c>
    </row>
    <row r="56776" customFormat="false" ht="12.8" hidden="false" customHeight="false" outlineLevel="0" collapsed="false">
      <c r="A56776" s="0" t="s">
        <v>19744</v>
      </c>
      <c r="B56776" s="0" t="str">
        <f aca="false">HYPERLINK("https://lindat.mff.cuni.cz/services/teitok/pdtc10/index.php?action=vallex&amp;frame=v-w8010f2", "vyklidit (v-w8010f2)")</f>
        <v>vyklidit (v-w8010f2)</v>
      </c>
    </row>
    <row r="56777" customFormat="false" ht="12.8" hidden="false" customHeight="false" outlineLevel="0" collapsed="false">
      <c r="B56777" s="0" t="s">
        <v>7</v>
      </c>
      <c r="C56777" s="0" t="s">
        <v>184</v>
      </c>
    </row>
    <row r="56778" customFormat="false" ht="12.8" hidden="false" customHeight="false" outlineLevel="0" collapsed="false">
      <c r="B56778" s="0" t="s">
        <v>14</v>
      </c>
      <c r="C56778" s="0" t="s">
        <v>174</v>
      </c>
    </row>
    <row r="56780" customFormat="false" ht="12.8" hidden="false" customHeight="false" outlineLevel="0" collapsed="false">
      <c r="A56780" s="0" t="s">
        <v>19745</v>
      </c>
      <c r="B56780" s="0" t="str">
        <f aca="false">HYPERLINK("https://lindat.mff.cuni.cz/services/teitok/pdtc10/index.php?action=vallex&amp;frame=v-w8013f1", "vyklopit (v-w8013f1)")</f>
        <v>vyklopit (v-w8013f1)</v>
      </c>
    </row>
    <row r="56781" customFormat="false" ht="12.8" hidden="false" customHeight="false" outlineLevel="0" collapsed="false">
      <c r="B56781" s="0" t="s">
        <v>7</v>
      </c>
    </row>
    <row r="56782" customFormat="false" ht="12.8" hidden="false" customHeight="false" outlineLevel="0" collapsed="false">
      <c r="B56782" s="0" t="s">
        <v>14</v>
      </c>
    </row>
    <row r="56783" customFormat="false" ht="12.8" hidden="false" customHeight="false" outlineLevel="0" collapsed="false">
      <c r="B56783" s="0" t="s">
        <v>106</v>
      </c>
    </row>
    <row r="56784" customFormat="false" ht="12.8" hidden="false" customHeight="false" outlineLevel="0" collapsed="false">
      <c r="B56784" s="0" t="s">
        <v>550</v>
      </c>
    </row>
    <row r="56786" customFormat="false" ht="12.8" hidden="false" customHeight="false" outlineLevel="0" collapsed="false">
      <c r="A56786" s="0" t="s">
        <v>19746</v>
      </c>
      <c r="B56786" s="0" t="str">
        <f aca="false">HYPERLINK("https://lindat.mff.cuni.cz/services/teitok/pdtc10/index.php?action=vallex&amp;frame=v-w8013f2", "vyklopit (v-w8013f2)")</f>
        <v>vyklopit (v-w8013f2)</v>
      </c>
    </row>
    <row r="56787" customFormat="false" ht="12.8" hidden="false" customHeight="false" outlineLevel="0" collapsed="false">
      <c r="B56787" s="0" t="s">
        <v>7</v>
      </c>
      <c r="C56787" s="0" t="s">
        <v>184</v>
      </c>
      <c r="D56787" s="0" t="s">
        <v>2088</v>
      </c>
      <c r="E56787" s="0" t="s">
        <v>2088</v>
      </c>
      <c r="F56787" s="0" t="s">
        <v>2088</v>
      </c>
    </row>
    <row r="56788" customFormat="false" ht="12.8" hidden="false" customHeight="false" outlineLevel="0" collapsed="false">
      <c r="B56788" s="0" t="s">
        <v>679</v>
      </c>
      <c r="D56788" s="0" t="s">
        <v>2096</v>
      </c>
      <c r="E56788" s="0" t="s">
        <v>2096</v>
      </c>
      <c r="F56788" s="0" t="s">
        <v>2096</v>
      </c>
    </row>
    <row r="56789" customFormat="false" ht="12.8" hidden="false" customHeight="false" outlineLevel="0" collapsed="false">
      <c r="B56789" s="0" t="s">
        <v>1654</v>
      </c>
      <c r="C56789" s="0" t="s">
        <v>115</v>
      </c>
    </row>
    <row r="56790" customFormat="false" ht="12.8" hidden="false" customHeight="false" outlineLevel="0" collapsed="false">
      <c r="B56790" s="0" t="s">
        <v>106</v>
      </c>
      <c r="D56790" s="0" t="s">
        <v>2090</v>
      </c>
      <c r="E56790" s="0" t="s">
        <v>2090</v>
      </c>
      <c r="F56790" s="0" t="s">
        <v>2090</v>
      </c>
    </row>
    <row r="56792" customFormat="false" ht="12.8" hidden="false" customHeight="false" outlineLevel="0" collapsed="false">
      <c r="A56792" s="0" t="s">
        <v>19747</v>
      </c>
      <c r="B56792" s="0" t="str">
        <f aca="false">HYPERLINK("https://lindat.mff.cuni.cz/services/teitok/pdtc10/index.php?action=vallex&amp;frame=v-w8013f3_ZU", "vyklopit (v-w8013f3_ZU)")</f>
        <v>vyklopit (v-w8013f3_ZU)</v>
      </c>
    </row>
    <row r="56793" customFormat="false" ht="12.8" hidden="false" customHeight="false" outlineLevel="0" collapsed="false">
      <c r="B56793" s="0" t="s">
        <v>7</v>
      </c>
      <c r="C56793" s="0" t="s">
        <v>184</v>
      </c>
    </row>
    <row r="56794" customFormat="false" ht="12.8" hidden="false" customHeight="false" outlineLevel="0" collapsed="false">
      <c r="B56794" s="0" t="s">
        <v>106</v>
      </c>
    </row>
    <row r="56795" customFormat="false" ht="12.8" hidden="false" customHeight="false" outlineLevel="0" collapsed="false">
      <c r="B56795" s="0" t="s">
        <v>363</v>
      </c>
    </row>
    <row r="56796" customFormat="false" ht="12.8" hidden="false" customHeight="false" outlineLevel="0" collapsed="false">
      <c r="B56796" s="0" t="s">
        <v>5527</v>
      </c>
      <c r="C56796" s="0" t="s">
        <v>10350</v>
      </c>
    </row>
    <row r="56798" customFormat="false" ht="12.8" hidden="false" customHeight="false" outlineLevel="0" collapsed="false">
      <c r="A56798" s="0" t="s">
        <v>19748</v>
      </c>
      <c r="B56798" s="0" t="str">
        <f aca="false">HYPERLINK("https://lindat.mff.cuni.cz/services/teitok/pdtc10/index.php?action=vallex&amp;frame=v-w8014f1", "vykloubit (v-w8014f1)")</f>
        <v>vykloubit (v-w8014f1)</v>
      </c>
    </row>
    <row r="56799" customFormat="false" ht="12.8" hidden="false" customHeight="false" outlineLevel="0" collapsed="false">
      <c r="B56799" s="0" t="s">
        <v>7</v>
      </c>
    </row>
    <row r="56800" customFormat="false" ht="12.8" hidden="false" customHeight="false" outlineLevel="0" collapsed="false">
      <c r="B56800" s="0" t="s">
        <v>14</v>
      </c>
    </row>
    <row r="56802" customFormat="false" ht="12.8" hidden="false" customHeight="false" outlineLevel="0" collapsed="false">
      <c r="A56802" s="0" t="s">
        <v>19749</v>
      </c>
      <c r="B56802" s="0" t="str">
        <f aca="false">HYPERLINK("https://lindat.mff.cuni.cz/services/teitok/pdtc10/index.php?action=vallex&amp;frame=v-w10321f2", "vyklouznout (v-w10321f2)")</f>
        <v>vyklouznout (v-w10321f2)</v>
      </c>
    </row>
    <row r="56803" customFormat="false" ht="12.8" hidden="false" customHeight="false" outlineLevel="0" collapsed="false">
      <c r="B56803" s="0" t="s">
        <v>7</v>
      </c>
      <c r="C56803" s="0" t="s">
        <v>200</v>
      </c>
    </row>
    <row r="56804" customFormat="false" ht="12.8" hidden="false" customHeight="false" outlineLevel="0" collapsed="false">
      <c r="B56804" s="0" t="s">
        <v>459</v>
      </c>
    </row>
    <row r="56806" customFormat="false" ht="12.8" hidden="false" customHeight="false" outlineLevel="0" collapsed="false">
      <c r="A56806" s="0" t="s">
        <v>19750</v>
      </c>
      <c r="B56806" s="0" t="str">
        <f aca="false">HYPERLINK("https://lindat.mff.cuni.cz/services/teitok/pdtc10/index.php?action=vallex&amp;frame=v-w8015f1", "vyklubat se (v-w8015f1)")</f>
        <v>vyklubat se (v-w8015f1)</v>
      </c>
    </row>
    <row r="56807" customFormat="false" ht="12.8" hidden="false" customHeight="false" outlineLevel="0" collapsed="false">
      <c r="B56807" s="0" t="s">
        <v>7</v>
      </c>
      <c r="C56807" s="0" t="s">
        <v>19751</v>
      </c>
    </row>
    <row r="56808" customFormat="false" ht="12.8" hidden="false" customHeight="false" outlineLevel="0" collapsed="false">
      <c r="B56808" s="0" t="s">
        <v>227</v>
      </c>
    </row>
    <row r="56810" customFormat="false" ht="12.8" hidden="false" customHeight="false" outlineLevel="0" collapsed="false">
      <c r="A56810" s="0" t="s">
        <v>19752</v>
      </c>
      <c r="B56810" s="0" t="str">
        <f aca="false">HYPERLINK("https://lindat.mff.cuni.cz/services/teitok/pdtc10/index.php?action=vallex&amp;frame=v-w8016f1", "vyklusávat (v-w8016f1)")</f>
        <v>vyklusávat (v-w8016f1)</v>
      </c>
    </row>
    <row r="56811" customFormat="false" ht="12.8" hidden="false" customHeight="false" outlineLevel="0" collapsed="false">
      <c r="B56811" s="0" t="s">
        <v>7</v>
      </c>
    </row>
    <row r="56813" customFormat="false" ht="12.8" hidden="false" customHeight="false" outlineLevel="0" collapsed="false">
      <c r="A56813" s="0" t="s">
        <v>19753</v>
      </c>
      <c r="B56813" s="0" t="str">
        <f aca="false">HYPERLINK("https://lindat.mff.cuni.cz/services/teitok/pdtc10/index.php?action=vallex&amp;frame=v-w8008f4", "vykládat (v-w8008f4)")</f>
        <v>vykládat (v-w8008f4)</v>
      </c>
    </row>
    <row r="56814" customFormat="false" ht="12.8" hidden="false" customHeight="false" outlineLevel="0" collapsed="false">
      <c r="B56814" s="0" t="s">
        <v>7</v>
      </c>
      <c r="D56814" s="0" t="s">
        <v>5393</v>
      </c>
      <c r="E56814" s="0" t="s">
        <v>5393</v>
      </c>
      <c r="F56814" s="0" t="s">
        <v>5393</v>
      </c>
    </row>
    <row r="56815" customFormat="false" ht="12.8" hidden="false" customHeight="false" outlineLevel="0" collapsed="false">
      <c r="B56815" s="0" t="s">
        <v>7636</v>
      </c>
      <c r="D56815" s="0" t="s">
        <v>11240</v>
      </c>
      <c r="E56815" s="0" t="s">
        <v>11240</v>
      </c>
      <c r="F56815" s="0" t="s">
        <v>11240</v>
      </c>
    </row>
    <row r="56816" customFormat="false" ht="12.8" hidden="false" customHeight="false" outlineLevel="0" collapsed="false">
      <c r="B56816" s="0" t="s">
        <v>48</v>
      </c>
      <c r="D56816" s="0" t="s">
        <v>5324</v>
      </c>
      <c r="E56816" s="0" t="s">
        <v>5324</v>
      </c>
      <c r="F56816" s="0" t="s">
        <v>5324</v>
      </c>
    </row>
    <row r="56818" customFormat="false" ht="12.8" hidden="false" customHeight="false" outlineLevel="0" collapsed="false">
      <c r="A56818" s="0" t="s">
        <v>19754</v>
      </c>
      <c r="B56818" s="0" t="str">
        <f aca="false">HYPERLINK("https://lindat.mff.cuni.cz/services/teitok/pdtc10/index.php?action=vallex&amp;frame=v-w8008f3", "vykládat (v-w8008f3)")</f>
        <v>vykládat (v-w8008f3)</v>
      </c>
    </row>
    <row r="56819" customFormat="false" ht="12.8" hidden="false" customHeight="false" outlineLevel="0" collapsed="false">
      <c r="B56819" s="0" t="s">
        <v>7</v>
      </c>
      <c r="D56819" s="0" t="s">
        <v>5393</v>
      </c>
      <c r="E56819" s="0" t="s">
        <v>5393</v>
      </c>
      <c r="F56819" s="0" t="s">
        <v>5393</v>
      </c>
    </row>
    <row r="56820" customFormat="false" ht="12.8" hidden="false" customHeight="false" outlineLevel="0" collapsed="false">
      <c r="B56820" s="0" t="s">
        <v>244</v>
      </c>
      <c r="D56820" s="0" t="s">
        <v>11240</v>
      </c>
      <c r="E56820" s="0" t="s">
        <v>11240</v>
      </c>
      <c r="F56820" s="0" t="s">
        <v>11240</v>
      </c>
    </row>
    <row r="56821" customFormat="false" ht="12.8" hidden="false" customHeight="false" outlineLevel="0" collapsed="false">
      <c r="B56821" s="0" t="s">
        <v>48</v>
      </c>
      <c r="D56821" s="0" t="s">
        <v>5324</v>
      </c>
      <c r="E56821" s="0" t="s">
        <v>5324</v>
      </c>
      <c r="F56821" s="0" t="s">
        <v>5324</v>
      </c>
    </row>
    <row r="56823" customFormat="false" ht="12.8" hidden="false" customHeight="false" outlineLevel="0" collapsed="false">
      <c r="A56823" s="0" t="s">
        <v>19755</v>
      </c>
      <c r="B56823" s="0" t="str">
        <f aca="false">HYPERLINK("https://lindat.mff.cuni.cz/services/teitok/pdtc10/index.php?action=vallex&amp;frame=v-w8008f1", "vykládat (v-w8008f1)")</f>
        <v>vykládat (v-w8008f1)</v>
      </c>
    </row>
    <row r="56824" customFormat="false" ht="12.8" hidden="false" customHeight="false" outlineLevel="0" collapsed="false">
      <c r="B56824" s="0" t="s">
        <v>7</v>
      </c>
      <c r="C56824" s="0" t="s">
        <v>1874</v>
      </c>
      <c r="D56824" s="0" t="s">
        <v>504</v>
      </c>
      <c r="E56824" s="0" t="s">
        <v>504</v>
      </c>
      <c r="F56824" s="0" t="s">
        <v>504</v>
      </c>
    </row>
    <row r="56825" customFormat="false" ht="12.8" hidden="false" customHeight="false" outlineLevel="0" collapsed="false">
      <c r="B56825" s="0" t="s">
        <v>14</v>
      </c>
      <c r="C56825" s="0" t="s">
        <v>2642</v>
      </c>
      <c r="D56825" s="0" t="s">
        <v>466</v>
      </c>
      <c r="E56825" s="0" t="s">
        <v>466</v>
      </c>
      <c r="F56825" s="0" t="s">
        <v>466</v>
      </c>
    </row>
    <row r="56826" customFormat="false" ht="12.8" hidden="false" customHeight="false" outlineLevel="0" collapsed="false">
      <c r="B56826" s="0" t="s">
        <v>106</v>
      </c>
      <c r="D56826" s="0" t="s">
        <v>9849</v>
      </c>
      <c r="E56826" s="0" t="s">
        <v>9849</v>
      </c>
      <c r="F56826" s="0" t="s">
        <v>9849</v>
      </c>
    </row>
    <row r="56828" customFormat="false" ht="12.8" hidden="false" customHeight="false" outlineLevel="0" collapsed="false">
      <c r="A56828" s="0" t="s">
        <v>19756</v>
      </c>
      <c r="B56828" s="0" t="str">
        <f aca="false">HYPERLINK("https://lindat.mff.cuni.cz/services/teitok/pdtc10/index.php?action=vallex&amp;frame=v-w8008f5", "vykládat (v-w8008f5)")</f>
        <v>vykládat (v-w8008f5)</v>
      </c>
    </row>
    <row r="56829" customFormat="false" ht="12.8" hidden="false" customHeight="false" outlineLevel="0" collapsed="false">
      <c r="B56829" s="0" t="s">
        <v>7</v>
      </c>
    </row>
    <row r="56830" customFormat="false" ht="12.8" hidden="false" customHeight="false" outlineLevel="0" collapsed="false">
      <c r="B56830" s="0" t="s">
        <v>14</v>
      </c>
    </row>
    <row r="56831" customFormat="false" ht="12.8" hidden="false" customHeight="false" outlineLevel="0" collapsed="false">
      <c r="B56831" s="0" t="s">
        <v>459</v>
      </c>
    </row>
    <row r="56833" customFormat="false" ht="12.8" hidden="false" customHeight="false" outlineLevel="0" collapsed="false">
      <c r="A56833" s="0" t="s">
        <v>19757</v>
      </c>
      <c r="B56833" s="0" t="str">
        <f aca="false">HYPERLINK("https://lindat.mff.cuni.cz/services/teitok/pdtc10/index.php?action=vallex&amp;frame=v-w8008f6", "vykládat (v-w8008f6)")</f>
        <v>vykládat (v-w8008f6)</v>
      </c>
    </row>
    <row r="56834" customFormat="false" ht="12.8" hidden="false" customHeight="false" outlineLevel="0" collapsed="false">
      <c r="B56834" s="0" t="s">
        <v>7</v>
      </c>
      <c r="C56834" s="0" t="s">
        <v>1509</v>
      </c>
    </row>
    <row r="56835" customFormat="false" ht="12.8" hidden="false" customHeight="false" outlineLevel="0" collapsed="false">
      <c r="B56835" s="0" t="s">
        <v>14</v>
      </c>
      <c r="C56835" s="0" t="s">
        <v>14312</v>
      </c>
      <c r="D56835" s="0" t="s">
        <v>567</v>
      </c>
      <c r="E56835" s="0" t="s">
        <v>567</v>
      </c>
      <c r="F56835" s="0" t="s">
        <v>567</v>
      </c>
    </row>
    <row r="56837" customFormat="false" ht="12.8" hidden="false" customHeight="false" outlineLevel="0" collapsed="false">
      <c r="A56837" s="0" t="s">
        <v>19758</v>
      </c>
      <c r="B56837" s="0" t="str">
        <f aca="false">HYPERLINK("https://lindat.mff.cuni.cz/services/teitok/pdtc10/index.php?action=vallex&amp;frame=v-w8008f7_ZU", "vykládat (v-w8008f7_ZU)")</f>
        <v>vykládat (v-w8008f7_ZU)</v>
      </c>
    </row>
    <row r="56838" customFormat="false" ht="12.8" hidden="false" customHeight="false" outlineLevel="0" collapsed="false">
      <c r="B56838" s="0" t="s">
        <v>7</v>
      </c>
    </row>
    <row r="56839" customFormat="false" ht="12.8" hidden="false" customHeight="false" outlineLevel="0" collapsed="false">
      <c r="B56839" s="0" t="s">
        <v>48</v>
      </c>
    </row>
    <row r="56840" customFormat="false" ht="12.8" hidden="false" customHeight="false" outlineLevel="0" collapsed="false">
      <c r="B56840" s="0" t="s">
        <v>19759</v>
      </c>
    </row>
    <row r="56841" customFormat="false" ht="12.8" hidden="false" customHeight="false" outlineLevel="0" collapsed="false">
      <c r="B56841" s="0" t="s">
        <v>363</v>
      </c>
    </row>
    <row r="56843" customFormat="false" ht="12.8" hidden="false" customHeight="false" outlineLevel="0" collapsed="false">
      <c r="A56843" s="0" t="s">
        <v>19758</v>
      </c>
      <c r="B56843" s="0" t="str">
        <f aca="false">HYPERLINK("https://lindat.mff.cuni.cz/services/teitok/pdtc10/index.php?action=vallex&amp;frame=v-w8008f2", "vykládat (v-w8008f2) - substituted with v-w8008f7_ZU")</f>
        <v>vykládat (v-w8008f2) - substituted with v-w8008f7_ZU</v>
      </c>
    </row>
    <row r="56844" customFormat="false" ht="12.8" hidden="false" customHeight="false" outlineLevel="0" collapsed="false">
      <c r="B56844" s="0" t="s">
        <v>7</v>
      </c>
      <c r="D56844" s="0" t="s">
        <v>5393</v>
      </c>
      <c r="E56844" s="0" t="s">
        <v>5393</v>
      </c>
      <c r="F56844" s="0" t="s">
        <v>5393</v>
      </c>
    </row>
    <row r="56845" customFormat="false" ht="12.8" hidden="false" customHeight="false" outlineLevel="0" collapsed="false">
      <c r="B56845" s="0" t="s">
        <v>48</v>
      </c>
      <c r="D56845" s="0" t="s">
        <v>5324</v>
      </c>
      <c r="E56845" s="0" t="s">
        <v>5324</v>
      </c>
      <c r="F56845" s="0" t="s">
        <v>5324</v>
      </c>
    </row>
    <row r="56846" customFormat="false" ht="12.8" hidden="false" customHeight="false" outlineLevel="0" collapsed="false">
      <c r="B56846" s="0" t="s">
        <v>19759</v>
      </c>
      <c r="D56846" s="0" t="s">
        <v>13320</v>
      </c>
      <c r="E56846" s="0" t="s">
        <v>13320</v>
      </c>
      <c r="F56846" s="0" t="s">
        <v>13320</v>
      </c>
    </row>
    <row r="56847" customFormat="false" ht="12.8" hidden="false" customHeight="false" outlineLevel="0" collapsed="false">
      <c r="B56847" s="0" t="s">
        <v>363</v>
      </c>
      <c r="D56847" s="0" t="s">
        <v>11240</v>
      </c>
      <c r="E56847" s="0" t="s">
        <v>11240</v>
      </c>
      <c r="F56847" s="0" t="s">
        <v>11240</v>
      </c>
    </row>
    <row r="56849" customFormat="false" ht="12.8" hidden="false" customHeight="false" outlineLevel="0" collapsed="false">
      <c r="A56849" s="0" t="s">
        <v>19760</v>
      </c>
      <c r="B56849" s="0" t="str">
        <f aca="false">HYPERLINK("https://lindat.mff.cuni.cz/services/teitok/pdtc10/index.php?action=vallex&amp;frame=v-w8008f8_ZU", "vykládat (v-w8008f8_ZU)")</f>
        <v>vykládat (v-w8008f8_ZU)</v>
      </c>
    </row>
    <row r="56850" customFormat="false" ht="12.8" hidden="false" customHeight="false" outlineLevel="0" collapsed="false">
      <c r="B56850" s="0" t="s">
        <v>7</v>
      </c>
    </row>
    <row r="56851" customFormat="false" ht="12.8" hidden="false" customHeight="false" outlineLevel="0" collapsed="false">
      <c r="B56851" s="0" t="s">
        <v>14</v>
      </c>
    </row>
    <row r="56853" customFormat="false" ht="12.8" hidden="false" customHeight="false" outlineLevel="0" collapsed="false">
      <c r="A56853" s="0" t="s">
        <v>19761</v>
      </c>
      <c r="B56853" s="0" t="str">
        <f aca="false">HYPERLINK("https://lindat.mff.cuni.cz/services/teitok/pdtc10/index.php?action=vallex&amp;frame=v-w8009f1", "vykládat si (v-w8009f1)")</f>
        <v>vykládat si (v-w8009f1)</v>
      </c>
    </row>
    <row r="56854" customFormat="false" ht="12.8" hidden="false" customHeight="false" outlineLevel="0" collapsed="false">
      <c r="B56854" s="0" t="s">
        <v>7</v>
      </c>
      <c r="C56854" s="0" t="s">
        <v>149</v>
      </c>
      <c r="D56854" s="0" t="s">
        <v>19762</v>
      </c>
      <c r="E56854" s="0" t="s">
        <v>19762</v>
      </c>
      <c r="F56854" s="0" t="s">
        <v>19762</v>
      </c>
    </row>
    <row r="56855" customFormat="false" ht="12.8" hidden="false" customHeight="false" outlineLevel="0" collapsed="false">
      <c r="B56855" s="0" t="s">
        <v>14</v>
      </c>
      <c r="C56855" s="0" t="s">
        <v>173</v>
      </c>
      <c r="D56855" s="0" t="s">
        <v>19763</v>
      </c>
      <c r="E56855" s="0" t="s">
        <v>19763</v>
      </c>
      <c r="F56855" s="0" t="s">
        <v>19763</v>
      </c>
    </row>
    <row r="56856" customFormat="false" ht="12.8" hidden="false" customHeight="false" outlineLevel="0" collapsed="false">
      <c r="B56856" s="0" t="s">
        <v>1358</v>
      </c>
      <c r="D56856" s="0" t="s">
        <v>19764</v>
      </c>
      <c r="E56856" s="0" t="s">
        <v>19764</v>
      </c>
      <c r="F56856" s="0" t="s">
        <v>19764</v>
      </c>
    </row>
    <row r="56858" customFormat="false" ht="12.8" hidden="false" customHeight="false" outlineLevel="0" collapsed="false">
      <c r="A56858" s="0" t="s">
        <v>19765</v>
      </c>
      <c r="B56858" s="0" t="str">
        <f aca="false">HYPERLINK("https://lindat.mff.cuni.cz/services/teitok/pdtc10/index.php?action=vallex&amp;frame=v-w8009hsa_1039", "vykládat si (v-w8009hsa_1039)")</f>
        <v>vykládat si (v-w8009hsa_1039)</v>
      </c>
    </row>
    <row r="56859" customFormat="false" ht="12.8" hidden="false" customHeight="false" outlineLevel="0" collapsed="false">
      <c r="B56859" s="0" t="s">
        <v>7</v>
      </c>
    </row>
    <row r="56860" customFormat="false" ht="12.8" hidden="false" customHeight="false" outlineLevel="0" collapsed="false">
      <c r="B56860" s="0" t="s">
        <v>207</v>
      </c>
    </row>
    <row r="56861" customFormat="false" ht="12.8" hidden="false" customHeight="false" outlineLevel="0" collapsed="false">
      <c r="B56861" s="0" t="s">
        <v>19766</v>
      </c>
    </row>
    <row r="56862" customFormat="false" ht="12.8" hidden="false" customHeight="false" outlineLevel="0" collapsed="false">
      <c r="B56862" s="0" t="s">
        <v>363</v>
      </c>
    </row>
    <row r="56864" customFormat="false" ht="12.8" hidden="false" customHeight="false" outlineLevel="0" collapsed="false">
      <c r="A56864" s="0" t="s">
        <v>19767</v>
      </c>
      <c r="B56864" s="0" t="str">
        <f aca="false">HYPERLINK("https://lindat.mff.cuni.cz/services/teitok/pdtc10/index.php?action=vallex&amp;frame=v-w10756f2", "vyklízet (v-w10756f2)")</f>
        <v>vyklízet (v-w10756f2)</v>
      </c>
    </row>
    <row r="56865" customFormat="false" ht="12.8" hidden="false" customHeight="false" outlineLevel="0" collapsed="false">
      <c r="B56865" s="0" t="s">
        <v>7</v>
      </c>
      <c r="C56865" s="0" t="s">
        <v>335</v>
      </c>
      <c r="D56865" s="0" t="s">
        <v>4567</v>
      </c>
      <c r="E56865" s="0" t="s">
        <v>4567</v>
      </c>
      <c r="F56865" s="0" t="s">
        <v>4567</v>
      </c>
    </row>
    <row r="56866" customFormat="false" ht="12.8" hidden="false" customHeight="false" outlineLevel="0" collapsed="false">
      <c r="B56866" s="0" t="s">
        <v>19768</v>
      </c>
    </row>
    <row r="56868" customFormat="false" ht="12.8" hidden="false" customHeight="false" outlineLevel="0" collapsed="false">
      <c r="A56868" s="0" t="s">
        <v>19769</v>
      </c>
      <c r="B56868" s="0" t="str">
        <f aca="false">HYPERLINK("https://lindat.mff.cuni.cz/services/teitok/pdtc10/index.php?action=vallex&amp;frame=v-w10756f3_ZU", "vyklízet (v-w10756f3_ZU)")</f>
        <v>vyklízet (v-w10756f3_ZU)</v>
      </c>
    </row>
    <row r="56869" customFormat="false" ht="12.8" hidden="false" customHeight="false" outlineLevel="0" collapsed="false">
      <c r="B56869" s="0" t="s">
        <v>7</v>
      </c>
    </row>
    <row r="56870" customFormat="false" ht="12.8" hidden="false" customHeight="false" outlineLevel="0" collapsed="false">
      <c r="B56870" s="0" t="s">
        <v>14</v>
      </c>
    </row>
    <row r="56872" customFormat="false" ht="12.8" hidden="false" customHeight="false" outlineLevel="0" collapsed="false">
      <c r="A56872" s="0" t="s">
        <v>19770</v>
      </c>
      <c r="B56872" s="0" t="str">
        <f aca="false">HYPERLINK("https://lindat.mff.cuni.cz/services/teitok/pdtc10/index.php?action=vallex&amp;frame=v-w10756f5_ZU", "vyklízet (v-w10756f5_ZU)")</f>
        <v>vyklízet (v-w10756f5_ZU)</v>
      </c>
    </row>
    <row r="56873" customFormat="false" ht="12.8" hidden="false" customHeight="false" outlineLevel="0" collapsed="false">
      <c r="B56873" s="0" t="s">
        <v>7</v>
      </c>
    </row>
    <row r="56874" customFormat="false" ht="12.8" hidden="false" customHeight="false" outlineLevel="0" collapsed="false">
      <c r="B56874" s="0" t="s">
        <v>14</v>
      </c>
    </row>
    <row r="56875" customFormat="false" ht="12.8" hidden="false" customHeight="false" outlineLevel="0" collapsed="false">
      <c r="B56875" s="0" t="s">
        <v>5382</v>
      </c>
    </row>
    <row r="56877" customFormat="false" ht="12.8" hidden="false" customHeight="false" outlineLevel="0" collapsed="false">
      <c r="A56877" s="0" t="s">
        <v>19770</v>
      </c>
      <c r="B56877" s="0" t="str">
        <f aca="false">HYPERLINK("https://lindat.mff.cuni.cz/services/teitok/pdtc10/index.php?action=vallex&amp;frame=v-w10756f4_ZU", "vyklízet (v-w10756f4_ZU) - substituted with v-w10756f5_ZU")</f>
        <v>vyklízet (v-w10756f4_ZU) - substituted with v-w10756f5_ZU</v>
      </c>
    </row>
    <row r="56878" customFormat="false" ht="12.8" hidden="false" customHeight="false" outlineLevel="0" collapsed="false">
      <c r="B56878" s="0" t="s">
        <v>7</v>
      </c>
    </row>
    <row r="56879" customFormat="false" ht="12.8" hidden="false" customHeight="false" outlineLevel="0" collapsed="false">
      <c r="B56879" s="0" t="s">
        <v>14</v>
      </c>
    </row>
    <row r="56880" customFormat="false" ht="12.8" hidden="false" customHeight="false" outlineLevel="0" collapsed="false">
      <c r="B56880" s="0" t="s">
        <v>5382</v>
      </c>
    </row>
    <row r="56882" customFormat="false" ht="12.8" hidden="false" customHeight="false" outlineLevel="0" collapsed="false">
      <c r="A56882" s="0" t="s">
        <v>19771</v>
      </c>
      <c r="B56882" s="0" t="str">
        <f aca="false">HYPERLINK("https://lindat.mff.cuni.cz/services/teitok/pdtc10/index.php?action=vallex&amp;frame=v-w8017f1", "vykoledovat (v-w8017f1)")</f>
        <v>vykoledovat (v-w8017f1)</v>
      </c>
    </row>
    <row r="56883" customFormat="false" ht="12.8" hidden="false" customHeight="false" outlineLevel="0" collapsed="false">
      <c r="B56883" s="0" t="s">
        <v>7</v>
      </c>
    </row>
    <row r="56884" customFormat="false" ht="12.8" hidden="false" customHeight="false" outlineLevel="0" collapsed="false">
      <c r="B56884" s="0" t="s">
        <v>14</v>
      </c>
    </row>
    <row r="56886" customFormat="false" ht="12.8" hidden="false" customHeight="false" outlineLevel="0" collapsed="false">
      <c r="A56886" s="0" t="s">
        <v>19772</v>
      </c>
      <c r="B56886" s="0" t="str">
        <f aca="false">HYPERLINK("https://lindat.mff.cuni.cz/services/teitok/pdtc10/index.php?action=vallex&amp;frame=v-w10944f2", "vykolejit (v-w10944f2)")</f>
        <v>vykolejit (v-w10944f2)</v>
      </c>
    </row>
    <row r="56887" customFormat="false" ht="12.8" hidden="false" customHeight="false" outlineLevel="0" collapsed="false">
      <c r="B56887" s="0" t="s">
        <v>7</v>
      </c>
      <c r="C56887" s="0" t="s">
        <v>191</v>
      </c>
      <c r="D56887" s="0" t="s">
        <v>191</v>
      </c>
      <c r="E56887" s="0" t="s">
        <v>191</v>
      </c>
      <c r="F56887" s="0" t="s">
        <v>191</v>
      </c>
    </row>
    <row r="56888" customFormat="false" ht="12.8" hidden="false" customHeight="false" outlineLevel="0" collapsed="false">
      <c r="B56888" s="0" t="s">
        <v>14</v>
      </c>
      <c r="C56888" s="0" t="s">
        <v>47</v>
      </c>
      <c r="D56888" s="0" t="s">
        <v>155</v>
      </c>
      <c r="E56888" s="0" t="s">
        <v>155</v>
      </c>
      <c r="F56888" s="0" t="s">
        <v>155</v>
      </c>
    </row>
    <row r="56890" customFormat="false" ht="12.8" hidden="false" customHeight="false" outlineLevel="0" collapsed="false">
      <c r="A56890" s="0" t="s">
        <v>19773</v>
      </c>
      <c r="B56890" s="0" t="str">
        <f aca="false">HYPERLINK("https://lindat.mff.cuni.cz/services/teitok/pdtc10/index.php?action=vallex&amp;frame=v-w8018f1", "vykompenzovat (v-w8018f1)")</f>
        <v>vykompenzovat (v-w8018f1)</v>
      </c>
    </row>
    <row r="56891" customFormat="false" ht="12.8" hidden="false" customHeight="false" outlineLevel="0" collapsed="false">
      <c r="B56891" s="0" t="s">
        <v>7</v>
      </c>
      <c r="C56891" s="0" t="s">
        <v>19774</v>
      </c>
      <c r="D56891" s="0" t="s">
        <v>4732</v>
      </c>
      <c r="E56891" s="0" t="s">
        <v>4732</v>
      </c>
      <c r="F56891" s="0" t="s">
        <v>4732</v>
      </c>
    </row>
    <row r="56892" customFormat="false" ht="12.8" hidden="false" customHeight="false" outlineLevel="0" collapsed="false">
      <c r="B56892" s="0" t="s">
        <v>14</v>
      </c>
      <c r="C56892" s="0" t="s">
        <v>1681</v>
      </c>
      <c r="D56892" s="0" t="s">
        <v>4737</v>
      </c>
      <c r="E56892" s="0" t="s">
        <v>4737</v>
      </c>
      <c r="F56892" s="0" t="s">
        <v>4737</v>
      </c>
    </row>
    <row r="56894" customFormat="false" ht="12.8" hidden="false" customHeight="false" outlineLevel="0" collapsed="false">
      <c r="A56894" s="0" t="s">
        <v>19775</v>
      </c>
      <c r="B56894" s="0" t="str">
        <f aca="false">HYPERLINK("https://lindat.mff.cuni.cz/services/teitok/pdtc10/index.php?action=vallex&amp;frame=v-w8021f1", "vykonat (v-w8021f1)")</f>
        <v>vykonat (v-w8021f1)</v>
      </c>
    </row>
    <row r="56895" customFormat="false" ht="12.8" hidden="false" customHeight="false" outlineLevel="0" collapsed="false">
      <c r="B56895" s="0" t="s">
        <v>7</v>
      </c>
      <c r="C56895" s="0" t="s">
        <v>19776</v>
      </c>
      <c r="D56895" s="0" t="s">
        <v>2156</v>
      </c>
      <c r="E56895" s="0" t="s">
        <v>2156</v>
      </c>
      <c r="F56895" s="0" t="s">
        <v>2156</v>
      </c>
    </row>
    <row r="56896" customFormat="false" ht="12.8" hidden="false" customHeight="false" outlineLevel="0" collapsed="false">
      <c r="B56896" s="0" t="s">
        <v>14</v>
      </c>
      <c r="C56896" s="0" t="s">
        <v>19777</v>
      </c>
      <c r="D56896" s="0" t="s">
        <v>14499</v>
      </c>
      <c r="E56896" s="0" t="s">
        <v>14499</v>
      </c>
      <c r="F56896" s="0" t="s">
        <v>14499</v>
      </c>
    </row>
    <row r="56898" customFormat="false" ht="12.8" hidden="false" customHeight="false" outlineLevel="0" collapsed="false">
      <c r="A56898" s="0" t="s">
        <v>19778</v>
      </c>
      <c r="B56898" s="0" t="str">
        <f aca="false">HYPERLINK("https://lindat.mff.cuni.cz/services/teitok/pdtc10/index.php?action=vallex&amp;frame=v-w8021f4_ZU", "vykonat (v-w8021f4_ZU)")</f>
        <v>vykonat (v-w8021f4_ZU)</v>
      </c>
    </row>
    <row r="56899" customFormat="false" ht="12.8" hidden="false" customHeight="false" outlineLevel="0" collapsed="false">
      <c r="B56899" s="0" t="s">
        <v>7</v>
      </c>
      <c r="D56899" s="0" t="s">
        <v>2156</v>
      </c>
      <c r="E56899" s="0" t="s">
        <v>2156</v>
      </c>
      <c r="F56899" s="0" t="s">
        <v>2156</v>
      </c>
    </row>
    <row r="56900" customFormat="false" ht="12.8" hidden="false" customHeight="false" outlineLevel="0" collapsed="false">
      <c r="B56900" s="0" t="s">
        <v>19779</v>
      </c>
      <c r="D56900" s="0" t="s">
        <v>9974</v>
      </c>
      <c r="E56900" s="0" t="s">
        <v>9974</v>
      </c>
      <c r="F56900" s="0" t="s">
        <v>9974</v>
      </c>
    </row>
    <row r="56902" customFormat="false" ht="12.8" hidden="false" customHeight="false" outlineLevel="0" collapsed="false">
      <c r="A56902" s="0" t="s">
        <v>19778</v>
      </c>
      <c r="B56902" s="0" t="str">
        <f aca="false">HYPERLINK("https://lindat.mff.cuni.cz/services/teitok/pdtc10/index.php?action=vallex&amp;frame=v-w8021f2", "vykonat (v-w8021f2) - substituted with v-w8021f4_ZU")</f>
        <v>vykonat (v-w8021f2) - substituted with v-w8021f4_ZU</v>
      </c>
    </row>
    <row r="56903" customFormat="false" ht="12.8" hidden="false" customHeight="false" outlineLevel="0" collapsed="false">
      <c r="B56903" s="0" t="s">
        <v>7</v>
      </c>
    </row>
    <row r="56904" customFormat="false" ht="12.8" hidden="false" customHeight="false" outlineLevel="0" collapsed="false">
      <c r="B56904" s="0" t="s">
        <v>19779</v>
      </c>
    </row>
    <row r="56906" customFormat="false" ht="12.8" hidden="false" customHeight="false" outlineLevel="0" collapsed="false">
      <c r="A56906" s="0" t="s">
        <v>19780</v>
      </c>
      <c r="B56906" s="0" t="str">
        <f aca="false">HYPERLINK("https://lindat.mff.cuni.cz/services/teitok/pdtc10/index.php?action=vallex&amp;frame=v-w8021f3", "vykonat (v-w8021f3)")</f>
        <v>vykonat (v-w8021f3)</v>
      </c>
    </row>
    <row r="56907" customFormat="false" ht="12.8" hidden="false" customHeight="false" outlineLevel="0" collapsed="false">
      <c r="B56907" s="0" t="s">
        <v>7</v>
      </c>
    </row>
    <row r="56908" customFormat="false" ht="12.8" hidden="false" customHeight="false" outlineLevel="0" collapsed="false">
      <c r="B56908" s="0" t="s">
        <v>18658</v>
      </c>
    </row>
    <row r="56910" customFormat="false" ht="12.8" hidden="false" customHeight="false" outlineLevel="0" collapsed="false">
      <c r="A56910" s="0" t="s">
        <v>19781</v>
      </c>
      <c r="B56910" s="0" t="str">
        <f aca="false">HYPERLINK("https://lindat.mff.cuni.cz/services/teitok/pdtc10/index.php?action=vallex&amp;frame=v-w8024f2", "vykonávat (v-w8024f2)")</f>
        <v>vykonávat (v-w8024f2)</v>
      </c>
    </row>
    <row r="56911" customFormat="false" ht="12.8" hidden="false" customHeight="false" outlineLevel="0" collapsed="false">
      <c r="B56911" s="0" t="s">
        <v>7</v>
      </c>
      <c r="C56911" s="0" t="s">
        <v>19782</v>
      </c>
      <c r="D56911" s="0" t="s">
        <v>19783</v>
      </c>
      <c r="E56911" s="0" t="s">
        <v>19783</v>
      </c>
      <c r="F56911" s="0" t="s">
        <v>19783</v>
      </c>
    </row>
    <row r="56912" customFormat="false" ht="12.8" hidden="false" customHeight="false" outlineLevel="0" collapsed="false">
      <c r="B56912" s="0" t="s">
        <v>14</v>
      </c>
      <c r="C56912" s="0" t="s">
        <v>19784</v>
      </c>
      <c r="D56912" s="0" t="s">
        <v>19785</v>
      </c>
      <c r="E56912" s="0" t="s">
        <v>19785</v>
      </c>
      <c r="F56912" s="0" t="s">
        <v>19785</v>
      </c>
    </row>
    <row r="56914" customFormat="false" ht="12.8" hidden="false" customHeight="false" outlineLevel="0" collapsed="false">
      <c r="A56914" s="0" t="s">
        <v>19786</v>
      </c>
      <c r="B56914" s="0" t="str">
        <f aca="false">HYPERLINK("https://lindat.mff.cuni.cz/services/teitok/pdtc10/index.php?action=vallex&amp;frame=v-w8024f3", "vykonávat (v-w8024f3)")</f>
        <v>vykonávat (v-w8024f3)</v>
      </c>
    </row>
    <row r="56915" customFormat="false" ht="12.8" hidden="false" customHeight="false" outlineLevel="0" collapsed="false">
      <c r="B56915" s="0" t="s">
        <v>7</v>
      </c>
    </row>
    <row r="56916" customFormat="false" ht="12.8" hidden="false" customHeight="false" outlineLevel="0" collapsed="false">
      <c r="B56916" s="0" t="s">
        <v>14</v>
      </c>
    </row>
    <row r="56918" customFormat="false" ht="12.8" hidden="false" customHeight="false" outlineLevel="0" collapsed="false">
      <c r="A56918" s="0" t="s">
        <v>19787</v>
      </c>
      <c r="B56918" s="0" t="str">
        <f aca="false">HYPERLINK("https://lindat.mff.cuni.cz/services/teitok/pdtc10/index.php?action=vallex&amp;frame=v-w8024f12_ZU", "vykonávat (v-w8024f12_ZU)")</f>
        <v>vykonávat (v-w8024f12_ZU)</v>
      </c>
    </row>
    <row r="56919" customFormat="false" ht="12.8" hidden="false" customHeight="false" outlineLevel="0" collapsed="false">
      <c r="B56919" s="0" t="s">
        <v>7</v>
      </c>
    </row>
    <row r="56920" customFormat="false" ht="12.8" hidden="false" customHeight="false" outlineLevel="0" collapsed="false">
      <c r="B56920" s="0" t="s">
        <v>19788</v>
      </c>
    </row>
    <row r="56922" customFormat="false" ht="12.8" hidden="false" customHeight="false" outlineLevel="0" collapsed="false">
      <c r="A56922" s="0" t="s">
        <v>19787</v>
      </c>
      <c r="B56922" s="0" t="str">
        <f aca="false">HYPERLINK("https://lindat.mff.cuni.cz/services/teitok/pdtc10/index.php?action=vallex&amp;frame=v-w8024f1", "vykonávat (v-w8024f1) - substituted with v-w8024f12_ZU")</f>
        <v>vykonávat (v-w8024f1) - substituted with v-w8024f12_ZU</v>
      </c>
    </row>
    <row r="56923" customFormat="false" ht="12.8" hidden="false" customHeight="false" outlineLevel="0" collapsed="false">
      <c r="B56923" s="0" t="s">
        <v>7</v>
      </c>
      <c r="C56923" s="0" t="s">
        <v>6417</v>
      </c>
    </row>
    <row r="56924" customFormat="false" ht="12.8" hidden="false" customHeight="false" outlineLevel="0" collapsed="false">
      <c r="B56924" s="0" t="s">
        <v>19788</v>
      </c>
      <c r="C56924" s="0" t="s">
        <v>19789</v>
      </c>
    </row>
    <row r="56926" customFormat="false" ht="12.8" hidden="false" customHeight="false" outlineLevel="0" collapsed="false">
      <c r="A56926" s="0" t="s">
        <v>19787</v>
      </c>
      <c r="B56926" s="0" t="str">
        <f aca="false">HYPERLINK("https://lindat.mff.cuni.cz/services/teitok/pdtc10/index.php?action=vallex&amp;frame=v-w8024f10_ZU", "vykonávat (v-w8024f10_ZU) - substituted with v-w8024f12_ZU")</f>
        <v>vykonávat (v-w8024f10_ZU) - substituted with v-w8024f12_ZU</v>
      </c>
    </row>
    <row r="56927" customFormat="false" ht="12.8" hidden="false" customHeight="false" outlineLevel="0" collapsed="false">
      <c r="B56927" s="0" t="s">
        <v>7</v>
      </c>
    </row>
    <row r="56928" customFormat="false" ht="12.8" hidden="false" customHeight="false" outlineLevel="0" collapsed="false">
      <c r="B56928" s="0" t="s">
        <v>19788</v>
      </c>
    </row>
    <row r="56930" customFormat="false" ht="12.8" hidden="false" customHeight="false" outlineLevel="0" collapsed="false">
      <c r="A56930" s="0" t="s">
        <v>19787</v>
      </c>
      <c r="B56930" s="0" t="str">
        <f aca="false">HYPERLINK("https://lindat.mff.cuni.cz/services/teitok/pdtc10/index.php?action=vallex&amp;frame=v-w8024f11_ZU", "vykonávat (v-w8024f11_ZU) - substituted with v-w8024f12_ZU")</f>
        <v>vykonávat (v-w8024f11_ZU) - substituted with v-w8024f12_ZU</v>
      </c>
    </row>
    <row r="56931" customFormat="false" ht="12.8" hidden="false" customHeight="false" outlineLevel="0" collapsed="false">
      <c r="B56931" s="0" t="s">
        <v>7</v>
      </c>
    </row>
    <row r="56932" customFormat="false" ht="12.8" hidden="false" customHeight="false" outlineLevel="0" collapsed="false">
      <c r="B56932" s="0" t="s">
        <v>19788</v>
      </c>
    </row>
    <row r="56934" customFormat="false" ht="12.8" hidden="false" customHeight="false" outlineLevel="0" collapsed="false">
      <c r="A56934" s="0" t="s">
        <v>19787</v>
      </c>
      <c r="B56934" s="0" t="str">
        <f aca="false">HYPERLINK("https://lindat.mff.cuni.cz/services/teitok/pdtc10/index.php?action=vallex&amp;frame=v-w8024f4_ZU", "vykonávat (v-w8024f4_ZU) - substituted with v-w8024f12_ZU")</f>
        <v>vykonávat (v-w8024f4_ZU) - substituted with v-w8024f12_ZU</v>
      </c>
    </row>
    <row r="56935" customFormat="false" ht="12.8" hidden="false" customHeight="false" outlineLevel="0" collapsed="false">
      <c r="B56935" s="0" t="s">
        <v>7</v>
      </c>
      <c r="C56935" s="0" t="s">
        <v>410</v>
      </c>
    </row>
    <row r="56936" customFormat="false" ht="12.8" hidden="false" customHeight="false" outlineLevel="0" collapsed="false">
      <c r="B56936" s="0" t="s">
        <v>19788</v>
      </c>
    </row>
    <row r="56938" customFormat="false" ht="12.8" hidden="false" customHeight="false" outlineLevel="0" collapsed="false">
      <c r="A56938" s="0" t="s">
        <v>19787</v>
      </c>
      <c r="B56938" s="0" t="str">
        <f aca="false">HYPERLINK("https://lindat.mff.cuni.cz/services/teitok/pdtc10/index.php?action=vallex&amp;frame=v-w8024f5_ZU", "vykonávat (v-w8024f5_ZU) - substituted with v-w8024f12_ZU")</f>
        <v>vykonávat (v-w8024f5_ZU) - substituted with v-w8024f12_ZU</v>
      </c>
    </row>
    <row r="56939" customFormat="false" ht="12.8" hidden="false" customHeight="false" outlineLevel="0" collapsed="false">
      <c r="B56939" s="0" t="s">
        <v>7</v>
      </c>
    </row>
    <row r="56940" customFormat="false" ht="12.8" hidden="false" customHeight="false" outlineLevel="0" collapsed="false">
      <c r="B56940" s="0" t="s">
        <v>19788</v>
      </c>
    </row>
    <row r="56942" customFormat="false" ht="12.8" hidden="false" customHeight="false" outlineLevel="0" collapsed="false">
      <c r="A56942" s="0" t="s">
        <v>19787</v>
      </c>
      <c r="B56942" s="0" t="str">
        <f aca="false">HYPERLINK("https://lindat.mff.cuni.cz/services/teitok/pdtc10/index.php?action=vallex&amp;frame=v-w8024f6_ZU", "vykonávat (v-w8024f6_ZU) - substituted with v-w8024f12_ZU")</f>
        <v>vykonávat (v-w8024f6_ZU) - substituted with v-w8024f12_ZU</v>
      </c>
    </row>
    <row r="56943" customFormat="false" ht="12.8" hidden="false" customHeight="false" outlineLevel="0" collapsed="false">
      <c r="B56943" s="0" t="s">
        <v>7</v>
      </c>
      <c r="C56943" s="0" t="s">
        <v>19790</v>
      </c>
    </row>
    <row r="56944" customFormat="false" ht="12.8" hidden="false" customHeight="false" outlineLevel="0" collapsed="false">
      <c r="B56944" s="0" t="s">
        <v>19788</v>
      </c>
      <c r="C56944" s="0" t="s">
        <v>19791</v>
      </c>
    </row>
    <row r="56946" customFormat="false" ht="12.8" hidden="false" customHeight="false" outlineLevel="0" collapsed="false">
      <c r="A56946" s="0" t="s">
        <v>19787</v>
      </c>
      <c r="B56946" s="0" t="str">
        <f aca="false">HYPERLINK("https://lindat.mff.cuni.cz/services/teitok/pdtc10/index.php?action=vallex&amp;frame=v-w8024f7_ZU", "vykonávat (v-w8024f7_ZU) - substituted with v-w8024f12_ZU")</f>
        <v>vykonávat (v-w8024f7_ZU) - substituted with v-w8024f12_ZU</v>
      </c>
    </row>
    <row r="56947" customFormat="false" ht="12.8" hidden="false" customHeight="false" outlineLevel="0" collapsed="false">
      <c r="B56947" s="0" t="s">
        <v>7</v>
      </c>
      <c r="C56947" s="0" t="s">
        <v>149</v>
      </c>
      <c r="D56947" s="0" t="s">
        <v>19792</v>
      </c>
      <c r="E56947" s="0" t="s">
        <v>19792</v>
      </c>
      <c r="F56947" s="0" t="s">
        <v>19792</v>
      </c>
    </row>
    <row r="56948" customFormat="false" ht="12.8" hidden="false" customHeight="false" outlineLevel="0" collapsed="false">
      <c r="B56948" s="0" t="s">
        <v>19788</v>
      </c>
      <c r="C56948" s="0" t="s">
        <v>12307</v>
      </c>
      <c r="D56948" s="0" t="s">
        <v>19793</v>
      </c>
      <c r="E56948" s="0" t="s">
        <v>19793</v>
      </c>
      <c r="F56948" s="0" t="s">
        <v>19793</v>
      </c>
    </row>
    <row r="56950" customFormat="false" ht="12.8" hidden="false" customHeight="false" outlineLevel="0" collapsed="false">
      <c r="A56950" s="0" t="s">
        <v>19787</v>
      </c>
      <c r="B56950" s="0" t="str">
        <f aca="false">HYPERLINK("https://lindat.mff.cuni.cz/services/teitok/pdtc10/index.php?action=vallex&amp;frame=v-w8024f8_ZU", "vykonávat (v-w8024f8_ZU) - substituted with v-w8024f12_ZU")</f>
        <v>vykonávat (v-w8024f8_ZU) - substituted with v-w8024f12_ZU</v>
      </c>
    </row>
    <row r="56951" customFormat="false" ht="12.8" hidden="false" customHeight="false" outlineLevel="0" collapsed="false">
      <c r="B56951" s="0" t="s">
        <v>7</v>
      </c>
    </row>
    <row r="56952" customFormat="false" ht="12.8" hidden="false" customHeight="false" outlineLevel="0" collapsed="false">
      <c r="B56952" s="0" t="s">
        <v>19788</v>
      </c>
    </row>
    <row r="56954" customFormat="false" ht="12.8" hidden="false" customHeight="false" outlineLevel="0" collapsed="false">
      <c r="A56954" s="0" t="s">
        <v>19787</v>
      </c>
      <c r="B56954" s="0" t="str">
        <f aca="false">HYPERLINK("https://lindat.mff.cuni.cz/services/teitok/pdtc10/index.php?action=vallex&amp;frame=v-w8024f9_ZU", "vykonávat (v-w8024f9_ZU) - substituted with v-w8024f12_ZU")</f>
        <v>vykonávat (v-w8024f9_ZU) - substituted with v-w8024f12_ZU</v>
      </c>
    </row>
    <row r="56955" customFormat="false" ht="12.8" hidden="false" customHeight="false" outlineLevel="0" collapsed="false">
      <c r="B56955" s="0" t="s">
        <v>7</v>
      </c>
    </row>
    <row r="56956" customFormat="false" ht="12.8" hidden="false" customHeight="false" outlineLevel="0" collapsed="false">
      <c r="B56956" s="0" t="s">
        <v>19788</v>
      </c>
    </row>
    <row r="56958" customFormat="false" ht="12.8" hidden="false" customHeight="false" outlineLevel="0" collapsed="false">
      <c r="A56958" s="0" t="s">
        <v>19787</v>
      </c>
      <c r="B56958" s="0" t="str">
        <f aca="false">HYPERLINK("https://lindat.mff.cuni.cz/services/teitok/pdtc10/index.php?action=vallex&amp;frame=v-w8024hsa_915", "vykonávat (v-w8024hsa_915) - substituted with v-w8024f12_ZU")</f>
        <v>vykonávat (v-w8024hsa_915) - substituted with v-w8024f12_ZU</v>
      </c>
    </row>
    <row r="56959" customFormat="false" ht="12.8" hidden="false" customHeight="false" outlineLevel="0" collapsed="false">
      <c r="B56959" s="0" t="s">
        <v>7</v>
      </c>
      <c r="C56959" s="0" t="s">
        <v>2431</v>
      </c>
    </row>
    <row r="56960" customFormat="false" ht="12.8" hidden="false" customHeight="false" outlineLevel="0" collapsed="false">
      <c r="B56960" s="0" t="s">
        <v>19788</v>
      </c>
      <c r="C56960" s="0" t="s">
        <v>3475</v>
      </c>
    </row>
    <row r="56962" customFormat="false" ht="12.8" hidden="false" customHeight="false" outlineLevel="0" collapsed="false">
      <c r="A56962" s="0" t="s">
        <v>19794</v>
      </c>
      <c r="B56962" s="0" t="str">
        <f aca="false">HYPERLINK("https://lindat.mff.cuni.cz/services/teitok/pdtc10/index.php?action=vallex&amp;frame=v-w8026f2", "vykopat (v-w8026f2)")</f>
        <v>vykopat (v-w8026f2)</v>
      </c>
    </row>
    <row r="56963" customFormat="false" ht="12.8" hidden="false" customHeight="false" outlineLevel="0" collapsed="false">
      <c r="B56963" s="0" t="s">
        <v>7</v>
      </c>
      <c r="C56963" s="0" t="s">
        <v>191</v>
      </c>
    </row>
    <row r="56964" customFormat="false" ht="12.8" hidden="false" customHeight="false" outlineLevel="0" collapsed="false">
      <c r="B56964" s="0" t="s">
        <v>14</v>
      </c>
      <c r="C56964" s="0" t="s">
        <v>155</v>
      </c>
    </row>
    <row r="56966" customFormat="false" ht="12.8" hidden="false" customHeight="false" outlineLevel="0" collapsed="false">
      <c r="A56966" s="0" t="s">
        <v>19795</v>
      </c>
      <c r="B56966" s="0" t="str">
        <f aca="false">HYPERLINK("https://lindat.mff.cuni.cz/services/teitok/pdtc10/index.php?action=vallex&amp;frame=v-w8026f1", "vykopat (v-w8026f1)")</f>
        <v>vykopat (v-w8026f1)</v>
      </c>
    </row>
    <row r="56967" customFormat="false" ht="12.8" hidden="false" customHeight="false" outlineLevel="0" collapsed="false">
      <c r="B56967" s="0" t="s">
        <v>7</v>
      </c>
    </row>
    <row r="56968" customFormat="false" ht="12.8" hidden="false" customHeight="false" outlineLevel="0" collapsed="false">
      <c r="B56968" s="0" t="s">
        <v>19796</v>
      </c>
    </row>
    <row r="56970" customFormat="false" ht="12.8" hidden="false" customHeight="false" outlineLevel="0" collapsed="false">
      <c r="A56970" s="0" t="s">
        <v>19797</v>
      </c>
      <c r="B56970" s="0" t="str">
        <f aca="false">HYPERLINK("https://lindat.mff.cuni.cz/services/teitok/pdtc10/index.php?action=vallex&amp;frame=v-w8026hsa_595", "vykopat (v-w8026hsa_595)")</f>
        <v>vykopat (v-w8026hsa_595)</v>
      </c>
    </row>
    <row r="56971" customFormat="false" ht="12.8" hidden="false" customHeight="false" outlineLevel="0" collapsed="false">
      <c r="B56971" s="0" t="s">
        <v>7</v>
      </c>
    </row>
    <row r="56972" customFormat="false" ht="12.8" hidden="false" customHeight="false" outlineLevel="0" collapsed="false">
      <c r="B56972" s="0" t="s">
        <v>14</v>
      </c>
    </row>
    <row r="56974" customFormat="false" ht="12.8" hidden="false" customHeight="false" outlineLevel="0" collapsed="false">
      <c r="A56974" s="0" t="s">
        <v>19798</v>
      </c>
      <c r="B56974" s="0" t="str">
        <f aca="false">HYPERLINK("https://lindat.mff.cuni.cz/services/teitok/pdtc10/index.php?action=vallex&amp;frame=v-w10937f2", "vykopávat (v-w10937f2)")</f>
        <v>vykopávat (v-w10937f2)</v>
      </c>
    </row>
    <row r="56975" customFormat="false" ht="12.8" hidden="false" customHeight="false" outlineLevel="0" collapsed="false">
      <c r="B56975" s="0" t="s">
        <v>7</v>
      </c>
      <c r="C56975" s="0" t="s">
        <v>191</v>
      </c>
      <c r="D56975" s="0" t="s">
        <v>149</v>
      </c>
      <c r="E56975" s="0" t="s">
        <v>149</v>
      </c>
      <c r="F56975" s="0" t="s">
        <v>149</v>
      </c>
    </row>
    <row r="56976" customFormat="false" ht="12.8" hidden="false" customHeight="false" outlineLevel="0" collapsed="false">
      <c r="B56976" s="0" t="s">
        <v>14</v>
      </c>
      <c r="C56976" s="0" t="s">
        <v>155</v>
      </c>
      <c r="D56976" s="0" t="s">
        <v>3249</v>
      </c>
      <c r="E56976" s="0" t="s">
        <v>3249</v>
      </c>
      <c r="F56976" s="0" t="s">
        <v>3249</v>
      </c>
    </row>
    <row r="56978" customFormat="false" ht="12.8" hidden="false" customHeight="false" outlineLevel="0" collapsed="false">
      <c r="A56978" s="0" t="s">
        <v>19799</v>
      </c>
      <c r="B56978" s="0" t="str">
        <f aca="false">HYPERLINK("https://lindat.mff.cuni.cz/services/teitok/pdtc10/index.php?action=vallex&amp;frame=v-w10937f3_ZU", "vykopávat (v-w10937f3_ZU)")</f>
        <v>vykopávat (v-w10937f3_ZU)</v>
      </c>
    </row>
    <row r="56979" customFormat="false" ht="12.8" hidden="false" customHeight="false" outlineLevel="0" collapsed="false">
      <c r="B56979" s="0" t="s">
        <v>7</v>
      </c>
    </row>
    <row r="56980" customFormat="false" ht="12.8" hidden="false" customHeight="false" outlineLevel="0" collapsed="false">
      <c r="B56980" s="0" t="s">
        <v>14</v>
      </c>
    </row>
    <row r="56982" customFormat="false" ht="12.8" hidden="false" customHeight="false" outlineLevel="0" collapsed="false">
      <c r="A56982" s="0" t="s">
        <v>19800</v>
      </c>
      <c r="B56982" s="0" t="str">
        <f aca="false">HYPERLINK("https://lindat.mff.cuni.cz/services/teitok/pdtc10/index.php?action=vallex&amp;frame=v-w11746_ZUf1_ZU", "vykopírovat (v-w11746_ZUf1_ZU)")</f>
        <v>vykopírovat (v-w11746_ZUf1_ZU)</v>
      </c>
    </row>
    <row r="56983" customFormat="false" ht="12.8" hidden="false" customHeight="false" outlineLevel="0" collapsed="false">
      <c r="B56983" s="0" t="s">
        <v>7</v>
      </c>
    </row>
    <row r="56984" customFormat="false" ht="12.8" hidden="false" customHeight="false" outlineLevel="0" collapsed="false">
      <c r="B56984" s="0" t="s">
        <v>14</v>
      </c>
    </row>
    <row r="56986" customFormat="false" ht="12.8" hidden="false" customHeight="false" outlineLevel="0" collapsed="false">
      <c r="A56986" s="0" t="s">
        <v>19801</v>
      </c>
      <c r="B56986" s="0" t="str">
        <f aca="false">HYPERLINK("https://lindat.mff.cuni.cz/services/teitok/pdtc10/index.php?action=vallex&amp;frame=v-w12137_ZUf1_ZU", "vykorespondovat (v-w12137_ZUf1_ZU)")</f>
        <v>vykorespondovat (v-w12137_ZUf1_ZU)</v>
      </c>
    </row>
    <row r="56987" customFormat="false" ht="12.8" hidden="false" customHeight="false" outlineLevel="0" collapsed="false">
      <c r="B56987" s="0" t="s">
        <v>7</v>
      </c>
    </row>
    <row r="56988" customFormat="false" ht="12.8" hidden="false" customHeight="false" outlineLevel="0" collapsed="false">
      <c r="B56988" s="0" t="s">
        <v>14</v>
      </c>
    </row>
    <row r="56989" customFormat="false" ht="12.8" hidden="false" customHeight="false" outlineLevel="0" collapsed="false">
      <c r="B56989" s="0" t="s">
        <v>2767</v>
      </c>
    </row>
    <row r="56991" customFormat="false" ht="12.8" hidden="false" customHeight="false" outlineLevel="0" collapsed="false">
      <c r="A56991" s="0" t="s">
        <v>19802</v>
      </c>
      <c r="B56991" s="0" t="str">
        <f aca="false">HYPERLINK("https://lindat.mff.cuni.cz/services/teitok/pdtc10/index.php?action=vallex&amp;frame=v-whsa_1151hsa_1152", "vykostit (v-whsa_1151hsa_1152)")</f>
        <v>vykostit (v-whsa_1151hsa_1152)</v>
      </c>
    </row>
    <row r="56992" customFormat="false" ht="12.8" hidden="false" customHeight="false" outlineLevel="0" collapsed="false">
      <c r="B56992" s="0" t="s">
        <v>7</v>
      </c>
    </row>
    <row r="56993" customFormat="false" ht="12.8" hidden="false" customHeight="false" outlineLevel="0" collapsed="false">
      <c r="B56993" s="0" t="s">
        <v>14</v>
      </c>
    </row>
    <row r="56995" customFormat="false" ht="12.8" hidden="false" customHeight="false" outlineLevel="0" collapsed="false">
      <c r="A56995" s="0" t="s">
        <v>19803</v>
      </c>
      <c r="B56995" s="0" t="str">
        <f aca="false">HYPERLINK("https://lindat.mff.cuni.cz/services/teitok/pdtc10/index.php?action=vallex&amp;frame=v-w8028f1", "vykouknout (v-w8028f1)")</f>
        <v>vykouknout (v-w8028f1)</v>
      </c>
    </row>
    <row r="56996" customFormat="false" ht="12.8" hidden="false" customHeight="false" outlineLevel="0" collapsed="false">
      <c r="B56996" s="0" t="s">
        <v>7</v>
      </c>
    </row>
    <row r="56997" customFormat="false" ht="12.8" hidden="false" customHeight="false" outlineLevel="0" collapsed="false">
      <c r="B56997" s="0" t="s">
        <v>459</v>
      </c>
    </row>
    <row r="56999" customFormat="false" ht="12.8" hidden="false" customHeight="false" outlineLevel="0" collapsed="false">
      <c r="A56999" s="0" t="s">
        <v>19804</v>
      </c>
      <c r="B56999" s="0" t="str">
        <f aca="false">HYPERLINK("https://lindat.mff.cuni.cz/services/teitok/pdtc10/index.php?action=vallex&amp;frame=v-w12320_MMf1_MM", "vykoumat (v-w12320_MMf1_MM)")</f>
        <v>vykoumat (v-w12320_MMf1_MM)</v>
      </c>
    </row>
    <row r="57000" customFormat="false" ht="12.8" hidden="false" customHeight="false" outlineLevel="0" collapsed="false">
      <c r="B57000" s="0" t="s">
        <v>7</v>
      </c>
    </row>
    <row r="57001" customFormat="false" ht="12.8" hidden="false" customHeight="false" outlineLevel="0" collapsed="false">
      <c r="B57001" s="0" t="s">
        <v>14</v>
      </c>
    </row>
    <row r="57003" customFormat="false" ht="12.8" hidden="false" customHeight="false" outlineLevel="0" collapsed="false">
      <c r="A57003" s="0" t="s">
        <v>19805</v>
      </c>
      <c r="B57003" s="0" t="str">
        <f aca="false">HYPERLINK("https://lindat.mff.cuni.cz/services/teitok/pdtc10/index.php?action=vallex&amp;frame=v-w8029f1", "vykoupat (v-w8029f1)")</f>
        <v>vykoupat (v-w8029f1)</v>
      </c>
    </row>
    <row r="57004" customFormat="false" ht="12.8" hidden="false" customHeight="false" outlineLevel="0" collapsed="false">
      <c r="B57004" s="0" t="s">
        <v>7</v>
      </c>
      <c r="D57004" s="0" t="s">
        <v>31</v>
      </c>
      <c r="E57004" s="0" t="s">
        <v>31</v>
      </c>
      <c r="F57004" s="0" t="s">
        <v>31</v>
      </c>
    </row>
    <row r="57005" customFormat="false" ht="12.8" hidden="false" customHeight="false" outlineLevel="0" collapsed="false">
      <c r="B57005" s="0" t="s">
        <v>14</v>
      </c>
      <c r="D57005" s="0" t="s">
        <v>4921</v>
      </c>
      <c r="E57005" s="0" t="s">
        <v>4921</v>
      </c>
      <c r="F57005" s="0" t="s">
        <v>4921</v>
      </c>
    </row>
    <row r="57007" customFormat="false" ht="12.8" hidden="false" customHeight="false" outlineLevel="0" collapsed="false">
      <c r="A57007" s="0" t="s">
        <v>19806</v>
      </c>
      <c r="B57007" s="0" t="str">
        <f aca="false">HYPERLINK("https://lindat.mff.cuni.cz/services/teitok/pdtc10/index.php?action=vallex&amp;frame=v-w8030f1", "vykoupat se (v-w8030f1)")</f>
        <v>vykoupat se (v-w8030f1)</v>
      </c>
    </row>
    <row r="57008" customFormat="false" ht="12.8" hidden="false" customHeight="false" outlineLevel="0" collapsed="false">
      <c r="B57008" s="0" t="s">
        <v>7</v>
      </c>
      <c r="D57008" s="0" t="s">
        <v>4924</v>
      </c>
      <c r="E57008" s="0" t="s">
        <v>4924</v>
      </c>
      <c r="F57008" s="0" t="s">
        <v>4924</v>
      </c>
    </row>
    <row r="57010" customFormat="false" ht="12.8" hidden="false" customHeight="false" outlineLevel="0" collapsed="false">
      <c r="A57010" s="0" t="s">
        <v>19807</v>
      </c>
      <c r="B57010" s="0" t="str">
        <f aca="false">HYPERLINK("https://lindat.mff.cuni.cz/services/teitok/pdtc10/index.php?action=vallex&amp;frame=v-w8031f1", "vykoupit (v-w8031f1)")</f>
        <v>vykoupit (v-w8031f1)</v>
      </c>
    </row>
    <row r="57011" customFormat="false" ht="12.8" hidden="false" customHeight="false" outlineLevel="0" collapsed="false">
      <c r="B57011" s="0" t="s">
        <v>7</v>
      </c>
      <c r="C57011" s="0" t="s">
        <v>19808</v>
      </c>
      <c r="D57011" s="0" t="s">
        <v>4927</v>
      </c>
      <c r="E57011" s="0" t="s">
        <v>4927</v>
      </c>
      <c r="F57011" s="0" t="s">
        <v>4927</v>
      </c>
    </row>
    <row r="57012" customFormat="false" ht="12.8" hidden="false" customHeight="false" outlineLevel="0" collapsed="false">
      <c r="B57012" s="0" t="s">
        <v>14</v>
      </c>
      <c r="C57012" s="0" t="s">
        <v>19809</v>
      </c>
      <c r="D57012" s="0" t="s">
        <v>4929</v>
      </c>
      <c r="E57012" s="0" t="s">
        <v>4929</v>
      </c>
      <c r="F57012" s="0" t="s">
        <v>4929</v>
      </c>
    </row>
    <row r="57013" customFormat="false" ht="12.8" hidden="false" customHeight="false" outlineLevel="0" collapsed="false">
      <c r="B57013" s="0" t="s">
        <v>441</v>
      </c>
      <c r="C57013" s="0" t="s">
        <v>4932</v>
      </c>
      <c r="D57013" s="0" t="s">
        <v>4932</v>
      </c>
      <c r="E57013" s="0" t="s">
        <v>4932</v>
      </c>
      <c r="F57013" s="0" t="s">
        <v>4932</v>
      </c>
    </row>
    <row r="57015" customFormat="false" ht="12.8" hidden="false" customHeight="false" outlineLevel="0" collapsed="false">
      <c r="A57015" s="0" t="s">
        <v>19810</v>
      </c>
      <c r="B57015" s="0" t="str">
        <f aca="false">HYPERLINK("https://lindat.mff.cuni.cz/services/teitok/pdtc10/index.php?action=vallex&amp;frame=v-w8031f2", "vykoupit (v-w8031f2)")</f>
        <v>vykoupit (v-w8031f2)</v>
      </c>
    </row>
    <row r="57016" customFormat="false" ht="12.8" hidden="false" customHeight="false" outlineLevel="0" collapsed="false">
      <c r="B57016" s="0" t="s">
        <v>7</v>
      </c>
    </row>
    <row r="57017" customFormat="false" ht="12.8" hidden="false" customHeight="false" outlineLevel="0" collapsed="false">
      <c r="B57017" s="0" t="s">
        <v>14</v>
      </c>
      <c r="C57017" s="0" t="s">
        <v>33</v>
      </c>
    </row>
    <row r="57018" customFormat="false" ht="12.8" hidden="false" customHeight="false" outlineLevel="0" collapsed="false">
      <c r="B57018" s="0" t="s">
        <v>6292</v>
      </c>
      <c r="C57018" s="0" t="s">
        <v>19811</v>
      </c>
    </row>
    <row r="57020" customFormat="false" ht="12.8" hidden="false" customHeight="false" outlineLevel="0" collapsed="false">
      <c r="A57020" s="0" t="s">
        <v>19812</v>
      </c>
      <c r="B57020" s="0" t="str">
        <f aca="false">HYPERLINK("https://lindat.mff.cuni.cz/services/teitok/pdtc10/index.php?action=vallex&amp;frame=v-w8031f4_ZU", "vykoupit (v-w8031f4_ZU)")</f>
        <v>vykoupit (v-w8031f4_ZU)</v>
      </c>
    </row>
    <row r="57021" customFormat="false" ht="12.8" hidden="false" customHeight="false" outlineLevel="0" collapsed="false">
      <c r="B57021" s="0" t="s">
        <v>7</v>
      </c>
    </row>
    <row r="57022" customFormat="false" ht="12.8" hidden="false" customHeight="false" outlineLevel="0" collapsed="false">
      <c r="B57022" s="0" t="s">
        <v>14</v>
      </c>
    </row>
    <row r="57023" customFormat="false" ht="12.8" hidden="false" customHeight="false" outlineLevel="0" collapsed="false">
      <c r="B57023" s="0" t="s">
        <v>19813</v>
      </c>
    </row>
    <row r="57025" customFormat="false" ht="12.8" hidden="false" customHeight="false" outlineLevel="0" collapsed="false">
      <c r="A57025" s="0" t="s">
        <v>19812</v>
      </c>
      <c r="B57025" s="0" t="str">
        <f aca="false">HYPERLINK("https://lindat.mff.cuni.cz/services/teitok/pdtc10/index.php?action=vallex&amp;frame=v-w8031f3", "vykoupit (v-w8031f3) - substituted with v-w8031f4_ZU")</f>
        <v>vykoupit (v-w8031f3) - substituted with v-w8031f4_ZU</v>
      </c>
    </row>
    <row r="57026" customFormat="false" ht="12.8" hidden="false" customHeight="false" outlineLevel="0" collapsed="false">
      <c r="B57026" s="0" t="s">
        <v>7</v>
      </c>
    </row>
    <row r="57027" customFormat="false" ht="12.8" hidden="false" customHeight="false" outlineLevel="0" collapsed="false">
      <c r="B57027" s="0" t="s">
        <v>14</v>
      </c>
    </row>
    <row r="57028" customFormat="false" ht="12.8" hidden="false" customHeight="false" outlineLevel="0" collapsed="false">
      <c r="B57028" s="0" t="s">
        <v>19813</v>
      </c>
    </row>
    <row r="57030" customFormat="false" ht="12.8" hidden="false" customHeight="false" outlineLevel="0" collapsed="false">
      <c r="A57030" s="0" t="s">
        <v>19814</v>
      </c>
      <c r="B57030" s="0" t="str">
        <f aca="false">HYPERLINK("https://lindat.mff.cuni.cz/services/teitok/pdtc10/index.php?action=vallex&amp;frame=v-w8032f1", "vykouzlit (v-w8032f1)")</f>
        <v>vykouzlit (v-w8032f1)</v>
      </c>
    </row>
    <row r="57031" customFormat="false" ht="12.8" hidden="false" customHeight="false" outlineLevel="0" collapsed="false">
      <c r="B57031" s="0" t="s">
        <v>7</v>
      </c>
    </row>
    <row r="57032" customFormat="false" ht="12.8" hidden="false" customHeight="false" outlineLevel="0" collapsed="false">
      <c r="B57032" s="0" t="s">
        <v>14</v>
      </c>
    </row>
    <row r="57033" customFormat="false" ht="12.8" hidden="false" customHeight="false" outlineLevel="0" collapsed="false">
      <c r="B57033" s="0" t="s">
        <v>1953</v>
      </c>
    </row>
    <row r="57034" customFormat="false" ht="12.8" hidden="false" customHeight="false" outlineLevel="0" collapsed="false">
      <c r="B57034" s="0" t="s">
        <v>35</v>
      </c>
    </row>
    <row r="57036" customFormat="false" ht="12.8" hidden="false" customHeight="false" outlineLevel="0" collapsed="false">
      <c r="A57036" s="0" t="s">
        <v>19815</v>
      </c>
      <c r="B57036" s="0" t="str">
        <f aca="false">HYPERLINK("https://lindat.mff.cuni.cz/services/teitok/pdtc10/index.php?action=vallex&amp;frame=v-whsa_775hsa_776", "vykouřit (v-whsa_775hsa_776)")</f>
        <v>vykouřit (v-whsa_775hsa_776)</v>
      </c>
    </row>
    <row r="57037" customFormat="false" ht="12.8" hidden="false" customHeight="false" outlineLevel="0" collapsed="false">
      <c r="B57037" s="0" t="s">
        <v>7</v>
      </c>
    </row>
    <row r="57038" customFormat="false" ht="12.8" hidden="false" customHeight="false" outlineLevel="0" collapsed="false">
      <c r="B57038" s="0" t="s">
        <v>14</v>
      </c>
    </row>
    <row r="57040" customFormat="false" ht="12.8" hidden="false" customHeight="false" outlineLevel="0" collapsed="false">
      <c r="A57040" s="0" t="s">
        <v>19816</v>
      </c>
      <c r="B57040" s="0" t="str">
        <f aca="false">HYPERLINK("https://lindat.mff.cuni.cz/services/teitok/pdtc10/index.php?action=vallex&amp;frame=v-w12208_ZUf1_ZU", "vykovat (v-w12208_ZUf1_ZU)")</f>
        <v>vykovat (v-w12208_ZUf1_ZU)</v>
      </c>
    </row>
    <row r="57041" customFormat="false" ht="12.8" hidden="false" customHeight="false" outlineLevel="0" collapsed="false">
      <c r="B57041" s="0" t="s">
        <v>7</v>
      </c>
    </row>
    <row r="57042" customFormat="false" ht="12.8" hidden="false" customHeight="false" outlineLevel="0" collapsed="false">
      <c r="B57042" s="0" t="s">
        <v>14</v>
      </c>
    </row>
    <row r="57043" customFormat="false" ht="12.8" hidden="false" customHeight="false" outlineLevel="0" collapsed="false">
      <c r="B57043" s="0" t="s">
        <v>35</v>
      </c>
    </row>
    <row r="57045" customFormat="false" ht="12.8" hidden="false" customHeight="false" outlineLevel="0" collapsed="false">
      <c r="A57045" s="0" t="s">
        <v>19817</v>
      </c>
      <c r="B57045" s="0" t="str">
        <f aca="false">HYPERLINK("https://lindat.mff.cuni.cz/services/teitok/pdtc10/index.php?action=vallex&amp;frame=v-w8027f1", "vykořenit (v-w8027f1)")</f>
        <v>vykořenit (v-w8027f1)</v>
      </c>
    </row>
    <row r="57046" customFormat="false" ht="12.8" hidden="false" customHeight="false" outlineLevel="0" collapsed="false">
      <c r="B57046" s="0" t="s">
        <v>7</v>
      </c>
    </row>
    <row r="57047" customFormat="false" ht="12.8" hidden="false" customHeight="false" outlineLevel="0" collapsed="false">
      <c r="B57047" s="0" t="s">
        <v>14</v>
      </c>
    </row>
    <row r="57048" customFormat="false" ht="12.8" hidden="false" customHeight="false" outlineLevel="0" collapsed="false">
      <c r="B57048" s="0" t="s">
        <v>459</v>
      </c>
    </row>
    <row r="57050" customFormat="false" ht="12.8" hidden="false" customHeight="false" outlineLevel="0" collapsed="false">
      <c r="A57050" s="0" t="s">
        <v>19818</v>
      </c>
      <c r="B57050" s="0" t="str">
        <f aca="false">HYPERLINK("https://lindat.mff.cuni.cz/services/teitok/pdtc10/index.php?action=vallex&amp;frame=v-w10980f2", "vykořisťovat (v-w10980f2)")</f>
        <v>vykořisťovat (v-w10980f2)</v>
      </c>
    </row>
    <row r="57051" customFormat="false" ht="12.8" hidden="false" customHeight="false" outlineLevel="0" collapsed="false">
      <c r="B57051" s="0" t="s">
        <v>7</v>
      </c>
      <c r="C57051" s="0" t="s">
        <v>335</v>
      </c>
    </row>
    <row r="57052" customFormat="false" ht="12.8" hidden="false" customHeight="false" outlineLevel="0" collapsed="false">
      <c r="B57052" s="0" t="s">
        <v>14</v>
      </c>
      <c r="C57052" s="0" t="s">
        <v>1209</v>
      </c>
    </row>
    <row r="57054" customFormat="false" ht="12.8" hidden="false" customHeight="false" outlineLevel="0" collapsed="false">
      <c r="A57054" s="0" t="s">
        <v>19819</v>
      </c>
      <c r="B57054" s="0" t="str">
        <f aca="false">HYPERLINK("https://lindat.mff.cuni.cz/services/teitok/pdtc10/index.php?action=vallex&amp;frame=v-w11621_ZUf1_ZU", "vykračovat si (v-w11621_ZUf1_ZU)")</f>
        <v>vykračovat si (v-w11621_ZUf1_ZU)</v>
      </c>
    </row>
    <row r="57055" customFormat="false" ht="12.8" hidden="false" customHeight="false" outlineLevel="0" collapsed="false">
      <c r="B57055" s="0" t="s">
        <v>7</v>
      </c>
    </row>
    <row r="57057" customFormat="false" ht="12.8" hidden="false" customHeight="false" outlineLevel="0" collapsed="false">
      <c r="A57057" s="0" t="s">
        <v>19820</v>
      </c>
      <c r="B57057" s="0" t="str">
        <f aca="false">HYPERLINK("https://lindat.mff.cuni.cz/services/teitok/pdtc10/index.php?action=vallex&amp;frame=v-w8035f3_ZU", "vykreslit (v-w8035f3_ZU)")</f>
        <v>vykreslit (v-w8035f3_ZU)</v>
      </c>
    </row>
    <row r="57058" customFormat="false" ht="12.8" hidden="false" customHeight="false" outlineLevel="0" collapsed="false">
      <c r="B57058" s="0" t="s">
        <v>7</v>
      </c>
      <c r="C57058" s="0" t="s">
        <v>569</v>
      </c>
      <c r="D57058" s="0" t="s">
        <v>140</v>
      </c>
      <c r="E57058" s="0" t="s">
        <v>140</v>
      </c>
      <c r="F57058" s="0" t="s">
        <v>140</v>
      </c>
    </row>
    <row r="57059" customFormat="false" ht="12.8" hidden="false" customHeight="false" outlineLevel="0" collapsed="false">
      <c r="B57059" s="0" t="s">
        <v>19821</v>
      </c>
      <c r="C57059" s="0" t="s">
        <v>120</v>
      </c>
      <c r="D57059" s="0" t="s">
        <v>1155</v>
      </c>
      <c r="E57059" s="0" t="s">
        <v>1155</v>
      </c>
      <c r="F57059" s="0" t="s">
        <v>1155</v>
      </c>
    </row>
    <row r="57060" customFormat="false" ht="12.8" hidden="false" customHeight="false" outlineLevel="0" collapsed="false">
      <c r="B57060" s="0" t="s">
        <v>48</v>
      </c>
    </row>
    <row r="57062" customFormat="false" ht="12.8" hidden="false" customHeight="false" outlineLevel="0" collapsed="false">
      <c r="A57062" s="0" t="s">
        <v>19820</v>
      </c>
      <c r="B57062" s="0" t="str">
        <f aca="false">HYPERLINK("https://lindat.mff.cuni.cz/services/teitok/pdtc10/index.php?action=vallex&amp;frame=v-w8035f1", "vykreslit (v-w8035f1) - substituted with v-w8035f3_ZU")</f>
        <v>vykreslit (v-w8035f1) - substituted with v-w8035f3_ZU</v>
      </c>
    </row>
    <row r="57063" customFormat="false" ht="12.8" hidden="false" customHeight="false" outlineLevel="0" collapsed="false">
      <c r="B57063" s="0" t="s">
        <v>7</v>
      </c>
      <c r="C57063" s="0" t="s">
        <v>558</v>
      </c>
    </row>
    <row r="57064" customFormat="false" ht="12.8" hidden="false" customHeight="false" outlineLevel="0" collapsed="false">
      <c r="B57064" s="0" t="s">
        <v>19821</v>
      </c>
      <c r="C57064" s="0" t="s">
        <v>1209</v>
      </c>
    </row>
    <row r="57065" customFormat="false" ht="12.8" hidden="false" customHeight="false" outlineLevel="0" collapsed="false">
      <c r="B57065" s="0" t="s">
        <v>48</v>
      </c>
    </row>
    <row r="57067" customFormat="false" ht="12.8" hidden="false" customHeight="false" outlineLevel="0" collapsed="false">
      <c r="A57067" s="0" t="s">
        <v>19822</v>
      </c>
      <c r="B57067" s="0" t="str">
        <f aca="false">HYPERLINK("https://lindat.mff.cuni.cz/services/teitok/pdtc10/index.php?action=vallex&amp;frame=v-w8035f2", "vykreslit (v-w8035f2)")</f>
        <v>vykreslit (v-w8035f2)</v>
      </c>
    </row>
    <row r="57068" customFormat="false" ht="12.8" hidden="false" customHeight="false" outlineLevel="0" collapsed="false">
      <c r="B57068" s="0" t="s">
        <v>7</v>
      </c>
    </row>
    <row r="57069" customFormat="false" ht="12.8" hidden="false" customHeight="false" outlineLevel="0" collapsed="false">
      <c r="B57069" s="0" t="s">
        <v>14</v>
      </c>
    </row>
    <row r="57071" customFormat="false" ht="12.8" hidden="false" customHeight="false" outlineLevel="0" collapsed="false">
      <c r="A57071" s="0" t="s">
        <v>19823</v>
      </c>
      <c r="B57071" s="0" t="str">
        <f aca="false">HYPERLINK("https://lindat.mff.cuni.cz/services/teitok/pdtc10/index.php?action=vallex&amp;frame=v-w8036f1", "vykreslit se (v-w8036f1)")</f>
        <v>vykreslit se (v-w8036f1)</v>
      </c>
    </row>
    <row r="57072" customFormat="false" ht="12.8" hidden="false" customHeight="false" outlineLevel="0" collapsed="false">
      <c r="B57072" s="0" t="s">
        <v>7</v>
      </c>
    </row>
    <row r="57074" customFormat="false" ht="12.8" hidden="false" customHeight="false" outlineLevel="0" collapsed="false">
      <c r="A57074" s="0" t="s">
        <v>19824</v>
      </c>
      <c r="B57074" s="0" t="str">
        <f aca="false">HYPERLINK("https://lindat.mff.cuni.cz/services/teitok/pdtc10/index.php?action=vallex&amp;frame=v-w11622_ZUf2_ZU", "vykreslovat (v-w11622_ZUf2_ZU)")</f>
        <v>vykreslovat (v-w11622_ZUf2_ZU)</v>
      </c>
    </row>
    <row r="57075" customFormat="false" ht="12.8" hidden="false" customHeight="false" outlineLevel="0" collapsed="false">
      <c r="B57075" s="0" t="s">
        <v>7</v>
      </c>
      <c r="C57075" s="0" t="s">
        <v>31</v>
      </c>
      <c r="D57075" s="0" t="s">
        <v>140</v>
      </c>
      <c r="E57075" s="0" t="s">
        <v>140</v>
      </c>
      <c r="F57075" s="0" t="s">
        <v>140</v>
      </c>
    </row>
    <row r="57076" customFormat="false" ht="12.8" hidden="false" customHeight="false" outlineLevel="0" collapsed="false">
      <c r="B57076" s="0" t="s">
        <v>19821</v>
      </c>
      <c r="C57076" s="0" t="s">
        <v>487</v>
      </c>
      <c r="D57076" s="0" t="s">
        <v>1155</v>
      </c>
      <c r="E57076" s="0" t="s">
        <v>1155</v>
      </c>
      <c r="F57076" s="0" t="s">
        <v>1155</v>
      </c>
    </row>
    <row r="57077" customFormat="false" ht="12.8" hidden="false" customHeight="false" outlineLevel="0" collapsed="false">
      <c r="B57077" s="0" t="s">
        <v>106</v>
      </c>
    </row>
    <row r="57079" customFormat="false" ht="12.8" hidden="false" customHeight="false" outlineLevel="0" collapsed="false">
      <c r="A57079" s="0" t="s">
        <v>19824</v>
      </c>
      <c r="B57079" s="0" t="str">
        <f aca="false">HYPERLINK("https://lindat.mff.cuni.cz/services/teitok/pdtc10/index.php?action=vallex&amp;frame=v-w11622_ZUf1_ZU", "vykreslovat (v-w11622_ZUf1_ZU) - substituted with v-w11622_ZUf2_ZU")</f>
        <v>vykreslovat (v-w11622_ZUf1_ZU) - substituted with v-w11622_ZUf2_ZU</v>
      </c>
    </row>
    <row r="57080" customFormat="false" ht="12.8" hidden="false" customHeight="false" outlineLevel="0" collapsed="false">
      <c r="B57080" s="0" t="s">
        <v>7</v>
      </c>
      <c r="C57080" s="0" t="s">
        <v>2791</v>
      </c>
    </row>
    <row r="57081" customFormat="false" ht="12.8" hidden="false" customHeight="false" outlineLevel="0" collapsed="false">
      <c r="B57081" s="0" t="s">
        <v>19821</v>
      </c>
      <c r="C57081" s="0" t="s">
        <v>74</v>
      </c>
    </row>
    <row r="57082" customFormat="false" ht="12.8" hidden="false" customHeight="false" outlineLevel="0" collapsed="false">
      <c r="B57082" s="0" t="s">
        <v>106</v>
      </c>
    </row>
    <row r="57084" customFormat="false" ht="12.8" hidden="false" customHeight="false" outlineLevel="0" collapsed="false">
      <c r="A57084" s="0" t="s">
        <v>19825</v>
      </c>
      <c r="B57084" s="0" t="str">
        <f aca="false">HYPERLINK("https://lindat.mff.cuni.cz/services/teitok/pdtc10/index.php?action=vallex&amp;frame=v-w8037f1", "vykrmit (v-w8037f1)")</f>
        <v>vykrmit (v-w8037f1)</v>
      </c>
    </row>
    <row r="57085" customFormat="false" ht="12.8" hidden="false" customHeight="false" outlineLevel="0" collapsed="false">
      <c r="B57085" s="0" t="s">
        <v>7</v>
      </c>
    </row>
    <row r="57086" customFormat="false" ht="12.8" hidden="false" customHeight="false" outlineLevel="0" collapsed="false">
      <c r="B57086" s="0" t="s">
        <v>14</v>
      </c>
    </row>
    <row r="57088" customFormat="false" ht="12.8" hidden="false" customHeight="false" outlineLevel="0" collapsed="false">
      <c r="A57088" s="0" t="s">
        <v>19826</v>
      </c>
      <c r="B57088" s="0" t="str">
        <f aca="false">HYPERLINK("https://lindat.mff.cuni.cz/services/teitok/pdtc10/index.php?action=vallex&amp;frame=v-w10878f2", "vykrmovat (v-w10878f2)")</f>
        <v>vykrmovat (v-w10878f2)</v>
      </c>
    </row>
    <row r="57089" customFormat="false" ht="12.8" hidden="false" customHeight="false" outlineLevel="0" collapsed="false">
      <c r="B57089" s="0" t="s">
        <v>7</v>
      </c>
      <c r="C57089" s="0" t="s">
        <v>108</v>
      </c>
      <c r="D57089" s="0" t="s">
        <v>126</v>
      </c>
      <c r="E57089" s="0" t="s">
        <v>126</v>
      </c>
      <c r="F57089" s="0" t="s">
        <v>126</v>
      </c>
    </row>
    <row r="57090" customFormat="false" ht="12.8" hidden="false" customHeight="false" outlineLevel="0" collapsed="false">
      <c r="B57090" s="0" t="s">
        <v>14</v>
      </c>
      <c r="C57090" s="0" t="s">
        <v>120</v>
      </c>
      <c r="D57090" s="0" t="s">
        <v>1210</v>
      </c>
      <c r="E57090" s="0" t="s">
        <v>1210</v>
      </c>
      <c r="F57090" s="0" t="s">
        <v>1210</v>
      </c>
    </row>
    <row r="57092" customFormat="false" ht="12.8" hidden="false" customHeight="false" outlineLevel="0" collapsed="false">
      <c r="A57092" s="0" t="s">
        <v>19827</v>
      </c>
      <c r="B57092" s="0" t="str">
        <f aca="false">HYPERLINK("https://lindat.mff.cuni.cz/services/teitok/pdtc10/index.php?action=vallex&amp;frame=v-whsa_335hsa_336", "vykroutit se (v-whsa_335hsa_336)")</f>
        <v>vykroutit se (v-whsa_335hsa_336)</v>
      </c>
    </row>
    <row r="57093" customFormat="false" ht="12.8" hidden="false" customHeight="false" outlineLevel="0" collapsed="false">
      <c r="B57093" s="0" t="s">
        <v>7</v>
      </c>
      <c r="D57093" s="0" t="s">
        <v>7000</v>
      </c>
      <c r="E57093" s="0" t="s">
        <v>7000</v>
      </c>
      <c r="F57093" s="0" t="s">
        <v>7000</v>
      </c>
    </row>
    <row r="57094" customFormat="false" ht="12.8" hidden="false" customHeight="false" outlineLevel="0" collapsed="false">
      <c r="B57094" s="0" t="s">
        <v>227</v>
      </c>
      <c r="D57094" s="0" t="s">
        <v>12969</v>
      </c>
      <c r="E57094" s="0" t="s">
        <v>12969</v>
      </c>
      <c r="F57094" s="0" t="s">
        <v>12969</v>
      </c>
    </row>
    <row r="57096" customFormat="false" ht="12.8" hidden="false" customHeight="false" outlineLevel="0" collapsed="false">
      <c r="A57096" s="0" t="s">
        <v>19828</v>
      </c>
      <c r="B57096" s="0" t="str">
        <f aca="false">HYPERLINK("https://lindat.mff.cuni.cz/services/teitok/pdtc10/index.php?action=vallex&amp;frame=v-w8039f2", "vykročit (v-w8039f2)")</f>
        <v>vykročit (v-w8039f2)</v>
      </c>
    </row>
    <row r="57097" customFormat="false" ht="12.8" hidden="false" customHeight="false" outlineLevel="0" collapsed="false">
      <c r="B57097" s="0" t="s">
        <v>7</v>
      </c>
      <c r="C57097" s="0" t="s">
        <v>3243</v>
      </c>
      <c r="D57097" s="0" t="s">
        <v>19829</v>
      </c>
      <c r="E57097" s="0" t="s">
        <v>10983</v>
      </c>
      <c r="F57097" s="0" t="s">
        <v>10983</v>
      </c>
    </row>
    <row r="57098" customFormat="false" ht="12.8" hidden="false" customHeight="false" outlineLevel="0" collapsed="false">
      <c r="B57098" s="0" t="s">
        <v>124</v>
      </c>
      <c r="D57098" s="0" t="s">
        <v>6364</v>
      </c>
      <c r="E57098" s="0" t="s">
        <v>17163</v>
      </c>
      <c r="F57098" s="0" t="s">
        <v>17163</v>
      </c>
    </row>
    <row r="57100" customFormat="false" ht="12.8" hidden="false" customHeight="false" outlineLevel="0" collapsed="false">
      <c r="A57100" s="0" t="s">
        <v>19830</v>
      </c>
      <c r="B57100" s="0" t="str">
        <f aca="false">HYPERLINK("https://lindat.mff.cuni.cz/services/teitok/pdtc10/index.php?action=vallex&amp;frame=v-w8039f1", "vykročit (v-w8039f1)")</f>
        <v>vykročit (v-w8039f1)</v>
      </c>
    </row>
    <row r="57101" customFormat="false" ht="12.8" hidden="false" customHeight="false" outlineLevel="0" collapsed="false">
      <c r="B57101" s="0" t="s">
        <v>7</v>
      </c>
    </row>
    <row r="57103" customFormat="false" ht="12.8" hidden="false" customHeight="false" outlineLevel="0" collapsed="false">
      <c r="A57103" s="0" t="s">
        <v>19831</v>
      </c>
      <c r="B57103" s="0" t="str">
        <f aca="false">HYPERLINK("https://lindat.mff.cuni.cz/services/teitok/pdtc10/index.php?action=vallex&amp;frame=v-w8040f1", "vykrvácet (v-w8040f1)")</f>
        <v>vykrvácet (v-w8040f1)</v>
      </c>
    </row>
    <row r="57104" customFormat="false" ht="12.8" hidden="false" customHeight="false" outlineLevel="0" collapsed="false">
      <c r="B57104" s="0" t="s">
        <v>7</v>
      </c>
      <c r="C57104" s="0" t="s">
        <v>248</v>
      </c>
      <c r="D57104" s="0" t="s">
        <v>184</v>
      </c>
      <c r="E57104" s="0" t="s">
        <v>184</v>
      </c>
      <c r="F57104" s="0" t="s">
        <v>184</v>
      </c>
    </row>
    <row r="57106" customFormat="false" ht="12.8" hidden="false" customHeight="false" outlineLevel="0" collapsed="false">
      <c r="A57106" s="0" t="s">
        <v>19832</v>
      </c>
      <c r="B57106" s="0" t="str">
        <f aca="false">HYPERLINK("https://lindat.mff.cuni.cz/services/teitok/pdtc10/index.php?action=vallex&amp;frame=v-w8041f1", "vykrystalizovat (v-w8041f1)")</f>
        <v>vykrystalizovat (v-w8041f1)</v>
      </c>
    </row>
    <row r="57107" customFormat="false" ht="12.8" hidden="false" customHeight="false" outlineLevel="0" collapsed="false">
      <c r="B57107" s="0" t="s">
        <v>7</v>
      </c>
      <c r="C57107" s="0" t="s">
        <v>247</v>
      </c>
      <c r="D57107" s="0" t="s">
        <v>19833</v>
      </c>
      <c r="E57107" s="0" t="s">
        <v>19833</v>
      </c>
      <c r="F57107" s="0" t="s">
        <v>19833</v>
      </c>
    </row>
    <row r="57109" customFormat="false" ht="12.8" hidden="false" customHeight="false" outlineLevel="0" collapsed="false">
      <c r="A57109" s="0" t="s">
        <v>19834</v>
      </c>
      <c r="B57109" s="0" t="str">
        <f aca="false">HYPERLINK("https://lindat.mff.cuni.cz/services/teitok/pdtc10/index.php?action=vallex&amp;frame=v-w10549f3", "vykrádat (v-w10549f3)")</f>
        <v>vykrádat (v-w10549f3)</v>
      </c>
    </row>
    <row r="57110" customFormat="false" ht="12.8" hidden="false" customHeight="false" outlineLevel="0" collapsed="false">
      <c r="B57110" s="0" t="s">
        <v>7</v>
      </c>
    </row>
    <row r="57111" customFormat="false" ht="12.8" hidden="false" customHeight="false" outlineLevel="0" collapsed="false">
      <c r="B57111" s="0" t="s">
        <v>14</v>
      </c>
      <c r="D57111" s="0" t="s">
        <v>155</v>
      </c>
      <c r="E57111" s="0" t="s">
        <v>155</v>
      </c>
      <c r="F57111" s="0" t="s">
        <v>155</v>
      </c>
    </row>
    <row r="57113" customFormat="false" ht="12.8" hidden="false" customHeight="false" outlineLevel="0" collapsed="false">
      <c r="A57113" s="0" t="s">
        <v>19835</v>
      </c>
      <c r="B57113" s="0" t="str">
        <f aca="false">HYPERLINK("https://lindat.mff.cuni.cz/services/teitok/pdtc10/index.php?action=vallex&amp;frame=v-w8034f1", "vykrást (v-w8034f1)")</f>
        <v>vykrást (v-w8034f1)</v>
      </c>
    </row>
    <row r="57114" customFormat="false" ht="12.8" hidden="false" customHeight="false" outlineLevel="0" collapsed="false">
      <c r="B57114" s="0" t="s">
        <v>7</v>
      </c>
    </row>
    <row r="57115" customFormat="false" ht="12.8" hidden="false" customHeight="false" outlineLevel="0" collapsed="false">
      <c r="B57115" s="0" t="s">
        <v>14</v>
      </c>
      <c r="D57115" s="0" t="s">
        <v>155</v>
      </c>
      <c r="E57115" s="0" t="s">
        <v>155</v>
      </c>
      <c r="F57115" s="0" t="s">
        <v>155</v>
      </c>
    </row>
    <row r="57117" customFormat="false" ht="12.8" hidden="false" customHeight="false" outlineLevel="0" collapsed="false">
      <c r="A57117" s="0" t="s">
        <v>19836</v>
      </c>
      <c r="B57117" s="0" t="str">
        <f aca="false">HYPERLINK("https://lindat.mff.cuni.cz/services/teitok/pdtc10/index.php?action=vallex&amp;frame=v-w8042f1", "vykrýt (v-w8042f1)")</f>
        <v>vykrýt (v-w8042f1)</v>
      </c>
    </row>
    <row r="57118" customFormat="false" ht="12.8" hidden="false" customHeight="false" outlineLevel="0" collapsed="false">
      <c r="B57118" s="0" t="s">
        <v>7</v>
      </c>
    </row>
    <row r="57119" customFormat="false" ht="12.8" hidden="false" customHeight="false" outlineLevel="0" collapsed="false">
      <c r="B57119" s="0" t="s">
        <v>14</v>
      </c>
    </row>
    <row r="57121" customFormat="false" ht="12.8" hidden="false" customHeight="false" outlineLevel="0" collapsed="false">
      <c r="A57121" s="0" t="s">
        <v>19837</v>
      </c>
      <c r="B57121" s="0" t="str">
        <f aca="false">HYPERLINK("https://lindat.mff.cuni.cz/services/teitok/pdtc10/index.php?action=vallex&amp;frame=v-whsa_1662hsa_1663", "vykuchat (v-whsa_1662hsa_1663)")</f>
        <v>vykuchat (v-whsa_1662hsa_1663)</v>
      </c>
    </row>
    <row r="57122" customFormat="false" ht="12.8" hidden="false" customHeight="false" outlineLevel="0" collapsed="false">
      <c r="B57122" s="0" t="s">
        <v>7</v>
      </c>
    </row>
    <row r="57123" customFormat="false" ht="12.8" hidden="false" customHeight="false" outlineLevel="0" collapsed="false">
      <c r="B57123" s="0" t="s">
        <v>14</v>
      </c>
    </row>
    <row r="57125" customFormat="false" ht="12.8" hidden="false" customHeight="false" outlineLevel="0" collapsed="false">
      <c r="A57125" s="0" t="s">
        <v>19838</v>
      </c>
      <c r="B57125" s="0" t="str">
        <f aca="false">HYPERLINK("https://lindat.mff.cuni.cz/services/teitok/pdtc10/index.php?action=vallex&amp;frame=v-w8045f1", "vykukovat (v-w8045f1)")</f>
        <v>vykukovat (v-w8045f1)</v>
      </c>
    </row>
    <row r="57126" customFormat="false" ht="12.8" hidden="false" customHeight="false" outlineLevel="0" collapsed="false">
      <c r="B57126" s="0" t="s">
        <v>7</v>
      </c>
    </row>
    <row r="57127" customFormat="false" ht="12.8" hidden="false" customHeight="false" outlineLevel="0" collapsed="false">
      <c r="B57127" s="0" t="s">
        <v>459</v>
      </c>
    </row>
    <row r="57129" customFormat="false" ht="12.8" hidden="false" customHeight="false" outlineLevel="0" collapsed="false">
      <c r="A57129" s="0" t="s">
        <v>19839</v>
      </c>
      <c r="B57129" s="0" t="str">
        <f aca="false">HYPERLINK("https://lindat.mff.cuni.cz/services/teitok/pdtc10/index.php?action=vallex&amp;frame=v-w8045f2_ZU", "vykukovat (v-w8045f2_ZU)")</f>
        <v>vykukovat (v-w8045f2_ZU)</v>
      </c>
    </row>
    <row r="57130" customFormat="false" ht="12.8" hidden="false" customHeight="false" outlineLevel="0" collapsed="false">
      <c r="B57130" s="0" t="s">
        <v>7</v>
      </c>
    </row>
    <row r="57131" customFormat="false" ht="12.8" hidden="false" customHeight="false" outlineLevel="0" collapsed="false">
      <c r="B57131" s="0" t="s">
        <v>5382</v>
      </c>
    </row>
    <row r="57133" customFormat="false" ht="12.8" hidden="false" customHeight="false" outlineLevel="0" collapsed="false">
      <c r="A57133" s="0" t="s">
        <v>19840</v>
      </c>
      <c r="B57133" s="0" t="str">
        <f aca="false">HYPERLINK("https://lindat.mff.cuni.cz/services/teitok/pdtc10/index.php?action=vallex&amp;frame=v-w11214f2", "vykulminovat (v-w11214f2)")</f>
        <v>vykulminovat (v-w11214f2)</v>
      </c>
    </row>
    <row r="57134" customFormat="false" ht="12.8" hidden="false" customHeight="false" outlineLevel="0" collapsed="false">
      <c r="B57134" s="0" t="s">
        <v>7</v>
      </c>
    </row>
    <row r="57136" customFormat="false" ht="12.8" hidden="false" customHeight="false" outlineLevel="0" collapsed="false">
      <c r="A57136" s="0" t="s">
        <v>19841</v>
      </c>
      <c r="B57136" s="0" t="str">
        <f aca="false">HYPERLINK("https://lindat.mff.cuni.cz/services/teitok/pdtc10/index.php?action=vallex&amp;frame=v-w8048f1", "vykupovat (v-w8048f1)")</f>
        <v>vykupovat (v-w8048f1)</v>
      </c>
    </row>
    <row r="57137" customFormat="false" ht="12.8" hidden="false" customHeight="false" outlineLevel="0" collapsed="false">
      <c r="B57137" s="0" t="s">
        <v>7</v>
      </c>
      <c r="C57137" s="0" t="s">
        <v>1874</v>
      </c>
      <c r="D57137" s="0" t="s">
        <v>4927</v>
      </c>
      <c r="E57137" s="0" t="s">
        <v>4927</v>
      </c>
      <c r="F57137" s="0" t="s">
        <v>4927</v>
      </c>
    </row>
    <row r="57138" customFormat="false" ht="12.8" hidden="false" customHeight="false" outlineLevel="0" collapsed="false">
      <c r="B57138" s="0" t="s">
        <v>14</v>
      </c>
      <c r="C57138" s="0" t="s">
        <v>25</v>
      </c>
      <c r="D57138" s="0" t="s">
        <v>4929</v>
      </c>
      <c r="E57138" s="0" t="s">
        <v>4929</v>
      </c>
      <c r="F57138" s="0" t="s">
        <v>4929</v>
      </c>
    </row>
    <row r="57139" customFormat="false" ht="12.8" hidden="false" customHeight="false" outlineLevel="0" collapsed="false">
      <c r="B57139" s="0" t="s">
        <v>441</v>
      </c>
      <c r="C57139" s="0" t="s">
        <v>4253</v>
      </c>
      <c r="D57139" s="0" t="s">
        <v>4932</v>
      </c>
      <c r="E57139" s="0" t="s">
        <v>4932</v>
      </c>
      <c r="F57139" s="0" t="s">
        <v>4932</v>
      </c>
    </row>
    <row r="57141" customFormat="false" ht="12.8" hidden="false" customHeight="false" outlineLevel="0" collapsed="false">
      <c r="A57141" s="0" t="s">
        <v>19842</v>
      </c>
      <c r="B57141" s="0" t="str">
        <f aca="false">HYPERLINK("https://lindat.mff.cuni.cz/services/teitok/pdtc10/index.php?action=vallex&amp;frame=v-w10054f2", "vykvasit (v-w10054f2)")</f>
        <v>vykvasit (v-w10054f2)</v>
      </c>
    </row>
    <row r="57142" customFormat="false" ht="12.8" hidden="false" customHeight="false" outlineLevel="0" collapsed="false">
      <c r="B57142" s="0" t="s">
        <v>7</v>
      </c>
    </row>
    <row r="57144" customFormat="false" ht="12.8" hidden="false" customHeight="false" outlineLevel="0" collapsed="false">
      <c r="A57144" s="0" t="s">
        <v>19843</v>
      </c>
      <c r="B57144" s="0" t="str">
        <f aca="false">HYPERLINK("https://lindat.mff.cuni.cz/services/teitok/pdtc10/index.php?action=vallex&amp;frame=v-w8049f1", "vykvést (v-w8049f1)")</f>
        <v>vykvést (v-w8049f1)</v>
      </c>
    </row>
    <row r="57145" customFormat="false" ht="12.8" hidden="false" customHeight="false" outlineLevel="0" collapsed="false">
      <c r="B57145" s="0" t="s">
        <v>7</v>
      </c>
    </row>
    <row r="57146" customFormat="false" ht="12.8" hidden="false" customHeight="false" outlineLevel="0" collapsed="false">
      <c r="B57146" s="0" t="s">
        <v>3745</v>
      </c>
    </row>
    <row r="57147" customFormat="false" ht="12.8" hidden="false" customHeight="false" outlineLevel="0" collapsed="false">
      <c r="B57147" s="0" t="s">
        <v>35</v>
      </c>
    </row>
    <row r="57149" customFormat="false" ht="12.8" hidden="false" customHeight="false" outlineLevel="0" collapsed="false">
      <c r="A57149" s="0" t="s">
        <v>19844</v>
      </c>
      <c r="B57149" s="0" t="str">
        <f aca="false">HYPERLINK("https://lindat.mff.cuni.cz/services/teitok/pdtc10/index.php?action=vallex&amp;frame=v-w8049f2", "vykvést (v-w8049f2)")</f>
        <v>vykvést (v-w8049f2)</v>
      </c>
    </row>
    <row r="57150" customFormat="false" ht="12.8" hidden="false" customHeight="false" outlineLevel="0" collapsed="false">
      <c r="B57150" s="0" t="s">
        <v>7</v>
      </c>
    </row>
    <row r="57151" customFormat="false" ht="12.8" hidden="false" customHeight="false" outlineLevel="0" collapsed="false">
      <c r="B57151" s="0" t="s">
        <v>581</v>
      </c>
    </row>
    <row r="57153" customFormat="false" ht="12.8" hidden="false" customHeight="false" outlineLevel="0" collapsed="false">
      <c r="A57153" s="0" t="s">
        <v>19845</v>
      </c>
      <c r="B57153" s="0" t="str">
        <f aca="false">HYPERLINK("https://lindat.mff.cuni.cz/services/teitok/pdtc10/index.php?action=vallex&amp;frame=v-whsa_1850hsa_1851", "vykydat (v-whsa_1850hsa_1851)")</f>
        <v>vykydat (v-whsa_1850hsa_1851)</v>
      </c>
    </row>
    <row r="57154" customFormat="false" ht="12.8" hidden="false" customHeight="false" outlineLevel="0" collapsed="false">
      <c r="B57154" s="0" t="s">
        <v>7</v>
      </c>
    </row>
    <row r="57155" customFormat="false" ht="12.8" hidden="false" customHeight="false" outlineLevel="0" collapsed="false">
      <c r="B57155" s="0" t="s">
        <v>14</v>
      </c>
    </row>
    <row r="57157" customFormat="false" ht="12.8" hidden="false" customHeight="false" outlineLevel="0" collapsed="false">
      <c r="A57157" s="0" t="s">
        <v>19846</v>
      </c>
      <c r="B57157" s="0" t="str">
        <f aca="false">HYPERLINK("https://lindat.mff.cuni.cz/services/teitok/pdtc10/index.php?action=vallex&amp;frame=v-w11764_ZUf1_ZU", "vykynout (v-w11764_ZUf1_ZU)")</f>
        <v>vykynout (v-w11764_ZUf1_ZU)</v>
      </c>
    </row>
    <row r="57158" customFormat="false" ht="12.8" hidden="false" customHeight="false" outlineLevel="0" collapsed="false">
      <c r="B57158" s="0" t="s">
        <v>7</v>
      </c>
    </row>
    <row r="57160" customFormat="false" ht="12.8" hidden="false" customHeight="false" outlineLevel="0" collapsed="false">
      <c r="A57160" s="0" t="s">
        <v>19847</v>
      </c>
      <c r="B57160" s="0" t="str">
        <f aca="false">HYPERLINK("https://lindat.mff.cuni.cz/services/teitok/pdtc10/index.php?action=vallex&amp;frame=v-whsa_1885hsa_1886", "vykácet (v-whsa_1885hsa_1886)")</f>
        <v>vykácet (v-whsa_1885hsa_1886)</v>
      </c>
    </row>
    <row r="57161" customFormat="false" ht="12.8" hidden="false" customHeight="false" outlineLevel="0" collapsed="false">
      <c r="B57161" s="0" t="s">
        <v>7</v>
      </c>
    </row>
    <row r="57162" customFormat="false" ht="12.8" hidden="false" customHeight="false" outlineLevel="0" collapsed="false">
      <c r="B57162" s="0" t="s">
        <v>14</v>
      </c>
    </row>
    <row r="57164" customFormat="false" ht="12.8" hidden="false" customHeight="false" outlineLevel="0" collapsed="false">
      <c r="A57164" s="0" t="s">
        <v>19848</v>
      </c>
      <c r="B57164" s="0" t="str">
        <f aca="false">HYPERLINK("https://lindat.mff.cuni.cz/services/teitok/pdtc10/index.php?action=vallex&amp;frame=v-whsa_652hsa_653", "vykálet se (v-whsa_652hsa_653)")</f>
        <v>vykálet se (v-whsa_652hsa_653)</v>
      </c>
    </row>
    <row r="57165" customFormat="false" ht="12.8" hidden="false" customHeight="false" outlineLevel="0" collapsed="false">
      <c r="B57165" s="0" t="s">
        <v>7</v>
      </c>
    </row>
    <row r="57167" customFormat="false" ht="12.8" hidden="false" customHeight="false" outlineLevel="0" collapsed="false">
      <c r="A57167" s="0" t="s">
        <v>19849</v>
      </c>
      <c r="B57167" s="0" t="str">
        <f aca="false">HYPERLINK("https://lindat.mff.cuni.cz/services/teitok/pdtc10/index.php?action=vallex&amp;frame=v-w8000f1", "vykázat (v-w8000f1)")</f>
        <v>vykázat (v-w8000f1)</v>
      </c>
    </row>
    <row r="57168" customFormat="false" ht="12.8" hidden="false" customHeight="false" outlineLevel="0" collapsed="false">
      <c r="B57168" s="0" t="s">
        <v>7</v>
      </c>
      <c r="C57168" s="0" t="s">
        <v>19850</v>
      </c>
      <c r="D57168" s="0" t="s">
        <v>391</v>
      </c>
      <c r="E57168" s="0" t="s">
        <v>391</v>
      </c>
      <c r="F57168" s="0" t="s">
        <v>391</v>
      </c>
    </row>
    <row r="57169" customFormat="false" ht="12.8" hidden="false" customHeight="false" outlineLevel="0" collapsed="false">
      <c r="B57169" s="0" t="s">
        <v>8144</v>
      </c>
      <c r="C57169" s="0" t="s">
        <v>19851</v>
      </c>
      <c r="D57169" s="0" t="s">
        <v>1278</v>
      </c>
      <c r="E57169" s="0" t="s">
        <v>1278</v>
      </c>
      <c r="F57169" s="0" t="s">
        <v>1278</v>
      </c>
    </row>
    <row r="57170" customFormat="false" ht="12.8" hidden="false" customHeight="false" outlineLevel="0" collapsed="false">
      <c r="B57170" s="0" t="s">
        <v>106</v>
      </c>
      <c r="C57170" s="0" t="s">
        <v>19852</v>
      </c>
    </row>
    <row r="57172" customFormat="false" ht="12.8" hidden="false" customHeight="false" outlineLevel="0" collapsed="false">
      <c r="A57172" s="0" t="s">
        <v>19853</v>
      </c>
      <c r="B57172" s="0" t="str">
        <f aca="false">HYPERLINK("https://lindat.mff.cuni.cz/services/teitok/pdtc10/index.php?action=vallex&amp;frame=v-w8000f2", "vykázat (v-w8000f2)")</f>
        <v>vykázat (v-w8000f2)</v>
      </c>
    </row>
    <row r="57173" customFormat="false" ht="12.8" hidden="false" customHeight="false" outlineLevel="0" collapsed="false">
      <c r="B57173" s="0" t="s">
        <v>7</v>
      </c>
      <c r="C57173" s="0" t="s">
        <v>4783</v>
      </c>
      <c r="D57173" s="0" t="s">
        <v>1567</v>
      </c>
      <c r="E57173" s="0" t="s">
        <v>1567</v>
      </c>
      <c r="F57173" s="0" t="s">
        <v>1567</v>
      </c>
    </row>
    <row r="57174" customFormat="false" ht="12.8" hidden="false" customHeight="false" outlineLevel="0" collapsed="false">
      <c r="B57174" s="0" t="s">
        <v>14</v>
      </c>
      <c r="C57174" s="0" t="s">
        <v>14677</v>
      </c>
      <c r="D57174" s="0" t="s">
        <v>1568</v>
      </c>
      <c r="E57174" s="0" t="s">
        <v>1568</v>
      </c>
      <c r="F57174" s="0" t="s">
        <v>1568</v>
      </c>
    </row>
    <row r="57175" customFormat="false" ht="12.8" hidden="false" customHeight="false" outlineLevel="0" collapsed="false">
      <c r="B57175" s="0" t="s">
        <v>459</v>
      </c>
      <c r="D57175" s="0" t="s">
        <v>1569</v>
      </c>
      <c r="E57175" s="0" t="s">
        <v>1569</v>
      </c>
      <c r="F57175" s="0" t="s">
        <v>1569</v>
      </c>
    </row>
    <row r="57177" customFormat="false" ht="12.8" hidden="false" customHeight="false" outlineLevel="0" collapsed="false">
      <c r="A57177" s="0" t="s">
        <v>19854</v>
      </c>
      <c r="B57177" s="0" t="str">
        <f aca="false">HYPERLINK("https://lindat.mff.cuni.cz/services/teitok/pdtc10/index.php?action=vallex&amp;frame=v-w8001f1", "vykázat se (v-w8001f1)")</f>
        <v>vykázat se (v-w8001f1)</v>
      </c>
    </row>
    <row r="57178" customFormat="false" ht="12.8" hidden="false" customHeight="false" outlineLevel="0" collapsed="false">
      <c r="B57178" s="0" t="s">
        <v>7</v>
      </c>
    </row>
    <row r="57179" customFormat="false" ht="12.8" hidden="false" customHeight="false" outlineLevel="0" collapsed="false">
      <c r="B57179" s="0" t="s">
        <v>216</v>
      </c>
    </row>
    <row r="57181" customFormat="false" ht="12.8" hidden="false" customHeight="false" outlineLevel="0" collapsed="false">
      <c r="A57181" s="0" t="s">
        <v>19855</v>
      </c>
      <c r="B57181" s="0" t="str">
        <f aca="false">HYPERLINK("https://lindat.mff.cuni.cz/services/teitok/pdtc10/index.php?action=vallex&amp;frame=v-w8043f1", "vykřiknout (v-w8043f1)")</f>
        <v>vykřiknout (v-w8043f1)</v>
      </c>
    </row>
    <row r="57182" customFormat="false" ht="12.8" hidden="false" customHeight="false" outlineLevel="0" collapsed="false">
      <c r="B57182" s="0" t="s">
        <v>7</v>
      </c>
      <c r="C57182" s="0" t="s">
        <v>194</v>
      </c>
      <c r="D57182" s="0" t="s">
        <v>3051</v>
      </c>
      <c r="E57182" s="0" t="s">
        <v>3051</v>
      </c>
      <c r="F57182" s="0" t="s">
        <v>3051</v>
      </c>
    </row>
    <row r="57183" customFormat="false" ht="12.8" hidden="false" customHeight="false" outlineLevel="0" collapsed="false">
      <c r="B57183" s="0" t="s">
        <v>2573</v>
      </c>
      <c r="C57183" s="0" t="s">
        <v>1146</v>
      </c>
      <c r="D57183" s="0" t="s">
        <v>466</v>
      </c>
      <c r="E57183" s="0" t="s">
        <v>466</v>
      </c>
      <c r="F57183" s="0" t="s">
        <v>466</v>
      </c>
    </row>
    <row r="57184" customFormat="false" ht="12.8" hidden="false" customHeight="false" outlineLevel="0" collapsed="false">
      <c r="B57184" s="0" t="s">
        <v>4101</v>
      </c>
      <c r="C57184" s="0" t="s">
        <v>4154</v>
      </c>
      <c r="D57184" s="0" t="s">
        <v>4154</v>
      </c>
      <c r="E57184" s="0" t="s">
        <v>4154</v>
      </c>
      <c r="F57184" s="0" t="s">
        <v>4154</v>
      </c>
    </row>
    <row r="57186" customFormat="false" ht="12.8" hidden="false" customHeight="false" outlineLevel="0" collapsed="false">
      <c r="A57186" s="0" t="s">
        <v>19856</v>
      </c>
      <c r="B57186" s="0" t="str">
        <f aca="false">HYPERLINK("https://lindat.mff.cuni.cz/services/teitok/pdtc10/index.php?action=vallex&amp;frame=v-w8044f1", "vykřikovat (v-w8044f1)")</f>
        <v>vykřikovat (v-w8044f1)</v>
      </c>
    </row>
    <row r="57187" customFormat="false" ht="12.8" hidden="false" customHeight="false" outlineLevel="0" collapsed="false">
      <c r="B57187" s="0" t="s">
        <v>7</v>
      </c>
      <c r="C57187" s="0" t="s">
        <v>3664</v>
      </c>
      <c r="D57187" s="0" t="s">
        <v>3051</v>
      </c>
      <c r="E57187" s="0" t="s">
        <v>3051</v>
      </c>
      <c r="F57187" s="0" t="s">
        <v>3051</v>
      </c>
    </row>
    <row r="57188" customFormat="false" ht="12.8" hidden="false" customHeight="false" outlineLevel="0" collapsed="false">
      <c r="B57188" s="0" t="s">
        <v>19857</v>
      </c>
      <c r="C57188" s="0" t="s">
        <v>3860</v>
      </c>
      <c r="D57188" s="0" t="s">
        <v>466</v>
      </c>
      <c r="E57188" s="0" t="s">
        <v>466</v>
      </c>
      <c r="F57188" s="0" t="s">
        <v>466</v>
      </c>
    </row>
    <row r="57189" customFormat="false" ht="12.8" hidden="false" customHeight="false" outlineLevel="0" collapsed="false">
      <c r="B57189" s="0" t="s">
        <v>4101</v>
      </c>
      <c r="C57189" s="0" t="s">
        <v>11117</v>
      </c>
      <c r="D57189" s="0" t="s">
        <v>4154</v>
      </c>
      <c r="E57189" s="0" t="s">
        <v>4154</v>
      </c>
      <c r="F57189" s="0" t="s">
        <v>4154</v>
      </c>
    </row>
    <row r="57191" customFormat="false" ht="12.8" hidden="false" customHeight="false" outlineLevel="0" collapsed="false">
      <c r="A57191" s="0" t="s">
        <v>19858</v>
      </c>
      <c r="B57191" s="0" t="str">
        <f aca="false">HYPERLINK("https://lindat.mff.cuni.cz/services/teitok/pdtc10/index.php?action=vallex&amp;frame=v-w8044hsa_238", "vykřikovat (v-w8044hsa_238)")</f>
        <v>vykřikovat (v-w8044hsa_238)</v>
      </c>
    </row>
    <row r="57192" customFormat="false" ht="12.8" hidden="false" customHeight="false" outlineLevel="0" collapsed="false">
      <c r="B57192" s="0" t="s">
        <v>7</v>
      </c>
    </row>
    <row r="57193" customFormat="false" ht="12.8" hidden="false" customHeight="false" outlineLevel="0" collapsed="false">
      <c r="B57193" s="0" t="s">
        <v>5525</v>
      </c>
    </row>
    <row r="57194" customFormat="false" ht="12.8" hidden="false" customHeight="false" outlineLevel="0" collapsed="false">
      <c r="B57194" s="0" t="s">
        <v>363</v>
      </c>
    </row>
    <row r="57196" customFormat="false" ht="12.8" hidden="false" customHeight="false" outlineLevel="0" collapsed="false">
      <c r="A57196" s="0" t="s">
        <v>19859</v>
      </c>
      <c r="B57196" s="0" t="str">
        <f aca="false">HYPERLINK("https://lindat.mff.cuni.cz/services/teitok/pdtc10/index.php?action=vallex&amp;frame=v-w10706f2", "vyladit (v-w10706f2)")</f>
        <v>vyladit (v-w10706f2)</v>
      </c>
    </row>
    <row r="57197" customFormat="false" ht="12.8" hidden="false" customHeight="false" outlineLevel="0" collapsed="false">
      <c r="B57197" s="0" t="s">
        <v>7</v>
      </c>
    </row>
    <row r="57198" customFormat="false" ht="12.8" hidden="false" customHeight="false" outlineLevel="0" collapsed="false">
      <c r="B57198" s="0" t="s">
        <v>14</v>
      </c>
    </row>
    <row r="57200" customFormat="false" ht="12.8" hidden="false" customHeight="false" outlineLevel="0" collapsed="false">
      <c r="A57200" s="0" t="s">
        <v>19860</v>
      </c>
      <c r="B57200" s="0" t="str">
        <f aca="false">HYPERLINK("https://lindat.mff.cuni.cz/services/teitok/pdtc10/index.php?action=vallex&amp;frame=v-w8052f1", "vylamovat (v-w8052f1)")</f>
        <v>vylamovat (v-w8052f1)</v>
      </c>
    </row>
    <row r="57201" customFormat="false" ht="12.8" hidden="false" customHeight="false" outlineLevel="0" collapsed="false">
      <c r="B57201" s="0" t="s">
        <v>7</v>
      </c>
    </row>
    <row r="57202" customFormat="false" ht="12.8" hidden="false" customHeight="false" outlineLevel="0" collapsed="false">
      <c r="B57202" s="0" t="s">
        <v>14</v>
      </c>
    </row>
    <row r="57203" customFormat="false" ht="12.8" hidden="false" customHeight="false" outlineLevel="0" collapsed="false">
      <c r="B57203" s="0" t="s">
        <v>459</v>
      </c>
    </row>
    <row r="57205" customFormat="false" ht="12.8" hidden="false" customHeight="false" outlineLevel="0" collapsed="false">
      <c r="A57205" s="0" t="s">
        <v>19861</v>
      </c>
      <c r="B57205" s="0" t="str">
        <f aca="false">HYPERLINK("https://lindat.mff.cuni.cz/services/teitok/pdtc10/index.php?action=vallex&amp;frame=v-w8052f3", "vylamovat (v-w8052f3)")</f>
        <v>vylamovat (v-w8052f3)</v>
      </c>
    </row>
    <row r="57206" customFormat="false" ht="12.8" hidden="false" customHeight="false" outlineLevel="0" collapsed="false">
      <c r="B57206" s="0" t="s">
        <v>7</v>
      </c>
    </row>
    <row r="57207" customFormat="false" ht="12.8" hidden="false" customHeight="false" outlineLevel="0" collapsed="false">
      <c r="B57207" s="0" t="s">
        <v>14</v>
      </c>
    </row>
    <row r="57209" customFormat="false" ht="12.8" hidden="false" customHeight="false" outlineLevel="0" collapsed="false">
      <c r="A57209" s="0" t="s">
        <v>19862</v>
      </c>
      <c r="B57209" s="0" t="str">
        <f aca="false">HYPERLINK("https://lindat.mff.cuni.cz/services/teitok/pdtc10/index.php?action=vallex&amp;frame=v-w8052f2", "vylamovat (v-w8052f2)")</f>
        <v>vylamovat (v-w8052f2)</v>
      </c>
    </row>
    <row r="57210" customFormat="false" ht="12.8" hidden="false" customHeight="false" outlineLevel="0" collapsed="false">
      <c r="B57210" s="0" t="s">
        <v>7</v>
      </c>
    </row>
    <row r="57211" customFormat="false" ht="12.8" hidden="false" customHeight="false" outlineLevel="0" collapsed="false">
      <c r="B57211" s="0" t="s">
        <v>14</v>
      </c>
    </row>
    <row r="57213" customFormat="false" ht="12.8" hidden="false" customHeight="false" outlineLevel="0" collapsed="false">
      <c r="A57213" s="0" t="s">
        <v>19863</v>
      </c>
      <c r="B57213" s="0" t="str">
        <f aca="false">HYPERLINK("https://lindat.mff.cuni.cz/services/teitok/pdtc10/index.php?action=vallex&amp;frame=v-w8055f1", "vylekat (v-w8055f1)")</f>
        <v>vylekat (v-w8055f1)</v>
      </c>
    </row>
    <row r="57214" customFormat="false" ht="12.8" hidden="false" customHeight="false" outlineLevel="0" collapsed="false">
      <c r="B57214" s="0" t="s">
        <v>7</v>
      </c>
    </row>
    <row r="57215" customFormat="false" ht="12.8" hidden="false" customHeight="false" outlineLevel="0" collapsed="false">
      <c r="B57215" s="0" t="s">
        <v>14</v>
      </c>
    </row>
    <row r="57217" customFormat="false" ht="12.8" hidden="false" customHeight="false" outlineLevel="0" collapsed="false">
      <c r="A57217" s="0" t="s">
        <v>19864</v>
      </c>
      <c r="B57217" s="0" t="str">
        <f aca="false">HYPERLINK("https://lindat.mff.cuni.cz/services/teitok/pdtc10/index.php?action=vallex&amp;frame=v-w11373f1", "vylekat se (v-w11373f1)")</f>
        <v>vylekat se (v-w11373f1)</v>
      </c>
    </row>
    <row r="57218" customFormat="false" ht="12.8" hidden="false" customHeight="false" outlineLevel="0" collapsed="false">
      <c r="B57218" s="0" t="s">
        <v>7</v>
      </c>
    </row>
    <row r="57220" customFormat="false" ht="12.8" hidden="false" customHeight="false" outlineLevel="0" collapsed="false">
      <c r="A57220" s="0" t="s">
        <v>19865</v>
      </c>
      <c r="B57220" s="0" t="str">
        <f aca="false">HYPERLINK("https://lindat.mff.cuni.cz/services/teitok/pdtc10/index.php?action=vallex&amp;frame=v-w8056f1", "vylepit (v-w8056f1)")</f>
        <v>vylepit (v-w8056f1)</v>
      </c>
    </row>
    <row r="57221" customFormat="false" ht="12.8" hidden="false" customHeight="false" outlineLevel="0" collapsed="false">
      <c r="B57221" s="0" t="s">
        <v>7</v>
      </c>
    </row>
    <row r="57222" customFormat="false" ht="12.8" hidden="false" customHeight="false" outlineLevel="0" collapsed="false">
      <c r="B57222" s="0" t="s">
        <v>54</v>
      </c>
    </row>
    <row r="57223" customFormat="false" ht="12.8" hidden="false" customHeight="false" outlineLevel="0" collapsed="false">
      <c r="B57223" s="0" t="s">
        <v>11</v>
      </c>
    </row>
    <row r="57225" customFormat="false" ht="12.8" hidden="false" customHeight="false" outlineLevel="0" collapsed="false">
      <c r="A57225" s="0" t="s">
        <v>19866</v>
      </c>
      <c r="B57225" s="0" t="str">
        <f aca="false">HYPERLINK("https://lindat.mff.cuni.cz/services/teitok/pdtc10/index.php?action=vallex&amp;frame=v-w8056f2", "vylepit (v-w8056f2)")</f>
        <v>vylepit (v-w8056f2)</v>
      </c>
    </row>
    <row r="57226" customFormat="false" ht="12.8" hidden="false" customHeight="false" outlineLevel="0" collapsed="false">
      <c r="B57226" s="0" t="s">
        <v>7</v>
      </c>
    </row>
    <row r="57227" customFormat="false" ht="12.8" hidden="false" customHeight="false" outlineLevel="0" collapsed="false">
      <c r="B57227" s="0" t="s">
        <v>54</v>
      </c>
    </row>
    <row r="57228" customFormat="false" ht="12.8" hidden="false" customHeight="false" outlineLevel="0" collapsed="false">
      <c r="B57228" s="0" t="s">
        <v>124</v>
      </c>
    </row>
    <row r="57230" customFormat="false" ht="12.8" hidden="false" customHeight="false" outlineLevel="0" collapsed="false">
      <c r="A57230" s="0" t="s">
        <v>19867</v>
      </c>
      <c r="B57230" s="0" t="str">
        <f aca="false">HYPERLINK("https://lindat.mff.cuni.cz/services/teitok/pdtc10/index.php?action=vallex&amp;frame=v-w8058f1", "vylepšit (v-w8058f1)")</f>
        <v>vylepšit (v-w8058f1)</v>
      </c>
    </row>
    <row r="57231" customFormat="false" ht="12.8" hidden="false" customHeight="false" outlineLevel="0" collapsed="false">
      <c r="B57231" s="0" t="s">
        <v>7</v>
      </c>
      <c r="C57231" s="0" t="s">
        <v>19868</v>
      </c>
      <c r="D57231" s="0" t="s">
        <v>5017</v>
      </c>
      <c r="E57231" s="0" t="s">
        <v>5017</v>
      </c>
      <c r="F57231" s="0" t="s">
        <v>5017</v>
      </c>
    </row>
    <row r="57232" customFormat="false" ht="12.8" hidden="false" customHeight="false" outlineLevel="0" collapsed="false">
      <c r="B57232" s="0" t="s">
        <v>14</v>
      </c>
      <c r="C57232" s="0" t="s">
        <v>7533</v>
      </c>
      <c r="D57232" s="0" t="s">
        <v>5018</v>
      </c>
      <c r="E57232" s="0" t="s">
        <v>5018</v>
      </c>
      <c r="F57232" s="0" t="s">
        <v>5018</v>
      </c>
    </row>
    <row r="57233" customFormat="false" ht="12.8" hidden="false" customHeight="false" outlineLevel="0" collapsed="false">
      <c r="B57233" s="0" t="s">
        <v>35</v>
      </c>
      <c r="D57233" s="0" t="s">
        <v>17935</v>
      </c>
      <c r="E57233" s="0" t="s">
        <v>17935</v>
      </c>
      <c r="F57233" s="0" t="s">
        <v>17935</v>
      </c>
    </row>
    <row r="57234" customFormat="false" ht="12.8" hidden="false" customHeight="false" outlineLevel="0" collapsed="false">
      <c r="B57234" s="0" t="s">
        <v>84</v>
      </c>
      <c r="C57234" s="0" t="s">
        <v>19869</v>
      </c>
      <c r="D57234" s="0" t="s">
        <v>17936</v>
      </c>
      <c r="E57234" s="0" t="s">
        <v>17936</v>
      </c>
      <c r="F57234" s="0" t="s">
        <v>17936</v>
      </c>
    </row>
    <row r="57236" customFormat="false" ht="12.8" hidden="false" customHeight="false" outlineLevel="0" collapsed="false">
      <c r="A57236" s="0" t="s">
        <v>19870</v>
      </c>
      <c r="B57236" s="0" t="str">
        <f aca="false">HYPERLINK("https://lindat.mff.cuni.cz/services/teitok/pdtc10/index.php?action=vallex&amp;frame=v-w8059f1", "vylepšovat (v-w8059f1)")</f>
        <v>vylepšovat (v-w8059f1)</v>
      </c>
    </row>
    <row r="57237" customFormat="false" ht="12.8" hidden="false" customHeight="false" outlineLevel="0" collapsed="false">
      <c r="B57237" s="0" t="s">
        <v>7</v>
      </c>
      <c r="C57237" s="0" t="s">
        <v>4116</v>
      </c>
      <c r="D57237" s="0" t="s">
        <v>5017</v>
      </c>
      <c r="E57237" s="0" t="s">
        <v>5017</v>
      </c>
      <c r="F57237" s="0" t="s">
        <v>5017</v>
      </c>
    </row>
    <row r="57238" customFormat="false" ht="12.8" hidden="false" customHeight="false" outlineLevel="0" collapsed="false">
      <c r="B57238" s="0" t="s">
        <v>14</v>
      </c>
      <c r="C57238" s="0" t="s">
        <v>1631</v>
      </c>
      <c r="D57238" s="0" t="s">
        <v>5018</v>
      </c>
      <c r="E57238" s="0" t="s">
        <v>5018</v>
      </c>
      <c r="F57238" s="0" t="s">
        <v>5018</v>
      </c>
    </row>
    <row r="57239" customFormat="false" ht="12.8" hidden="false" customHeight="false" outlineLevel="0" collapsed="false">
      <c r="B57239" s="0" t="s">
        <v>35</v>
      </c>
      <c r="D57239" s="0" t="s">
        <v>17935</v>
      </c>
      <c r="E57239" s="0" t="s">
        <v>17935</v>
      </c>
      <c r="F57239" s="0" t="s">
        <v>17935</v>
      </c>
    </row>
    <row r="57240" customFormat="false" ht="12.8" hidden="false" customHeight="false" outlineLevel="0" collapsed="false">
      <c r="B57240" s="0" t="s">
        <v>84</v>
      </c>
      <c r="C57240" s="0" t="s">
        <v>6439</v>
      </c>
      <c r="D57240" s="0" t="s">
        <v>17936</v>
      </c>
      <c r="E57240" s="0" t="s">
        <v>17936</v>
      </c>
      <c r="F57240" s="0" t="s">
        <v>17936</v>
      </c>
    </row>
    <row r="57242" customFormat="false" ht="12.8" hidden="false" customHeight="false" outlineLevel="0" collapsed="false">
      <c r="A57242" s="0" t="s">
        <v>19871</v>
      </c>
      <c r="B57242" s="0" t="str">
        <f aca="false">HYPERLINK("https://lindat.mff.cuni.cz/services/teitok/pdtc10/index.php?action=vallex&amp;frame=v-w8060f8_ZU", "vyletět (v-w8060f8_ZU)")</f>
        <v>vyletět (v-w8060f8_ZU)</v>
      </c>
    </row>
    <row r="57243" customFormat="false" ht="12.8" hidden="false" customHeight="false" outlineLevel="0" collapsed="false">
      <c r="B57243" s="0" t="s">
        <v>7</v>
      </c>
      <c r="C57243" s="0" t="s">
        <v>13501</v>
      </c>
      <c r="D57243" s="0" t="s">
        <v>6244</v>
      </c>
      <c r="E57243" s="0" t="s">
        <v>6244</v>
      </c>
      <c r="F57243" s="0" t="s">
        <v>6244</v>
      </c>
    </row>
    <row r="57244" customFormat="false" ht="12.8" hidden="false" customHeight="false" outlineLevel="0" collapsed="false">
      <c r="B57244" s="0" t="s">
        <v>63</v>
      </c>
      <c r="C57244" s="0" t="s">
        <v>19872</v>
      </c>
      <c r="D57244" s="0" t="s">
        <v>4496</v>
      </c>
      <c r="E57244" s="0" t="s">
        <v>4496</v>
      </c>
      <c r="F57244" s="0" t="s">
        <v>4496</v>
      </c>
    </row>
    <row r="57245" customFormat="false" ht="12.8" hidden="false" customHeight="false" outlineLevel="0" collapsed="false">
      <c r="B57245" s="0" t="s">
        <v>35</v>
      </c>
      <c r="C57245" s="0" t="s">
        <v>19873</v>
      </c>
      <c r="D57245" s="0" t="s">
        <v>4497</v>
      </c>
      <c r="E57245" s="0" t="s">
        <v>4497</v>
      </c>
      <c r="F57245" s="0" t="s">
        <v>4497</v>
      </c>
    </row>
    <row r="57247" customFormat="false" ht="12.8" hidden="false" customHeight="false" outlineLevel="0" collapsed="false">
      <c r="A57247" s="0" t="s">
        <v>19871</v>
      </c>
      <c r="B57247" s="0" t="str">
        <f aca="false">HYPERLINK("https://lindat.mff.cuni.cz/services/teitok/pdtc10/index.php?action=vallex&amp;frame=v-w8060f3_ZU", "vyletět (v-w8060f3_ZU) - substituted with v-w8060f8_ZU")</f>
        <v>vyletět (v-w8060f3_ZU) - substituted with v-w8060f8_ZU</v>
      </c>
    </row>
    <row r="57248" customFormat="false" ht="12.8" hidden="false" customHeight="false" outlineLevel="0" collapsed="false">
      <c r="B57248" s="0" t="s">
        <v>7</v>
      </c>
      <c r="C57248" s="0" t="s">
        <v>19874</v>
      </c>
    </row>
    <row r="57249" customFormat="false" ht="12.8" hidden="false" customHeight="false" outlineLevel="0" collapsed="false">
      <c r="B57249" s="0" t="s">
        <v>63</v>
      </c>
      <c r="C57249" s="0" t="s">
        <v>19875</v>
      </c>
    </row>
    <row r="57250" customFormat="false" ht="12.8" hidden="false" customHeight="false" outlineLevel="0" collapsed="false">
      <c r="B57250" s="0" t="s">
        <v>35</v>
      </c>
      <c r="C57250" s="0" t="s">
        <v>19876</v>
      </c>
    </row>
    <row r="57252" customFormat="false" ht="12.8" hidden="false" customHeight="false" outlineLevel="0" collapsed="false">
      <c r="A57252" s="0" t="s">
        <v>19871</v>
      </c>
      <c r="B57252" s="0" t="str">
        <f aca="false">HYPERLINK("https://lindat.mff.cuni.cz/services/teitok/pdtc10/index.php?action=vallex&amp;frame=v-w8060f7_ZU", "vyletět (v-w8060f7_ZU) - substituted with v-w8060f8_ZU")</f>
        <v>vyletět (v-w8060f7_ZU) - substituted with v-w8060f8_ZU</v>
      </c>
    </row>
    <row r="57253" customFormat="false" ht="12.8" hidden="false" customHeight="false" outlineLevel="0" collapsed="false">
      <c r="B57253" s="0" t="s">
        <v>7</v>
      </c>
      <c r="C57253" s="0" t="s">
        <v>19877</v>
      </c>
    </row>
    <row r="57254" customFormat="false" ht="12.8" hidden="false" customHeight="false" outlineLevel="0" collapsed="false">
      <c r="B57254" s="0" t="s">
        <v>63</v>
      </c>
      <c r="C57254" s="0" t="s">
        <v>15772</v>
      </c>
    </row>
    <row r="57255" customFormat="false" ht="12.8" hidden="false" customHeight="false" outlineLevel="0" collapsed="false">
      <c r="B57255" s="0" t="s">
        <v>35</v>
      </c>
      <c r="C57255" s="0" t="s">
        <v>10752</v>
      </c>
    </row>
    <row r="57257" customFormat="false" ht="12.8" hidden="false" customHeight="false" outlineLevel="0" collapsed="false">
      <c r="A57257" s="0" t="s">
        <v>19878</v>
      </c>
      <c r="B57257" s="0" t="str">
        <f aca="false">HYPERLINK("https://lindat.mff.cuni.cz/services/teitok/pdtc10/index.php?action=vallex&amp;frame=v-w8060f1", "vyletět (v-w8060f1)")</f>
        <v>vyletět (v-w8060f1)</v>
      </c>
    </row>
    <row r="57258" customFormat="false" ht="12.8" hidden="false" customHeight="false" outlineLevel="0" collapsed="false">
      <c r="B57258" s="0" t="s">
        <v>7</v>
      </c>
    </row>
    <row r="57259" customFormat="false" ht="12.8" hidden="false" customHeight="false" outlineLevel="0" collapsed="false">
      <c r="B57259" s="0" t="s">
        <v>41</v>
      </c>
    </row>
    <row r="57261" customFormat="false" ht="12.8" hidden="false" customHeight="false" outlineLevel="0" collapsed="false">
      <c r="A57261" s="0" t="s">
        <v>19879</v>
      </c>
      <c r="B57261" s="0" t="str">
        <f aca="false">HYPERLINK("https://lindat.mff.cuni.cz/services/teitok/pdtc10/index.php?action=vallex&amp;frame=v-w8060f2", "vyletět (v-w8060f2)")</f>
        <v>vyletět (v-w8060f2)</v>
      </c>
    </row>
    <row r="57262" customFormat="false" ht="12.8" hidden="false" customHeight="false" outlineLevel="0" collapsed="false">
      <c r="B57262" s="0" t="s">
        <v>7</v>
      </c>
    </row>
    <row r="57263" customFormat="false" ht="12.8" hidden="false" customHeight="false" outlineLevel="0" collapsed="false">
      <c r="B57263" s="0" t="s">
        <v>459</v>
      </c>
    </row>
    <row r="57265" customFormat="false" ht="12.8" hidden="false" customHeight="false" outlineLevel="0" collapsed="false">
      <c r="A57265" s="0" t="s">
        <v>19880</v>
      </c>
      <c r="B57265" s="0" t="str">
        <f aca="false">HYPERLINK("https://lindat.mff.cuni.cz/services/teitok/pdtc10/index.php?action=vallex&amp;frame=v-w8060f6_ZU", "vyletět (v-w8060f6_ZU)")</f>
        <v>vyletět (v-w8060f6_ZU)</v>
      </c>
    </row>
    <row r="57266" customFormat="false" ht="12.8" hidden="false" customHeight="false" outlineLevel="0" collapsed="false">
      <c r="B57266" s="0" t="s">
        <v>7</v>
      </c>
      <c r="C57266" s="0" t="s">
        <v>19881</v>
      </c>
      <c r="D57266" s="0" t="s">
        <v>19882</v>
      </c>
      <c r="E57266" s="0" t="s">
        <v>19882</v>
      </c>
      <c r="F57266" s="0" t="s">
        <v>19882</v>
      </c>
    </row>
    <row r="57267" customFormat="false" ht="12.8" hidden="false" customHeight="false" outlineLevel="0" collapsed="false">
      <c r="B57267" s="0" t="s">
        <v>338</v>
      </c>
      <c r="D57267" s="0" t="s">
        <v>19883</v>
      </c>
      <c r="E57267" s="0" t="s">
        <v>19883</v>
      </c>
      <c r="F57267" s="0" t="s">
        <v>19883</v>
      </c>
    </row>
    <row r="57269" customFormat="false" ht="12.8" hidden="false" customHeight="false" outlineLevel="0" collapsed="false">
      <c r="A57269" s="0" t="s">
        <v>19880</v>
      </c>
      <c r="B57269" s="0" t="str">
        <f aca="false">HYPERLINK("https://lindat.mff.cuni.cz/services/teitok/pdtc10/index.php?action=vallex&amp;frame=v-w8060f4_ZU", "vyletět (v-w8060f4_ZU) - substituted with v-w8060f6_ZU")</f>
        <v>vyletět (v-w8060f4_ZU) - substituted with v-w8060f6_ZU</v>
      </c>
    </row>
    <row r="57270" customFormat="false" ht="12.8" hidden="false" customHeight="false" outlineLevel="0" collapsed="false">
      <c r="B57270" s="0" t="s">
        <v>7</v>
      </c>
      <c r="C57270" s="0" t="s">
        <v>19881</v>
      </c>
    </row>
    <row r="57271" customFormat="false" ht="12.8" hidden="false" customHeight="false" outlineLevel="0" collapsed="false">
      <c r="B57271" s="0" t="s">
        <v>338</v>
      </c>
    </row>
    <row r="57273" customFormat="false" ht="12.8" hidden="false" customHeight="false" outlineLevel="0" collapsed="false">
      <c r="A57273" s="0" t="s">
        <v>19880</v>
      </c>
      <c r="B57273" s="0" t="str">
        <f aca="false">HYPERLINK("https://lindat.mff.cuni.cz/services/teitok/pdtc10/index.php?action=vallex&amp;frame=v-w8060f5_ZU", "vyletět (v-w8060f5_ZU) - substituted with v-w8060f6_ZU")</f>
        <v>vyletět (v-w8060f5_ZU) - substituted with v-w8060f6_ZU</v>
      </c>
    </row>
    <row r="57274" customFormat="false" ht="12.8" hidden="false" customHeight="false" outlineLevel="0" collapsed="false">
      <c r="B57274" s="0" t="s">
        <v>7</v>
      </c>
    </row>
    <row r="57275" customFormat="false" ht="12.8" hidden="false" customHeight="false" outlineLevel="0" collapsed="false">
      <c r="B57275" s="0" t="s">
        <v>338</v>
      </c>
    </row>
    <row r="57277" customFormat="false" ht="12.8" hidden="false" customHeight="false" outlineLevel="0" collapsed="false">
      <c r="A57277" s="0" t="s">
        <v>19884</v>
      </c>
      <c r="B57277" s="0" t="str">
        <f aca="false">HYPERLINK("https://lindat.mff.cuni.cz/services/teitok/pdtc10/index.php?action=vallex&amp;frame=v-w8060hsa_1089", "vyletět (v-w8060hsa_1089)")</f>
        <v>vyletět (v-w8060hsa_1089)</v>
      </c>
    </row>
    <row r="57278" customFormat="false" ht="12.8" hidden="false" customHeight="false" outlineLevel="0" collapsed="false">
      <c r="B57278" s="0" t="s">
        <v>7</v>
      </c>
    </row>
    <row r="57279" customFormat="false" ht="12.8" hidden="false" customHeight="false" outlineLevel="0" collapsed="false">
      <c r="B57279" s="0" t="s">
        <v>459</v>
      </c>
    </row>
    <row r="57281" customFormat="false" ht="12.8" hidden="false" customHeight="false" outlineLevel="0" collapsed="false">
      <c r="A57281" s="0" t="s">
        <v>19885</v>
      </c>
      <c r="B57281" s="0" t="str">
        <f aca="false">HYPERLINK("https://lindat.mff.cuni.cz/services/teitok/pdtc10/index.php?action=vallex&amp;frame=v-w8060f9_ZU", "vyletět (v-w8060f9_ZU)")</f>
        <v>vyletět (v-w8060f9_ZU)</v>
      </c>
    </row>
    <row r="57282" customFormat="false" ht="12.8" hidden="false" customHeight="false" outlineLevel="0" collapsed="false">
      <c r="B57282" s="0" t="s">
        <v>7</v>
      </c>
    </row>
    <row r="57283" customFormat="false" ht="12.8" hidden="false" customHeight="false" outlineLevel="0" collapsed="false">
      <c r="B57283" s="0" t="s">
        <v>338</v>
      </c>
    </row>
    <row r="57285" customFormat="false" ht="12.8" hidden="false" customHeight="false" outlineLevel="0" collapsed="false">
      <c r="A57285" s="0" t="s">
        <v>19885</v>
      </c>
      <c r="B57285" s="0" t="str">
        <f aca="false">HYPERLINK("https://lindat.mff.cuni.cz/services/teitok/pdtc10/index.php?action=vallex&amp;frame=v-w8060hsa_1936", "vyletět (v-w8060hsa_1936) - substituted with v-w8060f9_ZU")</f>
        <v>vyletět (v-w8060hsa_1936) - substituted with v-w8060f9_ZU</v>
      </c>
    </row>
    <row r="57286" customFormat="false" ht="12.8" hidden="false" customHeight="false" outlineLevel="0" collapsed="false">
      <c r="B57286" s="0" t="s">
        <v>7</v>
      </c>
    </row>
    <row r="57287" customFormat="false" ht="12.8" hidden="false" customHeight="false" outlineLevel="0" collapsed="false">
      <c r="B57287" s="0" t="s">
        <v>338</v>
      </c>
    </row>
    <row r="57289" customFormat="false" ht="12.8" hidden="false" customHeight="false" outlineLevel="0" collapsed="false">
      <c r="A57289" s="0" t="s">
        <v>19886</v>
      </c>
      <c r="B57289" s="0" t="str">
        <f aca="false">HYPERLINK("https://lindat.mff.cuni.cz/services/teitok/pdtc10/index.php?action=vallex&amp;frame=v-w8063f1", "vylhávat se (v-w8063f1)")</f>
        <v>vylhávat se (v-w8063f1)</v>
      </c>
    </row>
    <row r="57290" customFormat="false" ht="12.8" hidden="false" customHeight="false" outlineLevel="0" collapsed="false">
      <c r="B57290" s="0" t="s">
        <v>7</v>
      </c>
    </row>
    <row r="57291" customFormat="false" ht="12.8" hidden="false" customHeight="false" outlineLevel="0" collapsed="false">
      <c r="B57291" s="0" t="s">
        <v>581</v>
      </c>
    </row>
    <row r="57293" customFormat="false" ht="12.8" hidden="false" customHeight="false" outlineLevel="0" collapsed="false">
      <c r="A57293" s="0" t="s">
        <v>19887</v>
      </c>
      <c r="B57293" s="0" t="str">
        <f aca="false">HYPERLINK("https://lindat.mff.cuni.cz/services/teitok/pdtc10/index.php?action=vallex&amp;frame=v-whsa_1032f1_ZU", "vylidnit (v-whsa_1032f1_ZU)")</f>
        <v>vylidnit (v-whsa_1032f1_ZU)</v>
      </c>
    </row>
    <row r="57294" customFormat="false" ht="12.8" hidden="false" customHeight="false" outlineLevel="0" collapsed="false">
      <c r="B57294" s="0" t="s">
        <v>7</v>
      </c>
    </row>
    <row r="57295" customFormat="false" ht="12.8" hidden="false" customHeight="false" outlineLevel="0" collapsed="false">
      <c r="B57295" s="0" t="s">
        <v>14</v>
      </c>
    </row>
    <row r="57297" customFormat="false" ht="12.8" hidden="false" customHeight="false" outlineLevel="0" collapsed="false">
      <c r="A57297" s="0" t="s">
        <v>19887</v>
      </c>
      <c r="B57297" s="0" t="str">
        <f aca="false">HYPERLINK("https://lindat.mff.cuni.cz/services/teitok/pdtc10/index.php?action=vallex&amp;frame=v-whsa_1032hsa_1033", "vylidnit (v-whsa_1032hsa_1033) - substituted with v-whsa_1032f1_ZU")</f>
        <v>vylidnit (v-whsa_1032hsa_1033) - substituted with v-whsa_1032f1_ZU</v>
      </c>
    </row>
    <row r="57298" customFormat="false" ht="12.8" hidden="false" customHeight="false" outlineLevel="0" collapsed="false">
      <c r="B57298" s="0" t="s">
        <v>7</v>
      </c>
    </row>
    <row r="57299" customFormat="false" ht="12.8" hidden="false" customHeight="false" outlineLevel="0" collapsed="false">
      <c r="B57299" s="0" t="s">
        <v>14</v>
      </c>
    </row>
    <row r="57301" customFormat="false" ht="12.8" hidden="false" customHeight="false" outlineLevel="0" collapsed="false">
      <c r="A57301" s="0" t="s">
        <v>19888</v>
      </c>
      <c r="B57301" s="0" t="str">
        <f aca="false">HYPERLINK("https://lindat.mff.cuni.cz/services/teitok/pdtc10/index.php?action=vallex&amp;frame=v-w8065f1", "vylidnit se (v-w8065f1)")</f>
        <v>vylidnit se (v-w8065f1)</v>
      </c>
    </row>
    <row r="57302" customFormat="false" ht="12.8" hidden="false" customHeight="false" outlineLevel="0" collapsed="false">
      <c r="B57302" s="0" t="s">
        <v>7</v>
      </c>
    </row>
    <row r="57304" customFormat="false" ht="12.8" hidden="false" customHeight="false" outlineLevel="0" collapsed="false">
      <c r="A57304" s="0" t="s">
        <v>19889</v>
      </c>
      <c r="B57304" s="0" t="str">
        <f aca="false">HYPERLINK("https://lindat.mff.cuni.cz/services/teitok/pdtc10/index.php?action=vallex&amp;frame=v-w8069f1", "vylodit (v-w8069f1)")</f>
        <v>vylodit (v-w8069f1)</v>
      </c>
    </row>
    <row r="57305" customFormat="false" ht="12.8" hidden="false" customHeight="false" outlineLevel="0" collapsed="false">
      <c r="B57305" s="0" t="s">
        <v>7</v>
      </c>
    </row>
    <row r="57306" customFormat="false" ht="12.8" hidden="false" customHeight="false" outlineLevel="0" collapsed="false">
      <c r="B57306" s="0" t="s">
        <v>14</v>
      </c>
    </row>
    <row r="57307" customFormat="false" ht="12.8" hidden="false" customHeight="false" outlineLevel="0" collapsed="false">
      <c r="B57307" s="0" t="s">
        <v>459</v>
      </c>
    </row>
    <row r="57309" customFormat="false" ht="12.8" hidden="false" customHeight="false" outlineLevel="0" collapsed="false">
      <c r="A57309" s="0" t="s">
        <v>19890</v>
      </c>
      <c r="B57309" s="0" t="str">
        <f aca="false">HYPERLINK("https://lindat.mff.cuni.cz/services/teitok/pdtc10/index.php?action=vallex&amp;frame=v-w8070f1", "vylodit se (v-w8070f1)")</f>
        <v>vylodit se (v-w8070f1)</v>
      </c>
    </row>
    <row r="57310" customFormat="false" ht="12.8" hidden="false" customHeight="false" outlineLevel="0" collapsed="false">
      <c r="B57310" s="0" t="s">
        <v>7</v>
      </c>
    </row>
    <row r="57311" customFormat="false" ht="12.8" hidden="false" customHeight="false" outlineLevel="0" collapsed="false">
      <c r="B57311" s="0" t="s">
        <v>11</v>
      </c>
    </row>
    <row r="57313" customFormat="false" ht="12.8" hidden="false" customHeight="false" outlineLevel="0" collapsed="false">
      <c r="A57313" s="0" t="s">
        <v>19891</v>
      </c>
      <c r="B57313" s="0" t="str">
        <f aca="false">HYPERLINK("https://lindat.mff.cuni.cz/services/teitok/pdtc10/index.php?action=vallex&amp;frame=v-w8072f1", "vylomit (v-w8072f1)")</f>
        <v>vylomit (v-w8072f1)</v>
      </c>
    </row>
    <row r="57314" customFormat="false" ht="12.8" hidden="false" customHeight="false" outlineLevel="0" collapsed="false">
      <c r="B57314" s="0" t="s">
        <v>7</v>
      </c>
    </row>
    <row r="57315" customFormat="false" ht="12.8" hidden="false" customHeight="false" outlineLevel="0" collapsed="false">
      <c r="B57315" s="0" t="s">
        <v>14</v>
      </c>
    </row>
    <row r="57317" customFormat="false" ht="12.8" hidden="false" customHeight="false" outlineLevel="0" collapsed="false">
      <c r="A57317" s="0" t="s">
        <v>19892</v>
      </c>
      <c r="B57317" s="0" t="str">
        <f aca="false">HYPERLINK("https://lindat.mff.cuni.cz/services/teitok/pdtc10/index.php?action=vallex&amp;frame=v-w11623_ZUf2_ZU", "vylomit se (v-w11623_ZUf2_ZU)")</f>
        <v>vylomit se (v-w11623_ZUf2_ZU)</v>
      </c>
    </row>
    <row r="57318" customFormat="false" ht="12.8" hidden="false" customHeight="false" outlineLevel="0" collapsed="false">
      <c r="B57318" s="0" t="s">
        <v>7</v>
      </c>
    </row>
    <row r="57319" customFormat="false" ht="12.8" hidden="false" customHeight="false" outlineLevel="0" collapsed="false">
      <c r="B57319" s="0" t="s">
        <v>63</v>
      </c>
    </row>
    <row r="57320" customFormat="false" ht="12.8" hidden="false" customHeight="false" outlineLevel="0" collapsed="false">
      <c r="B57320" s="0" t="s">
        <v>35</v>
      </c>
    </row>
    <row r="57322" customFormat="false" ht="12.8" hidden="false" customHeight="false" outlineLevel="0" collapsed="false">
      <c r="A57322" s="0" t="s">
        <v>19892</v>
      </c>
      <c r="B57322" s="0" t="str">
        <f aca="false">HYPERLINK("https://lindat.mff.cuni.cz/services/teitok/pdtc10/index.php?action=vallex&amp;frame=v-w11623_ZUf1_ZU", "vylomit se (v-w11623_ZUf1_ZU) - substituted with v-w11623_ZUf2_ZU")</f>
        <v>vylomit se (v-w11623_ZUf1_ZU) - substituted with v-w11623_ZUf2_ZU</v>
      </c>
    </row>
    <row r="57323" customFormat="false" ht="12.8" hidden="false" customHeight="false" outlineLevel="0" collapsed="false">
      <c r="B57323" s="0" t="s">
        <v>7</v>
      </c>
      <c r="C57323" s="0" t="s">
        <v>46</v>
      </c>
    </row>
    <row r="57324" customFormat="false" ht="12.8" hidden="false" customHeight="false" outlineLevel="0" collapsed="false">
      <c r="B57324" s="0" t="s">
        <v>63</v>
      </c>
    </row>
    <row r="57325" customFormat="false" ht="12.8" hidden="false" customHeight="false" outlineLevel="0" collapsed="false">
      <c r="B57325" s="0" t="s">
        <v>35</v>
      </c>
    </row>
    <row r="57327" customFormat="false" ht="12.8" hidden="false" customHeight="false" outlineLevel="0" collapsed="false">
      <c r="A57327" s="0" t="s">
        <v>19893</v>
      </c>
      <c r="B57327" s="0" t="str">
        <f aca="false">HYPERLINK("https://lindat.mff.cuni.cz/services/teitok/pdtc10/index.php?action=vallex&amp;frame=v-w8074f1", "vylosovat (v-w8074f1)")</f>
        <v>vylosovat (v-w8074f1)</v>
      </c>
    </row>
    <row r="57328" customFormat="false" ht="12.8" hidden="false" customHeight="false" outlineLevel="0" collapsed="false">
      <c r="B57328" s="0" t="s">
        <v>7</v>
      </c>
    </row>
    <row r="57329" customFormat="false" ht="12.8" hidden="false" customHeight="false" outlineLevel="0" collapsed="false">
      <c r="B57329" s="0" t="s">
        <v>14</v>
      </c>
    </row>
    <row r="57331" customFormat="false" ht="12.8" hidden="false" customHeight="false" outlineLevel="0" collapsed="false">
      <c r="A57331" s="0" t="s">
        <v>19894</v>
      </c>
      <c r="B57331" s="0" t="str">
        <f aca="false">HYPERLINK("https://lindat.mff.cuni.cz/services/teitok/pdtc10/index.php?action=vallex&amp;frame=v-w8078f1", "vyloupit (v-w8078f1)")</f>
        <v>vyloupit (v-w8078f1)</v>
      </c>
    </row>
    <row r="57332" customFormat="false" ht="12.8" hidden="false" customHeight="false" outlineLevel="0" collapsed="false">
      <c r="B57332" s="0" t="s">
        <v>7</v>
      </c>
      <c r="D57332" s="0" t="s">
        <v>2530</v>
      </c>
      <c r="E57332" s="0" t="s">
        <v>2530</v>
      </c>
      <c r="F57332" s="0" t="s">
        <v>2530</v>
      </c>
    </row>
    <row r="57333" customFormat="false" ht="12.8" hidden="false" customHeight="false" outlineLevel="0" collapsed="false">
      <c r="B57333" s="0" t="s">
        <v>14</v>
      </c>
      <c r="C57333" s="0" t="s">
        <v>155</v>
      </c>
      <c r="D57333" s="0" t="s">
        <v>19895</v>
      </c>
      <c r="E57333" s="0" t="s">
        <v>19895</v>
      </c>
      <c r="F57333" s="0" t="s">
        <v>19895</v>
      </c>
    </row>
    <row r="57335" customFormat="false" ht="12.8" hidden="false" customHeight="false" outlineLevel="0" collapsed="false">
      <c r="A57335" s="0" t="s">
        <v>19896</v>
      </c>
      <c r="B57335" s="0" t="str">
        <f aca="false">HYPERLINK("https://lindat.mff.cuni.cz/services/teitok/pdtc10/index.php?action=vallex&amp;frame=v-w8079f1", "vyloupnout (v-w8079f1)")</f>
        <v>vyloupnout (v-w8079f1)</v>
      </c>
    </row>
    <row r="57336" customFormat="false" ht="12.8" hidden="false" customHeight="false" outlineLevel="0" collapsed="false">
      <c r="B57336" s="0" t="s">
        <v>7</v>
      </c>
      <c r="D57336" s="0" t="s">
        <v>309</v>
      </c>
      <c r="E57336" s="0" t="s">
        <v>309</v>
      </c>
      <c r="F57336" s="0" t="s">
        <v>309</v>
      </c>
    </row>
    <row r="57337" customFormat="false" ht="12.8" hidden="false" customHeight="false" outlineLevel="0" collapsed="false">
      <c r="B57337" s="0" t="s">
        <v>14</v>
      </c>
      <c r="D57337" s="0" t="s">
        <v>356</v>
      </c>
      <c r="E57337" s="0" t="s">
        <v>1681</v>
      </c>
      <c r="F57337" s="0" t="s">
        <v>1681</v>
      </c>
    </row>
    <row r="57338" customFormat="false" ht="12.8" hidden="false" customHeight="false" outlineLevel="0" collapsed="false">
      <c r="B57338" s="0" t="s">
        <v>459</v>
      </c>
      <c r="D57338" s="0" t="s">
        <v>19661</v>
      </c>
      <c r="E57338" s="0" t="s">
        <v>19661</v>
      </c>
      <c r="F57338" s="0" t="s">
        <v>19661</v>
      </c>
    </row>
    <row r="57340" customFormat="false" ht="12.8" hidden="false" customHeight="false" outlineLevel="0" collapsed="false">
      <c r="A57340" s="0" t="s">
        <v>19897</v>
      </c>
      <c r="B57340" s="0" t="str">
        <f aca="false">HYPERLINK("https://lindat.mff.cuni.cz/services/teitok/pdtc10/index.php?action=vallex&amp;frame=v-w8080f1", "vyloupnout se (v-w8080f1)")</f>
        <v>vyloupnout se (v-w8080f1)</v>
      </c>
    </row>
    <row r="57341" customFormat="false" ht="12.8" hidden="false" customHeight="false" outlineLevel="0" collapsed="false">
      <c r="B57341" s="0" t="s">
        <v>7</v>
      </c>
      <c r="D57341" s="0" t="s">
        <v>19898</v>
      </c>
      <c r="E57341" s="0" t="s">
        <v>19899</v>
      </c>
      <c r="F57341" s="0" t="s">
        <v>19899</v>
      </c>
    </row>
    <row r="57342" customFormat="false" ht="12.8" hidden="false" customHeight="false" outlineLevel="0" collapsed="false">
      <c r="B57342" s="0" t="s">
        <v>459</v>
      </c>
      <c r="D57342" s="0" t="s">
        <v>19661</v>
      </c>
      <c r="E57342" s="0" t="s">
        <v>19661</v>
      </c>
      <c r="F57342" s="0" t="s">
        <v>19661</v>
      </c>
    </row>
    <row r="57344" customFormat="false" ht="12.8" hidden="false" customHeight="false" outlineLevel="0" collapsed="false">
      <c r="A57344" s="0" t="s">
        <v>19900</v>
      </c>
      <c r="B57344" s="0" t="str">
        <f aca="false">HYPERLINK("https://lindat.mff.cuni.cz/services/teitok/pdtc10/index.php?action=vallex&amp;frame=v-w8076f2", "vyloučit (v-w8076f2)")</f>
        <v>vyloučit (v-w8076f2)</v>
      </c>
    </row>
    <row r="57345" customFormat="false" ht="12.8" hidden="false" customHeight="false" outlineLevel="0" collapsed="false">
      <c r="B57345" s="0" t="s">
        <v>7</v>
      </c>
      <c r="C57345" s="0" t="s">
        <v>4960</v>
      </c>
      <c r="D57345" s="0" t="s">
        <v>1567</v>
      </c>
      <c r="E57345" s="0" t="s">
        <v>1567</v>
      </c>
      <c r="F57345" s="0" t="s">
        <v>1567</v>
      </c>
    </row>
    <row r="57346" customFormat="false" ht="12.8" hidden="false" customHeight="false" outlineLevel="0" collapsed="false">
      <c r="B57346" s="0" t="s">
        <v>14</v>
      </c>
      <c r="C57346" s="0" t="s">
        <v>1521</v>
      </c>
      <c r="D57346" s="0" t="s">
        <v>1568</v>
      </c>
      <c r="E57346" s="0" t="s">
        <v>1568</v>
      </c>
      <c r="F57346" s="0" t="s">
        <v>1568</v>
      </c>
    </row>
    <row r="57347" customFormat="false" ht="12.8" hidden="false" customHeight="false" outlineLevel="0" collapsed="false">
      <c r="B57347" s="0" t="s">
        <v>459</v>
      </c>
      <c r="C57347" s="0" t="s">
        <v>19901</v>
      </c>
      <c r="D57347" s="0" t="s">
        <v>1569</v>
      </c>
      <c r="E57347" s="0" t="s">
        <v>1569</v>
      </c>
      <c r="F57347" s="0" t="s">
        <v>1569</v>
      </c>
    </row>
    <row r="57349" customFormat="false" ht="12.8" hidden="false" customHeight="false" outlineLevel="0" collapsed="false">
      <c r="A57349" s="0" t="s">
        <v>19902</v>
      </c>
      <c r="B57349" s="0" t="str">
        <f aca="false">HYPERLINK("https://lindat.mff.cuni.cz/services/teitok/pdtc10/index.php?action=vallex&amp;frame=v-w8076f3_ZU", "vyloučit (v-w8076f3_ZU)")</f>
        <v>vyloučit (v-w8076f3_ZU)</v>
      </c>
    </row>
    <row r="57350" customFormat="false" ht="12.8" hidden="false" customHeight="false" outlineLevel="0" collapsed="false">
      <c r="B57350" s="0" t="s">
        <v>7</v>
      </c>
      <c r="C57350" s="0" t="s">
        <v>191</v>
      </c>
      <c r="D57350" s="0" t="s">
        <v>1567</v>
      </c>
      <c r="E57350" s="0" t="s">
        <v>1567</v>
      </c>
      <c r="F57350" s="0" t="s">
        <v>1567</v>
      </c>
    </row>
    <row r="57351" customFormat="false" ht="12.8" hidden="false" customHeight="false" outlineLevel="0" collapsed="false">
      <c r="B57351" s="0" t="s">
        <v>14</v>
      </c>
      <c r="C57351" s="0" t="s">
        <v>115</v>
      </c>
      <c r="D57351" s="0" t="s">
        <v>1568</v>
      </c>
      <c r="E57351" s="0" t="s">
        <v>1568</v>
      </c>
      <c r="F57351" s="0" t="s">
        <v>1568</v>
      </c>
    </row>
    <row r="57352" customFormat="false" ht="12.8" hidden="false" customHeight="false" outlineLevel="0" collapsed="false">
      <c r="B57352" s="0" t="s">
        <v>5382</v>
      </c>
      <c r="D57352" s="0" t="s">
        <v>1569</v>
      </c>
      <c r="E57352" s="0" t="s">
        <v>1569</v>
      </c>
      <c r="F57352" s="0" t="s">
        <v>1569</v>
      </c>
    </row>
    <row r="57354" customFormat="false" ht="12.8" hidden="false" customHeight="false" outlineLevel="0" collapsed="false">
      <c r="A57354" s="0" t="s">
        <v>19903</v>
      </c>
      <c r="B57354" s="0" t="str">
        <f aca="false">HYPERLINK("https://lindat.mff.cuni.cz/services/teitok/pdtc10/index.php?action=vallex&amp;frame=v-w8076f1", "vyloučit (v-w8076f1)")</f>
        <v>vyloučit (v-w8076f1)</v>
      </c>
    </row>
    <row r="57355" customFormat="false" ht="12.8" hidden="false" customHeight="false" outlineLevel="0" collapsed="false">
      <c r="B57355" s="0" t="s">
        <v>7</v>
      </c>
      <c r="C57355" s="0" t="s">
        <v>514</v>
      </c>
      <c r="D57355" s="0" t="s">
        <v>309</v>
      </c>
      <c r="E57355" s="0" t="s">
        <v>309</v>
      </c>
      <c r="F57355" s="0" t="s">
        <v>309</v>
      </c>
    </row>
    <row r="57356" customFormat="false" ht="12.8" hidden="false" customHeight="false" outlineLevel="0" collapsed="false">
      <c r="B57356" s="0" t="s">
        <v>54</v>
      </c>
      <c r="C57356" s="0" t="s">
        <v>8089</v>
      </c>
      <c r="D57356" s="0" t="s">
        <v>342</v>
      </c>
      <c r="E57356" s="0" t="s">
        <v>342</v>
      </c>
      <c r="F57356" s="0" t="s">
        <v>342</v>
      </c>
    </row>
    <row r="57358" customFormat="false" ht="12.8" hidden="false" customHeight="false" outlineLevel="0" collapsed="false">
      <c r="A57358" s="0" t="s">
        <v>19904</v>
      </c>
      <c r="B57358" s="0" t="str">
        <f aca="false">HYPERLINK("https://lindat.mff.cuni.cz/services/teitok/pdtc10/index.php?action=vallex&amp;frame=v-w8077f1", "vyloučit se (v-w8077f1)")</f>
        <v>vyloučit se (v-w8077f1)</v>
      </c>
    </row>
    <row r="57359" customFormat="false" ht="12.8" hidden="false" customHeight="false" outlineLevel="0" collapsed="false">
      <c r="B57359" s="0" t="s">
        <v>7</v>
      </c>
    </row>
    <row r="57361" customFormat="false" ht="12.8" hidden="false" customHeight="false" outlineLevel="0" collapsed="false">
      <c r="A57361" s="0" t="s">
        <v>19905</v>
      </c>
      <c r="B57361" s="0" t="str">
        <f aca="false">HYPERLINK("https://lindat.mff.cuni.cz/services/teitok/pdtc10/index.php?action=vallex&amp;frame=v-w8081f1", "vylovit (v-w8081f1)")</f>
        <v>vylovit (v-w8081f1)</v>
      </c>
    </row>
    <row r="57362" customFormat="false" ht="12.8" hidden="false" customHeight="false" outlineLevel="0" collapsed="false">
      <c r="B57362" s="0" t="s">
        <v>7</v>
      </c>
      <c r="E57362" s="0" t="s">
        <v>309</v>
      </c>
      <c r="F57362" s="0" t="s">
        <v>309</v>
      </c>
    </row>
    <row r="57363" customFormat="false" ht="12.8" hidden="false" customHeight="false" outlineLevel="0" collapsed="false">
      <c r="B57363" s="0" t="s">
        <v>14</v>
      </c>
      <c r="E57363" s="0" t="s">
        <v>1681</v>
      </c>
      <c r="F57363" s="0" t="s">
        <v>1681</v>
      </c>
    </row>
    <row r="57364" customFormat="false" ht="12.8" hidden="false" customHeight="false" outlineLevel="0" collapsed="false">
      <c r="B57364" s="0" t="s">
        <v>459</v>
      </c>
      <c r="E57364" s="0" t="s">
        <v>19661</v>
      </c>
      <c r="F57364" s="0" t="s">
        <v>19661</v>
      </c>
    </row>
    <row r="57366" customFormat="false" ht="12.8" hidden="false" customHeight="false" outlineLevel="0" collapsed="false">
      <c r="A57366" s="0" t="s">
        <v>19906</v>
      </c>
      <c r="B57366" s="0" t="str">
        <f aca="false">HYPERLINK("https://lindat.mff.cuni.cz/services/teitok/pdtc10/index.php?action=vallex&amp;frame=v-w12132_ZUf1_ZU", "vyloďovat (v-w12132_ZUf1_ZU)")</f>
        <v>vyloďovat (v-w12132_ZUf1_ZU)</v>
      </c>
    </row>
    <row r="57367" customFormat="false" ht="12.8" hidden="false" customHeight="false" outlineLevel="0" collapsed="false">
      <c r="B57367" s="0" t="s">
        <v>7</v>
      </c>
    </row>
    <row r="57368" customFormat="false" ht="12.8" hidden="false" customHeight="false" outlineLevel="0" collapsed="false">
      <c r="B57368" s="0" t="s">
        <v>14</v>
      </c>
    </row>
    <row r="57369" customFormat="false" ht="12.8" hidden="false" customHeight="false" outlineLevel="0" collapsed="false">
      <c r="B57369" s="0" t="s">
        <v>5382</v>
      </c>
    </row>
    <row r="57371" customFormat="false" ht="12.8" hidden="false" customHeight="false" outlineLevel="0" collapsed="false">
      <c r="A57371" s="0" t="s">
        <v>19907</v>
      </c>
      <c r="B57371" s="0" t="str">
        <f aca="false">HYPERLINK("https://lindat.mff.cuni.cz/services/teitok/pdtc10/index.php?action=vallex&amp;frame=v-w8082f1", "vyložit (v-w8082f1)")</f>
        <v>vyložit (v-w8082f1)</v>
      </c>
    </row>
    <row r="57372" customFormat="false" ht="12.8" hidden="false" customHeight="false" outlineLevel="0" collapsed="false">
      <c r="B57372" s="0" t="s">
        <v>7</v>
      </c>
      <c r="C57372" s="0" t="s">
        <v>194</v>
      </c>
      <c r="D57372" s="0" t="s">
        <v>504</v>
      </c>
      <c r="E57372" s="0" t="s">
        <v>504</v>
      </c>
      <c r="F57372" s="0" t="s">
        <v>504</v>
      </c>
    </row>
    <row r="57373" customFormat="false" ht="12.8" hidden="false" customHeight="false" outlineLevel="0" collapsed="false">
      <c r="B57373" s="0" t="s">
        <v>7636</v>
      </c>
      <c r="C57373" s="0" t="s">
        <v>152</v>
      </c>
      <c r="D57373" s="0" t="s">
        <v>466</v>
      </c>
      <c r="E57373" s="0" t="s">
        <v>466</v>
      </c>
      <c r="F57373" s="0" t="s">
        <v>466</v>
      </c>
    </row>
    <row r="57374" customFormat="false" ht="12.8" hidden="false" customHeight="false" outlineLevel="0" collapsed="false">
      <c r="B57374" s="0" t="s">
        <v>48</v>
      </c>
      <c r="D57374" s="0" t="s">
        <v>9849</v>
      </c>
      <c r="E57374" s="0" t="s">
        <v>9849</v>
      </c>
      <c r="F57374" s="0" t="s">
        <v>9849</v>
      </c>
    </row>
    <row r="57376" customFormat="false" ht="12.8" hidden="false" customHeight="false" outlineLevel="0" collapsed="false">
      <c r="A57376" s="0" t="s">
        <v>19908</v>
      </c>
      <c r="B57376" s="0" t="str">
        <f aca="false">HYPERLINK("https://lindat.mff.cuni.cz/services/teitok/pdtc10/index.php?action=vallex&amp;frame=v-w8082f2", "vyložit (v-w8082f2)")</f>
        <v>vyložit (v-w8082f2)</v>
      </c>
    </row>
    <row r="57377" customFormat="false" ht="12.8" hidden="false" customHeight="false" outlineLevel="0" collapsed="false">
      <c r="B57377" s="0" t="s">
        <v>7</v>
      </c>
    </row>
    <row r="57378" customFormat="false" ht="12.8" hidden="false" customHeight="false" outlineLevel="0" collapsed="false">
      <c r="B57378" s="0" t="s">
        <v>14</v>
      </c>
    </row>
    <row r="57379" customFormat="false" ht="12.8" hidden="false" customHeight="false" outlineLevel="0" collapsed="false">
      <c r="B57379" s="0" t="s">
        <v>459</v>
      </c>
    </row>
    <row r="57381" customFormat="false" ht="12.8" hidden="false" customHeight="false" outlineLevel="0" collapsed="false">
      <c r="A57381" s="0" t="s">
        <v>19909</v>
      </c>
      <c r="B57381" s="0" t="str">
        <f aca="false">HYPERLINK("https://lindat.mff.cuni.cz/services/teitok/pdtc10/index.php?action=vallex&amp;frame=v-w8082f3_ZU", "vyložit (v-w8082f3_ZU)")</f>
        <v>vyložit (v-w8082f3_ZU)</v>
      </c>
    </row>
    <row r="57382" customFormat="false" ht="12.8" hidden="false" customHeight="false" outlineLevel="0" collapsed="false">
      <c r="B57382" s="0" t="s">
        <v>7</v>
      </c>
      <c r="C57382" s="0" t="s">
        <v>31</v>
      </c>
      <c r="D57382" s="0" t="s">
        <v>31</v>
      </c>
      <c r="E57382" s="0" t="s">
        <v>31</v>
      </c>
      <c r="F57382" s="0" t="s">
        <v>31</v>
      </c>
    </row>
    <row r="57383" customFormat="false" ht="12.8" hidden="false" customHeight="false" outlineLevel="0" collapsed="false">
      <c r="B57383" s="0" t="s">
        <v>19910</v>
      </c>
      <c r="C57383" s="0" t="s">
        <v>1321</v>
      </c>
    </row>
    <row r="57385" customFormat="false" ht="12.8" hidden="false" customHeight="false" outlineLevel="0" collapsed="false">
      <c r="A57385" s="0" t="s">
        <v>19909</v>
      </c>
      <c r="B57385" s="0" t="str">
        <f aca="false">HYPERLINK("https://lindat.mff.cuni.cz/services/teitok/pdtc10/index.php?action=vallex&amp;frame=v-w8082hsa_332", "vyložit (v-w8082hsa_332) - substituted with v-w8082f3_ZU")</f>
        <v>vyložit (v-w8082hsa_332) - substituted with v-w8082f3_ZU</v>
      </c>
    </row>
    <row r="57386" customFormat="false" ht="12.8" hidden="false" customHeight="false" outlineLevel="0" collapsed="false">
      <c r="B57386" s="0" t="s">
        <v>7</v>
      </c>
    </row>
    <row r="57387" customFormat="false" ht="12.8" hidden="false" customHeight="false" outlineLevel="0" collapsed="false">
      <c r="B57387" s="0" t="s">
        <v>19910</v>
      </c>
    </row>
    <row r="57389" customFormat="false" ht="12.8" hidden="false" customHeight="false" outlineLevel="0" collapsed="false">
      <c r="A57389" s="0" t="s">
        <v>19911</v>
      </c>
      <c r="B57389" s="0" t="str">
        <f aca="false">HYPERLINK("https://lindat.mff.cuni.cz/services/teitok/pdtc10/index.php?action=vallex&amp;frame=v-w11690_ZUf1_ZU", "vyluhovat se (v-w11690_ZUf1_ZU)")</f>
        <v>vyluhovat se (v-w11690_ZUf1_ZU)</v>
      </c>
    </row>
    <row r="57390" customFormat="false" ht="12.8" hidden="false" customHeight="false" outlineLevel="0" collapsed="false">
      <c r="B57390" s="0" t="s">
        <v>7</v>
      </c>
    </row>
    <row r="57392" customFormat="false" ht="12.8" hidden="false" customHeight="false" outlineLevel="0" collapsed="false">
      <c r="A57392" s="0" t="s">
        <v>19912</v>
      </c>
      <c r="B57392" s="0" t="str">
        <f aca="false">HYPERLINK("https://lindat.mff.cuni.cz/services/teitok/pdtc10/index.php?action=vallex&amp;frame=v-w8087f1", "vylustrovat (v-w8087f1)")</f>
        <v>vylustrovat (v-w8087f1)</v>
      </c>
    </row>
    <row r="57393" customFormat="false" ht="12.8" hidden="false" customHeight="false" outlineLevel="0" collapsed="false">
      <c r="B57393" s="0" t="s">
        <v>7</v>
      </c>
    </row>
    <row r="57394" customFormat="false" ht="12.8" hidden="false" customHeight="false" outlineLevel="0" collapsed="false">
      <c r="B57394" s="0" t="s">
        <v>14</v>
      </c>
    </row>
    <row r="57396" customFormat="false" ht="12.8" hidden="false" customHeight="false" outlineLevel="0" collapsed="false">
      <c r="A57396" s="0" t="s">
        <v>19913</v>
      </c>
      <c r="B57396" s="0" t="str">
        <f aca="false">HYPERLINK("https://lindat.mff.cuni.cz/services/teitok/pdtc10/index.php?action=vallex&amp;frame=v-w8084f2", "vylučovat (v-w8084f2)")</f>
        <v>vylučovat (v-w8084f2)</v>
      </c>
    </row>
    <row r="57397" customFormat="false" ht="12.8" hidden="false" customHeight="false" outlineLevel="0" collapsed="false">
      <c r="B57397" s="0" t="s">
        <v>7</v>
      </c>
    </row>
    <row r="57398" customFormat="false" ht="12.8" hidden="false" customHeight="false" outlineLevel="0" collapsed="false">
      <c r="B57398" s="0" t="s">
        <v>14</v>
      </c>
    </row>
    <row r="57399" customFormat="false" ht="12.8" hidden="false" customHeight="false" outlineLevel="0" collapsed="false">
      <c r="B57399" s="0" t="s">
        <v>459</v>
      </c>
    </row>
    <row r="57401" customFormat="false" ht="12.8" hidden="false" customHeight="false" outlineLevel="0" collapsed="false">
      <c r="A57401" s="0" t="s">
        <v>19914</v>
      </c>
      <c r="B57401" s="0" t="str">
        <f aca="false">HYPERLINK("https://lindat.mff.cuni.cz/services/teitok/pdtc10/index.php?action=vallex&amp;frame=v-w8084f4_ZU", "vylučovat (v-w8084f4_ZU)")</f>
        <v>vylučovat (v-w8084f4_ZU)</v>
      </c>
    </row>
    <row r="57402" customFormat="false" ht="12.8" hidden="false" customHeight="false" outlineLevel="0" collapsed="false">
      <c r="B57402" s="0" t="s">
        <v>7</v>
      </c>
      <c r="C57402" s="0" t="s">
        <v>118</v>
      </c>
      <c r="D57402" s="0" t="s">
        <v>309</v>
      </c>
      <c r="E57402" s="0" t="s">
        <v>309</v>
      </c>
      <c r="F57402" s="0" t="s">
        <v>309</v>
      </c>
    </row>
    <row r="57403" customFormat="false" ht="12.8" hidden="false" customHeight="false" outlineLevel="0" collapsed="false">
      <c r="B57403" s="0" t="s">
        <v>6839</v>
      </c>
      <c r="C57403" s="0" t="s">
        <v>624</v>
      </c>
      <c r="D57403" s="0" t="s">
        <v>342</v>
      </c>
      <c r="E57403" s="0" t="s">
        <v>342</v>
      </c>
      <c r="F57403" s="0" t="s">
        <v>342</v>
      </c>
    </row>
    <row r="57405" customFormat="false" ht="12.8" hidden="false" customHeight="false" outlineLevel="0" collapsed="false">
      <c r="A57405" s="0" t="s">
        <v>19914</v>
      </c>
      <c r="B57405" s="0" t="str">
        <f aca="false">HYPERLINK("https://lindat.mff.cuni.cz/services/teitok/pdtc10/index.php?action=vallex&amp;frame=v-w8084f1", "vylučovat (v-w8084f1) - substituted with v-w8084f4_ZU")</f>
        <v>vylučovat (v-w8084f1) - substituted with v-w8084f4_ZU</v>
      </c>
    </row>
    <row r="57406" customFormat="false" ht="12.8" hidden="false" customHeight="false" outlineLevel="0" collapsed="false">
      <c r="B57406" s="0" t="s">
        <v>7</v>
      </c>
      <c r="C57406" s="0" t="s">
        <v>3610</v>
      </c>
    </row>
    <row r="57407" customFormat="false" ht="12.8" hidden="false" customHeight="false" outlineLevel="0" collapsed="false">
      <c r="B57407" s="0" t="s">
        <v>6839</v>
      </c>
      <c r="C57407" s="0" t="s">
        <v>2182</v>
      </c>
    </row>
    <row r="57409" customFormat="false" ht="12.8" hidden="false" customHeight="false" outlineLevel="0" collapsed="false">
      <c r="A57409" s="0" t="s">
        <v>19914</v>
      </c>
      <c r="B57409" s="0" t="str">
        <f aca="false">HYPERLINK("https://lindat.mff.cuni.cz/services/teitok/pdtc10/index.php?action=vallex&amp;frame=v-w8084f3_ZU", "vylučovat (v-w8084f3_ZU) - substituted with v-w8084f4_ZU")</f>
        <v>vylučovat (v-w8084f3_ZU) - substituted with v-w8084f4_ZU</v>
      </c>
    </row>
    <row r="57410" customFormat="false" ht="12.8" hidden="false" customHeight="false" outlineLevel="0" collapsed="false">
      <c r="B57410" s="0" t="s">
        <v>7</v>
      </c>
    </row>
    <row r="57411" customFormat="false" ht="12.8" hidden="false" customHeight="false" outlineLevel="0" collapsed="false">
      <c r="B57411" s="0" t="s">
        <v>6839</v>
      </c>
    </row>
    <row r="57413" customFormat="false" ht="12.8" hidden="false" customHeight="false" outlineLevel="0" collapsed="false">
      <c r="A57413" s="0" t="s">
        <v>19915</v>
      </c>
      <c r="B57413" s="0" t="str">
        <f aca="false">HYPERLINK("https://lindat.mff.cuni.cz/services/teitok/pdtc10/index.php?action=vallex&amp;frame=v-w8084hsa_988", "vylučovat (v-w8084hsa_988)")</f>
        <v>vylučovat (v-w8084hsa_988)</v>
      </c>
    </row>
    <row r="57414" customFormat="false" ht="12.8" hidden="false" customHeight="false" outlineLevel="0" collapsed="false">
      <c r="B57414" s="0" t="s">
        <v>7</v>
      </c>
      <c r="D57414" s="0" t="s">
        <v>1567</v>
      </c>
      <c r="E57414" s="0" t="s">
        <v>1567</v>
      </c>
      <c r="F57414" s="0" t="s">
        <v>1567</v>
      </c>
    </row>
    <row r="57415" customFormat="false" ht="12.8" hidden="false" customHeight="false" outlineLevel="0" collapsed="false">
      <c r="B57415" s="0" t="s">
        <v>14</v>
      </c>
      <c r="D57415" s="0" t="s">
        <v>1568</v>
      </c>
      <c r="E57415" s="0" t="s">
        <v>1568</v>
      </c>
      <c r="F57415" s="0" t="s">
        <v>1568</v>
      </c>
    </row>
    <row r="57416" customFormat="false" ht="12.8" hidden="false" customHeight="false" outlineLevel="0" collapsed="false">
      <c r="B57416" s="0" t="s">
        <v>459</v>
      </c>
      <c r="D57416" s="0" t="s">
        <v>1569</v>
      </c>
      <c r="E57416" s="0" t="s">
        <v>1569</v>
      </c>
      <c r="F57416" s="0" t="s">
        <v>1569</v>
      </c>
    </row>
    <row r="57418" customFormat="false" ht="12.8" hidden="false" customHeight="false" outlineLevel="0" collapsed="false">
      <c r="A57418" s="0" t="s">
        <v>19916</v>
      </c>
      <c r="B57418" s="0" t="str">
        <f aca="false">HYPERLINK("https://lindat.mff.cuni.cz/services/teitok/pdtc10/index.php?action=vallex&amp;frame=v-w8085f1", "vylučovat se (v-w8085f1)")</f>
        <v>vylučovat se (v-w8085f1)</v>
      </c>
    </row>
    <row r="57419" customFormat="false" ht="12.8" hidden="false" customHeight="false" outlineLevel="0" collapsed="false">
      <c r="B57419" s="0" t="s">
        <v>7</v>
      </c>
    </row>
    <row r="57420" customFormat="false" ht="12.8" hidden="false" customHeight="false" outlineLevel="0" collapsed="false">
      <c r="B57420" s="0" t="s">
        <v>548</v>
      </c>
    </row>
    <row r="57422" customFormat="false" ht="12.8" hidden="false" customHeight="false" outlineLevel="0" collapsed="false">
      <c r="A57422" s="0" t="s">
        <v>19917</v>
      </c>
      <c r="B57422" s="0" t="str">
        <f aca="false">HYPERLINK("https://lindat.mff.cuni.cz/services/teitok/pdtc10/index.php?action=vallex&amp;frame=v-w8051f1", "vylákat (v-w8051f1)")</f>
        <v>vylákat (v-w8051f1)</v>
      </c>
    </row>
    <row r="57423" customFormat="false" ht="12.8" hidden="false" customHeight="false" outlineLevel="0" collapsed="false">
      <c r="B57423" s="0" t="s">
        <v>7</v>
      </c>
    </row>
    <row r="57424" customFormat="false" ht="12.8" hidden="false" customHeight="false" outlineLevel="0" collapsed="false">
      <c r="B57424" s="0" t="s">
        <v>14</v>
      </c>
    </row>
    <row r="57425" customFormat="false" ht="12.8" hidden="false" customHeight="false" outlineLevel="0" collapsed="false">
      <c r="B57425" s="0" t="s">
        <v>19918</v>
      </c>
    </row>
    <row r="57427" customFormat="false" ht="12.8" hidden="false" customHeight="false" outlineLevel="0" collapsed="false">
      <c r="A57427" s="0" t="s">
        <v>19919</v>
      </c>
      <c r="B57427" s="0" t="str">
        <f aca="false">HYPERLINK("https://lindat.mff.cuni.cz/services/teitok/pdtc10/index.php?action=vallex&amp;frame=v-whsa_1352hsa_1353", "vylámat (v-whsa_1352hsa_1353)")</f>
        <v>vylámat (v-whsa_1352hsa_1353)</v>
      </c>
    </row>
    <row r="57428" customFormat="false" ht="12.8" hidden="false" customHeight="false" outlineLevel="0" collapsed="false">
      <c r="B57428" s="0" t="s">
        <v>7</v>
      </c>
    </row>
    <row r="57429" customFormat="false" ht="12.8" hidden="false" customHeight="false" outlineLevel="0" collapsed="false">
      <c r="B57429" s="0" t="s">
        <v>14</v>
      </c>
    </row>
    <row r="57431" customFormat="false" ht="12.8" hidden="false" customHeight="false" outlineLevel="0" collapsed="false">
      <c r="A57431" s="0" t="s">
        <v>19920</v>
      </c>
      <c r="B57431" s="0" t="str">
        <f aca="false">HYPERLINK("https://lindat.mff.cuni.cz/services/teitok/pdtc10/index.php?action=vallex&amp;frame=v-w8061f3_ZU", "vylétnout (v-w8061f3_ZU)")</f>
        <v>vylétnout (v-w8061f3_ZU)</v>
      </c>
    </row>
    <row r="57432" customFormat="false" ht="12.8" hidden="false" customHeight="false" outlineLevel="0" collapsed="false">
      <c r="B57432" s="0" t="s">
        <v>7</v>
      </c>
      <c r="C57432" s="0" t="s">
        <v>19921</v>
      </c>
      <c r="D57432" s="0" t="s">
        <v>6244</v>
      </c>
      <c r="E57432" s="0" t="s">
        <v>6244</v>
      </c>
      <c r="F57432" s="0" t="s">
        <v>6244</v>
      </c>
    </row>
    <row r="57433" customFormat="false" ht="12.8" hidden="false" customHeight="false" outlineLevel="0" collapsed="false">
      <c r="B57433" s="0" t="s">
        <v>63</v>
      </c>
      <c r="C57433" s="0" t="s">
        <v>19922</v>
      </c>
      <c r="D57433" s="0" t="s">
        <v>4496</v>
      </c>
      <c r="E57433" s="0" t="s">
        <v>4496</v>
      </c>
      <c r="F57433" s="0" t="s">
        <v>4496</v>
      </c>
    </row>
    <row r="57434" customFormat="false" ht="12.8" hidden="false" customHeight="false" outlineLevel="0" collapsed="false">
      <c r="B57434" s="0" t="s">
        <v>35</v>
      </c>
      <c r="C57434" s="0" t="s">
        <v>19923</v>
      </c>
      <c r="D57434" s="0" t="s">
        <v>4497</v>
      </c>
      <c r="E57434" s="0" t="s">
        <v>4497</v>
      </c>
      <c r="F57434" s="0" t="s">
        <v>4497</v>
      </c>
    </row>
    <row r="57436" customFormat="false" ht="12.8" hidden="false" customHeight="false" outlineLevel="0" collapsed="false">
      <c r="A57436" s="0" t="s">
        <v>19924</v>
      </c>
      <c r="B57436" s="0" t="str">
        <f aca="false">HYPERLINK("https://lindat.mff.cuni.cz/services/teitok/pdtc10/index.php?action=vallex&amp;frame=v-w8061f1", "vylétnout (v-w8061f1)")</f>
        <v>vylétnout (v-w8061f1)</v>
      </c>
    </row>
    <row r="57437" customFormat="false" ht="12.8" hidden="false" customHeight="false" outlineLevel="0" collapsed="false">
      <c r="B57437" s="0" t="s">
        <v>7</v>
      </c>
    </row>
    <row r="57438" customFormat="false" ht="12.8" hidden="false" customHeight="false" outlineLevel="0" collapsed="false">
      <c r="B57438" s="0" t="s">
        <v>459</v>
      </c>
    </row>
    <row r="57440" customFormat="false" ht="12.8" hidden="false" customHeight="false" outlineLevel="0" collapsed="false">
      <c r="A57440" s="0" t="s">
        <v>19925</v>
      </c>
      <c r="B57440" s="0" t="str">
        <f aca="false">HYPERLINK("https://lindat.mff.cuni.cz/services/teitok/pdtc10/index.php?action=vallex&amp;frame=v-w8061f2", "vylétnout (v-w8061f2)")</f>
        <v>vylétnout (v-w8061f2)</v>
      </c>
    </row>
    <row r="57441" customFormat="false" ht="12.8" hidden="false" customHeight="false" outlineLevel="0" collapsed="false">
      <c r="B57441" s="0" t="s">
        <v>7</v>
      </c>
    </row>
    <row r="57442" customFormat="false" ht="12.8" hidden="false" customHeight="false" outlineLevel="0" collapsed="false">
      <c r="B57442" s="0" t="s">
        <v>124</v>
      </c>
    </row>
    <row r="57444" customFormat="false" ht="12.8" hidden="false" customHeight="false" outlineLevel="0" collapsed="false">
      <c r="A57444" s="0" t="s">
        <v>19926</v>
      </c>
      <c r="B57444" s="0" t="str">
        <f aca="false">HYPERLINK("https://lindat.mff.cuni.cz/services/teitok/pdtc10/index.php?action=vallex&amp;frame=v-w8061f4_ZU", "vylétnout (v-w8061f4_ZU)")</f>
        <v>vylétnout (v-w8061f4_ZU)</v>
      </c>
    </row>
    <row r="57445" customFormat="false" ht="12.8" hidden="false" customHeight="false" outlineLevel="0" collapsed="false">
      <c r="B57445" s="0" t="s">
        <v>7</v>
      </c>
      <c r="C57445" s="0" t="s">
        <v>4651</v>
      </c>
    </row>
    <row r="57446" customFormat="false" ht="12.8" hidden="false" customHeight="false" outlineLevel="0" collapsed="false">
      <c r="B57446" s="0" t="s">
        <v>338</v>
      </c>
      <c r="C57446" s="0" t="s">
        <v>19927</v>
      </c>
    </row>
    <row r="57448" customFormat="false" ht="12.8" hidden="false" customHeight="false" outlineLevel="0" collapsed="false">
      <c r="A57448" s="0" t="s">
        <v>19928</v>
      </c>
      <c r="B57448" s="0" t="str">
        <f aca="false">HYPERLINK("https://lindat.mff.cuni.cz/services/teitok/pdtc10/index.php?action=vallex&amp;frame=v-w8061f5_MM", "vylétnout (v-w8061f5_MM)")</f>
        <v>vylétnout (v-w8061f5_MM)</v>
      </c>
    </row>
    <row r="57449" customFormat="false" ht="12.8" hidden="false" customHeight="false" outlineLevel="0" collapsed="false">
      <c r="B57449" s="0" t="s">
        <v>7</v>
      </c>
    </row>
    <row r="57451" customFormat="false" ht="12.8" hidden="false" customHeight="false" outlineLevel="0" collapsed="false">
      <c r="A57451" s="0" t="s">
        <v>19929</v>
      </c>
      <c r="B57451" s="0" t="str">
        <f aca="false">HYPERLINK("https://lindat.mff.cuni.cz/services/teitok/pdtc10/index.php?action=vallex&amp;frame=v-whsa_14f1_ZU", "vylévat (v-whsa_14f1_ZU)")</f>
        <v>vylévat (v-whsa_14f1_ZU)</v>
      </c>
    </row>
    <row r="57452" customFormat="false" ht="12.8" hidden="false" customHeight="false" outlineLevel="0" collapsed="false">
      <c r="B57452" s="0" t="s">
        <v>7</v>
      </c>
    </row>
    <row r="57453" customFormat="false" ht="12.8" hidden="false" customHeight="false" outlineLevel="0" collapsed="false">
      <c r="B57453" s="0" t="s">
        <v>14</v>
      </c>
    </row>
    <row r="57455" customFormat="false" ht="12.8" hidden="false" customHeight="false" outlineLevel="0" collapsed="false">
      <c r="A57455" s="0" t="s">
        <v>19929</v>
      </c>
      <c r="B57455" s="0" t="str">
        <f aca="false">HYPERLINK("https://lindat.mff.cuni.cz/services/teitok/pdtc10/index.php?action=vallex&amp;frame=v-whsa_14hsa_15", "vylévat (v-whsa_14hsa_15) - substituted with v-whsa_14f1_ZU")</f>
        <v>vylévat (v-whsa_14hsa_15) - substituted with v-whsa_14f1_ZU</v>
      </c>
    </row>
    <row r="57456" customFormat="false" ht="12.8" hidden="false" customHeight="false" outlineLevel="0" collapsed="false">
      <c r="B57456" s="0" t="s">
        <v>7</v>
      </c>
    </row>
    <row r="57457" customFormat="false" ht="12.8" hidden="false" customHeight="false" outlineLevel="0" collapsed="false">
      <c r="B57457" s="0" t="s">
        <v>14</v>
      </c>
    </row>
    <row r="57459" customFormat="false" ht="12.8" hidden="false" customHeight="false" outlineLevel="0" collapsed="false">
      <c r="A57459" s="0" t="s">
        <v>19930</v>
      </c>
      <c r="B57459" s="0" t="str">
        <f aca="false">HYPERLINK("https://lindat.mff.cuni.cz/services/teitok/pdtc10/index.php?action=vallex&amp;frame=v-whsa_1840hsa_1841", "vylévat se (v-whsa_1840hsa_1841)")</f>
        <v>vylévat se (v-whsa_1840hsa_1841)</v>
      </c>
    </row>
    <row r="57460" customFormat="false" ht="12.8" hidden="false" customHeight="false" outlineLevel="0" collapsed="false">
      <c r="B57460" s="0" t="s">
        <v>7</v>
      </c>
    </row>
    <row r="57461" customFormat="false" ht="12.8" hidden="false" customHeight="false" outlineLevel="0" collapsed="false">
      <c r="B57461" s="0" t="s">
        <v>459</v>
      </c>
    </row>
    <row r="57463" customFormat="false" ht="12.8" hidden="false" customHeight="false" outlineLevel="0" collapsed="false">
      <c r="A57463" s="0" t="s">
        <v>19931</v>
      </c>
      <c r="B57463" s="0" t="str">
        <f aca="false">HYPERLINK("https://lindat.mff.cuni.cz/services/teitok/pdtc10/index.php?action=vallex&amp;frame=v-whsa_396f1_ZU", "vylévat si (v-whsa_396f1_ZU)")</f>
        <v>vylévat si (v-whsa_396f1_ZU)</v>
      </c>
    </row>
    <row r="57464" customFormat="false" ht="12.8" hidden="false" customHeight="false" outlineLevel="0" collapsed="false">
      <c r="B57464" s="0" t="s">
        <v>7</v>
      </c>
      <c r="C57464" s="0" t="s">
        <v>46</v>
      </c>
      <c r="D57464" s="0" t="s">
        <v>1826</v>
      </c>
      <c r="E57464" s="0" t="s">
        <v>1826</v>
      </c>
      <c r="F57464" s="0" t="s">
        <v>1826</v>
      </c>
    </row>
    <row r="57465" customFormat="false" ht="12.8" hidden="false" customHeight="false" outlineLevel="0" collapsed="false">
      <c r="B57465" s="0" t="s">
        <v>3142</v>
      </c>
      <c r="D57465" s="0" t="s">
        <v>19932</v>
      </c>
      <c r="E57465" s="0" t="s">
        <v>19932</v>
      </c>
      <c r="F57465" s="0" t="s">
        <v>19932</v>
      </c>
    </row>
    <row r="57466" customFormat="false" ht="12.8" hidden="false" customHeight="false" outlineLevel="0" collapsed="false">
      <c r="B57466" s="0" t="s">
        <v>142</v>
      </c>
      <c r="D57466" s="0" t="s">
        <v>3694</v>
      </c>
      <c r="E57466" s="0" t="s">
        <v>3694</v>
      </c>
      <c r="F57466" s="0" t="s">
        <v>3694</v>
      </c>
    </row>
    <row r="57468" customFormat="false" ht="12.8" hidden="false" customHeight="false" outlineLevel="0" collapsed="false">
      <c r="A57468" s="0" t="s">
        <v>19931</v>
      </c>
      <c r="B57468" s="0" t="str">
        <f aca="false">HYPERLINK("https://lindat.mff.cuni.cz/services/teitok/pdtc10/index.php?action=vallex&amp;frame=v-whsa_396hsa_397", "vylévat si (v-whsa_396hsa_397) - substituted with v-whsa_396f1_ZU")</f>
        <v>vylévat si (v-whsa_396hsa_397) - substituted with v-whsa_396f1_ZU</v>
      </c>
    </row>
    <row r="57469" customFormat="false" ht="12.8" hidden="false" customHeight="false" outlineLevel="0" collapsed="false">
      <c r="B57469" s="0" t="s">
        <v>7</v>
      </c>
    </row>
    <row r="57470" customFormat="false" ht="12.8" hidden="false" customHeight="false" outlineLevel="0" collapsed="false">
      <c r="B57470" s="0" t="s">
        <v>3142</v>
      </c>
    </row>
    <row r="57471" customFormat="false" ht="12.8" hidden="false" customHeight="false" outlineLevel="0" collapsed="false">
      <c r="B57471" s="0" t="s">
        <v>142</v>
      </c>
    </row>
    <row r="57473" customFormat="false" ht="12.8" hidden="false" customHeight="false" outlineLevel="0" collapsed="false">
      <c r="A57473" s="0" t="s">
        <v>19933</v>
      </c>
      <c r="B57473" s="0" t="str">
        <f aca="false">HYPERLINK("https://lindat.mff.cuni.cz/services/teitok/pdtc10/index.php?action=vallex&amp;frame=v-w10407f2", "vylézat (v-w10407f2)")</f>
        <v>vylézat (v-w10407f2)</v>
      </c>
    </row>
    <row r="57474" customFormat="false" ht="12.8" hidden="false" customHeight="false" outlineLevel="0" collapsed="false">
      <c r="B57474" s="0" t="s">
        <v>7</v>
      </c>
      <c r="C57474" s="0" t="s">
        <v>358</v>
      </c>
    </row>
    <row r="57475" customFormat="false" ht="12.8" hidden="false" customHeight="false" outlineLevel="0" collapsed="false">
      <c r="B57475" s="0" t="s">
        <v>459</v>
      </c>
    </row>
    <row r="57477" customFormat="false" ht="12.8" hidden="false" customHeight="false" outlineLevel="0" collapsed="false">
      <c r="A57477" s="0" t="s">
        <v>19934</v>
      </c>
      <c r="B57477" s="0" t="str">
        <f aca="false">HYPERLINK("https://lindat.mff.cuni.cz/services/teitok/pdtc10/index.php?action=vallex&amp;frame=v-w8062f1", "vylézt (v-w8062f1)")</f>
        <v>vylézt (v-w8062f1)</v>
      </c>
    </row>
    <row r="57478" customFormat="false" ht="12.8" hidden="false" customHeight="false" outlineLevel="0" collapsed="false">
      <c r="B57478" s="0" t="s">
        <v>7</v>
      </c>
    </row>
    <row r="57479" customFormat="false" ht="12.8" hidden="false" customHeight="false" outlineLevel="0" collapsed="false">
      <c r="B57479" s="0" t="s">
        <v>14</v>
      </c>
    </row>
    <row r="57481" customFormat="false" ht="12.8" hidden="false" customHeight="false" outlineLevel="0" collapsed="false">
      <c r="A57481" s="0" t="s">
        <v>19935</v>
      </c>
      <c r="B57481" s="0" t="str">
        <f aca="false">HYPERLINK("https://lindat.mff.cuni.cz/services/teitok/pdtc10/index.php?action=vallex&amp;frame=v-w8062f3", "vylézt (v-w8062f3)")</f>
        <v>vylézt (v-w8062f3)</v>
      </c>
    </row>
    <row r="57482" customFormat="false" ht="12.8" hidden="false" customHeight="false" outlineLevel="0" collapsed="false">
      <c r="B57482" s="0" t="s">
        <v>7</v>
      </c>
      <c r="C57482" s="0" t="s">
        <v>113</v>
      </c>
      <c r="D57482" s="0" t="s">
        <v>3601</v>
      </c>
      <c r="E57482" s="0" t="s">
        <v>3601</v>
      </c>
      <c r="F57482" s="0" t="s">
        <v>3601</v>
      </c>
    </row>
    <row r="57483" customFormat="false" ht="12.8" hidden="false" customHeight="false" outlineLevel="0" collapsed="false">
      <c r="B57483" s="0" t="s">
        <v>459</v>
      </c>
      <c r="D57483" s="0" t="s">
        <v>1583</v>
      </c>
      <c r="E57483" s="0" t="s">
        <v>1583</v>
      </c>
      <c r="F57483" s="0" t="s">
        <v>1583</v>
      </c>
    </row>
    <row r="57485" customFormat="false" ht="12.8" hidden="false" customHeight="false" outlineLevel="0" collapsed="false">
      <c r="A57485" s="0" t="s">
        <v>19936</v>
      </c>
      <c r="B57485" s="0" t="str">
        <f aca="false">HYPERLINK("https://lindat.mff.cuni.cz/services/teitok/pdtc10/index.php?action=vallex&amp;frame=v-w8062f2", "vylézt (v-w8062f2)")</f>
        <v>vylézt (v-w8062f2)</v>
      </c>
    </row>
    <row r="57486" customFormat="false" ht="12.8" hidden="false" customHeight="false" outlineLevel="0" collapsed="false">
      <c r="B57486" s="0" t="s">
        <v>7</v>
      </c>
    </row>
    <row r="57487" customFormat="false" ht="12.8" hidden="false" customHeight="false" outlineLevel="0" collapsed="false">
      <c r="B57487" s="0" t="s">
        <v>124</v>
      </c>
    </row>
    <row r="57489" customFormat="false" ht="12.8" hidden="false" customHeight="false" outlineLevel="0" collapsed="false">
      <c r="A57489" s="0" t="s">
        <v>19937</v>
      </c>
      <c r="B57489" s="0" t="str">
        <f aca="false">HYPERLINK("https://lindat.mff.cuni.cz/services/teitok/pdtc10/index.php?action=vallex&amp;frame=v-w8062f4_ZU", "vylézt (v-w8062f4_ZU)")</f>
        <v>vylézt (v-w8062f4_ZU)</v>
      </c>
    </row>
    <row r="57490" customFormat="false" ht="12.8" hidden="false" customHeight="false" outlineLevel="0" collapsed="false">
      <c r="B57490" s="0" t="s">
        <v>7</v>
      </c>
    </row>
    <row r="57492" customFormat="false" ht="12.8" hidden="false" customHeight="false" outlineLevel="0" collapsed="false">
      <c r="A57492" s="0" t="s">
        <v>19937</v>
      </c>
      <c r="B57492" s="0" t="str">
        <f aca="false">HYPERLINK("https://lindat.mff.cuni.cz/services/teitok/pdtc10/index.php?action=vallex&amp;frame=v-w8062hsa_1664", "vylézt (v-w8062hsa_1664) - substituted with v-w8062f4_ZU")</f>
        <v>vylézt (v-w8062hsa_1664) - substituted with v-w8062f4_ZU</v>
      </c>
    </row>
    <row r="57493" customFormat="false" ht="12.8" hidden="false" customHeight="false" outlineLevel="0" collapsed="false">
      <c r="B57493" s="0" t="s">
        <v>7</v>
      </c>
    </row>
    <row r="57495" customFormat="false" ht="12.8" hidden="false" customHeight="false" outlineLevel="0" collapsed="false">
      <c r="A57495" s="0" t="s">
        <v>19938</v>
      </c>
      <c r="B57495" s="0" t="str">
        <f aca="false">HYPERLINK("https://lindat.mff.cuni.cz/services/teitok/pdtc10/index.php?action=vallex&amp;frame=v-w8062f5_ZU", "vylézt (v-w8062f5_ZU)")</f>
        <v>vylézt (v-w8062f5_ZU)</v>
      </c>
    </row>
    <row r="57496" customFormat="false" ht="12.8" hidden="false" customHeight="false" outlineLevel="0" collapsed="false">
      <c r="B57496" s="0" t="s">
        <v>7</v>
      </c>
    </row>
    <row r="57497" customFormat="false" ht="12.8" hidden="false" customHeight="false" outlineLevel="0" collapsed="false">
      <c r="B57497" s="0" t="s">
        <v>5382</v>
      </c>
    </row>
    <row r="57499" customFormat="false" ht="12.8" hidden="false" customHeight="false" outlineLevel="0" collapsed="false">
      <c r="A57499" s="0" t="s">
        <v>19939</v>
      </c>
      <c r="B57499" s="0" t="str">
        <f aca="false">HYPERLINK("https://lindat.mff.cuni.cz/services/teitok/pdtc10/index.php?action=vallex&amp;frame=v-w8062f6_ZU", "vylézt (v-w8062f6_ZU)")</f>
        <v>vylézt (v-w8062f6_ZU)</v>
      </c>
    </row>
    <row r="57500" customFormat="false" ht="12.8" hidden="false" customHeight="false" outlineLevel="0" collapsed="false">
      <c r="B57500" s="0" t="s">
        <v>641</v>
      </c>
    </row>
    <row r="57501" customFormat="false" ht="12.8" hidden="false" customHeight="false" outlineLevel="0" collapsed="false">
      <c r="B57501" s="0" t="s">
        <v>459</v>
      </c>
    </row>
    <row r="57503" customFormat="false" ht="12.8" hidden="false" customHeight="false" outlineLevel="0" collapsed="false">
      <c r="A57503" s="0" t="s">
        <v>19940</v>
      </c>
      <c r="B57503" s="0" t="str">
        <f aca="false">HYPERLINK("https://lindat.mff.cuni.cz/services/teitok/pdtc10/index.php?action=vallex&amp;frame=v-w8062hsa_1665", "vylézt (v-w8062hsa_1665)")</f>
        <v>vylézt (v-w8062hsa_1665)</v>
      </c>
    </row>
    <row r="57504" customFormat="false" ht="12.8" hidden="false" customHeight="false" outlineLevel="0" collapsed="false">
      <c r="B57504" s="0" t="s">
        <v>7</v>
      </c>
    </row>
    <row r="57505" customFormat="false" ht="12.8" hidden="false" customHeight="false" outlineLevel="0" collapsed="false">
      <c r="B57505" s="0" t="s">
        <v>581</v>
      </c>
    </row>
    <row r="57507" customFormat="false" ht="12.8" hidden="false" customHeight="false" outlineLevel="0" collapsed="false">
      <c r="A57507" s="0" t="s">
        <v>19941</v>
      </c>
      <c r="B57507" s="0" t="str">
        <f aca="false">HYPERLINK("https://lindat.mff.cuni.cz/services/teitok/pdtc10/index.php?action=vallex&amp;frame=v-w8053f1", "vyléčit (v-w8053f1)")</f>
        <v>vyléčit (v-w8053f1)</v>
      </c>
    </row>
    <row r="57508" customFormat="false" ht="12.8" hidden="false" customHeight="false" outlineLevel="0" collapsed="false">
      <c r="B57508" s="0" t="s">
        <v>7</v>
      </c>
      <c r="C57508" s="0" t="s">
        <v>19942</v>
      </c>
      <c r="D57508" s="0" t="s">
        <v>5289</v>
      </c>
      <c r="E57508" s="0" t="s">
        <v>5289</v>
      </c>
      <c r="F57508" s="0" t="s">
        <v>5289</v>
      </c>
    </row>
    <row r="57509" customFormat="false" ht="12.8" hidden="false" customHeight="false" outlineLevel="0" collapsed="false">
      <c r="B57509" s="0" t="s">
        <v>14</v>
      </c>
      <c r="C57509" s="0" t="s">
        <v>3694</v>
      </c>
      <c r="D57509" s="0" t="s">
        <v>5291</v>
      </c>
      <c r="E57509" s="0" t="s">
        <v>5291</v>
      </c>
      <c r="F57509" s="0" t="s">
        <v>5291</v>
      </c>
    </row>
    <row r="57511" customFormat="false" ht="12.8" hidden="false" customHeight="false" outlineLevel="0" collapsed="false">
      <c r="A57511" s="0" t="s">
        <v>19943</v>
      </c>
      <c r="B57511" s="0" t="str">
        <f aca="false">HYPERLINK("https://lindat.mff.cuni.cz/services/teitok/pdtc10/index.php?action=vallex&amp;frame=v-w8053f2", "vyléčit (v-w8053f2)")</f>
        <v>vyléčit (v-w8053f2)</v>
      </c>
    </row>
    <row r="57512" customFormat="false" ht="12.8" hidden="false" customHeight="false" outlineLevel="0" collapsed="false">
      <c r="B57512" s="0" t="s">
        <v>7</v>
      </c>
    </row>
    <row r="57513" customFormat="false" ht="12.8" hidden="false" customHeight="false" outlineLevel="0" collapsed="false">
      <c r="B57513" s="0" t="s">
        <v>81</v>
      </c>
    </row>
    <row r="57514" customFormat="false" ht="12.8" hidden="false" customHeight="false" outlineLevel="0" collapsed="false">
      <c r="B57514" s="0" t="s">
        <v>581</v>
      </c>
    </row>
    <row r="57516" customFormat="false" ht="12.8" hidden="false" customHeight="false" outlineLevel="0" collapsed="false">
      <c r="A57516" s="0" t="s">
        <v>19944</v>
      </c>
      <c r="B57516" s="0" t="str">
        <f aca="false">HYPERLINK("https://lindat.mff.cuni.cz/services/teitok/pdtc10/index.php?action=vallex&amp;frame=v-w12016_ZUf1_ZU", "vyléčit se (v-w12016_ZUf1_ZU)")</f>
        <v>vyléčit se (v-w12016_ZUf1_ZU)</v>
      </c>
    </row>
    <row r="57517" customFormat="false" ht="12.8" hidden="false" customHeight="false" outlineLevel="0" collapsed="false">
      <c r="B57517" s="0" t="s">
        <v>7</v>
      </c>
    </row>
    <row r="57518" customFormat="false" ht="12.8" hidden="false" customHeight="false" outlineLevel="0" collapsed="false">
      <c r="B57518" s="0" t="s">
        <v>581</v>
      </c>
    </row>
    <row r="57520" customFormat="false" ht="12.8" hidden="false" customHeight="false" outlineLevel="0" collapsed="false">
      <c r="A57520" s="0" t="s">
        <v>19945</v>
      </c>
      <c r="B57520" s="0" t="str">
        <f aca="false">HYPERLINK("https://lindat.mff.cuni.cz/services/teitok/pdtc10/index.php?action=vallex&amp;frame=v-w8066f1", "vylít (v-w8066f1)")</f>
        <v>vylít (v-w8066f1)</v>
      </c>
    </row>
    <row r="57521" customFormat="false" ht="12.8" hidden="false" customHeight="false" outlineLevel="0" collapsed="false">
      <c r="B57521" s="0" t="s">
        <v>7</v>
      </c>
    </row>
    <row r="57522" customFormat="false" ht="12.8" hidden="false" customHeight="false" outlineLevel="0" collapsed="false">
      <c r="B57522" s="0" t="s">
        <v>14</v>
      </c>
    </row>
    <row r="57523" customFormat="false" ht="12.8" hidden="false" customHeight="false" outlineLevel="0" collapsed="false">
      <c r="B57523" s="0" t="s">
        <v>459</v>
      </c>
    </row>
    <row r="57525" customFormat="false" ht="12.8" hidden="false" customHeight="false" outlineLevel="0" collapsed="false">
      <c r="A57525" s="0" t="s">
        <v>19946</v>
      </c>
      <c r="B57525" s="0" t="str">
        <f aca="false">HYPERLINK("https://lindat.mff.cuni.cz/services/teitok/pdtc10/index.php?action=vallex&amp;frame=v-w8066f2_ZU", "vylít (v-w8066f2_ZU)")</f>
        <v>vylít (v-w8066f2_ZU)</v>
      </c>
    </row>
    <row r="57526" customFormat="false" ht="12.8" hidden="false" customHeight="false" outlineLevel="0" collapsed="false">
      <c r="B57526" s="0" t="s">
        <v>7</v>
      </c>
    </row>
    <row r="57527" customFormat="false" ht="12.8" hidden="false" customHeight="false" outlineLevel="0" collapsed="false">
      <c r="B57527" s="0" t="s">
        <v>14</v>
      </c>
    </row>
    <row r="57529" customFormat="false" ht="12.8" hidden="false" customHeight="false" outlineLevel="0" collapsed="false">
      <c r="A57529" s="0" t="s">
        <v>19947</v>
      </c>
      <c r="B57529" s="0" t="str">
        <f aca="false">HYPERLINK("https://lindat.mff.cuni.cz/services/teitok/pdtc10/index.php?action=vallex&amp;frame=v-whsa_1480hsa_1481", "vylítat (v-whsa_1480hsa_1481)")</f>
        <v>vylítat (v-whsa_1480hsa_1481)</v>
      </c>
    </row>
    <row r="57530" customFormat="false" ht="12.8" hidden="false" customHeight="false" outlineLevel="0" collapsed="false">
      <c r="B57530" s="0" t="s">
        <v>7</v>
      </c>
    </row>
    <row r="57531" customFormat="false" ht="12.8" hidden="false" customHeight="false" outlineLevel="0" collapsed="false">
      <c r="B57531" s="0" t="s">
        <v>459</v>
      </c>
    </row>
    <row r="57533" customFormat="false" ht="12.8" hidden="false" customHeight="false" outlineLevel="0" collapsed="false">
      <c r="A57533" s="0" t="s">
        <v>19948</v>
      </c>
      <c r="B57533" s="0" t="str">
        <f aca="false">HYPERLINK("https://lindat.mff.cuni.cz/services/teitok/pdtc10/index.php?action=vallex&amp;frame=v-w11992_ZUf1_ZU", "vylítat (v-w11992_ZUf1_ZU)")</f>
        <v>vylítat (v-w11992_ZUf1_ZU)</v>
      </c>
    </row>
    <row r="57534" customFormat="false" ht="12.8" hidden="false" customHeight="false" outlineLevel="0" collapsed="false">
      <c r="B57534" s="0" t="s">
        <v>7</v>
      </c>
    </row>
    <row r="57535" customFormat="false" ht="12.8" hidden="false" customHeight="false" outlineLevel="0" collapsed="false">
      <c r="B57535" s="0" t="s">
        <v>14</v>
      </c>
    </row>
    <row r="57537" customFormat="false" ht="12.8" hidden="false" customHeight="false" outlineLevel="0" collapsed="false">
      <c r="A57537" s="0" t="s">
        <v>19949</v>
      </c>
      <c r="B57537" s="0" t="str">
        <f aca="false">HYPERLINK("https://lindat.mff.cuni.cz/services/teitok/pdtc10/index.php?action=vallex&amp;frame=v-whsa_731f1_ZU", "vylítnout (v-whsa_731f1_ZU)")</f>
        <v>vylítnout (v-whsa_731f1_ZU)</v>
      </c>
    </row>
    <row r="57538" customFormat="false" ht="12.8" hidden="false" customHeight="false" outlineLevel="0" collapsed="false">
      <c r="B57538" s="0" t="s">
        <v>7</v>
      </c>
    </row>
    <row r="57539" customFormat="false" ht="12.8" hidden="false" customHeight="false" outlineLevel="0" collapsed="false">
      <c r="B57539" s="0" t="s">
        <v>63</v>
      </c>
    </row>
    <row r="57540" customFormat="false" ht="12.8" hidden="false" customHeight="false" outlineLevel="0" collapsed="false">
      <c r="B57540" s="0" t="s">
        <v>35</v>
      </c>
    </row>
    <row r="57542" customFormat="false" ht="12.8" hidden="false" customHeight="false" outlineLevel="0" collapsed="false">
      <c r="A57542" s="0" t="s">
        <v>19949</v>
      </c>
      <c r="B57542" s="0" t="str">
        <f aca="false">HYPERLINK("https://lindat.mff.cuni.cz/services/teitok/pdtc10/index.php?action=vallex&amp;frame=v-whsa_731hsa_733", "vylítnout (v-whsa_731hsa_733) - substituted with v-whsa_731f1_ZU")</f>
        <v>vylítnout (v-whsa_731hsa_733) - substituted with v-whsa_731f1_ZU</v>
      </c>
    </row>
    <row r="57543" customFormat="false" ht="12.8" hidden="false" customHeight="false" outlineLevel="0" collapsed="false">
      <c r="B57543" s="0" t="s">
        <v>7</v>
      </c>
    </row>
    <row r="57544" customFormat="false" ht="12.8" hidden="false" customHeight="false" outlineLevel="0" collapsed="false">
      <c r="B57544" s="0" t="s">
        <v>63</v>
      </c>
    </row>
    <row r="57545" customFormat="false" ht="12.8" hidden="false" customHeight="false" outlineLevel="0" collapsed="false">
      <c r="B57545" s="0" t="s">
        <v>35</v>
      </c>
    </row>
    <row r="57547" customFormat="false" ht="12.8" hidden="false" customHeight="false" outlineLevel="0" collapsed="false">
      <c r="A57547" s="0" t="s">
        <v>19950</v>
      </c>
      <c r="B57547" s="0" t="str">
        <f aca="false">HYPERLINK("https://lindat.mff.cuni.cz/services/teitok/pdtc10/index.php?action=vallex&amp;frame=v-whsa_731hsa_732", "vylítnout (v-whsa_731hsa_732)")</f>
        <v>vylítnout (v-whsa_731hsa_732)</v>
      </c>
    </row>
    <row r="57548" customFormat="false" ht="12.8" hidden="false" customHeight="false" outlineLevel="0" collapsed="false">
      <c r="B57548" s="0" t="s">
        <v>7</v>
      </c>
    </row>
    <row r="57549" customFormat="false" ht="12.8" hidden="false" customHeight="false" outlineLevel="0" collapsed="false">
      <c r="B57549" s="0" t="s">
        <v>459</v>
      </c>
    </row>
    <row r="57551" customFormat="false" ht="12.8" hidden="false" customHeight="false" outlineLevel="0" collapsed="false">
      <c r="A57551" s="0" t="s">
        <v>19951</v>
      </c>
      <c r="B57551" s="0" t="str">
        <f aca="false">HYPERLINK("https://lindat.mff.cuni.cz/services/teitok/pdtc10/index.php?action=vallex&amp;frame=v-w12351_MMf1_MM", "vylítávat (v-w12351_MMf1_MM)")</f>
        <v>vylítávat (v-w12351_MMf1_MM)</v>
      </c>
    </row>
    <row r="57552" customFormat="false" ht="12.8" hidden="false" customHeight="false" outlineLevel="0" collapsed="false">
      <c r="B57552" s="0" t="s">
        <v>7</v>
      </c>
    </row>
    <row r="57553" customFormat="false" ht="12.8" hidden="false" customHeight="false" outlineLevel="0" collapsed="false">
      <c r="B57553" s="0" t="s">
        <v>459</v>
      </c>
    </row>
    <row r="57555" customFormat="false" ht="12.8" hidden="false" customHeight="false" outlineLevel="0" collapsed="false">
      <c r="A57555" s="0" t="s">
        <v>19952</v>
      </c>
      <c r="B57555" s="0" t="str">
        <f aca="false">HYPERLINK("https://lindat.mff.cuni.cz/services/teitok/pdtc10/index.php?action=vallex&amp;frame=v-w11891_ZUf1_ZU", "vylízat (v-w11891_ZUf1_ZU)")</f>
        <v>vylízat (v-w11891_ZUf1_ZU)</v>
      </c>
    </row>
    <row r="57556" customFormat="false" ht="12.8" hidden="false" customHeight="false" outlineLevel="0" collapsed="false">
      <c r="B57556" s="0" t="s">
        <v>7</v>
      </c>
    </row>
    <row r="57557" customFormat="false" ht="12.8" hidden="false" customHeight="false" outlineLevel="0" collapsed="false">
      <c r="B57557" s="0" t="s">
        <v>14</v>
      </c>
    </row>
    <row r="57559" customFormat="false" ht="12.8" hidden="false" customHeight="false" outlineLevel="0" collapsed="false">
      <c r="A57559" s="0" t="s">
        <v>19953</v>
      </c>
      <c r="B57559" s="0" t="str">
        <f aca="false">HYPERLINK("https://lindat.mff.cuni.cz/services/teitok/pdtc10/index.php?action=vallex&amp;frame=v-w8067f1", "vylízat se (v-w8067f1)")</f>
        <v>vylízat se (v-w8067f1)</v>
      </c>
    </row>
    <row r="57560" customFormat="false" ht="12.8" hidden="false" customHeight="false" outlineLevel="0" collapsed="false">
      <c r="B57560" s="0" t="s">
        <v>7</v>
      </c>
    </row>
    <row r="57561" customFormat="false" ht="12.8" hidden="false" customHeight="false" outlineLevel="0" collapsed="false">
      <c r="B57561" s="0" t="s">
        <v>581</v>
      </c>
    </row>
    <row r="57563" customFormat="false" ht="12.8" hidden="false" customHeight="false" outlineLevel="0" collapsed="false">
      <c r="A57563" s="0" t="s">
        <v>19954</v>
      </c>
      <c r="B57563" s="0" t="str">
        <f aca="false">HYPERLINK("https://lindat.mff.cuni.cz/services/teitok/pdtc10/index.php?action=vallex&amp;frame=v-w8064f1", "vylíčit (v-w8064f1)")</f>
        <v>vylíčit (v-w8064f1)</v>
      </c>
    </row>
    <row r="57564" customFormat="false" ht="12.8" hidden="false" customHeight="false" outlineLevel="0" collapsed="false">
      <c r="B57564" s="0" t="s">
        <v>7</v>
      </c>
      <c r="C57564" s="0" t="s">
        <v>569</v>
      </c>
      <c r="D57564" s="0" t="s">
        <v>140</v>
      </c>
      <c r="E57564" s="0" t="s">
        <v>140</v>
      </c>
      <c r="F57564" s="0" t="s">
        <v>140</v>
      </c>
    </row>
    <row r="57565" customFormat="false" ht="12.8" hidden="false" customHeight="false" outlineLevel="0" collapsed="false">
      <c r="B57565" s="0" t="s">
        <v>19821</v>
      </c>
      <c r="C57565" s="0" t="s">
        <v>120</v>
      </c>
      <c r="D57565" s="0" t="s">
        <v>1155</v>
      </c>
      <c r="E57565" s="0" t="s">
        <v>1155</v>
      </c>
      <c r="F57565" s="0" t="s">
        <v>1155</v>
      </c>
    </row>
    <row r="57566" customFormat="false" ht="12.8" hidden="false" customHeight="false" outlineLevel="0" collapsed="false">
      <c r="B57566" s="0" t="s">
        <v>48</v>
      </c>
    </row>
    <row r="57568" customFormat="false" ht="12.8" hidden="false" customHeight="false" outlineLevel="0" collapsed="false">
      <c r="A57568" s="0" t="s">
        <v>19955</v>
      </c>
      <c r="B57568" s="0" t="str">
        <f aca="false">HYPERLINK("https://lindat.mff.cuni.cz/services/teitok/pdtc10/index.php?action=vallex&amp;frame=v-w8092f1", "vymalovat (v-w8092f1)")</f>
        <v>vymalovat (v-w8092f1)</v>
      </c>
    </row>
    <row r="57569" customFormat="false" ht="12.8" hidden="false" customHeight="false" outlineLevel="0" collapsed="false">
      <c r="B57569" s="0" t="s">
        <v>7</v>
      </c>
      <c r="C57569" s="0" t="s">
        <v>184</v>
      </c>
      <c r="D57569" s="0" t="s">
        <v>108</v>
      </c>
      <c r="E57569" s="0" t="s">
        <v>108</v>
      </c>
      <c r="F57569" s="0" t="s">
        <v>108</v>
      </c>
    </row>
    <row r="57570" customFormat="false" ht="12.8" hidden="false" customHeight="false" outlineLevel="0" collapsed="false">
      <c r="B57570" s="0" t="s">
        <v>14</v>
      </c>
      <c r="C57570" s="0" t="s">
        <v>115</v>
      </c>
      <c r="D57570" s="0" t="s">
        <v>625</v>
      </c>
      <c r="E57570" s="0" t="s">
        <v>625</v>
      </c>
      <c r="F57570" s="0" t="s">
        <v>625</v>
      </c>
    </row>
    <row r="57572" customFormat="false" ht="12.8" hidden="false" customHeight="false" outlineLevel="0" collapsed="false">
      <c r="A57572" s="0" t="s">
        <v>19956</v>
      </c>
      <c r="B57572" s="0" t="str">
        <f aca="false">HYPERLINK("https://lindat.mff.cuni.cz/services/teitok/pdtc10/index.php?action=vallex&amp;frame=v-w8093f1", "vymanit (v-w8093f1)")</f>
        <v>vymanit (v-w8093f1)</v>
      </c>
    </row>
    <row r="57573" customFormat="false" ht="12.8" hidden="false" customHeight="false" outlineLevel="0" collapsed="false">
      <c r="B57573" s="0" t="s">
        <v>7</v>
      </c>
    </row>
    <row r="57574" customFormat="false" ht="12.8" hidden="false" customHeight="false" outlineLevel="0" collapsed="false">
      <c r="B57574" s="0" t="s">
        <v>14</v>
      </c>
    </row>
    <row r="57575" customFormat="false" ht="12.8" hidden="false" customHeight="false" outlineLevel="0" collapsed="false">
      <c r="B57575" s="0" t="s">
        <v>459</v>
      </c>
    </row>
    <row r="57577" customFormat="false" ht="12.8" hidden="false" customHeight="false" outlineLevel="0" collapsed="false">
      <c r="A57577" s="0" t="s">
        <v>19957</v>
      </c>
      <c r="B57577" s="0" t="str">
        <f aca="false">HYPERLINK("https://lindat.mff.cuni.cz/services/teitok/pdtc10/index.php?action=vallex&amp;frame=v-w8094f1", "vymanit se (v-w8094f1)")</f>
        <v>vymanit se (v-w8094f1)</v>
      </c>
    </row>
    <row r="57578" customFormat="false" ht="12.8" hidden="false" customHeight="false" outlineLevel="0" collapsed="false">
      <c r="B57578" s="0" t="s">
        <v>7</v>
      </c>
      <c r="C57578" s="0" t="s">
        <v>19958</v>
      </c>
      <c r="D57578" s="0" t="s">
        <v>19566</v>
      </c>
      <c r="E57578" s="0" t="s">
        <v>19566</v>
      </c>
      <c r="F57578" s="0" t="s">
        <v>19566</v>
      </c>
    </row>
    <row r="57579" customFormat="false" ht="12.8" hidden="false" customHeight="false" outlineLevel="0" collapsed="false">
      <c r="B57579" s="0" t="s">
        <v>459</v>
      </c>
      <c r="C57579" s="0" t="s">
        <v>19959</v>
      </c>
    </row>
    <row r="57581" customFormat="false" ht="12.8" hidden="false" customHeight="false" outlineLevel="0" collapsed="false">
      <c r="A57581" s="0" t="s">
        <v>19960</v>
      </c>
      <c r="B57581" s="0" t="str">
        <f aca="false">HYPERLINK("https://lindat.mff.cuni.cz/services/teitok/pdtc10/index.php?action=vallex&amp;frame=v-w10325f2", "vymanévrovat (v-w10325f2)")</f>
        <v>vymanévrovat (v-w10325f2)</v>
      </c>
    </row>
    <row r="57582" customFormat="false" ht="12.8" hidden="false" customHeight="false" outlineLevel="0" collapsed="false">
      <c r="B57582" s="0" t="s">
        <v>7</v>
      </c>
    </row>
    <row r="57583" customFormat="false" ht="12.8" hidden="false" customHeight="false" outlineLevel="0" collapsed="false">
      <c r="B57583" s="0" t="s">
        <v>14</v>
      </c>
    </row>
    <row r="57585" customFormat="false" ht="12.8" hidden="false" customHeight="false" outlineLevel="0" collapsed="false">
      <c r="A57585" s="0" t="s">
        <v>19961</v>
      </c>
      <c r="B57585" s="0" t="str">
        <f aca="false">HYPERLINK("https://lindat.mff.cuni.cz/services/teitok/pdtc10/index.php?action=vallex&amp;frame=v-w8095f1", "vymazat (v-w8095f1)")</f>
        <v>vymazat (v-w8095f1)</v>
      </c>
    </row>
    <row r="57586" customFormat="false" ht="12.8" hidden="false" customHeight="false" outlineLevel="0" collapsed="false">
      <c r="B57586" s="0" t="s">
        <v>7</v>
      </c>
      <c r="C57586" s="0" t="s">
        <v>460</v>
      </c>
      <c r="D57586" s="0" t="s">
        <v>88</v>
      </c>
      <c r="E57586" s="0" t="s">
        <v>88</v>
      </c>
      <c r="F57586" s="0" t="s">
        <v>88</v>
      </c>
    </row>
    <row r="57587" customFormat="false" ht="12.8" hidden="false" customHeight="false" outlineLevel="0" collapsed="false">
      <c r="B57587" s="0" t="s">
        <v>14</v>
      </c>
      <c r="C57587" s="0" t="s">
        <v>1289</v>
      </c>
      <c r="D57587" s="0" t="s">
        <v>3872</v>
      </c>
      <c r="E57587" s="0" t="s">
        <v>3872</v>
      </c>
      <c r="F57587" s="0" t="s">
        <v>3872</v>
      </c>
    </row>
    <row r="57588" customFormat="false" ht="12.8" hidden="false" customHeight="false" outlineLevel="0" collapsed="false">
      <c r="B57588" s="0" t="s">
        <v>459</v>
      </c>
      <c r="C57588" s="0" t="s">
        <v>19535</v>
      </c>
      <c r="D57588" s="0" t="s">
        <v>8533</v>
      </c>
      <c r="E57588" s="0" t="s">
        <v>8533</v>
      </c>
      <c r="F57588" s="0" t="s">
        <v>8533</v>
      </c>
    </row>
    <row r="57590" customFormat="false" ht="12.8" hidden="false" customHeight="false" outlineLevel="0" collapsed="false">
      <c r="A57590" s="0" t="s">
        <v>19962</v>
      </c>
      <c r="B57590" s="0" t="str">
        <f aca="false">HYPERLINK("https://lindat.mff.cuni.cz/services/teitok/pdtc10/index.php?action=vallex&amp;frame=v-w8095f3_ZU", "vymazat (v-w8095f3_ZU)")</f>
        <v>vymazat (v-w8095f3_ZU)</v>
      </c>
    </row>
    <row r="57591" customFormat="false" ht="12.8" hidden="false" customHeight="false" outlineLevel="0" collapsed="false">
      <c r="B57591" s="0" t="s">
        <v>7</v>
      </c>
      <c r="C57591" s="0" t="s">
        <v>184</v>
      </c>
    </row>
    <row r="57592" customFormat="false" ht="12.8" hidden="false" customHeight="false" outlineLevel="0" collapsed="false">
      <c r="B57592" s="0" t="s">
        <v>14</v>
      </c>
      <c r="C57592" s="0" t="s">
        <v>74</v>
      </c>
    </row>
    <row r="57594" customFormat="false" ht="12.8" hidden="false" customHeight="false" outlineLevel="0" collapsed="false">
      <c r="A57594" s="0" t="s">
        <v>19962</v>
      </c>
      <c r="B57594" s="0" t="str">
        <f aca="false">HYPERLINK("https://lindat.mff.cuni.cz/services/teitok/pdtc10/index.php?action=vallex&amp;frame=v-w8095hsa_360", "vymazat (v-w8095hsa_360) - substituted with v-w8095f3_ZU")</f>
        <v>vymazat (v-w8095hsa_360) - substituted with v-w8095f3_ZU</v>
      </c>
    </row>
    <row r="57595" customFormat="false" ht="12.8" hidden="false" customHeight="false" outlineLevel="0" collapsed="false">
      <c r="B57595" s="0" t="s">
        <v>7</v>
      </c>
    </row>
    <row r="57596" customFormat="false" ht="12.8" hidden="false" customHeight="false" outlineLevel="0" collapsed="false">
      <c r="B57596" s="0" t="s">
        <v>14</v>
      </c>
    </row>
    <row r="57598" customFormat="false" ht="12.8" hidden="false" customHeight="false" outlineLevel="0" collapsed="false">
      <c r="A57598" s="0" t="s">
        <v>19963</v>
      </c>
      <c r="B57598" s="0" t="str">
        <f aca="false">HYPERLINK("https://lindat.mff.cuni.cz/services/teitok/pdtc10/index.php?action=vallex&amp;frame=v-w8095f2_ZU", "vymazat (v-w8095f2_ZU)")</f>
        <v>vymazat (v-w8095f2_ZU)</v>
      </c>
    </row>
    <row r="57599" customFormat="false" ht="12.8" hidden="false" customHeight="false" outlineLevel="0" collapsed="false">
      <c r="B57599" s="0" t="s">
        <v>7</v>
      </c>
      <c r="C57599" s="0" t="s">
        <v>113</v>
      </c>
      <c r="D57599" s="0" t="s">
        <v>88</v>
      </c>
      <c r="E57599" s="0" t="s">
        <v>88</v>
      </c>
      <c r="F57599" s="0" t="s">
        <v>88</v>
      </c>
    </row>
    <row r="57600" customFormat="false" ht="12.8" hidden="false" customHeight="false" outlineLevel="0" collapsed="false">
      <c r="B57600" s="0" t="s">
        <v>14</v>
      </c>
      <c r="C57600" s="0" t="s">
        <v>78</v>
      </c>
      <c r="D57600" s="0" t="s">
        <v>3872</v>
      </c>
      <c r="E57600" s="0" t="s">
        <v>3872</v>
      </c>
      <c r="F57600" s="0" t="s">
        <v>3872</v>
      </c>
    </row>
    <row r="57602" customFormat="false" ht="12.8" hidden="false" customHeight="false" outlineLevel="0" collapsed="false">
      <c r="A57602" s="0" t="s">
        <v>19964</v>
      </c>
      <c r="B57602" s="0" t="str">
        <f aca="false">HYPERLINK("https://lindat.mff.cuni.cz/services/teitok/pdtc10/index.php?action=vallex&amp;frame=v-w8095f4_ZU", "vymazat (v-w8095f4_ZU)")</f>
        <v>vymazat (v-w8095f4_ZU)</v>
      </c>
    </row>
    <row r="57603" customFormat="false" ht="12.8" hidden="false" customHeight="false" outlineLevel="0" collapsed="false">
      <c r="B57603" s="0" t="s">
        <v>7</v>
      </c>
    </row>
    <row r="57604" customFormat="false" ht="12.8" hidden="false" customHeight="false" outlineLevel="0" collapsed="false">
      <c r="B57604" s="0" t="s">
        <v>14</v>
      </c>
    </row>
    <row r="57605" customFormat="false" ht="12.8" hidden="false" customHeight="false" outlineLevel="0" collapsed="false">
      <c r="B57605" s="0" t="s">
        <v>19965</v>
      </c>
    </row>
    <row r="57607" customFormat="false" ht="12.8" hidden="false" customHeight="false" outlineLevel="0" collapsed="false">
      <c r="A57607" s="0" t="s">
        <v>19964</v>
      </c>
      <c r="B57607" s="0" t="str">
        <f aca="false">HYPERLINK("https://lindat.mff.cuni.cz/services/teitok/pdtc10/index.php?action=vallex&amp;frame=v-w8095hsa_267", "vymazat (v-w8095hsa_267) - substituted with v-w8095f4_ZU")</f>
        <v>vymazat (v-w8095hsa_267) - substituted with v-w8095f4_ZU</v>
      </c>
    </row>
    <row r="57608" customFormat="false" ht="12.8" hidden="false" customHeight="false" outlineLevel="0" collapsed="false">
      <c r="B57608" s="0" t="s">
        <v>7</v>
      </c>
    </row>
    <row r="57609" customFormat="false" ht="12.8" hidden="false" customHeight="false" outlineLevel="0" collapsed="false">
      <c r="B57609" s="0" t="s">
        <v>14</v>
      </c>
    </row>
    <row r="57610" customFormat="false" ht="12.8" hidden="false" customHeight="false" outlineLevel="0" collapsed="false">
      <c r="B57610" s="0" t="s">
        <v>19965</v>
      </c>
    </row>
    <row r="57612" customFormat="false" ht="12.8" hidden="false" customHeight="false" outlineLevel="0" collapsed="false">
      <c r="A57612" s="0" t="s">
        <v>19966</v>
      </c>
      <c r="B57612" s="0" t="str">
        <f aca="false">HYPERLINK("https://lindat.mff.cuni.cz/services/teitok/pdtc10/index.php?action=vallex&amp;frame=v-w10858f2", "vymačkat (v-w10858f2)")</f>
        <v>vymačkat (v-w10858f2)</v>
      </c>
    </row>
    <row r="57613" customFormat="false" ht="12.8" hidden="false" customHeight="false" outlineLevel="0" collapsed="false">
      <c r="B57613" s="0" t="s">
        <v>7</v>
      </c>
    </row>
    <row r="57614" customFormat="false" ht="12.8" hidden="false" customHeight="false" outlineLevel="0" collapsed="false">
      <c r="B57614" s="0" t="s">
        <v>14</v>
      </c>
    </row>
    <row r="57615" customFormat="false" ht="12.8" hidden="false" customHeight="false" outlineLevel="0" collapsed="false">
      <c r="B57615" s="0" t="s">
        <v>2339</v>
      </c>
    </row>
    <row r="57617" customFormat="false" ht="12.8" hidden="false" customHeight="false" outlineLevel="0" collapsed="false">
      <c r="A57617" s="0" t="s">
        <v>19967</v>
      </c>
      <c r="B57617" s="0" t="str">
        <f aca="false">HYPERLINK("https://lindat.mff.cuni.cz/services/teitok/pdtc10/index.php?action=vallex&amp;frame=v-w10858hsa_170", "vymačkat (v-w10858hsa_170)")</f>
        <v>vymačkat (v-w10858hsa_170)</v>
      </c>
    </row>
    <row r="57618" customFormat="false" ht="12.8" hidden="false" customHeight="false" outlineLevel="0" collapsed="false">
      <c r="B57618" s="0" t="s">
        <v>7</v>
      </c>
    </row>
    <row r="57619" customFormat="false" ht="12.8" hidden="false" customHeight="false" outlineLevel="0" collapsed="false">
      <c r="B57619" s="0" t="s">
        <v>14</v>
      </c>
    </row>
    <row r="57620" customFormat="false" ht="12.8" hidden="false" customHeight="false" outlineLevel="0" collapsed="false">
      <c r="B57620" s="0" t="s">
        <v>459</v>
      </c>
    </row>
    <row r="57622" customFormat="false" ht="12.8" hidden="false" customHeight="false" outlineLevel="0" collapsed="false">
      <c r="A57622" s="0" t="s">
        <v>19968</v>
      </c>
      <c r="B57622" s="0" t="str">
        <f aca="false">HYPERLINK("https://lindat.mff.cuni.cz/services/teitok/pdtc10/index.php?action=vallex&amp;frame=v-w8103f1", "vymetat (v-w8103f1)")</f>
        <v>vymetat (v-w8103f1)</v>
      </c>
    </row>
    <row r="57623" customFormat="false" ht="12.8" hidden="false" customHeight="false" outlineLevel="0" collapsed="false">
      <c r="B57623" s="0" t="s">
        <v>7</v>
      </c>
    </row>
    <row r="57624" customFormat="false" ht="12.8" hidden="false" customHeight="false" outlineLevel="0" collapsed="false">
      <c r="B57624" s="0" t="s">
        <v>14</v>
      </c>
    </row>
    <row r="57626" customFormat="false" ht="12.8" hidden="false" customHeight="false" outlineLevel="0" collapsed="false">
      <c r="A57626" s="0" t="s">
        <v>19969</v>
      </c>
      <c r="B57626" s="0" t="str">
        <f aca="false">HYPERLINK("https://lindat.mff.cuni.cz/services/teitok/pdtc10/index.php?action=vallex&amp;frame=v-w8103hsa_722", "vymetat (v-w8103hsa_722)")</f>
        <v>vymetat (v-w8103hsa_722)</v>
      </c>
    </row>
    <row r="57627" customFormat="false" ht="12.8" hidden="false" customHeight="false" outlineLevel="0" collapsed="false">
      <c r="B57627" s="0" t="s">
        <v>7</v>
      </c>
    </row>
    <row r="57628" customFormat="false" ht="12.8" hidden="false" customHeight="false" outlineLevel="0" collapsed="false">
      <c r="B57628" s="0" t="s">
        <v>14</v>
      </c>
    </row>
    <row r="57630" customFormat="false" ht="12.8" hidden="false" customHeight="false" outlineLevel="0" collapsed="false">
      <c r="A57630" s="0" t="s">
        <v>19970</v>
      </c>
      <c r="B57630" s="0" t="str">
        <f aca="false">HYPERLINK("https://lindat.mff.cuni.cz/services/teitok/pdtc10/index.php?action=vallex&amp;frame=v-w8106f1", "vymezit (v-w8106f1)")</f>
        <v>vymezit (v-w8106f1)</v>
      </c>
    </row>
    <row r="57631" customFormat="false" ht="12.8" hidden="false" customHeight="false" outlineLevel="0" collapsed="false">
      <c r="B57631" s="0" t="s">
        <v>7</v>
      </c>
      <c r="C57631" s="0" t="s">
        <v>1509</v>
      </c>
      <c r="D57631" s="0" t="s">
        <v>2998</v>
      </c>
      <c r="E57631" s="0" t="s">
        <v>2998</v>
      </c>
      <c r="F57631" s="0" t="s">
        <v>2998</v>
      </c>
    </row>
    <row r="57632" customFormat="false" ht="12.8" hidden="false" customHeight="false" outlineLevel="0" collapsed="false">
      <c r="B57632" s="0" t="s">
        <v>232</v>
      </c>
      <c r="C57632" s="0" t="s">
        <v>19971</v>
      </c>
      <c r="D57632" s="0" t="s">
        <v>3001</v>
      </c>
      <c r="E57632" s="0" t="s">
        <v>3001</v>
      </c>
      <c r="F57632" s="0" t="s">
        <v>3001</v>
      </c>
    </row>
    <row r="57634" customFormat="false" ht="12.8" hidden="false" customHeight="false" outlineLevel="0" collapsed="false">
      <c r="A57634" s="0" t="s">
        <v>19972</v>
      </c>
      <c r="B57634" s="0" t="str">
        <f aca="false">HYPERLINK("https://lindat.mff.cuni.cz/services/teitok/pdtc10/index.php?action=vallex&amp;frame=v-w8109f1", "vymezovat (v-w8109f1)")</f>
        <v>vymezovat (v-w8109f1)</v>
      </c>
    </row>
    <row r="57635" customFormat="false" ht="12.8" hidden="false" customHeight="false" outlineLevel="0" collapsed="false">
      <c r="B57635" s="0" t="s">
        <v>7</v>
      </c>
      <c r="C57635" s="0" t="s">
        <v>468</v>
      </c>
      <c r="D57635" s="0" t="s">
        <v>2998</v>
      </c>
      <c r="E57635" s="0" t="s">
        <v>2998</v>
      </c>
      <c r="F57635" s="0" t="s">
        <v>2998</v>
      </c>
    </row>
    <row r="57636" customFormat="false" ht="12.8" hidden="false" customHeight="false" outlineLevel="0" collapsed="false">
      <c r="B57636" s="0" t="s">
        <v>232</v>
      </c>
      <c r="C57636" s="0" t="s">
        <v>19973</v>
      </c>
      <c r="D57636" s="0" t="s">
        <v>3001</v>
      </c>
      <c r="E57636" s="0" t="s">
        <v>3001</v>
      </c>
      <c r="F57636" s="0" t="s">
        <v>3001</v>
      </c>
    </row>
    <row r="57638" customFormat="false" ht="12.8" hidden="false" customHeight="false" outlineLevel="0" collapsed="false">
      <c r="A57638" s="0" t="s">
        <v>19974</v>
      </c>
      <c r="B57638" s="0" t="str">
        <f aca="false">HYPERLINK("https://lindat.mff.cuni.cz/services/teitok/pdtc10/index.php?action=vallex&amp;frame=v-w8112f1", "vymizet (v-w8112f1)")</f>
        <v>vymizet (v-w8112f1)</v>
      </c>
    </row>
    <row r="57639" customFormat="false" ht="12.8" hidden="false" customHeight="false" outlineLevel="0" collapsed="false">
      <c r="B57639" s="0" t="s">
        <v>7</v>
      </c>
      <c r="C57639" s="0" t="s">
        <v>5149</v>
      </c>
      <c r="D57639" s="0" t="s">
        <v>5380</v>
      </c>
      <c r="E57639" s="0" t="s">
        <v>5380</v>
      </c>
      <c r="F57639" s="0" t="s">
        <v>5380</v>
      </c>
    </row>
    <row r="57641" customFormat="false" ht="12.8" hidden="false" customHeight="false" outlineLevel="0" collapsed="false">
      <c r="A57641" s="0" t="s">
        <v>19975</v>
      </c>
      <c r="B57641" s="0" t="str">
        <f aca="false">HYPERLINK("https://lindat.mff.cuni.cz/services/teitok/pdtc10/index.php?action=vallex&amp;frame=v-w8111f1", "vymiňovat si (v-w8111f1)")</f>
        <v>vymiňovat si (v-w8111f1)</v>
      </c>
    </row>
    <row r="57642" customFormat="false" ht="12.8" hidden="false" customHeight="false" outlineLevel="0" collapsed="false">
      <c r="B57642" s="0" t="s">
        <v>7</v>
      </c>
    </row>
    <row r="57643" customFormat="false" ht="12.8" hidden="false" customHeight="false" outlineLevel="0" collapsed="false">
      <c r="B57643" s="0" t="s">
        <v>14</v>
      </c>
    </row>
    <row r="57645" customFormat="false" ht="12.8" hidden="false" customHeight="false" outlineLevel="0" collapsed="false">
      <c r="A57645" s="0" t="s">
        <v>19976</v>
      </c>
      <c r="B57645" s="0" t="str">
        <f aca="false">HYPERLINK("https://lindat.mff.cuni.cz/services/teitok/pdtc10/index.php?action=vallex&amp;frame=v-w8113f1", "vymknout se (v-w8113f1)")</f>
        <v>vymknout se (v-w8113f1)</v>
      </c>
    </row>
    <row r="57646" customFormat="false" ht="12.8" hidden="false" customHeight="false" outlineLevel="0" collapsed="false">
      <c r="B57646" s="0" t="s">
        <v>7</v>
      </c>
      <c r="C57646" s="0" t="s">
        <v>19977</v>
      </c>
      <c r="D57646" s="0" t="s">
        <v>569</v>
      </c>
      <c r="E57646" s="0" t="s">
        <v>569</v>
      </c>
      <c r="F57646" s="0" t="s">
        <v>569</v>
      </c>
    </row>
    <row r="57647" customFormat="false" ht="12.8" hidden="false" customHeight="false" outlineLevel="0" collapsed="false">
      <c r="B57647" s="0" t="s">
        <v>142</v>
      </c>
      <c r="C57647" s="0" t="s">
        <v>19978</v>
      </c>
      <c r="D57647" s="0" t="s">
        <v>120</v>
      </c>
      <c r="E57647" s="0" t="s">
        <v>120</v>
      </c>
      <c r="F57647" s="0" t="s">
        <v>120</v>
      </c>
    </row>
    <row r="57649" customFormat="false" ht="12.8" hidden="false" customHeight="false" outlineLevel="0" collapsed="false">
      <c r="A57649" s="0" t="s">
        <v>19979</v>
      </c>
      <c r="B57649" s="0" t="str">
        <f aca="false">HYPERLINK("https://lindat.mff.cuni.cz/services/teitok/pdtc10/index.php?action=vallex&amp;frame=v-w8113f3_ZU", "vymknout se (v-w8113f3_ZU)")</f>
        <v>vymknout se (v-w8113f3_ZU)</v>
      </c>
    </row>
    <row r="57650" customFormat="false" ht="12.8" hidden="false" customHeight="false" outlineLevel="0" collapsed="false">
      <c r="B57650" s="0" t="s">
        <v>7</v>
      </c>
      <c r="C57650" s="0" t="s">
        <v>176</v>
      </c>
    </row>
    <row r="57651" customFormat="false" ht="12.8" hidden="false" customHeight="false" outlineLevel="0" collapsed="false">
      <c r="B57651" s="0" t="s">
        <v>19980</v>
      </c>
      <c r="C57651" s="0" t="s">
        <v>824</v>
      </c>
    </row>
    <row r="57652" customFormat="false" ht="12.8" hidden="false" customHeight="false" outlineLevel="0" collapsed="false">
      <c r="B57652" s="0" t="s">
        <v>142</v>
      </c>
    </row>
    <row r="57654" customFormat="false" ht="12.8" hidden="false" customHeight="false" outlineLevel="0" collapsed="false">
      <c r="A57654" s="0" t="s">
        <v>19979</v>
      </c>
      <c r="B57654" s="0" t="str">
        <f aca="false">HYPERLINK("https://lindat.mff.cuni.cz/services/teitok/pdtc10/index.php?action=vallex&amp;frame=v-w8113f2", "vymknout se (v-w8113f2) - substituted with v-w8113f3_ZU")</f>
        <v>vymknout se (v-w8113f2) - substituted with v-w8113f3_ZU</v>
      </c>
    </row>
    <row r="57655" customFormat="false" ht="12.8" hidden="false" customHeight="false" outlineLevel="0" collapsed="false">
      <c r="B57655" s="0" t="s">
        <v>7</v>
      </c>
      <c r="C57655" s="0" t="s">
        <v>4445</v>
      </c>
    </row>
    <row r="57656" customFormat="false" ht="12.8" hidden="false" customHeight="false" outlineLevel="0" collapsed="false">
      <c r="B57656" s="0" t="s">
        <v>19980</v>
      </c>
    </row>
    <row r="57657" customFormat="false" ht="12.8" hidden="false" customHeight="false" outlineLevel="0" collapsed="false">
      <c r="B57657" s="0" t="s">
        <v>142</v>
      </c>
    </row>
    <row r="57659" customFormat="false" ht="12.8" hidden="false" customHeight="false" outlineLevel="0" collapsed="false">
      <c r="A57659" s="0" t="s">
        <v>19981</v>
      </c>
      <c r="B57659" s="0" t="str">
        <f aca="false">HYPERLINK("https://lindat.mff.cuni.cz/services/teitok/pdtc10/index.php?action=vallex&amp;frame=v-whsa_1436hsa_1437", "vymlouvat (v-whsa_1436hsa_1437)")</f>
        <v>vymlouvat (v-whsa_1436hsa_1437)</v>
      </c>
    </row>
    <row r="57660" customFormat="false" ht="12.8" hidden="false" customHeight="false" outlineLevel="0" collapsed="false">
      <c r="B57660" s="0" t="s">
        <v>7</v>
      </c>
    </row>
    <row r="57661" customFormat="false" ht="12.8" hidden="false" customHeight="false" outlineLevel="0" collapsed="false">
      <c r="B57661" s="0" t="s">
        <v>4100</v>
      </c>
    </row>
    <row r="57662" customFormat="false" ht="12.8" hidden="false" customHeight="false" outlineLevel="0" collapsed="false">
      <c r="B57662" s="0" t="s">
        <v>48</v>
      </c>
    </row>
    <row r="57664" customFormat="false" ht="12.8" hidden="false" customHeight="false" outlineLevel="0" collapsed="false">
      <c r="A57664" s="0" t="s">
        <v>19982</v>
      </c>
      <c r="B57664" s="0" t="str">
        <f aca="false">HYPERLINK("https://lindat.mff.cuni.cz/services/teitok/pdtc10/index.php?action=vallex&amp;frame=v-w8114f1", "vymlouvat se (v-w8114f1)")</f>
        <v>vymlouvat se (v-w8114f1)</v>
      </c>
    </row>
    <row r="57665" customFormat="false" ht="12.8" hidden="false" customHeight="false" outlineLevel="0" collapsed="false">
      <c r="B57665" s="0" t="s">
        <v>7</v>
      </c>
      <c r="C57665" s="0" t="s">
        <v>2170</v>
      </c>
    </row>
    <row r="57666" customFormat="false" ht="12.8" hidden="false" customHeight="false" outlineLevel="0" collapsed="false">
      <c r="B57666" s="0" t="s">
        <v>600</v>
      </c>
      <c r="C57666" s="0" t="s">
        <v>19983</v>
      </c>
    </row>
    <row r="57668" customFormat="false" ht="12.8" hidden="false" customHeight="false" outlineLevel="0" collapsed="false">
      <c r="A57668" s="0" t="s">
        <v>19984</v>
      </c>
      <c r="B57668" s="0" t="str">
        <f aca="false">HYPERLINK("https://lindat.mff.cuni.cz/services/teitok/pdtc10/index.php?action=vallex&amp;frame=v-w8116f1", "vymluvit (v-w8116f1)")</f>
        <v>vymluvit (v-w8116f1)</v>
      </c>
    </row>
    <row r="57669" customFormat="false" ht="12.8" hidden="false" customHeight="false" outlineLevel="0" collapsed="false">
      <c r="B57669" s="0" t="s">
        <v>7</v>
      </c>
      <c r="C57669" s="0" t="s">
        <v>191</v>
      </c>
      <c r="D57669" s="0" t="s">
        <v>191</v>
      </c>
      <c r="E57669" s="0" t="s">
        <v>191</v>
      </c>
      <c r="F57669" s="0" t="s">
        <v>191</v>
      </c>
    </row>
    <row r="57670" customFormat="false" ht="12.8" hidden="false" customHeight="false" outlineLevel="0" collapsed="false">
      <c r="B57670" s="0" t="s">
        <v>4100</v>
      </c>
      <c r="C57670" s="0" t="s">
        <v>8609</v>
      </c>
      <c r="D57670" s="0" t="s">
        <v>8609</v>
      </c>
      <c r="E57670" s="0" t="s">
        <v>8609</v>
      </c>
      <c r="F57670" s="0" t="s">
        <v>8609</v>
      </c>
    </row>
    <row r="57671" customFormat="false" ht="12.8" hidden="false" customHeight="false" outlineLevel="0" collapsed="false">
      <c r="B57671" s="0" t="s">
        <v>48</v>
      </c>
      <c r="C57671" s="0" t="s">
        <v>4656</v>
      </c>
      <c r="D57671" s="0" t="s">
        <v>4656</v>
      </c>
      <c r="E57671" s="0" t="s">
        <v>4656</v>
      </c>
      <c r="F57671" s="0" t="s">
        <v>4656</v>
      </c>
    </row>
    <row r="57673" customFormat="false" ht="12.8" hidden="false" customHeight="false" outlineLevel="0" collapsed="false">
      <c r="A57673" s="0" t="s">
        <v>19985</v>
      </c>
      <c r="B57673" s="0" t="str">
        <f aca="false">HYPERLINK("https://lindat.mff.cuni.cz/services/teitok/pdtc10/index.php?action=vallex&amp;frame=v-w11859_ZUf1_ZU", "vymluvit se (v-w11859_ZUf1_ZU)")</f>
        <v>vymluvit se (v-w11859_ZUf1_ZU)</v>
      </c>
    </row>
    <row r="57674" customFormat="false" ht="12.8" hidden="false" customHeight="false" outlineLevel="0" collapsed="false">
      <c r="B57674" s="0" t="s">
        <v>7</v>
      </c>
    </row>
    <row r="57675" customFormat="false" ht="12.8" hidden="false" customHeight="false" outlineLevel="0" collapsed="false">
      <c r="B57675" s="0" t="s">
        <v>106</v>
      </c>
    </row>
    <row r="57676" customFormat="false" ht="12.8" hidden="false" customHeight="false" outlineLevel="0" collapsed="false">
      <c r="B57676" s="0" t="s">
        <v>41</v>
      </c>
    </row>
    <row r="57678" customFormat="false" ht="12.8" hidden="false" customHeight="false" outlineLevel="0" collapsed="false">
      <c r="A57678" s="0" t="s">
        <v>19986</v>
      </c>
      <c r="B57678" s="0" t="str">
        <f aca="false">HYPERLINK("https://lindat.mff.cuni.cz/services/teitok/pdtc10/index.php?action=vallex&amp;frame=v-w12012_ZUf2_ZU", "vymlátit (v-w12012_ZUf2_ZU)")</f>
        <v>vymlátit (v-w12012_ZUf2_ZU)</v>
      </c>
    </row>
    <row r="57679" customFormat="false" ht="12.8" hidden="false" customHeight="false" outlineLevel="0" collapsed="false">
      <c r="B57679" s="0" t="s">
        <v>7</v>
      </c>
    </row>
    <row r="57680" customFormat="false" ht="12.8" hidden="false" customHeight="false" outlineLevel="0" collapsed="false">
      <c r="B57680" s="0" t="s">
        <v>14</v>
      </c>
    </row>
    <row r="57682" customFormat="false" ht="12.8" hidden="false" customHeight="false" outlineLevel="0" collapsed="false">
      <c r="A57682" s="0" t="s">
        <v>19986</v>
      </c>
      <c r="B57682" s="0" t="str">
        <f aca="false">HYPERLINK("https://lindat.mff.cuni.cz/services/teitok/pdtc10/index.php?action=vallex&amp;frame=v-w12012_ZUf1_ZU", "vymlátit (v-w12012_ZUf1_ZU) - substituted with v-w12012_ZUf2_ZU")</f>
        <v>vymlátit (v-w12012_ZUf1_ZU) - substituted with v-w12012_ZUf2_ZU</v>
      </c>
    </row>
    <row r="57683" customFormat="false" ht="12.8" hidden="false" customHeight="false" outlineLevel="0" collapsed="false">
      <c r="B57683" s="0" t="s">
        <v>7</v>
      </c>
    </row>
    <row r="57684" customFormat="false" ht="12.8" hidden="false" customHeight="false" outlineLevel="0" collapsed="false">
      <c r="B57684" s="0" t="s">
        <v>14</v>
      </c>
    </row>
    <row r="57686" customFormat="false" ht="12.8" hidden="false" customHeight="false" outlineLevel="0" collapsed="false">
      <c r="A57686" s="0" t="s">
        <v>19987</v>
      </c>
      <c r="B57686" s="0" t="str">
        <f aca="false">HYPERLINK("https://lindat.mff.cuni.cz/services/teitok/pdtc10/index.php?action=vallex&amp;frame=v-w8117f2_ZU", "vymoci (v-w8117f2_ZU)")</f>
        <v>vymoci (v-w8117f2_ZU)</v>
      </c>
    </row>
    <row r="57687" customFormat="false" ht="12.8" hidden="false" customHeight="false" outlineLevel="0" collapsed="false">
      <c r="B57687" s="0" t="s">
        <v>7</v>
      </c>
      <c r="C57687" s="0" t="s">
        <v>113</v>
      </c>
    </row>
    <row r="57688" customFormat="false" ht="12.8" hidden="false" customHeight="false" outlineLevel="0" collapsed="false">
      <c r="B57688" s="0" t="s">
        <v>14</v>
      </c>
      <c r="C57688" s="0" t="s">
        <v>74</v>
      </c>
    </row>
    <row r="57689" customFormat="false" ht="12.8" hidden="false" customHeight="false" outlineLevel="0" collapsed="false">
      <c r="B57689" s="0" t="s">
        <v>19988</v>
      </c>
    </row>
    <row r="57691" customFormat="false" ht="12.8" hidden="false" customHeight="false" outlineLevel="0" collapsed="false">
      <c r="A57691" s="0" t="s">
        <v>19987</v>
      </c>
      <c r="B57691" s="0" t="str">
        <f aca="false">HYPERLINK("https://lindat.mff.cuni.cz/services/teitok/pdtc10/index.php?action=vallex&amp;frame=v-w8117f1", "vymoci (v-w8117f1) - substituted with v-w8117f2_ZU")</f>
        <v>vymoci (v-w8117f1) - substituted with v-w8117f2_ZU</v>
      </c>
    </row>
    <row r="57692" customFormat="false" ht="12.8" hidden="false" customHeight="false" outlineLevel="0" collapsed="false">
      <c r="B57692" s="0" t="s">
        <v>7</v>
      </c>
      <c r="C57692" s="0" t="s">
        <v>3944</v>
      </c>
    </row>
    <row r="57693" customFormat="false" ht="12.8" hidden="false" customHeight="false" outlineLevel="0" collapsed="false">
      <c r="B57693" s="0" t="s">
        <v>14</v>
      </c>
      <c r="C57693" s="0" t="s">
        <v>414</v>
      </c>
    </row>
    <row r="57694" customFormat="false" ht="12.8" hidden="false" customHeight="false" outlineLevel="0" collapsed="false">
      <c r="B57694" s="0" t="s">
        <v>19988</v>
      </c>
      <c r="C57694" s="0" t="s">
        <v>5360</v>
      </c>
    </row>
    <row r="57696" customFormat="false" ht="12.8" hidden="false" customHeight="false" outlineLevel="0" collapsed="false">
      <c r="A57696" s="0" t="s">
        <v>19989</v>
      </c>
      <c r="B57696" s="0" t="str">
        <f aca="false">HYPERLINK("https://lindat.mff.cuni.cz/services/teitok/pdtc10/index.php?action=vallex&amp;frame=v-w8120f1", "vymodlit (v-w8120f1)")</f>
        <v>vymodlit (v-w8120f1)</v>
      </c>
    </row>
    <row r="57697" customFormat="false" ht="12.8" hidden="false" customHeight="false" outlineLevel="0" collapsed="false">
      <c r="B57697" s="0" t="s">
        <v>7</v>
      </c>
    </row>
    <row r="57698" customFormat="false" ht="12.8" hidden="false" customHeight="false" outlineLevel="0" collapsed="false">
      <c r="B57698" s="0" t="s">
        <v>14</v>
      </c>
    </row>
    <row r="57699" customFormat="false" ht="12.8" hidden="false" customHeight="false" outlineLevel="0" collapsed="false">
      <c r="B57699" s="0" t="s">
        <v>586</v>
      </c>
    </row>
    <row r="57701" customFormat="false" ht="12.8" hidden="false" customHeight="false" outlineLevel="0" collapsed="false">
      <c r="A57701" s="0" t="s">
        <v>19990</v>
      </c>
      <c r="B57701" s="0" t="str">
        <f aca="false">HYPERLINK("https://lindat.mff.cuni.cz/services/teitok/pdtc10/index.php?action=vallex&amp;frame=v-w8118f1", "vymočit se (v-w8118f1)")</f>
        <v>vymočit se (v-w8118f1)</v>
      </c>
    </row>
    <row r="57702" customFormat="false" ht="12.8" hidden="false" customHeight="false" outlineLevel="0" collapsed="false">
      <c r="B57702" s="0" t="s">
        <v>7</v>
      </c>
    </row>
    <row r="57704" customFormat="false" ht="12.8" hidden="false" customHeight="false" outlineLevel="0" collapsed="false">
      <c r="A57704" s="0" t="s">
        <v>19991</v>
      </c>
      <c r="B57704" s="0" t="str">
        <f aca="false">HYPERLINK("https://lindat.mff.cuni.cz/services/teitok/pdtc10/index.php?action=vallex&amp;frame=v-whsa_1865hsa_1866", "vymrdat (v-whsa_1865hsa_1866)")</f>
        <v>vymrdat (v-whsa_1865hsa_1866)</v>
      </c>
    </row>
    <row r="57705" customFormat="false" ht="12.8" hidden="false" customHeight="false" outlineLevel="0" collapsed="false">
      <c r="B57705" s="0" t="s">
        <v>7</v>
      </c>
    </row>
    <row r="57706" customFormat="false" ht="12.8" hidden="false" customHeight="false" outlineLevel="0" collapsed="false">
      <c r="B57706" s="0" t="s">
        <v>14</v>
      </c>
    </row>
    <row r="57708" customFormat="false" ht="12.8" hidden="false" customHeight="false" outlineLevel="0" collapsed="false">
      <c r="A57708" s="0" t="s">
        <v>19992</v>
      </c>
      <c r="B57708" s="0" t="str">
        <f aca="false">HYPERLINK("https://lindat.mff.cuni.cz/services/teitok/pdtc10/index.php?action=vallex&amp;frame=v-whsa_1865hsa_1867", "vymrdat (v-whsa_1865hsa_1867)")</f>
        <v>vymrdat (v-whsa_1865hsa_1867)</v>
      </c>
    </row>
    <row r="57709" customFormat="false" ht="12.8" hidden="false" customHeight="false" outlineLevel="0" collapsed="false">
      <c r="B57709" s="0" t="s">
        <v>7</v>
      </c>
    </row>
    <row r="57710" customFormat="false" ht="12.8" hidden="false" customHeight="false" outlineLevel="0" collapsed="false">
      <c r="B57710" s="0" t="s">
        <v>14</v>
      </c>
    </row>
    <row r="57711" customFormat="false" ht="12.8" hidden="false" customHeight="false" outlineLevel="0" collapsed="false">
      <c r="B57711" s="0" t="s">
        <v>459</v>
      </c>
    </row>
    <row r="57713" customFormat="false" ht="12.8" hidden="false" customHeight="false" outlineLevel="0" collapsed="false">
      <c r="A57713" s="0" t="s">
        <v>19993</v>
      </c>
      <c r="B57713" s="0" t="str">
        <f aca="false">HYPERLINK("https://lindat.mff.cuni.cz/services/teitok/pdtc10/index.php?action=vallex&amp;frame=v-w8121f3", "vymrštit (v-w8121f3)")</f>
        <v>vymrštit (v-w8121f3)</v>
      </c>
    </row>
    <row r="57714" customFormat="false" ht="12.8" hidden="false" customHeight="false" outlineLevel="0" collapsed="false">
      <c r="B57714" s="0" t="s">
        <v>7</v>
      </c>
      <c r="C57714" s="0" t="s">
        <v>6498</v>
      </c>
      <c r="D57714" s="0" t="s">
        <v>6436</v>
      </c>
      <c r="E57714" s="0" t="s">
        <v>6436</v>
      </c>
      <c r="F57714" s="0" t="s">
        <v>6436</v>
      </c>
    </row>
    <row r="57715" customFormat="false" ht="12.8" hidden="false" customHeight="false" outlineLevel="0" collapsed="false">
      <c r="B57715" s="0" t="s">
        <v>14</v>
      </c>
      <c r="C57715" s="0" t="s">
        <v>7256</v>
      </c>
      <c r="D57715" s="0" t="s">
        <v>6437</v>
      </c>
      <c r="E57715" s="0" t="s">
        <v>6437</v>
      </c>
      <c r="F57715" s="0" t="s">
        <v>6437</v>
      </c>
    </row>
    <row r="57716" customFormat="false" ht="12.8" hidden="false" customHeight="false" outlineLevel="0" collapsed="false">
      <c r="B57716" s="0" t="s">
        <v>35</v>
      </c>
      <c r="C57716" s="0" t="s">
        <v>19994</v>
      </c>
      <c r="D57716" s="0" t="s">
        <v>6438</v>
      </c>
      <c r="E57716" s="0" t="s">
        <v>6438</v>
      </c>
      <c r="F57716" s="0" t="s">
        <v>6438</v>
      </c>
    </row>
    <row r="57717" customFormat="false" ht="12.8" hidden="false" customHeight="false" outlineLevel="0" collapsed="false">
      <c r="B57717" s="0" t="s">
        <v>4831</v>
      </c>
      <c r="C57717" s="0" t="s">
        <v>10002</v>
      </c>
      <c r="D57717" s="0" t="s">
        <v>6440</v>
      </c>
      <c r="E57717" s="0" t="s">
        <v>6440</v>
      </c>
      <c r="F57717" s="0" t="s">
        <v>6440</v>
      </c>
    </row>
    <row r="57719" customFormat="false" ht="12.8" hidden="false" customHeight="false" outlineLevel="0" collapsed="false">
      <c r="A57719" s="0" t="s">
        <v>19995</v>
      </c>
      <c r="B57719" s="0" t="str">
        <f aca="false">HYPERLINK("https://lindat.mff.cuni.cz/services/teitok/pdtc10/index.php?action=vallex&amp;frame=v-w8121f1", "vymrštit (v-w8121f1)")</f>
        <v>vymrštit (v-w8121f1)</v>
      </c>
    </row>
    <row r="57720" customFormat="false" ht="12.8" hidden="false" customHeight="false" outlineLevel="0" collapsed="false">
      <c r="B57720" s="0" t="s">
        <v>7</v>
      </c>
    </row>
    <row r="57721" customFormat="false" ht="12.8" hidden="false" customHeight="false" outlineLevel="0" collapsed="false">
      <c r="B57721" s="0" t="s">
        <v>14</v>
      </c>
    </row>
    <row r="57722" customFormat="false" ht="12.8" hidden="false" customHeight="false" outlineLevel="0" collapsed="false">
      <c r="B57722" s="0" t="s">
        <v>459</v>
      </c>
    </row>
    <row r="57724" customFormat="false" ht="12.8" hidden="false" customHeight="false" outlineLevel="0" collapsed="false">
      <c r="A57724" s="0" t="s">
        <v>19996</v>
      </c>
      <c r="B57724" s="0" t="str">
        <f aca="false">HYPERLINK("https://lindat.mff.cuni.cz/services/teitok/pdtc10/index.php?action=vallex&amp;frame=v-w8121f2", "vymrštit (v-w8121f2)")</f>
        <v>vymrštit (v-w8121f2)</v>
      </c>
    </row>
    <row r="57725" customFormat="false" ht="12.8" hidden="false" customHeight="false" outlineLevel="0" collapsed="false">
      <c r="B57725" s="0" t="s">
        <v>7</v>
      </c>
    </row>
    <row r="57726" customFormat="false" ht="12.8" hidden="false" customHeight="false" outlineLevel="0" collapsed="false">
      <c r="B57726" s="0" t="s">
        <v>14</v>
      </c>
    </row>
    <row r="57727" customFormat="false" ht="12.8" hidden="false" customHeight="false" outlineLevel="0" collapsed="false">
      <c r="B57727" s="0" t="s">
        <v>124</v>
      </c>
    </row>
    <row r="57729" customFormat="false" ht="12.8" hidden="false" customHeight="false" outlineLevel="0" collapsed="false">
      <c r="A57729" s="0" t="s">
        <v>19997</v>
      </c>
      <c r="B57729" s="0" t="str">
        <f aca="false">HYPERLINK("https://lindat.mff.cuni.cz/services/teitok/pdtc10/index.php?action=vallex&amp;frame=v-w8124f1", "vymstít se (v-w8124f1)")</f>
        <v>vymstít se (v-w8124f1)</v>
      </c>
    </row>
    <row r="57730" customFormat="false" ht="12.8" hidden="false" customHeight="false" outlineLevel="0" collapsed="false">
      <c r="B57730" s="0" t="s">
        <v>768</v>
      </c>
      <c r="C57730" s="0" t="s">
        <v>176</v>
      </c>
      <c r="D57730" s="0" t="s">
        <v>7215</v>
      </c>
      <c r="E57730" s="0" t="s">
        <v>7215</v>
      </c>
      <c r="F57730" s="0" t="s">
        <v>7215</v>
      </c>
    </row>
    <row r="57731" customFormat="false" ht="12.8" hidden="false" customHeight="false" outlineLevel="0" collapsed="false">
      <c r="B57731" s="0" t="s">
        <v>142</v>
      </c>
    </row>
    <row r="57733" customFormat="false" ht="12.8" hidden="false" customHeight="false" outlineLevel="0" collapsed="false">
      <c r="A57733" s="0" t="s">
        <v>19998</v>
      </c>
      <c r="B57733" s="0" t="str">
        <f aca="false">HYPERLINK("https://lindat.mff.cuni.cz/services/teitok/pdtc10/index.php?action=vallex&amp;frame=v-w8126f1", "vymykat se (v-w8126f1)")</f>
        <v>vymykat se (v-w8126f1)</v>
      </c>
    </row>
    <row r="57734" customFormat="false" ht="12.8" hidden="false" customHeight="false" outlineLevel="0" collapsed="false">
      <c r="B57734" s="0" t="s">
        <v>7</v>
      </c>
      <c r="C57734" s="0" t="s">
        <v>569</v>
      </c>
      <c r="D57734" s="0" t="s">
        <v>569</v>
      </c>
      <c r="E57734" s="0" t="s">
        <v>569</v>
      </c>
      <c r="F57734" s="0" t="s">
        <v>569</v>
      </c>
    </row>
    <row r="57735" customFormat="false" ht="12.8" hidden="false" customHeight="false" outlineLevel="0" collapsed="false">
      <c r="B57735" s="0" t="s">
        <v>142</v>
      </c>
      <c r="C57735" s="0" t="s">
        <v>120</v>
      </c>
      <c r="D57735" s="0" t="s">
        <v>120</v>
      </c>
      <c r="E57735" s="0" t="s">
        <v>120</v>
      </c>
      <c r="F57735" s="0" t="s">
        <v>120</v>
      </c>
    </row>
    <row r="57737" customFormat="false" ht="12.8" hidden="false" customHeight="false" outlineLevel="0" collapsed="false">
      <c r="A57737" s="0" t="s">
        <v>19999</v>
      </c>
      <c r="B57737" s="0" t="str">
        <f aca="false">HYPERLINK("https://lindat.mff.cuni.cz/services/teitok/pdtc10/index.php?action=vallex&amp;frame=v-w8126f2", "vymykat se (v-w8126f2)")</f>
        <v>vymykat se (v-w8126f2)</v>
      </c>
    </row>
    <row r="57738" customFormat="false" ht="12.8" hidden="false" customHeight="false" outlineLevel="0" collapsed="false">
      <c r="B57738" s="0" t="s">
        <v>7</v>
      </c>
      <c r="C57738" s="0" t="s">
        <v>176</v>
      </c>
    </row>
    <row r="57739" customFormat="false" ht="12.8" hidden="false" customHeight="false" outlineLevel="0" collapsed="false">
      <c r="B57739" s="0" t="s">
        <v>459</v>
      </c>
      <c r="C57739" s="0" t="s">
        <v>18426</v>
      </c>
    </row>
    <row r="57741" customFormat="false" ht="12.8" hidden="false" customHeight="false" outlineLevel="0" collapsed="false">
      <c r="A57741" s="0" t="s">
        <v>20000</v>
      </c>
      <c r="B57741" s="0" t="str">
        <f aca="false">HYPERLINK("https://lindat.mff.cuni.cz/services/teitok/pdtc10/index.php?action=vallex&amp;frame=v-w8128f3_MM", "vymyslet (v-w8128f3_MM)")</f>
        <v>vymyslet (v-w8128f3_MM)</v>
      </c>
    </row>
    <row r="57742" customFormat="false" ht="12.8" hidden="false" customHeight="false" outlineLevel="0" collapsed="false">
      <c r="B57742" s="0" t="s">
        <v>7</v>
      </c>
    </row>
    <row r="57743" customFormat="false" ht="12.8" hidden="false" customHeight="false" outlineLevel="0" collapsed="false">
      <c r="B57743" s="0" t="s">
        <v>20001</v>
      </c>
    </row>
    <row r="57745" customFormat="false" ht="12.8" hidden="false" customHeight="false" outlineLevel="0" collapsed="false">
      <c r="A57745" s="0" t="s">
        <v>20000</v>
      </c>
      <c r="B57745" s="0" t="str">
        <f aca="false">HYPERLINK("https://lindat.mff.cuni.cz/services/teitok/pdtc10/index.php?action=vallex&amp;frame=v-w8128f1", "vymyslet (v-w8128f1) - substituted with v-w8128f3_MM")</f>
        <v>vymyslet (v-w8128f1) - substituted with v-w8128f3_MM</v>
      </c>
    </row>
    <row r="57746" customFormat="false" ht="12.8" hidden="false" customHeight="false" outlineLevel="0" collapsed="false">
      <c r="B57746" s="0" t="s">
        <v>7</v>
      </c>
      <c r="C57746" s="0" t="s">
        <v>20002</v>
      </c>
      <c r="D57746" s="0" t="s">
        <v>16628</v>
      </c>
      <c r="E57746" s="0" t="s">
        <v>16628</v>
      </c>
      <c r="F57746" s="0" t="s">
        <v>16628</v>
      </c>
    </row>
    <row r="57747" customFormat="false" ht="12.8" hidden="false" customHeight="false" outlineLevel="0" collapsed="false">
      <c r="B57747" s="0" t="s">
        <v>20001</v>
      </c>
      <c r="C57747" s="0" t="s">
        <v>20003</v>
      </c>
      <c r="D57747" s="0" t="s">
        <v>3244</v>
      </c>
      <c r="E57747" s="0" t="s">
        <v>3244</v>
      </c>
      <c r="F57747" s="0" t="s">
        <v>3244</v>
      </c>
    </row>
    <row r="57749" customFormat="false" ht="12.8" hidden="false" customHeight="false" outlineLevel="0" collapsed="false">
      <c r="A57749" s="0" t="s">
        <v>20004</v>
      </c>
      <c r="B57749" s="0" t="str">
        <f aca="false">HYPERLINK("https://lindat.mff.cuni.cz/services/teitok/pdtc10/index.php?action=vallex&amp;frame=v-w8128f2", "vymyslet (v-w8128f2)")</f>
        <v>vymyslet (v-w8128f2)</v>
      </c>
    </row>
    <row r="57750" customFormat="false" ht="12.8" hidden="false" customHeight="false" outlineLevel="0" collapsed="false">
      <c r="B57750" s="0" t="s">
        <v>7</v>
      </c>
      <c r="C57750" s="0" t="s">
        <v>2507</v>
      </c>
    </row>
    <row r="57751" customFormat="false" ht="12.8" hidden="false" customHeight="false" outlineLevel="0" collapsed="false">
      <c r="B57751" s="0" t="s">
        <v>20005</v>
      </c>
      <c r="C57751" s="0" t="s">
        <v>20006</v>
      </c>
    </row>
    <row r="57752" customFormat="false" ht="12.8" hidden="false" customHeight="false" outlineLevel="0" collapsed="false">
      <c r="B57752" s="0" t="s">
        <v>363</v>
      </c>
    </row>
    <row r="57754" customFormat="false" ht="12.8" hidden="false" customHeight="false" outlineLevel="0" collapsed="false">
      <c r="A57754" s="0" t="s">
        <v>20007</v>
      </c>
      <c r="B57754" s="0" t="str">
        <f aca="false">HYPERLINK("https://lindat.mff.cuni.cz/services/teitok/pdtc10/index.php?action=vallex&amp;frame=v-w8129f1", "vymyslet si (v-w8129f1)")</f>
        <v>vymyslet si (v-w8129f1)</v>
      </c>
    </row>
    <row r="57755" customFormat="false" ht="12.8" hidden="false" customHeight="false" outlineLevel="0" collapsed="false">
      <c r="B57755" s="0" t="s">
        <v>7</v>
      </c>
      <c r="C57755" s="0" t="s">
        <v>118</v>
      </c>
    </row>
    <row r="57756" customFormat="false" ht="12.8" hidden="false" customHeight="false" outlineLevel="0" collapsed="false">
      <c r="B57756" s="0" t="s">
        <v>1520</v>
      </c>
      <c r="C57756" s="0" t="s">
        <v>120</v>
      </c>
    </row>
    <row r="57758" customFormat="false" ht="12.8" hidden="false" customHeight="false" outlineLevel="0" collapsed="false">
      <c r="A57758" s="0" t="s">
        <v>20008</v>
      </c>
      <c r="B57758" s="0" t="str">
        <f aca="false">HYPERLINK("https://lindat.mff.cuni.cz/services/teitok/pdtc10/index.php?action=vallex&amp;frame=v-w8129f2", "vymyslet si (v-w8129f2)")</f>
        <v>vymyslet si (v-w8129f2)</v>
      </c>
    </row>
    <row r="57759" customFormat="false" ht="12.8" hidden="false" customHeight="false" outlineLevel="0" collapsed="false">
      <c r="B57759" s="0" t="s">
        <v>7</v>
      </c>
    </row>
    <row r="57760" customFormat="false" ht="12.8" hidden="false" customHeight="false" outlineLevel="0" collapsed="false">
      <c r="B57760" s="0" t="s">
        <v>1925</v>
      </c>
    </row>
    <row r="57761" customFormat="false" ht="12.8" hidden="false" customHeight="false" outlineLevel="0" collapsed="false">
      <c r="B57761" s="0" t="s">
        <v>363</v>
      </c>
    </row>
    <row r="57763" customFormat="false" ht="12.8" hidden="false" customHeight="false" outlineLevel="0" collapsed="false">
      <c r="A57763" s="0" t="s">
        <v>20009</v>
      </c>
      <c r="B57763" s="0" t="str">
        <f aca="false">HYPERLINK("https://lindat.mff.cuni.cz/services/teitok/pdtc10/index.php?action=vallex&amp;frame=v-w8129f3_MM", "vymyslet si (v-w8129f3_MM)")</f>
        <v>vymyslet si (v-w8129f3_MM)</v>
      </c>
    </row>
    <row r="57764" customFormat="false" ht="12.8" hidden="false" customHeight="false" outlineLevel="0" collapsed="false">
      <c r="B57764" s="0" t="s">
        <v>7</v>
      </c>
    </row>
    <row r="57765" customFormat="false" ht="12.8" hidden="false" customHeight="false" outlineLevel="0" collapsed="false">
      <c r="B57765" s="0" t="s">
        <v>54</v>
      </c>
    </row>
    <row r="57767" customFormat="false" ht="12.8" hidden="false" customHeight="false" outlineLevel="0" collapsed="false">
      <c r="A57767" s="0" t="s">
        <v>20010</v>
      </c>
      <c r="B57767" s="0" t="str">
        <f aca="false">HYPERLINK("https://lindat.mff.cuni.cz/services/teitok/pdtc10/index.php?action=vallex&amp;frame=v-w8130f1", "vymyslit (v-w8130f1)")</f>
        <v>vymyslit (v-w8130f1)</v>
      </c>
    </row>
    <row r="57768" customFormat="false" ht="12.8" hidden="false" customHeight="false" outlineLevel="0" collapsed="false">
      <c r="B57768" s="0" t="s">
        <v>7</v>
      </c>
    </row>
    <row r="57769" customFormat="false" ht="12.8" hidden="false" customHeight="false" outlineLevel="0" collapsed="false">
      <c r="B57769" s="0" t="s">
        <v>1520</v>
      </c>
    </row>
    <row r="57771" customFormat="false" ht="12.8" hidden="false" customHeight="false" outlineLevel="0" collapsed="false">
      <c r="A57771" s="0" t="s">
        <v>20011</v>
      </c>
      <c r="B57771" s="0" t="str">
        <f aca="false">HYPERLINK("https://lindat.mff.cuni.cz/services/teitok/pdtc10/index.php?action=vallex&amp;frame=v-w8130f2", "vymyslit (v-w8130f2)")</f>
        <v>vymyslit (v-w8130f2)</v>
      </c>
    </row>
    <row r="57772" customFormat="false" ht="12.8" hidden="false" customHeight="false" outlineLevel="0" collapsed="false">
      <c r="B57772" s="0" t="s">
        <v>7</v>
      </c>
    </row>
    <row r="57773" customFormat="false" ht="12.8" hidden="false" customHeight="false" outlineLevel="0" collapsed="false">
      <c r="B57773" s="0" t="s">
        <v>20005</v>
      </c>
    </row>
    <row r="57774" customFormat="false" ht="12.8" hidden="false" customHeight="false" outlineLevel="0" collapsed="false">
      <c r="B57774" s="0" t="s">
        <v>363</v>
      </c>
    </row>
    <row r="57776" customFormat="false" ht="12.8" hidden="false" customHeight="false" outlineLevel="0" collapsed="false">
      <c r="A57776" s="0" t="s">
        <v>20012</v>
      </c>
      <c r="B57776" s="0" t="str">
        <f aca="false">HYPERLINK("https://lindat.mff.cuni.cz/services/teitok/pdtc10/index.php?action=vallex&amp;frame=v-w8131f1", "vymyslit si (v-w8131f1)")</f>
        <v>vymyslit si (v-w8131f1)</v>
      </c>
    </row>
    <row r="57777" customFormat="false" ht="12.8" hidden="false" customHeight="false" outlineLevel="0" collapsed="false">
      <c r="B57777" s="0" t="s">
        <v>7</v>
      </c>
      <c r="C57777" s="0" t="s">
        <v>118</v>
      </c>
    </row>
    <row r="57778" customFormat="false" ht="12.8" hidden="false" customHeight="false" outlineLevel="0" collapsed="false">
      <c r="B57778" s="0" t="s">
        <v>1520</v>
      </c>
      <c r="C57778" s="0" t="s">
        <v>20013</v>
      </c>
    </row>
    <row r="57780" customFormat="false" ht="12.8" hidden="false" customHeight="false" outlineLevel="0" collapsed="false">
      <c r="A57780" s="0" t="s">
        <v>20014</v>
      </c>
      <c r="B57780" s="0" t="str">
        <f aca="false">HYPERLINK("https://lindat.mff.cuni.cz/services/teitok/pdtc10/index.php?action=vallex&amp;frame=v-w8131hsa_1395", "vymyslit si (v-w8131hsa_1395)")</f>
        <v>vymyslit si (v-w8131hsa_1395)</v>
      </c>
    </row>
    <row r="57781" customFormat="false" ht="12.8" hidden="false" customHeight="false" outlineLevel="0" collapsed="false">
      <c r="B57781" s="0" t="s">
        <v>7</v>
      </c>
    </row>
    <row r="57782" customFormat="false" ht="12.8" hidden="false" customHeight="false" outlineLevel="0" collapsed="false">
      <c r="B57782" s="0" t="s">
        <v>1925</v>
      </c>
    </row>
    <row r="57783" customFormat="false" ht="12.8" hidden="false" customHeight="false" outlineLevel="0" collapsed="false">
      <c r="B57783" s="0" t="s">
        <v>20015</v>
      </c>
    </row>
    <row r="57785" customFormat="false" ht="12.8" hidden="false" customHeight="false" outlineLevel="0" collapsed="false">
      <c r="A57785" s="0" t="s">
        <v>20014</v>
      </c>
      <c r="B57785" s="0" t="str">
        <f aca="false">HYPERLINK("https://lindat.mff.cuni.cz/services/teitok/pdtc10/index.php?action=vallex&amp;frame=v-w8131f2", "vymyslit si (v-w8131f2) - substituted with v-w8131hsa_1395")</f>
        <v>vymyslit si (v-w8131f2) - substituted with v-w8131hsa_1395</v>
      </c>
    </row>
    <row r="57786" customFormat="false" ht="12.8" hidden="false" customHeight="false" outlineLevel="0" collapsed="false">
      <c r="B57786" s="0" t="s">
        <v>7</v>
      </c>
    </row>
    <row r="57787" customFormat="false" ht="12.8" hidden="false" customHeight="false" outlineLevel="0" collapsed="false">
      <c r="B57787" s="0" t="s">
        <v>1925</v>
      </c>
    </row>
    <row r="57788" customFormat="false" ht="12.8" hidden="false" customHeight="false" outlineLevel="0" collapsed="false">
      <c r="B57788" s="0" t="s">
        <v>20015</v>
      </c>
    </row>
    <row r="57790" customFormat="false" ht="12.8" hidden="false" customHeight="false" outlineLevel="0" collapsed="false">
      <c r="A57790" s="0" t="s">
        <v>20016</v>
      </c>
      <c r="B57790" s="0" t="str">
        <f aca="false">HYPERLINK("https://lindat.mff.cuni.cz/services/teitok/pdtc10/index.php?action=vallex&amp;frame=v-whsa_1527hsa_1528", "vymáchat (v-whsa_1527hsa_1528)")</f>
        <v>vymáchat (v-whsa_1527hsa_1528)</v>
      </c>
    </row>
    <row r="57791" customFormat="false" ht="12.8" hidden="false" customHeight="false" outlineLevel="0" collapsed="false">
      <c r="B57791" s="0" t="s">
        <v>7</v>
      </c>
    </row>
    <row r="57792" customFormat="false" ht="12.8" hidden="false" customHeight="false" outlineLevel="0" collapsed="false">
      <c r="B57792" s="0" t="s">
        <v>14</v>
      </c>
    </row>
    <row r="57794" customFormat="false" ht="12.8" hidden="false" customHeight="false" outlineLevel="0" collapsed="false">
      <c r="A57794" s="0" t="s">
        <v>20017</v>
      </c>
      <c r="B57794" s="0" t="str">
        <f aca="false">HYPERLINK("https://lindat.mff.cuni.cz/services/teitok/pdtc10/index.php?action=vallex&amp;frame=v-w8090f1", "vymáhat (v-w8090f1)")</f>
        <v>vymáhat (v-w8090f1)</v>
      </c>
    </row>
    <row r="57795" customFormat="false" ht="12.8" hidden="false" customHeight="false" outlineLevel="0" collapsed="false">
      <c r="B57795" s="0" t="s">
        <v>7</v>
      </c>
    </row>
    <row r="57796" customFormat="false" ht="12.8" hidden="false" customHeight="false" outlineLevel="0" collapsed="false">
      <c r="B57796" s="0" t="s">
        <v>14</v>
      </c>
    </row>
    <row r="57797" customFormat="false" ht="12.8" hidden="false" customHeight="false" outlineLevel="0" collapsed="false">
      <c r="B57797" s="0" t="s">
        <v>20018</v>
      </c>
    </row>
    <row r="57799" customFormat="false" ht="12.8" hidden="false" customHeight="false" outlineLevel="0" collapsed="false">
      <c r="A57799" s="0" t="s">
        <v>20019</v>
      </c>
      <c r="B57799" s="0" t="str">
        <f aca="false">HYPERLINK("https://lindat.mff.cuni.cz/services/teitok/pdtc10/index.php?action=vallex&amp;frame=v-w8088f1", "vymáčknout (v-w8088f1)")</f>
        <v>vymáčknout (v-w8088f1)</v>
      </c>
    </row>
    <row r="57800" customFormat="false" ht="12.8" hidden="false" customHeight="false" outlineLevel="0" collapsed="false">
      <c r="B57800" s="0" t="s">
        <v>7</v>
      </c>
      <c r="C57800" s="0" t="s">
        <v>191</v>
      </c>
      <c r="D57800" s="0" t="s">
        <v>411</v>
      </c>
      <c r="E57800" s="0" t="s">
        <v>411</v>
      </c>
      <c r="F57800" s="0" t="s">
        <v>411</v>
      </c>
    </row>
    <row r="57801" customFormat="false" ht="12.8" hidden="false" customHeight="false" outlineLevel="0" collapsed="false">
      <c r="B57801" s="0" t="s">
        <v>14</v>
      </c>
      <c r="C57801" s="0" t="s">
        <v>115</v>
      </c>
      <c r="D57801" s="0" t="s">
        <v>11817</v>
      </c>
      <c r="E57801" s="0" t="s">
        <v>11817</v>
      </c>
      <c r="F57801" s="0" t="s">
        <v>11817</v>
      </c>
    </row>
    <row r="57802" customFormat="false" ht="12.8" hidden="false" customHeight="false" outlineLevel="0" collapsed="false">
      <c r="B57802" s="0" t="s">
        <v>2339</v>
      </c>
      <c r="D57802" s="0" t="s">
        <v>20020</v>
      </c>
      <c r="E57802" s="0" t="s">
        <v>20020</v>
      </c>
      <c r="F57802" s="0" t="s">
        <v>20020</v>
      </c>
    </row>
    <row r="57804" customFormat="false" ht="12.8" hidden="false" customHeight="false" outlineLevel="0" collapsed="false">
      <c r="A57804" s="0" t="s">
        <v>20021</v>
      </c>
      <c r="B57804" s="0" t="str">
        <f aca="false">HYPERLINK("https://lindat.mff.cuni.cz/services/teitok/pdtc10/index.php?action=vallex&amp;frame=v-w8088f2", "vymáčknout (v-w8088f2)")</f>
        <v>vymáčknout (v-w8088f2)</v>
      </c>
    </row>
    <row r="57805" customFormat="false" ht="12.8" hidden="false" customHeight="false" outlineLevel="0" collapsed="false">
      <c r="B57805" s="0" t="s">
        <v>7</v>
      </c>
    </row>
    <row r="57806" customFormat="false" ht="12.8" hidden="false" customHeight="false" outlineLevel="0" collapsed="false">
      <c r="B57806" s="0" t="s">
        <v>14</v>
      </c>
    </row>
    <row r="57807" customFormat="false" ht="12.8" hidden="false" customHeight="false" outlineLevel="0" collapsed="false">
      <c r="B57807" s="0" t="s">
        <v>459</v>
      </c>
    </row>
    <row r="57809" customFormat="false" ht="12.8" hidden="false" customHeight="false" outlineLevel="0" collapsed="false">
      <c r="A57809" s="0" t="s">
        <v>20022</v>
      </c>
      <c r="B57809" s="0" t="str">
        <f aca="false">HYPERLINK("https://lindat.mff.cuni.cz/services/teitok/pdtc10/index.php?action=vallex&amp;frame=v-w8102f1", "vymést (v-w8102f1)")</f>
        <v>vymést (v-w8102f1)</v>
      </c>
    </row>
    <row r="57810" customFormat="false" ht="12.8" hidden="false" customHeight="false" outlineLevel="0" collapsed="false">
      <c r="B57810" s="0" t="s">
        <v>7</v>
      </c>
    </row>
    <row r="57811" customFormat="false" ht="12.8" hidden="false" customHeight="false" outlineLevel="0" collapsed="false">
      <c r="B57811" s="0" t="s">
        <v>14</v>
      </c>
    </row>
    <row r="57813" customFormat="false" ht="12.8" hidden="false" customHeight="false" outlineLevel="0" collapsed="false">
      <c r="A57813" s="0" t="s">
        <v>20023</v>
      </c>
      <c r="B57813" s="0" t="str">
        <f aca="false">HYPERLINK("https://lindat.mff.cuni.cz/services/teitok/pdtc10/index.php?action=vallex&amp;frame=v-w8102hsa_535", "vymést (v-w8102hsa_535)")</f>
        <v>vymést (v-w8102hsa_535)</v>
      </c>
    </row>
    <row r="57814" customFormat="false" ht="12.8" hidden="false" customHeight="false" outlineLevel="0" collapsed="false">
      <c r="B57814" s="0" t="s">
        <v>7</v>
      </c>
    </row>
    <row r="57815" customFormat="false" ht="12.8" hidden="false" customHeight="false" outlineLevel="0" collapsed="false">
      <c r="B57815" s="0" t="s">
        <v>14</v>
      </c>
    </row>
    <row r="57817" customFormat="false" ht="12.8" hidden="false" customHeight="false" outlineLevel="0" collapsed="false">
      <c r="A57817" s="0" t="s">
        <v>20024</v>
      </c>
      <c r="B57817" s="0" t="str">
        <f aca="false">HYPERLINK("https://lindat.mff.cuni.cz/services/teitok/pdtc10/index.php?action=vallex&amp;frame=v-w8110f1", "vymínit si (v-w8110f1)")</f>
        <v>vymínit si (v-w8110f1)</v>
      </c>
    </row>
    <row r="57818" customFormat="false" ht="12.8" hidden="false" customHeight="false" outlineLevel="0" collapsed="false">
      <c r="B57818" s="0" t="s">
        <v>7</v>
      </c>
    </row>
    <row r="57819" customFormat="false" ht="12.8" hidden="false" customHeight="false" outlineLevel="0" collapsed="false">
      <c r="B57819" s="0" t="s">
        <v>14</v>
      </c>
    </row>
    <row r="57821" customFormat="false" ht="12.8" hidden="false" customHeight="false" outlineLevel="0" collapsed="false">
      <c r="A57821" s="0" t="s">
        <v>20025</v>
      </c>
      <c r="B57821" s="0" t="str">
        <f aca="false">HYPERLINK("https://lindat.mff.cuni.cz/services/teitok/pdtc10/index.php?action=vallex&amp;frame=v-w10566f2", "vymírat (v-w10566f2)")</f>
        <v>vymírat (v-w10566f2)</v>
      </c>
    </row>
    <row r="57822" customFormat="false" ht="12.8" hidden="false" customHeight="false" outlineLevel="0" collapsed="false">
      <c r="B57822" s="0" t="s">
        <v>7</v>
      </c>
      <c r="C57822" s="0" t="s">
        <v>8602</v>
      </c>
      <c r="D57822" s="0" t="s">
        <v>5380</v>
      </c>
      <c r="E57822" s="0" t="s">
        <v>5380</v>
      </c>
      <c r="F57822" s="0" t="s">
        <v>5380</v>
      </c>
    </row>
    <row r="57824" customFormat="false" ht="12.8" hidden="false" customHeight="false" outlineLevel="0" collapsed="false">
      <c r="A57824" s="0" t="s">
        <v>20026</v>
      </c>
      <c r="B57824" s="0" t="str">
        <f aca="false">HYPERLINK("https://lindat.mff.cuni.cz/services/teitok/pdtc10/index.php?action=vallex&amp;frame=v-w12006_ZUf2_ZU", "vymýt (v-w12006_ZUf2_ZU)")</f>
        <v>vymýt (v-w12006_ZUf2_ZU)</v>
      </c>
    </row>
    <row r="57825" customFormat="false" ht="12.8" hidden="false" customHeight="false" outlineLevel="0" collapsed="false">
      <c r="B57825" s="0" t="s">
        <v>7</v>
      </c>
    </row>
    <row r="57826" customFormat="false" ht="12.8" hidden="false" customHeight="false" outlineLevel="0" collapsed="false">
      <c r="B57826" s="0" t="s">
        <v>14</v>
      </c>
    </row>
    <row r="57828" customFormat="false" ht="12.8" hidden="false" customHeight="false" outlineLevel="0" collapsed="false">
      <c r="A57828" s="0" t="s">
        <v>20026</v>
      </c>
      <c r="B57828" s="0" t="str">
        <f aca="false">HYPERLINK("https://lindat.mff.cuni.cz/services/teitok/pdtc10/index.php?action=vallex&amp;frame=v-w12006_ZUf1_ZU", "vymýt (v-w12006_ZUf1_ZU) - substituted with v-w12006_ZUf2_ZU")</f>
        <v>vymýt (v-w12006_ZUf1_ZU) - substituted with v-w12006_ZUf2_ZU</v>
      </c>
    </row>
    <row r="57829" customFormat="false" ht="12.8" hidden="false" customHeight="false" outlineLevel="0" collapsed="false">
      <c r="B57829" s="0" t="s">
        <v>7</v>
      </c>
    </row>
    <row r="57830" customFormat="false" ht="12.8" hidden="false" customHeight="false" outlineLevel="0" collapsed="false">
      <c r="B57830" s="0" t="s">
        <v>14</v>
      </c>
    </row>
    <row r="57832" customFormat="false" ht="12.8" hidden="false" customHeight="false" outlineLevel="0" collapsed="false">
      <c r="A57832" s="0" t="s">
        <v>20027</v>
      </c>
      <c r="B57832" s="0" t="str">
        <f aca="false">HYPERLINK("https://lindat.mff.cuni.cz/services/teitok/pdtc10/index.php?action=vallex&amp;frame=v-w8136f1", "vymýtit (v-w8136f1)")</f>
        <v>vymýtit (v-w8136f1)</v>
      </c>
    </row>
    <row r="57833" customFormat="false" ht="12.8" hidden="false" customHeight="false" outlineLevel="0" collapsed="false">
      <c r="B57833" s="0" t="s">
        <v>7</v>
      </c>
      <c r="C57833" s="0" t="s">
        <v>113</v>
      </c>
      <c r="D57833" s="0" t="s">
        <v>1549</v>
      </c>
      <c r="E57833" s="0" t="s">
        <v>1550</v>
      </c>
      <c r="F57833" s="0" t="s">
        <v>1550</v>
      </c>
    </row>
    <row r="57834" customFormat="false" ht="12.8" hidden="false" customHeight="false" outlineLevel="0" collapsed="false">
      <c r="B57834" s="0" t="s">
        <v>14</v>
      </c>
      <c r="C57834" s="0" t="s">
        <v>1315</v>
      </c>
      <c r="D57834" s="0" t="s">
        <v>1164</v>
      </c>
      <c r="E57834" s="0" t="s">
        <v>1551</v>
      </c>
      <c r="F57834" s="0" t="s">
        <v>1551</v>
      </c>
    </row>
    <row r="57836" customFormat="false" ht="12.8" hidden="false" customHeight="false" outlineLevel="0" collapsed="false">
      <c r="A57836" s="0" t="s">
        <v>20028</v>
      </c>
      <c r="B57836" s="0" t="str">
        <f aca="false">HYPERLINK("https://lindat.mff.cuni.cz/services/teitok/pdtc10/index.php?action=vallex&amp;frame=v-w8136f2_ZU", "vymýtit (v-w8136f2_ZU)")</f>
        <v>vymýtit (v-w8136f2_ZU)</v>
      </c>
    </row>
    <row r="57837" customFormat="false" ht="12.8" hidden="false" customHeight="false" outlineLevel="0" collapsed="false">
      <c r="B57837" s="0" t="s">
        <v>7</v>
      </c>
    </row>
    <row r="57838" customFormat="false" ht="12.8" hidden="false" customHeight="false" outlineLevel="0" collapsed="false">
      <c r="B57838" s="0" t="s">
        <v>14</v>
      </c>
    </row>
    <row r="57840" customFormat="false" ht="12.8" hidden="false" customHeight="false" outlineLevel="0" collapsed="false">
      <c r="A57840" s="0" t="s">
        <v>20029</v>
      </c>
      <c r="B57840" s="0" t="str">
        <f aca="false">HYPERLINK("https://lindat.mff.cuni.cz/services/teitok/pdtc10/index.php?action=vallex&amp;frame=v-w8137f1", "vymývat (v-w8137f1)")</f>
        <v>vymývat (v-w8137f1)</v>
      </c>
    </row>
    <row r="57841" customFormat="false" ht="12.8" hidden="false" customHeight="false" outlineLevel="0" collapsed="false">
      <c r="B57841" s="0" t="s">
        <v>7</v>
      </c>
      <c r="D57841" s="0" t="s">
        <v>108</v>
      </c>
      <c r="E57841" s="0" t="s">
        <v>108</v>
      </c>
      <c r="F57841" s="0" t="s">
        <v>108</v>
      </c>
    </row>
    <row r="57842" customFormat="false" ht="12.8" hidden="false" customHeight="false" outlineLevel="0" collapsed="false">
      <c r="B57842" s="0" t="s">
        <v>14</v>
      </c>
      <c r="D57842" s="0" t="s">
        <v>5146</v>
      </c>
      <c r="E57842" s="0" t="s">
        <v>5146</v>
      </c>
      <c r="F57842" s="0" t="s">
        <v>5146</v>
      </c>
    </row>
    <row r="57844" customFormat="false" ht="12.8" hidden="false" customHeight="false" outlineLevel="0" collapsed="false">
      <c r="A57844" s="0" t="s">
        <v>20030</v>
      </c>
      <c r="B57844" s="0" t="str">
        <f aca="false">HYPERLINK("https://lindat.mff.cuni.cz/services/teitok/pdtc10/index.php?action=vallex&amp;frame=v-w8133f1", "vymýšlet (v-w8133f1)")</f>
        <v>vymýšlet (v-w8133f1)</v>
      </c>
    </row>
    <row r="57845" customFormat="false" ht="12.8" hidden="false" customHeight="false" outlineLevel="0" collapsed="false">
      <c r="B57845" s="0" t="s">
        <v>7</v>
      </c>
      <c r="C57845" s="0" t="s">
        <v>2736</v>
      </c>
      <c r="D57845" s="0" t="s">
        <v>16628</v>
      </c>
      <c r="E57845" s="0" t="s">
        <v>16628</v>
      </c>
      <c r="F57845" s="0" t="s">
        <v>16628</v>
      </c>
    </row>
    <row r="57846" customFormat="false" ht="12.8" hidden="false" customHeight="false" outlineLevel="0" collapsed="false">
      <c r="B57846" s="0" t="s">
        <v>14</v>
      </c>
      <c r="C57846" s="0" t="s">
        <v>1209</v>
      </c>
      <c r="D57846" s="0" t="s">
        <v>3244</v>
      </c>
      <c r="E57846" s="0" t="s">
        <v>3244</v>
      </c>
      <c r="F57846" s="0" t="s">
        <v>3244</v>
      </c>
    </row>
    <row r="57848" customFormat="false" ht="12.8" hidden="false" customHeight="false" outlineLevel="0" collapsed="false">
      <c r="A57848" s="0" t="s">
        <v>20031</v>
      </c>
      <c r="B57848" s="0" t="str">
        <f aca="false">HYPERLINK("https://lindat.mff.cuni.cz/services/teitok/pdtc10/index.php?action=vallex&amp;frame=v-w8133f2", "vymýšlet (v-w8133f2)")</f>
        <v>vymýšlet (v-w8133f2)</v>
      </c>
    </row>
    <row r="57849" customFormat="false" ht="12.8" hidden="false" customHeight="false" outlineLevel="0" collapsed="false">
      <c r="B57849" s="0" t="s">
        <v>7</v>
      </c>
    </row>
    <row r="57850" customFormat="false" ht="12.8" hidden="false" customHeight="false" outlineLevel="0" collapsed="false">
      <c r="B57850" s="0" t="s">
        <v>20005</v>
      </c>
    </row>
    <row r="57851" customFormat="false" ht="12.8" hidden="false" customHeight="false" outlineLevel="0" collapsed="false">
      <c r="B57851" s="0" t="s">
        <v>363</v>
      </c>
    </row>
    <row r="57853" customFormat="false" ht="12.8" hidden="false" customHeight="false" outlineLevel="0" collapsed="false">
      <c r="A57853" s="0" t="s">
        <v>20032</v>
      </c>
      <c r="B57853" s="0" t="str">
        <f aca="false">HYPERLINK("https://lindat.mff.cuni.cz/services/teitok/pdtc10/index.php?action=vallex&amp;frame=v-w8134f1", "vymýšlet si (v-w8134f1)")</f>
        <v>vymýšlet si (v-w8134f1)</v>
      </c>
    </row>
    <row r="57854" customFormat="false" ht="12.8" hidden="false" customHeight="false" outlineLevel="0" collapsed="false">
      <c r="B57854" s="0" t="s">
        <v>7</v>
      </c>
      <c r="C57854" s="0" t="s">
        <v>191</v>
      </c>
    </row>
    <row r="57855" customFormat="false" ht="12.8" hidden="false" customHeight="false" outlineLevel="0" collapsed="false">
      <c r="B57855" s="0" t="s">
        <v>1520</v>
      </c>
    </row>
    <row r="57857" customFormat="false" ht="12.8" hidden="false" customHeight="false" outlineLevel="0" collapsed="false">
      <c r="A57857" s="0" t="s">
        <v>20033</v>
      </c>
      <c r="B57857" s="0" t="str">
        <f aca="false">HYPERLINK("https://lindat.mff.cuni.cz/services/teitok/pdtc10/index.php?action=vallex&amp;frame=v-w8134f2", "vymýšlet si (v-w8134f2)")</f>
        <v>vymýšlet si (v-w8134f2)</v>
      </c>
    </row>
    <row r="57858" customFormat="false" ht="12.8" hidden="false" customHeight="false" outlineLevel="0" collapsed="false">
      <c r="B57858" s="0" t="s">
        <v>7</v>
      </c>
    </row>
    <row r="57859" customFormat="false" ht="12.8" hidden="false" customHeight="false" outlineLevel="0" collapsed="false">
      <c r="B57859" s="0" t="s">
        <v>20005</v>
      </c>
    </row>
    <row r="57860" customFormat="false" ht="12.8" hidden="false" customHeight="false" outlineLevel="0" collapsed="false">
      <c r="B57860" s="0" t="s">
        <v>363</v>
      </c>
    </row>
    <row r="57862" customFormat="false" ht="12.8" hidden="false" customHeight="false" outlineLevel="0" collapsed="false">
      <c r="A57862" s="0" t="s">
        <v>20034</v>
      </c>
      <c r="B57862" s="0" t="str">
        <f aca="false">HYPERLINK("https://lindat.mff.cuni.cz/services/teitok/pdtc10/index.php?action=vallex&amp;frame=v-w8097f1", "vyměnit (v-w8097f1)")</f>
        <v>vyměnit (v-w8097f1)</v>
      </c>
    </row>
    <row r="57863" customFormat="false" ht="12.8" hidden="false" customHeight="false" outlineLevel="0" collapsed="false">
      <c r="B57863" s="0" t="s">
        <v>7</v>
      </c>
      <c r="C57863" s="0" t="s">
        <v>20035</v>
      </c>
      <c r="D57863" s="0" t="s">
        <v>6182</v>
      </c>
      <c r="E57863" s="0" t="s">
        <v>6182</v>
      </c>
      <c r="F57863" s="0" t="s">
        <v>6182</v>
      </c>
    </row>
    <row r="57864" customFormat="false" ht="12.8" hidden="false" customHeight="false" outlineLevel="0" collapsed="false">
      <c r="B57864" s="0" t="s">
        <v>14</v>
      </c>
      <c r="C57864" s="0" t="s">
        <v>20036</v>
      </c>
      <c r="D57864" s="0" t="s">
        <v>6184</v>
      </c>
      <c r="E57864" s="0" t="s">
        <v>6184</v>
      </c>
      <c r="F57864" s="0" t="s">
        <v>6184</v>
      </c>
    </row>
    <row r="57865" customFormat="false" ht="12.8" hidden="false" customHeight="false" outlineLevel="0" collapsed="false">
      <c r="B57865" s="0" t="s">
        <v>2767</v>
      </c>
      <c r="C57865" s="0" t="s">
        <v>6185</v>
      </c>
      <c r="D57865" s="0" t="s">
        <v>6185</v>
      </c>
      <c r="E57865" s="0" t="s">
        <v>6185</v>
      </c>
      <c r="F57865" s="0" t="s">
        <v>6185</v>
      </c>
    </row>
    <row r="57866" customFormat="false" ht="12.8" hidden="false" customHeight="false" outlineLevel="0" collapsed="false">
      <c r="B57866" s="0" t="s">
        <v>550</v>
      </c>
      <c r="C57866" s="0" t="s">
        <v>20037</v>
      </c>
      <c r="D57866" s="0" t="s">
        <v>6187</v>
      </c>
      <c r="E57866" s="0" t="s">
        <v>6187</v>
      </c>
      <c r="F57866" s="0" t="s">
        <v>6187</v>
      </c>
    </row>
    <row r="57868" customFormat="false" ht="12.8" hidden="false" customHeight="false" outlineLevel="0" collapsed="false">
      <c r="A57868" s="0" t="s">
        <v>20038</v>
      </c>
      <c r="B57868" s="0" t="str">
        <f aca="false">HYPERLINK("https://lindat.mff.cuni.cz/services/teitok/pdtc10/index.php?action=vallex&amp;frame=v-w8097f2", "vyměnit (v-w8097f2)")</f>
        <v>vyměnit (v-w8097f2)</v>
      </c>
    </row>
    <row r="57869" customFormat="false" ht="12.8" hidden="false" customHeight="false" outlineLevel="0" collapsed="false">
      <c r="B57869" s="0" t="s">
        <v>7</v>
      </c>
      <c r="C57869" s="0" t="s">
        <v>20039</v>
      </c>
      <c r="D57869" s="0" t="s">
        <v>6200</v>
      </c>
      <c r="E57869" s="0" t="s">
        <v>6200</v>
      </c>
      <c r="F57869" s="0" t="s">
        <v>6200</v>
      </c>
    </row>
    <row r="57870" customFormat="false" ht="12.8" hidden="false" customHeight="false" outlineLevel="0" collapsed="false">
      <c r="B57870" s="0" t="s">
        <v>14</v>
      </c>
      <c r="C57870" s="0" t="s">
        <v>20040</v>
      </c>
      <c r="D57870" s="0" t="s">
        <v>6202</v>
      </c>
      <c r="E57870" s="0" t="s">
        <v>6202</v>
      </c>
      <c r="F57870" s="0" t="s">
        <v>6202</v>
      </c>
    </row>
    <row r="57871" customFormat="false" ht="12.8" hidden="false" customHeight="false" outlineLevel="0" collapsed="false">
      <c r="B57871" s="0" t="s">
        <v>637</v>
      </c>
      <c r="C57871" s="0" t="s">
        <v>20041</v>
      </c>
      <c r="D57871" s="0" t="s">
        <v>6204</v>
      </c>
      <c r="E57871" s="0" t="s">
        <v>6204</v>
      </c>
      <c r="F57871" s="0" t="s">
        <v>6204</v>
      </c>
    </row>
    <row r="57873" customFormat="false" ht="12.8" hidden="false" customHeight="false" outlineLevel="0" collapsed="false">
      <c r="A57873" s="0" t="s">
        <v>20042</v>
      </c>
      <c r="B57873" s="0" t="str">
        <f aca="false">HYPERLINK("https://lindat.mff.cuni.cz/services/teitok/pdtc10/index.php?action=vallex&amp;frame=v-w8098f1", "vyměňovat (v-w8098f1)")</f>
        <v>vyměňovat (v-w8098f1)</v>
      </c>
    </row>
    <row r="57874" customFormat="false" ht="12.8" hidden="false" customHeight="false" outlineLevel="0" collapsed="false">
      <c r="B57874" s="0" t="s">
        <v>7</v>
      </c>
      <c r="C57874" s="0" t="s">
        <v>335</v>
      </c>
      <c r="D57874" s="0" t="s">
        <v>6182</v>
      </c>
      <c r="E57874" s="0" t="s">
        <v>6182</v>
      </c>
      <c r="F57874" s="0" t="s">
        <v>6182</v>
      </c>
    </row>
    <row r="57875" customFormat="false" ht="12.8" hidden="false" customHeight="false" outlineLevel="0" collapsed="false">
      <c r="B57875" s="0" t="s">
        <v>14</v>
      </c>
      <c r="C57875" s="0" t="s">
        <v>625</v>
      </c>
      <c r="D57875" s="0" t="s">
        <v>6184</v>
      </c>
      <c r="E57875" s="0" t="s">
        <v>6184</v>
      </c>
      <c r="F57875" s="0" t="s">
        <v>6184</v>
      </c>
    </row>
    <row r="57876" customFormat="false" ht="12.8" hidden="false" customHeight="false" outlineLevel="0" collapsed="false">
      <c r="B57876" s="0" t="s">
        <v>20043</v>
      </c>
      <c r="C57876" s="0" t="s">
        <v>20044</v>
      </c>
      <c r="D57876" s="0" t="s">
        <v>6185</v>
      </c>
      <c r="E57876" s="0" t="s">
        <v>6185</v>
      </c>
      <c r="F57876" s="0" t="s">
        <v>6185</v>
      </c>
    </row>
    <row r="57877" customFormat="false" ht="12.8" hidden="false" customHeight="false" outlineLevel="0" collapsed="false">
      <c r="B57877" s="0" t="s">
        <v>550</v>
      </c>
      <c r="C57877" s="0" t="s">
        <v>20045</v>
      </c>
      <c r="D57877" s="0" t="s">
        <v>6187</v>
      </c>
      <c r="E57877" s="0" t="s">
        <v>6187</v>
      </c>
      <c r="F57877" s="0" t="s">
        <v>6187</v>
      </c>
    </row>
    <row r="57879" customFormat="false" ht="12.8" hidden="false" customHeight="false" outlineLevel="0" collapsed="false">
      <c r="A57879" s="0" t="s">
        <v>20046</v>
      </c>
      <c r="B57879" s="0" t="str">
        <f aca="false">HYPERLINK("https://lindat.mff.cuni.cz/services/teitok/pdtc10/index.php?action=vallex&amp;frame=v-w8098f2", "vyměňovat (v-w8098f2)")</f>
        <v>vyměňovat (v-w8098f2)</v>
      </c>
    </row>
    <row r="57880" customFormat="false" ht="12.8" hidden="false" customHeight="false" outlineLevel="0" collapsed="false">
      <c r="B57880" s="0" t="s">
        <v>7</v>
      </c>
      <c r="C57880" s="0" t="s">
        <v>1142</v>
      </c>
      <c r="D57880" s="0" t="s">
        <v>6200</v>
      </c>
      <c r="E57880" s="0" t="s">
        <v>6200</v>
      </c>
      <c r="F57880" s="0" t="s">
        <v>6200</v>
      </c>
    </row>
    <row r="57881" customFormat="false" ht="12.8" hidden="false" customHeight="false" outlineLevel="0" collapsed="false">
      <c r="B57881" s="0" t="s">
        <v>14</v>
      </c>
      <c r="C57881" s="0" t="s">
        <v>1278</v>
      </c>
      <c r="D57881" s="0" t="s">
        <v>6202</v>
      </c>
      <c r="E57881" s="0" t="s">
        <v>6202</v>
      </c>
      <c r="F57881" s="0" t="s">
        <v>6202</v>
      </c>
    </row>
    <row r="57882" customFormat="false" ht="12.8" hidden="false" customHeight="false" outlineLevel="0" collapsed="false">
      <c r="B57882" s="0" t="s">
        <v>637</v>
      </c>
      <c r="C57882" s="0" t="s">
        <v>20047</v>
      </c>
      <c r="D57882" s="0" t="s">
        <v>6204</v>
      </c>
      <c r="E57882" s="0" t="s">
        <v>6204</v>
      </c>
      <c r="F57882" s="0" t="s">
        <v>6204</v>
      </c>
    </row>
    <row r="57884" customFormat="false" ht="12.8" hidden="false" customHeight="false" outlineLevel="0" collapsed="false">
      <c r="A57884" s="0" t="s">
        <v>20048</v>
      </c>
      <c r="B57884" s="0" t="str">
        <f aca="false">HYPERLINK("https://lindat.mff.cuni.cz/services/teitok/pdtc10/index.php?action=vallex&amp;frame=v-whsa_90hsa_91", "vyměňovat si (v-whsa_90hsa_91)")</f>
        <v>vyměňovat si (v-whsa_90hsa_91)</v>
      </c>
    </row>
    <row r="57885" customFormat="false" ht="12.8" hidden="false" customHeight="false" outlineLevel="0" collapsed="false">
      <c r="B57885" s="0" t="s">
        <v>7</v>
      </c>
    </row>
    <row r="57886" customFormat="false" ht="12.8" hidden="false" customHeight="false" outlineLevel="0" collapsed="false">
      <c r="B57886" s="0" t="s">
        <v>14</v>
      </c>
    </row>
    <row r="57887" customFormat="false" ht="12.8" hidden="false" customHeight="false" outlineLevel="0" collapsed="false">
      <c r="B57887" s="0" t="s">
        <v>207</v>
      </c>
    </row>
    <row r="57889" customFormat="false" ht="12.8" hidden="false" customHeight="false" outlineLevel="0" collapsed="false">
      <c r="A57889" s="0" t="s">
        <v>20049</v>
      </c>
      <c r="B57889" s="0" t="str">
        <f aca="false">HYPERLINK("https://lindat.mff.cuni.cz/services/teitok/pdtc10/index.php?action=vallex&amp;frame=v-w8100f1", "vyměřit (v-w8100f1)")</f>
        <v>vyměřit (v-w8100f1)</v>
      </c>
    </row>
    <row r="57890" customFormat="false" ht="12.8" hidden="false" customHeight="false" outlineLevel="0" collapsed="false">
      <c r="B57890" s="0" t="s">
        <v>7</v>
      </c>
      <c r="C57890" s="0" t="s">
        <v>31</v>
      </c>
    </row>
    <row r="57891" customFormat="false" ht="12.8" hidden="false" customHeight="false" outlineLevel="0" collapsed="false">
      <c r="B57891" s="0" t="s">
        <v>14</v>
      </c>
      <c r="C57891" s="0" t="s">
        <v>9127</v>
      </c>
    </row>
    <row r="57893" customFormat="false" ht="12.8" hidden="false" customHeight="false" outlineLevel="0" collapsed="false">
      <c r="A57893" s="0" t="s">
        <v>20050</v>
      </c>
      <c r="B57893" s="0" t="str">
        <f aca="false">HYPERLINK("https://lindat.mff.cuni.cz/services/teitok/pdtc10/index.php?action=vallex&amp;frame=v-w8101f1", "vyměřovat (v-w8101f1)")</f>
        <v>vyměřovat (v-w8101f1)</v>
      </c>
    </row>
    <row r="57894" customFormat="false" ht="12.8" hidden="false" customHeight="false" outlineLevel="0" collapsed="false">
      <c r="B57894" s="0" t="s">
        <v>7</v>
      </c>
      <c r="D57894" s="0" t="s">
        <v>2998</v>
      </c>
      <c r="E57894" s="0" t="s">
        <v>2998</v>
      </c>
      <c r="F57894" s="0" t="s">
        <v>2998</v>
      </c>
    </row>
    <row r="57895" customFormat="false" ht="12.8" hidden="false" customHeight="false" outlineLevel="0" collapsed="false">
      <c r="B57895" s="0" t="s">
        <v>14</v>
      </c>
      <c r="D57895" s="0" t="s">
        <v>3001</v>
      </c>
      <c r="E57895" s="0" t="s">
        <v>3001</v>
      </c>
      <c r="F57895" s="0" t="s">
        <v>3001</v>
      </c>
    </row>
    <row r="57897" customFormat="false" ht="12.8" hidden="false" customHeight="false" outlineLevel="0" collapsed="false">
      <c r="A57897" s="0" t="s">
        <v>20051</v>
      </c>
      <c r="B57897" s="0" t="str">
        <f aca="false">HYPERLINK("https://lindat.mff.cuni.cz/services/teitok/pdtc10/index.php?action=vallex&amp;frame=v-w8123f1", "vymřít (v-w8123f1)")</f>
        <v>vymřít (v-w8123f1)</v>
      </c>
    </row>
    <row r="57898" customFormat="false" ht="12.8" hidden="false" customHeight="false" outlineLevel="0" collapsed="false">
      <c r="B57898" s="0" t="s">
        <v>7</v>
      </c>
      <c r="D57898" s="0" t="s">
        <v>5380</v>
      </c>
      <c r="E57898" s="0" t="s">
        <v>5380</v>
      </c>
      <c r="F57898" s="0" t="s">
        <v>5380</v>
      </c>
    </row>
    <row r="57900" customFormat="false" ht="12.8" hidden="false" customHeight="false" outlineLevel="0" collapsed="false">
      <c r="A57900" s="0" t="s">
        <v>20052</v>
      </c>
      <c r="B57900" s="0" t="str">
        <f aca="false">HYPERLINK("https://lindat.mff.cuni.cz/services/teitok/pdtc10/index.php?action=vallex&amp;frame=v-whsa_1295hsa_1296", "vynachválit si (v-whsa_1295hsa_1296)")</f>
        <v>vynachválit si (v-whsa_1295hsa_1296)</v>
      </c>
    </row>
    <row r="57901" customFormat="false" ht="12.8" hidden="false" customHeight="false" outlineLevel="0" collapsed="false">
      <c r="B57901" s="0" t="s">
        <v>7</v>
      </c>
    </row>
    <row r="57902" customFormat="false" ht="12.8" hidden="false" customHeight="false" outlineLevel="0" collapsed="false">
      <c r="B57902" s="0" t="s">
        <v>20053</v>
      </c>
    </row>
    <row r="57904" customFormat="false" ht="12.8" hidden="false" customHeight="false" outlineLevel="0" collapsed="false">
      <c r="A57904" s="0" t="s">
        <v>20054</v>
      </c>
      <c r="B57904" s="0" t="str">
        <f aca="false">HYPERLINK("https://lindat.mff.cuni.cz/services/teitok/pdtc10/index.php?action=vallex&amp;frame=v-w8140f1", "vynacházet se (v-w8140f1)")</f>
        <v>vynacházet se (v-w8140f1)</v>
      </c>
    </row>
    <row r="57905" customFormat="false" ht="12.8" hidden="false" customHeight="false" outlineLevel="0" collapsed="false">
      <c r="B57905" s="0" t="s">
        <v>7</v>
      </c>
    </row>
    <row r="57907" customFormat="false" ht="12.8" hidden="false" customHeight="false" outlineLevel="0" collapsed="false">
      <c r="A57907" s="0" t="s">
        <v>20055</v>
      </c>
      <c r="B57907" s="0" t="str">
        <f aca="false">HYPERLINK("https://lindat.mff.cuni.cz/services/teitok/pdtc10/index.php?action=vallex&amp;frame=v-w8138f1", "vynadat (v-w8138f1)")</f>
        <v>vynadat (v-w8138f1)</v>
      </c>
    </row>
    <row r="57908" customFormat="false" ht="12.8" hidden="false" customHeight="false" outlineLevel="0" collapsed="false">
      <c r="B57908" s="0" t="s">
        <v>7</v>
      </c>
    </row>
    <row r="57909" customFormat="false" ht="12.8" hidden="false" customHeight="false" outlineLevel="0" collapsed="false">
      <c r="B57909" s="0" t="s">
        <v>48</v>
      </c>
    </row>
    <row r="57910" customFormat="false" ht="12.8" hidden="false" customHeight="false" outlineLevel="0" collapsed="false">
      <c r="B57910" s="0" t="s">
        <v>16370</v>
      </c>
    </row>
    <row r="57912" customFormat="false" ht="12.8" hidden="false" customHeight="false" outlineLevel="0" collapsed="false">
      <c r="A57912" s="0" t="s">
        <v>20056</v>
      </c>
      <c r="B57912" s="0" t="str">
        <f aca="false">HYPERLINK("https://lindat.mff.cuni.cz/services/teitok/pdtc10/index.php?action=vallex&amp;frame=v-w8139f1", "vynahradit (v-w8139f1)")</f>
        <v>vynahradit (v-w8139f1)</v>
      </c>
    </row>
    <row r="57913" customFormat="false" ht="12.8" hidden="false" customHeight="false" outlineLevel="0" collapsed="false">
      <c r="B57913" s="0" t="s">
        <v>7</v>
      </c>
      <c r="C57913" s="0" t="s">
        <v>19774</v>
      </c>
    </row>
    <row r="57914" customFormat="false" ht="12.8" hidden="false" customHeight="false" outlineLevel="0" collapsed="false">
      <c r="B57914" s="0" t="s">
        <v>14</v>
      </c>
      <c r="C57914" s="0" t="s">
        <v>1681</v>
      </c>
    </row>
    <row r="57915" customFormat="false" ht="12.8" hidden="false" customHeight="false" outlineLevel="0" collapsed="false">
      <c r="B57915" s="0" t="s">
        <v>48</v>
      </c>
    </row>
    <row r="57917" customFormat="false" ht="12.8" hidden="false" customHeight="false" outlineLevel="0" collapsed="false">
      <c r="A57917" s="0" t="s">
        <v>20057</v>
      </c>
      <c r="B57917" s="0" t="str">
        <f aca="false">HYPERLINK("https://lindat.mff.cuni.cz/services/teitok/pdtc10/index.php?action=vallex&amp;frame=v-w11624_ZUf1_ZU", "vynahrazovat (v-w11624_ZUf1_ZU)")</f>
        <v>vynahrazovat (v-w11624_ZUf1_ZU)</v>
      </c>
    </row>
    <row r="57918" customFormat="false" ht="12.8" hidden="false" customHeight="false" outlineLevel="0" collapsed="false">
      <c r="B57918" s="0" t="s">
        <v>7</v>
      </c>
      <c r="C57918" s="0" t="s">
        <v>832</v>
      </c>
    </row>
    <row r="57919" customFormat="false" ht="12.8" hidden="false" customHeight="false" outlineLevel="0" collapsed="false">
      <c r="B57919" s="0" t="s">
        <v>14</v>
      </c>
      <c r="C57919" s="0" t="s">
        <v>487</v>
      </c>
    </row>
    <row r="57920" customFormat="false" ht="12.8" hidden="false" customHeight="false" outlineLevel="0" collapsed="false">
      <c r="B57920" s="0" t="s">
        <v>48</v>
      </c>
    </row>
    <row r="57922" customFormat="false" ht="12.8" hidden="false" customHeight="false" outlineLevel="0" collapsed="false">
      <c r="A57922" s="0" t="s">
        <v>20058</v>
      </c>
      <c r="B57922" s="0" t="str">
        <f aca="false">HYPERLINK("https://lindat.mff.cuni.cz/services/teitok/pdtc10/index.php?action=vallex&amp;frame=v-w8141f1", "vynakládat (v-w8141f1)")</f>
        <v>vynakládat (v-w8141f1)</v>
      </c>
    </row>
    <row r="57923" customFormat="false" ht="12.8" hidden="false" customHeight="false" outlineLevel="0" collapsed="false">
      <c r="B57923" s="0" t="s">
        <v>7</v>
      </c>
      <c r="C57923" s="0" t="s">
        <v>20059</v>
      </c>
      <c r="D57923" s="0" t="s">
        <v>1410</v>
      </c>
      <c r="E57923" s="0" t="s">
        <v>1410</v>
      </c>
      <c r="F57923" s="0" t="s">
        <v>1410</v>
      </c>
    </row>
    <row r="57924" customFormat="false" ht="12.8" hidden="false" customHeight="false" outlineLevel="0" collapsed="false">
      <c r="B57924" s="0" t="s">
        <v>14</v>
      </c>
      <c r="C57924" s="0" t="s">
        <v>20060</v>
      </c>
      <c r="D57924" s="0" t="s">
        <v>1411</v>
      </c>
      <c r="E57924" s="0" t="s">
        <v>1411</v>
      </c>
      <c r="F57924" s="0" t="s">
        <v>1411</v>
      </c>
    </row>
    <row r="57926" customFormat="false" ht="12.8" hidden="false" customHeight="false" outlineLevel="0" collapsed="false">
      <c r="A57926" s="0" t="s">
        <v>20061</v>
      </c>
      <c r="B57926" s="0" t="str">
        <f aca="false">HYPERLINK("https://lindat.mff.cuni.cz/services/teitok/pdtc10/index.php?action=vallex&amp;frame=v-w8145f1", "vynaleznout (v-w8145f1)")</f>
        <v>vynaleznout (v-w8145f1)</v>
      </c>
    </row>
    <row r="57927" customFormat="false" ht="12.8" hidden="false" customHeight="false" outlineLevel="0" collapsed="false">
      <c r="B57927" s="0" t="s">
        <v>7</v>
      </c>
      <c r="C57927" s="0" t="s">
        <v>9885</v>
      </c>
    </row>
    <row r="57928" customFormat="false" ht="12.8" hidden="false" customHeight="false" outlineLevel="0" collapsed="false">
      <c r="B57928" s="0" t="s">
        <v>14</v>
      </c>
      <c r="C57928" s="0" t="s">
        <v>20062</v>
      </c>
    </row>
    <row r="57930" customFormat="false" ht="12.8" hidden="false" customHeight="false" outlineLevel="0" collapsed="false">
      <c r="A57930" s="0" t="s">
        <v>20063</v>
      </c>
      <c r="B57930" s="0" t="str">
        <f aca="false">HYPERLINK("https://lindat.mff.cuni.cz/services/teitok/pdtc10/index.php?action=vallex&amp;frame=v-w8146f2", "vynaložit (v-w8146f2)")</f>
        <v>vynaložit (v-w8146f2)</v>
      </c>
    </row>
    <row r="57931" customFormat="false" ht="12.8" hidden="false" customHeight="false" outlineLevel="0" collapsed="false">
      <c r="B57931" s="0" t="s">
        <v>7</v>
      </c>
      <c r="C57931" s="0" t="s">
        <v>4783</v>
      </c>
    </row>
    <row r="57932" customFormat="false" ht="12.8" hidden="false" customHeight="false" outlineLevel="0" collapsed="false">
      <c r="B57932" s="0" t="s">
        <v>14</v>
      </c>
      <c r="C57932" s="0" t="s">
        <v>25</v>
      </c>
    </row>
    <row r="57933" customFormat="false" ht="12.8" hidden="false" customHeight="false" outlineLevel="0" collapsed="false">
      <c r="B57933" s="0" t="s">
        <v>550</v>
      </c>
      <c r="C57933" s="0" t="s">
        <v>4242</v>
      </c>
    </row>
    <row r="57935" customFormat="false" ht="12.8" hidden="false" customHeight="false" outlineLevel="0" collapsed="false">
      <c r="A57935" s="0" t="s">
        <v>20064</v>
      </c>
      <c r="B57935" s="0" t="str">
        <f aca="false">HYPERLINK("https://lindat.mff.cuni.cz/services/teitok/pdtc10/index.php?action=vallex&amp;frame=v-w8146f1", "vynaložit (v-w8146f1)")</f>
        <v>vynaložit (v-w8146f1)</v>
      </c>
    </row>
    <row r="57936" customFormat="false" ht="12.8" hidden="false" customHeight="false" outlineLevel="0" collapsed="false">
      <c r="B57936" s="0" t="s">
        <v>7</v>
      </c>
      <c r="C57936" s="0" t="s">
        <v>20065</v>
      </c>
      <c r="D57936" s="0" t="s">
        <v>1410</v>
      </c>
      <c r="E57936" s="0" t="s">
        <v>1410</v>
      </c>
      <c r="F57936" s="0" t="s">
        <v>1410</v>
      </c>
    </row>
    <row r="57937" customFormat="false" ht="12.8" hidden="false" customHeight="false" outlineLevel="0" collapsed="false">
      <c r="B57937" s="0" t="s">
        <v>14</v>
      </c>
      <c r="C57937" s="0" t="s">
        <v>20066</v>
      </c>
      <c r="D57937" s="0" t="s">
        <v>1411</v>
      </c>
      <c r="E57937" s="0" t="s">
        <v>1411</v>
      </c>
      <c r="F57937" s="0" t="s">
        <v>1411</v>
      </c>
    </row>
    <row r="57939" customFormat="false" ht="12.8" hidden="false" customHeight="false" outlineLevel="0" collapsed="false">
      <c r="A57939" s="0" t="s">
        <v>20067</v>
      </c>
      <c r="B57939" s="0" t="str">
        <f aca="false">HYPERLINK("https://lindat.mff.cuni.cz/services/teitok/pdtc10/index.php?action=vallex&amp;frame=v-w8146hsa_1021", "vynaložit (v-w8146hsa_1021)")</f>
        <v>vynaložit (v-w8146hsa_1021)</v>
      </c>
    </row>
    <row r="57940" customFormat="false" ht="12.8" hidden="false" customHeight="false" outlineLevel="0" collapsed="false">
      <c r="B57940" s="0" t="s">
        <v>7</v>
      </c>
    </row>
    <row r="57941" customFormat="false" ht="12.8" hidden="false" customHeight="false" outlineLevel="0" collapsed="false">
      <c r="B57941" s="0" t="s">
        <v>14</v>
      </c>
    </row>
    <row r="57943" customFormat="false" ht="12.8" hidden="false" customHeight="false" outlineLevel="0" collapsed="false">
      <c r="A57943" s="0" t="s">
        <v>20068</v>
      </c>
      <c r="B57943" s="0" t="str">
        <f aca="false">HYPERLINK("https://lindat.mff.cuni.cz/services/teitok/pdtc10/index.php?action=vallex&amp;frame=v-w8144f1", "vynalézat (v-w8144f1)")</f>
        <v>vynalézat (v-w8144f1)</v>
      </c>
    </row>
    <row r="57944" customFormat="false" ht="12.8" hidden="false" customHeight="false" outlineLevel="0" collapsed="false">
      <c r="B57944" s="0" t="s">
        <v>7</v>
      </c>
    </row>
    <row r="57945" customFormat="false" ht="12.8" hidden="false" customHeight="false" outlineLevel="0" collapsed="false">
      <c r="B57945" s="0" t="s">
        <v>14</v>
      </c>
    </row>
    <row r="57947" customFormat="false" ht="12.8" hidden="false" customHeight="false" outlineLevel="0" collapsed="false">
      <c r="A57947" s="0" t="s">
        <v>20069</v>
      </c>
      <c r="B57947" s="0" t="str">
        <f aca="false">HYPERLINK("https://lindat.mff.cuni.cz/services/teitok/pdtc10/index.php?action=vallex&amp;frame=v-w10105f2", "vynalézt (v-w10105f2)")</f>
        <v>vynalézt (v-w10105f2)</v>
      </c>
    </row>
    <row r="57948" customFormat="false" ht="12.8" hidden="false" customHeight="false" outlineLevel="0" collapsed="false">
      <c r="B57948" s="0" t="s">
        <v>7</v>
      </c>
      <c r="C57948" s="0" t="s">
        <v>118</v>
      </c>
    </row>
    <row r="57949" customFormat="false" ht="12.8" hidden="false" customHeight="false" outlineLevel="0" collapsed="false">
      <c r="B57949" s="0" t="s">
        <v>14</v>
      </c>
      <c r="C57949" s="0" t="s">
        <v>120</v>
      </c>
    </row>
    <row r="57951" customFormat="false" ht="12.8" hidden="false" customHeight="false" outlineLevel="0" collapsed="false">
      <c r="A57951" s="0" t="s">
        <v>20070</v>
      </c>
      <c r="B57951" s="0" t="str">
        <f aca="false">HYPERLINK("https://lindat.mff.cuni.cz/services/teitok/pdtc10/index.php?action=vallex&amp;frame=v-w8149f1", "vyndat (v-w8149f1)")</f>
        <v>vyndat (v-w8149f1)</v>
      </c>
    </row>
    <row r="57952" customFormat="false" ht="12.8" hidden="false" customHeight="false" outlineLevel="0" collapsed="false">
      <c r="B57952" s="0" t="s">
        <v>7</v>
      </c>
      <c r="D57952" s="0" t="s">
        <v>309</v>
      </c>
      <c r="E57952" s="0" t="s">
        <v>309</v>
      </c>
      <c r="F57952" s="0" t="s">
        <v>309</v>
      </c>
    </row>
    <row r="57953" customFormat="false" ht="12.8" hidden="false" customHeight="false" outlineLevel="0" collapsed="false">
      <c r="B57953" s="0" t="s">
        <v>14</v>
      </c>
      <c r="D57953" s="0" t="s">
        <v>356</v>
      </c>
      <c r="E57953" s="0" t="s">
        <v>1681</v>
      </c>
      <c r="F57953" s="0" t="s">
        <v>1681</v>
      </c>
    </row>
    <row r="57954" customFormat="false" ht="12.8" hidden="false" customHeight="false" outlineLevel="0" collapsed="false">
      <c r="B57954" s="0" t="s">
        <v>459</v>
      </c>
      <c r="D57954" s="0" t="s">
        <v>19661</v>
      </c>
      <c r="E57954" s="0" t="s">
        <v>19661</v>
      </c>
      <c r="F57954" s="0" t="s">
        <v>19661</v>
      </c>
    </row>
    <row r="57956" customFormat="false" ht="12.8" hidden="false" customHeight="false" outlineLevel="0" collapsed="false">
      <c r="A57956" s="0" t="s">
        <v>20071</v>
      </c>
      <c r="B57956" s="0" t="str">
        <f aca="false">HYPERLINK("https://lindat.mff.cuni.cz/services/teitok/pdtc10/index.php?action=vallex&amp;frame=v-w8149f2_ZU", "vyndat (v-w8149f2_ZU)")</f>
        <v>vyndat (v-w8149f2_ZU)</v>
      </c>
    </row>
    <row r="57957" customFormat="false" ht="12.8" hidden="false" customHeight="false" outlineLevel="0" collapsed="false">
      <c r="B57957" s="0" t="s">
        <v>7</v>
      </c>
    </row>
    <row r="57958" customFormat="false" ht="12.8" hidden="false" customHeight="false" outlineLevel="0" collapsed="false">
      <c r="B57958" s="0" t="s">
        <v>14</v>
      </c>
    </row>
    <row r="57959" customFormat="false" ht="12.8" hidden="false" customHeight="false" outlineLevel="0" collapsed="false">
      <c r="B57959" s="0" t="s">
        <v>5382</v>
      </c>
    </row>
    <row r="57961" customFormat="false" ht="12.8" hidden="false" customHeight="false" outlineLevel="0" collapsed="false">
      <c r="A57961" s="0" t="s">
        <v>20072</v>
      </c>
      <c r="B57961" s="0" t="str">
        <f aca="false">HYPERLINK("https://lindat.mff.cuni.cz/services/teitok/pdtc10/index.php?action=vallex&amp;frame=v-w11808_ZUf1_ZU", "vyndavat (v-w11808_ZUf1_ZU)")</f>
        <v>vyndavat (v-w11808_ZUf1_ZU)</v>
      </c>
    </row>
    <row r="57962" customFormat="false" ht="12.8" hidden="false" customHeight="false" outlineLevel="0" collapsed="false">
      <c r="B57962" s="0" t="s">
        <v>7</v>
      </c>
    </row>
    <row r="57963" customFormat="false" ht="12.8" hidden="false" customHeight="false" outlineLevel="0" collapsed="false">
      <c r="B57963" s="0" t="s">
        <v>14</v>
      </c>
    </row>
    <row r="57964" customFormat="false" ht="12.8" hidden="false" customHeight="false" outlineLevel="0" collapsed="false">
      <c r="B57964" s="0" t="s">
        <v>5382</v>
      </c>
    </row>
    <row r="57966" customFormat="false" ht="12.8" hidden="false" customHeight="false" outlineLevel="0" collapsed="false">
      <c r="A57966" s="0" t="s">
        <v>20073</v>
      </c>
      <c r="B57966" s="0" t="str">
        <f aca="false">HYPERLINK("https://lindat.mff.cuni.cz/services/teitok/pdtc10/index.php?action=vallex&amp;frame=v-whsa_1132hsa_1133", "vyndávat (v-whsa_1132hsa_1133)")</f>
        <v>vyndávat (v-whsa_1132hsa_1133)</v>
      </c>
    </row>
    <row r="57967" customFormat="false" ht="12.8" hidden="false" customHeight="false" outlineLevel="0" collapsed="false">
      <c r="B57967" s="0" t="s">
        <v>7</v>
      </c>
    </row>
    <row r="57968" customFormat="false" ht="12.8" hidden="false" customHeight="false" outlineLevel="0" collapsed="false">
      <c r="B57968" s="0" t="s">
        <v>14</v>
      </c>
    </row>
    <row r="57969" customFormat="false" ht="12.8" hidden="false" customHeight="false" outlineLevel="0" collapsed="false">
      <c r="B57969" s="0" t="s">
        <v>459</v>
      </c>
    </row>
    <row r="57971" customFormat="false" ht="12.8" hidden="false" customHeight="false" outlineLevel="0" collapsed="false">
      <c r="A57971" s="0" t="s">
        <v>20074</v>
      </c>
      <c r="B57971" s="0" t="str">
        <f aca="false">HYPERLINK("https://lindat.mff.cuni.cz/services/teitok/pdtc10/index.php?action=vallex&amp;frame=v-whsa_2063hsa_2064", "vyndávat (v-whsa_2063hsa_2064)")</f>
        <v>vyndávat (v-whsa_2063hsa_2064)</v>
      </c>
    </row>
    <row r="57972" customFormat="false" ht="12.8" hidden="false" customHeight="false" outlineLevel="0" collapsed="false">
      <c r="B57972" s="0" t="s">
        <v>7</v>
      </c>
    </row>
    <row r="57973" customFormat="false" ht="12.8" hidden="false" customHeight="false" outlineLevel="0" collapsed="false">
      <c r="B57973" s="0" t="s">
        <v>14</v>
      </c>
    </row>
    <row r="57975" customFormat="false" ht="12.8" hidden="false" customHeight="false" outlineLevel="0" collapsed="false">
      <c r="A57975" s="0" t="s">
        <v>20075</v>
      </c>
      <c r="B57975" s="0" t="str">
        <f aca="false">HYPERLINK("https://lindat.mff.cuni.cz/services/teitok/pdtc10/index.php?action=vallex&amp;frame=v-w8150f1", "vynechat (v-w8150f1)")</f>
        <v>vynechat (v-w8150f1)</v>
      </c>
    </row>
    <row r="57976" customFormat="false" ht="12.8" hidden="false" customHeight="false" outlineLevel="0" collapsed="false">
      <c r="B57976" s="0" t="s">
        <v>7</v>
      </c>
      <c r="C57976" s="0" t="s">
        <v>8626</v>
      </c>
      <c r="D57976" s="0" t="s">
        <v>1637</v>
      </c>
      <c r="E57976" s="0" t="s">
        <v>1637</v>
      </c>
      <c r="F57976" s="0" t="s">
        <v>1637</v>
      </c>
    </row>
    <row r="57977" customFormat="false" ht="12.8" hidden="false" customHeight="false" outlineLevel="0" collapsed="false">
      <c r="B57977" s="0" t="s">
        <v>14</v>
      </c>
      <c r="C57977" s="0" t="s">
        <v>4344</v>
      </c>
      <c r="D57977" s="0" t="s">
        <v>1205</v>
      </c>
      <c r="E57977" s="0" t="s">
        <v>1205</v>
      </c>
      <c r="F57977" s="0" t="s">
        <v>1205</v>
      </c>
    </row>
    <row r="57979" customFormat="false" ht="12.8" hidden="false" customHeight="false" outlineLevel="0" collapsed="false">
      <c r="A57979" s="0" t="s">
        <v>20076</v>
      </c>
      <c r="B57979" s="0" t="str">
        <f aca="false">HYPERLINK("https://lindat.mff.cuni.cz/services/teitok/pdtc10/index.php?action=vallex&amp;frame=v-w8150hsa_198", "vynechat (v-w8150hsa_198)")</f>
        <v>vynechat (v-w8150hsa_198)</v>
      </c>
    </row>
    <row r="57980" customFormat="false" ht="12.8" hidden="false" customHeight="false" outlineLevel="0" collapsed="false">
      <c r="B57980" s="0" t="s">
        <v>7</v>
      </c>
      <c r="D57980" s="0" t="s">
        <v>1637</v>
      </c>
      <c r="E57980" s="0" t="s">
        <v>1637</v>
      </c>
      <c r="F57980" s="0" t="s">
        <v>1637</v>
      </c>
    </row>
    <row r="57981" customFormat="false" ht="12.8" hidden="false" customHeight="false" outlineLevel="0" collapsed="false">
      <c r="B57981" s="0" t="s">
        <v>14</v>
      </c>
      <c r="D57981" s="0" t="s">
        <v>1205</v>
      </c>
      <c r="E57981" s="0" t="s">
        <v>1205</v>
      </c>
      <c r="F57981" s="0" t="s">
        <v>1205</v>
      </c>
    </row>
    <row r="57983" customFormat="false" ht="12.8" hidden="false" customHeight="false" outlineLevel="0" collapsed="false">
      <c r="A57983" s="0" t="s">
        <v>20077</v>
      </c>
      <c r="B57983" s="0" t="str">
        <f aca="false">HYPERLINK("https://lindat.mff.cuni.cz/services/teitok/pdtc10/index.php?action=vallex&amp;frame=v-w8151f1", "vynechávat (v-w8151f1)")</f>
        <v>vynechávat (v-w8151f1)</v>
      </c>
    </row>
    <row r="57984" customFormat="false" ht="12.8" hidden="false" customHeight="false" outlineLevel="0" collapsed="false">
      <c r="B57984" s="0" t="s">
        <v>7</v>
      </c>
      <c r="D57984" s="0" t="s">
        <v>1637</v>
      </c>
      <c r="E57984" s="0" t="s">
        <v>1637</v>
      </c>
      <c r="F57984" s="0" t="s">
        <v>1637</v>
      </c>
    </row>
    <row r="57985" customFormat="false" ht="12.8" hidden="false" customHeight="false" outlineLevel="0" collapsed="false">
      <c r="B57985" s="0" t="s">
        <v>14</v>
      </c>
      <c r="D57985" s="0" t="s">
        <v>1205</v>
      </c>
      <c r="E57985" s="0" t="s">
        <v>1205</v>
      </c>
      <c r="F57985" s="0" t="s">
        <v>1205</v>
      </c>
    </row>
    <row r="57987" customFormat="false" ht="12.8" hidden="false" customHeight="false" outlineLevel="0" collapsed="false">
      <c r="A57987" s="0" t="s">
        <v>20078</v>
      </c>
      <c r="B57987" s="0" t="str">
        <f aca="false">HYPERLINK("https://lindat.mff.cuni.cz/services/teitok/pdtc10/index.php?action=vallex&amp;frame=v-w8151f2_MM", "vynechávat (v-w8151f2_MM)")</f>
        <v>vynechávat (v-w8151f2_MM)</v>
      </c>
    </row>
    <row r="57988" customFormat="false" ht="12.8" hidden="false" customHeight="false" outlineLevel="0" collapsed="false">
      <c r="B57988" s="0" t="s">
        <v>7</v>
      </c>
    </row>
    <row r="57990" customFormat="false" ht="12.8" hidden="false" customHeight="false" outlineLevel="0" collapsed="false">
      <c r="A57990" s="0" t="s">
        <v>20079</v>
      </c>
      <c r="B57990" s="0" t="str">
        <f aca="false">HYPERLINK("https://lindat.mff.cuni.cz/services/teitok/pdtc10/index.php?action=vallex&amp;frame=v-w8154f1", "vynikat (v-w8154f1)")</f>
        <v>vynikat (v-w8154f1)</v>
      </c>
    </row>
    <row r="57991" customFormat="false" ht="12.8" hidden="false" customHeight="false" outlineLevel="0" collapsed="false">
      <c r="B57991" s="0" t="s">
        <v>7</v>
      </c>
    </row>
    <row r="57992" customFormat="false" ht="12.8" hidden="false" customHeight="false" outlineLevel="0" collapsed="false">
      <c r="B57992" s="0" t="s">
        <v>3620</v>
      </c>
    </row>
    <row r="57994" customFormat="false" ht="12.8" hidden="false" customHeight="false" outlineLevel="0" collapsed="false">
      <c r="A57994" s="0" t="s">
        <v>20080</v>
      </c>
      <c r="B57994" s="0" t="str">
        <f aca="false">HYPERLINK("https://lindat.mff.cuni.cz/services/teitok/pdtc10/index.php?action=vallex&amp;frame=v-w8155f1", "vyniknout (v-w8155f1)")</f>
        <v>vyniknout (v-w8155f1)</v>
      </c>
    </row>
    <row r="57995" customFormat="false" ht="12.8" hidden="false" customHeight="false" outlineLevel="0" collapsed="false">
      <c r="B57995" s="0" t="s">
        <v>7</v>
      </c>
      <c r="C57995" s="0" t="s">
        <v>200</v>
      </c>
    </row>
    <row r="57996" customFormat="false" ht="12.8" hidden="false" customHeight="false" outlineLevel="0" collapsed="false">
      <c r="B57996" s="0" t="s">
        <v>3620</v>
      </c>
    </row>
    <row r="57998" customFormat="false" ht="12.8" hidden="false" customHeight="false" outlineLevel="0" collapsed="false">
      <c r="A57998" s="0" t="s">
        <v>20081</v>
      </c>
      <c r="B57998" s="0" t="str">
        <f aca="false">HYPERLINK("https://lindat.mff.cuni.cz/services/teitok/pdtc10/index.php?action=vallex&amp;frame=v-whsa_1468hsa_1469", "vynosit (v-whsa_1468hsa_1469)")</f>
        <v>vynosit (v-whsa_1468hsa_1469)</v>
      </c>
    </row>
    <row r="57999" customFormat="false" ht="12.8" hidden="false" customHeight="false" outlineLevel="0" collapsed="false">
      <c r="B57999" s="0" t="s">
        <v>7</v>
      </c>
    </row>
    <row r="58000" customFormat="false" ht="12.8" hidden="false" customHeight="false" outlineLevel="0" collapsed="false">
      <c r="B58000" s="0" t="s">
        <v>14</v>
      </c>
    </row>
    <row r="58001" customFormat="false" ht="12.8" hidden="false" customHeight="false" outlineLevel="0" collapsed="false">
      <c r="B58001" s="0" t="s">
        <v>459</v>
      </c>
    </row>
    <row r="58003" customFormat="false" ht="12.8" hidden="false" customHeight="false" outlineLevel="0" collapsed="false">
      <c r="A58003" s="0" t="s">
        <v>20082</v>
      </c>
      <c r="B58003" s="0" t="str">
        <f aca="false">HYPERLINK("https://lindat.mff.cuni.cz/services/teitok/pdtc10/index.php?action=vallex&amp;frame=v-w8156f1", "vynořit se (v-w8156f1)")</f>
        <v>vynořit se (v-w8156f1)</v>
      </c>
    </row>
    <row r="58004" customFormat="false" ht="12.8" hidden="false" customHeight="false" outlineLevel="0" collapsed="false">
      <c r="B58004" s="0" t="s">
        <v>7</v>
      </c>
      <c r="C58004" s="0" t="s">
        <v>1154</v>
      </c>
    </row>
    <row r="58005" customFormat="false" ht="12.8" hidden="false" customHeight="false" outlineLevel="0" collapsed="false">
      <c r="B58005" s="0" t="s">
        <v>459</v>
      </c>
    </row>
    <row r="58007" customFormat="false" ht="12.8" hidden="false" customHeight="false" outlineLevel="0" collapsed="false">
      <c r="A58007" s="0" t="s">
        <v>20083</v>
      </c>
      <c r="B58007" s="0" t="str">
        <f aca="false">HYPERLINK("https://lindat.mff.cuni.cz/services/teitok/pdtc10/index.php?action=vallex&amp;frame=v-w8156f2", "vynořit se (v-w8156f2)")</f>
        <v>vynořit se (v-w8156f2)</v>
      </c>
    </row>
    <row r="58008" customFormat="false" ht="12.8" hidden="false" customHeight="false" outlineLevel="0" collapsed="false">
      <c r="B58008" s="0" t="s">
        <v>7</v>
      </c>
      <c r="C58008" s="0" t="s">
        <v>20084</v>
      </c>
      <c r="D58008" s="0" t="s">
        <v>1715</v>
      </c>
      <c r="E58008" s="0" t="s">
        <v>1715</v>
      </c>
      <c r="F58008" s="0" t="s">
        <v>1715</v>
      </c>
    </row>
    <row r="58010" customFormat="false" ht="12.8" hidden="false" customHeight="false" outlineLevel="0" collapsed="false">
      <c r="A58010" s="0" t="s">
        <v>20085</v>
      </c>
      <c r="B58010" s="0" t="str">
        <f aca="false">HYPERLINK("https://lindat.mff.cuni.cz/services/teitok/pdtc10/index.php?action=vallex&amp;frame=v-w8156f3_MM", "vynořit se (v-w8156f3_MM)")</f>
        <v>vynořit se (v-w8156f3_MM)</v>
      </c>
    </row>
    <row r="58011" customFormat="false" ht="12.8" hidden="false" customHeight="false" outlineLevel="0" collapsed="false">
      <c r="B58011" s="0" t="s">
        <v>7</v>
      </c>
    </row>
    <row r="58012" customFormat="false" ht="12.8" hidden="false" customHeight="false" outlineLevel="0" collapsed="false">
      <c r="B58012" s="0" t="s">
        <v>459</v>
      </c>
    </row>
    <row r="58014" customFormat="false" ht="12.8" hidden="false" customHeight="false" outlineLevel="0" collapsed="false">
      <c r="A58014" s="0" t="s">
        <v>20086</v>
      </c>
      <c r="B58014" s="0" t="str">
        <f aca="false">HYPERLINK("https://lindat.mff.cuni.cz/services/teitok/pdtc10/index.php?action=vallex&amp;frame=v-w8157f1", "vynořovat se (v-w8157f1)")</f>
        <v>vynořovat se (v-w8157f1)</v>
      </c>
    </row>
    <row r="58015" customFormat="false" ht="12.8" hidden="false" customHeight="false" outlineLevel="0" collapsed="false">
      <c r="B58015" s="0" t="s">
        <v>7</v>
      </c>
    </row>
    <row r="58016" customFormat="false" ht="12.8" hidden="false" customHeight="false" outlineLevel="0" collapsed="false">
      <c r="B58016" s="0" t="s">
        <v>459</v>
      </c>
    </row>
    <row r="58018" customFormat="false" ht="12.8" hidden="false" customHeight="false" outlineLevel="0" collapsed="false">
      <c r="A58018" s="0" t="s">
        <v>20087</v>
      </c>
      <c r="B58018" s="0" t="str">
        <f aca="false">HYPERLINK("https://lindat.mff.cuni.cz/services/teitok/pdtc10/index.php?action=vallex&amp;frame=v-w8157f2", "vynořovat se (v-w8157f2)")</f>
        <v>vynořovat se (v-w8157f2)</v>
      </c>
    </row>
    <row r="58019" customFormat="false" ht="12.8" hidden="false" customHeight="false" outlineLevel="0" collapsed="false">
      <c r="B58019" s="0" t="s">
        <v>7</v>
      </c>
      <c r="C58019" s="0" t="s">
        <v>6910</v>
      </c>
      <c r="D58019" s="0" t="s">
        <v>1715</v>
      </c>
      <c r="E58019" s="0" t="s">
        <v>1715</v>
      </c>
      <c r="F58019" s="0" t="s">
        <v>1715</v>
      </c>
    </row>
    <row r="58021" customFormat="false" ht="12.8" hidden="false" customHeight="false" outlineLevel="0" collapsed="false">
      <c r="A58021" s="0" t="s">
        <v>20088</v>
      </c>
      <c r="B58021" s="0" t="str">
        <f aca="false">HYPERLINK("https://lindat.mff.cuni.cz/services/teitok/pdtc10/index.php?action=vallex&amp;frame=v-w8160f1", "vynucovat (v-w8160f1)")</f>
        <v>vynucovat (v-w8160f1)</v>
      </c>
    </row>
    <row r="58022" customFormat="false" ht="12.8" hidden="false" customHeight="false" outlineLevel="0" collapsed="false">
      <c r="B58022" s="0" t="s">
        <v>7</v>
      </c>
      <c r="C58022" s="0" t="s">
        <v>335</v>
      </c>
      <c r="D58022" s="0" t="s">
        <v>1243</v>
      </c>
      <c r="E58022" s="0" t="s">
        <v>1243</v>
      </c>
      <c r="F58022" s="0" t="s">
        <v>1243</v>
      </c>
    </row>
    <row r="58023" customFormat="false" ht="12.8" hidden="false" customHeight="false" outlineLevel="0" collapsed="false">
      <c r="B58023" s="0" t="s">
        <v>14</v>
      </c>
      <c r="C58023" s="0" t="s">
        <v>625</v>
      </c>
      <c r="D58023" s="0" t="s">
        <v>1246</v>
      </c>
      <c r="E58023" s="0" t="s">
        <v>1246</v>
      </c>
      <c r="F58023" s="0" t="s">
        <v>1246</v>
      </c>
    </row>
    <row r="58024" customFormat="false" ht="12.8" hidden="false" customHeight="false" outlineLevel="0" collapsed="false">
      <c r="B58024" s="0" t="s">
        <v>586</v>
      </c>
      <c r="C58024" s="0" t="s">
        <v>18681</v>
      </c>
      <c r="D58024" s="0" t="s">
        <v>1248</v>
      </c>
      <c r="E58024" s="0" t="s">
        <v>1248</v>
      </c>
      <c r="F58024" s="0" t="s">
        <v>1248</v>
      </c>
    </row>
    <row r="58026" customFormat="false" ht="12.8" hidden="false" customHeight="false" outlineLevel="0" collapsed="false">
      <c r="A58026" s="0" t="s">
        <v>20089</v>
      </c>
      <c r="B58026" s="0" t="str">
        <f aca="false">HYPERLINK("https://lindat.mff.cuni.cz/services/teitok/pdtc10/index.php?action=vallex&amp;frame=v-w8161f2_ZU", "vynucovat si (v-w8161f2_ZU)")</f>
        <v>vynucovat si (v-w8161f2_ZU)</v>
      </c>
    </row>
    <row r="58027" customFormat="false" ht="12.8" hidden="false" customHeight="false" outlineLevel="0" collapsed="false">
      <c r="B58027" s="0" t="s">
        <v>7</v>
      </c>
    </row>
    <row r="58028" customFormat="false" ht="12.8" hidden="false" customHeight="false" outlineLevel="0" collapsed="false">
      <c r="B58028" s="0" t="s">
        <v>54</v>
      </c>
    </row>
    <row r="58029" customFormat="false" ht="12.8" hidden="false" customHeight="false" outlineLevel="0" collapsed="false">
      <c r="B58029" s="0" t="s">
        <v>19918</v>
      </c>
    </row>
    <row r="58031" customFormat="false" ht="12.8" hidden="false" customHeight="false" outlineLevel="0" collapsed="false">
      <c r="A58031" s="0" t="s">
        <v>20089</v>
      </c>
      <c r="B58031" s="0" t="str">
        <f aca="false">HYPERLINK("https://lindat.mff.cuni.cz/services/teitok/pdtc10/index.php?action=vallex&amp;frame=v-w8161f1", "vynucovat si (v-w8161f1) - substituted with v-w8161f2_ZU")</f>
        <v>vynucovat si (v-w8161f1) - substituted with v-w8161f2_ZU</v>
      </c>
    </row>
    <row r="58032" customFormat="false" ht="12.8" hidden="false" customHeight="false" outlineLevel="0" collapsed="false">
      <c r="B58032" s="0" t="s">
        <v>7</v>
      </c>
      <c r="C58032" s="0" t="s">
        <v>335</v>
      </c>
      <c r="D58032" s="0" t="s">
        <v>1243</v>
      </c>
      <c r="E58032" s="0" t="s">
        <v>1243</v>
      </c>
      <c r="F58032" s="0" t="s">
        <v>1243</v>
      </c>
    </row>
    <row r="58033" customFormat="false" ht="12.8" hidden="false" customHeight="false" outlineLevel="0" collapsed="false">
      <c r="B58033" s="0" t="s">
        <v>54</v>
      </c>
      <c r="C58033" s="0" t="s">
        <v>625</v>
      </c>
      <c r="D58033" s="0" t="s">
        <v>1246</v>
      </c>
      <c r="E58033" s="0" t="s">
        <v>1246</v>
      </c>
      <c r="F58033" s="0" t="s">
        <v>1246</v>
      </c>
    </row>
    <row r="58034" customFormat="false" ht="12.8" hidden="false" customHeight="false" outlineLevel="0" collapsed="false">
      <c r="B58034" s="0" t="s">
        <v>19918</v>
      </c>
      <c r="C58034" s="0" t="s">
        <v>18681</v>
      </c>
      <c r="D58034" s="0" t="s">
        <v>1248</v>
      </c>
      <c r="E58034" s="0" t="s">
        <v>1248</v>
      </c>
      <c r="F58034" s="0" t="s">
        <v>1248</v>
      </c>
    </row>
    <row r="58036" customFormat="false" ht="12.8" hidden="false" customHeight="false" outlineLevel="0" collapsed="false">
      <c r="A58036" s="0" t="s">
        <v>20090</v>
      </c>
      <c r="B58036" s="0" t="str">
        <f aca="false">HYPERLINK("https://lindat.mff.cuni.cz/services/teitok/pdtc10/index.php?action=vallex&amp;frame=v-w8162f3_ZU", "vynulovat (v-w8162f3_ZU)")</f>
        <v>vynulovat (v-w8162f3_ZU)</v>
      </c>
    </row>
    <row r="58037" customFormat="false" ht="12.8" hidden="false" customHeight="false" outlineLevel="0" collapsed="false">
      <c r="B58037" s="0" t="s">
        <v>7</v>
      </c>
    </row>
    <row r="58038" customFormat="false" ht="12.8" hidden="false" customHeight="false" outlineLevel="0" collapsed="false">
      <c r="B58038" s="0" t="s">
        <v>14</v>
      </c>
    </row>
    <row r="58039" customFormat="false" ht="12.8" hidden="false" customHeight="false" outlineLevel="0" collapsed="false">
      <c r="B58039" s="0" t="s">
        <v>84</v>
      </c>
    </row>
    <row r="58041" customFormat="false" ht="12.8" hidden="false" customHeight="false" outlineLevel="0" collapsed="false">
      <c r="A58041" s="0" t="s">
        <v>20090</v>
      </c>
      <c r="B58041" s="0" t="str">
        <f aca="false">HYPERLINK("https://lindat.mff.cuni.cz/services/teitok/pdtc10/index.php?action=vallex&amp;frame=v-w8162f1", "vynulovat (v-w8162f1) - substituted with v-w8162f3_ZU")</f>
        <v>vynulovat (v-w8162f1) - substituted with v-w8162f3_ZU</v>
      </c>
    </row>
    <row r="58042" customFormat="false" ht="12.8" hidden="false" customHeight="false" outlineLevel="0" collapsed="false">
      <c r="B58042" s="0" t="s">
        <v>7</v>
      </c>
    </row>
    <row r="58043" customFormat="false" ht="12.8" hidden="false" customHeight="false" outlineLevel="0" collapsed="false">
      <c r="B58043" s="0" t="s">
        <v>14</v>
      </c>
    </row>
    <row r="58044" customFormat="false" ht="12.8" hidden="false" customHeight="false" outlineLevel="0" collapsed="false">
      <c r="B58044" s="0" t="s">
        <v>84</v>
      </c>
    </row>
    <row r="58046" customFormat="false" ht="12.8" hidden="false" customHeight="false" outlineLevel="0" collapsed="false">
      <c r="A58046" s="0" t="s">
        <v>20090</v>
      </c>
      <c r="B58046" s="0" t="str">
        <f aca="false">HYPERLINK("https://lindat.mff.cuni.cz/services/teitok/pdtc10/index.php?action=vallex&amp;frame=v-w8162f2_ZU", "vynulovat (v-w8162f2_ZU) - substituted with v-w8162f3_ZU")</f>
        <v>vynulovat (v-w8162f2_ZU) - substituted with v-w8162f3_ZU</v>
      </c>
    </row>
    <row r="58047" customFormat="false" ht="12.8" hidden="false" customHeight="false" outlineLevel="0" collapsed="false">
      <c r="B58047" s="0" t="s">
        <v>7</v>
      </c>
    </row>
    <row r="58048" customFormat="false" ht="12.8" hidden="false" customHeight="false" outlineLevel="0" collapsed="false">
      <c r="B58048" s="0" t="s">
        <v>14</v>
      </c>
    </row>
    <row r="58049" customFormat="false" ht="12.8" hidden="false" customHeight="false" outlineLevel="0" collapsed="false">
      <c r="B58049" s="0" t="s">
        <v>84</v>
      </c>
    </row>
    <row r="58051" customFormat="false" ht="12.8" hidden="false" customHeight="false" outlineLevel="0" collapsed="false">
      <c r="A58051" s="0" t="s">
        <v>20090</v>
      </c>
      <c r="B58051" s="0" t="str">
        <f aca="false">HYPERLINK("https://lindat.mff.cuni.cz/services/teitok/pdtc10/index.php?action=vallex&amp;frame=v-w8162hsa_28", "vynulovat (v-w8162hsa_28) - substituted with v-w8162f3_ZU")</f>
        <v>vynulovat (v-w8162hsa_28) - substituted with v-w8162f3_ZU</v>
      </c>
    </row>
    <row r="58052" customFormat="false" ht="12.8" hidden="false" customHeight="false" outlineLevel="0" collapsed="false">
      <c r="B58052" s="0" t="s">
        <v>7</v>
      </c>
    </row>
    <row r="58053" customFormat="false" ht="12.8" hidden="false" customHeight="false" outlineLevel="0" collapsed="false">
      <c r="B58053" s="0" t="s">
        <v>14</v>
      </c>
    </row>
    <row r="58054" customFormat="false" ht="12.8" hidden="false" customHeight="false" outlineLevel="0" collapsed="false">
      <c r="B58054" s="0" t="s">
        <v>84</v>
      </c>
    </row>
    <row r="58056" customFormat="false" ht="12.8" hidden="false" customHeight="false" outlineLevel="0" collapsed="false">
      <c r="A58056" s="0" t="s">
        <v>20091</v>
      </c>
      <c r="B58056" s="0" t="str">
        <f aca="false">HYPERLINK("https://lindat.mff.cuni.cz/services/teitok/pdtc10/index.php?action=vallex&amp;frame=v-w8163f1", "vynutit (v-w8163f1)")</f>
        <v>vynutit (v-w8163f1)</v>
      </c>
    </row>
    <row r="58057" customFormat="false" ht="12.8" hidden="false" customHeight="false" outlineLevel="0" collapsed="false">
      <c r="B58057" s="0" t="s">
        <v>7</v>
      </c>
      <c r="C58057" s="0" t="s">
        <v>108</v>
      </c>
    </row>
    <row r="58058" customFormat="false" ht="12.8" hidden="false" customHeight="false" outlineLevel="0" collapsed="false">
      <c r="B58058" s="0" t="s">
        <v>14</v>
      </c>
      <c r="C58058" s="0" t="s">
        <v>2887</v>
      </c>
    </row>
    <row r="58059" customFormat="false" ht="12.8" hidden="false" customHeight="false" outlineLevel="0" collapsed="false">
      <c r="B58059" s="0" t="s">
        <v>586</v>
      </c>
    </row>
    <row r="58061" customFormat="false" ht="12.8" hidden="false" customHeight="false" outlineLevel="0" collapsed="false">
      <c r="A58061" s="0" t="s">
        <v>20092</v>
      </c>
      <c r="B58061" s="0" t="str">
        <f aca="false">HYPERLINK("https://lindat.mff.cuni.cz/services/teitok/pdtc10/index.php?action=vallex&amp;frame=v-w8164hsa_740", "vynutit si (v-w8164hsa_740)")</f>
        <v>vynutit si (v-w8164hsa_740)</v>
      </c>
    </row>
    <row r="58062" customFormat="false" ht="12.8" hidden="false" customHeight="false" outlineLevel="0" collapsed="false">
      <c r="B58062" s="0" t="s">
        <v>7</v>
      </c>
    </row>
    <row r="58063" customFormat="false" ht="12.8" hidden="false" customHeight="false" outlineLevel="0" collapsed="false">
      <c r="B58063" s="0" t="s">
        <v>54</v>
      </c>
    </row>
    <row r="58064" customFormat="false" ht="12.8" hidden="false" customHeight="false" outlineLevel="0" collapsed="false">
      <c r="B58064" s="0" t="s">
        <v>1668</v>
      </c>
    </row>
    <row r="58066" customFormat="false" ht="12.8" hidden="false" customHeight="false" outlineLevel="0" collapsed="false">
      <c r="A58066" s="0" t="s">
        <v>20092</v>
      </c>
      <c r="B58066" s="0" t="str">
        <f aca="false">HYPERLINK("https://lindat.mff.cuni.cz/services/teitok/pdtc10/index.php?action=vallex&amp;frame=v-w8164f1", "vynutit si (v-w8164f1) - substituted with v-w8164hsa_740")</f>
        <v>vynutit si (v-w8164f1) - substituted with v-w8164hsa_740</v>
      </c>
    </row>
    <row r="58067" customFormat="false" ht="12.8" hidden="false" customHeight="false" outlineLevel="0" collapsed="false">
      <c r="B58067" s="0" t="s">
        <v>7</v>
      </c>
      <c r="C58067" s="0" t="s">
        <v>2656</v>
      </c>
    </row>
    <row r="58068" customFormat="false" ht="12.8" hidden="false" customHeight="false" outlineLevel="0" collapsed="false">
      <c r="B58068" s="0" t="s">
        <v>54</v>
      </c>
      <c r="C58068" s="0" t="s">
        <v>20093</v>
      </c>
    </row>
    <row r="58069" customFormat="false" ht="12.8" hidden="false" customHeight="false" outlineLevel="0" collapsed="false">
      <c r="B58069" s="0" t="s">
        <v>1668</v>
      </c>
    </row>
    <row r="58071" customFormat="false" ht="12.8" hidden="false" customHeight="false" outlineLevel="0" collapsed="false">
      <c r="A58071" s="0" t="s">
        <v>20094</v>
      </c>
      <c r="B58071" s="0" t="str">
        <f aca="false">HYPERLINK("https://lindat.mff.cuni.cz/services/teitok/pdtc10/index.php?action=vallex&amp;frame=v-w10435f2", "vynásobit (v-w10435f2)")</f>
        <v>vynásobit (v-w10435f2)</v>
      </c>
    </row>
    <row r="58072" customFormat="false" ht="12.8" hidden="false" customHeight="false" outlineLevel="0" collapsed="false">
      <c r="B58072" s="0" t="s">
        <v>7</v>
      </c>
    </row>
    <row r="58073" customFormat="false" ht="12.8" hidden="false" customHeight="false" outlineLevel="0" collapsed="false">
      <c r="B58073" s="0" t="s">
        <v>14</v>
      </c>
    </row>
    <row r="58075" customFormat="false" ht="12.8" hidden="false" customHeight="false" outlineLevel="0" collapsed="false">
      <c r="A58075" s="0" t="s">
        <v>20095</v>
      </c>
      <c r="B58075" s="0" t="str">
        <f aca="false">HYPERLINK("https://lindat.mff.cuni.cz/services/teitok/pdtc10/index.php?action=vallex&amp;frame=v-w10213f3", "vynášet (v-w10213f3)")</f>
        <v>vynášet (v-w10213f3)</v>
      </c>
    </row>
    <row r="58076" customFormat="false" ht="12.8" hidden="false" customHeight="false" outlineLevel="0" collapsed="false">
      <c r="B58076" s="0" t="s">
        <v>7</v>
      </c>
      <c r="C58076" s="0" t="s">
        <v>20096</v>
      </c>
      <c r="D58076" s="0" t="s">
        <v>3728</v>
      </c>
      <c r="E58076" s="0" t="s">
        <v>3728</v>
      </c>
      <c r="F58076" s="0" t="s">
        <v>3728</v>
      </c>
    </row>
    <row r="58077" customFormat="false" ht="12.8" hidden="false" customHeight="false" outlineLevel="0" collapsed="false">
      <c r="B58077" s="0" t="s">
        <v>54</v>
      </c>
      <c r="C58077" s="0" t="s">
        <v>20097</v>
      </c>
      <c r="D58077" s="0" t="s">
        <v>3729</v>
      </c>
      <c r="E58077" s="0" t="s">
        <v>3729</v>
      </c>
      <c r="F58077" s="0" t="s">
        <v>3729</v>
      </c>
    </row>
    <row r="58078" customFormat="false" ht="12.8" hidden="false" customHeight="false" outlineLevel="0" collapsed="false">
      <c r="B58078" s="0" t="s">
        <v>48</v>
      </c>
      <c r="C58078" s="0" t="s">
        <v>1843</v>
      </c>
      <c r="D58078" s="0" t="s">
        <v>13912</v>
      </c>
      <c r="E58078" s="0" t="s">
        <v>13912</v>
      </c>
      <c r="F58078" s="0" t="s">
        <v>13912</v>
      </c>
    </row>
    <row r="58080" customFormat="false" ht="12.8" hidden="false" customHeight="false" outlineLevel="0" collapsed="false">
      <c r="A58080" s="0" t="s">
        <v>20098</v>
      </c>
      <c r="B58080" s="0" t="str">
        <f aca="false">HYPERLINK("https://lindat.mff.cuni.cz/services/teitok/pdtc10/index.php?action=vallex&amp;frame=v-w10213f5", "vynášet (v-w10213f5)")</f>
        <v>vynášet (v-w10213f5)</v>
      </c>
    </row>
    <row r="58081" customFormat="false" ht="12.8" hidden="false" customHeight="false" outlineLevel="0" collapsed="false">
      <c r="B58081" s="0" t="s">
        <v>7</v>
      </c>
      <c r="C58081" s="0" t="s">
        <v>31</v>
      </c>
      <c r="D58081" s="0" t="s">
        <v>46</v>
      </c>
      <c r="E58081" s="0" t="s">
        <v>46</v>
      </c>
      <c r="F58081" s="0" t="s">
        <v>46</v>
      </c>
    </row>
    <row r="58082" customFormat="false" ht="12.8" hidden="false" customHeight="false" outlineLevel="0" collapsed="false">
      <c r="B58082" s="0" t="s">
        <v>14</v>
      </c>
      <c r="C58082" s="0" t="s">
        <v>33</v>
      </c>
      <c r="D58082" s="0" t="s">
        <v>384</v>
      </c>
      <c r="E58082" s="0" t="s">
        <v>384</v>
      </c>
      <c r="F58082" s="0" t="s">
        <v>384</v>
      </c>
    </row>
    <row r="58083" customFormat="false" ht="12.8" hidden="false" customHeight="false" outlineLevel="0" collapsed="false">
      <c r="B58083" s="0" t="s">
        <v>459</v>
      </c>
    </row>
    <row r="58085" customFormat="false" ht="12.8" hidden="false" customHeight="false" outlineLevel="0" collapsed="false">
      <c r="A58085" s="0" t="s">
        <v>20099</v>
      </c>
      <c r="B58085" s="0" t="str">
        <f aca="false">HYPERLINK("https://lindat.mff.cuni.cz/services/teitok/pdtc10/index.php?action=vallex&amp;frame=v-w10213f2", "vynášet (v-w10213f2)")</f>
        <v>vynášet (v-w10213f2)</v>
      </c>
    </row>
    <row r="58086" customFormat="false" ht="12.8" hidden="false" customHeight="false" outlineLevel="0" collapsed="false">
      <c r="B58086" s="0" t="s">
        <v>7</v>
      </c>
    </row>
    <row r="58087" customFormat="false" ht="12.8" hidden="false" customHeight="false" outlineLevel="0" collapsed="false">
      <c r="B58087" s="0" t="s">
        <v>172</v>
      </c>
    </row>
    <row r="58089" customFormat="false" ht="12.8" hidden="false" customHeight="false" outlineLevel="0" collapsed="false">
      <c r="A58089" s="0" t="s">
        <v>20100</v>
      </c>
      <c r="B58089" s="0" t="str">
        <f aca="false">HYPERLINK("https://lindat.mff.cuni.cz/services/teitok/pdtc10/index.php?action=vallex&amp;frame=v-w10213f4", "vynášet (v-w10213f4)")</f>
        <v>vynášet (v-w10213f4)</v>
      </c>
    </row>
    <row r="58090" customFormat="false" ht="12.8" hidden="false" customHeight="false" outlineLevel="0" collapsed="false">
      <c r="B58090" s="0" t="s">
        <v>7</v>
      </c>
    </row>
    <row r="58091" customFormat="false" ht="12.8" hidden="false" customHeight="false" outlineLevel="0" collapsed="false">
      <c r="B58091" s="0" t="s">
        <v>48</v>
      </c>
    </row>
    <row r="58092" customFormat="false" ht="12.8" hidden="false" customHeight="false" outlineLevel="0" collapsed="false">
      <c r="B58092" s="0" t="s">
        <v>12381</v>
      </c>
    </row>
    <row r="58093" customFormat="false" ht="12.8" hidden="false" customHeight="false" outlineLevel="0" collapsed="false">
      <c r="B58093" s="0" t="s">
        <v>63</v>
      </c>
    </row>
    <row r="58095" customFormat="false" ht="12.8" hidden="false" customHeight="false" outlineLevel="0" collapsed="false">
      <c r="A58095" s="0" t="s">
        <v>20101</v>
      </c>
      <c r="B58095" s="0" t="str">
        <f aca="false">HYPERLINK("https://lindat.mff.cuni.cz/services/teitok/pdtc10/index.php?action=vallex&amp;frame=v-w10213f6_ZU", "vynášet (v-w10213f6_ZU)")</f>
        <v>vynášet (v-w10213f6_ZU)</v>
      </c>
    </row>
    <row r="58096" customFormat="false" ht="12.8" hidden="false" customHeight="false" outlineLevel="0" collapsed="false">
      <c r="B58096" s="0" t="s">
        <v>7</v>
      </c>
    </row>
    <row r="58097" customFormat="false" ht="12.8" hidden="false" customHeight="false" outlineLevel="0" collapsed="false">
      <c r="B58097" s="0" t="s">
        <v>19719</v>
      </c>
    </row>
    <row r="58098" customFormat="false" ht="12.8" hidden="false" customHeight="false" outlineLevel="0" collapsed="false">
      <c r="B58098" s="0" t="s">
        <v>14</v>
      </c>
    </row>
    <row r="58100" customFormat="false" ht="12.8" hidden="false" customHeight="false" outlineLevel="0" collapsed="false">
      <c r="A58100" s="0" t="s">
        <v>20101</v>
      </c>
      <c r="B58100" s="0" t="str">
        <f aca="false">HYPERLINK("https://lindat.mff.cuni.cz/services/teitok/pdtc10/index.php?action=vallex&amp;frame=v-w10213hsa_515", "vynášet (v-w10213hsa_515) - substituted with v-w10213f6_ZU")</f>
        <v>vynášet (v-w10213hsa_515) - substituted with v-w10213f6_ZU</v>
      </c>
    </row>
    <row r="58101" customFormat="false" ht="12.8" hidden="false" customHeight="false" outlineLevel="0" collapsed="false">
      <c r="B58101" s="0" t="s">
        <v>7</v>
      </c>
    </row>
    <row r="58102" customFormat="false" ht="12.8" hidden="false" customHeight="false" outlineLevel="0" collapsed="false">
      <c r="B58102" s="0" t="s">
        <v>19719</v>
      </c>
    </row>
    <row r="58103" customFormat="false" ht="12.8" hidden="false" customHeight="false" outlineLevel="0" collapsed="false">
      <c r="B58103" s="0" t="s">
        <v>14</v>
      </c>
    </row>
    <row r="58105" customFormat="false" ht="12.8" hidden="false" customHeight="false" outlineLevel="0" collapsed="false">
      <c r="A58105" s="0" t="s">
        <v>20102</v>
      </c>
      <c r="B58105" s="0" t="str">
        <f aca="false">HYPERLINK("https://lindat.mff.cuni.cz/services/teitok/pdtc10/index.php?action=vallex&amp;frame=v-w8153f4", "vynést (v-w8153f4)")</f>
        <v>vynést (v-w8153f4)</v>
      </c>
    </row>
    <row r="58106" customFormat="false" ht="12.8" hidden="false" customHeight="false" outlineLevel="0" collapsed="false">
      <c r="B58106" s="0" t="s">
        <v>7</v>
      </c>
    </row>
    <row r="58107" customFormat="false" ht="12.8" hidden="false" customHeight="false" outlineLevel="0" collapsed="false">
      <c r="B58107" s="0" t="s">
        <v>14</v>
      </c>
    </row>
    <row r="58108" customFormat="false" ht="12.8" hidden="false" customHeight="false" outlineLevel="0" collapsed="false">
      <c r="B58108" s="0" t="s">
        <v>459</v>
      </c>
    </row>
    <row r="58110" customFormat="false" ht="12.8" hidden="false" customHeight="false" outlineLevel="0" collapsed="false">
      <c r="A58110" s="0" t="s">
        <v>20103</v>
      </c>
      <c r="B58110" s="0" t="str">
        <f aca="false">HYPERLINK("https://lindat.mff.cuni.cz/services/teitok/pdtc10/index.php?action=vallex&amp;frame=v-w8153f3", "vynést (v-w8153f3)")</f>
        <v>vynést (v-w8153f3)</v>
      </c>
    </row>
    <row r="58111" customFormat="false" ht="12.8" hidden="false" customHeight="false" outlineLevel="0" collapsed="false">
      <c r="B58111" s="0" t="s">
        <v>7</v>
      </c>
      <c r="C58111" s="0" t="s">
        <v>20104</v>
      </c>
      <c r="D58111" s="0" t="s">
        <v>3844</v>
      </c>
      <c r="E58111" s="0" t="s">
        <v>3844</v>
      </c>
      <c r="F58111" s="0" t="s">
        <v>3844</v>
      </c>
    </row>
    <row r="58112" customFormat="false" ht="12.8" hidden="false" customHeight="false" outlineLevel="0" collapsed="false">
      <c r="B58112" s="0" t="s">
        <v>14</v>
      </c>
      <c r="C58112" s="0" t="s">
        <v>20105</v>
      </c>
      <c r="D58112" s="0" t="s">
        <v>312</v>
      </c>
      <c r="E58112" s="0" t="s">
        <v>312</v>
      </c>
      <c r="F58112" s="0" t="s">
        <v>312</v>
      </c>
    </row>
    <row r="58113" customFormat="false" ht="12.8" hidden="false" customHeight="false" outlineLevel="0" collapsed="false">
      <c r="B58113" s="0" t="s">
        <v>124</v>
      </c>
      <c r="C58113" s="0" t="s">
        <v>20106</v>
      </c>
    </row>
    <row r="58115" customFormat="false" ht="12.8" hidden="false" customHeight="false" outlineLevel="0" collapsed="false">
      <c r="A58115" s="0" t="s">
        <v>20107</v>
      </c>
      <c r="B58115" s="0" t="str">
        <f aca="false">HYPERLINK("https://lindat.mff.cuni.cz/services/teitok/pdtc10/index.php?action=vallex&amp;frame=v-w8153f1", "vynést (v-w8153f1)")</f>
        <v>vynést (v-w8153f1)</v>
      </c>
    </row>
    <row r="58116" customFormat="false" ht="12.8" hidden="false" customHeight="false" outlineLevel="0" collapsed="false">
      <c r="B58116" s="0" t="s">
        <v>7</v>
      </c>
      <c r="C58116" s="0" t="s">
        <v>20108</v>
      </c>
      <c r="D58116" s="0" t="s">
        <v>3728</v>
      </c>
      <c r="E58116" s="0" t="s">
        <v>3728</v>
      </c>
      <c r="F58116" s="0" t="s">
        <v>3728</v>
      </c>
    </row>
    <row r="58117" customFormat="false" ht="12.8" hidden="false" customHeight="false" outlineLevel="0" collapsed="false">
      <c r="B58117" s="0" t="s">
        <v>14</v>
      </c>
      <c r="C58117" s="0" t="s">
        <v>20109</v>
      </c>
      <c r="D58117" s="0" t="s">
        <v>3729</v>
      </c>
      <c r="E58117" s="0" t="s">
        <v>3729</v>
      </c>
      <c r="F58117" s="0" t="s">
        <v>3729</v>
      </c>
    </row>
    <row r="58119" customFormat="false" ht="12.8" hidden="false" customHeight="false" outlineLevel="0" collapsed="false">
      <c r="A58119" s="0" t="s">
        <v>20110</v>
      </c>
      <c r="B58119" s="0" t="str">
        <f aca="false">HYPERLINK("https://lindat.mff.cuni.cz/services/teitok/pdtc10/index.php?action=vallex&amp;frame=v-w8153f5", "vynést (v-w8153f5)")</f>
        <v>vynést (v-w8153f5)</v>
      </c>
    </row>
    <row r="58120" customFormat="false" ht="12.8" hidden="false" customHeight="false" outlineLevel="0" collapsed="false">
      <c r="B58120" s="0" t="s">
        <v>7</v>
      </c>
    </row>
    <row r="58121" customFormat="false" ht="12.8" hidden="false" customHeight="false" outlineLevel="0" collapsed="false">
      <c r="B58121" s="0" t="s">
        <v>14</v>
      </c>
    </row>
    <row r="58123" customFormat="false" ht="12.8" hidden="false" customHeight="false" outlineLevel="0" collapsed="false">
      <c r="A58123" s="0" t="s">
        <v>20111</v>
      </c>
      <c r="B58123" s="0" t="str">
        <f aca="false">HYPERLINK("https://lindat.mff.cuni.cz/services/teitok/pdtc10/index.php?action=vallex&amp;frame=v-w8153f6_ZU", "vynést (v-w8153f6_ZU)")</f>
        <v>vynést (v-w8153f6_ZU)</v>
      </c>
    </row>
    <row r="58124" customFormat="false" ht="12.8" hidden="false" customHeight="false" outlineLevel="0" collapsed="false">
      <c r="B58124" s="0" t="s">
        <v>7</v>
      </c>
      <c r="C58124" s="0" t="s">
        <v>20112</v>
      </c>
      <c r="D58124" s="0" t="s">
        <v>3728</v>
      </c>
      <c r="E58124" s="0" t="s">
        <v>3728</v>
      </c>
      <c r="F58124" s="0" t="s">
        <v>3728</v>
      </c>
    </row>
    <row r="58125" customFormat="false" ht="12.8" hidden="false" customHeight="false" outlineLevel="0" collapsed="false">
      <c r="B58125" s="0" t="s">
        <v>19389</v>
      </c>
      <c r="C58125" s="0" t="s">
        <v>20113</v>
      </c>
      <c r="D58125" s="0" t="s">
        <v>20114</v>
      </c>
      <c r="E58125" s="0" t="s">
        <v>20114</v>
      </c>
      <c r="F58125" s="0" t="s">
        <v>20114</v>
      </c>
    </row>
    <row r="58127" customFormat="false" ht="12.8" hidden="false" customHeight="false" outlineLevel="0" collapsed="false">
      <c r="A58127" s="0" t="s">
        <v>20115</v>
      </c>
      <c r="B58127" s="0" t="str">
        <f aca="false">HYPERLINK("https://lindat.mff.cuni.cz/services/teitok/pdtc10/index.php?action=vallex&amp;frame=v-w8153f7_ZU", "vynést (v-w8153f7_ZU)")</f>
        <v>vynést (v-w8153f7_ZU)</v>
      </c>
    </row>
    <row r="58128" customFormat="false" ht="12.8" hidden="false" customHeight="false" outlineLevel="0" collapsed="false">
      <c r="B58128" s="0" t="s">
        <v>7</v>
      </c>
      <c r="C58128" s="0" t="s">
        <v>20116</v>
      </c>
      <c r="D58128" s="0" t="s">
        <v>20117</v>
      </c>
      <c r="E58128" s="0" t="s">
        <v>20117</v>
      </c>
      <c r="F58128" s="0" t="s">
        <v>20117</v>
      </c>
    </row>
    <row r="58129" customFormat="false" ht="12.8" hidden="false" customHeight="false" outlineLevel="0" collapsed="false">
      <c r="B58129" s="0" t="s">
        <v>20118</v>
      </c>
      <c r="C58129" s="0" t="s">
        <v>20119</v>
      </c>
      <c r="D58129" s="0" t="s">
        <v>3478</v>
      </c>
      <c r="E58129" s="0" t="s">
        <v>3478</v>
      </c>
      <c r="F58129" s="0" t="s">
        <v>3478</v>
      </c>
    </row>
    <row r="58131" customFormat="false" ht="12.8" hidden="false" customHeight="false" outlineLevel="0" collapsed="false">
      <c r="A58131" s="0" t="s">
        <v>20115</v>
      </c>
      <c r="B58131" s="0" t="str">
        <f aca="false">HYPERLINK("https://lindat.mff.cuni.cz/services/teitok/pdtc10/index.php?action=vallex&amp;frame=v-w8153f2", "vynést (v-w8153f2) - substituted with v-w8153f7_ZU")</f>
        <v>vynést (v-w8153f2) - substituted with v-w8153f7_ZU</v>
      </c>
    </row>
    <row r="58132" customFormat="false" ht="12.8" hidden="false" customHeight="false" outlineLevel="0" collapsed="false">
      <c r="B58132" s="0" t="s">
        <v>7</v>
      </c>
      <c r="C58132" s="0" t="s">
        <v>2736</v>
      </c>
    </row>
    <row r="58133" customFormat="false" ht="12.8" hidden="false" customHeight="false" outlineLevel="0" collapsed="false">
      <c r="B58133" s="0" t="s">
        <v>20118</v>
      </c>
      <c r="C58133" s="0" t="s">
        <v>4674</v>
      </c>
    </row>
    <row r="58135" customFormat="false" ht="12.8" hidden="false" customHeight="false" outlineLevel="0" collapsed="false">
      <c r="A58135" s="0" t="s">
        <v>20115</v>
      </c>
      <c r="B58135" s="0" t="str">
        <f aca="false">HYPERLINK("https://lindat.mff.cuni.cz/services/teitok/pdtc10/index.php?action=vallex&amp;frame=v-w8153hsa_1006", "vynést (v-w8153hsa_1006) - substituted with v-w8153f7_ZU")</f>
        <v>vynést (v-w8153hsa_1006) - substituted with v-w8153f7_ZU</v>
      </c>
    </row>
    <row r="58136" customFormat="false" ht="12.8" hidden="false" customHeight="false" outlineLevel="0" collapsed="false">
      <c r="B58136" s="0" t="s">
        <v>7</v>
      </c>
    </row>
    <row r="58137" customFormat="false" ht="12.8" hidden="false" customHeight="false" outlineLevel="0" collapsed="false">
      <c r="B58137" s="0" t="s">
        <v>20118</v>
      </c>
    </row>
    <row r="58139" customFormat="false" ht="12.8" hidden="false" customHeight="false" outlineLevel="0" collapsed="false">
      <c r="A58139" s="0" t="s">
        <v>20120</v>
      </c>
      <c r="B58139" s="0" t="str">
        <f aca="false">HYPERLINK("https://lindat.mff.cuni.cz/services/teitok/pdtc10/index.php?action=vallex&amp;frame=v-w8166f1", "vyobrazit (v-w8166f1)")</f>
        <v>vyobrazit (v-w8166f1)</v>
      </c>
    </row>
    <row r="58140" customFormat="false" ht="12.8" hidden="false" customHeight="false" outlineLevel="0" collapsed="false">
      <c r="B58140" s="0" t="s">
        <v>7</v>
      </c>
    </row>
    <row r="58141" customFormat="false" ht="12.8" hidden="false" customHeight="false" outlineLevel="0" collapsed="false">
      <c r="B58141" s="0" t="s">
        <v>20121</v>
      </c>
    </row>
    <row r="58143" customFormat="false" ht="12.8" hidden="false" customHeight="false" outlineLevel="0" collapsed="false">
      <c r="A58143" s="0" t="s">
        <v>20122</v>
      </c>
      <c r="B58143" s="0" t="str">
        <f aca="false">HYPERLINK("https://lindat.mff.cuni.cz/services/teitok/pdtc10/index.php?action=vallex&amp;frame=v-whsa_1107hsa_1108", "vyoperovat (v-whsa_1107hsa_1108)")</f>
        <v>vyoperovat (v-whsa_1107hsa_1108)</v>
      </c>
    </row>
    <row r="58144" customFormat="false" ht="12.8" hidden="false" customHeight="false" outlineLevel="0" collapsed="false">
      <c r="B58144" s="0" t="s">
        <v>7</v>
      </c>
    </row>
    <row r="58145" customFormat="false" ht="12.8" hidden="false" customHeight="false" outlineLevel="0" collapsed="false">
      <c r="B58145" s="0" t="s">
        <v>14</v>
      </c>
    </row>
    <row r="58147" customFormat="false" ht="12.8" hidden="false" customHeight="false" outlineLevel="0" collapsed="false">
      <c r="A58147" s="0" t="s">
        <v>20123</v>
      </c>
      <c r="B58147" s="0" t="str">
        <f aca="false">HYPERLINK("https://lindat.mff.cuni.cz/services/teitok/pdtc10/index.php?action=vallex&amp;frame=v-w8167f1", "vyostřit se (v-w8167f1)")</f>
        <v>vyostřit se (v-w8167f1)</v>
      </c>
    </row>
    <row r="58148" customFormat="false" ht="12.8" hidden="false" customHeight="false" outlineLevel="0" collapsed="false">
      <c r="B58148" s="0" t="s">
        <v>7</v>
      </c>
      <c r="D58148" s="0" t="s">
        <v>6765</v>
      </c>
      <c r="E58148" s="0" t="s">
        <v>6765</v>
      </c>
      <c r="F58148" s="0" t="s">
        <v>6765</v>
      </c>
    </row>
    <row r="58150" customFormat="false" ht="12.8" hidden="false" customHeight="false" outlineLevel="0" collapsed="false">
      <c r="A58150" s="0" t="s">
        <v>20124</v>
      </c>
      <c r="B58150" s="0" t="str">
        <f aca="false">HYPERLINK("https://lindat.mff.cuni.cz/services/teitok/pdtc10/index.php?action=vallex&amp;frame=v-w8168f1", "vyostřovat se (v-w8168f1)")</f>
        <v>vyostřovat se (v-w8168f1)</v>
      </c>
    </row>
    <row r="58151" customFormat="false" ht="12.8" hidden="false" customHeight="false" outlineLevel="0" collapsed="false">
      <c r="B58151" s="0" t="s">
        <v>7</v>
      </c>
      <c r="D58151" s="0" t="s">
        <v>6765</v>
      </c>
      <c r="E58151" s="0" t="s">
        <v>6765</v>
      </c>
      <c r="F58151" s="0" t="s">
        <v>6765</v>
      </c>
    </row>
    <row r="58153" customFormat="false" ht="12.8" hidden="false" customHeight="false" outlineLevel="0" collapsed="false">
      <c r="A58153" s="0" t="s">
        <v>20125</v>
      </c>
      <c r="B58153" s="0" t="str">
        <f aca="false">HYPERLINK("https://lindat.mff.cuni.cz/services/teitok/pdtc10/index.php?action=vallex&amp;frame=v-w8170f7_ZU", "vypadat (v-w8170f7_ZU)")</f>
        <v>vypadat (v-w8170f7_ZU)</v>
      </c>
    </row>
    <row r="58154" customFormat="false" ht="12.8" hidden="false" customHeight="false" outlineLevel="0" collapsed="false">
      <c r="B58154" s="0" t="s">
        <v>7</v>
      </c>
    </row>
    <row r="58155" customFormat="false" ht="12.8" hidden="false" customHeight="false" outlineLevel="0" collapsed="false">
      <c r="B58155" s="0" t="s">
        <v>20126</v>
      </c>
    </row>
    <row r="58157" customFormat="false" ht="12.8" hidden="false" customHeight="false" outlineLevel="0" collapsed="false">
      <c r="A58157" s="0" t="s">
        <v>20125</v>
      </c>
      <c r="B58157" s="0" t="str">
        <f aca="false">HYPERLINK("https://lindat.mff.cuni.cz/services/teitok/pdtc10/index.php?action=vallex&amp;frame=v-w8170f5", "vypadat (v-w8170f5) - substituted with v-w8170f7_ZU")</f>
        <v>vypadat (v-w8170f5) - substituted with v-w8170f7_ZU</v>
      </c>
    </row>
    <row r="58158" customFormat="false" ht="12.8" hidden="false" customHeight="false" outlineLevel="0" collapsed="false">
      <c r="B58158" s="0" t="s">
        <v>7</v>
      </c>
      <c r="C58158" s="0" t="s">
        <v>20127</v>
      </c>
      <c r="D58158" s="0" t="s">
        <v>4304</v>
      </c>
      <c r="E58158" s="0" t="s">
        <v>4304</v>
      </c>
      <c r="F58158" s="0" t="s">
        <v>4304</v>
      </c>
    </row>
    <row r="58159" customFormat="false" ht="12.8" hidden="false" customHeight="false" outlineLevel="0" collapsed="false">
      <c r="B58159" s="0" t="s">
        <v>20126</v>
      </c>
      <c r="C58159" s="0" t="s">
        <v>1568</v>
      </c>
      <c r="D58159" s="0" t="s">
        <v>20128</v>
      </c>
      <c r="E58159" s="0" t="s">
        <v>20128</v>
      </c>
      <c r="F58159" s="0" t="s">
        <v>20128</v>
      </c>
    </row>
    <row r="58161" customFormat="false" ht="12.8" hidden="false" customHeight="false" outlineLevel="0" collapsed="false">
      <c r="A58161" s="0" t="s">
        <v>20129</v>
      </c>
      <c r="B58161" s="0" t="str">
        <f aca="false">HYPERLINK("https://lindat.mff.cuni.cz/services/teitok/pdtc10/index.php?action=vallex&amp;frame=v-w8170f2", "vypadat (v-w8170f2)")</f>
        <v>vypadat (v-w8170f2)</v>
      </c>
    </row>
    <row r="58162" customFormat="false" ht="12.8" hidden="false" customHeight="false" outlineLevel="0" collapsed="false">
      <c r="B58162" s="0" t="s">
        <v>7</v>
      </c>
      <c r="C58162" s="0" t="s">
        <v>20130</v>
      </c>
      <c r="D58162" s="0" t="s">
        <v>13951</v>
      </c>
      <c r="E58162" s="0" t="s">
        <v>13951</v>
      </c>
      <c r="F58162" s="0" t="s">
        <v>13951</v>
      </c>
    </row>
    <row r="58163" customFormat="false" ht="12.8" hidden="false" customHeight="false" outlineLevel="0" collapsed="false">
      <c r="B58163" s="0" t="s">
        <v>8188</v>
      </c>
      <c r="C58163" s="0" t="s">
        <v>20131</v>
      </c>
      <c r="D58163" s="0" t="s">
        <v>1551</v>
      </c>
      <c r="E58163" s="0" t="s">
        <v>1551</v>
      </c>
      <c r="F58163" s="0" t="s">
        <v>1551</v>
      </c>
    </row>
    <row r="58165" customFormat="false" ht="12.8" hidden="false" customHeight="false" outlineLevel="0" collapsed="false">
      <c r="A58165" s="0" t="s">
        <v>20132</v>
      </c>
      <c r="B58165" s="0" t="str">
        <f aca="false">HYPERLINK("https://lindat.mff.cuni.cz/services/teitok/pdtc10/index.php?action=vallex&amp;frame=v-w8170f10_ZU", "vypadat (v-w8170f10_ZU)")</f>
        <v>vypadat (v-w8170f10_ZU)</v>
      </c>
    </row>
    <row r="58166" customFormat="false" ht="12.8" hidden="false" customHeight="false" outlineLevel="0" collapsed="false">
      <c r="B58166" s="0" t="s">
        <v>7</v>
      </c>
    </row>
    <row r="58167" customFormat="false" ht="12.8" hidden="false" customHeight="false" outlineLevel="0" collapsed="false">
      <c r="B58167" s="0" t="s">
        <v>548</v>
      </c>
    </row>
    <row r="58168" customFormat="false" ht="12.8" hidden="false" customHeight="false" outlineLevel="0" collapsed="false">
      <c r="B58168" s="0" t="s">
        <v>474</v>
      </c>
    </row>
    <row r="58169" customFormat="false" ht="12.8" hidden="false" customHeight="false" outlineLevel="0" collapsed="false">
      <c r="B58169" s="0" t="s">
        <v>479</v>
      </c>
    </row>
    <row r="58170" customFormat="false" ht="12.8" hidden="false" customHeight="false" outlineLevel="0" collapsed="false">
      <c r="B58170" s="0" t="s">
        <v>481</v>
      </c>
    </row>
    <row r="58171" customFormat="false" ht="12.8" hidden="false" customHeight="false" outlineLevel="0" collapsed="false">
      <c r="B58171" s="0" t="s">
        <v>14446</v>
      </c>
    </row>
    <row r="58173" customFormat="false" ht="12.8" hidden="false" customHeight="false" outlineLevel="0" collapsed="false">
      <c r="A58173" s="0" t="s">
        <v>20132</v>
      </c>
      <c r="B58173" s="0" t="str">
        <f aca="false">HYPERLINK("https://lindat.mff.cuni.cz/services/teitok/pdtc10/index.php?action=vallex&amp;frame=v-w8170f3", "vypadat (v-w8170f3) - substituted with v-w8170f10_ZU")</f>
        <v>vypadat (v-w8170f3) - substituted with v-w8170f10_ZU</v>
      </c>
    </row>
    <row r="58174" customFormat="false" ht="12.8" hidden="false" customHeight="false" outlineLevel="0" collapsed="false">
      <c r="B58174" s="0" t="s">
        <v>7</v>
      </c>
    </row>
    <row r="58175" customFormat="false" ht="12.8" hidden="false" customHeight="false" outlineLevel="0" collapsed="false">
      <c r="B58175" s="0" t="s">
        <v>548</v>
      </c>
    </row>
    <row r="58176" customFormat="false" ht="12.8" hidden="false" customHeight="false" outlineLevel="0" collapsed="false">
      <c r="B58176" s="0" t="s">
        <v>474</v>
      </c>
    </row>
    <row r="58177" customFormat="false" ht="12.8" hidden="false" customHeight="false" outlineLevel="0" collapsed="false">
      <c r="B58177" s="0" t="s">
        <v>479</v>
      </c>
    </row>
    <row r="58178" customFormat="false" ht="12.8" hidden="false" customHeight="false" outlineLevel="0" collapsed="false">
      <c r="B58178" s="0" t="s">
        <v>481</v>
      </c>
    </row>
    <row r="58179" customFormat="false" ht="12.8" hidden="false" customHeight="false" outlineLevel="0" collapsed="false">
      <c r="B58179" s="0" t="s">
        <v>14446</v>
      </c>
    </row>
    <row r="58181" customFormat="false" ht="12.8" hidden="false" customHeight="false" outlineLevel="0" collapsed="false">
      <c r="A58181" s="0" t="s">
        <v>20133</v>
      </c>
      <c r="B58181" s="0" t="str">
        <f aca="false">HYPERLINK("https://lindat.mff.cuni.cz/services/teitok/pdtc10/index.php?action=vallex&amp;frame=v-w8170f9_ZU", "vypadat (v-w8170f9_ZU)")</f>
        <v>vypadat (v-w8170f9_ZU)</v>
      </c>
    </row>
    <row r="58182" customFormat="false" ht="12.8" hidden="false" customHeight="false" outlineLevel="0" collapsed="false">
      <c r="B58182" s="0" t="s">
        <v>7</v>
      </c>
    </row>
    <row r="58183" customFormat="false" ht="12.8" hidden="false" customHeight="false" outlineLevel="0" collapsed="false">
      <c r="B58183" s="0" t="s">
        <v>474</v>
      </c>
    </row>
    <row r="58184" customFormat="false" ht="12.8" hidden="false" customHeight="false" outlineLevel="0" collapsed="false">
      <c r="B58184" s="0" t="s">
        <v>479</v>
      </c>
    </row>
    <row r="58185" customFormat="false" ht="12.8" hidden="false" customHeight="false" outlineLevel="0" collapsed="false">
      <c r="B58185" s="0" t="s">
        <v>481</v>
      </c>
    </row>
    <row r="58186" customFormat="false" ht="12.8" hidden="false" customHeight="false" outlineLevel="0" collapsed="false">
      <c r="B58186" s="0" t="s">
        <v>483</v>
      </c>
    </row>
    <row r="58187" customFormat="false" ht="12.8" hidden="false" customHeight="false" outlineLevel="0" collapsed="false">
      <c r="B58187" s="0" t="s">
        <v>20134</v>
      </c>
    </row>
    <row r="58189" customFormat="false" ht="12.8" hidden="false" customHeight="false" outlineLevel="0" collapsed="false">
      <c r="A58189" s="0" t="s">
        <v>20133</v>
      </c>
      <c r="B58189" s="0" t="str">
        <f aca="false">HYPERLINK("https://lindat.mff.cuni.cz/services/teitok/pdtc10/index.php?action=vallex&amp;frame=v-w8170f1", "vypadat (v-w8170f1) - substituted with v-w8170f9_ZU")</f>
        <v>vypadat (v-w8170f1) - substituted with v-w8170f9_ZU</v>
      </c>
    </row>
    <row r="58190" customFormat="false" ht="12.8" hidden="false" customHeight="false" outlineLevel="0" collapsed="false">
      <c r="B58190" s="0" t="s">
        <v>7</v>
      </c>
      <c r="C58190" s="0" t="s">
        <v>20135</v>
      </c>
      <c r="D58190" s="0" t="s">
        <v>4304</v>
      </c>
      <c r="E58190" s="0" t="s">
        <v>4304</v>
      </c>
      <c r="F58190" s="0" t="s">
        <v>4304</v>
      </c>
    </row>
    <row r="58191" customFormat="false" ht="12.8" hidden="false" customHeight="false" outlineLevel="0" collapsed="false">
      <c r="B58191" s="0" t="s">
        <v>474</v>
      </c>
      <c r="C58191" s="0" t="s">
        <v>20136</v>
      </c>
      <c r="D58191" s="0" t="s">
        <v>4314</v>
      </c>
      <c r="E58191" s="0" t="s">
        <v>4314</v>
      </c>
      <c r="F58191" s="0" t="s">
        <v>4314</v>
      </c>
    </row>
    <row r="58192" customFormat="false" ht="12.8" hidden="false" customHeight="false" outlineLevel="0" collapsed="false">
      <c r="B58192" s="0" t="s">
        <v>479</v>
      </c>
      <c r="D58192" s="0" t="s">
        <v>11813</v>
      </c>
      <c r="E58192" s="0" t="s">
        <v>11813</v>
      </c>
      <c r="F58192" s="0" t="s">
        <v>11813</v>
      </c>
    </row>
    <row r="58193" customFormat="false" ht="12.8" hidden="false" customHeight="false" outlineLevel="0" collapsed="false">
      <c r="B58193" s="0" t="s">
        <v>481</v>
      </c>
      <c r="D58193" s="0" t="s">
        <v>11830</v>
      </c>
      <c r="E58193" s="0" t="s">
        <v>11830</v>
      </c>
      <c r="F58193" s="0" t="s">
        <v>11830</v>
      </c>
    </row>
    <row r="58194" customFormat="false" ht="12.8" hidden="false" customHeight="false" outlineLevel="0" collapsed="false">
      <c r="B58194" s="0" t="s">
        <v>483</v>
      </c>
      <c r="D58194" s="0" t="s">
        <v>11815</v>
      </c>
      <c r="E58194" s="0" t="s">
        <v>11815</v>
      </c>
      <c r="F58194" s="0" t="s">
        <v>11815</v>
      </c>
    </row>
    <row r="58195" customFormat="false" ht="12.8" hidden="false" customHeight="false" outlineLevel="0" collapsed="false">
      <c r="B58195" s="0" t="s">
        <v>20134</v>
      </c>
      <c r="D58195" s="0" t="s">
        <v>20137</v>
      </c>
      <c r="E58195" s="0" t="s">
        <v>20137</v>
      </c>
      <c r="F58195" s="0" t="s">
        <v>20137</v>
      </c>
    </row>
    <row r="58197" customFormat="false" ht="12.8" hidden="false" customHeight="false" outlineLevel="0" collapsed="false">
      <c r="A58197" s="0" t="s">
        <v>20133</v>
      </c>
      <c r="B58197" s="0" t="str">
        <f aca="false">HYPERLINK("https://lindat.mff.cuni.cz/services/teitok/pdtc10/index.php?action=vallex&amp;frame=v-w8170f8_ZU", "vypadat (v-w8170f8_ZU) - substituted with v-w8170f9_ZU")</f>
        <v>vypadat (v-w8170f8_ZU) - substituted with v-w8170f9_ZU</v>
      </c>
    </row>
    <row r="58198" customFormat="false" ht="12.8" hidden="false" customHeight="false" outlineLevel="0" collapsed="false">
      <c r="B58198" s="0" t="s">
        <v>7</v>
      </c>
    </row>
    <row r="58199" customFormat="false" ht="12.8" hidden="false" customHeight="false" outlineLevel="0" collapsed="false">
      <c r="B58199" s="0" t="s">
        <v>474</v>
      </c>
    </row>
    <row r="58200" customFormat="false" ht="12.8" hidden="false" customHeight="false" outlineLevel="0" collapsed="false">
      <c r="B58200" s="0" t="s">
        <v>479</v>
      </c>
    </row>
    <row r="58201" customFormat="false" ht="12.8" hidden="false" customHeight="false" outlineLevel="0" collapsed="false">
      <c r="B58201" s="0" t="s">
        <v>481</v>
      </c>
    </row>
    <row r="58202" customFormat="false" ht="12.8" hidden="false" customHeight="false" outlineLevel="0" collapsed="false">
      <c r="B58202" s="0" t="s">
        <v>483</v>
      </c>
    </row>
    <row r="58203" customFormat="false" ht="12.8" hidden="false" customHeight="false" outlineLevel="0" collapsed="false">
      <c r="B58203" s="0" t="s">
        <v>20134</v>
      </c>
    </row>
    <row r="58205" customFormat="false" ht="12.8" hidden="false" customHeight="false" outlineLevel="0" collapsed="false">
      <c r="A58205" s="0" t="s">
        <v>20138</v>
      </c>
      <c r="B58205" s="0" t="str">
        <f aca="false">HYPERLINK("https://lindat.mff.cuni.cz/services/teitok/pdtc10/index.php?action=vallex&amp;frame=v-w8170f4", "vypadat (v-w8170f4)")</f>
        <v>vypadat (v-w8170f4)</v>
      </c>
    </row>
    <row r="58206" customFormat="false" ht="12.8" hidden="false" customHeight="false" outlineLevel="0" collapsed="false">
      <c r="B58206" s="0" t="s">
        <v>7</v>
      </c>
    </row>
    <row r="58208" customFormat="false" ht="12.8" hidden="false" customHeight="false" outlineLevel="0" collapsed="false">
      <c r="A58208" s="0" t="s">
        <v>20139</v>
      </c>
      <c r="B58208" s="0" t="str">
        <f aca="false">HYPERLINK("https://lindat.mff.cuni.cz/services/teitok/pdtc10/index.php?action=vallex&amp;frame=v-w8170f6_ZU", "vypadat (v-w8170f6_ZU)")</f>
        <v>vypadat (v-w8170f6_ZU)</v>
      </c>
    </row>
    <row r="58209" customFormat="false" ht="12.8" hidden="false" customHeight="false" outlineLevel="0" collapsed="false">
      <c r="B58209" s="0" t="s">
        <v>7</v>
      </c>
      <c r="C58209" s="0" t="s">
        <v>9055</v>
      </c>
    </row>
    <row r="58210" customFormat="false" ht="12.8" hidden="false" customHeight="false" outlineLevel="0" collapsed="false">
      <c r="B58210" s="0" t="s">
        <v>20140</v>
      </c>
      <c r="C58210" s="0" t="s">
        <v>20141</v>
      </c>
    </row>
    <row r="58212" customFormat="false" ht="12.8" hidden="false" customHeight="false" outlineLevel="0" collapsed="false">
      <c r="A58212" s="0" t="s">
        <v>20142</v>
      </c>
      <c r="B58212" s="0" t="str">
        <f aca="false">HYPERLINK("https://lindat.mff.cuni.cz/services/teitok/pdtc10/index.php?action=vallex&amp;frame=v-w8173f1", "vypadnout (v-w8173f1)")</f>
        <v>vypadnout (v-w8173f1)</v>
      </c>
    </row>
    <row r="58213" customFormat="false" ht="12.8" hidden="false" customHeight="false" outlineLevel="0" collapsed="false">
      <c r="B58213" s="0" t="s">
        <v>7</v>
      </c>
      <c r="C58213" s="0" t="s">
        <v>20143</v>
      </c>
    </row>
    <row r="58214" customFormat="false" ht="12.8" hidden="false" customHeight="false" outlineLevel="0" collapsed="false">
      <c r="B58214" s="0" t="s">
        <v>459</v>
      </c>
      <c r="C58214" s="0" t="s">
        <v>20144</v>
      </c>
    </row>
    <row r="58216" customFormat="false" ht="12.8" hidden="false" customHeight="false" outlineLevel="0" collapsed="false">
      <c r="A58216" s="0" t="s">
        <v>20145</v>
      </c>
      <c r="B58216" s="0" t="str">
        <f aca="false">HYPERLINK("https://lindat.mff.cuni.cz/services/teitok/pdtc10/index.php?action=vallex&amp;frame=v-w8173f2", "vypadnout (v-w8173f2)")</f>
        <v>vypadnout (v-w8173f2)</v>
      </c>
    </row>
    <row r="58217" customFormat="false" ht="12.8" hidden="false" customHeight="false" outlineLevel="0" collapsed="false">
      <c r="B58217" s="0" t="s">
        <v>7</v>
      </c>
      <c r="D58217" s="0" t="s">
        <v>2074</v>
      </c>
      <c r="E58217" s="0" t="s">
        <v>2074</v>
      </c>
      <c r="F58217" s="0" t="s">
        <v>2074</v>
      </c>
    </row>
    <row r="58218" customFormat="false" ht="12.8" hidden="false" customHeight="false" outlineLevel="0" collapsed="false">
      <c r="B58218" s="0" t="s">
        <v>459</v>
      </c>
    </row>
    <row r="58220" customFormat="false" ht="12.8" hidden="false" customHeight="false" outlineLevel="0" collapsed="false">
      <c r="A58220" s="0" t="s">
        <v>20146</v>
      </c>
      <c r="B58220" s="0" t="str">
        <f aca="false">HYPERLINK("https://lindat.mff.cuni.cz/services/teitok/pdtc10/index.php?action=vallex&amp;frame=v-w8173f3_ZU", "vypadnout (v-w8173f3_ZU)")</f>
        <v>vypadnout (v-w8173f3_ZU)</v>
      </c>
    </row>
    <row r="58221" customFormat="false" ht="12.8" hidden="false" customHeight="false" outlineLevel="0" collapsed="false">
      <c r="B58221" s="0" t="s">
        <v>7</v>
      </c>
    </row>
    <row r="58222" customFormat="false" ht="12.8" hidden="false" customHeight="false" outlineLevel="0" collapsed="false">
      <c r="B58222" s="0" t="s">
        <v>459</v>
      </c>
    </row>
    <row r="58224" customFormat="false" ht="12.8" hidden="false" customHeight="false" outlineLevel="0" collapsed="false">
      <c r="A58224" s="0" t="s">
        <v>20146</v>
      </c>
      <c r="B58224" s="0" t="str">
        <f aca="false">HYPERLINK("https://lindat.mff.cuni.cz/services/teitok/pdtc10/index.php?action=vallex&amp;frame=v-w8173hsa_601", "vypadnout (v-w8173hsa_601) - substituted with v-w8173f3_ZU")</f>
        <v>vypadnout (v-w8173hsa_601) - substituted with v-w8173f3_ZU</v>
      </c>
    </row>
    <row r="58225" customFormat="false" ht="12.8" hidden="false" customHeight="false" outlineLevel="0" collapsed="false">
      <c r="B58225" s="0" t="s">
        <v>7</v>
      </c>
    </row>
    <row r="58226" customFormat="false" ht="12.8" hidden="false" customHeight="false" outlineLevel="0" collapsed="false">
      <c r="B58226" s="0" t="s">
        <v>459</v>
      </c>
    </row>
    <row r="58228" customFormat="false" ht="12.8" hidden="false" customHeight="false" outlineLevel="0" collapsed="false">
      <c r="A58228" s="0" t="s">
        <v>20147</v>
      </c>
      <c r="B58228" s="0" t="str">
        <f aca="false">HYPERLINK("https://lindat.mff.cuni.cz/services/teitok/pdtc10/index.php?action=vallex&amp;frame=v-w8173f4_ZU", "vypadnout (v-w8173f4_ZU)")</f>
        <v>vypadnout (v-w8173f4_ZU)</v>
      </c>
    </row>
    <row r="58229" customFormat="false" ht="12.8" hidden="false" customHeight="false" outlineLevel="0" collapsed="false">
      <c r="B58229" s="0" t="s">
        <v>7</v>
      </c>
    </row>
    <row r="58230" customFormat="false" ht="12.8" hidden="false" customHeight="false" outlineLevel="0" collapsed="false">
      <c r="B58230" s="0" t="s">
        <v>142</v>
      </c>
    </row>
    <row r="58231" customFormat="false" ht="12.8" hidden="false" customHeight="false" outlineLevel="0" collapsed="false">
      <c r="B58231" s="0" t="s">
        <v>19965</v>
      </c>
    </row>
    <row r="58233" customFormat="false" ht="12.8" hidden="false" customHeight="false" outlineLevel="0" collapsed="false">
      <c r="A58233" s="0" t="s">
        <v>20147</v>
      </c>
      <c r="B58233" s="0" t="str">
        <f aca="false">HYPERLINK("https://lindat.mff.cuni.cz/services/teitok/pdtc10/index.php?action=vallex&amp;frame=v-w8173hsa_521", "vypadnout (v-w8173hsa_521) - substituted with v-w8173f4_ZU")</f>
        <v>vypadnout (v-w8173hsa_521) - substituted with v-w8173f4_ZU</v>
      </c>
    </row>
    <row r="58234" customFormat="false" ht="12.8" hidden="false" customHeight="false" outlineLevel="0" collapsed="false">
      <c r="B58234" s="0" t="s">
        <v>7</v>
      </c>
    </row>
    <row r="58235" customFormat="false" ht="12.8" hidden="false" customHeight="false" outlineLevel="0" collapsed="false">
      <c r="B58235" s="0" t="s">
        <v>142</v>
      </c>
    </row>
    <row r="58236" customFormat="false" ht="12.8" hidden="false" customHeight="false" outlineLevel="0" collapsed="false">
      <c r="B58236" s="0" t="s">
        <v>19965</v>
      </c>
    </row>
    <row r="58238" customFormat="false" ht="12.8" hidden="false" customHeight="false" outlineLevel="0" collapsed="false">
      <c r="A58238" s="0" t="s">
        <v>20148</v>
      </c>
      <c r="B58238" s="0" t="str">
        <f aca="false">HYPERLINK("https://lindat.mff.cuni.cz/services/teitok/pdtc10/index.php?action=vallex&amp;frame=v-w8173f5_ZU", "vypadnout (v-w8173f5_ZU)")</f>
        <v>vypadnout (v-w8173f5_ZU)</v>
      </c>
    </row>
    <row r="58239" customFormat="false" ht="12.8" hidden="false" customHeight="false" outlineLevel="0" collapsed="false">
      <c r="B58239" s="0" t="s">
        <v>641</v>
      </c>
    </row>
    <row r="58240" customFormat="false" ht="12.8" hidden="false" customHeight="false" outlineLevel="0" collapsed="false">
      <c r="B58240" s="0" t="s">
        <v>5382</v>
      </c>
    </row>
    <row r="58242" customFormat="false" ht="12.8" hidden="false" customHeight="false" outlineLevel="0" collapsed="false">
      <c r="A58242" s="0" t="s">
        <v>20149</v>
      </c>
      <c r="B58242" s="0" t="str">
        <f aca="false">HYPERLINK("https://lindat.mff.cuni.cz/services/teitok/pdtc10/index.php?action=vallex&amp;frame=v-w8173f6_ZU", "vypadnout (v-w8173f6_ZU)")</f>
        <v>vypadnout (v-w8173f6_ZU)</v>
      </c>
    </row>
    <row r="58243" customFormat="false" ht="12.8" hidden="false" customHeight="false" outlineLevel="0" collapsed="false">
      <c r="B58243" s="0" t="s">
        <v>7</v>
      </c>
    </row>
    <row r="58245" customFormat="false" ht="12.8" hidden="false" customHeight="false" outlineLevel="0" collapsed="false">
      <c r="A58245" s="0" t="s">
        <v>20150</v>
      </c>
      <c r="B58245" s="0" t="str">
        <f aca="false">HYPERLINK("https://lindat.mff.cuni.cz/services/teitok/pdtc10/index.php?action=vallex&amp;frame=v-w8173hsa_519", "vypadnout (v-w8173hsa_519)")</f>
        <v>vypadnout (v-w8173hsa_519)</v>
      </c>
    </row>
    <row r="58246" customFormat="false" ht="12.8" hidden="false" customHeight="false" outlineLevel="0" collapsed="false">
      <c r="B58246" s="0" t="s">
        <v>7</v>
      </c>
    </row>
    <row r="58247" customFormat="false" ht="12.8" hidden="false" customHeight="false" outlineLevel="0" collapsed="false">
      <c r="B58247" s="0" t="s">
        <v>142</v>
      </c>
    </row>
    <row r="58249" customFormat="false" ht="12.8" hidden="false" customHeight="false" outlineLevel="0" collapsed="false">
      <c r="A58249" s="0" t="s">
        <v>20151</v>
      </c>
      <c r="B58249" s="0" t="str">
        <f aca="false">HYPERLINK("https://lindat.mff.cuni.cz/services/teitok/pdtc10/index.php?action=vallex&amp;frame=v-w8173hsa_520", "vypadnout (v-w8173hsa_520)")</f>
        <v>vypadnout (v-w8173hsa_520)</v>
      </c>
    </row>
    <row r="58250" customFormat="false" ht="12.8" hidden="false" customHeight="false" outlineLevel="0" collapsed="false">
      <c r="B58250" s="0" t="s">
        <v>7</v>
      </c>
    </row>
    <row r="58251" customFormat="false" ht="12.8" hidden="false" customHeight="false" outlineLevel="0" collapsed="false">
      <c r="B58251" s="0" t="s">
        <v>459</v>
      </c>
    </row>
    <row r="58253" customFormat="false" ht="12.8" hidden="false" customHeight="false" outlineLevel="0" collapsed="false">
      <c r="A58253" s="0" t="s">
        <v>20152</v>
      </c>
      <c r="B58253" s="0" t="str">
        <f aca="false">HYPERLINK("https://lindat.mff.cuni.cz/services/teitok/pdtc10/index.php?action=vallex&amp;frame=v-w8171f1", "vypadávat (v-w8171f1)")</f>
        <v>vypadávat (v-w8171f1)</v>
      </c>
    </row>
    <row r="58254" customFormat="false" ht="12.8" hidden="false" customHeight="false" outlineLevel="0" collapsed="false">
      <c r="B58254" s="0" t="s">
        <v>7</v>
      </c>
    </row>
    <row r="58256" customFormat="false" ht="12.8" hidden="false" customHeight="false" outlineLevel="0" collapsed="false">
      <c r="A58256" s="0" t="s">
        <v>20153</v>
      </c>
      <c r="B58256" s="0" t="str">
        <f aca="false">HYPERLINK("https://lindat.mff.cuni.cz/services/teitok/pdtc10/index.php?action=vallex&amp;frame=v-w8171f2_MM", "vypadávat (v-w8171f2_MM)")</f>
        <v>vypadávat (v-w8171f2_MM)</v>
      </c>
    </row>
    <row r="58257" customFormat="false" ht="12.8" hidden="false" customHeight="false" outlineLevel="0" collapsed="false">
      <c r="B58257" s="0" t="s">
        <v>7</v>
      </c>
    </row>
    <row r="58258" customFormat="false" ht="12.8" hidden="false" customHeight="false" outlineLevel="0" collapsed="false">
      <c r="B58258" s="0" t="s">
        <v>142</v>
      </c>
    </row>
    <row r="58260" customFormat="false" ht="12.8" hidden="false" customHeight="false" outlineLevel="0" collapsed="false">
      <c r="A58260" s="0" t="s">
        <v>20154</v>
      </c>
      <c r="B58260" s="0" t="str">
        <f aca="false">HYPERLINK("https://lindat.mff.cuni.cz/services/teitok/pdtc10/index.php?action=vallex&amp;frame=v-w11899_ZUf1_ZU", "vypalovat (v-w11899_ZUf1_ZU)")</f>
        <v>vypalovat (v-w11899_ZUf1_ZU)</v>
      </c>
    </row>
    <row r="58261" customFormat="false" ht="12.8" hidden="false" customHeight="false" outlineLevel="0" collapsed="false">
      <c r="B58261" s="0" t="s">
        <v>7</v>
      </c>
    </row>
    <row r="58262" customFormat="false" ht="12.8" hidden="false" customHeight="false" outlineLevel="0" collapsed="false">
      <c r="B58262" s="0" t="s">
        <v>14</v>
      </c>
    </row>
    <row r="58264" customFormat="false" ht="12.8" hidden="false" customHeight="false" outlineLevel="0" collapsed="false">
      <c r="A58264" s="0" t="s">
        <v>20155</v>
      </c>
      <c r="B58264" s="0" t="str">
        <f aca="false">HYPERLINK("https://lindat.mff.cuni.cz/services/teitok/pdtc10/index.php?action=vallex&amp;frame=v-w11899_ZUf3_ZU", "vypalovat (v-w11899_ZUf3_ZU)")</f>
        <v>vypalovat (v-w11899_ZUf3_ZU)</v>
      </c>
    </row>
    <row r="58265" customFormat="false" ht="12.8" hidden="false" customHeight="false" outlineLevel="0" collapsed="false">
      <c r="B58265" s="0" t="s">
        <v>7</v>
      </c>
    </row>
    <row r="58266" customFormat="false" ht="12.8" hidden="false" customHeight="false" outlineLevel="0" collapsed="false">
      <c r="B58266" s="0" t="s">
        <v>14</v>
      </c>
    </row>
    <row r="58267" customFormat="false" ht="12.8" hidden="false" customHeight="false" outlineLevel="0" collapsed="false">
      <c r="B58267" s="0" t="s">
        <v>338</v>
      </c>
    </row>
    <row r="58269" customFormat="false" ht="12.8" hidden="false" customHeight="false" outlineLevel="0" collapsed="false">
      <c r="A58269" s="0" t="s">
        <v>20155</v>
      </c>
      <c r="B58269" s="0" t="str">
        <f aca="false">HYPERLINK("https://lindat.mff.cuni.cz/services/teitok/pdtc10/index.php?action=vallex&amp;frame=v-w11899_ZUf2_ZU", "vypalovat (v-w11899_ZUf2_ZU) - substituted with v-w11899_ZUf3_ZU")</f>
        <v>vypalovat (v-w11899_ZUf2_ZU) - substituted with v-w11899_ZUf3_ZU</v>
      </c>
    </row>
    <row r="58270" customFormat="false" ht="12.8" hidden="false" customHeight="false" outlineLevel="0" collapsed="false">
      <c r="B58270" s="0" t="s">
        <v>7</v>
      </c>
    </row>
    <row r="58271" customFormat="false" ht="12.8" hidden="false" customHeight="false" outlineLevel="0" collapsed="false">
      <c r="B58271" s="0" t="s">
        <v>14</v>
      </c>
    </row>
    <row r="58272" customFormat="false" ht="12.8" hidden="false" customHeight="false" outlineLevel="0" collapsed="false">
      <c r="B58272" s="0" t="s">
        <v>338</v>
      </c>
    </row>
    <row r="58274" customFormat="false" ht="12.8" hidden="false" customHeight="false" outlineLevel="0" collapsed="false">
      <c r="A58274" s="0" t="s">
        <v>20156</v>
      </c>
      <c r="B58274" s="0" t="str">
        <f aca="false">HYPERLINK("https://lindat.mff.cuni.cz/services/teitok/pdtc10/index.php?action=vallex&amp;frame=v-w11899_ZUf4_ZU", "vypalovat (v-w11899_ZUf4_ZU)")</f>
        <v>vypalovat (v-w11899_ZUf4_ZU)</v>
      </c>
    </row>
    <row r="58275" customFormat="false" ht="12.8" hidden="false" customHeight="false" outlineLevel="0" collapsed="false">
      <c r="B58275" s="0" t="s">
        <v>7</v>
      </c>
    </row>
    <row r="58276" customFormat="false" ht="12.8" hidden="false" customHeight="false" outlineLevel="0" collapsed="false">
      <c r="B58276" s="0" t="s">
        <v>14</v>
      </c>
    </row>
    <row r="58278" customFormat="false" ht="12.8" hidden="false" customHeight="false" outlineLevel="0" collapsed="false">
      <c r="A58278" s="0" t="s">
        <v>20157</v>
      </c>
      <c r="B58278" s="0" t="str">
        <f aca="false">HYPERLINK("https://lindat.mff.cuni.cz/services/teitok/pdtc10/index.php?action=vallex&amp;frame=v-whsa_1098hsa_1099", "vypařit se (v-whsa_1098hsa_1099)")</f>
        <v>vypařit se (v-whsa_1098hsa_1099)</v>
      </c>
    </row>
    <row r="58279" customFormat="false" ht="12.8" hidden="false" customHeight="false" outlineLevel="0" collapsed="false">
      <c r="B58279" s="0" t="s">
        <v>7</v>
      </c>
    </row>
    <row r="58281" customFormat="false" ht="12.8" hidden="false" customHeight="false" outlineLevel="0" collapsed="false">
      <c r="A58281" s="0" t="s">
        <v>20158</v>
      </c>
      <c r="B58281" s="0" t="str">
        <f aca="false">HYPERLINK("https://lindat.mff.cuni.cz/services/teitok/pdtc10/index.php?action=vallex&amp;frame=v-whsa_297hsa_298", "vypařovat se (v-whsa_297hsa_298)")</f>
        <v>vypařovat se (v-whsa_297hsa_298)</v>
      </c>
    </row>
    <row r="58282" customFormat="false" ht="12.8" hidden="false" customHeight="false" outlineLevel="0" collapsed="false">
      <c r="B58282" s="0" t="s">
        <v>7</v>
      </c>
    </row>
    <row r="58284" customFormat="false" ht="12.8" hidden="false" customHeight="false" outlineLevel="0" collapsed="false">
      <c r="A58284" s="0" t="s">
        <v>20159</v>
      </c>
      <c r="B58284" s="0" t="str">
        <f aca="false">HYPERLINK("https://lindat.mff.cuni.cz/services/teitok/pdtc10/index.php?action=vallex&amp;frame=v-w8184f1", "vypisovat (v-w8184f1)")</f>
        <v>vypisovat (v-w8184f1)</v>
      </c>
    </row>
    <row r="58285" customFormat="false" ht="12.8" hidden="false" customHeight="false" outlineLevel="0" collapsed="false">
      <c r="B58285" s="0" t="s">
        <v>7</v>
      </c>
    </row>
    <row r="58286" customFormat="false" ht="12.8" hidden="false" customHeight="false" outlineLevel="0" collapsed="false">
      <c r="B58286" s="0" t="s">
        <v>54</v>
      </c>
    </row>
    <row r="58288" customFormat="false" ht="12.8" hidden="false" customHeight="false" outlineLevel="0" collapsed="false">
      <c r="A58288" s="0" t="s">
        <v>20160</v>
      </c>
      <c r="B58288" s="0" t="str">
        <f aca="false">HYPERLINK("https://lindat.mff.cuni.cz/services/teitok/pdtc10/index.php?action=vallex&amp;frame=v-w8184f3_ZU", "vypisovat (v-w8184f3_ZU)")</f>
        <v>vypisovat (v-w8184f3_ZU)</v>
      </c>
    </row>
    <row r="58289" customFormat="false" ht="12.8" hidden="false" customHeight="false" outlineLevel="0" collapsed="false">
      <c r="B58289" s="0" t="s">
        <v>7</v>
      </c>
    </row>
    <row r="58290" customFormat="false" ht="12.8" hidden="false" customHeight="false" outlineLevel="0" collapsed="false">
      <c r="B58290" s="0" t="s">
        <v>14</v>
      </c>
    </row>
    <row r="58292" customFormat="false" ht="12.8" hidden="false" customHeight="false" outlineLevel="0" collapsed="false">
      <c r="A58292" s="0" t="s">
        <v>20160</v>
      </c>
      <c r="B58292" s="0" t="str">
        <f aca="false">HYPERLINK("https://lindat.mff.cuni.cz/services/teitok/pdtc10/index.php?action=vallex&amp;frame=v-w8184f2_ZU", "vypisovat (v-w8184f2_ZU) - substituted with v-w8184f3_ZU")</f>
        <v>vypisovat (v-w8184f2_ZU) - substituted with v-w8184f3_ZU</v>
      </c>
    </row>
    <row r="58293" customFormat="false" ht="12.8" hidden="false" customHeight="false" outlineLevel="0" collapsed="false">
      <c r="B58293" s="0" t="s">
        <v>7</v>
      </c>
    </row>
    <row r="58294" customFormat="false" ht="12.8" hidden="false" customHeight="false" outlineLevel="0" collapsed="false">
      <c r="B58294" s="0" t="s">
        <v>14</v>
      </c>
    </row>
    <row r="58296" customFormat="false" ht="12.8" hidden="false" customHeight="false" outlineLevel="0" collapsed="false">
      <c r="A58296" s="0" t="s">
        <v>20161</v>
      </c>
      <c r="B58296" s="0" t="str">
        <f aca="false">HYPERLINK("https://lindat.mff.cuni.cz/services/teitok/pdtc10/index.php?action=vallex&amp;frame=v-w8184f4_ZU", "vypisovat (v-w8184f4_ZU)")</f>
        <v>vypisovat (v-w8184f4_ZU)</v>
      </c>
    </row>
    <row r="58297" customFormat="false" ht="12.8" hidden="false" customHeight="false" outlineLevel="0" collapsed="false">
      <c r="B58297" s="0" t="s">
        <v>7</v>
      </c>
    </row>
    <row r="58298" customFormat="false" ht="12.8" hidden="false" customHeight="false" outlineLevel="0" collapsed="false">
      <c r="B58298" s="0" t="s">
        <v>14</v>
      </c>
    </row>
    <row r="58300" customFormat="false" ht="12.8" hidden="false" customHeight="false" outlineLevel="0" collapsed="false">
      <c r="A58300" s="0" t="s">
        <v>20162</v>
      </c>
      <c r="B58300" s="0" t="str">
        <f aca="false">HYPERLINK("https://lindat.mff.cuni.cz/services/teitok/pdtc10/index.php?action=vallex&amp;frame=v-w8184hsa_1394", "vypisovat (v-w8184hsa_1394)")</f>
        <v>vypisovat (v-w8184hsa_1394)</v>
      </c>
    </row>
    <row r="58301" customFormat="false" ht="12.8" hidden="false" customHeight="false" outlineLevel="0" collapsed="false">
      <c r="B58301" s="0" t="s">
        <v>7</v>
      </c>
    </row>
    <row r="58302" customFormat="false" ht="12.8" hidden="false" customHeight="false" outlineLevel="0" collapsed="false">
      <c r="B58302" s="0" t="s">
        <v>14</v>
      </c>
    </row>
    <row r="58304" customFormat="false" ht="12.8" hidden="false" customHeight="false" outlineLevel="0" collapsed="false">
      <c r="A58304" s="0" t="s">
        <v>20163</v>
      </c>
      <c r="B58304" s="0" t="str">
        <f aca="false">HYPERLINK("https://lindat.mff.cuni.cz/services/teitok/pdtc10/index.php?action=vallex&amp;frame=v-w8192f1", "vyplatit (v-w8192f1)")</f>
        <v>vyplatit (v-w8192f1)</v>
      </c>
    </row>
    <row r="58305" customFormat="false" ht="12.8" hidden="false" customHeight="false" outlineLevel="0" collapsed="false">
      <c r="B58305" s="0" t="s">
        <v>7</v>
      </c>
      <c r="C58305" s="0" t="s">
        <v>20164</v>
      </c>
      <c r="D58305" s="0" t="s">
        <v>4000</v>
      </c>
      <c r="E58305" s="0" t="s">
        <v>4000</v>
      </c>
      <c r="F58305" s="0" t="s">
        <v>4000</v>
      </c>
    </row>
    <row r="58306" customFormat="false" ht="12.8" hidden="false" customHeight="false" outlineLevel="0" collapsed="false">
      <c r="B58306" s="0" t="s">
        <v>14</v>
      </c>
      <c r="C58306" s="0" t="s">
        <v>20165</v>
      </c>
      <c r="D58306" s="0" t="s">
        <v>4002</v>
      </c>
      <c r="E58306" s="0" t="s">
        <v>4002</v>
      </c>
      <c r="F58306" s="0" t="s">
        <v>4002</v>
      </c>
    </row>
    <row r="58307" customFormat="false" ht="12.8" hidden="false" customHeight="false" outlineLevel="0" collapsed="false">
      <c r="B58307" s="0" t="s">
        <v>106</v>
      </c>
      <c r="C58307" s="0" t="s">
        <v>20166</v>
      </c>
      <c r="D58307" s="0" t="s">
        <v>4004</v>
      </c>
      <c r="E58307" s="0" t="s">
        <v>4004</v>
      </c>
      <c r="F58307" s="0" t="s">
        <v>4004</v>
      </c>
    </row>
    <row r="58308" customFormat="false" ht="12.8" hidden="false" customHeight="false" outlineLevel="0" collapsed="false">
      <c r="B58308" s="0" t="s">
        <v>550</v>
      </c>
      <c r="C58308" s="0" t="s">
        <v>20167</v>
      </c>
    </row>
    <row r="58310" customFormat="false" ht="12.8" hidden="false" customHeight="false" outlineLevel="0" collapsed="false">
      <c r="A58310" s="0" t="s">
        <v>20168</v>
      </c>
      <c r="B58310" s="0" t="str">
        <f aca="false">HYPERLINK("https://lindat.mff.cuni.cz/services/teitok/pdtc10/index.php?action=vallex&amp;frame=v-w8192f4", "vyplatit (v-w8192f4)")</f>
        <v>vyplatit (v-w8192f4)</v>
      </c>
    </row>
    <row r="58311" customFormat="false" ht="12.8" hidden="false" customHeight="false" outlineLevel="0" collapsed="false">
      <c r="B58311" s="0" t="s">
        <v>7</v>
      </c>
      <c r="C58311" s="0" t="s">
        <v>20169</v>
      </c>
    </row>
    <row r="58312" customFormat="false" ht="12.8" hidden="false" customHeight="false" outlineLevel="0" collapsed="false">
      <c r="B58312" s="0" t="s">
        <v>14</v>
      </c>
      <c r="C58312" s="0" t="s">
        <v>20170</v>
      </c>
    </row>
    <row r="58313" customFormat="false" ht="12.8" hidden="false" customHeight="false" outlineLevel="0" collapsed="false">
      <c r="B58313" s="0" t="s">
        <v>2339</v>
      </c>
    </row>
    <row r="58315" customFormat="false" ht="12.8" hidden="false" customHeight="false" outlineLevel="0" collapsed="false">
      <c r="A58315" s="0" t="s">
        <v>20171</v>
      </c>
      <c r="B58315" s="0" t="str">
        <f aca="false">HYPERLINK("https://lindat.mff.cuni.cz/services/teitok/pdtc10/index.php?action=vallex&amp;frame=v-w8192f5_ZU", "vyplatit (v-w8192f5_ZU)")</f>
        <v>vyplatit (v-w8192f5_ZU)</v>
      </c>
    </row>
    <row r="58316" customFormat="false" ht="12.8" hidden="false" customHeight="false" outlineLevel="0" collapsed="false">
      <c r="B58316" s="0" t="s">
        <v>7</v>
      </c>
    </row>
    <row r="58317" customFormat="false" ht="12.8" hidden="false" customHeight="false" outlineLevel="0" collapsed="false">
      <c r="B58317" s="0" t="s">
        <v>12635</v>
      </c>
    </row>
    <row r="58319" customFormat="false" ht="12.8" hidden="false" customHeight="false" outlineLevel="0" collapsed="false">
      <c r="A58319" s="0" t="s">
        <v>20171</v>
      </c>
      <c r="B58319" s="0" t="str">
        <f aca="false">HYPERLINK("https://lindat.mff.cuni.cz/services/teitok/pdtc10/index.php?action=vallex&amp;frame=v-w8192f3", "vyplatit (v-w8192f3) - substituted with v-w8192f5_ZU")</f>
        <v>vyplatit (v-w8192f3) - substituted with v-w8192f5_ZU</v>
      </c>
    </row>
    <row r="58320" customFormat="false" ht="12.8" hidden="false" customHeight="false" outlineLevel="0" collapsed="false">
      <c r="B58320" s="0" t="s">
        <v>7</v>
      </c>
    </row>
    <row r="58321" customFormat="false" ht="12.8" hidden="false" customHeight="false" outlineLevel="0" collapsed="false">
      <c r="B58321" s="0" t="s">
        <v>12635</v>
      </c>
    </row>
    <row r="58323" customFormat="false" ht="12.8" hidden="false" customHeight="false" outlineLevel="0" collapsed="false">
      <c r="A58323" s="0" t="s">
        <v>20172</v>
      </c>
      <c r="B58323" s="0" t="str">
        <f aca="false">HYPERLINK("https://lindat.mff.cuni.cz/services/teitok/pdtc10/index.php?action=vallex&amp;frame=v-w8192f2", "vyplatit (v-w8192f2)")</f>
        <v>vyplatit (v-w8192f2)</v>
      </c>
    </row>
    <row r="58324" customFormat="false" ht="12.8" hidden="false" customHeight="false" outlineLevel="0" collapsed="false">
      <c r="B58324" s="0" t="s">
        <v>7</v>
      </c>
      <c r="C58324" s="0" t="s">
        <v>20169</v>
      </c>
      <c r="D58324" s="0" t="s">
        <v>4000</v>
      </c>
      <c r="E58324" s="0" t="s">
        <v>4000</v>
      </c>
      <c r="F58324" s="0" t="s">
        <v>4000</v>
      </c>
    </row>
    <row r="58325" customFormat="false" ht="12.8" hidden="false" customHeight="false" outlineLevel="0" collapsed="false">
      <c r="B58325" s="0" t="s">
        <v>679</v>
      </c>
      <c r="C58325" s="0" t="s">
        <v>20173</v>
      </c>
      <c r="D58325" s="0" t="s">
        <v>9682</v>
      </c>
      <c r="E58325" s="0" t="s">
        <v>9682</v>
      </c>
      <c r="F58325" s="0" t="s">
        <v>9682</v>
      </c>
    </row>
    <row r="58326" customFormat="false" ht="12.8" hidden="false" customHeight="false" outlineLevel="0" collapsed="false">
      <c r="B58326" s="0" t="s">
        <v>1654</v>
      </c>
    </row>
    <row r="58327" customFormat="false" ht="12.8" hidden="false" customHeight="false" outlineLevel="0" collapsed="false">
      <c r="B58327" s="0" t="s">
        <v>106</v>
      </c>
      <c r="C58327" s="0" t="s">
        <v>9684</v>
      </c>
      <c r="D58327" s="0" t="s">
        <v>4004</v>
      </c>
      <c r="E58327" s="0" t="s">
        <v>4004</v>
      </c>
      <c r="F58327" s="0" t="s">
        <v>4004</v>
      </c>
    </row>
    <row r="58329" customFormat="false" ht="12.8" hidden="false" customHeight="false" outlineLevel="0" collapsed="false">
      <c r="A58329" s="0" t="s">
        <v>20174</v>
      </c>
      <c r="B58329" s="0" t="str">
        <f aca="false">HYPERLINK("https://lindat.mff.cuni.cz/services/teitok/pdtc10/index.php?action=vallex&amp;frame=v-w8192hsa_997", "vyplatit (v-w8192hsa_997)")</f>
        <v>vyplatit (v-w8192hsa_997)</v>
      </c>
    </row>
    <row r="58330" customFormat="false" ht="12.8" hidden="false" customHeight="false" outlineLevel="0" collapsed="false">
      <c r="B58330" s="0" t="s">
        <v>7</v>
      </c>
      <c r="C58330" s="0" t="s">
        <v>13980</v>
      </c>
      <c r="D58330" s="0" t="s">
        <v>20175</v>
      </c>
      <c r="E58330" s="0" t="s">
        <v>20175</v>
      </c>
      <c r="F58330" s="0" t="s">
        <v>20175</v>
      </c>
    </row>
    <row r="58331" customFormat="false" ht="12.8" hidden="false" customHeight="false" outlineLevel="0" collapsed="false">
      <c r="B58331" s="0" t="s">
        <v>14</v>
      </c>
      <c r="C58331" s="0" t="s">
        <v>20176</v>
      </c>
      <c r="D58331" s="0" t="s">
        <v>20177</v>
      </c>
      <c r="E58331" s="0" t="s">
        <v>20177</v>
      </c>
      <c r="F58331" s="0" t="s">
        <v>20177</v>
      </c>
    </row>
    <row r="58333" customFormat="false" ht="12.8" hidden="false" customHeight="false" outlineLevel="0" collapsed="false">
      <c r="A58333" s="0" t="s">
        <v>20178</v>
      </c>
      <c r="B58333" s="0" t="str">
        <f aca="false">HYPERLINK("https://lindat.mff.cuni.cz/services/teitok/pdtc10/index.php?action=vallex&amp;frame=v-w8193f3_ZU", "vyplatit se (v-w8193f3_ZU)")</f>
        <v>vyplatit se (v-w8193f3_ZU)</v>
      </c>
    </row>
    <row r="58334" customFormat="false" ht="12.8" hidden="false" customHeight="false" outlineLevel="0" collapsed="false">
      <c r="B58334" s="0" t="s">
        <v>20179</v>
      </c>
      <c r="D58334" s="0" t="s">
        <v>7215</v>
      </c>
      <c r="E58334" s="0" t="s">
        <v>7215</v>
      </c>
      <c r="F58334" s="0" t="s">
        <v>7215</v>
      </c>
    </row>
    <row r="58335" customFormat="false" ht="12.8" hidden="false" customHeight="false" outlineLevel="0" collapsed="false">
      <c r="B58335" s="0" t="s">
        <v>142</v>
      </c>
    </row>
    <row r="58337" customFormat="false" ht="12.8" hidden="false" customHeight="false" outlineLevel="0" collapsed="false">
      <c r="A58337" s="0" t="s">
        <v>20178</v>
      </c>
      <c r="B58337" s="0" t="str">
        <f aca="false">HYPERLINK("https://lindat.mff.cuni.cz/services/teitok/pdtc10/index.php?action=vallex&amp;frame=v-w8193f1", "vyplatit se (v-w8193f1) - substituted with v-w8193f3_ZU")</f>
        <v>vyplatit se (v-w8193f1) - substituted with v-w8193f3_ZU</v>
      </c>
    </row>
    <row r="58338" customFormat="false" ht="12.8" hidden="false" customHeight="false" outlineLevel="0" collapsed="false">
      <c r="B58338" s="0" t="s">
        <v>20179</v>
      </c>
      <c r="C58338" s="0" t="s">
        <v>7215</v>
      </c>
    </row>
    <row r="58339" customFormat="false" ht="12.8" hidden="false" customHeight="false" outlineLevel="0" collapsed="false">
      <c r="B58339" s="0" t="s">
        <v>142</v>
      </c>
    </row>
    <row r="58341" customFormat="false" ht="12.8" hidden="false" customHeight="false" outlineLevel="0" collapsed="false">
      <c r="A58341" s="0" t="s">
        <v>20180</v>
      </c>
      <c r="B58341" s="0" t="str">
        <f aca="false">HYPERLINK("https://lindat.mff.cuni.cz/services/teitok/pdtc10/index.php?action=vallex&amp;frame=v-w8193f2", "vyplatit se (v-w8193f2)")</f>
        <v>vyplatit se (v-w8193f2)</v>
      </c>
    </row>
    <row r="58342" customFormat="false" ht="12.8" hidden="false" customHeight="false" outlineLevel="0" collapsed="false">
      <c r="B58342" s="0" t="s">
        <v>7</v>
      </c>
    </row>
    <row r="58343" customFormat="false" ht="12.8" hidden="false" customHeight="false" outlineLevel="0" collapsed="false">
      <c r="B58343" s="0" t="s">
        <v>581</v>
      </c>
    </row>
    <row r="58345" customFormat="false" ht="12.8" hidden="false" customHeight="false" outlineLevel="0" collapsed="false">
      <c r="A58345" s="0" t="s">
        <v>20181</v>
      </c>
      <c r="B58345" s="0" t="str">
        <f aca="false">HYPERLINK("https://lindat.mff.cuni.cz/services/teitok/pdtc10/index.php?action=vallex&amp;frame=v-w11084f2", "vyplavat (v-w11084f2)")</f>
        <v>vyplavat (v-w11084f2)</v>
      </c>
    </row>
    <row r="58346" customFormat="false" ht="12.8" hidden="false" customHeight="false" outlineLevel="0" collapsed="false">
      <c r="B58346" s="0" t="s">
        <v>7</v>
      </c>
    </row>
    <row r="58347" customFormat="false" ht="12.8" hidden="false" customHeight="false" outlineLevel="0" collapsed="false">
      <c r="B58347" s="0" t="s">
        <v>19717</v>
      </c>
    </row>
    <row r="58349" customFormat="false" ht="12.8" hidden="false" customHeight="false" outlineLevel="0" collapsed="false">
      <c r="A58349" s="0" t="s">
        <v>20182</v>
      </c>
      <c r="B58349" s="0" t="str">
        <f aca="false">HYPERLINK("https://lindat.mff.cuni.cz/services/teitok/pdtc10/index.php?action=vallex&amp;frame=v-w11084f3_ZU", "vyplavat (v-w11084f3_ZU)")</f>
        <v>vyplavat (v-w11084f3_ZU)</v>
      </c>
    </row>
    <row r="58350" customFormat="false" ht="12.8" hidden="false" customHeight="false" outlineLevel="0" collapsed="false">
      <c r="B58350" s="0" t="s">
        <v>7</v>
      </c>
    </row>
    <row r="58351" customFormat="false" ht="12.8" hidden="false" customHeight="false" outlineLevel="0" collapsed="false">
      <c r="B58351" s="0" t="s">
        <v>5382</v>
      </c>
    </row>
    <row r="58353" customFormat="false" ht="12.8" hidden="false" customHeight="false" outlineLevel="0" collapsed="false">
      <c r="A58353" s="0" t="s">
        <v>20183</v>
      </c>
      <c r="B58353" s="0" t="str">
        <f aca="false">HYPERLINK("https://lindat.mff.cuni.cz/services/teitok/pdtc10/index.php?action=vallex&amp;frame=v-whsb_1023hsa_1024", "vyplavat se (v-whsb_1023hsa_1024)")</f>
        <v>vyplavat se (v-whsb_1023hsa_1024)</v>
      </c>
    </row>
    <row r="58354" customFormat="false" ht="12.8" hidden="false" customHeight="false" outlineLevel="0" collapsed="false">
      <c r="B58354" s="0" t="s">
        <v>7</v>
      </c>
    </row>
    <row r="58356" customFormat="false" ht="12.8" hidden="false" customHeight="false" outlineLevel="0" collapsed="false">
      <c r="A58356" s="0" t="s">
        <v>20184</v>
      </c>
      <c r="B58356" s="0" t="str">
        <f aca="false">HYPERLINK("https://lindat.mff.cuni.cz/services/teitok/pdtc10/index.php?action=vallex&amp;frame=v-w11066f2", "vyplavit (v-w11066f2)")</f>
        <v>vyplavit (v-w11066f2)</v>
      </c>
    </row>
    <row r="58357" customFormat="false" ht="12.8" hidden="false" customHeight="false" outlineLevel="0" collapsed="false">
      <c r="B58357" s="0" t="s">
        <v>7</v>
      </c>
    </row>
    <row r="58358" customFormat="false" ht="12.8" hidden="false" customHeight="false" outlineLevel="0" collapsed="false">
      <c r="B58358" s="0" t="s">
        <v>14</v>
      </c>
    </row>
    <row r="58359" customFormat="false" ht="12.8" hidden="false" customHeight="false" outlineLevel="0" collapsed="false">
      <c r="B58359" s="0" t="s">
        <v>459</v>
      </c>
    </row>
    <row r="58361" customFormat="false" ht="12.8" hidden="false" customHeight="false" outlineLevel="0" collapsed="false">
      <c r="A58361" s="0" t="s">
        <v>20185</v>
      </c>
      <c r="B58361" s="0" t="str">
        <f aca="false">HYPERLINK("https://lindat.mff.cuni.cz/services/teitok/pdtc10/index.php?action=vallex&amp;frame=v-w11066f3_ZU", "vyplavit (v-w11066f3_ZU)")</f>
        <v>vyplavit (v-w11066f3_ZU)</v>
      </c>
    </row>
    <row r="58362" customFormat="false" ht="12.8" hidden="false" customHeight="false" outlineLevel="0" collapsed="false">
      <c r="B58362" s="0" t="s">
        <v>7</v>
      </c>
    </row>
    <row r="58363" customFormat="false" ht="12.8" hidden="false" customHeight="false" outlineLevel="0" collapsed="false">
      <c r="B58363" s="0" t="s">
        <v>14</v>
      </c>
    </row>
    <row r="58365" customFormat="false" ht="12.8" hidden="false" customHeight="false" outlineLevel="0" collapsed="false">
      <c r="A58365" s="0" t="s">
        <v>20186</v>
      </c>
      <c r="B58365" s="0" t="str">
        <f aca="false">HYPERLINK("https://lindat.mff.cuni.cz/services/teitok/pdtc10/index.php?action=vallex&amp;frame=v-w12107_ZUf1_ZU", "vyplazovat (v-w12107_ZUf1_ZU)")</f>
        <v>vyplazovat (v-w12107_ZUf1_ZU)</v>
      </c>
    </row>
    <row r="58366" customFormat="false" ht="12.8" hidden="false" customHeight="false" outlineLevel="0" collapsed="false">
      <c r="B58366" s="0" t="s">
        <v>7</v>
      </c>
    </row>
    <row r="58367" customFormat="false" ht="12.8" hidden="false" customHeight="false" outlineLevel="0" collapsed="false">
      <c r="B58367" s="0" t="s">
        <v>14</v>
      </c>
    </row>
    <row r="58368" customFormat="false" ht="12.8" hidden="false" customHeight="false" outlineLevel="0" collapsed="false">
      <c r="B58368" s="0" t="s">
        <v>4101</v>
      </c>
    </row>
    <row r="58370" customFormat="false" ht="12.8" hidden="false" customHeight="false" outlineLevel="0" collapsed="false">
      <c r="A58370" s="0" t="s">
        <v>20187</v>
      </c>
      <c r="B58370" s="0" t="str">
        <f aca="false">HYPERLINK("https://lindat.mff.cuni.cz/services/teitok/pdtc10/index.php?action=vallex&amp;frame=v-w8190f1", "vyplašit (v-w8190f1)")</f>
        <v>vyplašit (v-w8190f1)</v>
      </c>
    </row>
    <row r="58371" customFormat="false" ht="12.8" hidden="false" customHeight="false" outlineLevel="0" collapsed="false">
      <c r="B58371" s="0" t="s">
        <v>7</v>
      </c>
      <c r="C58371" s="0" t="s">
        <v>118</v>
      </c>
      <c r="D58371" s="0" t="s">
        <v>3576</v>
      </c>
      <c r="E58371" s="0" t="s">
        <v>3576</v>
      </c>
      <c r="F58371" s="0" t="s">
        <v>3576</v>
      </c>
    </row>
    <row r="58372" customFormat="false" ht="12.8" hidden="false" customHeight="false" outlineLevel="0" collapsed="false">
      <c r="B58372" s="0" t="s">
        <v>14</v>
      </c>
      <c r="C58372" s="0" t="s">
        <v>1264</v>
      </c>
      <c r="D58372" s="0" t="s">
        <v>2641</v>
      </c>
      <c r="E58372" s="0" t="s">
        <v>2641</v>
      </c>
      <c r="F58372" s="0" t="s">
        <v>2641</v>
      </c>
    </row>
    <row r="58374" customFormat="false" ht="12.8" hidden="false" customHeight="false" outlineLevel="0" collapsed="false">
      <c r="A58374" s="0" t="s">
        <v>20188</v>
      </c>
      <c r="B58374" s="0" t="str">
        <f aca="false">HYPERLINK("https://lindat.mff.cuni.cz/services/teitok/pdtc10/index.php?action=vallex&amp;frame=v-w8194f1", "vyplenit (v-w8194f1)")</f>
        <v>vyplenit (v-w8194f1)</v>
      </c>
    </row>
    <row r="58375" customFormat="false" ht="12.8" hidden="false" customHeight="false" outlineLevel="0" collapsed="false">
      <c r="B58375" s="0" t="s">
        <v>7</v>
      </c>
    </row>
    <row r="58376" customFormat="false" ht="12.8" hidden="false" customHeight="false" outlineLevel="0" collapsed="false">
      <c r="B58376" s="0" t="s">
        <v>14</v>
      </c>
    </row>
    <row r="58378" customFormat="false" ht="12.8" hidden="false" customHeight="false" outlineLevel="0" collapsed="false">
      <c r="A58378" s="0" t="s">
        <v>20189</v>
      </c>
      <c r="B58378" s="0" t="str">
        <f aca="false">HYPERLINK("https://lindat.mff.cuni.cz/services/teitok/pdtc10/index.php?action=vallex&amp;frame=v-w8195f1", "vyplivnout (v-w8195f1)")</f>
        <v>vyplivnout (v-w8195f1)</v>
      </c>
    </row>
    <row r="58379" customFormat="false" ht="12.8" hidden="false" customHeight="false" outlineLevel="0" collapsed="false">
      <c r="B58379" s="0" t="s">
        <v>7</v>
      </c>
      <c r="D58379" s="0" t="s">
        <v>184</v>
      </c>
      <c r="E58379" s="0" t="s">
        <v>184</v>
      </c>
      <c r="F58379" s="0" t="s">
        <v>184</v>
      </c>
    </row>
    <row r="58380" customFormat="false" ht="12.8" hidden="false" customHeight="false" outlineLevel="0" collapsed="false">
      <c r="B58380" s="0" t="s">
        <v>14</v>
      </c>
      <c r="D58380" s="0" t="s">
        <v>384</v>
      </c>
      <c r="E58380" s="0" t="s">
        <v>384</v>
      </c>
      <c r="F58380" s="0" t="s">
        <v>384</v>
      </c>
    </row>
    <row r="58382" customFormat="false" ht="12.8" hidden="false" customHeight="false" outlineLevel="0" collapsed="false">
      <c r="A58382" s="0" t="s">
        <v>20190</v>
      </c>
      <c r="B58382" s="0" t="str">
        <f aca="false">HYPERLINK("https://lindat.mff.cuni.cz/services/teitok/pdtc10/index.php?action=vallex&amp;frame=v-w11625_ZUf1_ZU", "vyplivovat (v-w11625_ZUf1_ZU)")</f>
        <v>vyplivovat (v-w11625_ZUf1_ZU)</v>
      </c>
    </row>
    <row r="58383" customFormat="false" ht="12.8" hidden="false" customHeight="false" outlineLevel="0" collapsed="false">
      <c r="B58383" s="0" t="s">
        <v>7</v>
      </c>
      <c r="C58383" s="0" t="s">
        <v>46</v>
      </c>
      <c r="D58383" s="0" t="s">
        <v>184</v>
      </c>
      <c r="E58383" s="0" t="s">
        <v>184</v>
      </c>
      <c r="F58383" s="0" t="s">
        <v>184</v>
      </c>
    </row>
    <row r="58384" customFormat="false" ht="12.8" hidden="false" customHeight="false" outlineLevel="0" collapsed="false">
      <c r="B58384" s="0" t="s">
        <v>14</v>
      </c>
      <c r="C58384" s="0" t="s">
        <v>115</v>
      </c>
      <c r="D58384" s="0" t="s">
        <v>384</v>
      </c>
      <c r="E58384" s="0" t="s">
        <v>384</v>
      </c>
      <c r="F58384" s="0" t="s">
        <v>384</v>
      </c>
    </row>
    <row r="58386" customFormat="false" ht="12.8" hidden="false" customHeight="false" outlineLevel="0" collapsed="false">
      <c r="A58386" s="0" t="s">
        <v>20191</v>
      </c>
      <c r="B58386" s="0" t="str">
        <f aca="false">HYPERLINK("https://lindat.mff.cuni.cz/services/teitok/pdtc10/index.php?action=vallex&amp;frame=v-w8197f2_ZU", "vyplnit (v-w8197f2_ZU)")</f>
        <v>vyplnit (v-w8197f2_ZU)</v>
      </c>
    </row>
    <row r="58387" customFormat="false" ht="12.8" hidden="false" customHeight="false" outlineLevel="0" collapsed="false">
      <c r="B58387" s="0" t="s">
        <v>7</v>
      </c>
      <c r="C58387" s="0" t="s">
        <v>113</v>
      </c>
      <c r="D58387" s="0" t="s">
        <v>6737</v>
      </c>
      <c r="E58387" s="0" t="s">
        <v>6737</v>
      </c>
      <c r="F58387" s="0" t="s">
        <v>6737</v>
      </c>
    </row>
    <row r="58388" customFormat="false" ht="12.8" hidden="false" customHeight="false" outlineLevel="0" collapsed="false">
      <c r="B58388" s="0" t="s">
        <v>14</v>
      </c>
      <c r="C58388" s="0" t="s">
        <v>155</v>
      </c>
      <c r="D58388" s="0" t="s">
        <v>6739</v>
      </c>
      <c r="E58388" s="0" t="s">
        <v>6739</v>
      </c>
      <c r="F58388" s="0" t="s">
        <v>6739</v>
      </c>
    </row>
    <row r="58389" customFormat="false" ht="12.8" hidden="false" customHeight="false" outlineLevel="0" collapsed="false">
      <c r="B58389" s="0" t="s">
        <v>6292</v>
      </c>
      <c r="D58389" s="0" t="s">
        <v>6741</v>
      </c>
      <c r="E58389" s="0" t="s">
        <v>6741</v>
      </c>
      <c r="F58389" s="0" t="s">
        <v>6741</v>
      </c>
    </row>
    <row r="58391" customFormat="false" ht="12.8" hidden="false" customHeight="false" outlineLevel="0" collapsed="false">
      <c r="A58391" s="0" t="s">
        <v>20192</v>
      </c>
      <c r="B58391" s="0" t="str">
        <f aca="false">HYPERLINK("https://lindat.mff.cuni.cz/services/teitok/pdtc10/index.php?action=vallex&amp;frame=v-w8197f1", "vyplnit (v-w8197f1)")</f>
        <v>vyplnit (v-w8197f1)</v>
      </c>
    </row>
    <row r="58392" customFormat="false" ht="12.8" hidden="false" customHeight="false" outlineLevel="0" collapsed="false">
      <c r="B58392" s="0" t="s">
        <v>7</v>
      </c>
      <c r="C58392" s="0" t="s">
        <v>3610</v>
      </c>
    </row>
    <row r="58393" customFormat="false" ht="12.8" hidden="false" customHeight="false" outlineLevel="0" collapsed="false">
      <c r="B58393" s="0" t="s">
        <v>14</v>
      </c>
      <c r="C58393" s="0" t="s">
        <v>1313</v>
      </c>
      <c r="D58393" s="0" t="s">
        <v>567</v>
      </c>
      <c r="E58393" s="0" t="s">
        <v>567</v>
      </c>
      <c r="F58393" s="0" t="s">
        <v>567</v>
      </c>
    </row>
    <row r="58395" customFormat="false" ht="12.8" hidden="false" customHeight="false" outlineLevel="0" collapsed="false">
      <c r="A58395" s="0" t="s">
        <v>20193</v>
      </c>
      <c r="B58395" s="0" t="str">
        <f aca="false">HYPERLINK("https://lindat.mff.cuni.cz/services/teitok/pdtc10/index.php?action=vallex&amp;frame=v-w8197hsa_1284", "vyplnit (v-w8197hsa_1284)")</f>
        <v>vyplnit (v-w8197hsa_1284)</v>
      </c>
    </row>
    <row r="58396" customFormat="false" ht="12.8" hidden="false" customHeight="false" outlineLevel="0" collapsed="false">
      <c r="B58396" s="0" t="s">
        <v>7</v>
      </c>
    </row>
    <row r="58397" customFormat="false" ht="12.8" hidden="false" customHeight="false" outlineLevel="0" collapsed="false">
      <c r="B58397" s="0" t="s">
        <v>14</v>
      </c>
    </row>
    <row r="58399" customFormat="false" ht="12.8" hidden="false" customHeight="false" outlineLevel="0" collapsed="false">
      <c r="A58399" s="0" t="s">
        <v>20194</v>
      </c>
      <c r="B58399" s="0" t="str">
        <f aca="false">HYPERLINK("https://lindat.mff.cuni.cz/services/teitok/pdtc10/index.php?action=vallex&amp;frame=v-w8198f1", "vyplnit se (v-w8198f1)")</f>
        <v>vyplnit se (v-w8198f1)</v>
      </c>
    </row>
    <row r="58400" customFormat="false" ht="12.8" hidden="false" customHeight="false" outlineLevel="0" collapsed="false">
      <c r="B58400" s="0" t="s">
        <v>7</v>
      </c>
      <c r="F58400" s="0" t="s">
        <v>6750</v>
      </c>
    </row>
    <row r="58402" customFormat="false" ht="12.8" hidden="false" customHeight="false" outlineLevel="0" collapsed="false">
      <c r="A58402" s="0" t="s">
        <v>20195</v>
      </c>
      <c r="B58402" s="0" t="str">
        <f aca="false">HYPERLINK("https://lindat.mff.cuni.cz/services/teitok/pdtc10/index.php?action=vallex&amp;frame=v-w10312f2", "vyplodit (v-w10312f2)")</f>
        <v>vyplodit (v-w10312f2)</v>
      </c>
    </row>
    <row r="58403" customFormat="false" ht="12.8" hidden="false" customHeight="false" outlineLevel="0" collapsed="false">
      <c r="B58403" s="0" t="s">
        <v>7</v>
      </c>
    </row>
    <row r="58404" customFormat="false" ht="12.8" hidden="false" customHeight="false" outlineLevel="0" collapsed="false">
      <c r="B58404" s="0" t="s">
        <v>14</v>
      </c>
    </row>
    <row r="58406" customFormat="false" ht="12.8" hidden="false" customHeight="false" outlineLevel="0" collapsed="false">
      <c r="A58406" s="0" t="s">
        <v>20196</v>
      </c>
      <c r="B58406" s="0" t="str">
        <f aca="false">HYPERLINK("https://lindat.mff.cuni.cz/services/teitok/pdtc10/index.php?action=vallex&amp;frame=v-w8202f1", "vyplout (v-w8202f1)")</f>
        <v>vyplout (v-w8202f1)</v>
      </c>
    </row>
    <row r="58407" customFormat="false" ht="12.8" hidden="false" customHeight="false" outlineLevel="0" collapsed="false">
      <c r="B58407" s="0" t="s">
        <v>7</v>
      </c>
    </row>
    <row r="58408" customFormat="false" ht="12.8" hidden="false" customHeight="false" outlineLevel="0" collapsed="false">
      <c r="B58408" s="0" t="s">
        <v>459</v>
      </c>
    </row>
    <row r="58410" customFormat="false" ht="12.8" hidden="false" customHeight="false" outlineLevel="0" collapsed="false">
      <c r="A58410" s="0" t="s">
        <v>20197</v>
      </c>
      <c r="B58410" s="0" t="str">
        <f aca="false">HYPERLINK("https://lindat.mff.cuni.cz/services/teitok/pdtc10/index.php?action=vallex&amp;frame=v-w8203f1", "vyplouvat (v-w8203f1)")</f>
        <v>vyplouvat (v-w8203f1)</v>
      </c>
    </row>
    <row r="58411" customFormat="false" ht="12.8" hidden="false" customHeight="false" outlineLevel="0" collapsed="false">
      <c r="B58411" s="0" t="s">
        <v>7</v>
      </c>
    </row>
    <row r="58412" customFormat="false" ht="12.8" hidden="false" customHeight="false" outlineLevel="0" collapsed="false">
      <c r="B58412" s="0" t="s">
        <v>459</v>
      </c>
    </row>
    <row r="58414" customFormat="false" ht="12.8" hidden="false" customHeight="false" outlineLevel="0" collapsed="false">
      <c r="A58414" s="0" t="s">
        <v>20198</v>
      </c>
      <c r="B58414" s="0" t="str">
        <f aca="false">HYPERLINK("https://lindat.mff.cuni.cz/services/teitok/pdtc10/index.php?action=vallex&amp;frame=v-w8203f2", "vyplouvat (v-w8203f2)")</f>
        <v>vyplouvat (v-w8203f2)</v>
      </c>
    </row>
    <row r="58415" customFormat="false" ht="12.8" hidden="false" customHeight="false" outlineLevel="0" collapsed="false">
      <c r="B58415" s="0" t="s">
        <v>7</v>
      </c>
    </row>
    <row r="58416" customFormat="false" ht="12.8" hidden="false" customHeight="false" outlineLevel="0" collapsed="false">
      <c r="B58416" s="0" t="s">
        <v>19717</v>
      </c>
    </row>
    <row r="58418" customFormat="false" ht="12.8" hidden="false" customHeight="false" outlineLevel="0" collapsed="false">
      <c r="A58418" s="0" t="s">
        <v>20199</v>
      </c>
      <c r="B58418" s="0" t="str">
        <f aca="false">HYPERLINK("https://lindat.mff.cuni.cz/services/teitok/pdtc10/index.php?action=vallex&amp;frame=v-w8205f1", "vyplynout (v-w8205f1)")</f>
        <v>vyplynout (v-w8205f1)</v>
      </c>
    </row>
    <row r="58419" customFormat="false" ht="12.8" hidden="false" customHeight="false" outlineLevel="0" collapsed="false">
      <c r="B58419" s="0" t="s">
        <v>641</v>
      </c>
      <c r="C58419" s="0" t="s">
        <v>20200</v>
      </c>
      <c r="D58419" s="0" t="s">
        <v>9818</v>
      </c>
      <c r="E58419" s="0" t="s">
        <v>9818</v>
      </c>
      <c r="F58419" s="0" t="s">
        <v>9818</v>
      </c>
    </row>
    <row r="58420" customFormat="false" ht="12.8" hidden="false" customHeight="false" outlineLevel="0" collapsed="false">
      <c r="B58420" s="0" t="s">
        <v>227</v>
      </c>
      <c r="C58420" s="0" t="s">
        <v>20201</v>
      </c>
      <c r="D58420" s="0" t="s">
        <v>9820</v>
      </c>
      <c r="E58420" s="0" t="s">
        <v>9820</v>
      </c>
      <c r="F58420" s="0" t="s">
        <v>9820</v>
      </c>
    </row>
    <row r="58422" customFormat="false" ht="12.8" hidden="false" customHeight="false" outlineLevel="0" collapsed="false">
      <c r="A58422" s="0" t="s">
        <v>20202</v>
      </c>
      <c r="B58422" s="0" t="str">
        <f aca="false">HYPERLINK("https://lindat.mff.cuni.cz/services/teitok/pdtc10/index.php?action=vallex&amp;frame=v-w11832_ZUf1_ZU", "vyplynovat (v-w11832_ZUf1_ZU)")</f>
        <v>vyplynovat (v-w11832_ZUf1_ZU)</v>
      </c>
    </row>
    <row r="58423" customFormat="false" ht="12.8" hidden="false" customHeight="false" outlineLevel="0" collapsed="false">
      <c r="B58423" s="0" t="s">
        <v>7</v>
      </c>
    </row>
    <row r="58424" customFormat="false" ht="12.8" hidden="false" customHeight="false" outlineLevel="0" collapsed="false">
      <c r="B58424" s="0" t="s">
        <v>14</v>
      </c>
    </row>
    <row r="58426" customFormat="false" ht="12.8" hidden="false" customHeight="false" outlineLevel="0" collapsed="false">
      <c r="A58426" s="0" t="s">
        <v>20203</v>
      </c>
      <c r="B58426" s="0" t="str">
        <f aca="false">HYPERLINK("https://lindat.mff.cuni.cz/services/teitok/pdtc10/index.php?action=vallex&amp;frame=v-w8188f1", "vyplácet (v-w8188f1)")</f>
        <v>vyplácet (v-w8188f1)</v>
      </c>
    </row>
    <row r="58427" customFormat="false" ht="12.8" hidden="false" customHeight="false" outlineLevel="0" collapsed="false">
      <c r="B58427" s="0" t="s">
        <v>7</v>
      </c>
      <c r="C58427" s="0" t="s">
        <v>20204</v>
      </c>
      <c r="D58427" s="0" t="s">
        <v>9673</v>
      </c>
      <c r="E58427" s="0" t="s">
        <v>9673</v>
      </c>
      <c r="F58427" s="0" t="s">
        <v>9673</v>
      </c>
    </row>
    <row r="58428" customFormat="false" ht="12.8" hidden="false" customHeight="false" outlineLevel="0" collapsed="false">
      <c r="B58428" s="0" t="s">
        <v>14</v>
      </c>
      <c r="C58428" s="0" t="s">
        <v>20205</v>
      </c>
      <c r="D58428" s="0" t="s">
        <v>20206</v>
      </c>
      <c r="E58428" s="0" t="s">
        <v>20206</v>
      </c>
      <c r="F58428" s="0" t="s">
        <v>20206</v>
      </c>
    </row>
    <row r="58429" customFormat="false" ht="12.8" hidden="false" customHeight="false" outlineLevel="0" collapsed="false">
      <c r="B58429" s="0" t="s">
        <v>48</v>
      </c>
      <c r="C58429" s="0" t="s">
        <v>4003</v>
      </c>
      <c r="D58429" s="0" t="s">
        <v>20207</v>
      </c>
      <c r="E58429" s="0" t="s">
        <v>20207</v>
      </c>
      <c r="F58429" s="0" t="s">
        <v>20207</v>
      </c>
    </row>
    <row r="58431" customFormat="false" ht="12.8" hidden="false" customHeight="false" outlineLevel="0" collapsed="false">
      <c r="A58431" s="0" t="s">
        <v>20208</v>
      </c>
      <c r="B58431" s="0" t="str">
        <f aca="false">HYPERLINK("https://lindat.mff.cuni.cz/services/teitok/pdtc10/index.php?action=vallex&amp;frame=v-w8188f3_ZU", "vyplácet (v-w8188f3_ZU)")</f>
        <v>vyplácet (v-w8188f3_ZU)</v>
      </c>
    </row>
    <row r="58432" customFormat="false" ht="12.8" hidden="false" customHeight="false" outlineLevel="0" collapsed="false">
      <c r="B58432" s="0" t="s">
        <v>7</v>
      </c>
      <c r="D58432" s="0" t="s">
        <v>46</v>
      </c>
      <c r="E58432" s="0" t="s">
        <v>46</v>
      </c>
      <c r="F58432" s="0" t="s">
        <v>46</v>
      </c>
    </row>
    <row r="58433" customFormat="false" ht="12.8" hidden="false" customHeight="false" outlineLevel="0" collapsed="false">
      <c r="B58433" s="0" t="s">
        <v>14</v>
      </c>
      <c r="D58433" s="0" t="s">
        <v>4079</v>
      </c>
      <c r="E58433" s="0" t="s">
        <v>4079</v>
      </c>
      <c r="F58433" s="0" t="s">
        <v>4079</v>
      </c>
    </row>
    <row r="58435" customFormat="false" ht="12.8" hidden="false" customHeight="false" outlineLevel="0" collapsed="false">
      <c r="A58435" s="0" t="s">
        <v>20209</v>
      </c>
      <c r="B58435" s="0" t="str">
        <f aca="false">HYPERLINK("https://lindat.mff.cuni.cz/services/teitok/pdtc10/index.php?action=vallex&amp;frame=v-w8188f2", "vyplácet (v-w8188f2)")</f>
        <v>vyplácet (v-w8188f2)</v>
      </c>
    </row>
    <row r="58436" customFormat="false" ht="12.8" hidden="false" customHeight="false" outlineLevel="0" collapsed="false">
      <c r="B58436" s="0" t="s">
        <v>7</v>
      </c>
      <c r="C58436" s="0" t="s">
        <v>20210</v>
      </c>
      <c r="D58436" s="0" t="s">
        <v>4000</v>
      </c>
      <c r="E58436" s="0" t="s">
        <v>4000</v>
      </c>
      <c r="F58436" s="0" t="s">
        <v>4000</v>
      </c>
    </row>
    <row r="58437" customFormat="false" ht="12.8" hidden="false" customHeight="false" outlineLevel="0" collapsed="false">
      <c r="B58437" s="0" t="s">
        <v>679</v>
      </c>
      <c r="C58437" s="0" t="s">
        <v>20211</v>
      </c>
      <c r="D58437" s="0" t="s">
        <v>9682</v>
      </c>
      <c r="E58437" s="0" t="s">
        <v>9682</v>
      </c>
      <c r="F58437" s="0" t="s">
        <v>9682</v>
      </c>
    </row>
    <row r="58438" customFormat="false" ht="12.8" hidden="false" customHeight="false" outlineLevel="0" collapsed="false">
      <c r="B58438" s="0" t="s">
        <v>1654</v>
      </c>
      <c r="C58438" s="0" t="s">
        <v>7946</v>
      </c>
    </row>
    <row r="58439" customFormat="false" ht="12.8" hidden="false" customHeight="false" outlineLevel="0" collapsed="false">
      <c r="B58439" s="0" t="s">
        <v>106</v>
      </c>
      <c r="C58439" s="0" t="s">
        <v>9684</v>
      </c>
      <c r="D58439" s="0" t="s">
        <v>4004</v>
      </c>
      <c r="E58439" s="0" t="s">
        <v>4004</v>
      </c>
      <c r="F58439" s="0" t="s">
        <v>4004</v>
      </c>
    </row>
    <row r="58441" customFormat="false" ht="12.8" hidden="false" customHeight="false" outlineLevel="0" collapsed="false">
      <c r="A58441" s="0" t="s">
        <v>20212</v>
      </c>
      <c r="B58441" s="0" t="str">
        <f aca="false">HYPERLINK("https://lindat.mff.cuni.cz/services/teitok/pdtc10/index.php?action=vallex&amp;frame=v-w8188f4_ZU", "vyplácet (v-w8188f4_ZU)")</f>
        <v>vyplácet (v-w8188f4_ZU)</v>
      </c>
    </row>
    <row r="58442" customFormat="false" ht="12.8" hidden="false" customHeight="false" outlineLevel="0" collapsed="false">
      <c r="B58442" s="0" t="s">
        <v>7</v>
      </c>
      <c r="D58442" s="0" t="s">
        <v>46</v>
      </c>
      <c r="E58442" s="0" t="s">
        <v>46</v>
      </c>
      <c r="F58442" s="0" t="s">
        <v>46</v>
      </c>
    </row>
    <row r="58443" customFormat="false" ht="12.8" hidden="false" customHeight="false" outlineLevel="0" collapsed="false">
      <c r="B58443" s="0" t="s">
        <v>14</v>
      </c>
      <c r="D58443" s="0" t="s">
        <v>4079</v>
      </c>
      <c r="E58443" s="0" t="s">
        <v>4079</v>
      </c>
      <c r="F58443" s="0" t="s">
        <v>4079</v>
      </c>
    </row>
    <row r="58445" customFormat="false" ht="12.8" hidden="false" customHeight="false" outlineLevel="0" collapsed="false">
      <c r="A58445" s="0" t="s">
        <v>20212</v>
      </c>
      <c r="B58445" s="0" t="str">
        <f aca="false">HYPERLINK("https://lindat.mff.cuni.cz/services/teitok/pdtc10/index.php?action=vallex&amp;frame=v-w8188hsa_240", "vyplácet (v-w8188hsa_240) - substituted with v-w8188f4_ZU")</f>
        <v>vyplácet (v-w8188hsa_240) - substituted with v-w8188f4_ZU</v>
      </c>
    </row>
    <row r="58446" customFormat="false" ht="12.8" hidden="false" customHeight="false" outlineLevel="0" collapsed="false">
      <c r="B58446" s="0" t="s">
        <v>7</v>
      </c>
    </row>
    <row r="58447" customFormat="false" ht="12.8" hidden="false" customHeight="false" outlineLevel="0" collapsed="false">
      <c r="B58447" s="0" t="s">
        <v>14</v>
      </c>
    </row>
    <row r="58449" customFormat="false" ht="12.8" hidden="false" customHeight="false" outlineLevel="0" collapsed="false">
      <c r="A58449" s="0" t="s">
        <v>20213</v>
      </c>
      <c r="B58449" s="0" t="str">
        <f aca="false">HYPERLINK("https://lindat.mff.cuni.cz/services/teitok/pdtc10/index.php?action=vallex&amp;frame=v-w8188f6_ZU", "vyplácet (v-w8188f6_ZU)")</f>
        <v>vyplácet (v-w8188f6_ZU)</v>
      </c>
    </row>
    <row r="58450" customFormat="false" ht="12.8" hidden="false" customHeight="false" outlineLevel="0" collapsed="false">
      <c r="B58450" s="0" t="s">
        <v>7</v>
      </c>
      <c r="C58450" s="0" t="s">
        <v>9680</v>
      </c>
      <c r="D58450" s="0" t="s">
        <v>4000</v>
      </c>
      <c r="E58450" s="0" t="s">
        <v>4000</v>
      </c>
      <c r="F58450" s="0" t="s">
        <v>4000</v>
      </c>
    </row>
    <row r="58451" customFormat="false" ht="12.8" hidden="false" customHeight="false" outlineLevel="0" collapsed="false">
      <c r="B58451" s="0" t="s">
        <v>14</v>
      </c>
      <c r="C58451" s="0" t="s">
        <v>2466</v>
      </c>
      <c r="D58451" s="0" t="s">
        <v>4002</v>
      </c>
      <c r="E58451" s="0" t="s">
        <v>4002</v>
      </c>
      <c r="F58451" s="0" t="s">
        <v>4002</v>
      </c>
    </row>
    <row r="58452" customFormat="false" ht="12.8" hidden="false" customHeight="false" outlineLevel="0" collapsed="false">
      <c r="B58452" s="0" t="s">
        <v>106</v>
      </c>
      <c r="C58452" s="0" t="s">
        <v>9684</v>
      </c>
      <c r="D58452" s="0" t="s">
        <v>4004</v>
      </c>
      <c r="E58452" s="0" t="s">
        <v>4004</v>
      </c>
      <c r="F58452" s="0" t="s">
        <v>4004</v>
      </c>
    </row>
    <row r="58453" customFormat="false" ht="12.8" hidden="false" customHeight="false" outlineLevel="0" collapsed="false">
      <c r="B58453" s="0" t="s">
        <v>550</v>
      </c>
      <c r="C58453" s="0" t="s">
        <v>20214</v>
      </c>
    </row>
    <row r="58455" customFormat="false" ht="12.8" hidden="false" customHeight="false" outlineLevel="0" collapsed="false">
      <c r="A58455" s="0" t="s">
        <v>20213</v>
      </c>
      <c r="B58455" s="0" t="str">
        <f aca="false">HYPERLINK("https://lindat.mff.cuni.cz/services/teitok/pdtc10/index.php?action=vallex&amp;frame=v-w8188f5_ZU", "vyplácet (v-w8188f5_ZU) - substituted with v-w8188f6_ZU")</f>
        <v>vyplácet (v-w8188f5_ZU) - substituted with v-w8188f6_ZU</v>
      </c>
    </row>
    <row r="58456" customFormat="false" ht="12.8" hidden="false" customHeight="false" outlineLevel="0" collapsed="false">
      <c r="B58456" s="0" t="s">
        <v>7</v>
      </c>
    </row>
    <row r="58457" customFormat="false" ht="12.8" hidden="false" customHeight="false" outlineLevel="0" collapsed="false">
      <c r="B58457" s="0" t="s">
        <v>14</v>
      </c>
    </row>
    <row r="58458" customFormat="false" ht="12.8" hidden="false" customHeight="false" outlineLevel="0" collapsed="false">
      <c r="B58458" s="0" t="s">
        <v>106</v>
      </c>
    </row>
    <row r="58459" customFormat="false" ht="12.8" hidden="false" customHeight="false" outlineLevel="0" collapsed="false">
      <c r="B58459" s="0" t="s">
        <v>550</v>
      </c>
    </row>
    <row r="58461" customFormat="false" ht="12.8" hidden="false" customHeight="false" outlineLevel="0" collapsed="false">
      <c r="A58461" s="0" t="s">
        <v>20215</v>
      </c>
      <c r="B58461" s="0" t="str">
        <f aca="false">HYPERLINK("https://lindat.mff.cuni.cz/services/teitok/pdtc10/index.php?action=vallex&amp;frame=v-w8189f1", "vyplácet se (v-w8189f1)")</f>
        <v>vyplácet se (v-w8189f1)</v>
      </c>
    </row>
    <row r="58462" customFormat="false" ht="12.8" hidden="false" customHeight="false" outlineLevel="0" collapsed="false">
      <c r="B58462" s="0" t="s">
        <v>632</v>
      </c>
      <c r="C58462" s="0" t="s">
        <v>2894</v>
      </c>
      <c r="D58462" s="0" t="s">
        <v>7215</v>
      </c>
      <c r="E58462" s="0" t="s">
        <v>7215</v>
      </c>
      <c r="F58462" s="0" t="s">
        <v>7215</v>
      </c>
    </row>
    <row r="58463" customFormat="false" ht="12.8" hidden="false" customHeight="false" outlineLevel="0" collapsed="false">
      <c r="B58463" s="0" t="s">
        <v>142</v>
      </c>
    </row>
    <row r="58465" customFormat="false" ht="12.8" hidden="false" customHeight="false" outlineLevel="0" collapsed="false">
      <c r="A58465" s="0" t="s">
        <v>20216</v>
      </c>
      <c r="B58465" s="0" t="str">
        <f aca="false">HYPERLINK("https://lindat.mff.cuni.cz/services/teitok/pdtc10/index.php?action=vallex&amp;frame=v-whsa_99hsa_100", "vypláchnout (v-whsa_99hsa_100)")</f>
        <v>vypláchnout (v-whsa_99hsa_100)</v>
      </c>
    </row>
    <row r="58466" customFormat="false" ht="12.8" hidden="false" customHeight="false" outlineLevel="0" collapsed="false">
      <c r="B58466" s="0" t="s">
        <v>7</v>
      </c>
    </row>
    <row r="58467" customFormat="false" ht="12.8" hidden="false" customHeight="false" outlineLevel="0" collapsed="false">
      <c r="B58467" s="0" t="s">
        <v>14</v>
      </c>
    </row>
    <row r="58469" customFormat="false" ht="12.8" hidden="false" customHeight="false" outlineLevel="0" collapsed="false">
      <c r="A58469" s="0" t="s">
        <v>20217</v>
      </c>
      <c r="B58469" s="0" t="str">
        <f aca="false">HYPERLINK("https://lindat.mff.cuni.cz/services/teitok/pdtc10/index.php?action=vallex&amp;frame=v-w12254_ZUf1_ZU", "vyplétat (v-w12254_ZUf1_ZU)")</f>
        <v>vyplétat (v-w12254_ZUf1_ZU)</v>
      </c>
    </row>
    <row r="58470" customFormat="false" ht="12.8" hidden="false" customHeight="false" outlineLevel="0" collapsed="false">
      <c r="B58470" s="0" t="s">
        <v>7</v>
      </c>
    </row>
    <row r="58471" customFormat="false" ht="12.8" hidden="false" customHeight="false" outlineLevel="0" collapsed="false">
      <c r="B58471" s="0" t="s">
        <v>14</v>
      </c>
    </row>
    <row r="58473" customFormat="false" ht="12.8" hidden="false" customHeight="false" outlineLevel="0" collapsed="false">
      <c r="A58473" s="0" t="s">
        <v>20218</v>
      </c>
      <c r="B58473" s="0" t="str">
        <f aca="false">HYPERLINK("https://lindat.mff.cuni.cz/services/teitok/pdtc10/index.php?action=vallex&amp;frame=v-w11029f2", "vyplísnit (v-w11029f2)")</f>
        <v>vyplísnit (v-w11029f2)</v>
      </c>
    </row>
    <row r="58474" customFormat="false" ht="12.8" hidden="false" customHeight="false" outlineLevel="0" collapsed="false">
      <c r="B58474" s="0" t="s">
        <v>7</v>
      </c>
    </row>
    <row r="58475" customFormat="false" ht="12.8" hidden="false" customHeight="false" outlineLevel="0" collapsed="false">
      <c r="B58475" s="0" t="s">
        <v>14</v>
      </c>
    </row>
    <row r="58477" customFormat="false" ht="12.8" hidden="false" customHeight="false" outlineLevel="0" collapsed="false">
      <c r="A58477" s="0" t="s">
        <v>20219</v>
      </c>
      <c r="B58477" s="0" t="str">
        <f aca="false">HYPERLINK("https://lindat.mff.cuni.cz/services/teitok/pdtc10/index.php?action=vallex&amp;frame=v-whsa_792f1_ZU", "vyplýtvat (v-whsa_792f1_ZU)")</f>
        <v>vyplýtvat (v-whsa_792f1_ZU)</v>
      </c>
    </row>
    <row r="58478" customFormat="false" ht="12.8" hidden="false" customHeight="false" outlineLevel="0" collapsed="false">
      <c r="B58478" s="0" t="s">
        <v>7</v>
      </c>
      <c r="C58478" s="0" t="s">
        <v>113</v>
      </c>
      <c r="D58478" s="0" t="s">
        <v>1263</v>
      </c>
      <c r="E58478" s="0" t="s">
        <v>1263</v>
      </c>
      <c r="F58478" s="0" t="s">
        <v>1263</v>
      </c>
    </row>
    <row r="58479" customFormat="false" ht="12.8" hidden="false" customHeight="false" outlineLevel="0" collapsed="false">
      <c r="B58479" s="0" t="s">
        <v>14</v>
      </c>
      <c r="C58479" s="0" t="s">
        <v>74</v>
      </c>
      <c r="D58479" s="0" t="s">
        <v>159</v>
      </c>
      <c r="E58479" s="0" t="s">
        <v>159</v>
      </c>
      <c r="F58479" s="0" t="s">
        <v>159</v>
      </c>
    </row>
    <row r="58480" customFormat="false" ht="12.8" hidden="false" customHeight="false" outlineLevel="0" collapsed="false">
      <c r="B58480" s="0" t="s">
        <v>11978</v>
      </c>
    </row>
    <row r="58482" customFormat="false" ht="12.8" hidden="false" customHeight="false" outlineLevel="0" collapsed="false">
      <c r="A58482" s="0" t="s">
        <v>20219</v>
      </c>
      <c r="B58482" s="0" t="str">
        <f aca="false">HYPERLINK("https://lindat.mff.cuni.cz/services/teitok/pdtc10/index.php?action=vallex&amp;frame=v-whsa_792hsa_793", "vyplýtvat (v-whsa_792hsa_793) - substituted with v-whsa_792f1_ZU")</f>
        <v>vyplýtvat (v-whsa_792hsa_793) - substituted with v-whsa_792f1_ZU</v>
      </c>
    </row>
    <row r="58483" customFormat="false" ht="12.8" hidden="false" customHeight="false" outlineLevel="0" collapsed="false">
      <c r="B58483" s="0" t="s">
        <v>7</v>
      </c>
    </row>
    <row r="58484" customFormat="false" ht="12.8" hidden="false" customHeight="false" outlineLevel="0" collapsed="false">
      <c r="B58484" s="0" t="s">
        <v>14</v>
      </c>
    </row>
    <row r="58485" customFormat="false" ht="12.8" hidden="false" customHeight="false" outlineLevel="0" collapsed="false">
      <c r="B58485" s="0" t="s">
        <v>11978</v>
      </c>
    </row>
    <row r="58487" customFormat="false" ht="12.8" hidden="false" customHeight="false" outlineLevel="0" collapsed="false">
      <c r="A58487" s="0" t="s">
        <v>20220</v>
      </c>
      <c r="B58487" s="0" t="str">
        <f aca="false">HYPERLINK("https://lindat.mff.cuni.cz/services/teitok/pdtc10/index.php?action=vallex&amp;frame=v-w8207f1", "vyplývat (v-w8207f1)")</f>
        <v>vyplývat (v-w8207f1)</v>
      </c>
    </row>
    <row r="58488" customFormat="false" ht="12.8" hidden="false" customHeight="false" outlineLevel="0" collapsed="false">
      <c r="B58488" s="0" t="s">
        <v>768</v>
      </c>
      <c r="C58488" s="0" t="s">
        <v>20221</v>
      </c>
      <c r="D58488" s="0" t="s">
        <v>9818</v>
      </c>
      <c r="E58488" s="0" t="s">
        <v>9818</v>
      </c>
      <c r="F58488" s="0" t="s">
        <v>9818</v>
      </c>
    </row>
    <row r="58489" customFormat="false" ht="12.8" hidden="false" customHeight="false" outlineLevel="0" collapsed="false">
      <c r="B58489" s="0" t="s">
        <v>227</v>
      </c>
      <c r="C58489" s="0" t="s">
        <v>20222</v>
      </c>
      <c r="D58489" s="0" t="s">
        <v>9820</v>
      </c>
      <c r="E58489" s="0" t="s">
        <v>9820</v>
      </c>
      <c r="F58489" s="0" t="s">
        <v>9820</v>
      </c>
    </row>
    <row r="58491" customFormat="false" ht="12.8" hidden="false" customHeight="false" outlineLevel="0" collapsed="false">
      <c r="A58491" s="0" t="s">
        <v>20223</v>
      </c>
      <c r="B58491" s="0" t="str">
        <f aca="false">HYPERLINK("https://lindat.mff.cuni.cz/services/teitok/pdtc10/index.php?action=vallex&amp;frame=v-w8200f1", "vyplňovat (v-w8200f1)")</f>
        <v>vyplňovat (v-w8200f1)</v>
      </c>
    </row>
    <row r="58492" customFormat="false" ht="12.8" hidden="false" customHeight="false" outlineLevel="0" collapsed="false">
      <c r="B58492" s="0" t="s">
        <v>7</v>
      </c>
      <c r="C58492" s="0" t="s">
        <v>3205</v>
      </c>
    </row>
    <row r="58493" customFormat="false" ht="12.8" hidden="false" customHeight="false" outlineLevel="0" collapsed="false">
      <c r="B58493" s="0" t="s">
        <v>14</v>
      </c>
      <c r="C58493" s="0" t="s">
        <v>20224</v>
      </c>
      <c r="D58493" s="0" t="s">
        <v>567</v>
      </c>
      <c r="E58493" s="0" t="s">
        <v>567</v>
      </c>
      <c r="F58493" s="0" t="s">
        <v>567</v>
      </c>
    </row>
    <row r="58495" customFormat="false" ht="12.8" hidden="false" customHeight="false" outlineLevel="0" collapsed="false">
      <c r="A58495" s="0" t="s">
        <v>20225</v>
      </c>
      <c r="B58495" s="0" t="str">
        <f aca="false">HYPERLINK("https://lindat.mff.cuni.cz/services/teitok/pdtc10/index.php?action=vallex&amp;frame=v-w8200f2_ZU", "vyplňovat (v-w8200f2_ZU)")</f>
        <v>vyplňovat (v-w8200f2_ZU)</v>
      </c>
    </row>
    <row r="58496" customFormat="false" ht="12.8" hidden="false" customHeight="false" outlineLevel="0" collapsed="false">
      <c r="B58496" s="0" t="s">
        <v>7</v>
      </c>
      <c r="D58496" s="0" t="s">
        <v>6737</v>
      </c>
      <c r="E58496" s="0" t="s">
        <v>6737</v>
      </c>
      <c r="F58496" s="0" t="s">
        <v>6737</v>
      </c>
    </row>
    <row r="58497" customFormat="false" ht="12.8" hidden="false" customHeight="false" outlineLevel="0" collapsed="false">
      <c r="B58497" s="0" t="s">
        <v>14</v>
      </c>
      <c r="D58497" s="0" t="s">
        <v>6739</v>
      </c>
      <c r="E58497" s="0" t="s">
        <v>6739</v>
      </c>
      <c r="F58497" s="0" t="s">
        <v>6739</v>
      </c>
    </row>
    <row r="58498" customFormat="false" ht="12.8" hidden="false" customHeight="false" outlineLevel="0" collapsed="false">
      <c r="B58498" s="0" t="s">
        <v>6292</v>
      </c>
      <c r="D58498" s="0" t="s">
        <v>6741</v>
      </c>
      <c r="E58498" s="0" t="s">
        <v>6741</v>
      </c>
      <c r="F58498" s="0" t="s">
        <v>6741</v>
      </c>
    </row>
    <row r="58500" customFormat="false" ht="12.8" hidden="false" customHeight="false" outlineLevel="0" collapsed="false">
      <c r="A58500" s="0" t="s">
        <v>20225</v>
      </c>
      <c r="B58500" s="0" t="str">
        <f aca="false">HYPERLINK("https://lindat.mff.cuni.cz/services/teitok/pdtc10/index.php?action=vallex&amp;frame=v-w8200hsa_495", "vyplňovat (v-w8200hsa_495) - substituted with v-w8200f2_ZU")</f>
        <v>vyplňovat (v-w8200hsa_495) - substituted with v-w8200f2_ZU</v>
      </c>
    </row>
    <row r="58501" customFormat="false" ht="12.8" hidden="false" customHeight="false" outlineLevel="0" collapsed="false">
      <c r="B58501" s="0" t="s">
        <v>7</v>
      </c>
    </row>
    <row r="58502" customFormat="false" ht="12.8" hidden="false" customHeight="false" outlineLevel="0" collapsed="false">
      <c r="B58502" s="0" t="s">
        <v>14</v>
      </c>
    </row>
    <row r="58503" customFormat="false" ht="12.8" hidden="false" customHeight="false" outlineLevel="0" collapsed="false">
      <c r="B58503" s="0" t="s">
        <v>6292</v>
      </c>
    </row>
    <row r="58505" customFormat="false" ht="12.8" hidden="false" customHeight="false" outlineLevel="0" collapsed="false">
      <c r="A58505" s="0" t="s">
        <v>20226</v>
      </c>
      <c r="B58505" s="0" t="str">
        <f aca="false">HYPERLINK("https://lindat.mff.cuni.cz/services/teitok/pdtc10/index.php?action=vallex&amp;frame=v-w8208f1", "vypnout (v-w8208f1)")</f>
        <v>vypnout (v-w8208f1)</v>
      </c>
    </row>
    <row r="58506" customFormat="false" ht="12.8" hidden="false" customHeight="false" outlineLevel="0" collapsed="false">
      <c r="B58506" s="0" t="s">
        <v>7</v>
      </c>
      <c r="C58506" s="0" t="s">
        <v>113</v>
      </c>
      <c r="D58506" s="0" t="s">
        <v>88</v>
      </c>
      <c r="E58506" s="0" t="s">
        <v>88</v>
      </c>
      <c r="F58506" s="0" t="s">
        <v>88</v>
      </c>
    </row>
    <row r="58507" customFormat="false" ht="12.8" hidden="false" customHeight="false" outlineLevel="0" collapsed="false">
      <c r="B58507" s="0" t="s">
        <v>14</v>
      </c>
      <c r="C58507" s="0" t="s">
        <v>74</v>
      </c>
      <c r="D58507" s="0" t="s">
        <v>624</v>
      </c>
      <c r="E58507" s="0" t="s">
        <v>624</v>
      </c>
      <c r="F58507" s="0" t="s">
        <v>624</v>
      </c>
    </row>
    <row r="58509" customFormat="false" ht="12.8" hidden="false" customHeight="false" outlineLevel="0" collapsed="false">
      <c r="A58509" s="0" t="s">
        <v>20227</v>
      </c>
      <c r="B58509" s="0" t="str">
        <f aca="false">HYPERLINK("https://lindat.mff.cuni.cz/services/teitok/pdtc10/index.php?action=vallex&amp;frame=v-w8208f2_MM", "vypnout (v-w8208f2_MM)")</f>
        <v>vypnout (v-w8208f2_MM)</v>
      </c>
    </row>
    <row r="58510" customFormat="false" ht="12.8" hidden="false" customHeight="false" outlineLevel="0" collapsed="false">
      <c r="B58510" s="0" t="s">
        <v>7</v>
      </c>
    </row>
    <row r="58512" customFormat="false" ht="12.8" hidden="false" customHeight="false" outlineLevel="0" collapsed="false">
      <c r="A58512" s="0" t="s">
        <v>20228</v>
      </c>
      <c r="B58512" s="0" t="str">
        <f aca="false">HYPERLINK("https://lindat.mff.cuni.cz/services/teitok/pdtc10/index.php?action=vallex&amp;frame=v-w8209f1", "vypnout se (v-w8209f1)")</f>
        <v>vypnout se (v-w8209f1)</v>
      </c>
    </row>
    <row r="58513" customFormat="false" ht="12.8" hidden="false" customHeight="false" outlineLevel="0" collapsed="false">
      <c r="B58513" s="0" t="s">
        <v>7</v>
      </c>
    </row>
    <row r="58514" customFormat="false" ht="12.8" hidden="false" customHeight="false" outlineLevel="0" collapsed="false">
      <c r="B58514" s="0" t="s">
        <v>237</v>
      </c>
    </row>
    <row r="58516" customFormat="false" ht="12.8" hidden="false" customHeight="false" outlineLevel="0" collapsed="false">
      <c r="A58516" s="0" t="s">
        <v>20229</v>
      </c>
      <c r="B58516" s="0" t="str">
        <f aca="false">HYPERLINK("https://lindat.mff.cuni.cz/services/teitok/pdtc10/index.php?action=vallex&amp;frame=v-w11889_ZUf2_ZU", "vypochodovat (v-w11889_ZUf2_ZU)")</f>
        <v>vypochodovat (v-w11889_ZUf2_ZU)</v>
      </c>
    </row>
    <row r="58517" customFormat="false" ht="12.8" hidden="false" customHeight="false" outlineLevel="0" collapsed="false">
      <c r="B58517" s="0" t="s">
        <v>7</v>
      </c>
    </row>
    <row r="58518" customFormat="false" ht="12.8" hidden="false" customHeight="false" outlineLevel="0" collapsed="false">
      <c r="B58518" s="0" t="s">
        <v>5382</v>
      </c>
    </row>
    <row r="58520" customFormat="false" ht="12.8" hidden="false" customHeight="false" outlineLevel="0" collapsed="false">
      <c r="A58520" s="0" t="s">
        <v>20229</v>
      </c>
      <c r="B58520" s="0" t="str">
        <f aca="false">HYPERLINK("https://lindat.mff.cuni.cz/services/teitok/pdtc10/index.php?action=vallex&amp;frame=v-w11889_ZUf1_ZU", "vypochodovat (v-w11889_ZUf1_ZU) - substituted with v-w11889_ZUf2_ZU")</f>
        <v>vypochodovat (v-w11889_ZUf1_ZU) - substituted with v-w11889_ZUf2_ZU</v>
      </c>
    </row>
    <row r="58521" customFormat="false" ht="12.8" hidden="false" customHeight="false" outlineLevel="0" collapsed="false">
      <c r="B58521" s="0" t="s">
        <v>7</v>
      </c>
    </row>
    <row r="58522" customFormat="false" ht="12.8" hidden="false" customHeight="false" outlineLevel="0" collapsed="false">
      <c r="B58522" s="0" t="s">
        <v>5382</v>
      </c>
    </row>
    <row r="58524" customFormat="false" ht="12.8" hidden="false" customHeight="false" outlineLevel="0" collapsed="false">
      <c r="A58524" s="0" t="s">
        <v>20230</v>
      </c>
      <c r="B58524" s="0" t="str">
        <f aca="false">HYPERLINK("https://lindat.mff.cuni.cz/services/teitok/pdtc10/index.php?action=vallex&amp;frame=v-w10201f2", "vypodobňovat (v-w10201f2)")</f>
        <v>vypodobňovat (v-w10201f2)</v>
      </c>
    </row>
    <row r="58525" customFormat="false" ht="12.8" hidden="false" customHeight="false" outlineLevel="0" collapsed="false">
      <c r="B58525" s="0" t="s">
        <v>7</v>
      </c>
    </row>
    <row r="58526" customFormat="false" ht="12.8" hidden="false" customHeight="false" outlineLevel="0" collapsed="false">
      <c r="B58526" s="0" t="s">
        <v>172</v>
      </c>
    </row>
    <row r="58527" customFormat="false" ht="12.8" hidden="false" customHeight="false" outlineLevel="0" collapsed="false">
      <c r="B58527" s="0" t="s">
        <v>106</v>
      </c>
    </row>
    <row r="58529" customFormat="false" ht="12.8" hidden="false" customHeight="false" outlineLevel="0" collapsed="false">
      <c r="A58529" s="0" t="s">
        <v>20231</v>
      </c>
      <c r="B58529" s="0" t="str">
        <f aca="false">HYPERLINK("https://lindat.mff.cuni.cz/services/teitok/pdtc10/index.php?action=vallex&amp;frame=v-w8216f1", "vypomoci (v-w8216f1)")</f>
        <v>vypomoci (v-w8216f1)</v>
      </c>
    </row>
    <row r="58530" customFormat="false" ht="12.8" hidden="false" customHeight="false" outlineLevel="0" collapsed="false">
      <c r="B58530" s="0" t="s">
        <v>7</v>
      </c>
      <c r="C58530" s="0" t="s">
        <v>6785</v>
      </c>
      <c r="D58530" s="0" t="s">
        <v>6786</v>
      </c>
      <c r="E58530" s="0" t="s">
        <v>6786</v>
      </c>
      <c r="F58530" s="0" t="s">
        <v>6786</v>
      </c>
    </row>
    <row r="58531" customFormat="false" ht="12.8" hidden="false" customHeight="false" outlineLevel="0" collapsed="false">
      <c r="B58531" s="0" t="s">
        <v>48</v>
      </c>
      <c r="C58531" s="0" t="s">
        <v>6787</v>
      </c>
      <c r="D58531" s="0" t="s">
        <v>6788</v>
      </c>
      <c r="E58531" s="0" t="s">
        <v>6788</v>
      </c>
      <c r="F58531" s="0" t="s">
        <v>6788</v>
      </c>
    </row>
    <row r="58532" customFormat="false" ht="12.8" hidden="false" customHeight="false" outlineLevel="0" collapsed="false">
      <c r="B58532" s="0" t="s">
        <v>20232</v>
      </c>
      <c r="C58532" s="0" t="s">
        <v>6790</v>
      </c>
      <c r="D58532" s="0" t="s">
        <v>6791</v>
      </c>
      <c r="E58532" s="0" t="s">
        <v>6791</v>
      </c>
      <c r="F58532" s="0" t="s">
        <v>6791</v>
      </c>
    </row>
    <row r="58534" customFormat="false" ht="12.8" hidden="false" customHeight="false" outlineLevel="0" collapsed="false">
      <c r="A58534" s="0" t="s">
        <v>20233</v>
      </c>
      <c r="B58534" s="0" t="str">
        <f aca="false">HYPERLINK("https://lindat.mff.cuni.cz/services/teitok/pdtc10/index.php?action=vallex&amp;frame=v-w8214f1", "vypomáhat (v-w8214f1)")</f>
        <v>vypomáhat (v-w8214f1)</v>
      </c>
    </row>
    <row r="58535" customFormat="false" ht="12.8" hidden="false" customHeight="false" outlineLevel="0" collapsed="false">
      <c r="B58535" s="0" t="s">
        <v>7</v>
      </c>
      <c r="D58535" s="0" t="s">
        <v>6786</v>
      </c>
      <c r="E58535" s="0" t="s">
        <v>6786</v>
      </c>
      <c r="F58535" s="0" t="s">
        <v>6786</v>
      </c>
    </row>
    <row r="58536" customFormat="false" ht="12.8" hidden="false" customHeight="false" outlineLevel="0" collapsed="false">
      <c r="B58536" s="0" t="s">
        <v>48</v>
      </c>
      <c r="D58536" s="0" t="s">
        <v>6788</v>
      </c>
      <c r="E58536" s="0" t="s">
        <v>6788</v>
      </c>
      <c r="F58536" s="0" t="s">
        <v>6788</v>
      </c>
    </row>
    <row r="58537" customFormat="false" ht="12.8" hidden="false" customHeight="false" outlineLevel="0" collapsed="false">
      <c r="B58537" s="0" t="s">
        <v>20232</v>
      </c>
      <c r="D58537" s="0" t="s">
        <v>6791</v>
      </c>
      <c r="E58537" s="0" t="s">
        <v>6791</v>
      </c>
      <c r="F58537" s="0" t="s">
        <v>6791</v>
      </c>
    </row>
    <row r="58539" customFormat="false" ht="12.8" hidden="false" customHeight="false" outlineLevel="0" collapsed="false">
      <c r="A58539" s="0" t="s">
        <v>20234</v>
      </c>
      <c r="B58539" s="0" t="str">
        <f aca="false">HYPERLINK("https://lindat.mff.cuni.cz/services/teitok/pdtc10/index.php?action=vallex&amp;frame=v-whsa_1203hsa_1204", "vyporážet (v-whsa_1203hsa_1204)")</f>
        <v>vyporážet (v-whsa_1203hsa_1204)</v>
      </c>
    </row>
    <row r="58540" customFormat="false" ht="12.8" hidden="false" customHeight="false" outlineLevel="0" collapsed="false">
      <c r="B58540" s="0" t="s">
        <v>7</v>
      </c>
    </row>
    <row r="58541" customFormat="false" ht="12.8" hidden="false" customHeight="false" outlineLevel="0" collapsed="false">
      <c r="B58541" s="0" t="s">
        <v>14</v>
      </c>
    </row>
    <row r="58543" customFormat="false" ht="12.8" hidden="false" customHeight="false" outlineLevel="0" collapsed="false">
      <c r="A58543" s="0" t="s">
        <v>20235</v>
      </c>
      <c r="B58543" s="0" t="str">
        <f aca="false">HYPERLINK("https://lindat.mff.cuni.cz/services/teitok/pdtc10/index.php?action=vallex&amp;frame=v-w12039_ZUf1_ZU", "vyposlechnout (v-w12039_ZUf1_ZU)")</f>
        <v>vyposlechnout (v-w12039_ZUf1_ZU)</v>
      </c>
    </row>
    <row r="58544" customFormat="false" ht="12.8" hidden="false" customHeight="false" outlineLevel="0" collapsed="false">
      <c r="B58544" s="0" t="s">
        <v>7</v>
      </c>
    </row>
    <row r="58545" customFormat="false" ht="12.8" hidden="false" customHeight="false" outlineLevel="0" collapsed="false">
      <c r="B58545" s="0" t="s">
        <v>14</v>
      </c>
    </row>
    <row r="58547" customFormat="false" ht="12.8" hidden="false" customHeight="false" outlineLevel="0" collapsed="false">
      <c r="A58547" s="0" t="s">
        <v>20236</v>
      </c>
      <c r="B58547" s="0" t="str">
        <f aca="false">HYPERLINK("https://lindat.mff.cuni.cz/services/teitok/pdtc10/index.php?action=vallex&amp;frame=v-w12003_ZUf1_ZU", "vypotit (v-w12003_ZUf1_ZU)")</f>
        <v>vypotit (v-w12003_ZUf1_ZU)</v>
      </c>
    </row>
    <row r="58548" customFormat="false" ht="12.8" hidden="false" customHeight="false" outlineLevel="0" collapsed="false">
      <c r="B58548" s="0" t="s">
        <v>7</v>
      </c>
    </row>
    <row r="58549" customFormat="false" ht="12.8" hidden="false" customHeight="false" outlineLevel="0" collapsed="false">
      <c r="B58549" s="0" t="s">
        <v>14</v>
      </c>
    </row>
    <row r="58551" customFormat="false" ht="12.8" hidden="false" customHeight="false" outlineLevel="0" collapsed="false">
      <c r="A58551" s="0" t="s">
        <v>20237</v>
      </c>
      <c r="B58551" s="0" t="str">
        <f aca="false">HYPERLINK("https://lindat.mff.cuni.cz/services/teitok/pdtc10/index.php?action=vallex&amp;frame=v-w12003_ZUf2_ZU", "vypotit (v-w12003_ZUf2_ZU)")</f>
        <v>vypotit (v-w12003_ZUf2_ZU)</v>
      </c>
    </row>
    <row r="58552" customFormat="false" ht="12.8" hidden="false" customHeight="false" outlineLevel="0" collapsed="false">
      <c r="B58552" s="0" t="s">
        <v>7</v>
      </c>
    </row>
    <row r="58553" customFormat="false" ht="12.8" hidden="false" customHeight="false" outlineLevel="0" collapsed="false">
      <c r="B58553" s="0" t="s">
        <v>14</v>
      </c>
    </row>
    <row r="58555" customFormat="false" ht="12.8" hidden="false" customHeight="false" outlineLevel="0" collapsed="false">
      <c r="A58555" s="0" t="s">
        <v>20238</v>
      </c>
      <c r="B58555" s="0" t="str">
        <f aca="false">HYPERLINK("https://lindat.mff.cuni.cz/services/teitok/pdtc10/index.php?action=vallex&amp;frame=v-w8225f1", "vypouštět (v-w8225f1)")</f>
        <v>vypouštět (v-w8225f1)</v>
      </c>
    </row>
    <row r="58556" customFormat="false" ht="12.8" hidden="false" customHeight="false" outlineLevel="0" collapsed="false">
      <c r="B58556" s="0" t="s">
        <v>7</v>
      </c>
    </row>
    <row r="58557" customFormat="false" ht="12.8" hidden="false" customHeight="false" outlineLevel="0" collapsed="false">
      <c r="B58557" s="0" t="s">
        <v>14</v>
      </c>
    </row>
    <row r="58558" customFormat="false" ht="12.8" hidden="false" customHeight="false" outlineLevel="0" collapsed="false">
      <c r="B58558" s="0" t="s">
        <v>459</v>
      </c>
    </row>
    <row r="58560" customFormat="false" ht="12.8" hidden="false" customHeight="false" outlineLevel="0" collapsed="false">
      <c r="A58560" s="0" t="s">
        <v>20239</v>
      </c>
      <c r="B58560" s="0" t="str">
        <f aca="false">HYPERLINK("https://lindat.mff.cuni.cz/services/teitok/pdtc10/index.php?action=vallex&amp;frame=v-w8225f2", "vypouštět (v-w8225f2)")</f>
        <v>vypouštět (v-w8225f2)</v>
      </c>
    </row>
    <row r="58561" customFormat="false" ht="12.8" hidden="false" customHeight="false" outlineLevel="0" collapsed="false">
      <c r="B58561" s="0" t="s">
        <v>7</v>
      </c>
      <c r="C58561" s="0" t="s">
        <v>2012</v>
      </c>
    </row>
    <row r="58562" customFormat="false" ht="12.8" hidden="false" customHeight="false" outlineLevel="0" collapsed="false">
      <c r="B58562" s="0" t="s">
        <v>14</v>
      </c>
      <c r="C58562" s="0" t="s">
        <v>3858</v>
      </c>
    </row>
    <row r="58564" customFormat="false" ht="12.8" hidden="false" customHeight="false" outlineLevel="0" collapsed="false">
      <c r="A58564" s="0" t="s">
        <v>20240</v>
      </c>
      <c r="B58564" s="0" t="str">
        <f aca="false">HYPERLINK("https://lindat.mff.cuni.cz/services/teitok/pdtc10/index.php?action=vallex&amp;frame=v-w8232f6", "vypovídat (v-w8232f6)")</f>
        <v>vypovídat (v-w8232f6)</v>
      </c>
    </row>
    <row r="58565" customFormat="false" ht="12.8" hidden="false" customHeight="false" outlineLevel="0" collapsed="false">
      <c r="B58565" s="0" t="s">
        <v>7</v>
      </c>
    </row>
    <row r="58566" customFormat="false" ht="12.8" hidden="false" customHeight="false" outlineLevel="0" collapsed="false">
      <c r="B58566" s="0" t="s">
        <v>14</v>
      </c>
    </row>
    <row r="58567" customFormat="false" ht="12.8" hidden="false" customHeight="false" outlineLevel="0" collapsed="false">
      <c r="B58567" s="0" t="s">
        <v>48</v>
      </c>
    </row>
    <row r="58569" customFormat="false" ht="12.8" hidden="false" customHeight="false" outlineLevel="0" collapsed="false">
      <c r="A58569" s="0" t="s">
        <v>20241</v>
      </c>
      <c r="B58569" s="0" t="str">
        <f aca="false">HYPERLINK("https://lindat.mff.cuni.cz/services/teitok/pdtc10/index.php?action=vallex&amp;frame=v-w8232f3", "vypovídat (v-w8232f3)")</f>
        <v>vypovídat (v-w8232f3)</v>
      </c>
    </row>
    <row r="58570" customFormat="false" ht="12.8" hidden="false" customHeight="false" outlineLevel="0" collapsed="false">
      <c r="B58570" s="0" t="s">
        <v>7</v>
      </c>
      <c r="C58570" s="0" t="s">
        <v>46</v>
      </c>
      <c r="D58570" s="0" t="s">
        <v>6809</v>
      </c>
      <c r="E58570" s="0" t="s">
        <v>6810</v>
      </c>
      <c r="F58570" s="0" t="s">
        <v>6810</v>
      </c>
    </row>
    <row r="58571" customFormat="false" ht="12.8" hidden="false" customHeight="false" outlineLevel="0" collapsed="false">
      <c r="B58571" s="0" t="s">
        <v>1130</v>
      </c>
      <c r="C58571" s="0" t="s">
        <v>115</v>
      </c>
      <c r="D58571" s="0" t="s">
        <v>6812</v>
      </c>
      <c r="E58571" s="0" t="s">
        <v>6813</v>
      </c>
      <c r="F58571" s="0" t="s">
        <v>6813</v>
      </c>
    </row>
    <row r="58572" customFormat="false" ht="12.8" hidden="false" customHeight="false" outlineLevel="0" collapsed="false">
      <c r="B58572" s="0" t="s">
        <v>106</v>
      </c>
      <c r="D58572" s="0" t="s">
        <v>6185</v>
      </c>
      <c r="E58572" s="0" t="s">
        <v>5001</v>
      </c>
      <c r="F58572" s="0" t="s">
        <v>5001</v>
      </c>
    </row>
    <row r="58574" customFormat="false" ht="12.8" hidden="false" customHeight="false" outlineLevel="0" collapsed="false">
      <c r="A58574" s="0" t="s">
        <v>20242</v>
      </c>
      <c r="B58574" s="0" t="str">
        <f aca="false">HYPERLINK("https://lindat.mff.cuni.cz/services/teitok/pdtc10/index.php?action=vallex&amp;frame=v-w8232f7", "vypovídat (v-w8232f7)")</f>
        <v>vypovídat (v-w8232f7)</v>
      </c>
    </row>
    <row r="58575" customFormat="false" ht="12.8" hidden="false" customHeight="false" outlineLevel="0" collapsed="false">
      <c r="B58575" s="0" t="s">
        <v>7</v>
      </c>
      <c r="D58575" s="0" t="s">
        <v>1567</v>
      </c>
      <c r="E58575" s="0" t="s">
        <v>1567</v>
      </c>
      <c r="F58575" s="0" t="s">
        <v>1567</v>
      </c>
    </row>
    <row r="58576" customFormat="false" ht="12.8" hidden="false" customHeight="false" outlineLevel="0" collapsed="false">
      <c r="B58576" s="0" t="s">
        <v>14</v>
      </c>
      <c r="D58576" s="0" t="s">
        <v>1568</v>
      </c>
      <c r="E58576" s="0" t="s">
        <v>1568</v>
      </c>
      <c r="F58576" s="0" t="s">
        <v>1568</v>
      </c>
    </row>
    <row r="58577" customFormat="false" ht="12.8" hidden="false" customHeight="false" outlineLevel="0" collapsed="false">
      <c r="B58577" s="0" t="s">
        <v>459</v>
      </c>
      <c r="D58577" s="0" t="s">
        <v>1569</v>
      </c>
      <c r="E58577" s="0" t="s">
        <v>1569</v>
      </c>
      <c r="F58577" s="0" t="s">
        <v>1569</v>
      </c>
    </row>
    <row r="58579" customFormat="false" ht="12.8" hidden="false" customHeight="false" outlineLevel="0" collapsed="false">
      <c r="A58579" s="0" t="s">
        <v>20243</v>
      </c>
      <c r="B58579" s="0" t="str">
        <f aca="false">HYPERLINK("https://lindat.mff.cuni.cz/services/teitok/pdtc10/index.php?action=vallex&amp;frame=v-w8232f1", "vypovídat (v-w8232f1)")</f>
        <v>vypovídat (v-w8232f1)</v>
      </c>
    </row>
    <row r="58580" customFormat="false" ht="12.8" hidden="false" customHeight="false" outlineLevel="0" collapsed="false">
      <c r="B58580" s="0" t="s">
        <v>7</v>
      </c>
      <c r="D58580" s="0" t="s">
        <v>7397</v>
      </c>
      <c r="E58580" s="0" t="s">
        <v>7397</v>
      </c>
      <c r="F58580" s="0" t="s">
        <v>7397</v>
      </c>
    </row>
    <row r="58581" customFormat="false" ht="12.8" hidden="false" customHeight="false" outlineLevel="0" collapsed="false">
      <c r="B58581" s="0" t="s">
        <v>14</v>
      </c>
      <c r="D58581" s="0" t="s">
        <v>7398</v>
      </c>
      <c r="E58581" s="0" t="s">
        <v>7398</v>
      </c>
      <c r="F58581" s="0" t="s">
        <v>7398</v>
      </c>
    </row>
    <row r="58583" customFormat="false" ht="12.8" hidden="false" customHeight="false" outlineLevel="0" collapsed="false">
      <c r="A58583" s="0" t="s">
        <v>20244</v>
      </c>
      <c r="B58583" s="0" t="str">
        <f aca="false">HYPERLINK("https://lindat.mff.cuni.cz/services/teitok/pdtc10/index.php?action=vallex&amp;frame=v-w8232f8", "vypovídat (v-w8232f8)")</f>
        <v>vypovídat (v-w8232f8)</v>
      </c>
    </row>
    <row r="58584" customFormat="false" ht="12.8" hidden="false" customHeight="false" outlineLevel="0" collapsed="false">
      <c r="B58584" s="0" t="s">
        <v>7</v>
      </c>
    </row>
    <row r="58585" customFormat="false" ht="12.8" hidden="false" customHeight="false" outlineLevel="0" collapsed="false">
      <c r="B58585" s="0" t="s">
        <v>14</v>
      </c>
    </row>
    <row r="58587" customFormat="false" ht="12.8" hidden="false" customHeight="false" outlineLevel="0" collapsed="false">
      <c r="A58587" s="0" t="s">
        <v>20245</v>
      </c>
      <c r="B58587" s="0" t="str">
        <f aca="false">HYPERLINK("https://lindat.mff.cuni.cz/services/teitok/pdtc10/index.php?action=vallex&amp;frame=v-w8232f5", "vypovídat (v-w8232f5)")</f>
        <v>vypovídat (v-w8232f5)</v>
      </c>
    </row>
    <row r="58588" customFormat="false" ht="12.8" hidden="false" customHeight="false" outlineLevel="0" collapsed="false">
      <c r="B58588" s="0" t="s">
        <v>7</v>
      </c>
    </row>
    <row r="58589" customFormat="false" ht="12.8" hidden="false" customHeight="false" outlineLevel="0" collapsed="false">
      <c r="B58589" s="0" t="s">
        <v>48</v>
      </c>
    </row>
    <row r="58590" customFormat="false" ht="12.8" hidden="false" customHeight="false" outlineLevel="0" collapsed="false">
      <c r="B58590" s="0" t="s">
        <v>5518</v>
      </c>
    </row>
    <row r="58591" customFormat="false" ht="12.8" hidden="false" customHeight="false" outlineLevel="0" collapsed="false">
      <c r="B58591" s="0" t="s">
        <v>363</v>
      </c>
    </row>
    <row r="58593" customFormat="false" ht="12.8" hidden="false" customHeight="false" outlineLevel="0" collapsed="false">
      <c r="A58593" s="0" t="s">
        <v>20246</v>
      </c>
      <c r="B58593" s="0" t="str">
        <f aca="false">HYPERLINK("https://lindat.mff.cuni.cz/services/teitok/pdtc10/index.php?action=vallex&amp;frame=v-w8232f2", "vypovídat (v-w8232f2)")</f>
        <v>vypovídat (v-w8232f2)</v>
      </c>
    </row>
    <row r="58594" customFormat="false" ht="12.8" hidden="false" customHeight="false" outlineLevel="0" collapsed="false">
      <c r="B58594" s="0" t="s">
        <v>7</v>
      </c>
      <c r="C58594" s="0" t="s">
        <v>1386</v>
      </c>
    </row>
    <row r="58595" customFormat="false" ht="12.8" hidden="false" customHeight="false" outlineLevel="0" collapsed="false">
      <c r="B58595" s="0" t="s">
        <v>20247</v>
      </c>
    </row>
    <row r="58596" customFormat="false" ht="12.8" hidden="false" customHeight="false" outlineLevel="0" collapsed="false">
      <c r="B58596" s="0" t="s">
        <v>363</v>
      </c>
      <c r="C58596" s="0" t="s">
        <v>1969</v>
      </c>
    </row>
    <row r="58597" customFormat="false" ht="12.8" hidden="false" customHeight="false" outlineLevel="0" collapsed="false">
      <c r="B58597" s="0" t="s">
        <v>106</v>
      </c>
      <c r="C58597" s="0" t="s">
        <v>3018</v>
      </c>
    </row>
    <row r="58599" customFormat="false" ht="12.8" hidden="false" customHeight="false" outlineLevel="0" collapsed="false">
      <c r="A58599" s="0" t="s">
        <v>20248</v>
      </c>
      <c r="B58599" s="0" t="str">
        <f aca="false">HYPERLINK("https://lindat.mff.cuni.cz/services/teitok/pdtc10/index.php?action=vallex&amp;frame=v-w8232f4", "vypovídat (v-w8232f4)")</f>
        <v>vypovídat (v-w8232f4)</v>
      </c>
    </row>
    <row r="58600" customFormat="false" ht="12.8" hidden="false" customHeight="false" outlineLevel="0" collapsed="false">
      <c r="B58600" s="0" t="s">
        <v>7</v>
      </c>
      <c r="C58600" s="0" t="s">
        <v>149</v>
      </c>
      <c r="D58600" s="0" t="s">
        <v>149</v>
      </c>
      <c r="E58600" s="0" t="s">
        <v>149</v>
      </c>
      <c r="F58600" s="0" t="s">
        <v>149</v>
      </c>
    </row>
    <row r="58601" customFormat="false" ht="12.8" hidden="false" customHeight="false" outlineLevel="0" collapsed="false">
      <c r="B58601" s="0" t="s">
        <v>5525</v>
      </c>
      <c r="D58601" s="0" t="s">
        <v>20249</v>
      </c>
      <c r="E58601" s="0" t="s">
        <v>20249</v>
      </c>
      <c r="F58601" s="0" t="s">
        <v>20249</v>
      </c>
    </row>
    <row r="58602" customFormat="false" ht="12.8" hidden="false" customHeight="false" outlineLevel="0" collapsed="false">
      <c r="B58602" s="0" t="s">
        <v>363</v>
      </c>
      <c r="C58602" s="0" t="s">
        <v>120</v>
      </c>
      <c r="D58602" s="0" t="s">
        <v>3974</v>
      </c>
      <c r="E58602" s="0" t="s">
        <v>3974</v>
      </c>
      <c r="F58602" s="0" t="s">
        <v>3974</v>
      </c>
    </row>
    <row r="58604" customFormat="false" ht="12.8" hidden="false" customHeight="false" outlineLevel="0" collapsed="false">
      <c r="A58604" s="0" t="s">
        <v>20250</v>
      </c>
      <c r="B58604" s="0" t="str">
        <f aca="false">HYPERLINK("https://lindat.mff.cuni.cz/services/teitok/pdtc10/index.php?action=vallex&amp;frame=v-w8233f1", "vypovídat se (v-w8233f1)")</f>
        <v>vypovídat se (v-w8233f1)</v>
      </c>
    </row>
    <row r="58605" customFormat="false" ht="12.8" hidden="false" customHeight="false" outlineLevel="0" collapsed="false">
      <c r="B58605" s="0" t="s">
        <v>7</v>
      </c>
    </row>
    <row r="58606" customFormat="false" ht="12.8" hidden="false" customHeight="false" outlineLevel="0" collapsed="false">
      <c r="B58606" s="0" t="s">
        <v>227</v>
      </c>
    </row>
    <row r="58608" customFormat="false" ht="12.8" hidden="false" customHeight="false" outlineLevel="0" collapsed="false">
      <c r="A58608" s="0" t="s">
        <v>20251</v>
      </c>
      <c r="B58608" s="0" t="str">
        <f aca="false">HYPERLINK("https://lindat.mff.cuni.cz/services/teitok/pdtc10/index.php?action=vallex&amp;frame=v-w8227f3", "vypovědět (v-w8227f3)")</f>
        <v>vypovědět (v-w8227f3)</v>
      </c>
    </row>
    <row r="58609" customFormat="false" ht="12.8" hidden="false" customHeight="false" outlineLevel="0" collapsed="false">
      <c r="B58609" s="0" t="s">
        <v>7</v>
      </c>
      <c r="C58609" s="0" t="s">
        <v>191</v>
      </c>
    </row>
    <row r="58610" customFormat="false" ht="12.8" hidden="false" customHeight="false" outlineLevel="0" collapsed="false">
      <c r="B58610" s="0" t="s">
        <v>14</v>
      </c>
      <c r="C58610" s="0" t="s">
        <v>115</v>
      </c>
    </row>
    <row r="58611" customFormat="false" ht="12.8" hidden="false" customHeight="false" outlineLevel="0" collapsed="false">
      <c r="B58611" s="0" t="s">
        <v>459</v>
      </c>
    </row>
    <row r="58613" customFormat="false" ht="12.8" hidden="false" customHeight="false" outlineLevel="0" collapsed="false">
      <c r="A58613" s="0" t="s">
        <v>20252</v>
      </c>
      <c r="B58613" s="0" t="str">
        <f aca="false">HYPERLINK("https://lindat.mff.cuni.cz/services/teitok/pdtc10/index.php?action=vallex&amp;frame=v-w8227f1", "vypovědět (v-w8227f1)")</f>
        <v>vypovědět (v-w8227f1)</v>
      </c>
    </row>
    <row r="58614" customFormat="false" ht="12.8" hidden="false" customHeight="false" outlineLevel="0" collapsed="false">
      <c r="B58614" s="0" t="s">
        <v>7</v>
      </c>
      <c r="C58614" s="0" t="s">
        <v>118</v>
      </c>
      <c r="D58614" s="0" t="s">
        <v>7397</v>
      </c>
      <c r="E58614" s="0" t="s">
        <v>7397</v>
      </c>
      <c r="F58614" s="0" t="s">
        <v>7397</v>
      </c>
    </row>
    <row r="58615" customFormat="false" ht="12.8" hidden="false" customHeight="false" outlineLevel="0" collapsed="false">
      <c r="B58615" s="0" t="s">
        <v>14</v>
      </c>
      <c r="C58615" s="0" t="s">
        <v>1264</v>
      </c>
      <c r="D58615" s="0" t="s">
        <v>7398</v>
      </c>
      <c r="E58615" s="0" t="s">
        <v>7398</v>
      </c>
      <c r="F58615" s="0" t="s">
        <v>7398</v>
      </c>
    </row>
    <row r="58617" customFormat="false" ht="12.8" hidden="false" customHeight="false" outlineLevel="0" collapsed="false">
      <c r="A58617" s="0" t="s">
        <v>20253</v>
      </c>
      <c r="B58617" s="0" t="str">
        <f aca="false">HYPERLINK("https://lindat.mff.cuni.cz/services/teitok/pdtc10/index.php?action=vallex&amp;frame=v-w8227f2", "vypovědět (v-w8227f2)")</f>
        <v>vypovědět (v-w8227f2)</v>
      </c>
    </row>
    <row r="58618" customFormat="false" ht="12.8" hidden="false" customHeight="false" outlineLevel="0" collapsed="false">
      <c r="B58618" s="0" t="s">
        <v>7</v>
      </c>
    </row>
    <row r="58619" customFormat="false" ht="12.8" hidden="false" customHeight="false" outlineLevel="0" collapsed="false">
      <c r="B58619" s="0" t="s">
        <v>48</v>
      </c>
    </row>
    <row r="58620" customFormat="false" ht="12.8" hidden="false" customHeight="false" outlineLevel="0" collapsed="false">
      <c r="B58620" s="0" t="s">
        <v>5518</v>
      </c>
    </row>
    <row r="58621" customFormat="false" ht="12.8" hidden="false" customHeight="false" outlineLevel="0" collapsed="false">
      <c r="B58621" s="0" t="s">
        <v>363</v>
      </c>
    </row>
    <row r="58623" customFormat="false" ht="12.8" hidden="false" customHeight="false" outlineLevel="0" collapsed="false">
      <c r="A58623" s="0" t="s">
        <v>20254</v>
      </c>
      <c r="B58623" s="0" t="str">
        <f aca="false">HYPERLINK("https://lindat.mff.cuni.cz/services/teitok/pdtc10/index.php?action=vallex&amp;frame=v-w8227f4", "vypovědět (v-w8227f4)")</f>
        <v>vypovědět (v-w8227f4)</v>
      </c>
    </row>
    <row r="58624" customFormat="false" ht="12.8" hidden="false" customHeight="false" outlineLevel="0" collapsed="false">
      <c r="B58624" s="0" t="s">
        <v>7</v>
      </c>
      <c r="C58624" s="0" t="s">
        <v>10983</v>
      </c>
      <c r="D58624" s="0" t="s">
        <v>149</v>
      </c>
      <c r="E58624" s="0" t="s">
        <v>149</v>
      </c>
      <c r="F58624" s="0" t="s">
        <v>149</v>
      </c>
    </row>
    <row r="58625" customFormat="false" ht="12.8" hidden="false" customHeight="false" outlineLevel="0" collapsed="false">
      <c r="B58625" s="0" t="s">
        <v>5525</v>
      </c>
      <c r="C58625" s="0" t="s">
        <v>20255</v>
      </c>
      <c r="D58625" s="0" t="s">
        <v>20249</v>
      </c>
      <c r="E58625" s="0" t="s">
        <v>20249</v>
      </c>
      <c r="F58625" s="0" t="s">
        <v>20249</v>
      </c>
    </row>
    <row r="58626" customFormat="false" ht="12.8" hidden="false" customHeight="false" outlineLevel="0" collapsed="false">
      <c r="B58626" s="0" t="s">
        <v>363</v>
      </c>
      <c r="D58626" s="0" t="s">
        <v>3974</v>
      </c>
      <c r="E58626" s="0" t="s">
        <v>3974</v>
      </c>
      <c r="F58626" s="0" t="s">
        <v>3974</v>
      </c>
    </row>
    <row r="58628" customFormat="false" ht="12.8" hidden="false" customHeight="false" outlineLevel="0" collapsed="false">
      <c r="A58628" s="0" t="s">
        <v>20256</v>
      </c>
      <c r="B58628" s="0" t="str">
        <f aca="false">HYPERLINK("https://lindat.mff.cuni.cz/services/teitok/pdtc10/index.php?action=vallex&amp;frame=v-w8227f5", "vypovědět (v-w8227f5)")</f>
        <v>vypovědět (v-w8227f5)</v>
      </c>
    </row>
    <row r="58629" customFormat="false" ht="12.8" hidden="false" customHeight="false" outlineLevel="0" collapsed="false">
      <c r="B58629" s="0" t="s">
        <v>7</v>
      </c>
    </row>
    <row r="58631" customFormat="false" ht="12.8" hidden="false" customHeight="false" outlineLevel="0" collapsed="false">
      <c r="A58631" s="0" t="s">
        <v>20257</v>
      </c>
      <c r="B58631" s="0" t="str">
        <f aca="false">HYPERLINK("https://lindat.mff.cuni.cz/services/teitok/pdtc10/index.php?action=vallex&amp;frame=v-w8227f6", "vypovědět (v-w8227f6)")</f>
        <v>vypovědět (v-w8227f6)</v>
      </c>
    </row>
    <row r="58632" customFormat="false" ht="12.8" hidden="false" customHeight="false" outlineLevel="0" collapsed="false">
      <c r="B58632" s="0" t="s">
        <v>7</v>
      </c>
    </row>
    <row r="58633" customFormat="false" ht="12.8" hidden="false" customHeight="false" outlineLevel="0" collapsed="false">
      <c r="B58633" s="0" t="s">
        <v>20258</v>
      </c>
    </row>
    <row r="58634" customFormat="false" ht="12.8" hidden="false" customHeight="false" outlineLevel="0" collapsed="false">
      <c r="B58634" s="0" t="s">
        <v>48</v>
      </c>
    </row>
    <row r="58636" customFormat="false" ht="12.8" hidden="false" customHeight="false" outlineLevel="0" collapsed="false">
      <c r="A58636" s="0" t="s">
        <v>20259</v>
      </c>
      <c r="B58636" s="0" t="str">
        <f aca="false">HYPERLINK("https://lindat.mff.cuni.cz/services/teitok/pdtc10/index.php?action=vallex&amp;frame=v-w8227f7_ZU", "vypovědět (v-w8227f7_ZU)")</f>
        <v>vypovědět (v-w8227f7_ZU)</v>
      </c>
    </row>
    <row r="58637" customFormat="false" ht="12.8" hidden="false" customHeight="false" outlineLevel="0" collapsed="false">
      <c r="B58637" s="0" t="s">
        <v>7</v>
      </c>
    </row>
    <row r="58638" customFormat="false" ht="12.8" hidden="false" customHeight="false" outlineLevel="0" collapsed="false">
      <c r="B58638" s="0" t="s">
        <v>20260</v>
      </c>
    </row>
    <row r="58639" customFormat="false" ht="12.8" hidden="false" customHeight="false" outlineLevel="0" collapsed="false">
      <c r="B58639" s="0" t="s">
        <v>119</v>
      </c>
    </row>
    <row r="58641" customFormat="false" ht="12.8" hidden="false" customHeight="false" outlineLevel="0" collapsed="false">
      <c r="A58641" s="0" t="s">
        <v>20261</v>
      </c>
      <c r="B58641" s="0" t="str">
        <f aca="false">HYPERLINK("https://lindat.mff.cuni.cz/services/teitok/pdtc10/index.php?action=vallex&amp;frame=v-w11997_ZUf2_MM", "vypozorovat (v-w11997_ZUf2_MM)")</f>
        <v>vypozorovat (v-w11997_ZUf2_MM)</v>
      </c>
    </row>
    <row r="58642" customFormat="false" ht="12.8" hidden="false" customHeight="false" outlineLevel="0" collapsed="false">
      <c r="B58642" s="0" t="s">
        <v>7</v>
      </c>
    </row>
    <row r="58643" customFormat="false" ht="12.8" hidden="false" customHeight="false" outlineLevel="0" collapsed="false">
      <c r="B58643" s="0" t="s">
        <v>172</v>
      </c>
    </row>
    <row r="58645" customFormat="false" ht="12.8" hidden="false" customHeight="false" outlineLevel="0" collapsed="false">
      <c r="A58645" s="0" t="s">
        <v>20261</v>
      </c>
      <c r="B58645" s="0" t="str">
        <f aca="false">HYPERLINK("https://lindat.mff.cuni.cz/services/teitok/pdtc10/index.php?action=vallex&amp;frame=v-w11997_ZUf1_ZU", "vypozorovat (v-w11997_ZUf1_ZU) - substituted with v-w11997_ZUf2_MM")</f>
        <v>vypozorovat (v-w11997_ZUf1_ZU) - substituted with v-w11997_ZUf2_MM</v>
      </c>
    </row>
    <row r="58646" customFormat="false" ht="12.8" hidden="false" customHeight="false" outlineLevel="0" collapsed="false">
      <c r="B58646" s="0" t="s">
        <v>7</v>
      </c>
    </row>
    <row r="58647" customFormat="false" ht="12.8" hidden="false" customHeight="false" outlineLevel="0" collapsed="false">
      <c r="B58647" s="0" t="s">
        <v>172</v>
      </c>
    </row>
    <row r="58649" customFormat="false" ht="12.8" hidden="false" customHeight="false" outlineLevel="0" collapsed="false">
      <c r="A58649" s="0" t="s">
        <v>20262</v>
      </c>
      <c r="B58649" s="0" t="str">
        <f aca="false">HYPERLINK("https://lindat.mff.cuni.cz/services/teitok/pdtc10/index.php?action=vallex&amp;frame=v-w8211f1", "vypočíst (v-w8211f1)")</f>
        <v>vypočíst (v-w8211f1)</v>
      </c>
    </row>
    <row r="58650" customFormat="false" ht="12.8" hidden="false" customHeight="false" outlineLevel="0" collapsed="false">
      <c r="B58650" s="0" t="s">
        <v>7</v>
      </c>
      <c r="C58650" s="0" t="s">
        <v>3918</v>
      </c>
      <c r="D58650" s="0" t="s">
        <v>11401</v>
      </c>
      <c r="E58650" s="0" t="s">
        <v>11401</v>
      </c>
      <c r="F58650" s="0" t="s">
        <v>11401</v>
      </c>
    </row>
    <row r="58651" customFormat="false" ht="12.8" hidden="false" customHeight="false" outlineLevel="0" collapsed="false">
      <c r="B58651" s="0" t="s">
        <v>1520</v>
      </c>
      <c r="C58651" s="0" t="s">
        <v>2788</v>
      </c>
      <c r="D58651" s="0" t="s">
        <v>128</v>
      </c>
      <c r="E58651" s="0" t="s">
        <v>128</v>
      </c>
      <c r="F58651" s="0" t="s">
        <v>128</v>
      </c>
    </row>
    <row r="58652" customFormat="false" ht="12.8" hidden="false" customHeight="false" outlineLevel="0" collapsed="false">
      <c r="B58652" s="0" t="s">
        <v>35</v>
      </c>
    </row>
    <row r="58653" customFormat="false" ht="12.8" hidden="false" customHeight="false" outlineLevel="0" collapsed="false">
      <c r="B58653" s="0" t="s">
        <v>84</v>
      </c>
      <c r="C58653" s="0" t="s">
        <v>1527</v>
      </c>
    </row>
    <row r="58655" customFormat="false" ht="12.8" hidden="false" customHeight="false" outlineLevel="0" collapsed="false">
      <c r="A58655" s="0" t="s">
        <v>20263</v>
      </c>
      <c r="B58655" s="0" t="str">
        <f aca="false">HYPERLINK("https://lindat.mff.cuni.cz/services/teitok/pdtc10/index.php?action=vallex&amp;frame=v-w8212f1", "vypočítat (v-w8212f1)")</f>
        <v>vypočítat (v-w8212f1)</v>
      </c>
    </row>
    <row r="58656" customFormat="false" ht="12.8" hidden="false" customHeight="false" outlineLevel="0" collapsed="false">
      <c r="B58656" s="0" t="s">
        <v>7</v>
      </c>
      <c r="C58656" s="0" t="s">
        <v>3664</v>
      </c>
      <c r="D58656" s="0" t="s">
        <v>11401</v>
      </c>
      <c r="E58656" s="0" t="s">
        <v>11401</v>
      </c>
      <c r="F58656" s="0" t="s">
        <v>11401</v>
      </c>
    </row>
    <row r="58657" customFormat="false" ht="12.8" hidden="false" customHeight="false" outlineLevel="0" collapsed="false">
      <c r="B58657" s="0" t="s">
        <v>1520</v>
      </c>
      <c r="C58657" s="0" t="s">
        <v>1210</v>
      </c>
      <c r="D58657" s="0" t="s">
        <v>128</v>
      </c>
      <c r="E58657" s="0" t="s">
        <v>128</v>
      </c>
      <c r="F58657" s="0" t="s">
        <v>128</v>
      </c>
    </row>
    <row r="58658" customFormat="false" ht="12.8" hidden="false" customHeight="false" outlineLevel="0" collapsed="false">
      <c r="B58658" s="0" t="s">
        <v>35</v>
      </c>
    </row>
    <row r="58660" customFormat="false" ht="12.8" hidden="false" customHeight="false" outlineLevel="0" collapsed="false">
      <c r="A58660" s="0" t="s">
        <v>20264</v>
      </c>
      <c r="B58660" s="0" t="str">
        <f aca="false">HYPERLINK("https://lindat.mff.cuni.cz/services/teitok/pdtc10/index.php?action=vallex&amp;frame=v-w8213f2", "vypočítávat (v-w8213f2)")</f>
        <v>vypočítávat (v-w8213f2)</v>
      </c>
    </row>
    <row r="58661" customFormat="false" ht="12.8" hidden="false" customHeight="false" outlineLevel="0" collapsed="false">
      <c r="B58661" s="0" t="s">
        <v>7</v>
      </c>
      <c r="C58661" s="0" t="s">
        <v>149</v>
      </c>
    </row>
    <row r="58662" customFormat="false" ht="12.8" hidden="false" customHeight="false" outlineLevel="0" collapsed="false">
      <c r="B58662" s="0" t="s">
        <v>232</v>
      </c>
      <c r="C58662" s="0" t="s">
        <v>493</v>
      </c>
    </row>
    <row r="58663" customFormat="false" ht="12.8" hidden="false" customHeight="false" outlineLevel="0" collapsed="false">
      <c r="B58663" s="0" t="s">
        <v>106</v>
      </c>
    </row>
    <row r="58665" customFormat="false" ht="12.8" hidden="false" customHeight="false" outlineLevel="0" collapsed="false">
      <c r="A58665" s="0" t="s">
        <v>20265</v>
      </c>
      <c r="B58665" s="0" t="str">
        <f aca="false">HYPERLINK("https://lindat.mff.cuni.cz/services/teitok/pdtc10/index.php?action=vallex&amp;frame=v-w8213f1", "vypočítávat (v-w8213f1)")</f>
        <v>vypočítávat (v-w8213f1)</v>
      </c>
    </row>
    <row r="58666" customFormat="false" ht="12.8" hidden="false" customHeight="false" outlineLevel="0" collapsed="false">
      <c r="B58666" s="0" t="s">
        <v>7</v>
      </c>
      <c r="C58666" s="0" t="s">
        <v>504</v>
      </c>
      <c r="D58666" s="0" t="s">
        <v>11401</v>
      </c>
      <c r="E58666" s="0" t="s">
        <v>11401</v>
      </c>
      <c r="F58666" s="0" t="s">
        <v>11401</v>
      </c>
    </row>
    <row r="58667" customFormat="false" ht="12.8" hidden="false" customHeight="false" outlineLevel="0" collapsed="false">
      <c r="B58667" s="0" t="s">
        <v>1520</v>
      </c>
      <c r="C58667" s="0" t="s">
        <v>488</v>
      </c>
      <c r="D58667" s="0" t="s">
        <v>128</v>
      </c>
      <c r="E58667" s="0" t="s">
        <v>128</v>
      </c>
      <c r="F58667" s="0" t="s">
        <v>128</v>
      </c>
    </row>
    <row r="58668" customFormat="false" ht="12.8" hidden="false" customHeight="false" outlineLevel="0" collapsed="false">
      <c r="B58668" s="0" t="s">
        <v>35</v>
      </c>
    </row>
    <row r="58670" customFormat="false" ht="12.8" hidden="false" customHeight="false" outlineLevel="0" collapsed="false">
      <c r="A58670" s="0" t="s">
        <v>20266</v>
      </c>
      <c r="B58670" s="0" t="str">
        <f aca="false">HYPERLINK("https://lindat.mff.cuni.cz/services/teitok/pdtc10/index.php?action=vallex&amp;frame=v-w8219f2", "vypořádat (v-w8219f2)")</f>
        <v>vypořádat (v-w8219f2)</v>
      </c>
    </row>
    <row r="58671" customFormat="false" ht="12.8" hidden="false" customHeight="false" outlineLevel="0" collapsed="false">
      <c r="B58671" s="0" t="s">
        <v>7</v>
      </c>
      <c r="D58671" s="0" t="s">
        <v>11779</v>
      </c>
      <c r="E58671" s="0" t="s">
        <v>11779</v>
      </c>
      <c r="F58671" s="0" t="s">
        <v>11779</v>
      </c>
    </row>
    <row r="58672" customFormat="false" ht="12.8" hidden="false" customHeight="false" outlineLevel="0" collapsed="false">
      <c r="B58672" s="0" t="s">
        <v>1865</v>
      </c>
      <c r="D58672" s="0" t="s">
        <v>16406</v>
      </c>
      <c r="E58672" s="0" t="s">
        <v>16406</v>
      </c>
      <c r="F58672" s="0" t="s">
        <v>16406</v>
      </c>
    </row>
    <row r="58673" customFormat="false" ht="12.8" hidden="false" customHeight="false" outlineLevel="0" collapsed="false">
      <c r="B58673" s="0" t="s">
        <v>207</v>
      </c>
      <c r="D58673" s="0" t="s">
        <v>20267</v>
      </c>
      <c r="E58673" s="0" t="s">
        <v>20267</v>
      </c>
      <c r="F58673" s="0" t="s">
        <v>20267</v>
      </c>
    </row>
    <row r="58675" customFormat="false" ht="12.8" hidden="false" customHeight="false" outlineLevel="0" collapsed="false">
      <c r="A58675" s="0" t="s">
        <v>20268</v>
      </c>
      <c r="B58675" s="0" t="str">
        <f aca="false">HYPERLINK("https://lindat.mff.cuni.cz/services/teitok/pdtc10/index.php?action=vallex&amp;frame=v-w8219f1", "vypořádat (v-w8219f1)")</f>
        <v>vypořádat (v-w8219f1)</v>
      </c>
    </row>
    <row r="58676" customFormat="false" ht="12.8" hidden="false" customHeight="false" outlineLevel="0" collapsed="false">
      <c r="B58676" s="0" t="s">
        <v>7</v>
      </c>
      <c r="C58676" s="0" t="s">
        <v>248</v>
      </c>
    </row>
    <row r="58677" customFormat="false" ht="12.8" hidden="false" customHeight="false" outlineLevel="0" collapsed="false">
      <c r="B58677" s="0" t="s">
        <v>14</v>
      </c>
      <c r="C58677" s="0" t="s">
        <v>120</v>
      </c>
    </row>
    <row r="58679" customFormat="false" ht="12.8" hidden="false" customHeight="false" outlineLevel="0" collapsed="false">
      <c r="A58679" s="0" t="s">
        <v>20269</v>
      </c>
      <c r="B58679" s="0" t="str">
        <f aca="false">HYPERLINK("https://lindat.mff.cuni.cz/services/teitok/pdtc10/index.php?action=vallex&amp;frame=v-w8220f1", "vypořádat se (v-w8220f1)")</f>
        <v>vypořádat se (v-w8220f1)</v>
      </c>
    </row>
    <row r="58680" customFormat="false" ht="12.8" hidden="false" customHeight="false" outlineLevel="0" collapsed="false">
      <c r="B58680" s="0" t="s">
        <v>7</v>
      </c>
      <c r="C58680" s="0" t="s">
        <v>8103</v>
      </c>
      <c r="E58680" s="0" t="s">
        <v>14277</v>
      </c>
      <c r="F58680" s="0" t="s">
        <v>14277</v>
      </c>
    </row>
    <row r="58681" customFormat="false" ht="12.8" hidden="false" customHeight="false" outlineLevel="0" collapsed="false">
      <c r="B58681" s="0" t="s">
        <v>548</v>
      </c>
      <c r="C58681" s="0" t="s">
        <v>14617</v>
      </c>
      <c r="E58681" s="0" t="s">
        <v>14280</v>
      </c>
      <c r="F58681" s="0" t="s">
        <v>14280</v>
      </c>
    </row>
    <row r="58683" customFormat="false" ht="12.8" hidden="false" customHeight="false" outlineLevel="0" collapsed="false">
      <c r="A58683" s="0" t="s">
        <v>20270</v>
      </c>
      <c r="B58683" s="0" t="str">
        <f aca="false">HYPERLINK("https://lindat.mff.cuni.cz/services/teitok/pdtc10/index.php?action=vallex&amp;frame=v-w8222f1", "vypořádávat (v-w8222f1)")</f>
        <v>vypořádávat (v-w8222f1)</v>
      </c>
    </row>
    <row r="58684" customFormat="false" ht="12.8" hidden="false" customHeight="false" outlineLevel="0" collapsed="false">
      <c r="B58684" s="0" t="s">
        <v>7</v>
      </c>
      <c r="C58684" s="0" t="s">
        <v>1263</v>
      </c>
      <c r="D58684" s="0" t="s">
        <v>9491</v>
      </c>
      <c r="E58684" s="0" t="s">
        <v>9491</v>
      </c>
      <c r="F58684" s="0" t="s">
        <v>20271</v>
      </c>
    </row>
    <row r="58685" customFormat="false" ht="12.8" hidden="false" customHeight="false" outlineLevel="0" collapsed="false">
      <c r="B58685" s="0" t="s">
        <v>14</v>
      </c>
      <c r="C58685" s="0" t="s">
        <v>12750</v>
      </c>
      <c r="D58685" s="0" t="s">
        <v>9492</v>
      </c>
      <c r="E58685" s="0" t="s">
        <v>9492</v>
      </c>
      <c r="F58685" s="0" t="s">
        <v>20272</v>
      </c>
    </row>
    <row r="58687" customFormat="false" ht="12.8" hidden="false" customHeight="false" outlineLevel="0" collapsed="false">
      <c r="A58687" s="0" t="s">
        <v>20273</v>
      </c>
      <c r="B58687" s="0" t="str">
        <f aca="false">HYPERLINK("https://lindat.mff.cuni.cz/services/teitok/pdtc10/index.php?action=vallex&amp;frame=v-w8223f1", "vypořádávat se (v-w8223f1)")</f>
        <v>vypořádávat se (v-w8223f1)</v>
      </c>
    </row>
    <row r="58688" customFormat="false" ht="12.8" hidden="false" customHeight="false" outlineLevel="0" collapsed="false">
      <c r="B58688" s="0" t="s">
        <v>7</v>
      </c>
      <c r="D58688" s="0" t="s">
        <v>310</v>
      </c>
      <c r="E58688" s="0" t="s">
        <v>310</v>
      </c>
      <c r="F58688" s="0" t="s">
        <v>310</v>
      </c>
    </row>
    <row r="58689" customFormat="false" ht="12.8" hidden="false" customHeight="false" outlineLevel="0" collapsed="false">
      <c r="B58689" s="0" t="s">
        <v>548</v>
      </c>
      <c r="D58689" s="0" t="s">
        <v>313</v>
      </c>
      <c r="E58689" s="0" t="s">
        <v>313</v>
      </c>
      <c r="F58689" s="0" t="s">
        <v>313</v>
      </c>
    </row>
    <row r="58691" customFormat="false" ht="12.8" hidden="false" customHeight="false" outlineLevel="0" collapsed="false">
      <c r="A58691" s="0" t="s">
        <v>20274</v>
      </c>
      <c r="B58691" s="0" t="str">
        <f aca="false">HYPERLINK("https://lindat.mff.cuni.cz/services/teitok/pdtc10/index.php?action=vallex&amp;frame=v-w8236f1", "vypracovat (v-w8236f1)")</f>
        <v>vypracovat (v-w8236f1)</v>
      </c>
    </row>
    <row r="58692" customFormat="false" ht="12.8" hidden="false" customHeight="false" outlineLevel="0" collapsed="false">
      <c r="B58692" s="0" t="s">
        <v>7</v>
      </c>
      <c r="C58692" s="0" t="s">
        <v>20275</v>
      </c>
      <c r="D58692" s="0" t="s">
        <v>20276</v>
      </c>
      <c r="E58692" s="0" t="s">
        <v>20277</v>
      </c>
      <c r="F58692" s="0" t="s">
        <v>20277</v>
      </c>
    </row>
    <row r="58693" customFormat="false" ht="12.8" hidden="false" customHeight="false" outlineLevel="0" collapsed="false">
      <c r="B58693" s="0" t="s">
        <v>14</v>
      </c>
      <c r="C58693" s="0" t="s">
        <v>20278</v>
      </c>
      <c r="D58693" s="0" t="s">
        <v>488</v>
      </c>
      <c r="E58693" s="0" t="s">
        <v>20279</v>
      </c>
      <c r="F58693" s="0" t="s">
        <v>20279</v>
      </c>
    </row>
    <row r="58695" customFormat="false" ht="12.8" hidden="false" customHeight="false" outlineLevel="0" collapsed="false">
      <c r="A58695" s="0" t="s">
        <v>20280</v>
      </c>
      <c r="B58695" s="0" t="str">
        <f aca="false">HYPERLINK("https://lindat.mff.cuni.cz/services/teitok/pdtc10/index.php?action=vallex&amp;frame=v-w8237hsa_1619", "vypracovat se (v-w8237hsa_1619)")</f>
        <v>vypracovat se (v-w8237hsa_1619)</v>
      </c>
    </row>
    <row r="58696" customFormat="false" ht="12.8" hidden="false" customHeight="false" outlineLevel="0" collapsed="false">
      <c r="B58696" s="0" t="s">
        <v>7</v>
      </c>
    </row>
    <row r="58697" customFormat="false" ht="12.8" hidden="false" customHeight="false" outlineLevel="0" collapsed="false">
      <c r="B58697" s="0" t="s">
        <v>20281</v>
      </c>
    </row>
    <row r="58698" customFormat="false" ht="12.8" hidden="false" customHeight="false" outlineLevel="0" collapsed="false">
      <c r="B58698" s="0" t="s">
        <v>35</v>
      </c>
    </row>
    <row r="58700" customFormat="false" ht="12.8" hidden="false" customHeight="false" outlineLevel="0" collapsed="false">
      <c r="A58700" s="0" t="s">
        <v>20280</v>
      </c>
      <c r="B58700" s="0" t="str">
        <f aca="false">HYPERLINK("https://lindat.mff.cuni.cz/services/teitok/pdtc10/index.php?action=vallex&amp;frame=v-w8237f1", "vypracovat se (v-w8237f1) - substituted with v-w8237hsa_1619")</f>
        <v>vypracovat se (v-w8237f1) - substituted with v-w8237hsa_1619</v>
      </c>
    </row>
    <row r="58701" customFormat="false" ht="12.8" hidden="false" customHeight="false" outlineLevel="0" collapsed="false">
      <c r="B58701" s="0" t="s">
        <v>7</v>
      </c>
    </row>
    <row r="58702" customFormat="false" ht="12.8" hidden="false" customHeight="false" outlineLevel="0" collapsed="false">
      <c r="B58702" s="0" t="s">
        <v>20281</v>
      </c>
    </row>
    <row r="58703" customFormat="false" ht="12.8" hidden="false" customHeight="false" outlineLevel="0" collapsed="false">
      <c r="B58703" s="0" t="s">
        <v>35</v>
      </c>
    </row>
    <row r="58705" customFormat="false" ht="12.8" hidden="false" customHeight="false" outlineLevel="0" collapsed="false">
      <c r="A58705" s="0" t="s">
        <v>20282</v>
      </c>
      <c r="B58705" s="0" t="str">
        <f aca="false">HYPERLINK("https://lindat.mff.cuni.cz/services/teitok/pdtc10/index.php?action=vallex&amp;frame=v-w8240f1", "vypracovávat (v-w8240f1)")</f>
        <v>vypracovávat (v-w8240f1)</v>
      </c>
    </row>
    <row r="58706" customFormat="false" ht="12.8" hidden="false" customHeight="false" outlineLevel="0" collapsed="false">
      <c r="B58706" s="0" t="s">
        <v>7</v>
      </c>
      <c r="C58706" s="0" t="s">
        <v>20283</v>
      </c>
      <c r="D58706" s="0" t="s">
        <v>20276</v>
      </c>
      <c r="E58706" s="0" t="s">
        <v>20276</v>
      </c>
      <c r="F58706" s="0" t="s">
        <v>20276</v>
      </c>
    </row>
    <row r="58707" customFormat="false" ht="12.8" hidden="false" customHeight="false" outlineLevel="0" collapsed="false">
      <c r="B58707" s="0" t="s">
        <v>14</v>
      </c>
      <c r="C58707" s="0" t="s">
        <v>625</v>
      </c>
      <c r="D58707" s="0" t="s">
        <v>488</v>
      </c>
      <c r="E58707" s="0" t="s">
        <v>488</v>
      </c>
      <c r="F58707" s="0" t="s">
        <v>488</v>
      </c>
    </row>
    <row r="58709" customFormat="false" ht="12.8" hidden="false" customHeight="false" outlineLevel="0" collapsed="false">
      <c r="A58709" s="0" t="s">
        <v>20284</v>
      </c>
      <c r="B58709" s="0" t="str">
        <f aca="false">HYPERLINK("https://lindat.mff.cuni.cz/services/teitok/pdtc10/index.php?action=vallex&amp;frame=v-w11626_ZUf1_ZU", "vypracovávat se (v-w11626_ZUf1_ZU)")</f>
        <v>vypracovávat se (v-w11626_ZUf1_ZU)</v>
      </c>
    </row>
    <row r="58710" customFormat="false" ht="12.8" hidden="false" customHeight="false" outlineLevel="0" collapsed="false">
      <c r="B58710" s="0" t="s">
        <v>7</v>
      </c>
    </row>
    <row r="58711" customFormat="false" ht="12.8" hidden="false" customHeight="false" outlineLevel="0" collapsed="false">
      <c r="B58711" s="0" t="s">
        <v>3568</v>
      </c>
    </row>
    <row r="58712" customFormat="false" ht="12.8" hidden="false" customHeight="false" outlineLevel="0" collapsed="false">
      <c r="B58712" s="0" t="s">
        <v>35</v>
      </c>
    </row>
    <row r="58714" customFormat="false" ht="12.8" hidden="false" customHeight="false" outlineLevel="0" collapsed="false">
      <c r="A58714" s="0" t="s">
        <v>20285</v>
      </c>
      <c r="B58714" s="0" t="str">
        <f aca="false">HYPERLINK("https://lindat.mff.cuni.cz/services/teitok/pdtc10/index.php?action=vallex&amp;frame=v-w8241f1", "vyprat (v-w8241f1)")</f>
        <v>vyprat (v-w8241f1)</v>
      </c>
    </row>
    <row r="58715" customFormat="false" ht="12.8" hidden="false" customHeight="false" outlineLevel="0" collapsed="false">
      <c r="B58715" s="0" t="s">
        <v>7</v>
      </c>
    </row>
    <row r="58716" customFormat="false" ht="12.8" hidden="false" customHeight="false" outlineLevel="0" collapsed="false">
      <c r="B58716" s="0" t="s">
        <v>14</v>
      </c>
    </row>
    <row r="58718" customFormat="false" ht="12.8" hidden="false" customHeight="false" outlineLevel="0" collapsed="false">
      <c r="A58718" s="0" t="s">
        <v>20286</v>
      </c>
      <c r="B58718" s="0" t="str">
        <f aca="false">HYPERLINK("https://lindat.mff.cuni.cz/services/teitok/pdtc10/index.php?action=vallex&amp;frame=v-w8241f2", "vyprat (v-w8241f2)")</f>
        <v>vyprat (v-w8241f2)</v>
      </c>
    </row>
    <row r="58719" customFormat="false" ht="12.8" hidden="false" customHeight="false" outlineLevel="0" collapsed="false">
      <c r="B58719" s="0" t="s">
        <v>7</v>
      </c>
      <c r="C58719" s="0" t="s">
        <v>46</v>
      </c>
    </row>
    <row r="58720" customFormat="false" ht="12.8" hidden="false" customHeight="false" outlineLevel="0" collapsed="false">
      <c r="B58720" s="0" t="s">
        <v>14</v>
      </c>
      <c r="C58720" s="0" t="s">
        <v>567</v>
      </c>
    </row>
    <row r="58722" customFormat="false" ht="12.8" hidden="false" customHeight="false" outlineLevel="0" collapsed="false">
      <c r="A58722" s="0" t="s">
        <v>20287</v>
      </c>
      <c r="B58722" s="0" t="str">
        <f aca="false">HYPERLINK("https://lindat.mff.cuni.cz/services/teitok/pdtc10/index.php?action=vallex&amp;frame=v-w8247f3_ZU", "vypravit (v-w8247f3_ZU)")</f>
        <v>vypravit (v-w8247f3_ZU)</v>
      </c>
    </row>
    <row r="58723" customFormat="false" ht="12.8" hidden="false" customHeight="false" outlineLevel="0" collapsed="false">
      <c r="B58723" s="0" t="s">
        <v>7</v>
      </c>
    </row>
    <row r="58724" customFormat="false" ht="12.8" hidden="false" customHeight="false" outlineLevel="0" collapsed="false">
      <c r="B58724" s="0" t="s">
        <v>14</v>
      </c>
    </row>
    <row r="58726" customFormat="false" ht="12.8" hidden="false" customHeight="false" outlineLevel="0" collapsed="false">
      <c r="A58726" s="0" t="s">
        <v>20287</v>
      </c>
      <c r="B58726" s="0" t="str">
        <f aca="false">HYPERLINK("https://lindat.mff.cuni.cz/services/teitok/pdtc10/index.php?action=vallex&amp;frame=v-w8247f1", "vypravit (v-w8247f1) - substituted with v-w8247f3_ZU")</f>
        <v>vypravit (v-w8247f1) - substituted with v-w8247f3_ZU</v>
      </c>
    </row>
    <row r="58727" customFormat="false" ht="12.8" hidden="false" customHeight="false" outlineLevel="0" collapsed="false">
      <c r="B58727" s="0" t="s">
        <v>7</v>
      </c>
      <c r="C58727" s="0" t="s">
        <v>46</v>
      </c>
    </row>
    <row r="58728" customFormat="false" ht="12.8" hidden="false" customHeight="false" outlineLevel="0" collapsed="false">
      <c r="B58728" s="0" t="s">
        <v>14</v>
      </c>
      <c r="C58728" s="0" t="s">
        <v>47</v>
      </c>
    </row>
    <row r="58730" customFormat="false" ht="12.8" hidden="false" customHeight="false" outlineLevel="0" collapsed="false">
      <c r="A58730" s="0" t="s">
        <v>20288</v>
      </c>
      <c r="B58730" s="0" t="str">
        <f aca="false">HYPERLINK("https://lindat.mff.cuni.cz/services/teitok/pdtc10/index.php?action=vallex&amp;frame=v-w8247f2", "vypravit (v-w8247f2)")</f>
        <v>vypravit (v-w8247f2)</v>
      </c>
    </row>
    <row r="58731" customFormat="false" ht="12.8" hidden="false" customHeight="false" outlineLevel="0" collapsed="false">
      <c r="B58731" s="0" t="s">
        <v>7</v>
      </c>
    </row>
    <row r="58732" customFormat="false" ht="12.8" hidden="false" customHeight="false" outlineLevel="0" collapsed="false">
      <c r="B58732" s="0" t="s">
        <v>20289</v>
      </c>
    </row>
    <row r="58733" customFormat="false" ht="12.8" hidden="false" customHeight="false" outlineLevel="0" collapsed="false">
      <c r="B58733" s="0" t="s">
        <v>14</v>
      </c>
    </row>
    <row r="58735" customFormat="false" ht="12.8" hidden="false" customHeight="false" outlineLevel="0" collapsed="false">
      <c r="A58735" s="0" t="s">
        <v>20290</v>
      </c>
      <c r="B58735" s="0" t="str">
        <f aca="false">HYPERLINK("https://lindat.mff.cuni.cz/services/teitok/pdtc10/index.php?action=vallex&amp;frame=v-w8248f1", "vypravit se (v-w8248f1)")</f>
        <v>vypravit se (v-w8248f1)</v>
      </c>
    </row>
    <row r="58736" customFormat="false" ht="12.8" hidden="false" customHeight="false" outlineLevel="0" collapsed="false">
      <c r="B58736" s="0" t="s">
        <v>7</v>
      </c>
    </row>
    <row r="58737" customFormat="false" ht="12.8" hidden="false" customHeight="false" outlineLevel="0" collapsed="false">
      <c r="B58737" s="0" t="s">
        <v>124</v>
      </c>
    </row>
    <row r="58739" customFormat="false" ht="12.8" hidden="false" customHeight="false" outlineLevel="0" collapsed="false">
      <c r="A58739" s="0" t="s">
        <v>20291</v>
      </c>
      <c r="B58739" s="0" t="str">
        <f aca="false">HYPERLINK("https://lindat.mff.cuni.cz/services/teitok/pdtc10/index.php?action=vallex&amp;frame=v-w8249f3", "vypravovat (v-w8249f3)")</f>
        <v>vypravovat (v-w8249f3)</v>
      </c>
    </row>
    <row r="58740" customFormat="false" ht="12.8" hidden="false" customHeight="false" outlineLevel="0" collapsed="false">
      <c r="B58740" s="0" t="s">
        <v>7</v>
      </c>
      <c r="D58740" s="0" t="s">
        <v>5393</v>
      </c>
      <c r="E58740" s="0" t="s">
        <v>5393</v>
      </c>
      <c r="F58740" s="0" t="s">
        <v>5393</v>
      </c>
    </row>
    <row r="58741" customFormat="false" ht="12.8" hidden="false" customHeight="false" outlineLevel="0" collapsed="false">
      <c r="B58741" s="0" t="s">
        <v>244</v>
      </c>
    </row>
    <row r="58742" customFormat="false" ht="12.8" hidden="false" customHeight="false" outlineLevel="0" collapsed="false">
      <c r="B58742" s="0" t="s">
        <v>48</v>
      </c>
      <c r="D58742" s="0" t="s">
        <v>5324</v>
      </c>
      <c r="E58742" s="0" t="s">
        <v>5324</v>
      </c>
      <c r="F58742" s="0" t="s">
        <v>5324</v>
      </c>
    </row>
    <row r="58744" customFormat="false" ht="12.8" hidden="false" customHeight="false" outlineLevel="0" collapsed="false">
      <c r="A58744" s="0" t="s">
        <v>20292</v>
      </c>
      <c r="B58744" s="0" t="str">
        <f aca="false">HYPERLINK("https://lindat.mff.cuni.cz/services/teitok/pdtc10/index.php?action=vallex&amp;frame=v-w8249f1", "vypravovat (v-w8249f1)")</f>
        <v>vypravovat (v-w8249f1)</v>
      </c>
    </row>
    <row r="58745" customFormat="false" ht="12.8" hidden="false" customHeight="false" outlineLevel="0" collapsed="false">
      <c r="B58745" s="0" t="s">
        <v>7</v>
      </c>
    </row>
    <row r="58746" customFormat="false" ht="12.8" hidden="false" customHeight="false" outlineLevel="0" collapsed="false">
      <c r="B58746" s="0" t="s">
        <v>14</v>
      </c>
    </row>
    <row r="58748" customFormat="false" ht="12.8" hidden="false" customHeight="false" outlineLevel="0" collapsed="false">
      <c r="A58748" s="0" t="s">
        <v>20293</v>
      </c>
      <c r="B58748" s="0" t="str">
        <f aca="false">HYPERLINK("https://lindat.mff.cuni.cz/services/teitok/pdtc10/index.php?action=vallex&amp;frame=v-w8249f2", "vypravovat (v-w8249f2)")</f>
        <v>vypravovat (v-w8249f2)</v>
      </c>
    </row>
    <row r="58749" customFormat="false" ht="12.8" hidden="false" customHeight="false" outlineLevel="0" collapsed="false">
      <c r="B58749" s="0" t="s">
        <v>7</v>
      </c>
      <c r="D58749" s="0" t="s">
        <v>5393</v>
      </c>
      <c r="E58749" s="0" t="s">
        <v>5393</v>
      </c>
      <c r="F58749" s="0" t="s">
        <v>5393</v>
      </c>
    </row>
    <row r="58750" customFormat="false" ht="12.8" hidden="false" customHeight="false" outlineLevel="0" collapsed="false">
      <c r="B58750" s="0" t="s">
        <v>48</v>
      </c>
      <c r="D58750" s="0" t="s">
        <v>5324</v>
      </c>
      <c r="E58750" s="0" t="s">
        <v>5324</v>
      </c>
      <c r="F58750" s="0" t="s">
        <v>5324</v>
      </c>
    </row>
    <row r="58751" customFormat="false" ht="12.8" hidden="false" customHeight="false" outlineLevel="0" collapsed="false">
      <c r="B58751" s="0" t="s">
        <v>5525</v>
      </c>
      <c r="D58751" s="0" t="s">
        <v>13320</v>
      </c>
      <c r="E58751" s="0" t="s">
        <v>13320</v>
      </c>
      <c r="F58751" s="0" t="s">
        <v>13320</v>
      </c>
    </row>
    <row r="58752" customFormat="false" ht="12.8" hidden="false" customHeight="false" outlineLevel="0" collapsed="false">
      <c r="B58752" s="0" t="s">
        <v>363</v>
      </c>
      <c r="D58752" s="0" t="s">
        <v>11240</v>
      </c>
      <c r="E58752" s="0" t="s">
        <v>11240</v>
      </c>
      <c r="F58752" s="0" t="s">
        <v>11240</v>
      </c>
    </row>
    <row r="58754" customFormat="false" ht="12.8" hidden="false" customHeight="false" outlineLevel="0" collapsed="false">
      <c r="A58754" s="0" t="s">
        <v>20294</v>
      </c>
      <c r="B58754" s="0" t="str">
        <f aca="false">HYPERLINK("https://lindat.mff.cuni.cz/services/teitok/pdtc10/index.php?action=vallex&amp;frame=v-w11780_ZUf1_ZU", "vypravovat se (v-w11780_ZUf1_ZU)")</f>
        <v>vypravovat se (v-w11780_ZUf1_ZU)</v>
      </c>
    </row>
    <row r="58755" customFormat="false" ht="12.8" hidden="false" customHeight="false" outlineLevel="0" collapsed="false">
      <c r="B58755" s="0" t="s">
        <v>7</v>
      </c>
    </row>
    <row r="58756" customFormat="false" ht="12.8" hidden="false" customHeight="false" outlineLevel="0" collapsed="false">
      <c r="B58756" s="0" t="s">
        <v>338</v>
      </c>
    </row>
    <row r="58758" customFormat="false" ht="12.8" hidden="false" customHeight="false" outlineLevel="0" collapsed="false">
      <c r="A58758" s="0" t="s">
        <v>20295</v>
      </c>
      <c r="B58758" s="0" t="str">
        <f aca="false">HYPERLINK("https://lindat.mff.cuni.cz/services/teitok/pdtc10/index.php?action=vallex&amp;frame=v-w8251f1", "vyprazdňovat (v-w8251f1)")</f>
        <v>vyprazdňovat (v-w8251f1)</v>
      </c>
    </row>
    <row r="58759" customFormat="false" ht="12.8" hidden="false" customHeight="false" outlineLevel="0" collapsed="false">
      <c r="B58759" s="0" t="s">
        <v>7</v>
      </c>
      <c r="C58759" s="0" t="s">
        <v>191</v>
      </c>
      <c r="D58759" s="0" t="s">
        <v>191</v>
      </c>
      <c r="E58759" s="0" t="s">
        <v>191</v>
      </c>
      <c r="F58759" s="0" t="s">
        <v>191</v>
      </c>
    </row>
    <row r="58760" customFormat="false" ht="12.8" hidden="false" customHeight="false" outlineLevel="0" collapsed="false">
      <c r="B58760" s="0" t="s">
        <v>14</v>
      </c>
      <c r="C58760" s="0" t="s">
        <v>567</v>
      </c>
      <c r="D58760" s="0" t="s">
        <v>115</v>
      </c>
      <c r="E58760" s="0" t="s">
        <v>115</v>
      </c>
      <c r="F58760" s="0" t="s">
        <v>115</v>
      </c>
    </row>
    <row r="58762" customFormat="false" ht="12.8" hidden="false" customHeight="false" outlineLevel="0" collapsed="false">
      <c r="A58762" s="0" t="s">
        <v>20296</v>
      </c>
      <c r="B58762" s="0" t="str">
        <f aca="false">HYPERLINK("https://lindat.mff.cuni.cz/services/teitok/pdtc10/index.php?action=vallex&amp;frame=v-w8252f1", "vyprchat (v-w8252f1)")</f>
        <v>vyprchat (v-w8252f1)</v>
      </c>
    </row>
    <row r="58763" customFormat="false" ht="12.8" hidden="false" customHeight="false" outlineLevel="0" collapsed="false">
      <c r="B58763" s="0" t="s">
        <v>7</v>
      </c>
      <c r="C58763" s="0" t="s">
        <v>2894</v>
      </c>
      <c r="D58763" s="0" t="s">
        <v>5380</v>
      </c>
      <c r="E58763" s="0" t="s">
        <v>5380</v>
      </c>
      <c r="F58763" s="0" t="s">
        <v>5380</v>
      </c>
    </row>
    <row r="58765" customFormat="false" ht="12.8" hidden="false" customHeight="false" outlineLevel="0" collapsed="false">
      <c r="A58765" s="0" t="s">
        <v>20297</v>
      </c>
      <c r="B58765" s="0" t="str">
        <f aca="false">HYPERLINK("https://lindat.mff.cuni.cz/services/teitok/pdtc10/index.php?action=vallex&amp;frame=v-w8253f1", "vyprodat (v-w8253f1)")</f>
        <v>vyprodat (v-w8253f1)</v>
      </c>
    </row>
    <row r="58766" customFormat="false" ht="12.8" hidden="false" customHeight="false" outlineLevel="0" collapsed="false">
      <c r="B58766" s="0" t="s">
        <v>7</v>
      </c>
      <c r="D58766" s="0" t="s">
        <v>8397</v>
      </c>
      <c r="E58766" s="0" t="s">
        <v>8397</v>
      </c>
      <c r="F58766" s="0" t="s">
        <v>8397</v>
      </c>
    </row>
    <row r="58767" customFormat="false" ht="12.8" hidden="false" customHeight="false" outlineLevel="0" collapsed="false">
      <c r="B58767" s="0" t="s">
        <v>14</v>
      </c>
      <c r="C58767" s="0" t="s">
        <v>20298</v>
      </c>
      <c r="D58767" s="0" t="s">
        <v>8399</v>
      </c>
      <c r="E58767" s="0" t="s">
        <v>8399</v>
      </c>
      <c r="F58767" s="0" t="s">
        <v>8399</v>
      </c>
    </row>
    <row r="58769" customFormat="false" ht="12.8" hidden="false" customHeight="false" outlineLevel="0" collapsed="false">
      <c r="A58769" s="0" t="s">
        <v>20299</v>
      </c>
      <c r="B58769" s="0" t="str">
        <f aca="false">HYPERLINK("https://lindat.mff.cuni.cz/services/teitok/pdtc10/index.php?action=vallex&amp;frame=v-w8256f1", "vyprodukovat (v-w8256f1)")</f>
        <v>vyprodukovat (v-w8256f1)</v>
      </c>
    </row>
    <row r="58770" customFormat="false" ht="12.8" hidden="false" customHeight="false" outlineLevel="0" collapsed="false">
      <c r="B58770" s="0" t="s">
        <v>7</v>
      </c>
      <c r="C58770" s="0" t="s">
        <v>20300</v>
      </c>
      <c r="D58770" s="0" t="s">
        <v>4799</v>
      </c>
      <c r="E58770" s="0" t="s">
        <v>4799</v>
      </c>
      <c r="F58770" s="0" t="s">
        <v>4799</v>
      </c>
    </row>
    <row r="58771" customFormat="false" ht="12.8" hidden="false" customHeight="false" outlineLevel="0" collapsed="false">
      <c r="B58771" s="0" t="s">
        <v>14</v>
      </c>
      <c r="C58771" s="0" t="s">
        <v>20301</v>
      </c>
      <c r="D58771" s="0" t="s">
        <v>4801</v>
      </c>
      <c r="E58771" s="0" t="s">
        <v>4801</v>
      </c>
      <c r="F58771" s="0" t="s">
        <v>4801</v>
      </c>
    </row>
    <row r="58772" customFormat="false" ht="12.8" hidden="false" customHeight="false" outlineLevel="0" collapsed="false">
      <c r="B58772" s="0" t="s">
        <v>35</v>
      </c>
      <c r="C58772" s="0" t="s">
        <v>5551</v>
      </c>
      <c r="D58772" s="0" t="s">
        <v>5460</v>
      </c>
      <c r="E58772" s="0" t="s">
        <v>5460</v>
      </c>
      <c r="F58772" s="0" t="s">
        <v>5460</v>
      </c>
    </row>
    <row r="58774" customFormat="false" ht="12.8" hidden="false" customHeight="false" outlineLevel="0" collapsed="false">
      <c r="A58774" s="0" t="s">
        <v>20302</v>
      </c>
      <c r="B58774" s="0" t="str">
        <f aca="false">HYPERLINK("https://lindat.mff.cuni.cz/services/teitok/pdtc10/index.php?action=vallex&amp;frame=v-w8254f1", "vyprodávat (v-w8254f1)")</f>
        <v>vyprodávat (v-w8254f1)</v>
      </c>
    </row>
    <row r="58775" customFormat="false" ht="12.8" hidden="false" customHeight="false" outlineLevel="0" collapsed="false">
      <c r="B58775" s="0" t="s">
        <v>7</v>
      </c>
      <c r="C58775" s="0" t="s">
        <v>20303</v>
      </c>
    </row>
    <row r="58776" customFormat="false" ht="12.8" hidden="false" customHeight="false" outlineLevel="0" collapsed="false">
      <c r="B58776" s="0" t="s">
        <v>14</v>
      </c>
      <c r="C58776" s="0" t="s">
        <v>20304</v>
      </c>
    </row>
    <row r="58778" customFormat="false" ht="12.8" hidden="false" customHeight="false" outlineLevel="0" collapsed="false">
      <c r="A58778" s="0" t="s">
        <v>20305</v>
      </c>
      <c r="B58778" s="0" t="str">
        <f aca="false">HYPERLINK("https://lindat.mff.cuni.cz/services/teitok/pdtc10/index.php?action=vallex&amp;frame=v-w8257f1", "vyprofilovat se (v-w8257f1)")</f>
        <v>vyprofilovat se (v-w8257f1)</v>
      </c>
    </row>
    <row r="58779" customFormat="false" ht="12.8" hidden="false" customHeight="false" outlineLevel="0" collapsed="false">
      <c r="B58779" s="0" t="s">
        <v>7</v>
      </c>
    </row>
    <row r="58780" customFormat="false" ht="12.8" hidden="false" customHeight="false" outlineLevel="0" collapsed="false">
      <c r="B58780" s="0" t="s">
        <v>20306</v>
      </c>
    </row>
    <row r="58781" customFormat="false" ht="12.8" hidden="false" customHeight="false" outlineLevel="0" collapsed="false">
      <c r="B58781" s="0" t="s">
        <v>35</v>
      </c>
    </row>
    <row r="58783" customFormat="false" ht="12.8" hidden="false" customHeight="false" outlineLevel="0" collapsed="false">
      <c r="A58783" s="0" t="s">
        <v>20307</v>
      </c>
      <c r="B58783" s="0" t="str">
        <f aca="false">HYPERLINK("https://lindat.mff.cuni.cz/services/teitok/pdtc10/index.php?action=vallex&amp;frame=v-w8258f1", "vyprojektovat (v-w8258f1)")</f>
        <v>vyprojektovat (v-w8258f1)</v>
      </c>
    </row>
    <row r="58784" customFormat="false" ht="12.8" hidden="false" customHeight="false" outlineLevel="0" collapsed="false">
      <c r="B58784" s="0" t="s">
        <v>7</v>
      </c>
      <c r="D58784" s="0" t="s">
        <v>20308</v>
      </c>
      <c r="E58784" s="0" t="s">
        <v>20308</v>
      </c>
      <c r="F58784" s="0" t="s">
        <v>20308</v>
      </c>
    </row>
    <row r="58785" customFormat="false" ht="12.8" hidden="false" customHeight="false" outlineLevel="0" collapsed="false">
      <c r="B58785" s="0" t="s">
        <v>14</v>
      </c>
      <c r="D58785" s="0" t="s">
        <v>14568</v>
      </c>
      <c r="E58785" s="0" t="s">
        <v>14568</v>
      </c>
      <c r="F58785" s="0" t="s">
        <v>14568</v>
      </c>
    </row>
    <row r="58786" customFormat="false" ht="12.8" hidden="false" customHeight="false" outlineLevel="0" collapsed="false">
      <c r="B58786" s="0" t="s">
        <v>35</v>
      </c>
      <c r="D58786" s="0" t="s">
        <v>4253</v>
      </c>
      <c r="E58786" s="0" t="s">
        <v>4253</v>
      </c>
      <c r="F58786" s="0" t="s">
        <v>4253</v>
      </c>
    </row>
    <row r="58788" customFormat="false" ht="12.8" hidden="false" customHeight="false" outlineLevel="0" collapsed="false">
      <c r="A58788" s="0" t="s">
        <v>20309</v>
      </c>
      <c r="B58788" s="0" t="str">
        <f aca="false">HYPERLINK("https://lindat.mff.cuni.cz/services/teitok/pdtc10/index.php?action=vallex&amp;frame=v-w11299f3_ZU", "vyprostit (v-w11299f3_ZU)")</f>
        <v>vyprostit (v-w11299f3_ZU)</v>
      </c>
    </row>
    <row r="58789" customFormat="false" ht="12.8" hidden="false" customHeight="false" outlineLevel="0" collapsed="false">
      <c r="B58789" s="0" t="s">
        <v>7</v>
      </c>
      <c r="C58789" s="0" t="s">
        <v>191</v>
      </c>
      <c r="D58789" s="0" t="s">
        <v>46</v>
      </c>
      <c r="E58789" s="0" t="s">
        <v>3664</v>
      </c>
      <c r="F58789" s="0" t="s">
        <v>3664</v>
      </c>
    </row>
    <row r="58790" customFormat="false" ht="12.8" hidden="false" customHeight="false" outlineLevel="0" collapsed="false">
      <c r="B58790" s="0" t="s">
        <v>14</v>
      </c>
      <c r="C58790" s="0" t="s">
        <v>115</v>
      </c>
      <c r="D58790" s="0" t="s">
        <v>384</v>
      </c>
      <c r="E58790" s="0" t="s">
        <v>20310</v>
      </c>
      <c r="F58790" s="0" t="s">
        <v>20310</v>
      </c>
    </row>
    <row r="58791" customFormat="false" ht="12.8" hidden="false" customHeight="false" outlineLevel="0" collapsed="false">
      <c r="B58791" s="0" t="s">
        <v>459</v>
      </c>
      <c r="C58791" s="0" t="s">
        <v>19661</v>
      </c>
      <c r="E58791" s="0" t="s">
        <v>19661</v>
      </c>
      <c r="F58791" s="0" t="s">
        <v>19661</v>
      </c>
    </row>
    <row r="58793" customFormat="false" ht="12.8" hidden="false" customHeight="false" outlineLevel="0" collapsed="false">
      <c r="A58793" s="0" t="s">
        <v>20309</v>
      </c>
      <c r="B58793" s="0" t="str">
        <f aca="false">HYPERLINK("https://lindat.mff.cuni.cz/services/teitok/pdtc10/index.php?action=vallex&amp;frame=v-w11299f1", "vyprostit (v-w11299f1) - substituted with v-w11299f3_ZU")</f>
        <v>vyprostit (v-w11299f1) - substituted with v-w11299f3_ZU</v>
      </c>
    </row>
    <row r="58794" customFormat="false" ht="12.8" hidden="false" customHeight="false" outlineLevel="0" collapsed="false">
      <c r="B58794" s="0" t="s">
        <v>7</v>
      </c>
    </row>
    <row r="58795" customFormat="false" ht="12.8" hidden="false" customHeight="false" outlineLevel="0" collapsed="false">
      <c r="B58795" s="0" t="s">
        <v>14</v>
      </c>
    </row>
    <row r="58796" customFormat="false" ht="12.8" hidden="false" customHeight="false" outlineLevel="0" collapsed="false">
      <c r="B58796" s="0" t="s">
        <v>459</v>
      </c>
    </row>
    <row r="58798" customFormat="false" ht="12.8" hidden="false" customHeight="false" outlineLevel="0" collapsed="false">
      <c r="A58798" s="0" t="s">
        <v>20309</v>
      </c>
      <c r="B58798" s="0" t="str">
        <f aca="false">HYPERLINK("https://lindat.mff.cuni.cz/services/teitok/pdtc10/index.php?action=vallex&amp;frame=v-w11299f2_ZU", "vyprostit (v-w11299f2_ZU) - substituted with v-w11299f3_ZU")</f>
        <v>vyprostit (v-w11299f2_ZU) - substituted with v-w11299f3_ZU</v>
      </c>
    </row>
    <row r="58799" customFormat="false" ht="12.8" hidden="false" customHeight="false" outlineLevel="0" collapsed="false">
      <c r="B58799" s="0" t="s">
        <v>7</v>
      </c>
    </row>
    <row r="58800" customFormat="false" ht="12.8" hidden="false" customHeight="false" outlineLevel="0" collapsed="false">
      <c r="B58800" s="0" t="s">
        <v>14</v>
      </c>
    </row>
    <row r="58801" customFormat="false" ht="12.8" hidden="false" customHeight="false" outlineLevel="0" collapsed="false">
      <c r="B58801" s="0" t="s">
        <v>459</v>
      </c>
    </row>
    <row r="58803" customFormat="false" ht="12.8" hidden="false" customHeight="false" outlineLevel="0" collapsed="false">
      <c r="A58803" s="0" t="s">
        <v>20311</v>
      </c>
      <c r="B58803" s="0" t="str">
        <f aca="false">HYPERLINK("https://lindat.mff.cuni.cz/services/teitok/pdtc10/index.php?action=vallex&amp;frame=v-w11299hsa_201", "vyprostit (v-w11299hsa_201)")</f>
        <v>vyprostit (v-w11299hsa_201)</v>
      </c>
    </row>
    <row r="58804" customFormat="false" ht="12.8" hidden="false" customHeight="false" outlineLevel="0" collapsed="false">
      <c r="B58804" s="0" t="s">
        <v>7</v>
      </c>
    </row>
    <row r="58805" customFormat="false" ht="12.8" hidden="false" customHeight="false" outlineLevel="0" collapsed="false">
      <c r="B58805" s="0" t="s">
        <v>14</v>
      </c>
    </row>
    <row r="58806" customFormat="false" ht="12.8" hidden="false" customHeight="false" outlineLevel="0" collapsed="false">
      <c r="B58806" s="0" t="s">
        <v>459</v>
      </c>
    </row>
    <row r="58808" customFormat="false" ht="12.8" hidden="false" customHeight="false" outlineLevel="0" collapsed="false">
      <c r="A58808" s="0" t="s">
        <v>20312</v>
      </c>
      <c r="B58808" s="0" t="str">
        <f aca="false">HYPERLINK("https://lindat.mff.cuni.cz/services/teitok/pdtc10/index.php?action=vallex&amp;frame=v-w8259f1", "vyprostit se (v-w8259f1)")</f>
        <v>vyprostit se (v-w8259f1)</v>
      </c>
    </row>
    <row r="58809" customFormat="false" ht="12.8" hidden="false" customHeight="false" outlineLevel="0" collapsed="false">
      <c r="B58809" s="0" t="s">
        <v>7</v>
      </c>
      <c r="D58809" s="0" t="s">
        <v>2409</v>
      </c>
      <c r="E58809" s="0" t="s">
        <v>2409</v>
      </c>
      <c r="F58809" s="0" t="s">
        <v>2409</v>
      </c>
    </row>
    <row r="58810" customFormat="false" ht="12.8" hidden="false" customHeight="false" outlineLevel="0" collapsed="false">
      <c r="B58810" s="0" t="s">
        <v>459</v>
      </c>
      <c r="C58810" s="0" t="s">
        <v>8091</v>
      </c>
      <c r="D58810" s="0" t="s">
        <v>2411</v>
      </c>
      <c r="E58810" s="0" t="s">
        <v>2411</v>
      </c>
      <c r="F58810" s="0" t="s">
        <v>2411</v>
      </c>
    </row>
    <row r="58812" customFormat="false" ht="12.8" hidden="false" customHeight="false" outlineLevel="0" collapsed="false">
      <c r="A58812" s="0" t="s">
        <v>20313</v>
      </c>
      <c r="B58812" s="0" t="str">
        <f aca="false">HYPERLINK("https://lindat.mff.cuni.cz/services/teitok/pdtc10/index.php?action=vallex&amp;frame=v-w8263f1", "vyprovodit (v-w8263f1)")</f>
        <v>vyprovodit (v-w8263f1)</v>
      </c>
    </row>
    <row r="58813" customFormat="false" ht="12.8" hidden="false" customHeight="false" outlineLevel="0" collapsed="false">
      <c r="B58813" s="0" t="s">
        <v>7</v>
      </c>
    </row>
    <row r="58814" customFormat="false" ht="12.8" hidden="false" customHeight="false" outlineLevel="0" collapsed="false">
      <c r="B58814" s="0" t="s">
        <v>14</v>
      </c>
    </row>
    <row r="58816" customFormat="false" ht="12.8" hidden="false" customHeight="false" outlineLevel="0" collapsed="false">
      <c r="A58816" s="0" t="s">
        <v>20314</v>
      </c>
      <c r="B58816" s="0" t="str">
        <f aca="false">HYPERLINK("https://lindat.mff.cuni.cz/services/teitok/pdtc10/index.php?action=vallex&amp;frame=v-w8265f1", "vyprovokovat (v-w8265f1)")</f>
        <v>vyprovokovat (v-w8265f1)</v>
      </c>
    </row>
    <row r="58817" customFormat="false" ht="12.8" hidden="false" customHeight="false" outlineLevel="0" collapsed="false">
      <c r="B58817" s="0" t="s">
        <v>7</v>
      </c>
      <c r="C58817" s="0" t="s">
        <v>20315</v>
      </c>
    </row>
    <row r="58818" customFormat="false" ht="12.8" hidden="false" customHeight="false" outlineLevel="0" collapsed="false">
      <c r="B58818" s="0" t="s">
        <v>14</v>
      </c>
      <c r="C58818" s="0" t="s">
        <v>151</v>
      </c>
    </row>
    <row r="58820" customFormat="false" ht="12.8" hidden="false" customHeight="false" outlineLevel="0" collapsed="false">
      <c r="A58820" s="0" t="s">
        <v>20316</v>
      </c>
      <c r="B58820" s="0" t="str">
        <f aca="false">HYPERLINK("https://lindat.mff.cuni.cz/services/teitok/pdtc10/index.php?action=vallex&amp;frame=v-w8265f2", "vyprovokovat (v-w8265f2)")</f>
        <v>vyprovokovat (v-w8265f2)</v>
      </c>
    </row>
    <row r="58821" customFormat="false" ht="12.8" hidden="false" customHeight="false" outlineLevel="0" collapsed="false">
      <c r="B58821" s="0" t="s">
        <v>7</v>
      </c>
      <c r="C58821" s="0" t="s">
        <v>46</v>
      </c>
      <c r="D58821" s="0" t="s">
        <v>2041</v>
      </c>
      <c r="E58821" s="0" t="s">
        <v>2041</v>
      </c>
      <c r="F58821" s="0" t="s">
        <v>2041</v>
      </c>
    </row>
    <row r="58822" customFormat="false" ht="12.8" hidden="false" customHeight="false" outlineLevel="0" collapsed="false">
      <c r="B58822" s="0" t="s">
        <v>81</v>
      </c>
      <c r="C58822" s="0" t="s">
        <v>20317</v>
      </c>
      <c r="D58822" s="0" t="s">
        <v>2045</v>
      </c>
      <c r="E58822" s="0" t="s">
        <v>2045</v>
      </c>
      <c r="F58822" s="0" t="s">
        <v>2045</v>
      </c>
    </row>
    <row r="58823" customFormat="false" ht="12.8" hidden="false" customHeight="false" outlineLevel="0" collapsed="false">
      <c r="B58823" s="0" t="s">
        <v>16602</v>
      </c>
      <c r="C58823" s="0" t="s">
        <v>1743</v>
      </c>
      <c r="D58823" s="0" t="s">
        <v>2043</v>
      </c>
      <c r="E58823" s="0" t="s">
        <v>2043</v>
      </c>
      <c r="F58823" s="0" t="s">
        <v>2043</v>
      </c>
    </row>
    <row r="58825" customFormat="false" ht="12.8" hidden="false" customHeight="false" outlineLevel="0" collapsed="false">
      <c r="A58825" s="0" t="s">
        <v>20318</v>
      </c>
      <c r="B58825" s="0" t="str">
        <f aca="false">HYPERLINK("https://lindat.mff.cuni.cz/services/teitok/pdtc10/index.php?action=vallex&amp;frame=v-w8262f1", "vyprovázet (v-w8262f1)")</f>
        <v>vyprovázet (v-w8262f1)</v>
      </c>
    </row>
    <row r="58826" customFormat="false" ht="12.8" hidden="false" customHeight="false" outlineLevel="0" collapsed="false">
      <c r="B58826" s="0" t="s">
        <v>7</v>
      </c>
      <c r="D58826" s="0" t="s">
        <v>8313</v>
      </c>
      <c r="E58826" s="0" t="s">
        <v>4231</v>
      </c>
      <c r="F58826" s="0" t="s">
        <v>4231</v>
      </c>
    </row>
    <row r="58827" customFormat="false" ht="12.8" hidden="false" customHeight="false" outlineLevel="0" collapsed="false">
      <c r="B58827" s="0" t="s">
        <v>14</v>
      </c>
      <c r="D58827" s="0" t="s">
        <v>6840</v>
      </c>
      <c r="E58827" s="0" t="s">
        <v>4344</v>
      </c>
      <c r="F58827" s="0" t="s">
        <v>4344</v>
      </c>
    </row>
    <row r="58829" customFormat="false" ht="12.8" hidden="false" customHeight="false" outlineLevel="0" collapsed="false">
      <c r="A58829" s="0" t="s">
        <v>20319</v>
      </c>
      <c r="B58829" s="0" t="str">
        <f aca="false">HYPERLINK("https://lindat.mff.cuni.cz/services/teitok/pdtc10/index.php?action=vallex&amp;frame=v-w8261f1", "vyprošťovat (v-w8261f1)")</f>
        <v>vyprošťovat (v-w8261f1)</v>
      </c>
    </row>
    <row r="58830" customFormat="false" ht="12.8" hidden="false" customHeight="false" outlineLevel="0" collapsed="false">
      <c r="B58830" s="0" t="s">
        <v>7</v>
      </c>
      <c r="C58830" s="0" t="s">
        <v>46</v>
      </c>
      <c r="D58830" s="0" t="s">
        <v>46</v>
      </c>
      <c r="E58830" s="0" t="s">
        <v>46</v>
      </c>
      <c r="F58830" s="0" t="s">
        <v>46</v>
      </c>
    </row>
    <row r="58831" customFormat="false" ht="12.8" hidden="false" customHeight="false" outlineLevel="0" collapsed="false">
      <c r="B58831" s="0" t="s">
        <v>14</v>
      </c>
      <c r="C58831" s="0" t="s">
        <v>384</v>
      </c>
      <c r="D58831" s="0" t="s">
        <v>384</v>
      </c>
      <c r="E58831" s="0" t="s">
        <v>384</v>
      </c>
      <c r="F58831" s="0" t="s">
        <v>384</v>
      </c>
    </row>
    <row r="58832" customFormat="false" ht="12.8" hidden="false" customHeight="false" outlineLevel="0" collapsed="false">
      <c r="B58832" s="0" t="s">
        <v>459</v>
      </c>
    </row>
    <row r="58834" customFormat="false" ht="12.8" hidden="false" customHeight="false" outlineLevel="0" collapsed="false">
      <c r="A58834" s="0" t="s">
        <v>20320</v>
      </c>
      <c r="B58834" s="0" t="str">
        <f aca="false">HYPERLINK("https://lindat.mff.cuni.cz/services/teitok/pdtc10/index.php?action=vallex&amp;frame=v-w8246f2", "vyprávět (v-w8246f2)")</f>
        <v>vyprávět (v-w8246f2)</v>
      </c>
    </row>
    <row r="58835" customFormat="false" ht="12.8" hidden="false" customHeight="false" outlineLevel="0" collapsed="false">
      <c r="B58835" s="0" t="s">
        <v>7</v>
      </c>
      <c r="C58835" s="0" t="s">
        <v>20321</v>
      </c>
      <c r="D58835" s="0" t="s">
        <v>5393</v>
      </c>
      <c r="E58835" s="0" t="s">
        <v>5393</v>
      </c>
      <c r="F58835" s="0" t="s">
        <v>5393</v>
      </c>
    </row>
    <row r="58836" customFormat="false" ht="12.8" hidden="false" customHeight="false" outlineLevel="0" collapsed="false">
      <c r="B58836" s="0" t="s">
        <v>244</v>
      </c>
      <c r="C58836" s="0" t="s">
        <v>488</v>
      </c>
      <c r="D58836" s="0" t="s">
        <v>11240</v>
      </c>
      <c r="E58836" s="0" t="s">
        <v>11240</v>
      </c>
      <c r="F58836" s="0" t="s">
        <v>11240</v>
      </c>
    </row>
    <row r="58837" customFormat="false" ht="12.8" hidden="false" customHeight="false" outlineLevel="0" collapsed="false">
      <c r="B58837" s="0" t="s">
        <v>48</v>
      </c>
      <c r="C58837" s="0" t="s">
        <v>6264</v>
      </c>
      <c r="D58837" s="0" t="s">
        <v>5324</v>
      </c>
      <c r="E58837" s="0" t="s">
        <v>5324</v>
      </c>
      <c r="F58837" s="0" t="s">
        <v>5324</v>
      </c>
    </row>
    <row r="58839" customFormat="false" ht="12.8" hidden="false" customHeight="false" outlineLevel="0" collapsed="false">
      <c r="A58839" s="0" t="s">
        <v>20322</v>
      </c>
      <c r="B58839" s="0" t="str">
        <f aca="false">HYPERLINK("https://lindat.mff.cuni.cz/services/teitok/pdtc10/index.php?action=vallex&amp;frame=v-w8246hsa_903", "vyprávět (v-w8246hsa_903)")</f>
        <v>vyprávět (v-w8246hsa_903)</v>
      </c>
    </row>
    <row r="58840" customFormat="false" ht="12.8" hidden="false" customHeight="false" outlineLevel="0" collapsed="false">
      <c r="B58840" s="0" t="s">
        <v>7</v>
      </c>
    </row>
    <row r="58841" customFormat="false" ht="12.8" hidden="false" customHeight="false" outlineLevel="0" collapsed="false">
      <c r="B58841" s="0" t="s">
        <v>48</v>
      </c>
    </row>
    <row r="58842" customFormat="false" ht="12.8" hidden="false" customHeight="false" outlineLevel="0" collapsed="false">
      <c r="B58842" s="0" t="s">
        <v>20323</v>
      </c>
    </row>
    <row r="58843" customFormat="false" ht="12.8" hidden="false" customHeight="false" outlineLevel="0" collapsed="false">
      <c r="B58843" s="0" t="s">
        <v>363</v>
      </c>
    </row>
    <row r="58845" customFormat="false" ht="12.8" hidden="false" customHeight="false" outlineLevel="0" collapsed="false">
      <c r="A58845" s="0" t="s">
        <v>20322</v>
      </c>
      <c r="B58845" s="0" t="str">
        <f aca="false">HYPERLINK("https://lindat.mff.cuni.cz/services/teitok/pdtc10/index.php?action=vallex&amp;frame=v-w8246f1", "vyprávět (v-w8246f1) - substituted with v-w8246hsa_903")</f>
        <v>vyprávět (v-w8246f1) - substituted with v-w8246hsa_903</v>
      </c>
    </row>
    <row r="58846" customFormat="false" ht="12.8" hidden="false" customHeight="false" outlineLevel="0" collapsed="false">
      <c r="B58846" s="0" t="s">
        <v>7</v>
      </c>
      <c r="C58846" s="0" t="s">
        <v>20324</v>
      </c>
      <c r="D58846" s="0" t="s">
        <v>5393</v>
      </c>
      <c r="E58846" s="0" t="s">
        <v>5393</v>
      </c>
      <c r="F58846" s="0" t="s">
        <v>5393</v>
      </c>
    </row>
    <row r="58847" customFormat="false" ht="12.8" hidden="false" customHeight="false" outlineLevel="0" collapsed="false">
      <c r="B58847" s="0" t="s">
        <v>48</v>
      </c>
      <c r="C58847" s="0" t="s">
        <v>5324</v>
      </c>
      <c r="D58847" s="0" t="s">
        <v>5324</v>
      </c>
      <c r="E58847" s="0" t="s">
        <v>5324</v>
      </c>
      <c r="F58847" s="0" t="s">
        <v>5324</v>
      </c>
    </row>
    <row r="58848" customFormat="false" ht="12.8" hidden="false" customHeight="false" outlineLevel="0" collapsed="false">
      <c r="B58848" s="0" t="s">
        <v>20323</v>
      </c>
      <c r="C58848" s="0" t="s">
        <v>20325</v>
      </c>
      <c r="D58848" s="0" t="s">
        <v>13320</v>
      </c>
      <c r="E58848" s="0" t="s">
        <v>13320</v>
      </c>
      <c r="F58848" s="0" t="s">
        <v>13320</v>
      </c>
    </row>
    <row r="58849" customFormat="false" ht="12.8" hidden="false" customHeight="false" outlineLevel="0" collapsed="false">
      <c r="B58849" s="0" t="s">
        <v>363</v>
      </c>
      <c r="C58849" s="0" t="s">
        <v>1768</v>
      </c>
      <c r="D58849" s="0" t="s">
        <v>11240</v>
      </c>
      <c r="E58849" s="0" t="s">
        <v>11240</v>
      </c>
      <c r="F58849" s="0" t="s">
        <v>11240</v>
      </c>
    </row>
    <row r="58851" customFormat="false" ht="12.8" hidden="false" customHeight="false" outlineLevel="0" collapsed="false">
      <c r="A58851" s="0" t="s">
        <v>20326</v>
      </c>
      <c r="B58851" s="0" t="str">
        <f aca="false">HYPERLINK("https://lindat.mff.cuni.cz/services/teitok/pdtc10/index.php?action=vallex&amp;frame=v-w11045f2", "vyprázdnit (v-w11045f2)")</f>
        <v>vyprázdnit (v-w11045f2)</v>
      </c>
    </row>
    <row r="58852" customFormat="false" ht="12.8" hidden="false" customHeight="false" outlineLevel="0" collapsed="false">
      <c r="B58852" s="0" t="s">
        <v>7</v>
      </c>
      <c r="D58852" s="0" t="s">
        <v>191</v>
      </c>
      <c r="E58852" s="0" t="s">
        <v>191</v>
      </c>
      <c r="F58852" s="0" t="s">
        <v>191</v>
      </c>
    </row>
    <row r="58853" customFormat="false" ht="12.8" hidden="false" customHeight="false" outlineLevel="0" collapsed="false">
      <c r="B58853" s="0" t="s">
        <v>14</v>
      </c>
      <c r="D58853" s="0" t="s">
        <v>115</v>
      </c>
      <c r="E58853" s="0" t="s">
        <v>115</v>
      </c>
      <c r="F58853" s="0" t="s">
        <v>115</v>
      </c>
    </row>
    <row r="58855" customFormat="false" ht="12.8" hidden="false" customHeight="false" outlineLevel="0" collapsed="false">
      <c r="A58855" s="0" t="s">
        <v>20327</v>
      </c>
      <c r="B58855" s="0" t="str">
        <f aca="false">HYPERLINK("https://lindat.mff.cuni.cz/services/teitok/pdtc10/index.php?action=vallex&amp;frame=v-whsa_580f1_ZU", "vyprázdnit se (v-whsa_580f1_ZU)")</f>
        <v>vyprázdnit se (v-whsa_580f1_ZU)</v>
      </c>
    </row>
    <row r="58856" customFormat="false" ht="12.8" hidden="false" customHeight="false" outlineLevel="0" collapsed="false">
      <c r="B58856" s="0" t="s">
        <v>7</v>
      </c>
    </row>
    <row r="58858" customFormat="false" ht="12.8" hidden="false" customHeight="false" outlineLevel="0" collapsed="false">
      <c r="A58858" s="0" t="s">
        <v>20327</v>
      </c>
      <c r="B58858" s="0" t="str">
        <f aca="false">HYPERLINK("https://lindat.mff.cuni.cz/services/teitok/pdtc10/index.php?action=vallex&amp;frame=v-whsa_580hsa_581", "vyprázdnit se (v-whsa_580hsa_581) - substituted with v-whsa_580f1_ZU")</f>
        <v>vyprázdnit se (v-whsa_580hsa_581) - substituted with v-whsa_580f1_ZU</v>
      </c>
    </row>
    <row r="58859" customFormat="false" ht="12.8" hidden="false" customHeight="false" outlineLevel="0" collapsed="false">
      <c r="B58859" s="0" t="s">
        <v>7</v>
      </c>
    </row>
    <row r="58861" customFormat="false" ht="12.8" hidden="false" customHeight="false" outlineLevel="0" collapsed="false">
      <c r="A58861" s="0" t="s">
        <v>20328</v>
      </c>
      <c r="B58861" s="0" t="str">
        <f aca="false">HYPERLINK("https://lindat.mff.cuni.cz/services/teitok/pdtc10/index.php?action=vallex&amp;frame=v-w12215_ZUf1_ZU", "vyprášit (v-w12215_ZUf1_ZU)")</f>
        <v>vyprášit (v-w12215_ZUf1_ZU)</v>
      </c>
    </row>
    <row r="58862" customFormat="false" ht="12.8" hidden="false" customHeight="false" outlineLevel="0" collapsed="false">
      <c r="B58862" s="0" t="s">
        <v>7</v>
      </c>
    </row>
    <row r="58863" customFormat="false" ht="12.8" hidden="false" customHeight="false" outlineLevel="0" collapsed="false">
      <c r="B58863" s="0" t="s">
        <v>14</v>
      </c>
    </row>
    <row r="58865" customFormat="false" ht="12.8" hidden="false" customHeight="false" outlineLevel="0" collapsed="false">
      <c r="A58865" s="0" t="s">
        <v>20329</v>
      </c>
      <c r="B58865" s="0" t="str">
        <f aca="false">HYPERLINK("https://lindat.mff.cuni.cz/services/teitok/pdtc10/index.php?action=vallex&amp;frame=v-w8267f1", "vypršet (v-w8267f1)")</f>
        <v>vypršet (v-w8267f1)</v>
      </c>
    </row>
    <row r="58866" customFormat="false" ht="12.8" hidden="false" customHeight="false" outlineLevel="0" collapsed="false">
      <c r="B58866" s="0" t="s">
        <v>7</v>
      </c>
      <c r="C58866" s="0" t="s">
        <v>20330</v>
      </c>
      <c r="D58866" s="0" t="s">
        <v>20331</v>
      </c>
      <c r="E58866" s="0" t="s">
        <v>20331</v>
      </c>
      <c r="F58866" s="0" t="s">
        <v>20331</v>
      </c>
    </row>
    <row r="58868" customFormat="false" ht="12.8" hidden="false" customHeight="false" outlineLevel="0" collapsed="false">
      <c r="A58868" s="0" t="s">
        <v>20332</v>
      </c>
      <c r="B58868" s="0" t="str">
        <f aca="false">HYPERLINK("https://lindat.mff.cuni.cz/services/teitok/pdtc10/index.php?action=vallex&amp;frame=v-w8270f1", "vypsat (v-w8270f1)")</f>
        <v>vypsat (v-w8270f1)</v>
      </c>
    </row>
    <row r="58869" customFormat="false" ht="12.8" hidden="false" customHeight="false" outlineLevel="0" collapsed="false">
      <c r="B58869" s="0" t="s">
        <v>7</v>
      </c>
      <c r="C58869" s="0" t="s">
        <v>20333</v>
      </c>
      <c r="D58869" s="0" t="s">
        <v>2998</v>
      </c>
      <c r="E58869" s="0" t="s">
        <v>2998</v>
      </c>
      <c r="F58869" s="0" t="s">
        <v>2998</v>
      </c>
    </row>
    <row r="58870" customFormat="false" ht="12.8" hidden="false" customHeight="false" outlineLevel="0" collapsed="false">
      <c r="B58870" s="0" t="s">
        <v>54</v>
      </c>
      <c r="C58870" s="0" t="s">
        <v>20334</v>
      </c>
      <c r="D58870" s="0" t="s">
        <v>3001</v>
      </c>
      <c r="E58870" s="0" t="s">
        <v>3001</v>
      </c>
      <c r="F58870" s="0" t="s">
        <v>3001</v>
      </c>
    </row>
    <row r="58872" customFormat="false" ht="12.8" hidden="false" customHeight="false" outlineLevel="0" collapsed="false">
      <c r="A58872" s="0" t="s">
        <v>20335</v>
      </c>
      <c r="B58872" s="0" t="str">
        <f aca="false">HYPERLINK("https://lindat.mff.cuni.cz/services/teitok/pdtc10/index.php?action=vallex&amp;frame=v-w8270hsa_2035", "vypsat (v-w8270hsa_2035)")</f>
        <v>vypsat (v-w8270hsa_2035)</v>
      </c>
    </row>
    <row r="58873" customFormat="false" ht="12.8" hidden="false" customHeight="false" outlineLevel="0" collapsed="false">
      <c r="B58873" s="0" t="s">
        <v>7</v>
      </c>
    </row>
    <row r="58874" customFormat="false" ht="12.8" hidden="false" customHeight="false" outlineLevel="0" collapsed="false">
      <c r="B58874" s="0" t="s">
        <v>14</v>
      </c>
    </row>
    <row r="58876" customFormat="false" ht="12.8" hidden="false" customHeight="false" outlineLevel="0" collapsed="false">
      <c r="A58876" s="0" t="s">
        <v>20336</v>
      </c>
      <c r="B58876" s="0" t="str">
        <f aca="false">HYPERLINK("https://lindat.mff.cuni.cz/services/teitok/pdtc10/index.php?action=vallex&amp;frame=v-w8271f1", "vyptat se (v-w8271f1)")</f>
        <v>vyptat se (v-w8271f1)</v>
      </c>
    </row>
    <row r="58877" customFormat="false" ht="12.8" hidden="false" customHeight="false" outlineLevel="0" collapsed="false">
      <c r="B58877" s="0" t="s">
        <v>7</v>
      </c>
      <c r="D58877" s="0" t="s">
        <v>2534</v>
      </c>
      <c r="E58877" s="0" t="s">
        <v>2534</v>
      </c>
      <c r="F58877" s="0" t="s">
        <v>2534</v>
      </c>
    </row>
    <row r="58878" customFormat="false" ht="12.8" hidden="false" customHeight="false" outlineLevel="0" collapsed="false">
      <c r="B58878" s="0" t="s">
        <v>2535</v>
      </c>
      <c r="D58878" s="0" t="s">
        <v>2537</v>
      </c>
      <c r="E58878" s="0" t="s">
        <v>2537</v>
      </c>
      <c r="F58878" s="0" t="s">
        <v>2537</v>
      </c>
    </row>
    <row r="58879" customFormat="false" ht="12.8" hidden="false" customHeight="false" outlineLevel="0" collapsed="false">
      <c r="B58879" s="0" t="s">
        <v>2538</v>
      </c>
      <c r="D58879" s="0" t="s">
        <v>2540</v>
      </c>
      <c r="E58879" s="0" t="s">
        <v>2540</v>
      </c>
      <c r="F58879" s="0" t="s">
        <v>2540</v>
      </c>
    </row>
    <row r="58881" customFormat="false" ht="12.8" hidden="false" customHeight="false" outlineLevel="0" collapsed="false">
      <c r="A58881" s="0" t="s">
        <v>20337</v>
      </c>
      <c r="B58881" s="0" t="str">
        <f aca="false">HYPERLINK("https://lindat.mff.cuni.cz/services/teitok/pdtc10/index.php?action=vallex&amp;frame=v-w8273f1", "vyptávat se (v-w8273f1)")</f>
        <v>vyptávat se (v-w8273f1)</v>
      </c>
    </row>
    <row r="58882" customFormat="false" ht="12.8" hidden="false" customHeight="false" outlineLevel="0" collapsed="false">
      <c r="B58882" s="0" t="s">
        <v>7</v>
      </c>
      <c r="C58882" s="0" t="s">
        <v>184</v>
      </c>
      <c r="D58882" s="0" t="s">
        <v>2534</v>
      </c>
      <c r="E58882" s="0" t="s">
        <v>2534</v>
      </c>
      <c r="F58882" s="0" t="s">
        <v>2534</v>
      </c>
    </row>
    <row r="58883" customFormat="false" ht="12.8" hidden="false" customHeight="false" outlineLevel="0" collapsed="false">
      <c r="B58883" s="0" t="s">
        <v>2535</v>
      </c>
      <c r="C58883" s="0" t="s">
        <v>115</v>
      </c>
      <c r="D58883" s="0" t="s">
        <v>2537</v>
      </c>
      <c r="E58883" s="0" t="s">
        <v>2537</v>
      </c>
      <c r="F58883" s="0" t="s">
        <v>2537</v>
      </c>
    </row>
    <row r="58884" customFormat="false" ht="12.8" hidden="false" customHeight="false" outlineLevel="0" collapsed="false">
      <c r="B58884" s="0" t="s">
        <v>2538</v>
      </c>
      <c r="C58884" s="0" t="s">
        <v>20338</v>
      </c>
      <c r="D58884" s="0" t="s">
        <v>2540</v>
      </c>
      <c r="E58884" s="0" t="s">
        <v>2540</v>
      </c>
      <c r="F58884" s="0" t="s">
        <v>2540</v>
      </c>
    </row>
    <row r="58886" customFormat="false" ht="12.8" hidden="false" customHeight="false" outlineLevel="0" collapsed="false">
      <c r="A58886" s="0" t="s">
        <v>20339</v>
      </c>
      <c r="B58886" s="0" t="str">
        <f aca="false">HYPERLINK("https://lindat.mff.cuni.cz/services/teitok/pdtc10/index.php?action=vallex&amp;frame=v-w12023_ZUf1_ZU", "vypucovat (v-w12023_ZUf1_ZU)")</f>
        <v>vypucovat (v-w12023_ZUf1_ZU)</v>
      </c>
    </row>
    <row r="58887" customFormat="false" ht="12.8" hidden="false" customHeight="false" outlineLevel="0" collapsed="false">
      <c r="B58887" s="0" t="s">
        <v>7</v>
      </c>
    </row>
    <row r="58888" customFormat="false" ht="12.8" hidden="false" customHeight="false" outlineLevel="0" collapsed="false">
      <c r="B58888" s="0" t="s">
        <v>14</v>
      </c>
    </row>
    <row r="58890" customFormat="false" ht="12.8" hidden="false" customHeight="false" outlineLevel="0" collapsed="false">
      <c r="A58890" s="0" t="s">
        <v>20340</v>
      </c>
      <c r="B58890" s="0" t="str">
        <f aca="false">HYPERLINK("https://lindat.mff.cuni.cz/services/teitok/pdtc10/index.php?action=vallex&amp;frame=v-w8274f1", "vypudit (v-w8274f1)")</f>
        <v>vypudit (v-w8274f1)</v>
      </c>
    </row>
    <row r="58891" customFormat="false" ht="12.8" hidden="false" customHeight="false" outlineLevel="0" collapsed="false">
      <c r="B58891" s="0" t="s">
        <v>7</v>
      </c>
      <c r="C58891" s="0" t="s">
        <v>10431</v>
      </c>
      <c r="D58891" s="0" t="s">
        <v>1567</v>
      </c>
      <c r="E58891" s="0" t="s">
        <v>1567</v>
      </c>
      <c r="F58891" s="0" t="s">
        <v>1567</v>
      </c>
    </row>
    <row r="58892" customFormat="false" ht="12.8" hidden="false" customHeight="false" outlineLevel="0" collapsed="false">
      <c r="B58892" s="0" t="s">
        <v>14</v>
      </c>
      <c r="C58892" s="0" t="s">
        <v>7856</v>
      </c>
      <c r="D58892" s="0" t="s">
        <v>1568</v>
      </c>
      <c r="E58892" s="0" t="s">
        <v>1568</v>
      </c>
      <c r="F58892" s="0" t="s">
        <v>1568</v>
      </c>
    </row>
    <row r="58893" customFormat="false" ht="12.8" hidden="false" customHeight="false" outlineLevel="0" collapsed="false">
      <c r="B58893" s="0" t="s">
        <v>459</v>
      </c>
      <c r="C58893" s="0" t="s">
        <v>8536</v>
      </c>
      <c r="D58893" s="0" t="s">
        <v>1569</v>
      </c>
      <c r="E58893" s="0" t="s">
        <v>1569</v>
      </c>
      <c r="F58893" s="0" t="s">
        <v>1569</v>
      </c>
    </row>
    <row r="58895" customFormat="false" ht="12.8" hidden="false" customHeight="false" outlineLevel="0" collapsed="false">
      <c r="A58895" s="0" t="s">
        <v>20341</v>
      </c>
      <c r="B58895" s="0" t="str">
        <f aca="false">HYPERLINK("https://lindat.mff.cuni.cz/services/teitok/pdtc10/index.php?action=vallex&amp;frame=v-w8279f1", "vypuknout (v-w8279f1)")</f>
        <v>vypuknout (v-w8279f1)</v>
      </c>
    </row>
    <row r="58896" customFormat="false" ht="12.8" hidden="false" customHeight="false" outlineLevel="0" collapsed="false">
      <c r="B58896" s="0" t="s">
        <v>7</v>
      </c>
      <c r="C58896" s="0" t="s">
        <v>20342</v>
      </c>
      <c r="D58896" s="0" t="s">
        <v>1716</v>
      </c>
      <c r="E58896" s="0" t="s">
        <v>1716</v>
      </c>
      <c r="F58896" s="0" t="s">
        <v>1716</v>
      </c>
    </row>
    <row r="58898" customFormat="false" ht="12.8" hidden="false" customHeight="false" outlineLevel="0" collapsed="false">
      <c r="A58898" s="0" t="s">
        <v>20343</v>
      </c>
      <c r="B58898" s="0" t="str">
        <f aca="false">HYPERLINK("https://lindat.mff.cuni.cz/services/teitok/pdtc10/index.php?action=vallex&amp;frame=v-w8281f1", "vypumpovat (v-w8281f1)")</f>
        <v>vypumpovat (v-w8281f1)</v>
      </c>
    </row>
    <row r="58899" customFormat="false" ht="12.8" hidden="false" customHeight="false" outlineLevel="0" collapsed="false">
      <c r="B58899" s="0" t="s">
        <v>7</v>
      </c>
      <c r="D58899" s="0" t="s">
        <v>1874</v>
      </c>
      <c r="E58899" s="0" t="s">
        <v>1874</v>
      </c>
      <c r="F58899" s="0" t="s">
        <v>1874</v>
      </c>
    </row>
    <row r="58900" customFormat="false" ht="12.8" hidden="false" customHeight="false" outlineLevel="0" collapsed="false">
      <c r="B58900" s="0" t="s">
        <v>14</v>
      </c>
      <c r="C58900" s="0" t="s">
        <v>155</v>
      </c>
      <c r="D58900" s="0" t="s">
        <v>466</v>
      </c>
      <c r="E58900" s="0" t="s">
        <v>466</v>
      </c>
      <c r="F58900" s="0" t="s">
        <v>466</v>
      </c>
    </row>
    <row r="58902" customFormat="false" ht="12.8" hidden="false" customHeight="false" outlineLevel="0" collapsed="false">
      <c r="A58902" s="0" t="s">
        <v>20344</v>
      </c>
      <c r="B58902" s="0" t="str">
        <f aca="false">HYPERLINK("https://lindat.mff.cuni.cz/services/teitok/pdtc10/index.php?action=vallex&amp;frame=v-w8282f7_ZU", "vypustit (v-w8282f7_ZU)")</f>
        <v>vypustit (v-w8282f7_ZU)</v>
      </c>
    </row>
    <row r="58903" customFormat="false" ht="12.8" hidden="false" customHeight="false" outlineLevel="0" collapsed="false">
      <c r="B58903" s="0" t="s">
        <v>7</v>
      </c>
    </row>
    <row r="58904" customFormat="false" ht="12.8" hidden="false" customHeight="false" outlineLevel="0" collapsed="false">
      <c r="B58904" s="0" t="s">
        <v>14</v>
      </c>
    </row>
    <row r="58905" customFormat="false" ht="12.8" hidden="false" customHeight="false" outlineLevel="0" collapsed="false">
      <c r="B58905" s="0" t="s">
        <v>459</v>
      </c>
    </row>
    <row r="58907" customFormat="false" ht="12.8" hidden="false" customHeight="false" outlineLevel="0" collapsed="false">
      <c r="A58907" s="0" t="s">
        <v>20344</v>
      </c>
      <c r="B58907" s="0" t="str">
        <f aca="false">HYPERLINK("https://lindat.mff.cuni.cz/services/teitok/pdtc10/index.php?action=vallex&amp;frame=v-w8282f5_ZU", "vypustit (v-w8282f5_ZU) - substituted with v-w8282f7_ZU")</f>
        <v>vypustit (v-w8282f5_ZU) - substituted with v-w8282f7_ZU</v>
      </c>
    </row>
    <row r="58908" customFormat="false" ht="12.8" hidden="false" customHeight="false" outlineLevel="0" collapsed="false">
      <c r="B58908" s="0" t="s">
        <v>7</v>
      </c>
    </row>
    <row r="58909" customFormat="false" ht="12.8" hidden="false" customHeight="false" outlineLevel="0" collapsed="false">
      <c r="B58909" s="0" t="s">
        <v>14</v>
      </c>
    </row>
    <row r="58910" customFormat="false" ht="12.8" hidden="false" customHeight="false" outlineLevel="0" collapsed="false">
      <c r="B58910" s="0" t="s">
        <v>459</v>
      </c>
    </row>
    <row r="58912" customFormat="false" ht="12.8" hidden="false" customHeight="false" outlineLevel="0" collapsed="false">
      <c r="A58912" s="0" t="s">
        <v>20345</v>
      </c>
      <c r="B58912" s="0" t="str">
        <f aca="false">HYPERLINK("https://lindat.mff.cuni.cz/services/teitok/pdtc10/index.php?action=vallex&amp;frame=v-w8282f6_ZU", "vypustit (v-w8282f6_ZU)")</f>
        <v>vypustit (v-w8282f6_ZU)</v>
      </c>
    </row>
    <row r="58913" customFormat="false" ht="12.8" hidden="false" customHeight="false" outlineLevel="0" collapsed="false">
      <c r="B58913" s="0" t="s">
        <v>7</v>
      </c>
    </row>
    <row r="58914" customFormat="false" ht="12.8" hidden="false" customHeight="false" outlineLevel="0" collapsed="false">
      <c r="B58914" s="0" t="s">
        <v>14</v>
      </c>
    </row>
    <row r="58915" customFormat="false" ht="12.8" hidden="false" customHeight="false" outlineLevel="0" collapsed="false">
      <c r="B58915" s="0" t="s">
        <v>459</v>
      </c>
    </row>
    <row r="58917" customFormat="false" ht="12.8" hidden="false" customHeight="false" outlineLevel="0" collapsed="false">
      <c r="A58917" s="0" t="s">
        <v>20345</v>
      </c>
      <c r="B58917" s="0" t="str">
        <f aca="false">HYPERLINK("https://lindat.mff.cuni.cz/services/teitok/pdtc10/index.php?action=vallex&amp;frame=v-w8282f3", "vypustit (v-w8282f3) - substituted with v-w8282f6_ZU")</f>
        <v>vypustit (v-w8282f3) - substituted with v-w8282f6_ZU</v>
      </c>
    </row>
    <row r="58918" customFormat="false" ht="12.8" hidden="false" customHeight="false" outlineLevel="0" collapsed="false">
      <c r="B58918" s="0" t="s">
        <v>7</v>
      </c>
      <c r="C58918" s="0" t="s">
        <v>8111</v>
      </c>
    </row>
    <row r="58919" customFormat="false" ht="12.8" hidden="false" customHeight="false" outlineLevel="0" collapsed="false">
      <c r="B58919" s="0" t="s">
        <v>14</v>
      </c>
      <c r="C58919" s="0" t="s">
        <v>6496</v>
      </c>
    </row>
    <row r="58920" customFormat="false" ht="12.8" hidden="false" customHeight="false" outlineLevel="0" collapsed="false">
      <c r="B58920" s="0" t="s">
        <v>459</v>
      </c>
    </row>
    <row r="58922" customFormat="false" ht="12.8" hidden="false" customHeight="false" outlineLevel="0" collapsed="false">
      <c r="A58922" s="0" t="s">
        <v>20345</v>
      </c>
      <c r="B58922" s="0" t="str">
        <f aca="false">HYPERLINK("https://lindat.mff.cuni.cz/services/teitok/pdtc10/index.php?action=vallex&amp;frame=v-w8282f4_ZU", "vypustit (v-w8282f4_ZU) - substituted with v-w8282f6_ZU")</f>
        <v>vypustit (v-w8282f4_ZU) - substituted with v-w8282f6_ZU</v>
      </c>
    </row>
    <row r="58923" customFormat="false" ht="12.8" hidden="false" customHeight="false" outlineLevel="0" collapsed="false">
      <c r="B58923" s="0" t="s">
        <v>7</v>
      </c>
    </row>
    <row r="58924" customFormat="false" ht="12.8" hidden="false" customHeight="false" outlineLevel="0" collapsed="false">
      <c r="B58924" s="0" t="s">
        <v>14</v>
      </c>
    </row>
    <row r="58925" customFormat="false" ht="12.8" hidden="false" customHeight="false" outlineLevel="0" collapsed="false">
      <c r="B58925" s="0" t="s">
        <v>459</v>
      </c>
    </row>
    <row r="58927" customFormat="false" ht="12.8" hidden="false" customHeight="false" outlineLevel="0" collapsed="false">
      <c r="A58927" s="0" t="s">
        <v>20346</v>
      </c>
      <c r="B58927" s="0" t="str">
        <f aca="false">HYPERLINK("https://lindat.mff.cuni.cz/services/teitok/pdtc10/index.php?action=vallex&amp;frame=v-w8282f9_ZU", "vypustit (v-w8282f9_ZU)")</f>
        <v>vypustit (v-w8282f9_ZU)</v>
      </c>
    </row>
    <row r="58928" customFormat="false" ht="12.8" hidden="false" customHeight="false" outlineLevel="0" collapsed="false">
      <c r="B58928" s="0" t="s">
        <v>7</v>
      </c>
      <c r="C58928" s="0" t="s">
        <v>1456</v>
      </c>
    </row>
    <row r="58929" customFormat="false" ht="12.8" hidden="false" customHeight="false" outlineLevel="0" collapsed="false">
      <c r="B58929" s="0" t="s">
        <v>14</v>
      </c>
      <c r="C58929" s="0" t="s">
        <v>1969</v>
      </c>
    </row>
    <row r="58930" customFormat="false" ht="12.8" hidden="false" customHeight="false" outlineLevel="0" collapsed="false">
      <c r="B58930" s="0" t="s">
        <v>124</v>
      </c>
    </row>
    <row r="58932" customFormat="false" ht="12.8" hidden="false" customHeight="false" outlineLevel="0" collapsed="false">
      <c r="A58932" s="0" t="s">
        <v>20346</v>
      </c>
      <c r="B58932" s="0" t="str">
        <f aca="false">HYPERLINK("https://lindat.mff.cuni.cz/services/teitok/pdtc10/index.php?action=vallex&amp;frame=v-w8282f8_ZU", "vypustit (v-w8282f8_ZU) - substituted with v-w8282f9_ZU")</f>
        <v>vypustit (v-w8282f8_ZU) - substituted with v-w8282f9_ZU</v>
      </c>
    </row>
    <row r="58933" customFormat="false" ht="12.8" hidden="false" customHeight="false" outlineLevel="0" collapsed="false">
      <c r="B58933" s="0" t="s">
        <v>7</v>
      </c>
    </row>
    <row r="58934" customFormat="false" ht="12.8" hidden="false" customHeight="false" outlineLevel="0" collapsed="false">
      <c r="B58934" s="0" t="s">
        <v>14</v>
      </c>
    </row>
    <row r="58935" customFormat="false" ht="12.8" hidden="false" customHeight="false" outlineLevel="0" collapsed="false">
      <c r="B58935" s="0" t="s">
        <v>124</v>
      </c>
    </row>
    <row r="58937" customFormat="false" ht="12.8" hidden="false" customHeight="false" outlineLevel="0" collapsed="false">
      <c r="A58937" s="0" t="s">
        <v>20347</v>
      </c>
      <c r="B58937" s="0" t="str">
        <f aca="false">HYPERLINK("https://lindat.mff.cuni.cz/services/teitok/pdtc10/index.php?action=vallex&amp;frame=v-w8282f1", "vypustit (v-w8282f1)")</f>
        <v>vypustit (v-w8282f1)</v>
      </c>
    </row>
    <row r="58938" customFormat="false" ht="12.8" hidden="false" customHeight="false" outlineLevel="0" collapsed="false">
      <c r="B58938" s="0" t="s">
        <v>7</v>
      </c>
      <c r="C58938" s="0" t="s">
        <v>184</v>
      </c>
    </row>
    <row r="58939" customFormat="false" ht="12.8" hidden="false" customHeight="false" outlineLevel="0" collapsed="false">
      <c r="B58939" s="0" t="s">
        <v>14</v>
      </c>
      <c r="C58939" s="0" t="s">
        <v>74</v>
      </c>
    </row>
    <row r="58941" customFormat="false" ht="12.8" hidden="false" customHeight="false" outlineLevel="0" collapsed="false">
      <c r="A58941" s="0" t="s">
        <v>20348</v>
      </c>
      <c r="B58941" s="0" t="str">
        <f aca="false">HYPERLINK("https://lindat.mff.cuni.cz/services/teitok/pdtc10/index.php?action=vallex&amp;frame=v-w8282f2", "vypustit (v-w8282f2)")</f>
        <v>vypustit (v-w8282f2)</v>
      </c>
    </row>
    <row r="58942" customFormat="false" ht="12.8" hidden="false" customHeight="false" outlineLevel="0" collapsed="false">
      <c r="B58942" s="0" t="s">
        <v>7</v>
      </c>
      <c r="C58942" s="0" t="s">
        <v>184</v>
      </c>
    </row>
    <row r="58943" customFormat="false" ht="12.8" hidden="false" customHeight="false" outlineLevel="0" collapsed="false">
      <c r="B58943" s="0" t="s">
        <v>14</v>
      </c>
      <c r="C58943" s="0" t="s">
        <v>33</v>
      </c>
    </row>
    <row r="58945" customFormat="false" ht="12.8" hidden="false" customHeight="false" outlineLevel="0" collapsed="false">
      <c r="A58945" s="0" t="s">
        <v>20349</v>
      </c>
      <c r="B58945" s="0" t="str">
        <f aca="false">HYPERLINK("https://lindat.mff.cuni.cz/services/teitok/pdtc10/index.php?action=vallex&amp;frame=v-w8285f1", "vypuzovat (v-w8285f1)")</f>
        <v>vypuzovat (v-w8285f1)</v>
      </c>
    </row>
    <row r="58946" customFormat="false" ht="12.8" hidden="false" customHeight="false" outlineLevel="0" collapsed="false">
      <c r="B58946" s="0" t="s">
        <v>7</v>
      </c>
      <c r="D58946" s="0" t="s">
        <v>1567</v>
      </c>
      <c r="E58946" s="0" t="s">
        <v>1567</v>
      </c>
      <c r="F58946" s="0" t="s">
        <v>1567</v>
      </c>
    </row>
    <row r="58947" customFormat="false" ht="12.8" hidden="false" customHeight="false" outlineLevel="0" collapsed="false">
      <c r="B58947" s="0" t="s">
        <v>14</v>
      </c>
      <c r="D58947" s="0" t="s">
        <v>1568</v>
      </c>
      <c r="E58947" s="0" t="s">
        <v>1568</v>
      </c>
      <c r="F58947" s="0" t="s">
        <v>1568</v>
      </c>
    </row>
    <row r="58948" customFormat="false" ht="12.8" hidden="false" customHeight="false" outlineLevel="0" collapsed="false">
      <c r="B58948" s="0" t="s">
        <v>459</v>
      </c>
      <c r="D58948" s="0" t="s">
        <v>1569</v>
      </c>
      <c r="E58948" s="0" t="s">
        <v>1569</v>
      </c>
      <c r="F58948" s="0" t="s">
        <v>1569</v>
      </c>
    </row>
    <row r="58950" customFormat="false" ht="12.8" hidden="false" customHeight="false" outlineLevel="0" collapsed="false">
      <c r="A58950" s="0" t="s">
        <v>20350</v>
      </c>
      <c r="B58950" s="0" t="str">
        <f aca="false">HYPERLINK("https://lindat.mff.cuni.cz/services/teitok/pdtc10/index.php?action=vallex&amp;frame=v-w8174f1", "vypálit (v-w8174f1)")</f>
        <v>vypálit (v-w8174f1)</v>
      </c>
    </row>
    <row r="58951" customFormat="false" ht="12.8" hidden="false" customHeight="false" outlineLevel="0" collapsed="false">
      <c r="B58951" s="0" t="s">
        <v>7</v>
      </c>
      <c r="E58951" s="0" t="s">
        <v>184</v>
      </c>
      <c r="F58951" s="0" t="s">
        <v>184</v>
      </c>
    </row>
    <row r="58952" customFormat="false" ht="12.8" hidden="false" customHeight="false" outlineLevel="0" collapsed="false">
      <c r="B58952" s="0" t="s">
        <v>14</v>
      </c>
      <c r="E58952" s="0" t="s">
        <v>47</v>
      </c>
      <c r="F58952" s="0" t="s">
        <v>47</v>
      </c>
    </row>
    <row r="58954" customFormat="false" ht="12.8" hidden="false" customHeight="false" outlineLevel="0" collapsed="false">
      <c r="A58954" s="0" t="s">
        <v>20351</v>
      </c>
      <c r="B58954" s="0" t="str">
        <f aca="false">HYPERLINK("https://lindat.mff.cuni.cz/services/teitok/pdtc10/index.php?action=vallex&amp;frame=v-w8174f2", "vypálit (v-w8174f2)")</f>
        <v>vypálit (v-w8174f2)</v>
      </c>
    </row>
    <row r="58955" customFormat="false" ht="12.8" hidden="false" customHeight="false" outlineLevel="0" collapsed="false">
      <c r="B58955" s="0" t="s">
        <v>7</v>
      </c>
      <c r="C58955" s="0" t="s">
        <v>460</v>
      </c>
    </row>
    <row r="58956" customFormat="false" ht="12.8" hidden="false" customHeight="false" outlineLevel="0" collapsed="false">
      <c r="B58956" s="0" t="s">
        <v>20352</v>
      </c>
      <c r="C58956" s="0" t="s">
        <v>20353</v>
      </c>
    </row>
    <row r="58957" customFormat="false" ht="12.8" hidden="false" customHeight="false" outlineLevel="0" collapsed="false">
      <c r="B58957" s="0" t="s">
        <v>142</v>
      </c>
      <c r="C58957" s="0" t="s">
        <v>1588</v>
      </c>
    </row>
    <row r="58959" customFormat="false" ht="12.8" hidden="false" customHeight="false" outlineLevel="0" collapsed="false">
      <c r="A58959" s="0" t="s">
        <v>20354</v>
      </c>
      <c r="B58959" s="0" t="str">
        <f aca="false">HYPERLINK("https://lindat.mff.cuni.cz/services/teitok/pdtc10/index.php?action=vallex&amp;frame=v-w8174f3_ZU", "vypálit (v-w8174f3_ZU)")</f>
        <v>vypálit (v-w8174f3_ZU)</v>
      </c>
    </row>
    <row r="58960" customFormat="false" ht="12.8" hidden="false" customHeight="false" outlineLevel="0" collapsed="false">
      <c r="B58960" s="0" t="s">
        <v>7</v>
      </c>
    </row>
    <row r="58961" customFormat="false" ht="12.8" hidden="false" customHeight="false" outlineLevel="0" collapsed="false">
      <c r="B58961" s="0" t="s">
        <v>14</v>
      </c>
    </row>
    <row r="58963" customFormat="false" ht="12.8" hidden="false" customHeight="false" outlineLevel="0" collapsed="false">
      <c r="A58963" s="0" t="s">
        <v>20354</v>
      </c>
      <c r="B58963" s="0" t="str">
        <f aca="false">HYPERLINK("https://lindat.mff.cuni.cz/services/teitok/pdtc10/index.php?action=vallex&amp;frame=v-w8174hsa_514", "vypálit (v-w8174hsa_514) - substituted with v-w8174f3_ZU")</f>
        <v>vypálit (v-w8174hsa_514) - substituted with v-w8174f3_ZU</v>
      </c>
    </row>
    <row r="58964" customFormat="false" ht="12.8" hidden="false" customHeight="false" outlineLevel="0" collapsed="false">
      <c r="B58964" s="0" t="s">
        <v>7</v>
      </c>
    </row>
    <row r="58965" customFormat="false" ht="12.8" hidden="false" customHeight="false" outlineLevel="0" collapsed="false">
      <c r="B58965" s="0" t="s">
        <v>14</v>
      </c>
    </row>
    <row r="58967" customFormat="false" ht="12.8" hidden="false" customHeight="false" outlineLevel="0" collapsed="false">
      <c r="A58967" s="0" t="s">
        <v>20355</v>
      </c>
      <c r="B58967" s="0" t="str">
        <f aca="false">HYPERLINK("https://lindat.mff.cuni.cz/services/teitok/pdtc10/index.php?action=vallex&amp;frame=v-w8174f4_ZU", "vypálit (v-w8174f4_ZU)")</f>
        <v>vypálit (v-w8174f4_ZU)</v>
      </c>
    </row>
    <row r="58968" customFormat="false" ht="12.8" hidden="false" customHeight="false" outlineLevel="0" collapsed="false">
      <c r="B58968" s="0" t="s">
        <v>7</v>
      </c>
    </row>
    <row r="58969" customFormat="false" ht="12.8" hidden="false" customHeight="false" outlineLevel="0" collapsed="false">
      <c r="B58969" s="0" t="s">
        <v>14</v>
      </c>
    </row>
    <row r="58970" customFormat="false" ht="12.8" hidden="false" customHeight="false" outlineLevel="0" collapsed="false">
      <c r="B58970" s="0" t="s">
        <v>338</v>
      </c>
    </row>
    <row r="58972" customFormat="false" ht="12.8" hidden="false" customHeight="false" outlineLevel="0" collapsed="false">
      <c r="A58972" s="0" t="s">
        <v>20356</v>
      </c>
      <c r="B58972" s="0" t="str">
        <f aca="false">HYPERLINK("https://lindat.mff.cuni.cz/services/teitok/pdtc10/index.php?action=vallex&amp;frame=v-w12310_MMf1_MM", "vypárat (v-w12310_MMf1_MM)")</f>
        <v>vypárat (v-w12310_MMf1_MM)</v>
      </c>
    </row>
    <row r="58973" customFormat="false" ht="12.8" hidden="false" customHeight="false" outlineLevel="0" collapsed="false">
      <c r="B58973" s="0" t="s">
        <v>7</v>
      </c>
    </row>
    <row r="58974" customFormat="false" ht="12.8" hidden="false" customHeight="false" outlineLevel="0" collapsed="false">
      <c r="B58974" s="0" t="s">
        <v>14</v>
      </c>
    </row>
    <row r="58975" customFormat="false" ht="12.8" hidden="false" customHeight="false" outlineLevel="0" collapsed="false">
      <c r="B58975" s="0" t="s">
        <v>459</v>
      </c>
    </row>
    <row r="58977" customFormat="false" ht="12.8" hidden="false" customHeight="false" outlineLevel="0" collapsed="false">
      <c r="A58977" s="0" t="s">
        <v>20357</v>
      </c>
      <c r="B58977" s="0" t="str">
        <f aca="false">HYPERLINK("https://lindat.mff.cuni.cz/services/teitok/pdtc10/index.php?action=vallex&amp;frame=v-whsa_200hsa_201", "vypást (v-whsa_200hsa_201)")</f>
        <v>vypást (v-whsa_200hsa_201)</v>
      </c>
    </row>
    <row r="58978" customFormat="false" ht="12.8" hidden="false" customHeight="false" outlineLevel="0" collapsed="false">
      <c r="B58978" s="0" t="s">
        <v>7</v>
      </c>
    </row>
    <row r="58979" customFormat="false" ht="12.8" hidden="false" customHeight="false" outlineLevel="0" collapsed="false">
      <c r="B58979" s="0" t="s">
        <v>14</v>
      </c>
    </row>
    <row r="58981" customFormat="false" ht="12.8" hidden="false" customHeight="false" outlineLevel="0" collapsed="false">
      <c r="A58981" s="0" t="s">
        <v>20358</v>
      </c>
      <c r="B58981" s="0" t="str">
        <f aca="false">HYPERLINK("https://lindat.mff.cuni.cz/services/teitok/pdtc10/index.php?action=vallex&amp;frame=v-whsa_200hsa_202", "vypást (v-whsa_200hsa_202)")</f>
        <v>vypást (v-whsa_200hsa_202)</v>
      </c>
    </row>
    <row r="58982" customFormat="false" ht="12.8" hidden="false" customHeight="false" outlineLevel="0" collapsed="false">
      <c r="B58982" s="0" t="s">
        <v>7</v>
      </c>
    </row>
    <row r="58983" customFormat="false" ht="12.8" hidden="false" customHeight="false" outlineLevel="0" collapsed="false">
      <c r="B58983" s="0" t="s">
        <v>14</v>
      </c>
    </row>
    <row r="58985" customFormat="false" ht="12.8" hidden="false" customHeight="false" outlineLevel="0" collapsed="false">
      <c r="A58985" s="0" t="s">
        <v>20359</v>
      </c>
      <c r="B58985" s="0" t="str">
        <f aca="false">HYPERLINK("https://lindat.mff.cuni.cz/services/teitok/pdtc10/index.php?action=vallex&amp;frame=v-w8176f1", "vypátrat (v-w8176f1)")</f>
        <v>vypátrat (v-w8176f1)</v>
      </c>
    </row>
    <row r="58986" customFormat="false" ht="12.8" hidden="false" customHeight="false" outlineLevel="0" collapsed="false">
      <c r="B58986" s="0" t="s">
        <v>7</v>
      </c>
      <c r="E58986" s="0" t="s">
        <v>20360</v>
      </c>
      <c r="F58986" s="0" t="s">
        <v>20360</v>
      </c>
    </row>
    <row r="58987" customFormat="false" ht="12.8" hidden="false" customHeight="false" outlineLevel="0" collapsed="false">
      <c r="B58987" s="0" t="s">
        <v>1520</v>
      </c>
      <c r="E58987" s="0" t="s">
        <v>20361</v>
      </c>
      <c r="F58987" s="0" t="s">
        <v>20361</v>
      </c>
    </row>
    <row r="58989" customFormat="false" ht="12.8" hidden="false" customHeight="false" outlineLevel="0" collapsed="false">
      <c r="A58989" s="0" t="s">
        <v>20362</v>
      </c>
      <c r="B58989" s="0" t="str">
        <f aca="false">HYPERLINK("https://lindat.mff.cuni.cz/services/teitok/pdtc10/index.php?action=vallex&amp;frame=v-w8178f1", "vypíchnout (v-w8178f1)")</f>
        <v>vypíchnout (v-w8178f1)</v>
      </c>
    </row>
    <row r="58990" customFormat="false" ht="12.8" hidden="false" customHeight="false" outlineLevel="0" collapsed="false">
      <c r="B58990" s="0" t="s">
        <v>7</v>
      </c>
    </row>
    <row r="58991" customFormat="false" ht="12.8" hidden="false" customHeight="false" outlineLevel="0" collapsed="false">
      <c r="B58991" s="0" t="s">
        <v>172</v>
      </c>
    </row>
    <row r="58993" customFormat="false" ht="12.8" hidden="false" customHeight="false" outlineLevel="0" collapsed="false">
      <c r="A58993" s="0" t="s">
        <v>20363</v>
      </c>
      <c r="B58993" s="0" t="str">
        <f aca="false">HYPERLINK("https://lindat.mff.cuni.cz/services/teitok/pdtc10/index.php?action=vallex&amp;frame=v-w8178f2", "vypíchnout (v-w8178f2)")</f>
        <v>vypíchnout (v-w8178f2)</v>
      </c>
    </row>
    <row r="58994" customFormat="false" ht="12.8" hidden="false" customHeight="false" outlineLevel="0" collapsed="false">
      <c r="B58994" s="0" t="s">
        <v>7</v>
      </c>
    </row>
    <row r="58995" customFormat="false" ht="12.8" hidden="false" customHeight="false" outlineLevel="0" collapsed="false">
      <c r="B58995" s="0" t="s">
        <v>14</v>
      </c>
    </row>
    <row r="58997" customFormat="false" ht="12.8" hidden="false" customHeight="false" outlineLevel="0" collapsed="false">
      <c r="A58997" s="0" t="s">
        <v>20364</v>
      </c>
      <c r="B58997" s="0" t="str">
        <f aca="false">HYPERLINK("https://lindat.mff.cuni.cz/services/teitok/pdtc10/index.php?action=vallex&amp;frame=v-w10721f2", "vypínat (v-w10721f2)")</f>
        <v>vypínat (v-w10721f2)</v>
      </c>
    </row>
    <row r="58998" customFormat="false" ht="12.8" hidden="false" customHeight="false" outlineLevel="0" collapsed="false">
      <c r="B58998" s="0" t="s">
        <v>7</v>
      </c>
      <c r="C58998" s="0" t="s">
        <v>569</v>
      </c>
      <c r="D58998" s="0" t="s">
        <v>88</v>
      </c>
      <c r="E58998" s="0" t="s">
        <v>88</v>
      </c>
      <c r="F58998" s="0" t="s">
        <v>88</v>
      </c>
    </row>
    <row r="58999" customFormat="false" ht="12.8" hidden="false" customHeight="false" outlineLevel="0" collapsed="false">
      <c r="B58999" s="0" t="s">
        <v>14</v>
      </c>
      <c r="C58999" s="0" t="s">
        <v>78</v>
      </c>
      <c r="D58999" s="0" t="s">
        <v>624</v>
      </c>
      <c r="E58999" s="0" t="s">
        <v>624</v>
      </c>
      <c r="F58999" s="0" t="s">
        <v>624</v>
      </c>
    </row>
    <row r="59001" customFormat="false" ht="12.8" hidden="false" customHeight="false" outlineLevel="0" collapsed="false">
      <c r="A59001" s="0" t="s">
        <v>20365</v>
      </c>
      <c r="B59001" s="0" t="str">
        <f aca="false">HYPERLINK("https://lindat.mff.cuni.cz/services/teitok/pdtc10/index.php?action=vallex&amp;frame=v-w8182f1", "vypískat (v-w8182f1)")</f>
        <v>vypískat (v-w8182f1)</v>
      </c>
    </row>
    <row r="59002" customFormat="false" ht="12.8" hidden="false" customHeight="false" outlineLevel="0" collapsed="false">
      <c r="B59002" s="0" t="s">
        <v>7</v>
      </c>
    </row>
    <row r="59003" customFormat="false" ht="12.8" hidden="false" customHeight="false" outlineLevel="0" collapsed="false">
      <c r="B59003" s="0" t="s">
        <v>14</v>
      </c>
    </row>
    <row r="59005" customFormat="false" ht="12.8" hidden="false" customHeight="false" outlineLevel="0" collapsed="false">
      <c r="A59005" s="0" t="s">
        <v>20366</v>
      </c>
      <c r="B59005" s="0" t="str">
        <f aca="false">HYPERLINK("https://lindat.mff.cuni.cz/services/teitok/pdtc10/index.php?action=vallex&amp;frame=v-w10524f2", "vypískávat (v-w10524f2)")</f>
        <v>vypískávat (v-w10524f2)</v>
      </c>
    </row>
    <row r="59006" customFormat="false" ht="12.8" hidden="false" customHeight="false" outlineLevel="0" collapsed="false">
      <c r="B59006" s="0" t="s">
        <v>7</v>
      </c>
    </row>
    <row r="59007" customFormat="false" ht="12.8" hidden="false" customHeight="false" outlineLevel="0" collapsed="false">
      <c r="B59007" s="0" t="s">
        <v>14</v>
      </c>
    </row>
    <row r="59009" customFormat="false" ht="12.8" hidden="false" customHeight="false" outlineLevel="0" collapsed="false">
      <c r="A59009" s="0" t="s">
        <v>20367</v>
      </c>
      <c r="B59009" s="0" t="str">
        <f aca="false">HYPERLINK("https://lindat.mff.cuni.cz/services/teitok/pdtc10/index.php?action=vallex&amp;frame=v-w8185f1", "vypít (v-w8185f1)")</f>
        <v>vypít (v-w8185f1)</v>
      </c>
    </row>
    <row r="59010" customFormat="false" ht="12.8" hidden="false" customHeight="false" outlineLevel="0" collapsed="false">
      <c r="B59010" s="0" t="s">
        <v>7</v>
      </c>
      <c r="E59010" s="0" t="s">
        <v>88</v>
      </c>
      <c r="F59010" s="0" t="s">
        <v>88</v>
      </c>
    </row>
    <row r="59011" customFormat="false" ht="12.8" hidden="false" customHeight="false" outlineLevel="0" collapsed="false">
      <c r="B59011" s="0" t="s">
        <v>14</v>
      </c>
      <c r="E59011" s="0" t="s">
        <v>74</v>
      </c>
      <c r="F59011" s="0" t="s">
        <v>74</v>
      </c>
    </row>
    <row r="59013" customFormat="false" ht="12.8" hidden="false" customHeight="false" outlineLevel="0" collapsed="false">
      <c r="A59013" s="0" t="s">
        <v>20368</v>
      </c>
      <c r="B59013" s="0" t="str">
        <f aca="false">HYPERLINK("https://lindat.mff.cuni.cz/services/teitok/pdtc10/index.php?action=vallex&amp;frame=v-w10393f2", "vypěnit (v-w10393f2)")</f>
        <v>vypěnit (v-w10393f2)</v>
      </c>
    </row>
    <row r="59014" customFormat="false" ht="12.8" hidden="false" customHeight="false" outlineLevel="0" collapsed="false">
      <c r="B59014" s="0" t="s">
        <v>7</v>
      </c>
    </row>
    <row r="59016" customFormat="false" ht="12.8" hidden="false" customHeight="false" outlineLevel="0" collapsed="false">
      <c r="A59016" s="0" t="s">
        <v>20369</v>
      </c>
      <c r="B59016" s="0" t="str">
        <f aca="false">HYPERLINK("https://lindat.mff.cuni.cz/services/teitok/pdtc10/index.php?action=vallex&amp;frame=v-w10393f3_ZU", "vypěnit (v-w10393f3_ZU)")</f>
        <v>vypěnit (v-w10393f3_ZU)</v>
      </c>
    </row>
    <row r="59017" customFormat="false" ht="12.8" hidden="false" customHeight="false" outlineLevel="0" collapsed="false">
      <c r="B59017" s="0" t="s">
        <v>7</v>
      </c>
      <c r="C59017" s="0" t="s">
        <v>200</v>
      </c>
    </row>
    <row r="59019" customFormat="false" ht="12.8" hidden="false" customHeight="false" outlineLevel="0" collapsed="false">
      <c r="A59019" s="0" t="s">
        <v>20370</v>
      </c>
      <c r="B59019" s="0" t="str">
        <f aca="false">HYPERLINK("https://lindat.mff.cuni.cz/services/teitok/pdtc10/index.php?action=vallex&amp;frame=v-w8177f1", "vypěstovat (v-w8177f1)")</f>
        <v>vypěstovat (v-w8177f1)</v>
      </c>
    </row>
    <row r="59020" customFormat="false" ht="12.8" hidden="false" customHeight="false" outlineLevel="0" collapsed="false">
      <c r="B59020" s="0" t="s">
        <v>7</v>
      </c>
      <c r="C59020" s="0" t="s">
        <v>149</v>
      </c>
    </row>
    <row r="59021" customFormat="false" ht="12.8" hidden="false" customHeight="false" outlineLevel="0" collapsed="false">
      <c r="B59021" s="0" t="s">
        <v>14</v>
      </c>
      <c r="C59021" s="0" t="s">
        <v>2641</v>
      </c>
    </row>
    <row r="59022" customFormat="false" ht="12.8" hidden="false" customHeight="false" outlineLevel="0" collapsed="false">
      <c r="B59022" s="0" t="s">
        <v>35</v>
      </c>
      <c r="C59022" s="0" t="s">
        <v>5551</v>
      </c>
    </row>
    <row r="59024" customFormat="false" ht="12.8" hidden="false" customHeight="false" outlineLevel="0" collapsed="false">
      <c r="A59024" s="0" t="s">
        <v>20371</v>
      </c>
      <c r="B59024" s="0" t="str">
        <f aca="false">HYPERLINK("https://lindat.mff.cuni.cz/services/teitok/pdtc10/index.php?action=vallex&amp;frame=v-w8177f2", "vypěstovat (v-w8177f2)")</f>
        <v>vypěstovat (v-w8177f2)</v>
      </c>
    </row>
    <row r="59025" customFormat="false" ht="12.8" hidden="false" customHeight="false" outlineLevel="0" collapsed="false">
      <c r="B59025" s="0" t="s">
        <v>7</v>
      </c>
      <c r="C59025" s="0" t="s">
        <v>428</v>
      </c>
    </row>
    <row r="59026" customFormat="false" ht="12.8" hidden="false" customHeight="false" outlineLevel="0" collapsed="false">
      <c r="B59026" s="0" t="s">
        <v>14</v>
      </c>
      <c r="C59026" s="0" t="s">
        <v>79</v>
      </c>
    </row>
    <row r="59028" customFormat="false" ht="12.8" hidden="false" customHeight="false" outlineLevel="0" collapsed="false">
      <c r="A59028" s="0" t="s">
        <v>20372</v>
      </c>
      <c r="B59028" s="0" t="str">
        <f aca="false">HYPERLINK("https://lindat.mff.cuni.cz/services/teitok/pdtc10/index.php?action=vallex&amp;frame=v-w12025_ZUf2_ZU", "vypřáhnout (v-w12025_ZUf2_ZU)")</f>
        <v>vypřáhnout (v-w12025_ZUf2_ZU)</v>
      </c>
    </row>
    <row r="59029" customFormat="false" ht="12.8" hidden="false" customHeight="false" outlineLevel="0" collapsed="false">
      <c r="B59029" s="0" t="s">
        <v>7</v>
      </c>
    </row>
    <row r="59030" customFormat="false" ht="12.8" hidden="false" customHeight="false" outlineLevel="0" collapsed="false">
      <c r="B59030" s="0" t="s">
        <v>14</v>
      </c>
    </row>
    <row r="59032" customFormat="false" ht="12.8" hidden="false" customHeight="false" outlineLevel="0" collapsed="false">
      <c r="A59032" s="0" t="s">
        <v>20372</v>
      </c>
      <c r="B59032" s="0" t="str">
        <f aca="false">HYPERLINK("https://lindat.mff.cuni.cz/services/teitok/pdtc10/index.php?action=vallex&amp;frame=v-w12025_ZUf1_ZU", "vypřáhnout (v-w12025_ZUf1_ZU) - substituted with v-w12025_ZUf2_ZU")</f>
        <v>vypřáhnout (v-w12025_ZUf1_ZU) - substituted with v-w12025_ZUf2_ZU</v>
      </c>
    </row>
    <row r="59033" customFormat="false" ht="12.8" hidden="false" customHeight="false" outlineLevel="0" collapsed="false">
      <c r="B59033" s="0" t="s">
        <v>7</v>
      </c>
    </row>
    <row r="59034" customFormat="false" ht="12.8" hidden="false" customHeight="false" outlineLevel="0" collapsed="false">
      <c r="B59034" s="0" t="s">
        <v>14</v>
      </c>
    </row>
    <row r="59036" customFormat="false" ht="12.8" hidden="false" customHeight="false" outlineLevel="0" collapsed="false">
      <c r="A59036" s="0" t="s">
        <v>20373</v>
      </c>
      <c r="B59036" s="0" t="str">
        <f aca="false">HYPERLINK("https://lindat.mff.cuni.cz/services/teitok/pdtc10/index.php?action=vallex&amp;frame=v-w8276f1", "vypůjčit (v-w8276f1)")</f>
        <v>vypůjčit (v-w8276f1)</v>
      </c>
    </row>
    <row r="59037" customFormat="false" ht="12.8" hidden="false" customHeight="false" outlineLevel="0" collapsed="false">
      <c r="B59037" s="0" t="s">
        <v>7</v>
      </c>
    </row>
    <row r="59038" customFormat="false" ht="12.8" hidden="false" customHeight="false" outlineLevel="0" collapsed="false">
      <c r="B59038" s="0" t="s">
        <v>14</v>
      </c>
    </row>
    <row r="59039" customFormat="false" ht="12.8" hidden="false" customHeight="false" outlineLevel="0" collapsed="false">
      <c r="B59039" s="0" t="s">
        <v>48</v>
      </c>
    </row>
    <row r="59041" customFormat="false" ht="12.8" hidden="false" customHeight="false" outlineLevel="0" collapsed="false">
      <c r="A59041" s="0" t="s">
        <v>20374</v>
      </c>
      <c r="B59041" s="0" t="str">
        <f aca="false">HYPERLINK("https://lindat.mff.cuni.cz/services/teitok/pdtc10/index.php?action=vallex&amp;frame=v-w8277f1", "vypůjčit si (v-w8277f1)")</f>
        <v>vypůjčit si (v-w8277f1)</v>
      </c>
    </row>
    <row r="59042" customFormat="false" ht="12.8" hidden="false" customHeight="false" outlineLevel="0" collapsed="false">
      <c r="B59042" s="0" t="s">
        <v>7</v>
      </c>
      <c r="C59042" s="0" t="s">
        <v>309</v>
      </c>
      <c r="D59042" s="0" t="s">
        <v>3664</v>
      </c>
      <c r="E59042" s="0" t="s">
        <v>3664</v>
      </c>
      <c r="F59042" s="0" t="s">
        <v>3664</v>
      </c>
    </row>
    <row r="59043" customFormat="false" ht="12.8" hidden="false" customHeight="false" outlineLevel="0" collapsed="false">
      <c r="B59043" s="0" t="s">
        <v>14</v>
      </c>
      <c r="C59043" s="0" t="s">
        <v>151</v>
      </c>
      <c r="D59043" s="0" t="s">
        <v>173</v>
      </c>
      <c r="E59043" s="0" t="s">
        <v>173</v>
      </c>
      <c r="F59043" s="0" t="s">
        <v>173</v>
      </c>
    </row>
    <row r="59044" customFormat="false" ht="12.8" hidden="false" customHeight="false" outlineLevel="0" collapsed="false">
      <c r="B59044" s="0" t="s">
        <v>1349</v>
      </c>
      <c r="C59044" s="0" t="s">
        <v>14424</v>
      </c>
      <c r="D59044" s="0" t="s">
        <v>14424</v>
      </c>
      <c r="E59044" s="0" t="s">
        <v>14424</v>
      </c>
      <c r="F59044" s="0" t="s">
        <v>14424</v>
      </c>
    </row>
    <row r="59046" customFormat="false" ht="12.8" hidden="false" customHeight="false" outlineLevel="0" collapsed="false">
      <c r="A59046" s="0" t="s">
        <v>20375</v>
      </c>
      <c r="B59046" s="0" t="str">
        <f aca="false">HYPERLINK("https://lindat.mff.cuni.cz/services/teitok/pdtc10/index.php?action=vallex&amp;frame=v-w8278f1", "vypůjčovat si (v-w8278f1)")</f>
        <v>vypůjčovat si (v-w8278f1)</v>
      </c>
    </row>
    <row r="59047" customFormat="false" ht="12.8" hidden="false" customHeight="false" outlineLevel="0" collapsed="false">
      <c r="B59047" s="0" t="s">
        <v>7</v>
      </c>
      <c r="D59047" s="0" t="s">
        <v>3664</v>
      </c>
      <c r="E59047" s="0" t="s">
        <v>3664</v>
      </c>
      <c r="F59047" s="0" t="s">
        <v>3664</v>
      </c>
    </row>
    <row r="59048" customFormat="false" ht="12.8" hidden="false" customHeight="false" outlineLevel="0" collapsed="false">
      <c r="B59048" s="0" t="s">
        <v>14</v>
      </c>
      <c r="D59048" s="0" t="s">
        <v>173</v>
      </c>
      <c r="E59048" s="0" t="s">
        <v>173</v>
      </c>
      <c r="F59048" s="0" t="s">
        <v>173</v>
      </c>
    </row>
    <row r="59049" customFormat="false" ht="12.8" hidden="false" customHeight="false" outlineLevel="0" collapsed="false">
      <c r="B59049" s="0" t="s">
        <v>1349</v>
      </c>
      <c r="D59049" s="0" t="s">
        <v>14424</v>
      </c>
      <c r="E59049" s="0" t="s">
        <v>14424</v>
      </c>
      <c r="F59049" s="0" t="s">
        <v>14424</v>
      </c>
    </row>
    <row r="59051" customFormat="false" ht="12.8" hidden="false" customHeight="false" outlineLevel="0" collapsed="false">
      <c r="A59051" s="0" t="s">
        <v>20376</v>
      </c>
      <c r="B59051" s="0" t="str">
        <f aca="false">HYPERLINK("https://lindat.mff.cuni.cz/services/teitok/pdtc10/index.php?action=vallex&amp;frame=v-w8290f2", "vyrazit (v-w8290f2)")</f>
        <v>vyrazit (v-w8290f2)</v>
      </c>
    </row>
    <row r="59052" customFormat="false" ht="12.8" hidden="false" customHeight="false" outlineLevel="0" collapsed="false">
      <c r="B59052" s="0" t="s">
        <v>7</v>
      </c>
    </row>
    <row r="59053" customFormat="false" ht="12.8" hidden="false" customHeight="false" outlineLevel="0" collapsed="false">
      <c r="B59053" s="0" t="s">
        <v>14</v>
      </c>
    </row>
    <row r="59054" customFormat="false" ht="12.8" hidden="false" customHeight="false" outlineLevel="0" collapsed="false">
      <c r="B59054" s="0" t="s">
        <v>459</v>
      </c>
    </row>
    <row r="59056" customFormat="false" ht="12.8" hidden="false" customHeight="false" outlineLevel="0" collapsed="false">
      <c r="A59056" s="0" t="s">
        <v>20377</v>
      </c>
      <c r="B59056" s="0" t="str">
        <f aca="false">HYPERLINK("https://lindat.mff.cuni.cz/services/teitok/pdtc10/index.php?action=vallex&amp;frame=v-w8290f4", "vyrazit (v-w8290f4)")</f>
        <v>vyrazit (v-w8290f4)</v>
      </c>
    </row>
    <row r="59057" customFormat="false" ht="12.8" hidden="false" customHeight="false" outlineLevel="0" collapsed="false">
      <c r="B59057" s="0" t="s">
        <v>7</v>
      </c>
      <c r="C59057" s="0" t="s">
        <v>191</v>
      </c>
    </row>
    <row r="59058" customFormat="false" ht="12.8" hidden="false" customHeight="false" outlineLevel="0" collapsed="false">
      <c r="B59058" s="0" t="s">
        <v>14</v>
      </c>
      <c r="C59058" s="0" t="s">
        <v>155</v>
      </c>
    </row>
    <row r="59060" customFormat="false" ht="12.8" hidden="false" customHeight="false" outlineLevel="0" collapsed="false">
      <c r="A59060" s="0" t="s">
        <v>20378</v>
      </c>
      <c r="B59060" s="0" t="str">
        <f aca="false">HYPERLINK("https://lindat.mff.cuni.cz/services/teitok/pdtc10/index.php?action=vallex&amp;frame=v-w8290f3", "vyrazit (v-w8290f3)")</f>
        <v>vyrazit (v-w8290f3)</v>
      </c>
    </row>
    <row r="59061" customFormat="false" ht="12.8" hidden="false" customHeight="false" outlineLevel="0" collapsed="false">
      <c r="B59061" s="0" t="s">
        <v>7</v>
      </c>
    </row>
    <row r="59062" customFormat="false" ht="12.8" hidden="false" customHeight="false" outlineLevel="0" collapsed="false">
      <c r="B59062" s="0" t="s">
        <v>14</v>
      </c>
    </row>
    <row r="59064" customFormat="false" ht="12.8" hidden="false" customHeight="false" outlineLevel="0" collapsed="false">
      <c r="A59064" s="0" t="s">
        <v>20379</v>
      </c>
      <c r="B59064" s="0" t="str">
        <f aca="false">HYPERLINK("https://lindat.mff.cuni.cz/services/teitok/pdtc10/index.php?action=vallex&amp;frame=v-w8290f1", "vyrazit (v-w8290f1)")</f>
        <v>vyrazit (v-w8290f1)</v>
      </c>
    </row>
    <row r="59065" customFormat="false" ht="12.8" hidden="false" customHeight="false" outlineLevel="0" collapsed="false">
      <c r="B59065" s="0" t="s">
        <v>7</v>
      </c>
      <c r="C59065" s="0" t="s">
        <v>20380</v>
      </c>
      <c r="D59065" s="0" t="s">
        <v>1582</v>
      </c>
      <c r="E59065" s="0" t="s">
        <v>1582</v>
      </c>
      <c r="F59065" s="0" t="s">
        <v>1582</v>
      </c>
    </row>
    <row r="59066" customFormat="false" ht="12.8" hidden="false" customHeight="false" outlineLevel="0" collapsed="false">
      <c r="B59066" s="0" t="s">
        <v>124</v>
      </c>
      <c r="C59066" s="0" t="s">
        <v>13921</v>
      </c>
    </row>
    <row r="59068" customFormat="false" ht="12.8" hidden="false" customHeight="false" outlineLevel="0" collapsed="false">
      <c r="A59068" s="0" t="s">
        <v>20381</v>
      </c>
      <c r="B59068" s="0" t="str">
        <f aca="false">HYPERLINK("https://lindat.mff.cuni.cz/services/teitok/pdtc10/index.php?action=vallex&amp;frame=v-w8290f5_ZU", "vyrazit (v-w8290f5_ZU)")</f>
        <v>vyrazit (v-w8290f5_ZU)</v>
      </c>
    </row>
    <row r="59069" customFormat="false" ht="12.8" hidden="false" customHeight="false" outlineLevel="0" collapsed="false">
      <c r="B59069" s="0" t="s">
        <v>979</v>
      </c>
    </row>
    <row r="59070" customFormat="false" ht="12.8" hidden="false" customHeight="false" outlineLevel="0" collapsed="false">
      <c r="B59070" s="0" t="s">
        <v>10592</v>
      </c>
    </row>
    <row r="59071" customFormat="false" ht="12.8" hidden="false" customHeight="false" outlineLevel="0" collapsed="false">
      <c r="B59071" s="0" t="s">
        <v>142</v>
      </c>
    </row>
    <row r="59073" customFormat="false" ht="12.8" hidden="false" customHeight="false" outlineLevel="0" collapsed="false">
      <c r="A59073" s="0" t="s">
        <v>20382</v>
      </c>
      <c r="B59073" s="0" t="str">
        <f aca="false">HYPERLINK("https://lindat.mff.cuni.cz/services/teitok/pdtc10/index.php?action=vallex&amp;frame=v-w8290f6_ZU", "vyrazit (v-w8290f6_ZU)")</f>
        <v>vyrazit (v-w8290f6_ZU)</v>
      </c>
    </row>
    <row r="59074" customFormat="false" ht="12.8" hidden="false" customHeight="false" outlineLevel="0" collapsed="false">
      <c r="B59074" s="0" t="s">
        <v>7</v>
      </c>
    </row>
    <row r="59075" customFormat="false" ht="12.8" hidden="false" customHeight="false" outlineLevel="0" collapsed="false">
      <c r="B59075" s="0" t="s">
        <v>63</v>
      </c>
    </row>
    <row r="59076" customFormat="false" ht="12.8" hidden="false" customHeight="false" outlineLevel="0" collapsed="false">
      <c r="B59076" s="0" t="s">
        <v>35</v>
      </c>
    </row>
    <row r="59078" customFormat="false" ht="12.8" hidden="false" customHeight="false" outlineLevel="0" collapsed="false">
      <c r="A59078" s="0" t="s">
        <v>20382</v>
      </c>
      <c r="B59078" s="0" t="str">
        <f aca="false">HYPERLINK("https://lindat.mff.cuni.cz/services/teitok/pdtc10/index.php?action=vallex&amp;frame=v-w8290hsa_162", "vyrazit (v-w8290hsa_162) - substituted with v-w8290f6_ZU")</f>
        <v>vyrazit (v-w8290hsa_162) - substituted with v-w8290f6_ZU</v>
      </c>
    </row>
    <row r="59079" customFormat="false" ht="12.8" hidden="false" customHeight="false" outlineLevel="0" collapsed="false">
      <c r="B59079" s="0" t="s">
        <v>7</v>
      </c>
    </row>
    <row r="59080" customFormat="false" ht="12.8" hidden="false" customHeight="false" outlineLevel="0" collapsed="false">
      <c r="B59080" s="0" t="s">
        <v>63</v>
      </c>
    </row>
    <row r="59081" customFormat="false" ht="12.8" hidden="false" customHeight="false" outlineLevel="0" collapsed="false">
      <c r="B59081" s="0" t="s">
        <v>35</v>
      </c>
    </row>
    <row r="59083" customFormat="false" ht="12.8" hidden="false" customHeight="false" outlineLevel="0" collapsed="false">
      <c r="A59083" s="0" t="s">
        <v>20383</v>
      </c>
      <c r="B59083" s="0" t="str">
        <f aca="false">HYPERLINK("https://lindat.mff.cuni.cz/services/teitok/pdtc10/index.php?action=vallex&amp;frame=v-w8290f7_MM", "vyrazit (v-w8290f7_MM)")</f>
        <v>vyrazit (v-w8290f7_MM)</v>
      </c>
    </row>
    <row r="59084" customFormat="false" ht="12.8" hidden="false" customHeight="false" outlineLevel="0" collapsed="false">
      <c r="B59084" s="0" t="s">
        <v>7</v>
      </c>
    </row>
    <row r="59085" customFormat="false" ht="12.8" hidden="false" customHeight="false" outlineLevel="0" collapsed="false">
      <c r="B59085" s="0" t="s">
        <v>14</v>
      </c>
    </row>
    <row r="59087" customFormat="false" ht="12.8" hidden="false" customHeight="false" outlineLevel="0" collapsed="false">
      <c r="A59087" s="0" t="s">
        <v>20384</v>
      </c>
      <c r="B59087" s="0" t="str">
        <f aca="false">HYPERLINK("https://lindat.mff.cuni.cz/services/teitok/pdtc10/index.php?action=vallex&amp;frame=v-w11935_ZUf2_ZU", "vyrazit si (v-w11935_ZUf2_ZU)")</f>
        <v>vyrazit si (v-w11935_ZUf2_ZU)</v>
      </c>
    </row>
    <row r="59088" customFormat="false" ht="12.8" hidden="false" customHeight="false" outlineLevel="0" collapsed="false">
      <c r="B59088" s="0" t="s">
        <v>7</v>
      </c>
    </row>
    <row r="59089" customFormat="false" ht="12.8" hidden="false" customHeight="false" outlineLevel="0" collapsed="false">
      <c r="B59089" s="0" t="s">
        <v>338</v>
      </c>
    </row>
    <row r="59091" customFormat="false" ht="12.8" hidden="false" customHeight="false" outlineLevel="0" collapsed="false">
      <c r="A59091" s="0" t="s">
        <v>20384</v>
      </c>
      <c r="B59091" s="0" t="str">
        <f aca="false">HYPERLINK("https://lindat.mff.cuni.cz/services/teitok/pdtc10/index.php?action=vallex&amp;frame=v-w11935_ZUf1_ZU", "vyrazit si (v-w11935_ZUf1_ZU) - substituted with v-w11935_ZUf2_ZU")</f>
        <v>vyrazit si (v-w11935_ZUf1_ZU) - substituted with v-w11935_ZUf2_ZU</v>
      </c>
    </row>
    <row r="59092" customFormat="false" ht="12.8" hidden="false" customHeight="false" outlineLevel="0" collapsed="false">
      <c r="B59092" s="0" t="s">
        <v>7</v>
      </c>
    </row>
    <row r="59093" customFormat="false" ht="12.8" hidden="false" customHeight="false" outlineLevel="0" collapsed="false">
      <c r="B59093" s="0" t="s">
        <v>338</v>
      </c>
    </row>
    <row r="59095" customFormat="false" ht="12.8" hidden="false" customHeight="false" outlineLevel="0" collapsed="false">
      <c r="A59095" s="0" t="s">
        <v>20385</v>
      </c>
      <c r="B59095" s="0" t="str">
        <f aca="false">HYPERLINK("https://lindat.mff.cuni.cz/services/teitok/pdtc10/index.php?action=vallex&amp;frame=v-w10802f2", "vyrašit (v-w10802f2)")</f>
        <v>vyrašit (v-w10802f2)</v>
      </c>
    </row>
    <row r="59096" customFormat="false" ht="12.8" hidden="false" customHeight="false" outlineLevel="0" collapsed="false">
      <c r="B59096" s="0" t="s">
        <v>7</v>
      </c>
    </row>
    <row r="59098" customFormat="false" ht="12.8" hidden="false" customHeight="false" outlineLevel="0" collapsed="false">
      <c r="A59098" s="0" t="s">
        <v>20386</v>
      </c>
      <c r="B59098" s="0" t="str">
        <f aca="false">HYPERLINK("https://lindat.mff.cuni.cz/services/teitok/pdtc10/index.php?action=vallex&amp;frame=v-w10802f3_ZU", "vyrašit (v-w10802f3_ZU)")</f>
        <v>vyrašit (v-w10802f3_ZU)</v>
      </c>
    </row>
    <row r="59099" customFormat="false" ht="12.8" hidden="false" customHeight="false" outlineLevel="0" collapsed="false">
      <c r="B59099" s="0" t="s">
        <v>7</v>
      </c>
    </row>
    <row r="59100" customFormat="false" ht="12.8" hidden="false" customHeight="false" outlineLevel="0" collapsed="false">
      <c r="B59100" s="0" t="s">
        <v>14</v>
      </c>
    </row>
    <row r="59102" customFormat="false" ht="12.8" hidden="false" customHeight="false" outlineLevel="0" collapsed="false">
      <c r="A59102" s="0" t="s">
        <v>20387</v>
      </c>
      <c r="B59102" s="0" t="str">
        <f aca="false">HYPERLINK("https://lindat.mff.cuni.cz/services/teitok/pdtc10/index.php?action=vallex&amp;frame=v-w12373_MMf1_MM", "vyreklamovat (v-w12373_MMf1_MM)")</f>
        <v>vyreklamovat (v-w12373_MMf1_MM)</v>
      </c>
    </row>
    <row r="59103" customFormat="false" ht="12.8" hidden="false" customHeight="false" outlineLevel="0" collapsed="false">
      <c r="B59103" s="0" t="s">
        <v>7</v>
      </c>
    </row>
    <row r="59104" customFormat="false" ht="12.8" hidden="false" customHeight="false" outlineLevel="0" collapsed="false">
      <c r="B59104" s="0" t="s">
        <v>14</v>
      </c>
    </row>
    <row r="59106" customFormat="false" ht="12.8" hidden="false" customHeight="false" outlineLevel="0" collapsed="false">
      <c r="A59106" s="0" t="s">
        <v>20388</v>
      </c>
      <c r="B59106" s="0" t="str">
        <f aca="false">HYPERLINK("https://lindat.mff.cuni.cz/services/teitok/pdtc10/index.php?action=vallex&amp;frame=v-w12167_ZUf1_ZU", "vyretušovat (v-w12167_ZUf1_ZU)")</f>
        <v>vyretušovat (v-w12167_ZUf1_ZU)</v>
      </c>
    </row>
    <row r="59107" customFormat="false" ht="12.8" hidden="false" customHeight="false" outlineLevel="0" collapsed="false">
      <c r="B59107" s="0" t="s">
        <v>7</v>
      </c>
    </row>
    <row r="59108" customFormat="false" ht="12.8" hidden="false" customHeight="false" outlineLevel="0" collapsed="false">
      <c r="B59108" s="0" t="s">
        <v>14</v>
      </c>
    </row>
    <row r="59110" customFormat="false" ht="12.8" hidden="false" customHeight="false" outlineLevel="0" collapsed="false">
      <c r="A59110" s="0" t="s">
        <v>20389</v>
      </c>
      <c r="B59110" s="0" t="str">
        <f aca="false">HYPERLINK("https://lindat.mff.cuni.cz/services/teitok/pdtc10/index.php?action=vallex&amp;frame=v-w8298f1", "vyrobit (v-w8298f1)")</f>
        <v>vyrobit (v-w8298f1)</v>
      </c>
    </row>
    <row r="59111" customFormat="false" ht="12.8" hidden="false" customHeight="false" outlineLevel="0" collapsed="false">
      <c r="B59111" s="0" t="s">
        <v>7</v>
      </c>
      <c r="C59111" s="0" t="s">
        <v>20390</v>
      </c>
      <c r="D59111" s="0" t="s">
        <v>4799</v>
      </c>
      <c r="E59111" s="0" t="s">
        <v>4799</v>
      </c>
      <c r="F59111" s="0" t="s">
        <v>4799</v>
      </c>
    </row>
    <row r="59112" customFormat="false" ht="12.8" hidden="false" customHeight="false" outlineLevel="0" collapsed="false">
      <c r="B59112" s="0" t="s">
        <v>14</v>
      </c>
      <c r="C59112" s="0" t="s">
        <v>20391</v>
      </c>
      <c r="D59112" s="0" t="s">
        <v>4801</v>
      </c>
      <c r="E59112" s="0" t="s">
        <v>4801</v>
      </c>
      <c r="F59112" s="0" t="s">
        <v>4801</v>
      </c>
    </row>
    <row r="59113" customFormat="false" ht="12.8" hidden="false" customHeight="false" outlineLevel="0" collapsed="false">
      <c r="B59113" s="0" t="s">
        <v>35</v>
      </c>
      <c r="C59113" s="0" t="s">
        <v>20392</v>
      </c>
      <c r="D59113" s="0" t="s">
        <v>5460</v>
      </c>
      <c r="E59113" s="0" t="s">
        <v>5460</v>
      </c>
      <c r="F59113" s="0" t="s">
        <v>5460</v>
      </c>
    </row>
    <row r="59115" customFormat="false" ht="12.8" hidden="false" customHeight="false" outlineLevel="0" collapsed="false">
      <c r="A59115" s="0" t="s">
        <v>20393</v>
      </c>
      <c r="B59115" s="0" t="str">
        <f aca="false">HYPERLINK("https://lindat.mff.cuni.cz/services/teitok/pdtc10/index.php?action=vallex&amp;frame=v-whsb_1267hsa_1268", "vyrojit se (v-whsb_1267hsa_1268)")</f>
        <v>vyrojit se (v-whsb_1267hsa_1268)</v>
      </c>
    </row>
    <row r="59116" customFormat="false" ht="12.8" hidden="false" customHeight="false" outlineLevel="0" collapsed="false">
      <c r="B59116" s="0" t="s">
        <v>7</v>
      </c>
    </row>
    <row r="59118" customFormat="false" ht="12.8" hidden="false" customHeight="false" outlineLevel="0" collapsed="false">
      <c r="A59118" s="0" t="s">
        <v>20394</v>
      </c>
      <c r="B59118" s="0" t="str">
        <f aca="false">HYPERLINK("https://lindat.mff.cuni.cz/services/teitok/pdtc10/index.php?action=vallex&amp;frame=v-w8305f2", "vyrovnat (v-w8305f2)")</f>
        <v>vyrovnat (v-w8305f2)</v>
      </c>
    </row>
    <row r="59119" customFormat="false" ht="12.8" hidden="false" customHeight="false" outlineLevel="0" collapsed="false">
      <c r="B59119" s="0" t="s">
        <v>7</v>
      </c>
      <c r="C59119" s="0" t="s">
        <v>1263</v>
      </c>
      <c r="D59119" s="0" t="s">
        <v>2088</v>
      </c>
      <c r="E59119" s="0" t="s">
        <v>2088</v>
      </c>
      <c r="F59119" s="0" t="s">
        <v>2088</v>
      </c>
    </row>
    <row r="59120" customFormat="false" ht="12.8" hidden="false" customHeight="false" outlineLevel="0" collapsed="false">
      <c r="B59120" s="0" t="s">
        <v>14</v>
      </c>
      <c r="C59120" s="0" t="s">
        <v>20395</v>
      </c>
      <c r="D59120" s="0" t="s">
        <v>2089</v>
      </c>
      <c r="E59120" s="0" t="s">
        <v>2089</v>
      </c>
      <c r="F59120" s="0" t="s">
        <v>2089</v>
      </c>
    </row>
    <row r="59121" customFormat="false" ht="12.8" hidden="false" customHeight="false" outlineLevel="0" collapsed="false">
      <c r="B59121" s="0" t="s">
        <v>106</v>
      </c>
      <c r="D59121" s="0" t="s">
        <v>2090</v>
      </c>
      <c r="E59121" s="0" t="s">
        <v>2090</v>
      </c>
      <c r="F59121" s="0" t="s">
        <v>2090</v>
      </c>
    </row>
    <row r="59122" customFormat="false" ht="12.8" hidden="false" customHeight="false" outlineLevel="0" collapsed="false">
      <c r="B59122" s="0" t="s">
        <v>550</v>
      </c>
    </row>
    <row r="59124" customFormat="false" ht="12.8" hidden="false" customHeight="false" outlineLevel="0" collapsed="false">
      <c r="A59124" s="0" t="s">
        <v>20396</v>
      </c>
      <c r="B59124" s="0" t="str">
        <f aca="false">HYPERLINK("https://lindat.mff.cuni.cz/services/teitok/pdtc10/index.php?action=vallex&amp;frame=v-w8305f1", "vyrovnat (v-w8305f1)")</f>
        <v>vyrovnat (v-w8305f1)</v>
      </c>
    </row>
    <row r="59125" customFormat="false" ht="12.8" hidden="false" customHeight="false" outlineLevel="0" collapsed="false">
      <c r="B59125" s="0" t="s">
        <v>7</v>
      </c>
    </row>
    <row r="59126" customFormat="false" ht="12.8" hidden="false" customHeight="false" outlineLevel="0" collapsed="false">
      <c r="B59126" s="0" t="s">
        <v>14</v>
      </c>
    </row>
    <row r="59127" customFormat="false" ht="12.8" hidden="false" customHeight="false" outlineLevel="0" collapsed="false">
      <c r="B59127" s="0" t="s">
        <v>35</v>
      </c>
    </row>
    <row r="59128" customFormat="false" ht="12.8" hidden="false" customHeight="false" outlineLevel="0" collapsed="false">
      <c r="B59128" s="0" t="s">
        <v>84</v>
      </c>
    </row>
    <row r="59130" customFormat="false" ht="12.8" hidden="false" customHeight="false" outlineLevel="0" collapsed="false">
      <c r="A59130" s="0" t="s">
        <v>20397</v>
      </c>
      <c r="B59130" s="0" t="str">
        <f aca="false">HYPERLINK("https://lindat.mff.cuni.cz/services/teitok/pdtc10/index.php?action=vallex&amp;frame=v-w8305f3", "vyrovnat (v-w8305f3)")</f>
        <v>vyrovnat (v-w8305f3)</v>
      </c>
    </row>
    <row r="59131" customFormat="false" ht="12.8" hidden="false" customHeight="false" outlineLevel="0" collapsed="false">
      <c r="B59131" s="0" t="s">
        <v>7</v>
      </c>
      <c r="C59131" s="0" t="s">
        <v>191</v>
      </c>
      <c r="D59131" s="0" t="s">
        <v>191</v>
      </c>
      <c r="E59131" s="0" t="s">
        <v>191</v>
      </c>
      <c r="F59131" s="0" t="s">
        <v>191</v>
      </c>
    </row>
    <row r="59132" customFormat="false" ht="12.8" hidden="false" customHeight="false" outlineLevel="0" collapsed="false">
      <c r="B59132" s="0" t="s">
        <v>14</v>
      </c>
      <c r="C59132" s="0" t="s">
        <v>78</v>
      </c>
      <c r="D59132" s="0" t="s">
        <v>78</v>
      </c>
      <c r="E59132" s="0" t="s">
        <v>78</v>
      </c>
      <c r="F59132" s="0" t="s">
        <v>78</v>
      </c>
    </row>
    <row r="59133" customFormat="false" ht="12.8" hidden="false" customHeight="false" outlineLevel="0" collapsed="false">
      <c r="B59133" s="0" t="s">
        <v>3086</v>
      </c>
    </row>
    <row r="59135" customFormat="false" ht="12.8" hidden="false" customHeight="false" outlineLevel="0" collapsed="false">
      <c r="A59135" s="0" t="s">
        <v>20398</v>
      </c>
      <c r="B59135" s="0" t="str">
        <f aca="false">HYPERLINK("https://lindat.mff.cuni.cz/services/teitok/pdtc10/index.php?action=vallex&amp;frame=v-w8305f4", "vyrovnat (v-w8305f4)")</f>
        <v>vyrovnat (v-w8305f4)</v>
      </c>
    </row>
    <row r="59136" customFormat="false" ht="12.8" hidden="false" customHeight="false" outlineLevel="0" collapsed="false">
      <c r="B59136" s="0" t="s">
        <v>7</v>
      </c>
      <c r="C59136" s="0" t="s">
        <v>1380</v>
      </c>
    </row>
    <row r="59137" customFormat="false" ht="12.8" hidden="false" customHeight="false" outlineLevel="0" collapsed="false">
      <c r="B59137" s="0" t="s">
        <v>14</v>
      </c>
      <c r="C59137" s="0" t="s">
        <v>384</v>
      </c>
    </row>
    <row r="59138" customFormat="false" ht="12.8" hidden="false" customHeight="false" outlineLevel="0" collapsed="false">
      <c r="B59138" s="0" t="s">
        <v>37</v>
      </c>
    </row>
    <row r="59140" customFormat="false" ht="12.8" hidden="false" customHeight="false" outlineLevel="0" collapsed="false">
      <c r="A59140" s="0" t="s">
        <v>20399</v>
      </c>
      <c r="B59140" s="0" t="str">
        <f aca="false">HYPERLINK("https://lindat.mff.cuni.cz/services/teitok/pdtc10/index.php?action=vallex&amp;frame=v-w8305f5", "vyrovnat (v-w8305f5)")</f>
        <v>vyrovnat (v-w8305f5)</v>
      </c>
    </row>
    <row r="59141" customFormat="false" ht="12.8" hidden="false" customHeight="false" outlineLevel="0" collapsed="false">
      <c r="B59141" s="0" t="s">
        <v>7</v>
      </c>
      <c r="C59141" s="0" t="s">
        <v>20400</v>
      </c>
      <c r="D59141" s="0" t="s">
        <v>4732</v>
      </c>
      <c r="E59141" s="0" t="s">
        <v>4732</v>
      </c>
      <c r="F59141" s="0" t="s">
        <v>18054</v>
      </c>
    </row>
    <row r="59142" customFormat="false" ht="12.8" hidden="false" customHeight="false" outlineLevel="0" collapsed="false">
      <c r="B59142" s="0" t="s">
        <v>14</v>
      </c>
      <c r="C59142" s="0" t="s">
        <v>20401</v>
      </c>
      <c r="D59142" s="0" t="s">
        <v>4737</v>
      </c>
      <c r="E59142" s="0" t="s">
        <v>4737</v>
      </c>
      <c r="F59142" s="0" t="s">
        <v>10824</v>
      </c>
    </row>
    <row r="59144" customFormat="false" ht="12.8" hidden="false" customHeight="false" outlineLevel="0" collapsed="false">
      <c r="A59144" s="0" t="s">
        <v>20402</v>
      </c>
      <c r="B59144" s="0" t="str">
        <f aca="false">HYPERLINK("https://lindat.mff.cuni.cz/services/teitok/pdtc10/index.php?action=vallex&amp;frame=v-w8305f7", "vyrovnat (v-w8305f7)")</f>
        <v>vyrovnat (v-w8305f7)</v>
      </c>
    </row>
    <row r="59145" customFormat="false" ht="12.8" hidden="false" customHeight="false" outlineLevel="0" collapsed="false">
      <c r="B59145" s="0" t="s">
        <v>7</v>
      </c>
      <c r="C59145" s="0" t="s">
        <v>20403</v>
      </c>
      <c r="D59145" s="0" t="s">
        <v>4732</v>
      </c>
      <c r="E59145" s="0" t="s">
        <v>4732</v>
      </c>
      <c r="F59145" s="0" t="s">
        <v>18054</v>
      </c>
    </row>
    <row r="59146" customFormat="false" ht="12.8" hidden="false" customHeight="false" outlineLevel="0" collapsed="false">
      <c r="B59146" s="0" t="s">
        <v>14</v>
      </c>
      <c r="C59146" s="0" t="s">
        <v>20404</v>
      </c>
      <c r="D59146" s="0" t="s">
        <v>4737</v>
      </c>
      <c r="E59146" s="0" t="s">
        <v>4737</v>
      </c>
      <c r="F59146" s="0" t="s">
        <v>10824</v>
      </c>
    </row>
    <row r="59148" customFormat="false" ht="12.8" hidden="false" customHeight="false" outlineLevel="0" collapsed="false">
      <c r="A59148" s="0" t="s">
        <v>20405</v>
      </c>
      <c r="B59148" s="0" t="str">
        <f aca="false">HYPERLINK("https://lindat.mff.cuni.cz/services/teitok/pdtc10/index.php?action=vallex&amp;frame=v-w8305f6", "vyrovnat (v-w8305f6)")</f>
        <v>vyrovnat (v-w8305f6)</v>
      </c>
    </row>
    <row r="59149" customFormat="false" ht="12.8" hidden="false" customHeight="false" outlineLevel="0" collapsed="false">
      <c r="B59149" s="0" t="s">
        <v>7</v>
      </c>
    </row>
    <row r="59150" customFormat="false" ht="12.8" hidden="false" customHeight="false" outlineLevel="0" collapsed="false">
      <c r="B59150" s="0" t="s">
        <v>679</v>
      </c>
    </row>
    <row r="59151" customFormat="false" ht="12.8" hidden="false" customHeight="false" outlineLevel="0" collapsed="false">
      <c r="B59151" s="0" t="s">
        <v>1654</v>
      </c>
    </row>
    <row r="59152" customFormat="false" ht="12.8" hidden="false" customHeight="false" outlineLevel="0" collapsed="false">
      <c r="B59152" s="0" t="s">
        <v>106</v>
      </c>
    </row>
    <row r="59154" customFormat="false" ht="12.8" hidden="false" customHeight="false" outlineLevel="0" collapsed="false">
      <c r="A59154" s="0" t="s">
        <v>20406</v>
      </c>
      <c r="B59154" s="0" t="str">
        <f aca="false">HYPERLINK("https://lindat.mff.cuni.cz/services/teitok/pdtc10/index.php?action=vallex&amp;frame=v-w8305hsa_345", "vyrovnat (v-w8305hsa_345)")</f>
        <v>vyrovnat (v-w8305hsa_345)</v>
      </c>
    </row>
    <row r="59155" customFormat="false" ht="12.8" hidden="false" customHeight="false" outlineLevel="0" collapsed="false">
      <c r="B59155" s="0" t="s">
        <v>7</v>
      </c>
    </row>
    <row r="59156" customFormat="false" ht="12.8" hidden="false" customHeight="false" outlineLevel="0" collapsed="false">
      <c r="B59156" s="0" t="s">
        <v>20407</v>
      </c>
    </row>
    <row r="59157" customFormat="false" ht="12.8" hidden="false" customHeight="false" outlineLevel="0" collapsed="false">
      <c r="B59157" s="0" t="s">
        <v>548</v>
      </c>
    </row>
    <row r="59158" customFormat="false" ht="12.8" hidden="false" customHeight="false" outlineLevel="0" collapsed="false">
      <c r="B59158" s="0" t="s">
        <v>550</v>
      </c>
    </row>
    <row r="59160" customFormat="false" ht="12.8" hidden="false" customHeight="false" outlineLevel="0" collapsed="false">
      <c r="A59160" s="0" t="s">
        <v>20408</v>
      </c>
      <c r="B59160" s="0" t="str">
        <f aca="false">HYPERLINK("https://lindat.mff.cuni.cz/services/teitok/pdtc10/index.php?action=vallex&amp;frame=v-w8306f2", "vyrovnat se (v-w8306f2)")</f>
        <v>vyrovnat se (v-w8306f2)</v>
      </c>
    </row>
    <row r="59161" customFormat="false" ht="12.8" hidden="false" customHeight="false" outlineLevel="0" collapsed="false">
      <c r="B59161" s="0" t="s">
        <v>7</v>
      </c>
      <c r="C59161" s="0" t="s">
        <v>20409</v>
      </c>
      <c r="D59161" s="0" t="s">
        <v>20410</v>
      </c>
      <c r="E59161" s="0" t="s">
        <v>20410</v>
      </c>
      <c r="F59161" s="0" t="s">
        <v>20410</v>
      </c>
    </row>
    <row r="59162" customFormat="false" ht="12.8" hidden="false" customHeight="false" outlineLevel="0" collapsed="false">
      <c r="B59162" s="0" t="s">
        <v>142</v>
      </c>
      <c r="C59162" s="0" t="s">
        <v>20411</v>
      </c>
      <c r="D59162" s="0" t="s">
        <v>20412</v>
      </c>
      <c r="E59162" s="0" t="s">
        <v>20412</v>
      </c>
      <c r="F59162" s="0" t="s">
        <v>20412</v>
      </c>
    </row>
    <row r="59164" customFormat="false" ht="12.8" hidden="false" customHeight="false" outlineLevel="0" collapsed="false">
      <c r="A59164" s="0" t="s">
        <v>20413</v>
      </c>
      <c r="B59164" s="0" t="str">
        <f aca="false">HYPERLINK("https://lindat.mff.cuni.cz/services/teitok/pdtc10/index.php?action=vallex&amp;frame=v-w8306f1", "vyrovnat se (v-w8306f1)")</f>
        <v>vyrovnat se (v-w8306f1)</v>
      </c>
    </row>
    <row r="59165" customFormat="false" ht="12.8" hidden="false" customHeight="false" outlineLevel="0" collapsed="false">
      <c r="B59165" s="0" t="s">
        <v>7</v>
      </c>
      <c r="C59165" s="0" t="s">
        <v>3591</v>
      </c>
      <c r="D59165" s="0" t="s">
        <v>20414</v>
      </c>
      <c r="E59165" s="0" t="s">
        <v>20415</v>
      </c>
      <c r="F59165" s="0" t="s">
        <v>20415</v>
      </c>
    </row>
    <row r="59166" customFormat="false" ht="12.8" hidden="false" customHeight="false" outlineLevel="0" collapsed="false">
      <c r="B59166" s="0" t="s">
        <v>548</v>
      </c>
      <c r="C59166" s="0" t="s">
        <v>20416</v>
      </c>
      <c r="D59166" s="0" t="s">
        <v>20417</v>
      </c>
      <c r="E59166" s="0" t="s">
        <v>20418</v>
      </c>
      <c r="F59166" s="0" t="s">
        <v>20418</v>
      </c>
    </row>
    <row r="59168" customFormat="false" ht="12.8" hidden="false" customHeight="false" outlineLevel="0" collapsed="false">
      <c r="A59168" s="0" t="s">
        <v>20419</v>
      </c>
      <c r="B59168" s="0" t="str">
        <f aca="false">HYPERLINK("https://lindat.mff.cuni.cz/services/teitok/pdtc10/index.php?action=vallex&amp;frame=v-w8306f3", "vyrovnat se (v-w8306f3)")</f>
        <v>vyrovnat se (v-w8306f3)</v>
      </c>
    </row>
    <row r="59169" customFormat="false" ht="12.8" hidden="false" customHeight="false" outlineLevel="0" collapsed="false">
      <c r="B59169" s="0" t="s">
        <v>7</v>
      </c>
      <c r="C59169" s="0" t="s">
        <v>113</v>
      </c>
      <c r="D59169" s="0" t="s">
        <v>11779</v>
      </c>
      <c r="E59169" s="0" t="s">
        <v>11779</v>
      </c>
      <c r="F59169" s="0" t="s">
        <v>11779</v>
      </c>
    </row>
    <row r="59170" customFormat="false" ht="12.8" hidden="false" customHeight="false" outlineLevel="0" collapsed="false">
      <c r="B59170" s="0" t="s">
        <v>548</v>
      </c>
      <c r="C59170" s="0" t="s">
        <v>274</v>
      </c>
      <c r="D59170" s="0" t="s">
        <v>8244</v>
      </c>
      <c r="E59170" s="0" t="s">
        <v>8244</v>
      </c>
      <c r="F59170" s="0" t="s">
        <v>8244</v>
      </c>
    </row>
    <row r="59172" customFormat="false" ht="12.8" hidden="false" customHeight="false" outlineLevel="0" collapsed="false">
      <c r="A59172" s="0" t="s">
        <v>20420</v>
      </c>
      <c r="B59172" s="0" t="str">
        <f aca="false">HYPERLINK("https://lindat.mff.cuni.cz/services/teitok/pdtc10/index.php?action=vallex&amp;frame=v-w8306f4", "vyrovnat se (v-w8306f4)")</f>
        <v>vyrovnat se (v-w8306f4)</v>
      </c>
    </row>
    <row r="59173" customFormat="false" ht="12.8" hidden="false" customHeight="false" outlineLevel="0" collapsed="false">
      <c r="B59173" s="0" t="s">
        <v>7</v>
      </c>
      <c r="F59173" s="0" t="s">
        <v>20421</v>
      </c>
    </row>
    <row r="59175" customFormat="false" ht="12.8" hidden="false" customHeight="false" outlineLevel="0" collapsed="false">
      <c r="A59175" s="0" t="s">
        <v>20422</v>
      </c>
      <c r="B59175" s="0" t="str">
        <f aca="false">HYPERLINK("https://lindat.mff.cuni.cz/services/teitok/pdtc10/index.php?action=vallex&amp;frame=v-w11671_ZUf1_ZU", "vyrovnat si (v-w11671_ZUf1_ZU)")</f>
        <v>vyrovnat si (v-w11671_ZUf1_ZU)</v>
      </c>
    </row>
    <row r="59176" customFormat="false" ht="12.8" hidden="false" customHeight="false" outlineLevel="0" collapsed="false">
      <c r="B59176" s="0" t="s">
        <v>7</v>
      </c>
      <c r="D59176" s="0" t="s">
        <v>11779</v>
      </c>
      <c r="E59176" s="0" t="s">
        <v>11779</v>
      </c>
      <c r="F59176" s="0" t="s">
        <v>11779</v>
      </c>
    </row>
    <row r="59177" customFormat="false" ht="12.8" hidden="false" customHeight="false" outlineLevel="0" collapsed="false">
      <c r="B59177" s="0" t="s">
        <v>172</v>
      </c>
      <c r="D59177" s="0" t="s">
        <v>16406</v>
      </c>
      <c r="E59177" s="0" t="s">
        <v>16406</v>
      </c>
      <c r="F59177" s="0" t="s">
        <v>16406</v>
      </c>
    </row>
    <row r="59178" customFormat="false" ht="12.8" hidden="false" customHeight="false" outlineLevel="0" collapsed="false">
      <c r="B59178" s="0" t="s">
        <v>207</v>
      </c>
      <c r="C59178" s="0" t="s">
        <v>3323</v>
      </c>
      <c r="D59178" s="0" t="s">
        <v>20267</v>
      </c>
      <c r="E59178" s="0" t="s">
        <v>20267</v>
      </c>
      <c r="F59178" s="0" t="s">
        <v>20267</v>
      </c>
    </row>
    <row r="59180" customFormat="false" ht="12.8" hidden="false" customHeight="false" outlineLevel="0" collapsed="false">
      <c r="A59180" s="0" t="s">
        <v>20423</v>
      </c>
      <c r="B59180" s="0" t="str">
        <f aca="false">HYPERLINK("https://lindat.mff.cuni.cz/services/teitok/pdtc10/index.php?action=vallex&amp;frame=v-w8308f2", "vyrovnávat (v-w8308f2)")</f>
        <v>vyrovnávat (v-w8308f2)</v>
      </c>
    </row>
    <row r="59181" customFormat="false" ht="12.8" hidden="false" customHeight="false" outlineLevel="0" collapsed="false">
      <c r="B59181" s="0" t="s">
        <v>7</v>
      </c>
      <c r="C59181" s="0" t="s">
        <v>3944</v>
      </c>
    </row>
    <row r="59182" customFormat="false" ht="12.8" hidden="false" customHeight="false" outlineLevel="0" collapsed="false">
      <c r="B59182" s="0" t="s">
        <v>14</v>
      </c>
      <c r="C59182" s="0" t="s">
        <v>1313</v>
      </c>
    </row>
    <row r="59183" customFormat="false" ht="12.8" hidden="false" customHeight="false" outlineLevel="0" collapsed="false">
      <c r="B59183" s="0" t="s">
        <v>35</v>
      </c>
    </row>
    <row r="59184" customFormat="false" ht="12.8" hidden="false" customHeight="false" outlineLevel="0" collapsed="false">
      <c r="B59184" s="0" t="s">
        <v>84</v>
      </c>
    </row>
    <row r="59186" customFormat="false" ht="12.8" hidden="false" customHeight="false" outlineLevel="0" collapsed="false">
      <c r="A59186" s="0" t="s">
        <v>20424</v>
      </c>
      <c r="B59186" s="0" t="str">
        <f aca="false">HYPERLINK("https://lindat.mff.cuni.cz/services/teitok/pdtc10/index.php?action=vallex&amp;frame=v-w8308f1", "vyrovnávat (v-w8308f1)")</f>
        <v>vyrovnávat (v-w8308f1)</v>
      </c>
    </row>
    <row r="59187" customFormat="false" ht="12.8" hidden="false" customHeight="false" outlineLevel="0" collapsed="false">
      <c r="B59187" s="0" t="s">
        <v>7</v>
      </c>
      <c r="C59187" s="0" t="s">
        <v>20425</v>
      </c>
      <c r="D59187" s="0" t="s">
        <v>4732</v>
      </c>
      <c r="E59187" s="0" t="s">
        <v>4732</v>
      </c>
      <c r="F59187" s="0" t="s">
        <v>18054</v>
      </c>
    </row>
    <row r="59188" customFormat="false" ht="12.8" hidden="false" customHeight="false" outlineLevel="0" collapsed="false">
      <c r="B59188" s="0" t="s">
        <v>14</v>
      </c>
      <c r="C59188" s="0" t="s">
        <v>2236</v>
      </c>
      <c r="D59188" s="0" t="s">
        <v>4737</v>
      </c>
      <c r="E59188" s="0" t="s">
        <v>4737</v>
      </c>
      <c r="F59188" s="0" t="s">
        <v>10824</v>
      </c>
    </row>
    <row r="59190" customFormat="false" ht="12.8" hidden="false" customHeight="false" outlineLevel="0" collapsed="false">
      <c r="A59190" s="0" t="s">
        <v>20426</v>
      </c>
      <c r="B59190" s="0" t="str">
        <f aca="false">HYPERLINK("https://lindat.mff.cuni.cz/services/teitok/pdtc10/index.php?action=vallex&amp;frame=v-w8309f1", "vyrovnávat se (v-w8309f1)")</f>
        <v>vyrovnávat se (v-w8309f1)</v>
      </c>
    </row>
    <row r="59191" customFormat="false" ht="12.8" hidden="false" customHeight="false" outlineLevel="0" collapsed="false">
      <c r="B59191" s="0" t="s">
        <v>7</v>
      </c>
      <c r="C59191" s="0" t="s">
        <v>1142</v>
      </c>
    </row>
    <row r="59192" customFormat="false" ht="12.8" hidden="false" customHeight="false" outlineLevel="0" collapsed="false">
      <c r="B59192" s="0" t="s">
        <v>548</v>
      </c>
      <c r="C59192" s="0" t="s">
        <v>7481</v>
      </c>
    </row>
    <row r="59194" customFormat="false" ht="12.8" hidden="false" customHeight="false" outlineLevel="0" collapsed="false">
      <c r="A59194" s="0" t="s">
        <v>20427</v>
      </c>
      <c r="B59194" s="0" t="str">
        <f aca="false">HYPERLINK("https://lindat.mff.cuni.cz/services/teitok/pdtc10/index.php?action=vallex&amp;frame=v-w8310f1", "vyrozumět (v-w8310f1)")</f>
        <v>vyrozumět (v-w8310f1)</v>
      </c>
    </row>
    <row r="59195" customFormat="false" ht="12.8" hidden="false" customHeight="false" outlineLevel="0" collapsed="false">
      <c r="B59195" s="0" t="s">
        <v>7</v>
      </c>
      <c r="C59195" s="0" t="s">
        <v>3918</v>
      </c>
      <c r="D59195" s="0" t="s">
        <v>164</v>
      </c>
      <c r="E59195" s="0" t="s">
        <v>164</v>
      </c>
      <c r="F59195" s="0" t="s">
        <v>164</v>
      </c>
    </row>
    <row r="59196" customFormat="false" ht="12.8" hidden="false" customHeight="false" outlineLevel="0" collapsed="false">
      <c r="B59196" s="0" t="s">
        <v>20428</v>
      </c>
      <c r="C59196" s="0" t="s">
        <v>6625</v>
      </c>
      <c r="D59196" s="0" t="s">
        <v>167</v>
      </c>
      <c r="E59196" s="0" t="s">
        <v>167</v>
      </c>
      <c r="F59196" s="0" t="s">
        <v>167</v>
      </c>
    </row>
    <row r="59197" customFormat="false" ht="12.8" hidden="false" customHeight="false" outlineLevel="0" collapsed="false">
      <c r="B59197" s="0" t="s">
        <v>81</v>
      </c>
      <c r="C59197" s="0" t="s">
        <v>16075</v>
      </c>
      <c r="D59197" s="0" t="s">
        <v>168</v>
      </c>
      <c r="E59197" s="0" t="s">
        <v>168</v>
      </c>
      <c r="F59197" s="0" t="s">
        <v>168</v>
      </c>
    </row>
    <row r="59199" customFormat="false" ht="12.8" hidden="false" customHeight="false" outlineLevel="0" collapsed="false">
      <c r="A59199" s="0" t="s">
        <v>20429</v>
      </c>
      <c r="B59199" s="0" t="str">
        <f aca="false">HYPERLINK("https://lindat.mff.cuni.cz/services/teitok/pdtc10/index.php?action=vallex&amp;frame=v-w8310f2_ZU", "vyrozumět (v-w8310f2_ZU)")</f>
        <v>vyrozumět (v-w8310f2_ZU)</v>
      </c>
    </row>
    <row r="59200" customFormat="false" ht="12.8" hidden="false" customHeight="false" outlineLevel="0" collapsed="false">
      <c r="B59200" s="0" t="s">
        <v>7</v>
      </c>
    </row>
    <row r="59201" customFormat="false" ht="12.8" hidden="false" customHeight="false" outlineLevel="0" collapsed="false">
      <c r="B59201" s="0" t="s">
        <v>54</v>
      </c>
    </row>
    <row r="59202" customFormat="false" ht="12.8" hidden="false" customHeight="false" outlineLevel="0" collapsed="false">
      <c r="B59202" s="0" t="s">
        <v>35</v>
      </c>
    </row>
    <row r="59204" customFormat="false" ht="12.8" hidden="false" customHeight="false" outlineLevel="0" collapsed="false">
      <c r="A59204" s="0" t="s">
        <v>20430</v>
      </c>
      <c r="B59204" s="0" t="str">
        <f aca="false">HYPERLINK("https://lindat.mff.cuni.cz/services/teitok/pdtc10/index.php?action=vallex&amp;frame=v-whsa_1464hsa_1465", "vyrubat (v-whsa_1464hsa_1465)")</f>
        <v>vyrubat (v-whsa_1464hsa_1465)</v>
      </c>
    </row>
    <row r="59205" customFormat="false" ht="12.8" hidden="false" customHeight="false" outlineLevel="0" collapsed="false">
      <c r="B59205" s="0" t="s">
        <v>7</v>
      </c>
    </row>
    <row r="59206" customFormat="false" ht="12.8" hidden="false" customHeight="false" outlineLevel="0" collapsed="false">
      <c r="B59206" s="0" t="s">
        <v>14</v>
      </c>
    </row>
    <row r="59207" customFormat="false" ht="12.8" hidden="false" customHeight="false" outlineLevel="0" collapsed="false">
      <c r="B59207" s="0" t="s">
        <v>459</v>
      </c>
    </row>
    <row r="59209" customFormat="false" ht="12.8" hidden="false" customHeight="false" outlineLevel="0" collapsed="false">
      <c r="A59209" s="0" t="s">
        <v>20431</v>
      </c>
      <c r="B59209" s="0" t="str">
        <f aca="false">HYPERLINK("https://lindat.mff.cuni.cz/services/teitok/pdtc10/index.php?action=vallex&amp;frame=v-w8311f1", "vyrukovat (v-w8311f1)")</f>
        <v>vyrukovat (v-w8311f1)</v>
      </c>
    </row>
    <row r="59210" customFormat="false" ht="12.8" hidden="false" customHeight="false" outlineLevel="0" collapsed="false">
      <c r="B59210" s="0" t="s">
        <v>7</v>
      </c>
      <c r="C59210" s="0" t="s">
        <v>191</v>
      </c>
    </row>
    <row r="59211" customFormat="false" ht="12.8" hidden="false" customHeight="false" outlineLevel="0" collapsed="false">
      <c r="B59211" s="0" t="s">
        <v>548</v>
      </c>
      <c r="C59211" s="0" t="s">
        <v>567</v>
      </c>
    </row>
    <row r="59212" customFormat="false" ht="12.8" hidden="false" customHeight="false" outlineLevel="0" collapsed="false">
      <c r="B59212" s="0" t="s">
        <v>4101</v>
      </c>
    </row>
    <row r="59214" customFormat="false" ht="12.8" hidden="false" customHeight="false" outlineLevel="0" collapsed="false">
      <c r="A59214" s="0" t="s">
        <v>20432</v>
      </c>
      <c r="B59214" s="0" t="str">
        <f aca="false">HYPERLINK("https://lindat.mff.cuni.cz/services/teitok/pdtc10/index.php?action=vallex&amp;frame=v-w8316f1", "vyrušit (v-w8316f1)")</f>
        <v>vyrušit (v-w8316f1)</v>
      </c>
    </row>
    <row r="59215" customFormat="false" ht="12.8" hidden="false" customHeight="false" outlineLevel="0" collapsed="false">
      <c r="B59215" s="0" t="s">
        <v>7</v>
      </c>
    </row>
    <row r="59216" customFormat="false" ht="12.8" hidden="false" customHeight="false" outlineLevel="0" collapsed="false">
      <c r="B59216" s="0" t="s">
        <v>14</v>
      </c>
    </row>
    <row r="59217" customFormat="false" ht="12.8" hidden="false" customHeight="false" outlineLevel="0" collapsed="false">
      <c r="B59217" s="0" t="s">
        <v>2339</v>
      </c>
    </row>
    <row r="59219" customFormat="false" ht="12.8" hidden="false" customHeight="false" outlineLevel="0" collapsed="false">
      <c r="A59219" s="0" t="s">
        <v>20433</v>
      </c>
      <c r="B59219" s="0" t="str">
        <f aca="false">HYPERLINK("https://lindat.mff.cuni.cz/services/teitok/pdtc10/index.php?action=vallex&amp;frame=v-whsa_1532hsa_1533", "vyrušovat (v-whsa_1532hsa_1533)")</f>
        <v>vyrušovat (v-whsa_1532hsa_1533)</v>
      </c>
    </row>
    <row r="59220" customFormat="false" ht="12.8" hidden="false" customHeight="false" outlineLevel="0" collapsed="false">
      <c r="B59220" s="0" t="s">
        <v>7</v>
      </c>
    </row>
    <row r="59221" customFormat="false" ht="12.8" hidden="false" customHeight="false" outlineLevel="0" collapsed="false">
      <c r="B59221" s="0" t="s">
        <v>14</v>
      </c>
    </row>
    <row r="59223" customFormat="false" ht="12.8" hidden="false" customHeight="false" outlineLevel="0" collapsed="false">
      <c r="A59223" s="0" t="s">
        <v>20434</v>
      </c>
      <c r="B59223" s="0" t="str">
        <f aca="false">HYPERLINK("https://lindat.mff.cuni.cz/services/teitok/pdtc10/index.php?action=vallex&amp;frame=v-w8317f1", "vyrvat (v-w8317f1)")</f>
        <v>vyrvat (v-w8317f1)</v>
      </c>
    </row>
    <row r="59224" customFormat="false" ht="12.8" hidden="false" customHeight="false" outlineLevel="0" collapsed="false">
      <c r="B59224" s="0" t="s">
        <v>7</v>
      </c>
    </row>
    <row r="59225" customFormat="false" ht="12.8" hidden="false" customHeight="false" outlineLevel="0" collapsed="false">
      <c r="B59225" s="0" t="s">
        <v>14</v>
      </c>
    </row>
    <row r="59226" customFormat="false" ht="12.8" hidden="false" customHeight="false" outlineLevel="0" collapsed="false">
      <c r="B59226" s="0" t="s">
        <v>459</v>
      </c>
    </row>
    <row r="59228" customFormat="false" ht="12.8" hidden="false" customHeight="false" outlineLevel="0" collapsed="false">
      <c r="A59228" s="0" t="s">
        <v>20435</v>
      </c>
      <c r="B59228" s="0" t="str">
        <f aca="false">HYPERLINK("https://lindat.mff.cuni.cz/services/teitok/pdtc10/index.php?action=vallex&amp;frame=v-w8288f1", "vyrábět (v-w8288f1)")</f>
        <v>vyrábět (v-w8288f1)</v>
      </c>
    </row>
    <row r="59229" customFormat="false" ht="12.8" hidden="false" customHeight="false" outlineLevel="0" collapsed="false">
      <c r="B59229" s="0" t="s">
        <v>7</v>
      </c>
      <c r="C59229" s="0" t="s">
        <v>20436</v>
      </c>
      <c r="D59229" s="0" t="s">
        <v>4799</v>
      </c>
      <c r="E59229" s="0" t="s">
        <v>4799</v>
      </c>
      <c r="F59229" s="0" t="s">
        <v>4799</v>
      </c>
    </row>
    <row r="59230" customFormat="false" ht="12.8" hidden="false" customHeight="false" outlineLevel="0" collapsed="false">
      <c r="B59230" s="0" t="s">
        <v>232</v>
      </c>
      <c r="C59230" s="0" t="s">
        <v>20437</v>
      </c>
      <c r="D59230" s="0" t="s">
        <v>4801</v>
      </c>
      <c r="E59230" s="0" t="s">
        <v>4801</v>
      </c>
      <c r="F59230" s="0" t="s">
        <v>4801</v>
      </c>
    </row>
    <row r="59231" customFormat="false" ht="12.8" hidden="false" customHeight="false" outlineLevel="0" collapsed="false">
      <c r="B59231" s="0" t="s">
        <v>35</v>
      </c>
      <c r="C59231" s="0" t="s">
        <v>11659</v>
      </c>
      <c r="D59231" s="0" t="s">
        <v>5460</v>
      </c>
      <c r="E59231" s="0" t="s">
        <v>5460</v>
      </c>
      <c r="F59231" s="0" t="s">
        <v>5460</v>
      </c>
    </row>
    <row r="59233" customFormat="false" ht="12.8" hidden="false" customHeight="false" outlineLevel="0" collapsed="false">
      <c r="A59233" s="0" t="s">
        <v>20438</v>
      </c>
      <c r="B59233" s="0" t="str">
        <f aca="false">HYPERLINK("https://lindat.mff.cuni.cz/services/teitok/pdtc10/index.php?action=vallex&amp;frame=v-w8292f2", "vyrážet (v-w8292f2)")</f>
        <v>vyrážet (v-w8292f2)</v>
      </c>
    </row>
    <row r="59234" customFormat="false" ht="12.8" hidden="false" customHeight="false" outlineLevel="0" collapsed="false">
      <c r="B59234" s="0" t="s">
        <v>7</v>
      </c>
    </row>
    <row r="59235" customFormat="false" ht="12.8" hidden="false" customHeight="false" outlineLevel="0" collapsed="false">
      <c r="B59235" s="0" t="s">
        <v>14</v>
      </c>
    </row>
    <row r="59236" customFormat="false" ht="12.8" hidden="false" customHeight="false" outlineLevel="0" collapsed="false">
      <c r="B59236" s="0" t="s">
        <v>459</v>
      </c>
    </row>
    <row r="59238" customFormat="false" ht="12.8" hidden="false" customHeight="false" outlineLevel="0" collapsed="false">
      <c r="A59238" s="0" t="s">
        <v>20439</v>
      </c>
      <c r="B59238" s="0" t="str">
        <f aca="false">HYPERLINK("https://lindat.mff.cuni.cz/services/teitok/pdtc10/index.php?action=vallex&amp;frame=v-w8292f1", "vyrážet (v-w8292f1)")</f>
        <v>vyrážet (v-w8292f1)</v>
      </c>
    </row>
    <row r="59239" customFormat="false" ht="12.8" hidden="false" customHeight="false" outlineLevel="0" collapsed="false">
      <c r="B59239" s="0" t="s">
        <v>7</v>
      </c>
    </row>
    <row r="59240" customFormat="false" ht="12.8" hidden="false" customHeight="false" outlineLevel="0" collapsed="false">
      <c r="B59240" s="0" t="s">
        <v>124</v>
      </c>
    </row>
    <row r="59242" customFormat="false" ht="12.8" hidden="false" customHeight="false" outlineLevel="0" collapsed="false">
      <c r="A59242" s="0" t="s">
        <v>20440</v>
      </c>
      <c r="B59242" s="0" t="str">
        <f aca="false">HYPERLINK("https://lindat.mff.cuni.cz/services/teitok/pdtc10/index.php?action=vallex&amp;frame=v-w8292f3", "vyrážet (v-w8292f3)")</f>
        <v>vyrážet (v-w8292f3)</v>
      </c>
    </row>
    <row r="59243" customFormat="false" ht="12.8" hidden="false" customHeight="false" outlineLevel="0" collapsed="false">
      <c r="B59243" s="0" t="s">
        <v>7</v>
      </c>
    </row>
    <row r="59244" customFormat="false" ht="12.8" hidden="false" customHeight="false" outlineLevel="0" collapsed="false">
      <c r="B59244" s="0" t="s">
        <v>10592</v>
      </c>
    </row>
    <row r="59245" customFormat="false" ht="12.8" hidden="false" customHeight="false" outlineLevel="0" collapsed="false">
      <c r="B59245" s="0" t="s">
        <v>142</v>
      </c>
    </row>
    <row r="59247" customFormat="false" ht="12.8" hidden="false" customHeight="false" outlineLevel="0" collapsed="false">
      <c r="A59247" s="0" t="s">
        <v>20441</v>
      </c>
      <c r="B59247" s="0" t="str">
        <f aca="false">HYPERLINK("https://lindat.mff.cuni.cz/services/teitok/pdtc10/index.php?action=vallex&amp;frame=v-w8318f1", "vyrýt (v-w8318f1)")</f>
        <v>vyrýt (v-w8318f1)</v>
      </c>
    </row>
    <row r="59248" customFormat="false" ht="12.8" hidden="false" customHeight="false" outlineLevel="0" collapsed="false">
      <c r="B59248" s="0" t="s">
        <v>7</v>
      </c>
    </row>
    <row r="59249" customFormat="false" ht="12.8" hidden="false" customHeight="false" outlineLevel="0" collapsed="false">
      <c r="B59249" s="0" t="s">
        <v>14</v>
      </c>
    </row>
    <row r="59251" customFormat="false" ht="12.8" hidden="false" customHeight="false" outlineLevel="0" collapsed="false">
      <c r="A59251" s="0" t="s">
        <v>20442</v>
      </c>
      <c r="B59251" s="0" t="str">
        <f aca="false">HYPERLINK("https://lindat.mff.cuni.cz/services/teitok/pdtc10/index.php?action=vallex&amp;frame=v-w8318f2_ZU", "vyrýt (v-w8318f2_ZU)")</f>
        <v>vyrýt (v-w8318f2_ZU)</v>
      </c>
    </row>
    <row r="59252" customFormat="false" ht="12.8" hidden="false" customHeight="false" outlineLevel="0" collapsed="false">
      <c r="B59252" s="0" t="s">
        <v>7</v>
      </c>
    </row>
    <row r="59253" customFormat="false" ht="12.8" hidden="false" customHeight="false" outlineLevel="0" collapsed="false">
      <c r="B59253" s="0" t="s">
        <v>14</v>
      </c>
    </row>
    <row r="59254" customFormat="false" ht="12.8" hidden="false" customHeight="false" outlineLevel="0" collapsed="false">
      <c r="B59254" s="0" t="s">
        <v>5382</v>
      </c>
    </row>
    <row r="59256" customFormat="false" ht="12.8" hidden="false" customHeight="false" outlineLevel="0" collapsed="false">
      <c r="A59256" s="0" t="s">
        <v>20443</v>
      </c>
      <c r="B59256" s="0" t="str">
        <f aca="false">HYPERLINK("https://lindat.mff.cuni.cz/services/teitok/pdtc10/index.php?action=vallex&amp;frame=v-w8312f5_ZU", "vyrůst (v-w8312f5_ZU)")</f>
        <v>vyrůst (v-w8312f5_ZU)</v>
      </c>
    </row>
    <row r="59257" customFormat="false" ht="12.8" hidden="false" customHeight="false" outlineLevel="0" collapsed="false">
      <c r="B59257" s="0" t="s">
        <v>7</v>
      </c>
      <c r="C59257" s="0" t="s">
        <v>20444</v>
      </c>
      <c r="D59257" s="0" t="s">
        <v>6244</v>
      </c>
      <c r="E59257" s="0" t="s">
        <v>6244</v>
      </c>
      <c r="F59257" s="0" t="s">
        <v>6244</v>
      </c>
    </row>
    <row r="59258" customFormat="false" ht="12.8" hidden="false" customHeight="false" outlineLevel="0" collapsed="false">
      <c r="B59258" s="0" t="s">
        <v>20445</v>
      </c>
      <c r="C59258" s="0" t="s">
        <v>20446</v>
      </c>
      <c r="D59258" s="0" t="s">
        <v>4496</v>
      </c>
      <c r="E59258" s="0" t="s">
        <v>4496</v>
      </c>
      <c r="F59258" s="0" t="s">
        <v>4496</v>
      </c>
    </row>
    <row r="59259" customFormat="false" ht="12.8" hidden="false" customHeight="false" outlineLevel="0" collapsed="false">
      <c r="B59259" s="0" t="s">
        <v>35</v>
      </c>
      <c r="C59259" s="0" t="s">
        <v>20447</v>
      </c>
      <c r="D59259" s="0" t="s">
        <v>4497</v>
      </c>
      <c r="E59259" s="0" t="s">
        <v>4497</v>
      </c>
      <c r="F59259" s="0" t="s">
        <v>4497</v>
      </c>
    </row>
    <row r="59261" customFormat="false" ht="12.8" hidden="false" customHeight="false" outlineLevel="0" collapsed="false">
      <c r="A59261" s="0" t="s">
        <v>20443</v>
      </c>
      <c r="B59261" s="0" t="str">
        <f aca="false">HYPERLINK("https://lindat.mff.cuni.cz/services/teitok/pdtc10/index.php?action=vallex&amp;frame=v-w8312f3", "vyrůst (v-w8312f3) - substituted with v-w8312f5_ZU")</f>
        <v>vyrůst (v-w8312f3) - substituted with v-w8312f5_ZU</v>
      </c>
    </row>
    <row r="59262" customFormat="false" ht="12.8" hidden="false" customHeight="false" outlineLevel="0" collapsed="false">
      <c r="B59262" s="0" t="s">
        <v>7</v>
      </c>
      <c r="C59262" s="0" t="s">
        <v>2281</v>
      </c>
    </row>
    <row r="59263" customFormat="false" ht="12.8" hidden="false" customHeight="false" outlineLevel="0" collapsed="false">
      <c r="B59263" s="0" t="s">
        <v>20445</v>
      </c>
      <c r="C59263" s="0" t="s">
        <v>12010</v>
      </c>
    </row>
    <row r="59264" customFormat="false" ht="12.8" hidden="false" customHeight="false" outlineLevel="0" collapsed="false">
      <c r="B59264" s="0" t="s">
        <v>35</v>
      </c>
      <c r="C59264" s="0" t="s">
        <v>1526</v>
      </c>
    </row>
    <row r="59266" customFormat="false" ht="12.8" hidden="false" customHeight="false" outlineLevel="0" collapsed="false">
      <c r="A59266" s="0" t="s">
        <v>20448</v>
      </c>
      <c r="B59266" s="0" t="str">
        <f aca="false">HYPERLINK("https://lindat.mff.cuni.cz/services/teitok/pdtc10/index.php?action=vallex&amp;frame=v-w8312f4_ZU", "vyrůst (v-w8312f4_ZU)")</f>
        <v>vyrůst (v-w8312f4_ZU)</v>
      </c>
    </row>
    <row r="59267" customFormat="false" ht="12.8" hidden="false" customHeight="false" outlineLevel="0" collapsed="false">
      <c r="B59267" s="0" t="s">
        <v>7</v>
      </c>
    </row>
    <row r="59268" customFormat="false" ht="12.8" hidden="false" customHeight="false" outlineLevel="0" collapsed="false">
      <c r="B59268" s="0" t="s">
        <v>227</v>
      </c>
    </row>
    <row r="59270" customFormat="false" ht="12.8" hidden="false" customHeight="false" outlineLevel="0" collapsed="false">
      <c r="A59270" s="0" t="s">
        <v>20448</v>
      </c>
      <c r="B59270" s="0" t="str">
        <f aca="false">HYPERLINK("https://lindat.mff.cuni.cz/services/teitok/pdtc10/index.php?action=vallex&amp;frame=v-w8312f2", "vyrůst (v-w8312f2) - substituted with v-w8312f4_ZU")</f>
        <v>vyrůst (v-w8312f2) - substituted with v-w8312f4_ZU</v>
      </c>
    </row>
    <row r="59271" customFormat="false" ht="12.8" hidden="false" customHeight="false" outlineLevel="0" collapsed="false">
      <c r="B59271" s="0" t="s">
        <v>7</v>
      </c>
      <c r="C59271" s="0" t="s">
        <v>247</v>
      </c>
    </row>
    <row r="59272" customFormat="false" ht="12.8" hidden="false" customHeight="false" outlineLevel="0" collapsed="false">
      <c r="B59272" s="0" t="s">
        <v>227</v>
      </c>
      <c r="C59272" s="0" t="s">
        <v>3694</v>
      </c>
    </row>
    <row r="59274" customFormat="false" ht="12.8" hidden="false" customHeight="false" outlineLevel="0" collapsed="false">
      <c r="A59274" s="0" t="s">
        <v>20449</v>
      </c>
      <c r="B59274" s="0" t="str">
        <f aca="false">HYPERLINK("https://lindat.mff.cuni.cz/services/teitok/pdtc10/index.php?action=vallex&amp;frame=v-w8312f7_ZU", "vyrůst (v-w8312f7_ZU)")</f>
        <v>vyrůst (v-w8312f7_ZU)</v>
      </c>
    </row>
    <row r="59275" customFormat="false" ht="12.8" hidden="false" customHeight="false" outlineLevel="0" collapsed="false">
      <c r="B59275" s="0" t="s">
        <v>7</v>
      </c>
    </row>
    <row r="59277" customFormat="false" ht="12.8" hidden="false" customHeight="false" outlineLevel="0" collapsed="false">
      <c r="A59277" s="0" t="s">
        <v>20449</v>
      </c>
      <c r="B59277" s="0" t="str">
        <f aca="false">HYPERLINK("https://lindat.mff.cuni.cz/services/teitok/pdtc10/index.php?action=vallex&amp;frame=v-w8312f1", "vyrůst (v-w8312f1) - substituted with v-w8312f7_ZU")</f>
        <v>vyrůst (v-w8312f1) - substituted with v-w8312f7_ZU</v>
      </c>
    </row>
    <row r="59278" customFormat="false" ht="12.8" hidden="false" customHeight="false" outlineLevel="0" collapsed="false">
      <c r="B59278" s="0" t="s">
        <v>7</v>
      </c>
      <c r="C59278" s="0" t="s">
        <v>20450</v>
      </c>
      <c r="D59278" s="0" t="s">
        <v>176</v>
      </c>
      <c r="E59278" s="0" t="s">
        <v>176</v>
      </c>
      <c r="F59278" s="0" t="s">
        <v>176</v>
      </c>
    </row>
    <row r="59280" customFormat="false" ht="12.8" hidden="false" customHeight="false" outlineLevel="0" collapsed="false">
      <c r="A59280" s="0" t="s">
        <v>20451</v>
      </c>
      <c r="B59280" s="0" t="str">
        <f aca="false">HYPERLINK("https://lindat.mff.cuni.cz/services/teitok/pdtc10/index.php?action=vallex&amp;frame=v-w8312f6_ZU", "vyrůst (v-w8312f6_ZU)")</f>
        <v>vyrůst (v-w8312f6_ZU)</v>
      </c>
    </row>
    <row r="59281" customFormat="false" ht="12.8" hidden="false" customHeight="false" outlineLevel="0" collapsed="false">
      <c r="B59281" s="0" t="s">
        <v>7</v>
      </c>
      <c r="C59281" s="0" t="s">
        <v>176</v>
      </c>
    </row>
    <row r="59283" customFormat="false" ht="12.8" hidden="false" customHeight="false" outlineLevel="0" collapsed="false">
      <c r="A59283" s="0" t="s">
        <v>20452</v>
      </c>
      <c r="B59283" s="0" t="str">
        <f aca="false">HYPERLINK("https://lindat.mff.cuni.cz/services/teitok/pdtc10/index.php?action=vallex&amp;frame=v-w8312hsa_27", "vyrůst (v-w8312hsa_27)")</f>
        <v>vyrůst (v-w8312hsa_27)</v>
      </c>
    </row>
    <row r="59284" customFormat="false" ht="12.8" hidden="false" customHeight="false" outlineLevel="0" collapsed="false">
      <c r="B59284" s="0" t="s">
        <v>7</v>
      </c>
    </row>
    <row r="59285" customFormat="false" ht="12.8" hidden="false" customHeight="false" outlineLevel="0" collapsed="false">
      <c r="B59285" s="0" t="s">
        <v>227</v>
      </c>
    </row>
    <row r="59287" customFormat="false" ht="12.8" hidden="false" customHeight="false" outlineLevel="0" collapsed="false">
      <c r="A59287" s="0" t="s">
        <v>20453</v>
      </c>
      <c r="B59287" s="0" t="str">
        <f aca="false">HYPERLINK("https://lindat.mff.cuni.cz/services/teitok/pdtc10/index.php?action=vallex&amp;frame=v-w8314f3", "vyrůstat (v-w8314f3)")</f>
        <v>vyrůstat (v-w8314f3)</v>
      </c>
    </row>
    <row r="59288" customFormat="false" ht="12.8" hidden="false" customHeight="false" outlineLevel="0" collapsed="false">
      <c r="B59288" s="0" t="s">
        <v>7</v>
      </c>
    </row>
    <row r="59289" customFormat="false" ht="12.8" hidden="false" customHeight="false" outlineLevel="0" collapsed="false">
      <c r="B59289" s="0" t="s">
        <v>2231</v>
      </c>
    </row>
    <row r="59290" customFormat="false" ht="12.8" hidden="false" customHeight="false" outlineLevel="0" collapsed="false">
      <c r="B59290" s="0" t="s">
        <v>35</v>
      </c>
    </row>
    <row r="59292" customFormat="false" ht="12.8" hidden="false" customHeight="false" outlineLevel="0" collapsed="false">
      <c r="A59292" s="0" t="s">
        <v>20454</v>
      </c>
      <c r="B59292" s="0" t="str">
        <f aca="false">HYPERLINK("https://lindat.mff.cuni.cz/services/teitok/pdtc10/index.php?action=vallex&amp;frame=v-w8314f2", "vyrůstat (v-w8314f2)")</f>
        <v>vyrůstat (v-w8314f2)</v>
      </c>
    </row>
    <row r="59293" customFormat="false" ht="12.8" hidden="false" customHeight="false" outlineLevel="0" collapsed="false">
      <c r="B59293" s="0" t="s">
        <v>7</v>
      </c>
    </row>
    <row r="59294" customFormat="false" ht="12.8" hidden="false" customHeight="false" outlineLevel="0" collapsed="false">
      <c r="B59294" s="0" t="s">
        <v>227</v>
      </c>
    </row>
    <row r="59296" customFormat="false" ht="12.8" hidden="false" customHeight="false" outlineLevel="0" collapsed="false">
      <c r="A59296" s="0" t="s">
        <v>20455</v>
      </c>
      <c r="B59296" s="0" t="str">
        <f aca="false">HYPERLINK("https://lindat.mff.cuni.cz/services/teitok/pdtc10/index.php?action=vallex&amp;frame=v-w8314f1", "vyrůstat (v-w8314f1)")</f>
        <v>vyrůstat (v-w8314f1)</v>
      </c>
    </row>
    <row r="59297" customFormat="false" ht="12.8" hidden="false" customHeight="false" outlineLevel="0" collapsed="false">
      <c r="B59297" s="0" t="s">
        <v>7</v>
      </c>
      <c r="C59297" s="0" t="s">
        <v>176</v>
      </c>
    </row>
    <row r="59299" customFormat="false" ht="12.8" hidden="false" customHeight="false" outlineLevel="0" collapsed="false">
      <c r="A59299" s="0" t="s">
        <v>20456</v>
      </c>
      <c r="B59299" s="0" t="str">
        <f aca="false">HYPERLINK("https://lindat.mff.cuni.cz/services/teitok/pdtc10/index.php?action=vallex&amp;frame=v-w8314f4_ZU", "vyrůstat (v-w8314f4_ZU)")</f>
        <v>vyrůstat (v-w8314f4_ZU)</v>
      </c>
    </row>
    <row r="59300" customFormat="false" ht="12.8" hidden="false" customHeight="false" outlineLevel="0" collapsed="false">
      <c r="B59300" s="0" t="s">
        <v>7</v>
      </c>
    </row>
    <row r="59302" customFormat="false" ht="12.8" hidden="false" customHeight="false" outlineLevel="0" collapsed="false">
      <c r="A59302" s="0" t="s">
        <v>20457</v>
      </c>
      <c r="B59302" s="0" t="str">
        <f aca="false">HYPERLINK("https://lindat.mff.cuni.cz/services/teitok/pdtc10/index.php?action=vallex&amp;frame=v-w8334f3_ZU", "vysadit (v-w8334f3_ZU)")</f>
        <v>vysadit (v-w8334f3_ZU)</v>
      </c>
    </row>
    <row r="59303" customFormat="false" ht="12.8" hidden="false" customHeight="false" outlineLevel="0" collapsed="false">
      <c r="B59303" s="0" t="s">
        <v>7</v>
      </c>
      <c r="C59303" s="0" t="s">
        <v>1386</v>
      </c>
    </row>
    <row r="59304" customFormat="false" ht="12.8" hidden="false" customHeight="false" outlineLevel="0" collapsed="false">
      <c r="B59304" s="0" t="s">
        <v>14</v>
      </c>
      <c r="C59304" s="0" t="s">
        <v>3342</v>
      </c>
    </row>
    <row r="59305" customFormat="false" ht="12.8" hidden="false" customHeight="false" outlineLevel="0" collapsed="false">
      <c r="B59305" s="0" t="s">
        <v>338</v>
      </c>
    </row>
    <row r="59307" customFormat="false" ht="12.8" hidden="false" customHeight="false" outlineLevel="0" collapsed="false">
      <c r="A59307" s="0" t="s">
        <v>20458</v>
      </c>
      <c r="B59307" s="0" t="str">
        <f aca="false">HYPERLINK("https://lindat.mff.cuni.cz/services/teitok/pdtc10/index.php?action=vallex&amp;frame=v-w8334f1", "vysadit (v-w8334f1)")</f>
        <v>vysadit (v-w8334f1)</v>
      </c>
    </row>
    <row r="59308" customFormat="false" ht="12.8" hidden="false" customHeight="false" outlineLevel="0" collapsed="false">
      <c r="B59308" s="0" t="s">
        <v>7</v>
      </c>
    </row>
    <row r="59309" customFormat="false" ht="12.8" hidden="false" customHeight="false" outlineLevel="0" collapsed="false">
      <c r="B59309" s="0" t="s">
        <v>14</v>
      </c>
    </row>
    <row r="59311" customFormat="false" ht="12.8" hidden="false" customHeight="false" outlineLevel="0" collapsed="false">
      <c r="A59311" s="0" t="s">
        <v>20459</v>
      </c>
      <c r="B59311" s="0" t="str">
        <f aca="false">HYPERLINK("https://lindat.mff.cuni.cz/services/teitok/pdtc10/index.php?action=vallex&amp;frame=v-w8334f2_ZU", "vysadit (v-w8334f2_ZU)")</f>
        <v>vysadit (v-w8334f2_ZU)</v>
      </c>
    </row>
    <row r="59312" customFormat="false" ht="12.8" hidden="false" customHeight="false" outlineLevel="0" collapsed="false">
      <c r="B59312" s="0" t="s">
        <v>7</v>
      </c>
    </row>
    <row r="59313" customFormat="false" ht="12.8" hidden="false" customHeight="false" outlineLevel="0" collapsed="false">
      <c r="B59313" s="0" t="s">
        <v>14</v>
      </c>
      <c r="C59313" s="0" t="s">
        <v>1605</v>
      </c>
    </row>
    <row r="59315" customFormat="false" ht="12.8" hidden="false" customHeight="false" outlineLevel="0" collapsed="false">
      <c r="A59315" s="0" t="s">
        <v>20460</v>
      </c>
      <c r="B59315" s="0" t="str">
        <f aca="false">HYPERLINK("https://lindat.mff.cuni.cz/services/teitok/pdtc10/index.php?action=vallex&amp;frame=v-w8334f4_ZU", "vysadit (v-w8334f4_ZU)")</f>
        <v>vysadit (v-w8334f4_ZU)</v>
      </c>
    </row>
    <row r="59316" customFormat="false" ht="12.8" hidden="false" customHeight="false" outlineLevel="0" collapsed="false">
      <c r="B59316" s="0" t="s">
        <v>7</v>
      </c>
    </row>
    <row r="59318" customFormat="false" ht="12.8" hidden="false" customHeight="false" outlineLevel="0" collapsed="false">
      <c r="A59318" s="0" t="s">
        <v>20461</v>
      </c>
      <c r="B59318" s="0" t="str">
        <f aca="false">HYPERLINK("https://lindat.mff.cuni.cz/services/teitok/pdtc10/index.php?action=vallex&amp;frame=v-w8334hsa_349", "vysadit (v-w8334hsa_349)")</f>
        <v>vysadit (v-w8334hsa_349)</v>
      </c>
    </row>
    <row r="59319" customFormat="false" ht="12.8" hidden="false" customHeight="false" outlineLevel="0" collapsed="false">
      <c r="B59319" s="0" t="s">
        <v>7</v>
      </c>
    </row>
    <row r="59320" customFormat="false" ht="12.8" hidden="false" customHeight="false" outlineLevel="0" collapsed="false">
      <c r="B59320" s="0" t="s">
        <v>14</v>
      </c>
    </row>
    <row r="59321" customFormat="false" ht="12.8" hidden="false" customHeight="false" outlineLevel="0" collapsed="false">
      <c r="B59321" s="0" t="s">
        <v>11</v>
      </c>
    </row>
    <row r="59323" customFormat="false" ht="12.8" hidden="false" customHeight="false" outlineLevel="0" collapsed="false">
      <c r="A59323" s="0" t="s">
        <v>20462</v>
      </c>
      <c r="B59323" s="0" t="str">
        <f aca="false">HYPERLINK("https://lindat.mff.cuni.cz/services/teitok/pdtc10/index.php?action=vallex&amp;frame=v-w8334hsa_350", "vysadit (v-w8334hsa_350)")</f>
        <v>vysadit (v-w8334hsa_350)</v>
      </c>
    </row>
    <row r="59324" customFormat="false" ht="12.8" hidden="false" customHeight="false" outlineLevel="0" collapsed="false">
      <c r="B59324" s="0" t="s">
        <v>7</v>
      </c>
    </row>
    <row r="59325" customFormat="false" ht="12.8" hidden="false" customHeight="false" outlineLevel="0" collapsed="false">
      <c r="B59325" s="0" t="s">
        <v>14</v>
      </c>
    </row>
    <row r="59326" customFormat="false" ht="12.8" hidden="false" customHeight="false" outlineLevel="0" collapsed="false">
      <c r="B59326" s="0" t="s">
        <v>459</v>
      </c>
    </row>
    <row r="59328" customFormat="false" ht="12.8" hidden="false" customHeight="false" outlineLevel="0" collapsed="false">
      <c r="A59328" s="0" t="s">
        <v>20463</v>
      </c>
      <c r="B59328" s="0" t="str">
        <f aca="false">HYPERLINK("https://lindat.mff.cuni.cz/services/teitok/pdtc10/index.php?action=vallex&amp;frame=v-w8337f1", "vysazovat (v-w8337f1)")</f>
        <v>vysazovat (v-w8337f1)</v>
      </c>
    </row>
    <row r="59329" customFormat="false" ht="12.8" hidden="false" customHeight="false" outlineLevel="0" collapsed="false">
      <c r="B59329" s="0" t="s">
        <v>7</v>
      </c>
    </row>
    <row r="59330" customFormat="false" ht="12.8" hidden="false" customHeight="false" outlineLevel="0" collapsed="false">
      <c r="B59330" s="0" t="s">
        <v>14</v>
      </c>
    </row>
    <row r="59331" customFormat="false" ht="12.8" hidden="false" customHeight="false" outlineLevel="0" collapsed="false">
      <c r="B59331" s="0" t="s">
        <v>124</v>
      </c>
    </row>
    <row r="59333" customFormat="false" ht="12.8" hidden="false" customHeight="false" outlineLevel="0" collapsed="false">
      <c r="A59333" s="0" t="s">
        <v>20464</v>
      </c>
      <c r="B59333" s="0" t="str">
        <f aca="false">HYPERLINK("https://lindat.mff.cuni.cz/services/teitok/pdtc10/index.php?action=vallex&amp;frame=v-w8337f2_ZU", "vysazovat (v-w8337f2_ZU)")</f>
        <v>vysazovat (v-w8337f2_ZU)</v>
      </c>
    </row>
    <row r="59334" customFormat="false" ht="12.8" hidden="false" customHeight="false" outlineLevel="0" collapsed="false">
      <c r="B59334" s="0" t="s">
        <v>7</v>
      </c>
      <c r="C59334" s="0" t="s">
        <v>623</v>
      </c>
    </row>
    <row r="59335" customFormat="false" ht="12.8" hidden="false" customHeight="false" outlineLevel="0" collapsed="false">
      <c r="B59335" s="0" t="s">
        <v>14</v>
      </c>
      <c r="C59335" s="0" t="s">
        <v>1264</v>
      </c>
    </row>
    <row r="59337" customFormat="false" ht="12.8" hidden="false" customHeight="false" outlineLevel="0" collapsed="false">
      <c r="A59337" s="0" t="s">
        <v>20465</v>
      </c>
      <c r="B59337" s="0" t="str">
        <f aca="false">HYPERLINK("https://lindat.mff.cuni.cz/services/teitok/pdtc10/index.php?action=vallex&amp;frame=v-w8341f1", "vyschnout (v-w8341f1)")</f>
        <v>vyschnout (v-w8341f1)</v>
      </c>
    </row>
    <row r="59338" customFormat="false" ht="12.8" hidden="false" customHeight="false" outlineLevel="0" collapsed="false">
      <c r="B59338" s="0" t="s">
        <v>7</v>
      </c>
      <c r="C59338" s="0" t="s">
        <v>272</v>
      </c>
      <c r="D59338" s="0" t="s">
        <v>708</v>
      </c>
      <c r="E59338" s="0" t="s">
        <v>708</v>
      </c>
      <c r="F59338" s="0" t="s">
        <v>708</v>
      </c>
    </row>
    <row r="59340" customFormat="false" ht="12.8" hidden="false" customHeight="false" outlineLevel="0" collapsed="false">
      <c r="A59340" s="0" t="s">
        <v>20466</v>
      </c>
      <c r="B59340" s="0" t="str">
        <f aca="false">HYPERLINK("https://lindat.mff.cuni.cz/services/teitok/pdtc10/index.php?action=vallex&amp;frame=v-w8341f2", "vyschnout (v-w8341f2)")</f>
        <v>vyschnout (v-w8341f2)</v>
      </c>
    </row>
    <row r="59341" customFormat="false" ht="12.8" hidden="false" customHeight="false" outlineLevel="0" collapsed="false">
      <c r="B59341" s="0" t="s">
        <v>7</v>
      </c>
      <c r="C59341" s="0" t="s">
        <v>272</v>
      </c>
      <c r="D59341" s="0" t="s">
        <v>708</v>
      </c>
      <c r="E59341" s="0" t="s">
        <v>708</v>
      </c>
      <c r="F59341" s="0" t="s">
        <v>708</v>
      </c>
    </row>
    <row r="59343" customFormat="false" ht="12.8" hidden="false" customHeight="false" outlineLevel="0" collapsed="false">
      <c r="A59343" s="0" t="s">
        <v>20467</v>
      </c>
      <c r="B59343" s="0" t="str">
        <f aca="false">HYPERLINK("https://lindat.mff.cuni.cz/services/teitok/pdtc10/index.php?action=vallex&amp;frame=v-w8341f4_ZU", "vyschnout (v-w8341f4_ZU)")</f>
        <v>vyschnout (v-w8341f4_ZU)</v>
      </c>
    </row>
    <row r="59344" customFormat="false" ht="12.8" hidden="false" customHeight="false" outlineLevel="0" collapsed="false">
      <c r="B59344" s="0" t="s">
        <v>7</v>
      </c>
    </row>
    <row r="59346" customFormat="false" ht="12.8" hidden="false" customHeight="false" outlineLevel="0" collapsed="false">
      <c r="A59346" s="0" t="s">
        <v>20467</v>
      </c>
      <c r="B59346" s="0" t="str">
        <f aca="false">HYPERLINK("https://lindat.mff.cuni.cz/services/teitok/pdtc10/index.php?action=vallex&amp;frame=v-w8341f3_ZU", "vyschnout (v-w8341f3_ZU) - substituted with v-w8341f4_ZU")</f>
        <v>vyschnout (v-w8341f3_ZU) - substituted with v-w8341f4_ZU</v>
      </c>
    </row>
    <row r="59347" customFormat="false" ht="12.8" hidden="false" customHeight="false" outlineLevel="0" collapsed="false">
      <c r="B59347" s="0" t="s">
        <v>7</v>
      </c>
    </row>
    <row r="59349" customFormat="false" ht="12.8" hidden="false" customHeight="false" outlineLevel="0" collapsed="false">
      <c r="A59349" s="0" t="s">
        <v>20468</v>
      </c>
      <c r="B59349" s="0" t="str">
        <f aca="false">HYPERLINK("https://lindat.mff.cuni.cz/services/teitok/pdtc10/index.php?action=vallex&amp;frame=v-w8338f1", "vysedat (v-w8338f1)")</f>
        <v>vysedat (v-w8338f1)</v>
      </c>
    </row>
    <row r="59350" customFormat="false" ht="12.8" hidden="false" customHeight="false" outlineLevel="0" collapsed="false">
      <c r="B59350" s="0" t="s">
        <v>7</v>
      </c>
    </row>
    <row r="59351" customFormat="false" ht="12.8" hidden="false" customHeight="false" outlineLevel="0" collapsed="false">
      <c r="B59351" s="0" t="s">
        <v>459</v>
      </c>
    </row>
    <row r="59353" customFormat="false" ht="12.8" hidden="false" customHeight="false" outlineLevel="0" collapsed="false">
      <c r="A59353" s="0" t="s">
        <v>20469</v>
      </c>
      <c r="B59353" s="0" t="str">
        <f aca="false">HYPERLINK("https://lindat.mff.cuni.cz/services/teitok/pdtc10/index.php?action=vallex&amp;frame=v-w12069_ZUf1_ZU", "vysednout (v-w12069_ZUf1_ZU)")</f>
        <v>vysednout (v-w12069_ZUf1_ZU)</v>
      </c>
    </row>
    <row r="59354" customFormat="false" ht="12.8" hidden="false" customHeight="false" outlineLevel="0" collapsed="false">
      <c r="B59354" s="0" t="s">
        <v>7</v>
      </c>
    </row>
    <row r="59355" customFormat="false" ht="12.8" hidden="false" customHeight="false" outlineLevel="0" collapsed="false">
      <c r="B59355" s="0" t="s">
        <v>5382</v>
      </c>
    </row>
    <row r="59357" customFormat="false" ht="12.8" hidden="false" customHeight="false" outlineLevel="0" collapsed="false">
      <c r="A59357" s="0" t="s">
        <v>20470</v>
      </c>
      <c r="B59357" s="0" t="str">
        <f aca="false">HYPERLINK("https://lindat.mff.cuni.cz/services/teitok/pdtc10/index.php?action=vallex&amp;frame=v-w8339f1", "vysedávat (v-w8339f1)")</f>
        <v>vysedávat (v-w8339f1)</v>
      </c>
    </row>
    <row r="59358" customFormat="false" ht="12.8" hidden="false" customHeight="false" outlineLevel="0" collapsed="false">
      <c r="B59358" s="0" t="s">
        <v>7</v>
      </c>
    </row>
    <row r="59359" customFormat="false" ht="12.8" hidden="false" customHeight="false" outlineLevel="0" collapsed="false">
      <c r="B59359" s="0" t="s">
        <v>11</v>
      </c>
    </row>
    <row r="59361" customFormat="false" ht="12.8" hidden="false" customHeight="false" outlineLevel="0" collapsed="false">
      <c r="A59361" s="0" t="s">
        <v>20471</v>
      </c>
      <c r="B59361" s="0" t="str">
        <f aca="false">HYPERLINK("https://lindat.mff.cuni.cz/services/teitok/pdtc10/index.php?action=vallex&amp;frame=v-whsa_1289hsa_1290", "vysedět (v-whsa_1289hsa_1290)")</f>
        <v>vysedět (v-whsa_1289hsa_1290)</v>
      </c>
    </row>
    <row r="59362" customFormat="false" ht="12.8" hidden="false" customHeight="false" outlineLevel="0" collapsed="false">
      <c r="B59362" s="0" t="s">
        <v>7</v>
      </c>
    </row>
    <row r="59363" customFormat="false" ht="12.8" hidden="false" customHeight="false" outlineLevel="0" collapsed="false">
      <c r="B59363" s="0" t="s">
        <v>14</v>
      </c>
    </row>
    <row r="59365" customFormat="false" ht="12.8" hidden="false" customHeight="false" outlineLevel="0" collapsed="false">
      <c r="A59365" s="0" t="s">
        <v>20472</v>
      </c>
      <c r="B59365" s="0" t="str">
        <f aca="false">HYPERLINK("https://lindat.mff.cuni.cz/services/teitok/pdtc10/index.php?action=vallex&amp;frame=v-whsa_738hsa_739", "vysekávat (v-whsa_738hsa_739)")</f>
        <v>vysekávat (v-whsa_738hsa_739)</v>
      </c>
    </row>
    <row r="59366" customFormat="false" ht="12.8" hidden="false" customHeight="false" outlineLevel="0" collapsed="false">
      <c r="B59366" s="0" t="s">
        <v>7</v>
      </c>
    </row>
    <row r="59367" customFormat="false" ht="12.8" hidden="false" customHeight="false" outlineLevel="0" collapsed="false">
      <c r="B59367" s="0" t="s">
        <v>14</v>
      </c>
    </row>
    <row r="59369" customFormat="false" ht="12.8" hidden="false" customHeight="false" outlineLevel="0" collapsed="false">
      <c r="A59369" s="0" t="s">
        <v>20473</v>
      </c>
      <c r="B59369" s="0" t="str">
        <f aca="false">HYPERLINK("https://lindat.mff.cuni.cz/services/teitok/pdtc10/index.php?action=vallex&amp;frame=v-w12087_ZUf1_ZU", "vysemenit se (v-w12087_ZUf1_ZU)")</f>
        <v>vysemenit se (v-w12087_ZUf1_ZU)</v>
      </c>
    </row>
    <row r="59370" customFormat="false" ht="12.8" hidden="false" customHeight="false" outlineLevel="0" collapsed="false">
      <c r="B59370" s="0" t="s">
        <v>7</v>
      </c>
    </row>
    <row r="59372" customFormat="false" ht="12.8" hidden="false" customHeight="false" outlineLevel="0" collapsed="false">
      <c r="A59372" s="0" t="s">
        <v>20474</v>
      </c>
      <c r="B59372" s="0" t="str">
        <f aca="false">HYPERLINK("https://lindat.mff.cuni.cz/services/teitok/pdtc10/index.php?action=vallex&amp;frame=v-w10500f2", "vysilovat (v-w10500f2)")</f>
        <v>vysilovat (v-w10500f2)</v>
      </c>
    </row>
    <row r="59373" customFormat="false" ht="12.8" hidden="false" customHeight="false" outlineLevel="0" collapsed="false">
      <c r="B59373" s="0" t="s">
        <v>7</v>
      </c>
      <c r="C59373" s="0" t="s">
        <v>46</v>
      </c>
      <c r="D59373" s="0" t="s">
        <v>16858</v>
      </c>
      <c r="E59373" s="0" t="s">
        <v>16858</v>
      </c>
      <c r="F59373" s="0" t="s">
        <v>16858</v>
      </c>
    </row>
    <row r="59374" customFormat="false" ht="12.8" hidden="false" customHeight="false" outlineLevel="0" collapsed="false">
      <c r="B59374" s="0" t="s">
        <v>14</v>
      </c>
      <c r="C59374" s="0" t="s">
        <v>47</v>
      </c>
      <c r="D59374" s="0" t="s">
        <v>6843</v>
      </c>
      <c r="E59374" s="0" t="s">
        <v>6843</v>
      </c>
      <c r="F59374" s="0" t="s">
        <v>6843</v>
      </c>
    </row>
    <row r="59376" customFormat="false" ht="12.8" hidden="false" customHeight="false" outlineLevel="0" collapsed="false">
      <c r="A59376" s="0" t="s">
        <v>20475</v>
      </c>
      <c r="B59376" s="0" t="str">
        <f aca="false">HYPERLINK("https://lindat.mff.cuni.cz/services/teitok/pdtc10/index.php?action=vallex&amp;frame=v-w8346f3_ZU", "vyskočit (v-w8346f3_ZU)")</f>
        <v>vyskočit (v-w8346f3_ZU)</v>
      </c>
    </row>
    <row r="59377" customFormat="false" ht="12.8" hidden="false" customHeight="false" outlineLevel="0" collapsed="false">
      <c r="B59377" s="0" t="s">
        <v>7</v>
      </c>
      <c r="C59377" s="0" t="s">
        <v>20476</v>
      </c>
      <c r="D59377" s="0" t="s">
        <v>6244</v>
      </c>
      <c r="E59377" s="0" t="s">
        <v>6244</v>
      </c>
      <c r="F59377" s="0" t="s">
        <v>6244</v>
      </c>
    </row>
    <row r="59378" customFormat="false" ht="12.8" hidden="false" customHeight="false" outlineLevel="0" collapsed="false">
      <c r="B59378" s="0" t="s">
        <v>63</v>
      </c>
      <c r="C59378" s="0" t="s">
        <v>20477</v>
      </c>
      <c r="D59378" s="0" t="s">
        <v>4496</v>
      </c>
      <c r="E59378" s="0" t="s">
        <v>4496</v>
      </c>
      <c r="F59378" s="0" t="s">
        <v>4496</v>
      </c>
    </row>
    <row r="59379" customFormat="false" ht="12.8" hidden="false" customHeight="false" outlineLevel="0" collapsed="false">
      <c r="B59379" s="0" t="s">
        <v>35</v>
      </c>
      <c r="C59379" s="0" t="s">
        <v>20478</v>
      </c>
      <c r="D59379" s="0" t="s">
        <v>4497</v>
      </c>
      <c r="E59379" s="0" t="s">
        <v>4497</v>
      </c>
      <c r="F59379" s="0" t="s">
        <v>4497</v>
      </c>
    </row>
    <row r="59381" customFormat="false" ht="12.8" hidden="false" customHeight="false" outlineLevel="0" collapsed="false">
      <c r="A59381" s="0" t="s">
        <v>20479</v>
      </c>
      <c r="B59381" s="0" t="str">
        <f aca="false">HYPERLINK("https://lindat.mff.cuni.cz/services/teitok/pdtc10/index.php?action=vallex&amp;frame=v-w8346f2", "vyskočit (v-w8346f2)")</f>
        <v>vyskočit (v-w8346f2)</v>
      </c>
    </row>
    <row r="59382" customFormat="false" ht="12.8" hidden="false" customHeight="false" outlineLevel="0" collapsed="false">
      <c r="B59382" s="0" t="s">
        <v>7</v>
      </c>
      <c r="C59382" s="0" t="s">
        <v>15771</v>
      </c>
    </row>
    <row r="59383" customFormat="false" ht="12.8" hidden="false" customHeight="false" outlineLevel="0" collapsed="false">
      <c r="B59383" s="0" t="s">
        <v>459</v>
      </c>
    </row>
    <row r="59385" customFormat="false" ht="12.8" hidden="false" customHeight="false" outlineLevel="0" collapsed="false">
      <c r="A59385" s="0" t="s">
        <v>20480</v>
      </c>
      <c r="B59385" s="0" t="str">
        <f aca="false">HYPERLINK("https://lindat.mff.cuni.cz/services/teitok/pdtc10/index.php?action=vallex&amp;frame=v-w8346f1", "vyskočit (v-w8346f1)")</f>
        <v>vyskočit (v-w8346f1)</v>
      </c>
    </row>
    <row r="59386" customFormat="false" ht="12.8" hidden="false" customHeight="false" outlineLevel="0" collapsed="false">
      <c r="B59386" s="0" t="s">
        <v>7</v>
      </c>
      <c r="C59386" s="0" t="s">
        <v>20481</v>
      </c>
      <c r="D59386" s="0" t="s">
        <v>191</v>
      </c>
      <c r="E59386" s="0" t="s">
        <v>191</v>
      </c>
      <c r="F59386" s="0" t="s">
        <v>191</v>
      </c>
    </row>
    <row r="59388" customFormat="false" ht="12.8" hidden="false" customHeight="false" outlineLevel="0" collapsed="false">
      <c r="A59388" s="0" t="s">
        <v>20482</v>
      </c>
      <c r="B59388" s="0" t="str">
        <f aca="false">HYPERLINK("https://lindat.mff.cuni.cz/services/teitok/pdtc10/index.php?action=vallex&amp;frame=v-w8348f2", "vyskytnout se (v-w8348f2)")</f>
        <v>vyskytnout se (v-w8348f2)</v>
      </c>
    </row>
    <row r="59389" customFormat="false" ht="12.8" hidden="false" customHeight="false" outlineLevel="0" collapsed="false">
      <c r="B59389" s="0" t="s">
        <v>7</v>
      </c>
      <c r="C59389" s="0" t="s">
        <v>20483</v>
      </c>
      <c r="D59389" s="0" t="s">
        <v>7650</v>
      </c>
      <c r="E59389" s="0" t="s">
        <v>7650</v>
      </c>
      <c r="F59389" s="0" t="s">
        <v>287</v>
      </c>
    </row>
    <row r="59390" customFormat="false" ht="12.8" hidden="false" customHeight="false" outlineLevel="0" collapsed="false">
      <c r="B59390" s="0" t="s">
        <v>11</v>
      </c>
      <c r="C59390" s="0" t="s">
        <v>20484</v>
      </c>
    </row>
    <row r="59392" customFormat="false" ht="12.8" hidden="false" customHeight="false" outlineLevel="0" collapsed="false">
      <c r="A59392" s="0" t="s">
        <v>20485</v>
      </c>
      <c r="B59392" s="0" t="str">
        <f aca="false">HYPERLINK("https://lindat.mff.cuni.cz/services/teitok/pdtc10/index.php?action=vallex&amp;frame=v-w8348f1", "vyskytnout se (v-w8348f1)")</f>
        <v>vyskytnout se (v-w8348f1)</v>
      </c>
    </row>
    <row r="59393" customFormat="false" ht="12.8" hidden="false" customHeight="false" outlineLevel="0" collapsed="false">
      <c r="B59393" s="0" t="s">
        <v>7</v>
      </c>
      <c r="C59393" s="0" t="s">
        <v>727</v>
      </c>
      <c r="D59393" s="0" t="s">
        <v>776</v>
      </c>
      <c r="E59393" s="0" t="s">
        <v>776</v>
      </c>
      <c r="F59393" s="0" t="s">
        <v>776</v>
      </c>
    </row>
    <row r="59395" customFormat="false" ht="12.8" hidden="false" customHeight="false" outlineLevel="0" collapsed="false">
      <c r="A59395" s="0" t="s">
        <v>20486</v>
      </c>
      <c r="B59395" s="0" t="str">
        <f aca="false">HYPERLINK("https://lindat.mff.cuni.cz/services/teitok/pdtc10/index.php?action=vallex&amp;frame=v-w8349f1", "vyskytovat se (v-w8349f1)")</f>
        <v>vyskytovat se (v-w8349f1)</v>
      </c>
    </row>
    <row r="59396" customFormat="false" ht="12.8" hidden="false" customHeight="false" outlineLevel="0" collapsed="false">
      <c r="B59396" s="0" t="s">
        <v>7</v>
      </c>
      <c r="C59396" s="0" t="s">
        <v>20487</v>
      </c>
      <c r="D59396" s="0" t="s">
        <v>7650</v>
      </c>
      <c r="E59396" s="0" t="s">
        <v>7650</v>
      </c>
      <c r="F59396" s="0" t="s">
        <v>287</v>
      </c>
    </row>
    <row r="59397" customFormat="false" ht="12.8" hidden="false" customHeight="false" outlineLevel="0" collapsed="false">
      <c r="B59397" s="0" t="s">
        <v>11</v>
      </c>
      <c r="C59397" s="0" t="s">
        <v>20488</v>
      </c>
    </row>
    <row r="59399" customFormat="false" ht="12.8" hidden="false" customHeight="false" outlineLevel="0" collapsed="false">
      <c r="A59399" s="0" t="s">
        <v>20489</v>
      </c>
      <c r="B59399" s="0" t="str">
        <f aca="false">HYPERLINK("https://lindat.mff.cuni.cz/services/teitok/pdtc10/index.php?action=vallex&amp;frame=v-w8349f2", "vyskytovat se (v-w8349f2)")</f>
        <v>vyskytovat se (v-w8349f2)</v>
      </c>
    </row>
    <row r="59400" customFormat="false" ht="12.8" hidden="false" customHeight="false" outlineLevel="0" collapsed="false">
      <c r="B59400" s="0" t="s">
        <v>7</v>
      </c>
      <c r="C59400" s="0" t="s">
        <v>20490</v>
      </c>
    </row>
    <row r="59402" customFormat="false" ht="12.8" hidden="false" customHeight="false" outlineLevel="0" collapsed="false">
      <c r="A59402" s="0" t="s">
        <v>20491</v>
      </c>
      <c r="B59402" s="0" t="str">
        <f aca="false">HYPERLINK("https://lindat.mff.cuni.cz/services/teitok/pdtc10/index.php?action=vallex&amp;frame=v-whsb_825hsa_826", "vyskákat (v-whsb_825hsa_826)")</f>
        <v>vyskákat (v-whsb_825hsa_826)</v>
      </c>
    </row>
    <row r="59403" customFormat="false" ht="12.8" hidden="false" customHeight="false" outlineLevel="0" collapsed="false">
      <c r="B59403" s="0" t="s">
        <v>7</v>
      </c>
    </row>
    <row r="59404" customFormat="false" ht="12.8" hidden="false" customHeight="false" outlineLevel="0" collapsed="false">
      <c r="B59404" s="0" t="s">
        <v>459</v>
      </c>
    </row>
    <row r="59406" customFormat="false" ht="12.8" hidden="false" customHeight="false" outlineLevel="0" collapsed="false">
      <c r="A59406" s="0" t="s">
        <v>20492</v>
      </c>
      <c r="B59406" s="0" t="str">
        <f aca="false">HYPERLINK("https://lindat.mff.cuni.cz/services/teitok/pdtc10/index.php?action=vallex&amp;frame=v-w8351f2", "vyslat (v-w8351f2)")</f>
        <v>vyslat (v-w8351f2)</v>
      </c>
    </row>
    <row r="59407" customFormat="false" ht="12.8" hidden="false" customHeight="false" outlineLevel="0" collapsed="false">
      <c r="B59407" s="0" t="s">
        <v>7</v>
      </c>
      <c r="C59407" s="0" t="s">
        <v>5572</v>
      </c>
    </row>
    <row r="59408" customFormat="false" ht="12.8" hidden="false" customHeight="false" outlineLevel="0" collapsed="false">
      <c r="B59408" s="0" t="s">
        <v>14</v>
      </c>
      <c r="C59408" s="0" t="s">
        <v>1625</v>
      </c>
    </row>
    <row r="59409" customFormat="false" ht="12.8" hidden="false" customHeight="false" outlineLevel="0" collapsed="false">
      <c r="B59409" s="0" t="s">
        <v>48</v>
      </c>
      <c r="C59409" s="0" t="s">
        <v>14737</v>
      </c>
    </row>
    <row r="59411" customFormat="false" ht="12.8" hidden="false" customHeight="false" outlineLevel="0" collapsed="false">
      <c r="A59411" s="0" t="s">
        <v>20493</v>
      </c>
      <c r="B59411" s="0" t="str">
        <f aca="false">HYPERLINK("https://lindat.mff.cuni.cz/services/teitok/pdtc10/index.php?action=vallex&amp;frame=v-w8351f1", "vyslat (v-w8351f1)")</f>
        <v>vyslat (v-w8351f1)</v>
      </c>
    </row>
    <row r="59412" customFormat="false" ht="12.8" hidden="false" customHeight="false" outlineLevel="0" collapsed="false">
      <c r="B59412" s="0" t="s">
        <v>7</v>
      </c>
      <c r="C59412" s="0" t="s">
        <v>10827</v>
      </c>
      <c r="D59412" s="0" t="s">
        <v>1630</v>
      </c>
      <c r="E59412" s="0" t="s">
        <v>1630</v>
      </c>
      <c r="F59412" s="0" t="s">
        <v>1630</v>
      </c>
    </row>
    <row r="59413" customFormat="false" ht="12.8" hidden="false" customHeight="false" outlineLevel="0" collapsed="false">
      <c r="B59413" s="0" t="s">
        <v>14</v>
      </c>
      <c r="C59413" s="0" t="s">
        <v>16471</v>
      </c>
      <c r="D59413" s="0" t="s">
        <v>1632</v>
      </c>
      <c r="E59413" s="0" t="s">
        <v>1632</v>
      </c>
      <c r="F59413" s="0" t="s">
        <v>1632</v>
      </c>
    </row>
    <row r="59414" customFormat="false" ht="12.8" hidden="false" customHeight="false" outlineLevel="0" collapsed="false">
      <c r="B59414" s="0" t="s">
        <v>124</v>
      </c>
      <c r="C59414" s="0" t="s">
        <v>10829</v>
      </c>
      <c r="D59414" s="0" t="s">
        <v>2165</v>
      </c>
      <c r="E59414" s="0" t="s">
        <v>2165</v>
      </c>
      <c r="F59414" s="0" t="s">
        <v>2165</v>
      </c>
    </row>
    <row r="59416" customFormat="false" ht="12.8" hidden="false" customHeight="false" outlineLevel="0" collapsed="false">
      <c r="A59416" s="0" t="s">
        <v>20494</v>
      </c>
      <c r="B59416" s="0" t="str">
        <f aca="false">HYPERLINK("https://lindat.mff.cuni.cz/services/teitok/pdtc10/index.php?action=vallex&amp;frame=v-w8355f1", "vyslechnout (v-w8355f1)")</f>
        <v>vyslechnout (v-w8355f1)</v>
      </c>
    </row>
    <row r="59417" customFormat="false" ht="12.8" hidden="false" customHeight="false" outlineLevel="0" collapsed="false">
      <c r="B59417" s="0" t="s">
        <v>7</v>
      </c>
      <c r="C59417" s="0" t="s">
        <v>56</v>
      </c>
      <c r="D59417" s="0" t="s">
        <v>126</v>
      </c>
      <c r="E59417" s="0" t="s">
        <v>126</v>
      </c>
      <c r="F59417" s="0" t="s">
        <v>126</v>
      </c>
    </row>
    <row r="59418" customFormat="false" ht="12.8" hidden="false" customHeight="false" outlineLevel="0" collapsed="false">
      <c r="B59418" s="0" t="s">
        <v>1520</v>
      </c>
      <c r="C59418" s="0" t="s">
        <v>20495</v>
      </c>
      <c r="D59418" s="0" t="s">
        <v>493</v>
      </c>
      <c r="E59418" s="0" t="s">
        <v>493</v>
      </c>
      <c r="F59418" s="0" t="s">
        <v>493</v>
      </c>
    </row>
    <row r="59420" customFormat="false" ht="12.8" hidden="false" customHeight="false" outlineLevel="0" collapsed="false">
      <c r="A59420" s="0" t="s">
        <v>20496</v>
      </c>
      <c r="B59420" s="0" t="str">
        <f aca="false">HYPERLINK("https://lindat.mff.cuni.cz/services/teitok/pdtc10/index.php?action=vallex&amp;frame=v-w8355hsa_1097", "vyslechnout (v-w8355hsa_1097)")</f>
        <v>vyslechnout (v-w8355hsa_1097)</v>
      </c>
    </row>
    <row r="59421" customFormat="false" ht="12.8" hidden="false" customHeight="false" outlineLevel="0" collapsed="false">
      <c r="B59421" s="0" t="s">
        <v>7</v>
      </c>
      <c r="C59421" s="0" t="s">
        <v>2736</v>
      </c>
    </row>
    <row r="59422" customFormat="false" ht="12.8" hidden="false" customHeight="false" outlineLevel="0" collapsed="false">
      <c r="B59422" s="0" t="s">
        <v>14</v>
      </c>
      <c r="C59422" s="0" t="s">
        <v>1315</v>
      </c>
    </row>
    <row r="59424" customFormat="false" ht="12.8" hidden="false" customHeight="false" outlineLevel="0" collapsed="false">
      <c r="A59424" s="0" t="s">
        <v>20497</v>
      </c>
      <c r="B59424" s="0" t="str">
        <f aca="false">HYPERLINK("https://lindat.mff.cuni.cz/services/teitok/pdtc10/index.php?action=vallex&amp;frame=v-w8356f1", "vyslechnout si (v-w8356f1)")</f>
        <v>vyslechnout si (v-w8356f1)</v>
      </c>
    </row>
    <row r="59425" customFormat="false" ht="12.8" hidden="false" customHeight="false" outlineLevel="0" collapsed="false">
      <c r="B59425" s="0" t="s">
        <v>7</v>
      </c>
      <c r="C59425" s="0" t="s">
        <v>7871</v>
      </c>
      <c r="D59425" s="0" t="s">
        <v>126</v>
      </c>
      <c r="E59425" s="0" t="s">
        <v>126</v>
      </c>
      <c r="F59425" s="0" t="s">
        <v>126</v>
      </c>
    </row>
    <row r="59426" customFormat="false" ht="12.8" hidden="false" customHeight="false" outlineLevel="0" collapsed="false">
      <c r="B59426" s="0" t="s">
        <v>1520</v>
      </c>
      <c r="C59426" s="0" t="s">
        <v>20498</v>
      </c>
      <c r="D59426" s="0" t="s">
        <v>493</v>
      </c>
      <c r="E59426" s="0" t="s">
        <v>493</v>
      </c>
      <c r="F59426" s="0" t="s">
        <v>493</v>
      </c>
    </row>
    <row r="59428" customFormat="false" ht="12.8" hidden="false" customHeight="false" outlineLevel="0" collapsed="false">
      <c r="A59428" s="0" t="s">
        <v>20499</v>
      </c>
      <c r="B59428" s="0" t="str">
        <f aca="false">HYPERLINK("https://lindat.mff.cuni.cz/services/teitok/pdtc10/index.php?action=vallex&amp;frame=v-w8353f1", "vysledovat (v-w8353f1)")</f>
        <v>vysledovat (v-w8353f1)</v>
      </c>
    </row>
    <row r="59429" customFormat="false" ht="12.8" hidden="false" customHeight="false" outlineLevel="0" collapsed="false">
      <c r="B59429" s="0" t="s">
        <v>7</v>
      </c>
    </row>
    <row r="59430" customFormat="false" ht="12.8" hidden="false" customHeight="false" outlineLevel="0" collapsed="false">
      <c r="B59430" s="0" t="s">
        <v>14</v>
      </c>
    </row>
    <row r="59432" customFormat="false" ht="12.8" hidden="false" customHeight="false" outlineLevel="0" collapsed="false">
      <c r="A59432" s="0" t="s">
        <v>20500</v>
      </c>
      <c r="B59432" s="0" t="str">
        <f aca="false">HYPERLINK("https://lindat.mff.cuni.cz/services/teitok/pdtc10/index.php?action=vallex&amp;frame=v-whsa_884hsa_885", "vysloužit (v-whsa_884hsa_885)")</f>
        <v>vysloužit (v-whsa_884hsa_885)</v>
      </c>
    </row>
    <row r="59433" customFormat="false" ht="12.8" hidden="false" customHeight="false" outlineLevel="0" collapsed="false">
      <c r="B59433" s="0" t="s">
        <v>7</v>
      </c>
    </row>
    <row r="59434" customFormat="false" ht="12.8" hidden="false" customHeight="false" outlineLevel="0" collapsed="false">
      <c r="B59434" s="0" t="s">
        <v>14</v>
      </c>
    </row>
    <row r="59435" customFormat="false" ht="12.8" hidden="false" customHeight="false" outlineLevel="0" collapsed="false">
      <c r="B59435" s="0" t="s">
        <v>48</v>
      </c>
    </row>
    <row r="59437" customFormat="false" ht="12.8" hidden="false" customHeight="false" outlineLevel="0" collapsed="false">
      <c r="A59437" s="0" t="s">
        <v>20501</v>
      </c>
      <c r="B59437" s="0" t="str">
        <f aca="false">HYPERLINK("https://lindat.mff.cuni.cz/services/teitok/pdtc10/index.php?action=vallex&amp;frame=v-w8357f1", "vysloužit si (v-w8357f1)")</f>
        <v>vysloužit si (v-w8357f1)</v>
      </c>
    </row>
    <row r="59438" customFormat="false" ht="12.8" hidden="false" customHeight="false" outlineLevel="0" collapsed="false">
      <c r="B59438" s="0" t="s">
        <v>7</v>
      </c>
      <c r="C59438" s="0" t="s">
        <v>3190</v>
      </c>
    </row>
    <row r="59439" customFormat="false" ht="12.8" hidden="false" customHeight="false" outlineLevel="0" collapsed="false">
      <c r="B59439" s="0" t="s">
        <v>2313</v>
      </c>
      <c r="C59439" s="0" t="s">
        <v>1315</v>
      </c>
    </row>
    <row r="59440" customFormat="false" ht="12.8" hidden="false" customHeight="false" outlineLevel="0" collapsed="false">
      <c r="B59440" s="0" t="s">
        <v>441</v>
      </c>
      <c r="C59440" s="0" t="s">
        <v>6213</v>
      </c>
    </row>
    <row r="59442" customFormat="false" ht="12.8" hidden="false" customHeight="false" outlineLevel="0" collapsed="false">
      <c r="A59442" s="0" t="s">
        <v>20502</v>
      </c>
      <c r="B59442" s="0" t="str">
        <f aca="false">HYPERLINK("https://lindat.mff.cuni.cz/services/teitok/pdtc10/index.php?action=vallex&amp;frame=v-w8359f5_ZU", "vyslovit (v-w8359f5_ZU)")</f>
        <v>vyslovit (v-w8359f5_ZU)</v>
      </c>
    </row>
    <row r="59443" customFormat="false" ht="12.8" hidden="false" customHeight="false" outlineLevel="0" collapsed="false">
      <c r="B59443" s="0" t="s">
        <v>7</v>
      </c>
    </row>
    <row r="59444" customFormat="false" ht="12.8" hidden="false" customHeight="false" outlineLevel="0" collapsed="false">
      <c r="B59444" s="0" t="s">
        <v>14</v>
      </c>
    </row>
    <row r="59445" customFormat="false" ht="12.8" hidden="false" customHeight="false" outlineLevel="0" collapsed="false">
      <c r="B59445" s="0" t="s">
        <v>48</v>
      </c>
    </row>
    <row r="59447" customFormat="false" ht="12.8" hidden="false" customHeight="false" outlineLevel="0" collapsed="false">
      <c r="A59447" s="0" t="s">
        <v>20503</v>
      </c>
      <c r="B59447" s="0" t="str">
        <f aca="false">HYPERLINK("https://lindat.mff.cuni.cz/services/teitok/pdtc10/index.php?action=vallex&amp;frame=v-w8359f2", "vyslovit (v-w8359f2)")</f>
        <v>vyslovit (v-w8359f2)</v>
      </c>
    </row>
    <row r="59448" customFormat="false" ht="12.8" hidden="false" customHeight="false" outlineLevel="0" collapsed="false">
      <c r="B59448" s="0" t="s">
        <v>7</v>
      </c>
      <c r="E59448" s="0" t="s">
        <v>46</v>
      </c>
      <c r="F59448" s="0" t="s">
        <v>46</v>
      </c>
    </row>
    <row r="59449" customFormat="false" ht="12.8" hidden="false" customHeight="false" outlineLevel="0" collapsed="false">
      <c r="B59449" s="0" t="s">
        <v>367</v>
      </c>
      <c r="E59449" s="0" t="s">
        <v>567</v>
      </c>
      <c r="F59449" s="0" t="s">
        <v>567</v>
      </c>
    </row>
    <row r="59451" customFormat="false" ht="12.8" hidden="false" customHeight="false" outlineLevel="0" collapsed="false">
      <c r="A59451" s="0" t="s">
        <v>20504</v>
      </c>
      <c r="B59451" s="0" t="str">
        <f aca="false">HYPERLINK("https://lindat.mff.cuni.cz/services/teitok/pdtc10/index.php?action=vallex&amp;frame=v-w8359f3", "vyslovit (v-w8359f3)")</f>
        <v>vyslovit (v-w8359f3)</v>
      </c>
    </row>
    <row r="59452" customFormat="false" ht="12.8" hidden="false" customHeight="false" outlineLevel="0" collapsed="false">
      <c r="B59452" s="0" t="s">
        <v>7</v>
      </c>
    </row>
    <row r="59453" customFormat="false" ht="12.8" hidden="false" customHeight="false" outlineLevel="0" collapsed="false">
      <c r="B59453" s="0" t="s">
        <v>20505</v>
      </c>
    </row>
    <row r="59454" customFormat="false" ht="12.8" hidden="false" customHeight="false" outlineLevel="0" collapsed="false">
      <c r="B59454" s="0" t="s">
        <v>48</v>
      </c>
    </row>
    <row r="59456" customFormat="false" ht="12.8" hidden="false" customHeight="false" outlineLevel="0" collapsed="false">
      <c r="A59456" s="0" t="s">
        <v>20506</v>
      </c>
      <c r="B59456" s="0" t="str">
        <f aca="false">HYPERLINK("https://lindat.mff.cuni.cz/services/teitok/pdtc10/index.php?action=vallex&amp;frame=v-w8359f4_ZU", "vyslovit (v-w8359f4_ZU)")</f>
        <v>vyslovit (v-w8359f4_ZU)</v>
      </c>
    </row>
    <row r="59457" customFormat="false" ht="12.8" hidden="false" customHeight="false" outlineLevel="0" collapsed="false">
      <c r="B59457" s="0" t="s">
        <v>7</v>
      </c>
      <c r="C59457" s="0" t="s">
        <v>20507</v>
      </c>
      <c r="D59457" s="0" t="s">
        <v>20508</v>
      </c>
      <c r="E59457" s="0" t="s">
        <v>20508</v>
      </c>
      <c r="F59457" s="0" t="s">
        <v>20508</v>
      </c>
    </row>
    <row r="59458" customFormat="false" ht="12.8" hidden="false" customHeight="false" outlineLevel="0" collapsed="false">
      <c r="B59458" s="0" t="s">
        <v>20509</v>
      </c>
      <c r="C59458" s="0" t="s">
        <v>20510</v>
      </c>
      <c r="D59458" s="0" t="s">
        <v>20511</v>
      </c>
      <c r="E59458" s="0" t="s">
        <v>20511</v>
      </c>
      <c r="F59458" s="0" t="s">
        <v>20511</v>
      </c>
    </row>
    <row r="59460" customFormat="false" ht="12.8" hidden="false" customHeight="false" outlineLevel="0" collapsed="false">
      <c r="A59460" s="0" t="s">
        <v>20506</v>
      </c>
      <c r="B59460" s="0" t="str">
        <f aca="false">HYPERLINK("https://lindat.mff.cuni.cz/services/teitok/pdtc10/index.php?action=vallex&amp;frame=v-w8359f1", "vyslovit (v-w8359f1) - substituted with v-w8359f4_ZU")</f>
        <v>vyslovit (v-w8359f1) - substituted with v-w8359f4_ZU</v>
      </c>
    </row>
    <row r="59461" customFormat="false" ht="12.8" hidden="false" customHeight="false" outlineLevel="0" collapsed="false">
      <c r="B59461" s="0" t="s">
        <v>7</v>
      </c>
      <c r="C59461" s="0" t="s">
        <v>20512</v>
      </c>
    </row>
    <row r="59462" customFormat="false" ht="12.8" hidden="false" customHeight="false" outlineLevel="0" collapsed="false">
      <c r="B59462" s="0" t="s">
        <v>20509</v>
      </c>
      <c r="C59462" s="0" t="s">
        <v>20513</v>
      </c>
    </row>
    <row r="59464" customFormat="false" ht="12.8" hidden="false" customHeight="false" outlineLevel="0" collapsed="false">
      <c r="A59464" s="0" t="s">
        <v>20514</v>
      </c>
      <c r="B59464" s="0" t="str">
        <f aca="false">HYPERLINK("https://lindat.mff.cuni.cz/services/teitok/pdtc10/index.php?action=vallex&amp;frame=v-w8360f2", "vyslovit se (v-w8360f2)")</f>
        <v>vyslovit se (v-w8360f2)</v>
      </c>
    </row>
    <row r="59465" customFormat="false" ht="12.8" hidden="false" customHeight="false" outlineLevel="0" collapsed="false">
      <c r="B59465" s="0" t="s">
        <v>7</v>
      </c>
      <c r="D59465" s="0" t="s">
        <v>2668</v>
      </c>
      <c r="E59465" s="0" t="s">
        <v>2668</v>
      </c>
      <c r="F59465" s="0" t="s">
        <v>2668</v>
      </c>
    </row>
    <row r="59466" customFormat="false" ht="12.8" hidden="false" customHeight="false" outlineLevel="0" collapsed="false">
      <c r="B59466" s="0" t="s">
        <v>20515</v>
      </c>
      <c r="D59466" s="0" t="s">
        <v>469</v>
      </c>
      <c r="E59466" s="0" t="s">
        <v>469</v>
      </c>
      <c r="F59466" s="0" t="s">
        <v>469</v>
      </c>
    </row>
    <row r="59468" customFormat="false" ht="12.8" hidden="false" customHeight="false" outlineLevel="0" collapsed="false">
      <c r="A59468" s="0" t="s">
        <v>20516</v>
      </c>
      <c r="B59468" s="0" t="str">
        <f aca="false">HYPERLINK("https://lindat.mff.cuni.cz/services/teitok/pdtc10/index.php?action=vallex&amp;frame=v-w8360f1", "vyslovit se (v-w8360f1)")</f>
        <v>vyslovit se (v-w8360f1)</v>
      </c>
    </row>
    <row r="59469" customFormat="false" ht="12.8" hidden="false" customHeight="false" outlineLevel="0" collapsed="false">
      <c r="B59469" s="0" t="s">
        <v>7</v>
      </c>
      <c r="C59469" s="0" t="s">
        <v>184</v>
      </c>
      <c r="D59469" s="0" t="s">
        <v>2668</v>
      </c>
      <c r="E59469" s="0" t="s">
        <v>2668</v>
      </c>
      <c r="F59469" s="0" t="s">
        <v>2668</v>
      </c>
    </row>
    <row r="59470" customFormat="false" ht="12.8" hidden="false" customHeight="false" outlineLevel="0" collapsed="false">
      <c r="B59470" s="0" t="s">
        <v>20517</v>
      </c>
      <c r="D59470" s="0" t="s">
        <v>469</v>
      </c>
      <c r="E59470" s="0" t="s">
        <v>469</v>
      </c>
      <c r="F59470" s="0" t="s">
        <v>469</v>
      </c>
    </row>
    <row r="59472" customFormat="false" ht="12.8" hidden="false" customHeight="false" outlineLevel="0" collapsed="false">
      <c r="A59472" s="0" t="s">
        <v>20518</v>
      </c>
      <c r="B59472" s="0" t="str">
        <f aca="false">HYPERLINK("https://lindat.mff.cuni.cz/services/teitok/pdtc10/index.php?action=vallex&amp;frame=v-w8362f2", "vyslovovat (v-w8362f2)")</f>
        <v>vyslovovat (v-w8362f2)</v>
      </c>
    </row>
    <row r="59473" customFormat="false" ht="12.8" hidden="false" customHeight="false" outlineLevel="0" collapsed="false">
      <c r="B59473" s="0" t="s">
        <v>7</v>
      </c>
      <c r="E59473" s="0" t="s">
        <v>46</v>
      </c>
      <c r="F59473" s="0" t="s">
        <v>46</v>
      </c>
    </row>
    <row r="59474" customFormat="false" ht="12.8" hidden="false" customHeight="false" outlineLevel="0" collapsed="false">
      <c r="B59474" s="0" t="s">
        <v>367</v>
      </c>
      <c r="E59474" s="0" t="s">
        <v>567</v>
      </c>
      <c r="F59474" s="0" t="s">
        <v>567</v>
      </c>
    </row>
    <row r="59476" customFormat="false" ht="12.8" hidden="false" customHeight="false" outlineLevel="0" collapsed="false">
      <c r="A59476" s="0" t="s">
        <v>20519</v>
      </c>
      <c r="B59476" s="0" t="str">
        <f aca="false">HYPERLINK("https://lindat.mff.cuni.cz/services/teitok/pdtc10/index.php?action=vallex&amp;frame=v-w8362f3", "vyslovovat (v-w8362f3)")</f>
        <v>vyslovovat (v-w8362f3)</v>
      </c>
    </row>
    <row r="59477" customFormat="false" ht="12.8" hidden="false" customHeight="false" outlineLevel="0" collapsed="false">
      <c r="B59477" s="0" t="s">
        <v>7</v>
      </c>
    </row>
    <row r="59478" customFormat="false" ht="12.8" hidden="false" customHeight="false" outlineLevel="0" collapsed="false">
      <c r="B59478" s="0" t="s">
        <v>20505</v>
      </c>
    </row>
    <row r="59479" customFormat="false" ht="12.8" hidden="false" customHeight="false" outlineLevel="0" collapsed="false">
      <c r="B59479" s="0" t="s">
        <v>48</v>
      </c>
    </row>
    <row r="59481" customFormat="false" ht="12.8" hidden="false" customHeight="false" outlineLevel="0" collapsed="false">
      <c r="A59481" s="0" t="s">
        <v>20520</v>
      </c>
      <c r="B59481" s="0" t="str">
        <f aca="false">HYPERLINK("https://lindat.mff.cuni.cz/services/teitok/pdtc10/index.php?action=vallex&amp;frame=v-w8362f4_ZU", "vyslovovat (v-w8362f4_ZU)")</f>
        <v>vyslovovat (v-w8362f4_ZU)</v>
      </c>
    </row>
    <row r="59482" customFormat="false" ht="12.8" hidden="false" customHeight="false" outlineLevel="0" collapsed="false">
      <c r="B59482" s="0" t="s">
        <v>7</v>
      </c>
      <c r="D59482" s="0" t="s">
        <v>6781</v>
      </c>
      <c r="E59482" s="0" t="s">
        <v>6781</v>
      </c>
      <c r="F59482" s="0" t="s">
        <v>6781</v>
      </c>
    </row>
    <row r="59483" customFormat="false" ht="12.8" hidden="false" customHeight="false" outlineLevel="0" collapsed="false">
      <c r="B59483" s="0" t="s">
        <v>20521</v>
      </c>
    </row>
    <row r="59485" customFormat="false" ht="12.8" hidden="false" customHeight="false" outlineLevel="0" collapsed="false">
      <c r="A59485" s="0" t="s">
        <v>20520</v>
      </c>
      <c r="B59485" s="0" t="str">
        <f aca="false">HYPERLINK("https://lindat.mff.cuni.cz/services/teitok/pdtc10/index.php?action=vallex&amp;frame=v-w8362f1", "vyslovovat (v-w8362f1) - substituted with v-w8362f4_ZU")</f>
        <v>vyslovovat (v-w8362f1) - substituted with v-w8362f4_ZU</v>
      </c>
    </row>
    <row r="59486" customFormat="false" ht="12.8" hidden="false" customHeight="false" outlineLevel="0" collapsed="false">
      <c r="B59486" s="0" t="s">
        <v>7</v>
      </c>
    </row>
    <row r="59487" customFormat="false" ht="12.8" hidden="false" customHeight="false" outlineLevel="0" collapsed="false">
      <c r="B59487" s="0" t="s">
        <v>20521</v>
      </c>
    </row>
    <row r="59489" customFormat="false" ht="12.8" hidden="false" customHeight="false" outlineLevel="0" collapsed="false">
      <c r="A59489" s="0" t="s">
        <v>20522</v>
      </c>
      <c r="B59489" s="0" t="str">
        <f aca="false">HYPERLINK("https://lindat.mff.cuni.cz/services/teitok/pdtc10/index.php?action=vallex&amp;frame=v-w8363f1", "vyslovovat se (v-w8363f1)")</f>
        <v>vyslovovat se (v-w8363f1)</v>
      </c>
    </row>
    <row r="59490" customFormat="false" ht="12.8" hidden="false" customHeight="false" outlineLevel="0" collapsed="false">
      <c r="B59490" s="0" t="s">
        <v>7</v>
      </c>
      <c r="D59490" s="0" t="s">
        <v>2668</v>
      </c>
      <c r="E59490" s="0" t="s">
        <v>2668</v>
      </c>
      <c r="F59490" s="0" t="s">
        <v>2668</v>
      </c>
    </row>
    <row r="59491" customFormat="false" ht="12.8" hidden="false" customHeight="false" outlineLevel="0" collapsed="false">
      <c r="B59491" s="0" t="s">
        <v>20515</v>
      </c>
      <c r="D59491" s="0" t="s">
        <v>469</v>
      </c>
      <c r="E59491" s="0" t="s">
        <v>469</v>
      </c>
      <c r="F59491" s="0" t="s">
        <v>469</v>
      </c>
    </row>
    <row r="59493" customFormat="false" ht="12.8" hidden="false" customHeight="false" outlineLevel="0" collapsed="false">
      <c r="A59493" s="0" t="s">
        <v>20523</v>
      </c>
      <c r="B59493" s="0" t="str">
        <f aca="false">HYPERLINK("https://lindat.mff.cuni.cz/services/teitok/pdtc10/index.php?action=vallex&amp;frame=v-w8363f2", "vyslovovat se (v-w8363f2)")</f>
        <v>vyslovovat se (v-w8363f2)</v>
      </c>
    </row>
    <row r="59494" customFormat="false" ht="12.8" hidden="false" customHeight="false" outlineLevel="0" collapsed="false">
      <c r="B59494" s="0" t="s">
        <v>7</v>
      </c>
      <c r="C59494" s="0" t="s">
        <v>46</v>
      </c>
      <c r="D59494" s="0" t="s">
        <v>2668</v>
      </c>
      <c r="E59494" s="0" t="s">
        <v>2668</v>
      </c>
      <c r="F59494" s="0" t="s">
        <v>2668</v>
      </c>
    </row>
    <row r="59495" customFormat="false" ht="12.8" hidden="false" customHeight="false" outlineLevel="0" collapsed="false">
      <c r="B59495" s="0" t="s">
        <v>20524</v>
      </c>
      <c r="C59495" s="0" t="s">
        <v>47</v>
      </c>
      <c r="D59495" s="0" t="s">
        <v>469</v>
      </c>
      <c r="E59495" s="0" t="s">
        <v>469</v>
      </c>
      <c r="F59495" s="0" t="s">
        <v>469</v>
      </c>
    </row>
    <row r="59497" customFormat="false" ht="12.8" hidden="false" customHeight="false" outlineLevel="0" collapsed="false">
      <c r="A59497" s="0" t="s">
        <v>20525</v>
      </c>
      <c r="B59497" s="0" t="str">
        <f aca="false">HYPERLINK("https://lindat.mff.cuni.cz/services/teitok/pdtc10/index.php?action=vallex&amp;frame=v-w8367f1", "vyslyšet (v-w8367f1)")</f>
        <v>vyslyšet (v-w8367f1)</v>
      </c>
    </row>
    <row r="59498" customFormat="false" ht="12.8" hidden="false" customHeight="false" outlineLevel="0" collapsed="false">
      <c r="B59498" s="0" t="s">
        <v>7</v>
      </c>
      <c r="C59498" s="0" t="s">
        <v>14554</v>
      </c>
      <c r="D59498" s="0" t="s">
        <v>6744</v>
      </c>
      <c r="E59498" s="0" t="s">
        <v>6744</v>
      </c>
      <c r="F59498" s="0" t="s">
        <v>6744</v>
      </c>
    </row>
    <row r="59499" customFormat="false" ht="12.8" hidden="false" customHeight="false" outlineLevel="0" collapsed="false">
      <c r="B59499" s="0" t="s">
        <v>14</v>
      </c>
      <c r="C59499" s="0" t="s">
        <v>20526</v>
      </c>
      <c r="D59499" s="0" t="s">
        <v>6746</v>
      </c>
      <c r="E59499" s="0" t="s">
        <v>6746</v>
      </c>
      <c r="F59499" s="0" t="s">
        <v>6746</v>
      </c>
    </row>
    <row r="59501" customFormat="false" ht="12.8" hidden="false" customHeight="false" outlineLevel="0" collapsed="false">
      <c r="A59501" s="0" t="s">
        <v>20527</v>
      </c>
      <c r="B59501" s="0" t="str">
        <f aca="false">HYPERLINK("https://lindat.mff.cuni.cz/services/teitok/pdtc10/index.php?action=vallex&amp;frame=v-w8365f1", "vyslýchat (v-w8365f1)")</f>
        <v>vyslýchat (v-w8365f1)</v>
      </c>
    </row>
    <row r="59502" customFormat="false" ht="12.8" hidden="false" customHeight="false" outlineLevel="0" collapsed="false">
      <c r="B59502" s="0" t="s">
        <v>7</v>
      </c>
      <c r="C59502" s="0" t="s">
        <v>1287</v>
      </c>
      <c r="D59502" s="0" t="s">
        <v>2534</v>
      </c>
      <c r="E59502" s="0" t="s">
        <v>2534</v>
      </c>
      <c r="F59502" s="0" t="s">
        <v>2534</v>
      </c>
    </row>
    <row r="59503" customFormat="false" ht="12.8" hidden="false" customHeight="false" outlineLevel="0" collapsed="false">
      <c r="B59503" s="0" t="s">
        <v>14</v>
      </c>
      <c r="C59503" s="0" t="s">
        <v>488</v>
      </c>
      <c r="D59503" s="0" t="s">
        <v>20528</v>
      </c>
      <c r="E59503" s="0" t="s">
        <v>20528</v>
      </c>
      <c r="F59503" s="0" t="s">
        <v>20528</v>
      </c>
    </row>
    <row r="59505" customFormat="false" ht="12.8" hidden="false" customHeight="false" outlineLevel="0" collapsed="false">
      <c r="A59505" s="0" t="s">
        <v>20529</v>
      </c>
      <c r="B59505" s="0" t="str">
        <f aca="false">HYPERLINK("https://lindat.mff.cuni.cz/services/teitok/pdtc10/index.php?action=vallex&amp;frame=v-w8368f1", "vysmát se (v-w8368f1)")</f>
        <v>vysmát se (v-w8368f1)</v>
      </c>
    </row>
    <row r="59506" customFormat="false" ht="12.8" hidden="false" customHeight="false" outlineLevel="0" collapsed="false">
      <c r="B59506" s="0" t="s">
        <v>7</v>
      </c>
      <c r="D59506" s="0" t="s">
        <v>31</v>
      </c>
      <c r="E59506" s="0" t="s">
        <v>31</v>
      </c>
      <c r="F59506" s="0" t="s">
        <v>31</v>
      </c>
    </row>
    <row r="59507" customFormat="false" ht="12.8" hidden="false" customHeight="false" outlineLevel="0" collapsed="false">
      <c r="B59507" s="0" t="s">
        <v>142</v>
      </c>
      <c r="D59507" s="0" t="s">
        <v>74</v>
      </c>
      <c r="E59507" s="0" t="s">
        <v>74</v>
      </c>
      <c r="F59507" s="0" t="s">
        <v>74</v>
      </c>
    </row>
    <row r="59509" customFormat="false" ht="12.8" hidden="false" customHeight="false" outlineLevel="0" collapsed="false">
      <c r="A59509" s="0" t="s">
        <v>20530</v>
      </c>
      <c r="B59509" s="0" t="str">
        <f aca="false">HYPERLINK("https://lindat.mff.cuni.cz/services/teitok/pdtc10/index.php?action=vallex&amp;frame=v-w8370f1", "vysmívat se (v-w8370f1)")</f>
        <v>vysmívat se (v-w8370f1)</v>
      </c>
    </row>
    <row r="59510" customFormat="false" ht="12.8" hidden="false" customHeight="false" outlineLevel="0" collapsed="false">
      <c r="B59510" s="0" t="s">
        <v>7</v>
      </c>
      <c r="C59510" s="0" t="s">
        <v>31</v>
      </c>
      <c r="D59510" s="0" t="s">
        <v>31</v>
      </c>
      <c r="E59510" s="0" t="s">
        <v>31</v>
      </c>
      <c r="F59510" s="0" t="s">
        <v>31</v>
      </c>
    </row>
    <row r="59511" customFormat="false" ht="12.8" hidden="false" customHeight="false" outlineLevel="0" collapsed="false">
      <c r="B59511" s="0" t="s">
        <v>142</v>
      </c>
      <c r="C59511" s="0" t="s">
        <v>74</v>
      </c>
      <c r="D59511" s="0" t="s">
        <v>74</v>
      </c>
      <c r="E59511" s="0" t="s">
        <v>74</v>
      </c>
      <c r="F59511" s="0" t="s">
        <v>74</v>
      </c>
    </row>
    <row r="59513" customFormat="false" ht="12.8" hidden="false" customHeight="false" outlineLevel="0" collapsed="false">
      <c r="A59513" s="0" t="s">
        <v>20531</v>
      </c>
      <c r="B59513" s="0" t="str">
        <f aca="false">HYPERLINK("https://lindat.mff.cuni.cz/services/teitok/pdtc10/index.php?action=vallex&amp;frame=v-w10920f2", "vysnít (v-w10920f2)")</f>
        <v>vysnít (v-w10920f2)</v>
      </c>
    </row>
    <row r="59514" customFormat="false" ht="12.8" hidden="false" customHeight="false" outlineLevel="0" collapsed="false">
      <c r="B59514" s="0" t="s">
        <v>7</v>
      </c>
    </row>
    <row r="59515" customFormat="false" ht="12.8" hidden="false" customHeight="false" outlineLevel="0" collapsed="false">
      <c r="B59515" s="0" t="s">
        <v>172</v>
      </c>
    </row>
    <row r="59517" customFormat="false" ht="12.8" hidden="false" customHeight="false" outlineLevel="0" collapsed="false">
      <c r="A59517" s="0" t="s">
        <v>20532</v>
      </c>
      <c r="B59517" s="0" t="str">
        <f aca="false">HYPERLINK("https://lindat.mff.cuni.cz/services/teitok/pdtc10/index.php?action=vallex&amp;frame=v-w8371f1", "vysnívat si (v-w8371f1)")</f>
        <v>vysnívat si (v-w8371f1)</v>
      </c>
    </row>
    <row r="59518" customFormat="false" ht="12.8" hidden="false" customHeight="false" outlineLevel="0" collapsed="false">
      <c r="B59518" s="0" t="s">
        <v>7</v>
      </c>
    </row>
    <row r="59519" customFormat="false" ht="12.8" hidden="false" customHeight="false" outlineLevel="0" collapsed="false">
      <c r="B59519" s="0" t="s">
        <v>172</v>
      </c>
    </row>
    <row r="59521" customFormat="false" ht="12.8" hidden="false" customHeight="false" outlineLevel="0" collapsed="false">
      <c r="A59521" s="0" t="s">
        <v>20533</v>
      </c>
      <c r="B59521" s="0" t="str">
        <f aca="false">HYPERLINK("https://lindat.mff.cuni.cz/services/teitok/pdtc10/index.php?action=vallex&amp;frame=v-w8371f2", "vysnívat si (v-w8371f2)")</f>
        <v>vysnívat si (v-w8371f2)</v>
      </c>
    </row>
    <row r="59522" customFormat="false" ht="12.8" hidden="false" customHeight="false" outlineLevel="0" collapsed="false">
      <c r="B59522" s="0" t="s">
        <v>7</v>
      </c>
    </row>
    <row r="59523" customFormat="false" ht="12.8" hidden="false" customHeight="false" outlineLevel="0" collapsed="false">
      <c r="B59523" s="0" t="s">
        <v>20005</v>
      </c>
    </row>
    <row r="59524" customFormat="false" ht="12.8" hidden="false" customHeight="false" outlineLevel="0" collapsed="false">
      <c r="B59524" s="0" t="s">
        <v>363</v>
      </c>
    </row>
    <row r="59526" customFormat="false" ht="12.8" hidden="false" customHeight="false" outlineLevel="0" collapsed="false">
      <c r="A59526" s="0" t="s">
        <v>20534</v>
      </c>
      <c r="B59526" s="0" t="str">
        <f aca="false">HYPERLINK("https://lindat.mff.cuni.cz/services/teitok/pdtc10/index.php?action=vallex&amp;frame=v-whsa_1449hsa_1450", "vysochat (v-whsa_1449hsa_1450)")</f>
        <v>vysochat (v-whsa_1449hsa_1450)</v>
      </c>
    </row>
    <row r="59527" customFormat="false" ht="12.8" hidden="false" customHeight="false" outlineLevel="0" collapsed="false">
      <c r="B59527" s="0" t="s">
        <v>7</v>
      </c>
    </row>
    <row r="59528" customFormat="false" ht="12.8" hidden="false" customHeight="false" outlineLevel="0" collapsed="false">
      <c r="B59528" s="0" t="s">
        <v>14</v>
      </c>
    </row>
    <row r="59530" customFormat="false" ht="12.8" hidden="false" customHeight="false" outlineLevel="0" collapsed="false">
      <c r="A59530" s="0" t="s">
        <v>20535</v>
      </c>
      <c r="B59530" s="0" t="str">
        <f aca="false">HYPERLINK("https://lindat.mff.cuni.cz/services/teitok/pdtc10/index.php?action=vallex&amp;frame=v-w11038f2", "vysolit (v-w11038f2)")</f>
        <v>vysolit (v-w11038f2)</v>
      </c>
    </row>
    <row r="59531" customFormat="false" ht="12.8" hidden="false" customHeight="false" outlineLevel="0" collapsed="false">
      <c r="B59531" s="0" t="s">
        <v>7</v>
      </c>
      <c r="C59531" s="0" t="s">
        <v>191</v>
      </c>
      <c r="D59531" s="0" t="s">
        <v>1410</v>
      </c>
      <c r="E59531" s="0" t="s">
        <v>1410</v>
      </c>
      <c r="F59531" s="0" t="s">
        <v>1410</v>
      </c>
    </row>
    <row r="59532" customFormat="false" ht="12.8" hidden="false" customHeight="false" outlineLevel="0" collapsed="false">
      <c r="B59532" s="0" t="s">
        <v>14</v>
      </c>
      <c r="C59532" s="0" t="s">
        <v>9635</v>
      </c>
      <c r="D59532" s="0" t="s">
        <v>1411</v>
      </c>
      <c r="E59532" s="0" t="s">
        <v>1411</v>
      </c>
      <c r="F59532" s="0" t="s">
        <v>1411</v>
      </c>
    </row>
    <row r="59533" customFormat="false" ht="12.8" hidden="false" customHeight="false" outlineLevel="0" collapsed="false">
      <c r="B59533" s="0" t="s">
        <v>48</v>
      </c>
      <c r="D59533" s="0" t="s">
        <v>20536</v>
      </c>
      <c r="E59533" s="0" t="s">
        <v>20536</v>
      </c>
      <c r="F59533" s="0" t="s">
        <v>20536</v>
      </c>
    </row>
    <row r="59535" customFormat="false" ht="12.8" hidden="false" customHeight="false" outlineLevel="0" collapsed="false">
      <c r="A59535" s="0" t="s">
        <v>20537</v>
      </c>
      <c r="B59535" s="0" t="str">
        <f aca="false">HYPERLINK("https://lindat.mff.cuni.cz/services/teitok/pdtc10/index.php?action=vallex&amp;frame=v-w8372f1", "vysouvat se (v-w8372f1)")</f>
        <v>vysouvat se (v-w8372f1)</v>
      </c>
    </row>
    <row r="59536" customFormat="false" ht="12.8" hidden="false" customHeight="false" outlineLevel="0" collapsed="false">
      <c r="B59536" s="0" t="s">
        <v>7</v>
      </c>
    </row>
    <row r="59537" customFormat="false" ht="12.8" hidden="false" customHeight="false" outlineLevel="0" collapsed="false">
      <c r="B59537" s="0" t="s">
        <v>459</v>
      </c>
    </row>
    <row r="59539" customFormat="false" ht="12.8" hidden="false" customHeight="false" outlineLevel="0" collapsed="false">
      <c r="A59539" s="0" t="s">
        <v>20538</v>
      </c>
      <c r="B59539" s="0" t="str">
        <f aca="false">HYPERLINK("https://lindat.mff.cuni.cz/services/teitok/pdtc10/index.php?action=vallex&amp;frame=v-whsa_492f1_ZU", "vysoušet (v-whsa_492f1_ZU)")</f>
        <v>vysoušet (v-whsa_492f1_ZU)</v>
      </c>
    </row>
    <row r="59540" customFormat="false" ht="12.8" hidden="false" customHeight="false" outlineLevel="0" collapsed="false">
      <c r="B59540" s="0" t="s">
        <v>7</v>
      </c>
    </row>
    <row r="59541" customFormat="false" ht="12.8" hidden="false" customHeight="false" outlineLevel="0" collapsed="false">
      <c r="B59541" s="0" t="s">
        <v>14</v>
      </c>
    </row>
    <row r="59543" customFormat="false" ht="12.8" hidden="false" customHeight="false" outlineLevel="0" collapsed="false">
      <c r="A59543" s="0" t="s">
        <v>20538</v>
      </c>
      <c r="B59543" s="0" t="str">
        <f aca="false">HYPERLINK("https://lindat.mff.cuni.cz/services/teitok/pdtc10/index.php?action=vallex&amp;frame=v-whsa_492hsa_493", "vysoušet (v-whsa_492hsa_493) - substituted with v-whsa_492f1_ZU")</f>
        <v>vysoušet (v-whsa_492hsa_493) - substituted with v-whsa_492f1_ZU</v>
      </c>
    </row>
    <row r="59544" customFormat="false" ht="12.8" hidden="false" customHeight="false" outlineLevel="0" collapsed="false">
      <c r="B59544" s="0" t="s">
        <v>7</v>
      </c>
    </row>
    <row r="59545" customFormat="false" ht="12.8" hidden="false" customHeight="false" outlineLevel="0" collapsed="false">
      <c r="B59545" s="0" t="s">
        <v>14</v>
      </c>
    </row>
    <row r="59547" customFormat="false" ht="12.8" hidden="false" customHeight="false" outlineLevel="0" collapsed="false">
      <c r="A59547" s="0" t="s">
        <v>20539</v>
      </c>
      <c r="B59547" s="0" t="str">
        <f aca="false">HYPERLINK("https://lindat.mff.cuni.cz/services/teitok/pdtc10/index.php?action=vallex&amp;frame=v-w11628_ZUf1_ZU", "vyspat se (v-w11628_ZUf1_ZU)")</f>
        <v>vyspat se (v-w11628_ZUf1_ZU)</v>
      </c>
    </row>
    <row r="59548" customFormat="false" ht="12.8" hidden="false" customHeight="false" outlineLevel="0" collapsed="false">
      <c r="B59548" s="0" t="s">
        <v>7</v>
      </c>
    </row>
    <row r="59550" customFormat="false" ht="12.8" hidden="false" customHeight="false" outlineLevel="0" collapsed="false">
      <c r="A59550" s="0" t="s">
        <v>20540</v>
      </c>
      <c r="B59550" s="0" t="str">
        <f aca="false">HYPERLINK("https://lindat.mff.cuni.cz/services/teitok/pdtc10/index.php?action=vallex&amp;frame=v-w8374f1", "vyspravit (v-w8374f1)")</f>
        <v>vyspravit (v-w8374f1)</v>
      </c>
    </row>
    <row r="59551" customFormat="false" ht="12.8" hidden="false" customHeight="false" outlineLevel="0" collapsed="false">
      <c r="B59551" s="0" t="s">
        <v>7</v>
      </c>
    </row>
    <row r="59552" customFormat="false" ht="12.8" hidden="false" customHeight="false" outlineLevel="0" collapsed="false">
      <c r="B59552" s="0" t="s">
        <v>14</v>
      </c>
    </row>
    <row r="59554" customFormat="false" ht="12.8" hidden="false" customHeight="false" outlineLevel="0" collapsed="false">
      <c r="A59554" s="0" t="s">
        <v>20541</v>
      </c>
      <c r="B59554" s="0" t="str">
        <f aca="false">HYPERLINK("https://lindat.mff.cuni.cz/services/teitok/pdtc10/index.php?action=vallex&amp;frame=v-w8373f3", "vyspět (v-w8373f3)")</f>
        <v>vyspět (v-w8373f3)</v>
      </c>
    </row>
    <row r="59555" customFormat="false" ht="12.8" hidden="false" customHeight="false" outlineLevel="0" collapsed="false">
      <c r="B59555" s="0" t="s">
        <v>7</v>
      </c>
    </row>
    <row r="59556" customFormat="false" ht="12.8" hidden="false" customHeight="false" outlineLevel="0" collapsed="false">
      <c r="B59556" s="0" t="s">
        <v>2275</v>
      </c>
    </row>
    <row r="59557" customFormat="false" ht="12.8" hidden="false" customHeight="false" outlineLevel="0" collapsed="false">
      <c r="B59557" s="0" t="s">
        <v>35</v>
      </c>
    </row>
    <row r="59559" customFormat="false" ht="12.8" hidden="false" customHeight="false" outlineLevel="0" collapsed="false">
      <c r="A59559" s="0" t="s">
        <v>20542</v>
      </c>
      <c r="B59559" s="0" t="str">
        <f aca="false">HYPERLINK("https://lindat.mff.cuni.cz/services/teitok/pdtc10/index.php?action=vallex&amp;frame=v-w8373f1", "vyspět (v-w8373f1)")</f>
        <v>vyspět (v-w8373f1)</v>
      </c>
    </row>
    <row r="59560" customFormat="false" ht="12.8" hidden="false" customHeight="false" outlineLevel="0" collapsed="false">
      <c r="B59560" s="0" t="s">
        <v>7</v>
      </c>
    </row>
    <row r="59561" customFormat="false" ht="12.8" hidden="false" customHeight="false" outlineLevel="0" collapsed="false">
      <c r="B59561" s="0" t="s">
        <v>227</v>
      </c>
    </row>
    <row r="59563" customFormat="false" ht="12.8" hidden="false" customHeight="false" outlineLevel="0" collapsed="false">
      <c r="A59563" s="0" t="s">
        <v>20543</v>
      </c>
      <c r="B59563" s="0" t="str">
        <f aca="false">HYPERLINK("https://lindat.mff.cuni.cz/services/teitok/pdtc10/index.php?action=vallex&amp;frame=v-w8373f2", "vyspět (v-w8373f2)")</f>
        <v>vyspět (v-w8373f2)</v>
      </c>
    </row>
    <row r="59564" customFormat="false" ht="12.8" hidden="false" customHeight="false" outlineLevel="0" collapsed="false">
      <c r="B59564" s="0" t="s">
        <v>7</v>
      </c>
    </row>
    <row r="59566" customFormat="false" ht="12.8" hidden="false" customHeight="false" outlineLevel="0" collapsed="false">
      <c r="A59566" s="0" t="s">
        <v>20544</v>
      </c>
      <c r="B59566" s="0" t="str">
        <f aca="false">HYPERLINK("https://lindat.mff.cuni.cz/services/teitok/pdtc10/index.php?action=vallex&amp;frame=v-whsa_747hsa_748", "vystartovat (v-whsa_747hsa_748)")</f>
        <v>vystartovat (v-whsa_747hsa_748)</v>
      </c>
    </row>
    <row r="59567" customFormat="false" ht="12.8" hidden="false" customHeight="false" outlineLevel="0" collapsed="false">
      <c r="B59567" s="0" t="s">
        <v>7</v>
      </c>
      <c r="C59567" s="0" t="s">
        <v>335</v>
      </c>
    </row>
    <row r="59568" customFormat="false" ht="12.8" hidden="false" customHeight="false" outlineLevel="0" collapsed="false">
      <c r="B59568" s="0" t="s">
        <v>9079</v>
      </c>
      <c r="C59568" s="0" t="s">
        <v>115</v>
      </c>
    </row>
    <row r="59570" customFormat="false" ht="12.8" hidden="false" customHeight="false" outlineLevel="0" collapsed="false">
      <c r="A59570" s="0" t="s">
        <v>20545</v>
      </c>
      <c r="B59570" s="0" t="str">
        <f aca="false">HYPERLINK("https://lindat.mff.cuni.cz/services/teitok/pdtc10/index.php?action=vallex&amp;frame=v-whsa_747f1_ZU", "vystartovat (v-whsa_747f1_ZU)")</f>
        <v>vystartovat (v-whsa_747f1_ZU)</v>
      </c>
    </row>
    <row r="59571" customFormat="false" ht="12.8" hidden="false" customHeight="false" outlineLevel="0" collapsed="false">
      <c r="B59571" s="0" t="s">
        <v>7</v>
      </c>
    </row>
    <row r="59572" customFormat="false" ht="12.8" hidden="false" customHeight="false" outlineLevel="0" collapsed="false">
      <c r="B59572" s="0" t="s">
        <v>5382</v>
      </c>
    </row>
    <row r="59574" customFormat="false" ht="12.8" hidden="false" customHeight="false" outlineLevel="0" collapsed="false">
      <c r="A59574" s="0" t="s">
        <v>20546</v>
      </c>
      <c r="B59574" s="0" t="str">
        <f aca="false">HYPERLINK("https://lindat.mff.cuni.cz/services/teitok/pdtc10/index.php?action=vallex&amp;frame=v-w8384f2", "vystavit (v-w8384f2)")</f>
        <v>vystavit (v-w8384f2)</v>
      </c>
    </row>
    <row r="59575" customFormat="false" ht="12.8" hidden="false" customHeight="false" outlineLevel="0" collapsed="false">
      <c r="B59575" s="0" t="s">
        <v>7</v>
      </c>
      <c r="C59575" s="0" t="s">
        <v>10431</v>
      </c>
      <c r="D59575" s="0" t="s">
        <v>108</v>
      </c>
      <c r="E59575" s="0" t="s">
        <v>108</v>
      </c>
      <c r="F59575" s="0" t="s">
        <v>108</v>
      </c>
    </row>
    <row r="59576" customFormat="false" ht="12.8" hidden="false" customHeight="false" outlineLevel="0" collapsed="false">
      <c r="B59576" s="0" t="s">
        <v>142</v>
      </c>
      <c r="C59576" s="0" t="s">
        <v>20547</v>
      </c>
      <c r="D59576" s="0" t="s">
        <v>10052</v>
      </c>
      <c r="E59576" s="0" t="s">
        <v>10052</v>
      </c>
      <c r="F59576" s="0" t="s">
        <v>10052</v>
      </c>
    </row>
    <row r="59577" customFormat="false" ht="12.8" hidden="false" customHeight="false" outlineLevel="0" collapsed="false">
      <c r="B59577" s="0" t="s">
        <v>81</v>
      </c>
      <c r="C59577" s="0" t="s">
        <v>20548</v>
      </c>
      <c r="D59577" s="0" t="s">
        <v>10053</v>
      </c>
      <c r="E59577" s="0" t="s">
        <v>10053</v>
      </c>
      <c r="F59577" s="0" t="s">
        <v>10053</v>
      </c>
    </row>
    <row r="59579" customFormat="false" ht="12.8" hidden="false" customHeight="false" outlineLevel="0" collapsed="false">
      <c r="A59579" s="0" t="s">
        <v>20549</v>
      </c>
      <c r="B59579" s="0" t="str">
        <f aca="false">HYPERLINK("https://lindat.mff.cuni.cz/services/teitok/pdtc10/index.php?action=vallex&amp;frame=v-w8384f4", "vystavit (v-w8384f4)")</f>
        <v>vystavit (v-w8384f4)</v>
      </c>
    </row>
    <row r="59580" customFormat="false" ht="12.8" hidden="false" customHeight="false" outlineLevel="0" collapsed="false">
      <c r="B59580" s="0" t="s">
        <v>7</v>
      </c>
      <c r="C59580" s="0" t="s">
        <v>623</v>
      </c>
    </row>
    <row r="59581" customFormat="false" ht="12.8" hidden="false" customHeight="false" outlineLevel="0" collapsed="false">
      <c r="B59581" s="0" t="s">
        <v>14</v>
      </c>
      <c r="C59581" s="0" t="s">
        <v>20550</v>
      </c>
    </row>
    <row r="59582" customFormat="false" ht="12.8" hidden="false" customHeight="false" outlineLevel="0" collapsed="false">
      <c r="B59582" s="0" t="s">
        <v>48</v>
      </c>
      <c r="C59582" s="0" t="s">
        <v>7373</v>
      </c>
    </row>
    <row r="59584" customFormat="false" ht="12.8" hidden="false" customHeight="false" outlineLevel="0" collapsed="false">
      <c r="A59584" s="0" t="s">
        <v>20551</v>
      </c>
      <c r="B59584" s="0" t="str">
        <f aca="false">HYPERLINK("https://lindat.mff.cuni.cz/services/teitok/pdtc10/index.php?action=vallex&amp;frame=v-w8384f3", "vystavit (v-w8384f3)")</f>
        <v>vystavit (v-w8384f3)</v>
      </c>
    </row>
    <row r="59585" customFormat="false" ht="12.8" hidden="false" customHeight="false" outlineLevel="0" collapsed="false">
      <c r="B59585" s="0" t="s">
        <v>7</v>
      </c>
    </row>
    <row r="59586" customFormat="false" ht="12.8" hidden="false" customHeight="false" outlineLevel="0" collapsed="false">
      <c r="B59586" s="0" t="s">
        <v>14</v>
      </c>
    </row>
    <row r="59587" customFormat="false" ht="12.8" hidden="false" customHeight="false" outlineLevel="0" collapsed="false">
      <c r="B59587" s="0" t="s">
        <v>35</v>
      </c>
    </row>
    <row r="59589" customFormat="false" ht="12.8" hidden="false" customHeight="false" outlineLevel="0" collapsed="false">
      <c r="A59589" s="0" t="s">
        <v>20552</v>
      </c>
      <c r="B59589" s="0" t="str">
        <f aca="false">HYPERLINK("https://lindat.mff.cuni.cz/services/teitok/pdtc10/index.php?action=vallex&amp;frame=v-w8384f1", "vystavit (v-w8384f1)")</f>
        <v>vystavit (v-w8384f1)</v>
      </c>
    </row>
    <row r="59590" customFormat="false" ht="12.8" hidden="false" customHeight="false" outlineLevel="0" collapsed="false">
      <c r="B59590" s="0" t="s">
        <v>7</v>
      </c>
      <c r="C59590" s="0" t="s">
        <v>1386</v>
      </c>
      <c r="D59590" s="0" t="s">
        <v>20553</v>
      </c>
      <c r="E59590" s="0" t="s">
        <v>20553</v>
      </c>
      <c r="F59590" s="0" t="s">
        <v>20553</v>
      </c>
    </row>
    <row r="59591" customFormat="false" ht="12.8" hidden="false" customHeight="false" outlineLevel="0" collapsed="false">
      <c r="B59591" s="0" t="s">
        <v>14</v>
      </c>
      <c r="C59591" s="0" t="s">
        <v>15516</v>
      </c>
      <c r="D59591" s="0" t="s">
        <v>20554</v>
      </c>
      <c r="E59591" s="0" t="s">
        <v>20554</v>
      </c>
      <c r="F59591" s="0" t="s">
        <v>20554</v>
      </c>
    </row>
    <row r="59593" customFormat="false" ht="12.8" hidden="false" customHeight="false" outlineLevel="0" collapsed="false">
      <c r="A59593" s="0" t="s">
        <v>20555</v>
      </c>
      <c r="B59593" s="0" t="str">
        <f aca="false">HYPERLINK("https://lindat.mff.cuni.cz/services/teitok/pdtc10/index.php?action=vallex&amp;frame=v-w8386f2", "vystavovat (v-w8386f2)")</f>
        <v>vystavovat (v-w8386f2)</v>
      </c>
    </row>
    <row r="59594" customFormat="false" ht="12.8" hidden="false" customHeight="false" outlineLevel="0" collapsed="false">
      <c r="B59594" s="0" t="s">
        <v>7</v>
      </c>
      <c r="C59594" s="0" t="s">
        <v>20556</v>
      </c>
      <c r="D59594" s="0" t="s">
        <v>108</v>
      </c>
      <c r="E59594" s="0" t="s">
        <v>108</v>
      </c>
      <c r="F59594" s="0" t="s">
        <v>108</v>
      </c>
    </row>
    <row r="59595" customFormat="false" ht="12.8" hidden="false" customHeight="false" outlineLevel="0" collapsed="false">
      <c r="B59595" s="0" t="s">
        <v>142</v>
      </c>
      <c r="C59595" s="0" t="s">
        <v>20557</v>
      </c>
      <c r="D59595" s="0" t="s">
        <v>10052</v>
      </c>
      <c r="E59595" s="0" t="s">
        <v>10052</v>
      </c>
      <c r="F59595" s="0" t="s">
        <v>10052</v>
      </c>
    </row>
    <row r="59596" customFormat="false" ht="12.8" hidden="false" customHeight="false" outlineLevel="0" collapsed="false">
      <c r="B59596" s="0" t="s">
        <v>81</v>
      </c>
      <c r="C59596" s="0" t="s">
        <v>20558</v>
      </c>
      <c r="D59596" s="0" t="s">
        <v>10053</v>
      </c>
      <c r="E59596" s="0" t="s">
        <v>10053</v>
      </c>
      <c r="F59596" s="0" t="s">
        <v>10053</v>
      </c>
    </row>
    <row r="59598" customFormat="false" ht="12.8" hidden="false" customHeight="false" outlineLevel="0" collapsed="false">
      <c r="A59598" s="0" t="s">
        <v>20559</v>
      </c>
      <c r="B59598" s="0" t="str">
        <f aca="false">HYPERLINK("https://lindat.mff.cuni.cz/services/teitok/pdtc10/index.php?action=vallex&amp;frame=v-w8386f3", "vystavovat (v-w8386f3)")</f>
        <v>vystavovat (v-w8386f3)</v>
      </c>
    </row>
    <row r="59599" customFormat="false" ht="12.8" hidden="false" customHeight="false" outlineLevel="0" collapsed="false">
      <c r="B59599" s="0" t="s">
        <v>7</v>
      </c>
    </row>
    <row r="59600" customFormat="false" ht="12.8" hidden="false" customHeight="false" outlineLevel="0" collapsed="false">
      <c r="B59600" s="0" t="s">
        <v>14</v>
      </c>
    </row>
    <row r="59601" customFormat="false" ht="12.8" hidden="false" customHeight="false" outlineLevel="0" collapsed="false">
      <c r="B59601" s="0" t="s">
        <v>35</v>
      </c>
    </row>
    <row r="59603" customFormat="false" ht="12.8" hidden="false" customHeight="false" outlineLevel="0" collapsed="false">
      <c r="A59603" s="0" t="s">
        <v>20560</v>
      </c>
      <c r="B59603" s="0" t="str">
        <f aca="false">HYPERLINK("https://lindat.mff.cuni.cz/services/teitok/pdtc10/index.php?action=vallex&amp;frame=v-w8386f1", "vystavovat (v-w8386f1)")</f>
        <v>vystavovat (v-w8386f1)</v>
      </c>
    </row>
    <row r="59604" customFormat="false" ht="12.8" hidden="false" customHeight="false" outlineLevel="0" collapsed="false">
      <c r="B59604" s="0" t="s">
        <v>7</v>
      </c>
      <c r="C59604" s="0" t="s">
        <v>20561</v>
      </c>
      <c r="D59604" s="0" t="s">
        <v>20553</v>
      </c>
      <c r="E59604" s="0" t="s">
        <v>20553</v>
      </c>
      <c r="F59604" s="0" t="s">
        <v>20553</v>
      </c>
    </row>
    <row r="59605" customFormat="false" ht="12.8" hidden="false" customHeight="false" outlineLevel="0" collapsed="false">
      <c r="B59605" s="0" t="s">
        <v>14</v>
      </c>
      <c r="C59605" s="0" t="s">
        <v>493</v>
      </c>
      <c r="D59605" s="0" t="s">
        <v>20554</v>
      </c>
      <c r="E59605" s="0" t="s">
        <v>20554</v>
      </c>
      <c r="F59605" s="0" t="s">
        <v>20554</v>
      </c>
    </row>
    <row r="59607" customFormat="false" ht="12.8" hidden="false" customHeight="false" outlineLevel="0" collapsed="false">
      <c r="A59607" s="0" t="s">
        <v>20562</v>
      </c>
      <c r="B59607" s="0" t="str">
        <f aca="false">HYPERLINK("https://lindat.mff.cuni.cz/services/teitok/pdtc10/index.php?action=vallex&amp;frame=v-whsa_1990hsa_1991", "vystavovat se (v-whsa_1990hsa_1991)")</f>
        <v>vystavovat se (v-whsa_1990hsa_1991)</v>
      </c>
    </row>
    <row r="59608" customFormat="false" ht="12.8" hidden="false" customHeight="false" outlineLevel="0" collapsed="false">
      <c r="B59608" s="0" t="s">
        <v>7</v>
      </c>
    </row>
    <row r="59609" customFormat="false" ht="12.8" hidden="false" customHeight="false" outlineLevel="0" collapsed="false">
      <c r="B59609" s="0" t="s">
        <v>1400</v>
      </c>
    </row>
    <row r="59611" customFormat="false" ht="12.8" hidden="false" customHeight="false" outlineLevel="0" collapsed="false">
      <c r="A59611" s="0" t="s">
        <v>20563</v>
      </c>
      <c r="B59611" s="0" t="str">
        <f aca="false">HYPERLINK("https://lindat.mff.cuni.cz/services/teitok/pdtc10/index.php?action=vallex&amp;frame=v-w8383f1", "vystavět (v-w8383f1)")</f>
        <v>vystavět (v-w8383f1)</v>
      </c>
    </row>
    <row r="59612" customFormat="false" ht="12.8" hidden="false" customHeight="false" outlineLevel="0" collapsed="false">
      <c r="B59612" s="0" t="s">
        <v>7</v>
      </c>
      <c r="C59612" s="0" t="s">
        <v>514</v>
      </c>
      <c r="D59612" s="0" t="s">
        <v>19236</v>
      </c>
      <c r="E59612" s="0" t="s">
        <v>19236</v>
      </c>
      <c r="F59612" s="0" t="s">
        <v>19236</v>
      </c>
    </row>
    <row r="59613" customFormat="false" ht="12.8" hidden="false" customHeight="false" outlineLevel="0" collapsed="false">
      <c r="B59613" s="0" t="s">
        <v>14</v>
      </c>
      <c r="C59613" s="0" t="s">
        <v>4800</v>
      </c>
      <c r="D59613" s="0" t="s">
        <v>19237</v>
      </c>
      <c r="E59613" s="0" t="s">
        <v>19237</v>
      </c>
      <c r="F59613" s="0" t="s">
        <v>19237</v>
      </c>
    </row>
    <row r="59614" customFormat="false" ht="12.8" hidden="false" customHeight="false" outlineLevel="0" collapsed="false">
      <c r="B59614" s="0" t="s">
        <v>303</v>
      </c>
      <c r="C59614" s="0" t="s">
        <v>5459</v>
      </c>
      <c r="D59614" s="0" t="s">
        <v>19238</v>
      </c>
      <c r="E59614" s="0" t="s">
        <v>19238</v>
      </c>
      <c r="F59614" s="0" t="s">
        <v>19238</v>
      </c>
    </row>
    <row r="59616" customFormat="false" ht="12.8" hidden="false" customHeight="false" outlineLevel="0" collapsed="false">
      <c r="A59616" s="0" t="s">
        <v>20564</v>
      </c>
      <c r="B59616" s="0" t="str">
        <f aca="false">HYPERLINK("https://lindat.mff.cuni.cz/services/teitok/pdtc10/index.php?action=vallex&amp;frame=v-w8383f2_ZU", "vystavět (v-w8383f2_ZU)")</f>
        <v>vystavět (v-w8383f2_ZU)</v>
      </c>
    </row>
    <row r="59617" customFormat="false" ht="12.8" hidden="false" customHeight="false" outlineLevel="0" collapsed="false">
      <c r="B59617" s="0" t="s">
        <v>7</v>
      </c>
      <c r="C59617" s="0" t="s">
        <v>514</v>
      </c>
      <c r="D59617" s="0" t="s">
        <v>4799</v>
      </c>
      <c r="E59617" s="0" t="s">
        <v>10877</v>
      </c>
      <c r="F59617" s="0" t="s">
        <v>10877</v>
      </c>
    </row>
    <row r="59618" customFormat="false" ht="12.8" hidden="false" customHeight="false" outlineLevel="0" collapsed="false">
      <c r="B59618" s="0" t="s">
        <v>14</v>
      </c>
      <c r="C59618" s="0" t="s">
        <v>4800</v>
      </c>
      <c r="D59618" s="0" t="s">
        <v>4801</v>
      </c>
      <c r="E59618" s="0" t="s">
        <v>10879</v>
      </c>
      <c r="F59618" s="0" t="s">
        <v>10879</v>
      </c>
    </row>
    <row r="59619" customFormat="false" ht="12.8" hidden="false" customHeight="false" outlineLevel="0" collapsed="false">
      <c r="B59619" s="0" t="s">
        <v>35</v>
      </c>
      <c r="C59619" s="0" t="s">
        <v>5459</v>
      </c>
      <c r="D59619" s="0" t="s">
        <v>5460</v>
      </c>
      <c r="E59619" s="0" t="s">
        <v>10746</v>
      </c>
      <c r="F59619" s="0" t="s">
        <v>10746</v>
      </c>
    </row>
    <row r="59621" customFormat="false" ht="12.8" hidden="false" customHeight="false" outlineLevel="0" collapsed="false">
      <c r="A59621" s="0" t="s">
        <v>20564</v>
      </c>
      <c r="B59621" s="0" t="str">
        <f aca="false">HYPERLINK("https://lindat.mff.cuni.cz/services/teitok/pdtc10/index.php?action=vallex&amp;frame=v-w8383hsa_1197", "vystavět (v-w8383hsa_1197) - substituted with v-w8383f2_ZU")</f>
        <v>vystavět (v-w8383hsa_1197) - substituted with v-w8383f2_ZU</v>
      </c>
    </row>
    <row r="59622" customFormat="false" ht="12.8" hidden="false" customHeight="false" outlineLevel="0" collapsed="false">
      <c r="B59622" s="0" t="s">
        <v>7</v>
      </c>
    </row>
    <row r="59623" customFormat="false" ht="12.8" hidden="false" customHeight="false" outlineLevel="0" collapsed="false">
      <c r="B59623" s="0" t="s">
        <v>14</v>
      </c>
    </row>
    <row r="59624" customFormat="false" ht="12.8" hidden="false" customHeight="false" outlineLevel="0" collapsed="false">
      <c r="B59624" s="0" t="s">
        <v>35</v>
      </c>
    </row>
    <row r="59626" customFormat="false" ht="12.8" hidden="false" customHeight="false" outlineLevel="0" collapsed="false">
      <c r="A59626" s="0" t="s">
        <v>20565</v>
      </c>
      <c r="B59626" s="0" t="str">
        <f aca="false">HYPERLINK("https://lindat.mff.cuni.cz/services/teitok/pdtc10/index.php?action=vallex&amp;frame=v-w8375f2", "vystačit (v-w8375f2)")</f>
        <v>vystačit (v-w8375f2)</v>
      </c>
    </row>
    <row r="59627" customFormat="false" ht="12.8" hidden="false" customHeight="false" outlineLevel="0" collapsed="false">
      <c r="B59627" s="0" t="s">
        <v>2446</v>
      </c>
    </row>
    <row r="59628" customFormat="false" ht="12.8" hidden="false" customHeight="false" outlineLevel="0" collapsed="false">
      <c r="B59628" s="0" t="s">
        <v>142</v>
      </c>
    </row>
    <row r="59630" customFormat="false" ht="12.8" hidden="false" customHeight="false" outlineLevel="0" collapsed="false">
      <c r="A59630" s="0" t="s">
        <v>20566</v>
      </c>
      <c r="B59630" s="0" t="str">
        <f aca="false">HYPERLINK("https://lindat.mff.cuni.cz/services/teitok/pdtc10/index.php?action=vallex&amp;frame=v-w8375f1", "vystačit (v-w8375f1)")</f>
        <v>vystačit (v-w8375f1)</v>
      </c>
    </row>
    <row r="59631" customFormat="false" ht="12.8" hidden="false" customHeight="false" outlineLevel="0" collapsed="false">
      <c r="B59631" s="0" t="s">
        <v>7</v>
      </c>
    </row>
    <row r="59632" customFormat="false" ht="12.8" hidden="false" customHeight="false" outlineLevel="0" collapsed="false">
      <c r="B59632" s="0" t="s">
        <v>548</v>
      </c>
    </row>
    <row r="59634" customFormat="false" ht="12.8" hidden="false" customHeight="false" outlineLevel="0" collapsed="false">
      <c r="A59634" s="0" t="s">
        <v>20567</v>
      </c>
      <c r="B59634" s="0" t="str">
        <f aca="false">HYPERLINK("https://lindat.mff.cuni.cz/services/teitok/pdtc10/index.php?action=vallex&amp;frame=v-w8376f1", "vystačit si (v-w8376f1)")</f>
        <v>vystačit si (v-w8376f1)</v>
      </c>
    </row>
    <row r="59635" customFormat="false" ht="12.8" hidden="false" customHeight="false" outlineLevel="0" collapsed="false">
      <c r="B59635" s="0" t="s">
        <v>7</v>
      </c>
      <c r="C59635" s="0" t="s">
        <v>46</v>
      </c>
      <c r="D59635" s="0" t="s">
        <v>184</v>
      </c>
      <c r="E59635" s="0" t="s">
        <v>184</v>
      </c>
      <c r="F59635" s="0" t="s">
        <v>184</v>
      </c>
    </row>
    <row r="59636" customFormat="false" ht="12.8" hidden="false" customHeight="false" outlineLevel="0" collapsed="false">
      <c r="B59636" s="0" t="s">
        <v>548</v>
      </c>
      <c r="C59636" s="0" t="s">
        <v>567</v>
      </c>
      <c r="D59636" s="0" t="s">
        <v>6832</v>
      </c>
      <c r="E59636" s="0" t="s">
        <v>6832</v>
      </c>
      <c r="F59636" s="0" t="s">
        <v>6832</v>
      </c>
    </row>
    <row r="59638" customFormat="false" ht="12.8" hidden="false" customHeight="false" outlineLevel="0" collapsed="false">
      <c r="A59638" s="0" t="s">
        <v>20568</v>
      </c>
      <c r="B59638" s="0" t="str">
        <f aca="false">HYPERLINK("https://lindat.mff.cuni.cz/services/teitok/pdtc10/index.php?action=vallex&amp;frame=v-w8376f2", "vystačit si (v-w8376f2)")</f>
        <v>vystačit si (v-w8376f2)</v>
      </c>
    </row>
    <row r="59639" customFormat="false" ht="12.8" hidden="false" customHeight="false" outlineLevel="0" collapsed="false">
      <c r="B59639" s="0" t="s">
        <v>7</v>
      </c>
    </row>
    <row r="59640" customFormat="false" ht="12.8" hidden="false" customHeight="false" outlineLevel="0" collapsed="false">
      <c r="B59640" s="0" t="s">
        <v>63</v>
      </c>
    </row>
    <row r="59642" customFormat="false" ht="12.8" hidden="false" customHeight="false" outlineLevel="0" collapsed="false">
      <c r="A59642" s="0" t="s">
        <v>20569</v>
      </c>
      <c r="B59642" s="0" t="str">
        <f aca="false">HYPERLINK("https://lindat.mff.cuni.cz/services/teitok/pdtc10/index.php?action=vallex&amp;frame=v-w8391f1", "vystihnout (v-w8391f1)")</f>
        <v>vystihnout (v-w8391f1)</v>
      </c>
    </row>
    <row r="59643" customFormat="false" ht="12.8" hidden="false" customHeight="false" outlineLevel="0" collapsed="false">
      <c r="B59643" s="0" t="s">
        <v>7</v>
      </c>
      <c r="C59643" s="0" t="s">
        <v>1702</v>
      </c>
    </row>
    <row r="59644" customFormat="false" ht="12.8" hidden="false" customHeight="false" outlineLevel="0" collapsed="false">
      <c r="B59644" s="0" t="s">
        <v>10925</v>
      </c>
      <c r="C59644" s="0" t="s">
        <v>567</v>
      </c>
    </row>
    <row r="59646" customFormat="false" ht="12.8" hidden="false" customHeight="false" outlineLevel="0" collapsed="false">
      <c r="A59646" s="0" t="s">
        <v>20570</v>
      </c>
      <c r="B59646" s="0" t="str">
        <f aca="false">HYPERLINK("https://lindat.mff.cuni.cz/services/teitok/pdtc10/index.php?action=vallex&amp;frame=v-w8392f1", "vystihovat (v-w8392f1)")</f>
        <v>vystihovat (v-w8392f1)</v>
      </c>
    </row>
    <row r="59647" customFormat="false" ht="12.8" hidden="false" customHeight="false" outlineLevel="0" collapsed="false">
      <c r="B59647" s="0" t="s">
        <v>7</v>
      </c>
      <c r="C59647" s="0" t="s">
        <v>8436</v>
      </c>
    </row>
    <row r="59648" customFormat="false" ht="12.8" hidden="false" customHeight="false" outlineLevel="0" collapsed="false">
      <c r="B59648" s="0" t="s">
        <v>14</v>
      </c>
      <c r="C59648" s="0" t="s">
        <v>8437</v>
      </c>
    </row>
    <row r="59650" customFormat="false" ht="12.8" hidden="false" customHeight="false" outlineLevel="0" collapsed="false">
      <c r="A59650" s="0" t="s">
        <v>20571</v>
      </c>
      <c r="B59650" s="0" t="str">
        <f aca="false">HYPERLINK("https://lindat.mff.cuni.cz/services/teitok/pdtc10/index.php?action=vallex&amp;frame=v-w10065f2", "vystlat (v-w10065f2)")</f>
        <v>vystlat (v-w10065f2)</v>
      </c>
    </row>
    <row r="59651" customFormat="false" ht="12.8" hidden="false" customHeight="false" outlineLevel="0" collapsed="false">
      <c r="B59651" s="0" t="s">
        <v>7</v>
      </c>
    </row>
    <row r="59652" customFormat="false" ht="12.8" hidden="false" customHeight="false" outlineLevel="0" collapsed="false">
      <c r="B59652" s="0" t="s">
        <v>14</v>
      </c>
    </row>
    <row r="59653" customFormat="false" ht="12.8" hidden="false" customHeight="false" outlineLevel="0" collapsed="false">
      <c r="B59653" s="0" t="s">
        <v>6292</v>
      </c>
    </row>
    <row r="59655" customFormat="false" ht="12.8" hidden="false" customHeight="false" outlineLevel="0" collapsed="false">
      <c r="A59655" s="0" t="s">
        <v>20572</v>
      </c>
      <c r="B59655" s="0" t="str">
        <f aca="false">HYPERLINK("https://lindat.mff.cuni.cz/services/teitok/pdtc10/index.php?action=vallex&amp;frame=v-w8394f1", "vystopovat (v-w8394f1)")</f>
        <v>vystopovat (v-w8394f1)</v>
      </c>
    </row>
    <row r="59656" customFormat="false" ht="12.8" hidden="false" customHeight="false" outlineLevel="0" collapsed="false">
      <c r="B59656" s="0" t="s">
        <v>7</v>
      </c>
      <c r="C59656" s="0" t="s">
        <v>8058</v>
      </c>
      <c r="D59656" s="0" t="s">
        <v>6342</v>
      </c>
      <c r="E59656" s="0" t="s">
        <v>6342</v>
      </c>
      <c r="F59656" s="0" t="s">
        <v>6342</v>
      </c>
    </row>
    <row r="59657" customFormat="false" ht="12.8" hidden="false" customHeight="false" outlineLevel="0" collapsed="false">
      <c r="B59657" s="0" t="s">
        <v>172</v>
      </c>
      <c r="C59657" s="0" t="s">
        <v>1205</v>
      </c>
      <c r="D59657" s="0" t="s">
        <v>6344</v>
      </c>
      <c r="E59657" s="0" t="s">
        <v>6344</v>
      </c>
      <c r="F59657" s="0" t="s">
        <v>6344</v>
      </c>
    </row>
    <row r="59659" customFormat="false" ht="12.8" hidden="false" customHeight="false" outlineLevel="0" collapsed="false">
      <c r="A59659" s="0" t="s">
        <v>20573</v>
      </c>
      <c r="B59659" s="0" t="str">
        <f aca="false">HYPERLINK("https://lindat.mff.cuni.cz/services/teitok/pdtc10/index.php?action=vallex&amp;frame=v-w11117f3", "vystoupat (v-w11117f3)")</f>
        <v>vystoupat (v-w11117f3)</v>
      </c>
    </row>
    <row r="59660" customFormat="false" ht="12.8" hidden="false" customHeight="false" outlineLevel="0" collapsed="false">
      <c r="B59660" s="0" t="s">
        <v>7</v>
      </c>
      <c r="C59660" s="0" t="s">
        <v>20574</v>
      </c>
      <c r="D59660" s="0" t="s">
        <v>6244</v>
      </c>
      <c r="E59660" s="0" t="s">
        <v>6244</v>
      </c>
      <c r="F59660" s="0" t="s">
        <v>6244</v>
      </c>
    </row>
    <row r="59661" customFormat="false" ht="12.8" hidden="false" customHeight="false" outlineLevel="0" collapsed="false">
      <c r="B59661" s="0" t="s">
        <v>63</v>
      </c>
      <c r="C59661" s="0" t="s">
        <v>20575</v>
      </c>
      <c r="D59661" s="0" t="s">
        <v>4496</v>
      </c>
      <c r="E59661" s="0" t="s">
        <v>4496</v>
      </c>
      <c r="F59661" s="0" t="s">
        <v>4496</v>
      </c>
    </row>
    <row r="59662" customFormat="false" ht="12.8" hidden="false" customHeight="false" outlineLevel="0" collapsed="false">
      <c r="B59662" s="0" t="s">
        <v>35</v>
      </c>
      <c r="C59662" s="0" t="s">
        <v>20576</v>
      </c>
      <c r="D59662" s="0" t="s">
        <v>4497</v>
      </c>
      <c r="E59662" s="0" t="s">
        <v>4497</v>
      </c>
      <c r="F59662" s="0" t="s">
        <v>4497</v>
      </c>
    </row>
    <row r="59664" customFormat="false" ht="12.8" hidden="false" customHeight="false" outlineLevel="0" collapsed="false">
      <c r="A59664" s="0" t="s">
        <v>20577</v>
      </c>
      <c r="B59664" s="0" t="str">
        <f aca="false">HYPERLINK("https://lindat.mff.cuni.cz/services/teitok/pdtc10/index.php?action=vallex&amp;frame=v-w11117f2", "vystoupat (v-w11117f2)")</f>
        <v>vystoupat (v-w11117f2)</v>
      </c>
    </row>
    <row r="59665" customFormat="false" ht="12.8" hidden="false" customHeight="false" outlineLevel="0" collapsed="false">
      <c r="B59665" s="0" t="s">
        <v>7</v>
      </c>
      <c r="C59665" s="0" t="s">
        <v>20578</v>
      </c>
      <c r="D59665" s="0" t="s">
        <v>73</v>
      </c>
      <c r="E59665" s="0" t="s">
        <v>73</v>
      </c>
      <c r="F59665" s="0" t="s">
        <v>73</v>
      </c>
    </row>
    <row r="59666" customFormat="false" ht="12.8" hidden="false" customHeight="false" outlineLevel="0" collapsed="false">
      <c r="B59666" s="0" t="s">
        <v>124</v>
      </c>
      <c r="C59666" s="0" t="s">
        <v>20579</v>
      </c>
    </row>
    <row r="59668" customFormat="false" ht="12.8" hidden="false" customHeight="false" outlineLevel="0" collapsed="false">
      <c r="A59668" s="0" t="s">
        <v>20580</v>
      </c>
      <c r="B59668" s="0" t="str">
        <f aca="false">HYPERLINK("https://lindat.mff.cuni.cz/services/teitok/pdtc10/index.php?action=vallex&amp;frame=v-w11117hsa_503", "vystoupat (v-w11117hsa_503)")</f>
        <v>vystoupat (v-w11117hsa_503)</v>
      </c>
    </row>
    <row r="59669" customFormat="false" ht="12.8" hidden="false" customHeight="false" outlineLevel="0" collapsed="false">
      <c r="B59669" s="0" t="s">
        <v>7</v>
      </c>
    </row>
    <row r="59670" customFormat="false" ht="12.8" hidden="false" customHeight="false" outlineLevel="0" collapsed="false">
      <c r="B59670" s="0" t="s">
        <v>124</v>
      </c>
    </row>
    <row r="59672" customFormat="false" ht="12.8" hidden="false" customHeight="false" outlineLevel="0" collapsed="false">
      <c r="A59672" s="0" t="s">
        <v>20581</v>
      </c>
      <c r="B59672" s="0" t="str">
        <f aca="false">HYPERLINK("https://lindat.mff.cuni.cz/services/teitok/pdtc10/index.php?action=vallex&amp;frame=v-w8396f4", "vystoupit (v-w8396f4)")</f>
        <v>vystoupit (v-w8396f4)</v>
      </c>
    </row>
    <row r="59673" customFormat="false" ht="12.8" hidden="false" customHeight="false" outlineLevel="0" collapsed="false">
      <c r="B59673" s="0" t="s">
        <v>7</v>
      </c>
      <c r="D59673" s="0" t="s">
        <v>351</v>
      </c>
      <c r="E59673" s="0" t="s">
        <v>351</v>
      </c>
      <c r="F59673" s="0" t="s">
        <v>351</v>
      </c>
    </row>
    <row r="59674" customFormat="false" ht="12.8" hidden="false" customHeight="false" outlineLevel="0" collapsed="false">
      <c r="B59674" s="0" t="s">
        <v>14434</v>
      </c>
      <c r="D59674" s="0" t="s">
        <v>7637</v>
      </c>
      <c r="E59674" s="0" t="s">
        <v>7637</v>
      </c>
      <c r="F59674" s="0" t="s">
        <v>7637</v>
      </c>
    </row>
    <row r="59676" customFormat="false" ht="12.8" hidden="false" customHeight="false" outlineLevel="0" collapsed="false">
      <c r="A59676" s="0" t="s">
        <v>20582</v>
      </c>
      <c r="B59676" s="0" t="str">
        <f aca="false">HYPERLINK("https://lindat.mff.cuni.cz/services/teitok/pdtc10/index.php?action=vallex&amp;frame=v-w8396f3", "vystoupit (v-w8396f3)")</f>
        <v>vystoupit (v-w8396f3)</v>
      </c>
    </row>
    <row r="59677" customFormat="false" ht="12.8" hidden="false" customHeight="false" outlineLevel="0" collapsed="false">
      <c r="B59677" s="0" t="s">
        <v>7</v>
      </c>
      <c r="C59677" s="0" t="s">
        <v>20583</v>
      </c>
    </row>
    <row r="59678" customFormat="false" ht="12.8" hidden="false" customHeight="false" outlineLevel="0" collapsed="false">
      <c r="B59678" s="0" t="s">
        <v>548</v>
      </c>
      <c r="C59678" s="0" t="s">
        <v>7637</v>
      </c>
    </row>
    <row r="59680" customFormat="false" ht="12.8" hidden="false" customHeight="false" outlineLevel="0" collapsed="false">
      <c r="A59680" s="0" t="s">
        <v>20584</v>
      </c>
      <c r="B59680" s="0" t="str">
        <f aca="false">HYPERLINK("https://lindat.mff.cuni.cz/services/teitok/pdtc10/index.php?action=vallex&amp;frame=v-w8396f1", "vystoupit (v-w8396f1)")</f>
        <v>vystoupit (v-w8396f1)</v>
      </c>
    </row>
    <row r="59681" customFormat="false" ht="12.8" hidden="false" customHeight="false" outlineLevel="0" collapsed="false">
      <c r="B59681" s="0" t="s">
        <v>7</v>
      </c>
      <c r="C59681" s="0" t="s">
        <v>13964</v>
      </c>
      <c r="D59681" s="0" t="s">
        <v>31</v>
      </c>
      <c r="E59681" s="0" t="s">
        <v>31</v>
      </c>
      <c r="F59681" s="0" t="s">
        <v>31</v>
      </c>
    </row>
    <row r="59682" customFormat="false" ht="12.8" hidden="false" customHeight="false" outlineLevel="0" collapsed="false">
      <c r="B59682" s="0" t="s">
        <v>11</v>
      </c>
    </row>
    <row r="59684" customFormat="false" ht="12.8" hidden="false" customHeight="false" outlineLevel="0" collapsed="false">
      <c r="A59684" s="0" t="s">
        <v>20585</v>
      </c>
      <c r="B59684" s="0" t="str">
        <f aca="false">HYPERLINK("https://lindat.mff.cuni.cz/services/teitok/pdtc10/index.php?action=vallex&amp;frame=v-w8396f8_ZU", "vystoupit (v-w8396f8_ZU)")</f>
        <v>vystoupit (v-w8396f8_ZU)</v>
      </c>
    </row>
    <row r="59685" customFormat="false" ht="12.8" hidden="false" customHeight="false" outlineLevel="0" collapsed="false">
      <c r="B59685" s="0" t="s">
        <v>7</v>
      </c>
    </row>
    <row r="59686" customFormat="false" ht="12.8" hidden="false" customHeight="false" outlineLevel="0" collapsed="false">
      <c r="B59686" s="0" t="s">
        <v>459</v>
      </c>
    </row>
    <row r="59688" customFormat="false" ht="12.8" hidden="false" customHeight="false" outlineLevel="0" collapsed="false">
      <c r="A59688" s="0" t="s">
        <v>20585</v>
      </c>
      <c r="B59688" s="0" t="str">
        <f aca="false">HYPERLINK("https://lindat.mff.cuni.cz/services/teitok/pdtc10/index.php?action=vallex&amp;frame=v-w8396f2", "vystoupit (v-w8396f2) - substituted with v-w8396f8_ZU")</f>
        <v>vystoupit (v-w8396f2) - substituted with v-w8396f8_ZU</v>
      </c>
    </row>
    <row r="59689" customFormat="false" ht="12.8" hidden="false" customHeight="false" outlineLevel="0" collapsed="false">
      <c r="B59689" s="0" t="s">
        <v>7</v>
      </c>
      <c r="C59689" s="0" t="s">
        <v>20586</v>
      </c>
    </row>
    <row r="59690" customFormat="false" ht="12.8" hidden="false" customHeight="false" outlineLevel="0" collapsed="false">
      <c r="B59690" s="0" t="s">
        <v>459</v>
      </c>
      <c r="C59690" s="0" t="s">
        <v>1583</v>
      </c>
    </row>
    <row r="59692" customFormat="false" ht="12.8" hidden="false" customHeight="false" outlineLevel="0" collapsed="false">
      <c r="A59692" s="0" t="s">
        <v>20587</v>
      </c>
      <c r="B59692" s="0" t="str">
        <f aca="false">HYPERLINK("https://lindat.mff.cuni.cz/services/teitok/pdtc10/index.php?action=vallex&amp;frame=v-w8396f6", "vystoupit (v-w8396f6)")</f>
        <v>vystoupit (v-w8396f6)</v>
      </c>
    </row>
    <row r="59693" customFormat="false" ht="12.8" hidden="false" customHeight="false" outlineLevel="0" collapsed="false">
      <c r="B59693" s="0" t="s">
        <v>7</v>
      </c>
    </row>
    <row r="59694" customFormat="false" ht="12.8" hidden="false" customHeight="false" outlineLevel="0" collapsed="false">
      <c r="B59694" s="0" t="s">
        <v>124</v>
      </c>
    </row>
    <row r="59696" customFormat="false" ht="12.8" hidden="false" customHeight="false" outlineLevel="0" collapsed="false">
      <c r="A59696" s="0" t="s">
        <v>20588</v>
      </c>
      <c r="B59696" s="0" t="str">
        <f aca="false">HYPERLINK("https://lindat.mff.cuni.cz/services/teitok/pdtc10/index.php?action=vallex&amp;frame=v-w8396f5", "vystoupit (v-w8396f5)")</f>
        <v>vystoupit (v-w8396f5)</v>
      </c>
    </row>
    <row r="59697" customFormat="false" ht="12.8" hidden="false" customHeight="false" outlineLevel="0" collapsed="false">
      <c r="B59697" s="0" t="s">
        <v>7</v>
      </c>
      <c r="C59697" s="0" t="s">
        <v>20589</v>
      </c>
    </row>
    <row r="59699" customFormat="false" ht="12.8" hidden="false" customHeight="false" outlineLevel="0" collapsed="false">
      <c r="A59699" s="0" t="s">
        <v>20590</v>
      </c>
      <c r="B59699" s="0" t="str">
        <f aca="false">HYPERLINK("https://lindat.mff.cuni.cz/services/teitok/pdtc10/index.php?action=vallex&amp;frame=v-w8396f7", "vystoupit (v-w8396f7)")</f>
        <v>vystoupit (v-w8396f7)</v>
      </c>
    </row>
    <row r="59700" customFormat="false" ht="12.8" hidden="false" customHeight="false" outlineLevel="0" collapsed="false">
      <c r="B59700" s="0" t="s">
        <v>7</v>
      </c>
    </row>
    <row r="59701" customFormat="false" ht="12.8" hidden="false" customHeight="false" outlineLevel="0" collapsed="false">
      <c r="B59701" s="0" t="s">
        <v>552</v>
      </c>
    </row>
    <row r="59702" customFormat="false" ht="12.8" hidden="false" customHeight="false" outlineLevel="0" collapsed="false">
      <c r="B59702" s="0" t="s">
        <v>474</v>
      </c>
    </row>
    <row r="59703" customFormat="false" ht="12.8" hidden="false" customHeight="false" outlineLevel="0" collapsed="false">
      <c r="B59703" s="0" t="s">
        <v>477</v>
      </c>
    </row>
    <row r="59704" customFormat="false" ht="12.8" hidden="false" customHeight="false" outlineLevel="0" collapsed="false">
      <c r="B59704" s="0" t="s">
        <v>479</v>
      </c>
    </row>
    <row r="59705" customFormat="false" ht="12.8" hidden="false" customHeight="false" outlineLevel="0" collapsed="false">
      <c r="B59705" s="0" t="s">
        <v>481</v>
      </c>
    </row>
    <row r="59706" customFormat="false" ht="12.8" hidden="false" customHeight="false" outlineLevel="0" collapsed="false">
      <c r="B59706" s="0" t="s">
        <v>483</v>
      </c>
    </row>
    <row r="59708" customFormat="false" ht="12.8" hidden="false" customHeight="false" outlineLevel="0" collapsed="false">
      <c r="A59708" s="0" t="s">
        <v>20591</v>
      </c>
      <c r="B59708" s="0" t="str">
        <f aca="false">HYPERLINK("https://lindat.mff.cuni.cz/services/teitok/pdtc10/index.php?action=vallex&amp;frame=v-w8396hsa_1005", "vystoupit (v-w8396hsa_1005)")</f>
        <v>vystoupit (v-w8396hsa_1005)</v>
      </c>
    </row>
    <row r="59709" customFormat="false" ht="12.8" hidden="false" customHeight="false" outlineLevel="0" collapsed="false">
      <c r="B59709" s="0" t="s">
        <v>7</v>
      </c>
      <c r="C59709" s="0" t="s">
        <v>10943</v>
      </c>
      <c r="D59709" s="0" t="s">
        <v>6244</v>
      </c>
      <c r="E59709" s="0" t="s">
        <v>6244</v>
      </c>
      <c r="F59709" s="0" t="s">
        <v>6244</v>
      </c>
    </row>
    <row r="59710" customFormat="false" ht="12.8" hidden="false" customHeight="false" outlineLevel="0" collapsed="false">
      <c r="B59710" s="0" t="s">
        <v>63</v>
      </c>
      <c r="C59710" s="0" t="s">
        <v>20592</v>
      </c>
      <c r="D59710" s="0" t="s">
        <v>4496</v>
      </c>
      <c r="E59710" s="0" t="s">
        <v>4496</v>
      </c>
      <c r="F59710" s="0" t="s">
        <v>4496</v>
      </c>
    </row>
    <row r="59711" customFormat="false" ht="12.8" hidden="false" customHeight="false" outlineLevel="0" collapsed="false">
      <c r="B59711" s="0" t="s">
        <v>35</v>
      </c>
      <c r="C59711" s="0" t="s">
        <v>20593</v>
      </c>
      <c r="D59711" s="0" t="s">
        <v>4497</v>
      </c>
      <c r="E59711" s="0" t="s">
        <v>4497</v>
      </c>
      <c r="F59711" s="0" t="s">
        <v>4497</v>
      </c>
    </row>
    <row r="59713" customFormat="false" ht="12.8" hidden="false" customHeight="false" outlineLevel="0" collapsed="false">
      <c r="A59713" s="0" t="s">
        <v>20594</v>
      </c>
      <c r="B59713" s="0" t="str">
        <f aca="false">HYPERLINK("https://lindat.mff.cuni.cz/services/teitok/pdtc10/index.php?action=vallex&amp;frame=v-w8396hsa_874", "vystoupit (v-w8396hsa_874)")</f>
        <v>vystoupit (v-w8396hsa_874)</v>
      </c>
    </row>
    <row r="59714" customFormat="false" ht="12.8" hidden="false" customHeight="false" outlineLevel="0" collapsed="false">
      <c r="B59714" s="0" t="s">
        <v>7</v>
      </c>
    </row>
    <row r="59715" customFormat="false" ht="12.8" hidden="false" customHeight="false" outlineLevel="0" collapsed="false">
      <c r="B59715" s="0" t="s">
        <v>459</v>
      </c>
    </row>
    <row r="59717" customFormat="false" ht="12.8" hidden="false" customHeight="false" outlineLevel="0" collapsed="false">
      <c r="A59717" s="0" t="s">
        <v>20595</v>
      </c>
      <c r="B59717" s="0" t="str">
        <f aca="false">HYPERLINK("https://lindat.mff.cuni.cz/services/teitok/pdtc10/index.php?action=vallex&amp;frame=v-w8396hsa_1004", "vystoupit (v-w8396hsa_1004)")</f>
        <v>vystoupit (v-w8396hsa_1004)</v>
      </c>
    </row>
    <row r="59718" customFormat="false" ht="12.8" hidden="false" customHeight="false" outlineLevel="0" collapsed="false">
      <c r="B59718" s="0" t="s">
        <v>7</v>
      </c>
    </row>
    <row r="59719" customFormat="false" ht="12.8" hidden="false" customHeight="false" outlineLevel="0" collapsed="false">
      <c r="B59719" s="0" t="s">
        <v>2316</v>
      </c>
    </row>
    <row r="59721" customFormat="false" ht="12.8" hidden="false" customHeight="false" outlineLevel="0" collapsed="false">
      <c r="A59721" s="0" t="s">
        <v>20596</v>
      </c>
      <c r="B59721" s="0" t="str">
        <f aca="false">HYPERLINK("https://lindat.mff.cuni.cz/services/teitok/pdtc10/index.php?action=vallex&amp;frame=v-w8398f1", "vystrašit (v-w8398f1)")</f>
        <v>vystrašit (v-w8398f1)</v>
      </c>
    </row>
    <row r="59722" customFormat="false" ht="12.8" hidden="false" customHeight="false" outlineLevel="0" collapsed="false">
      <c r="B59722" s="0" t="s">
        <v>7</v>
      </c>
      <c r="C59722" s="0" t="s">
        <v>20597</v>
      </c>
      <c r="D59722" s="0" t="s">
        <v>3576</v>
      </c>
      <c r="E59722" s="0" t="s">
        <v>3576</v>
      </c>
      <c r="F59722" s="0" t="s">
        <v>3576</v>
      </c>
    </row>
    <row r="59723" customFormat="false" ht="12.8" hidden="false" customHeight="false" outlineLevel="0" collapsed="false">
      <c r="B59723" s="0" t="s">
        <v>14</v>
      </c>
      <c r="C59723" s="0" t="s">
        <v>461</v>
      </c>
      <c r="D59723" s="0" t="s">
        <v>2641</v>
      </c>
      <c r="E59723" s="0" t="s">
        <v>2641</v>
      </c>
      <c r="F59723" s="0" t="s">
        <v>2641</v>
      </c>
    </row>
    <row r="59725" customFormat="false" ht="12.8" hidden="false" customHeight="false" outlineLevel="0" collapsed="false">
      <c r="A59725" s="0" t="s">
        <v>20598</v>
      </c>
      <c r="B59725" s="0" t="str">
        <f aca="false">HYPERLINK("https://lindat.mff.cuni.cz/services/teitok/pdtc10/index.php?action=vallex&amp;frame=v-w8400f2", "vystrkovat (v-w8400f2)")</f>
        <v>vystrkovat (v-w8400f2)</v>
      </c>
    </row>
    <row r="59726" customFormat="false" ht="12.8" hidden="false" customHeight="false" outlineLevel="0" collapsed="false">
      <c r="B59726" s="0" t="s">
        <v>7</v>
      </c>
      <c r="C59726" s="0" t="s">
        <v>191</v>
      </c>
      <c r="D59726" s="0" t="s">
        <v>191</v>
      </c>
      <c r="E59726" s="0" t="s">
        <v>191</v>
      </c>
      <c r="F59726" s="0" t="s">
        <v>191</v>
      </c>
    </row>
    <row r="59727" customFormat="false" ht="12.8" hidden="false" customHeight="false" outlineLevel="0" collapsed="false">
      <c r="B59727" s="0" t="s">
        <v>14</v>
      </c>
      <c r="C59727" s="0" t="s">
        <v>47</v>
      </c>
      <c r="D59727" s="0" t="s">
        <v>47</v>
      </c>
      <c r="E59727" s="0" t="s">
        <v>47</v>
      </c>
      <c r="F59727" s="0" t="s">
        <v>47</v>
      </c>
    </row>
    <row r="59728" customFormat="false" ht="12.8" hidden="false" customHeight="false" outlineLevel="0" collapsed="false">
      <c r="B59728" s="0" t="s">
        <v>459</v>
      </c>
    </row>
    <row r="59730" customFormat="false" ht="12.8" hidden="false" customHeight="false" outlineLevel="0" collapsed="false">
      <c r="A59730" s="0" t="s">
        <v>20599</v>
      </c>
      <c r="B59730" s="0" t="str">
        <f aca="false">HYPERLINK("https://lindat.mff.cuni.cz/services/teitok/pdtc10/index.php?action=vallex&amp;frame=v-w8400f3", "vystrkovat (v-w8400f3)")</f>
        <v>vystrkovat (v-w8400f3)</v>
      </c>
    </row>
    <row r="59731" customFormat="false" ht="12.8" hidden="false" customHeight="false" outlineLevel="0" collapsed="false">
      <c r="B59731" s="0" t="s">
        <v>7</v>
      </c>
    </row>
    <row r="59732" customFormat="false" ht="12.8" hidden="false" customHeight="false" outlineLevel="0" collapsed="false">
      <c r="B59732" s="0" t="s">
        <v>20600</v>
      </c>
      <c r="C59732" s="0" t="s">
        <v>532</v>
      </c>
    </row>
    <row r="59734" customFormat="false" ht="12.8" hidden="false" customHeight="false" outlineLevel="0" collapsed="false">
      <c r="A59734" s="0" t="s">
        <v>20599</v>
      </c>
      <c r="B59734" s="0" t="str">
        <f aca="false">HYPERLINK("https://lindat.mff.cuni.cz/services/teitok/pdtc10/index.php?action=vallex&amp;frame=v-w8400f1", "vystrkovat (v-w8400f1) - substituted with v-w8400f3")</f>
        <v>vystrkovat (v-w8400f1) - substituted with v-w8400f3</v>
      </c>
    </row>
    <row r="59735" customFormat="false" ht="12.8" hidden="false" customHeight="false" outlineLevel="0" collapsed="false">
      <c r="B59735" s="0" t="s">
        <v>7</v>
      </c>
    </row>
    <row r="59736" customFormat="false" ht="12.8" hidden="false" customHeight="false" outlineLevel="0" collapsed="false">
      <c r="B59736" s="0" t="s">
        <v>20600</v>
      </c>
    </row>
    <row r="59738" customFormat="false" ht="12.8" hidden="false" customHeight="false" outlineLevel="0" collapsed="false">
      <c r="A59738" s="0" t="s">
        <v>20601</v>
      </c>
      <c r="B59738" s="0" t="str">
        <f aca="false">HYPERLINK("https://lindat.mff.cuni.cz/services/teitok/pdtc10/index.php?action=vallex&amp;frame=v-w10449f2", "vystrnadit (v-w10449f2)")</f>
        <v>vystrnadit (v-w10449f2)</v>
      </c>
    </row>
    <row r="59739" customFormat="false" ht="12.8" hidden="false" customHeight="false" outlineLevel="0" collapsed="false">
      <c r="B59739" s="0" t="s">
        <v>7</v>
      </c>
    </row>
    <row r="59740" customFormat="false" ht="12.8" hidden="false" customHeight="false" outlineLevel="0" collapsed="false">
      <c r="B59740" s="0" t="s">
        <v>14</v>
      </c>
    </row>
    <row r="59741" customFormat="false" ht="12.8" hidden="false" customHeight="false" outlineLevel="0" collapsed="false">
      <c r="B59741" s="0" t="s">
        <v>459</v>
      </c>
    </row>
    <row r="59743" customFormat="false" ht="12.8" hidden="false" customHeight="false" outlineLevel="0" collapsed="false">
      <c r="A59743" s="0" t="s">
        <v>20602</v>
      </c>
      <c r="B59743" s="0" t="str">
        <f aca="false">HYPERLINK("https://lindat.mff.cuni.cz/services/teitok/pdtc10/index.php?action=vallex&amp;frame=v-w8399f1", "vystrčit (v-w8399f1)")</f>
        <v>vystrčit (v-w8399f1)</v>
      </c>
    </row>
    <row r="59744" customFormat="false" ht="12.8" hidden="false" customHeight="false" outlineLevel="0" collapsed="false">
      <c r="B59744" s="0" t="s">
        <v>7</v>
      </c>
      <c r="D59744" s="0" t="s">
        <v>191</v>
      </c>
      <c r="E59744" s="0" t="s">
        <v>191</v>
      </c>
      <c r="F59744" s="0" t="s">
        <v>191</v>
      </c>
    </row>
    <row r="59745" customFormat="false" ht="12.8" hidden="false" customHeight="false" outlineLevel="0" collapsed="false">
      <c r="B59745" s="0" t="s">
        <v>14</v>
      </c>
      <c r="D59745" s="0" t="s">
        <v>47</v>
      </c>
      <c r="E59745" s="0" t="s">
        <v>47</v>
      </c>
      <c r="F59745" s="0" t="s">
        <v>47</v>
      </c>
    </row>
    <row r="59746" customFormat="false" ht="12.8" hidden="false" customHeight="false" outlineLevel="0" collapsed="false">
      <c r="B59746" s="0" t="s">
        <v>459</v>
      </c>
    </row>
    <row r="59748" customFormat="false" ht="12.8" hidden="false" customHeight="false" outlineLevel="0" collapsed="false">
      <c r="A59748" s="0" t="s">
        <v>20603</v>
      </c>
      <c r="B59748" s="0" t="str">
        <f aca="false">HYPERLINK("https://lindat.mff.cuni.cz/services/teitok/pdtc10/index.php?action=vallex&amp;frame=v-w8399f2", "vystrčit (v-w8399f2)")</f>
        <v>vystrčit (v-w8399f2)</v>
      </c>
    </row>
    <row r="59749" customFormat="false" ht="12.8" hidden="false" customHeight="false" outlineLevel="0" collapsed="false">
      <c r="B59749" s="0" t="s">
        <v>7</v>
      </c>
      <c r="D59749" s="0" t="s">
        <v>191</v>
      </c>
      <c r="E59749" s="0" t="s">
        <v>191</v>
      </c>
      <c r="F59749" s="0" t="s">
        <v>191</v>
      </c>
    </row>
    <row r="59750" customFormat="false" ht="12.8" hidden="false" customHeight="false" outlineLevel="0" collapsed="false">
      <c r="B59750" s="0" t="s">
        <v>14</v>
      </c>
      <c r="D59750" s="0" t="s">
        <v>47</v>
      </c>
      <c r="E59750" s="0" t="s">
        <v>47</v>
      </c>
      <c r="F59750" s="0" t="s">
        <v>47</v>
      </c>
    </row>
    <row r="59751" customFormat="false" ht="12.8" hidden="false" customHeight="false" outlineLevel="0" collapsed="false">
      <c r="B59751" s="0" t="s">
        <v>124</v>
      </c>
    </row>
    <row r="59753" customFormat="false" ht="12.8" hidden="false" customHeight="false" outlineLevel="0" collapsed="false">
      <c r="A59753" s="0" t="s">
        <v>20604</v>
      </c>
      <c r="B59753" s="0" t="str">
        <f aca="false">HYPERLINK("https://lindat.mff.cuni.cz/services/teitok/pdtc10/index.php?action=vallex&amp;frame=v-w8410f2_ZU", "vystudovat (v-w8410f2_ZU)")</f>
        <v>vystudovat (v-w8410f2_ZU)</v>
      </c>
    </row>
    <row r="59754" customFormat="false" ht="12.8" hidden="false" customHeight="false" outlineLevel="0" collapsed="false">
      <c r="B59754" s="0" t="s">
        <v>7</v>
      </c>
    </row>
    <row r="59755" customFormat="false" ht="12.8" hidden="false" customHeight="false" outlineLevel="0" collapsed="false">
      <c r="B59755" s="0" t="s">
        <v>14</v>
      </c>
    </row>
    <row r="59757" customFormat="false" ht="12.8" hidden="false" customHeight="false" outlineLevel="0" collapsed="false">
      <c r="A59757" s="0" t="s">
        <v>20604</v>
      </c>
      <c r="B59757" s="0" t="str">
        <f aca="false">HYPERLINK("https://lindat.mff.cuni.cz/services/teitok/pdtc10/index.php?action=vallex&amp;frame=v-w8410f1", "vystudovat (v-w8410f1) - substituted with v-w8410f2_ZU")</f>
        <v>vystudovat (v-w8410f1) - substituted with v-w8410f2_ZU</v>
      </c>
    </row>
    <row r="59758" customFormat="false" ht="12.8" hidden="false" customHeight="false" outlineLevel="0" collapsed="false">
      <c r="B59758" s="0" t="s">
        <v>7</v>
      </c>
      <c r="C59758" s="0" t="s">
        <v>7880</v>
      </c>
      <c r="D59758" s="0" t="s">
        <v>68</v>
      </c>
      <c r="E59758" s="0" t="s">
        <v>68</v>
      </c>
      <c r="F59758" s="0" t="s">
        <v>68</v>
      </c>
    </row>
    <row r="59759" customFormat="false" ht="12.8" hidden="false" customHeight="false" outlineLevel="0" collapsed="false">
      <c r="B59759" s="0" t="s">
        <v>14</v>
      </c>
      <c r="D59759" s="0" t="s">
        <v>4407</v>
      </c>
      <c r="E59759" s="0" t="s">
        <v>4407</v>
      </c>
      <c r="F59759" s="0" t="s">
        <v>4407</v>
      </c>
    </row>
    <row r="59761" customFormat="false" ht="12.8" hidden="false" customHeight="false" outlineLevel="0" collapsed="false">
      <c r="A59761" s="0" t="s">
        <v>20605</v>
      </c>
      <c r="B59761" s="0" t="str">
        <f aca="false">HYPERLINK("https://lindat.mff.cuni.cz/services/teitok/pdtc10/index.php?action=vallex&amp;frame=v-w8415f9_ZU", "vystupovat (v-w8415f9_ZU)")</f>
        <v>vystupovat (v-w8415f9_ZU)</v>
      </c>
    </row>
    <row r="59762" customFormat="false" ht="12.8" hidden="false" customHeight="false" outlineLevel="0" collapsed="false">
      <c r="B59762" s="0" t="s">
        <v>7</v>
      </c>
    </row>
    <row r="59763" customFormat="false" ht="12.8" hidden="false" customHeight="false" outlineLevel="0" collapsed="false">
      <c r="B59763" s="0" t="s">
        <v>20606</v>
      </c>
    </row>
    <row r="59765" customFormat="false" ht="12.8" hidden="false" customHeight="false" outlineLevel="0" collapsed="false">
      <c r="A59765" s="0" t="s">
        <v>20605</v>
      </c>
      <c r="B59765" s="0" t="str">
        <f aca="false">HYPERLINK("https://lindat.mff.cuni.cz/services/teitok/pdtc10/index.php?action=vallex&amp;frame=v-w8415f3", "vystupovat (v-w8415f3) - substituted with v-w8415f9_ZU")</f>
        <v>vystupovat (v-w8415f3) - substituted with v-w8415f9_ZU</v>
      </c>
    </row>
    <row r="59766" customFormat="false" ht="12.8" hidden="false" customHeight="false" outlineLevel="0" collapsed="false">
      <c r="B59766" s="0" t="s">
        <v>7</v>
      </c>
      <c r="C59766" s="0" t="s">
        <v>20607</v>
      </c>
      <c r="D59766" s="0" t="s">
        <v>351</v>
      </c>
      <c r="E59766" s="0" t="s">
        <v>351</v>
      </c>
      <c r="F59766" s="0" t="s">
        <v>351</v>
      </c>
    </row>
    <row r="59767" customFormat="false" ht="12.8" hidden="false" customHeight="false" outlineLevel="0" collapsed="false">
      <c r="B59767" s="0" t="s">
        <v>20606</v>
      </c>
      <c r="C59767" s="0" t="s">
        <v>356</v>
      </c>
      <c r="D59767" s="0" t="s">
        <v>7637</v>
      </c>
      <c r="E59767" s="0" t="s">
        <v>7637</v>
      </c>
      <c r="F59767" s="0" t="s">
        <v>7637</v>
      </c>
    </row>
    <row r="59769" customFormat="false" ht="12.8" hidden="false" customHeight="false" outlineLevel="0" collapsed="false">
      <c r="A59769" s="0" t="s">
        <v>20608</v>
      </c>
      <c r="B59769" s="0" t="str">
        <f aca="false">HYPERLINK("https://lindat.mff.cuni.cz/services/teitok/pdtc10/index.php?action=vallex&amp;frame=v-w8415f2", "vystupovat (v-w8415f2)")</f>
        <v>vystupovat (v-w8415f2)</v>
      </c>
    </row>
    <row r="59770" customFormat="false" ht="12.8" hidden="false" customHeight="false" outlineLevel="0" collapsed="false">
      <c r="B59770" s="0" t="s">
        <v>7</v>
      </c>
      <c r="C59770" s="0" t="s">
        <v>20609</v>
      </c>
      <c r="D59770" s="0" t="s">
        <v>20610</v>
      </c>
      <c r="E59770" s="0" t="s">
        <v>20610</v>
      </c>
      <c r="F59770" s="0" t="s">
        <v>20610</v>
      </c>
    </row>
    <row r="59771" customFormat="false" ht="12.8" hidden="false" customHeight="false" outlineLevel="0" collapsed="false">
      <c r="B59771" s="0" t="s">
        <v>11</v>
      </c>
      <c r="C59771" s="0" t="s">
        <v>7659</v>
      </c>
      <c r="D59771" s="0" t="s">
        <v>20611</v>
      </c>
      <c r="E59771" s="0" t="s">
        <v>20611</v>
      </c>
      <c r="F59771" s="0" t="s">
        <v>20611</v>
      </c>
    </row>
    <row r="59773" customFormat="false" ht="12.8" hidden="false" customHeight="false" outlineLevel="0" collapsed="false">
      <c r="A59773" s="0" t="s">
        <v>20612</v>
      </c>
      <c r="B59773" s="0" t="str">
        <f aca="false">HYPERLINK("https://lindat.mff.cuni.cz/services/teitok/pdtc10/index.php?action=vallex&amp;frame=v-w8415f5", "vystupovat (v-w8415f5)")</f>
        <v>vystupovat (v-w8415f5)</v>
      </c>
    </row>
    <row r="59774" customFormat="false" ht="12.8" hidden="false" customHeight="false" outlineLevel="0" collapsed="false">
      <c r="B59774" s="0" t="s">
        <v>7</v>
      </c>
      <c r="C59774" s="0" t="s">
        <v>7092</v>
      </c>
      <c r="D59774" s="0" t="s">
        <v>1582</v>
      </c>
      <c r="E59774" s="0" t="s">
        <v>1582</v>
      </c>
      <c r="F59774" s="0" t="s">
        <v>1582</v>
      </c>
    </row>
    <row r="59775" customFormat="false" ht="12.8" hidden="false" customHeight="false" outlineLevel="0" collapsed="false">
      <c r="B59775" s="0" t="s">
        <v>459</v>
      </c>
      <c r="D59775" s="0" t="s">
        <v>1583</v>
      </c>
      <c r="E59775" s="0" t="s">
        <v>1583</v>
      </c>
      <c r="F59775" s="0" t="s">
        <v>1583</v>
      </c>
    </row>
    <row r="59777" customFormat="false" ht="12.8" hidden="false" customHeight="false" outlineLevel="0" collapsed="false">
      <c r="A59777" s="0" t="s">
        <v>20613</v>
      </c>
      <c r="B59777" s="0" t="str">
        <f aca="false">HYPERLINK("https://lindat.mff.cuni.cz/services/teitok/pdtc10/index.php?action=vallex&amp;frame=v-w8415f1", "vystupovat (v-w8415f1)")</f>
        <v>vystupovat (v-w8415f1)</v>
      </c>
    </row>
    <row r="59778" customFormat="false" ht="12.8" hidden="false" customHeight="false" outlineLevel="0" collapsed="false">
      <c r="B59778" s="0" t="s">
        <v>7</v>
      </c>
      <c r="C59778" s="0" t="s">
        <v>20614</v>
      </c>
    </row>
    <row r="59780" customFormat="false" ht="12.8" hidden="false" customHeight="false" outlineLevel="0" collapsed="false">
      <c r="A59780" s="0" t="s">
        <v>20615</v>
      </c>
      <c r="B59780" s="0" t="str">
        <f aca="false">HYPERLINK("https://lindat.mff.cuni.cz/services/teitok/pdtc10/index.php?action=vallex&amp;frame=v-w8415f4", "vystupovat (v-w8415f4)")</f>
        <v>vystupovat (v-w8415f4)</v>
      </c>
    </row>
    <row r="59781" customFormat="false" ht="12.8" hidden="false" customHeight="false" outlineLevel="0" collapsed="false">
      <c r="B59781" s="0" t="s">
        <v>7</v>
      </c>
      <c r="C59781" s="0" t="s">
        <v>191</v>
      </c>
      <c r="D59781" s="0" t="s">
        <v>4268</v>
      </c>
      <c r="E59781" s="0" t="s">
        <v>4268</v>
      </c>
      <c r="F59781" s="0" t="s">
        <v>4268</v>
      </c>
    </row>
    <row r="59782" customFormat="false" ht="12.8" hidden="false" customHeight="false" outlineLevel="0" collapsed="false">
      <c r="B59782" s="0" t="s">
        <v>552</v>
      </c>
    </row>
    <row r="59783" customFormat="false" ht="12.8" hidden="false" customHeight="false" outlineLevel="0" collapsed="false">
      <c r="B59783" s="0" t="s">
        <v>474</v>
      </c>
    </row>
    <row r="59784" customFormat="false" ht="12.8" hidden="false" customHeight="false" outlineLevel="0" collapsed="false">
      <c r="B59784" s="0" t="s">
        <v>479</v>
      </c>
    </row>
    <row r="59785" customFormat="false" ht="12.8" hidden="false" customHeight="false" outlineLevel="0" collapsed="false">
      <c r="B59785" s="0" t="s">
        <v>481</v>
      </c>
    </row>
    <row r="59786" customFormat="false" ht="12.8" hidden="false" customHeight="false" outlineLevel="0" collapsed="false">
      <c r="B59786" s="0" t="s">
        <v>483</v>
      </c>
    </row>
    <row r="59788" customFormat="false" ht="12.8" hidden="false" customHeight="false" outlineLevel="0" collapsed="false">
      <c r="A59788" s="0" t="s">
        <v>20616</v>
      </c>
      <c r="B59788" s="0" t="str">
        <f aca="false">HYPERLINK("https://lindat.mff.cuni.cz/services/teitok/pdtc10/index.php?action=vallex&amp;frame=v-w8415f7", "vystupovat (v-w8415f7)")</f>
        <v>vystupovat (v-w8415f7)</v>
      </c>
    </row>
    <row r="59789" customFormat="false" ht="12.8" hidden="false" customHeight="false" outlineLevel="0" collapsed="false">
      <c r="B59789" s="0" t="s">
        <v>7</v>
      </c>
    </row>
    <row r="59790" customFormat="false" ht="12.8" hidden="false" customHeight="false" outlineLevel="0" collapsed="false">
      <c r="B59790" s="0" t="s">
        <v>20617</v>
      </c>
    </row>
    <row r="59792" customFormat="false" ht="12.8" hidden="false" customHeight="false" outlineLevel="0" collapsed="false">
      <c r="A59792" s="0" t="s">
        <v>20618</v>
      </c>
      <c r="B59792" s="0" t="str">
        <f aca="false">HYPERLINK("https://lindat.mff.cuni.cz/services/teitok/pdtc10/index.php?action=vallex&amp;frame=v-w8415f6", "vystupovat (v-w8415f6)")</f>
        <v>vystupovat (v-w8415f6)</v>
      </c>
    </row>
    <row r="59793" customFormat="false" ht="12.8" hidden="false" customHeight="false" outlineLevel="0" collapsed="false">
      <c r="B59793" s="0" t="s">
        <v>7</v>
      </c>
    </row>
    <row r="59794" customFormat="false" ht="12.8" hidden="false" customHeight="false" outlineLevel="0" collapsed="false">
      <c r="B59794" s="0" t="s">
        <v>19717</v>
      </c>
    </row>
    <row r="59796" customFormat="false" ht="12.8" hidden="false" customHeight="false" outlineLevel="0" collapsed="false">
      <c r="A59796" s="0" t="s">
        <v>20619</v>
      </c>
      <c r="B59796" s="0" t="str">
        <f aca="false">HYPERLINK("https://lindat.mff.cuni.cz/services/teitok/pdtc10/index.php?action=vallex&amp;frame=v-w8415hsa_712", "vystupovat (v-w8415hsa_712)")</f>
        <v>vystupovat (v-w8415hsa_712)</v>
      </c>
    </row>
    <row r="59797" customFormat="false" ht="12.8" hidden="false" customHeight="false" outlineLevel="0" collapsed="false">
      <c r="B59797" s="0" t="s">
        <v>7</v>
      </c>
    </row>
    <row r="59798" customFormat="false" ht="12.8" hidden="false" customHeight="false" outlineLevel="0" collapsed="false">
      <c r="B59798" s="0" t="s">
        <v>11</v>
      </c>
    </row>
    <row r="59800" customFormat="false" ht="12.8" hidden="false" customHeight="false" outlineLevel="0" collapsed="false">
      <c r="A59800" s="0" t="s">
        <v>20620</v>
      </c>
      <c r="B59800" s="0" t="str">
        <f aca="false">HYPERLINK("https://lindat.mff.cuni.cz/services/teitok/pdtc10/index.php?action=vallex&amp;frame=v-w8415hsa_713", "vystupovat (v-w8415hsa_713)")</f>
        <v>vystupovat (v-w8415hsa_713)</v>
      </c>
    </row>
    <row r="59801" customFormat="false" ht="12.8" hidden="false" customHeight="false" outlineLevel="0" collapsed="false">
      <c r="B59801" s="0" t="s">
        <v>7</v>
      </c>
    </row>
    <row r="59802" customFormat="false" ht="12.8" hidden="false" customHeight="false" outlineLevel="0" collapsed="false">
      <c r="B59802" s="0" t="s">
        <v>124</v>
      </c>
    </row>
    <row r="59804" customFormat="false" ht="12.8" hidden="false" customHeight="false" outlineLevel="0" collapsed="false">
      <c r="A59804" s="0" t="s">
        <v>20621</v>
      </c>
      <c r="B59804" s="0" t="str">
        <f aca="false">HYPERLINK("https://lindat.mff.cuni.cz/services/teitok/pdtc10/index.php?action=vallex&amp;frame=v-w8415f8_ZU", "vystupovat (v-w8415f8_ZU)")</f>
        <v>vystupovat (v-w8415f8_ZU)</v>
      </c>
    </row>
    <row r="59805" customFormat="false" ht="12.8" hidden="false" customHeight="false" outlineLevel="0" collapsed="false">
      <c r="B59805" s="0" t="s">
        <v>7</v>
      </c>
    </row>
    <row r="59806" customFormat="false" ht="12.8" hidden="false" customHeight="false" outlineLevel="0" collapsed="false">
      <c r="B59806" s="0" t="s">
        <v>20622</v>
      </c>
    </row>
    <row r="59808" customFormat="false" ht="12.8" hidden="false" customHeight="false" outlineLevel="0" collapsed="false">
      <c r="A59808" s="0" t="s">
        <v>20621</v>
      </c>
      <c r="B59808" s="0" t="str">
        <f aca="false">HYPERLINK("https://lindat.mff.cuni.cz/services/teitok/pdtc10/index.php?action=vallex&amp;frame=v-w8415hsa_714", "vystupovat (v-w8415hsa_714) - substituted with v-w8415f8_ZU")</f>
        <v>vystupovat (v-w8415hsa_714) - substituted with v-w8415f8_ZU</v>
      </c>
    </row>
    <row r="59809" customFormat="false" ht="12.8" hidden="false" customHeight="false" outlineLevel="0" collapsed="false">
      <c r="B59809" s="0" t="s">
        <v>7</v>
      </c>
    </row>
    <row r="59810" customFormat="false" ht="12.8" hidden="false" customHeight="false" outlineLevel="0" collapsed="false">
      <c r="B59810" s="0" t="s">
        <v>20622</v>
      </c>
    </row>
    <row r="59812" customFormat="false" ht="12.8" hidden="false" customHeight="false" outlineLevel="0" collapsed="false">
      <c r="A59812" s="0" t="s">
        <v>20623</v>
      </c>
      <c r="B59812" s="0" t="str">
        <f aca="false">HYPERLINK("https://lindat.mff.cuni.cz/services/teitok/pdtc10/index.php?action=vallex&amp;frame=v-w8413f1", "vystupňovat (v-w8413f1)")</f>
        <v>vystupňovat (v-w8413f1)</v>
      </c>
    </row>
    <row r="59813" customFormat="false" ht="12.8" hidden="false" customHeight="false" outlineLevel="0" collapsed="false">
      <c r="B59813" s="0" t="s">
        <v>7</v>
      </c>
      <c r="C59813" s="0" t="s">
        <v>504</v>
      </c>
      <c r="D59813" s="0" t="s">
        <v>6436</v>
      </c>
      <c r="E59813" s="0" t="s">
        <v>6436</v>
      </c>
      <c r="F59813" s="0" t="s">
        <v>6436</v>
      </c>
    </row>
    <row r="59814" customFormat="false" ht="12.8" hidden="false" customHeight="false" outlineLevel="0" collapsed="false">
      <c r="B59814" s="0" t="s">
        <v>14</v>
      </c>
      <c r="C59814" s="0" t="s">
        <v>173</v>
      </c>
      <c r="D59814" s="0" t="s">
        <v>6437</v>
      </c>
      <c r="E59814" s="0" t="s">
        <v>6437</v>
      </c>
      <c r="F59814" s="0" t="s">
        <v>6437</v>
      </c>
    </row>
    <row r="59816" customFormat="false" ht="12.8" hidden="false" customHeight="false" outlineLevel="0" collapsed="false">
      <c r="A59816" s="0" t="s">
        <v>20624</v>
      </c>
      <c r="B59816" s="0" t="str">
        <f aca="false">HYPERLINK("https://lindat.mff.cuni.cz/services/teitok/pdtc10/index.php?action=vallex&amp;frame=v-whsa_370hsa_371", "vystupňovat se (v-whsa_370hsa_371)")</f>
        <v>vystupňovat se (v-whsa_370hsa_371)</v>
      </c>
    </row>
    <row r="59817" customFormat="false" ht="12.8" hidden="false" customHeight="false" outlineLevel="0" collapsed="false">
      <c r="B59817" s="0" t="s">
        <v>7</v>
      </c>
      <c r="C59817" s="0" t="s">
        <v>200</v>
      </c>
      <c r="D59817" s="0" t="s">
        <v>6765</v>
      </c>
      <c r="E59817" s="0" t="s">
        <v>6765</v>
      </c>
      <c r="F59817" s="0" t="s">
        <v>6765</v>
      </c>
    </row>
    <row r="59819" customFormat="false" ht="12.8" hidden="false" customHeight="false" outlineLevel="0" collapsed="false">
      <c r="A59819" s="0" t="s">
        <v>20625</v>
      </c>
      <c r="B59819" s="0" t="str">
        <f aca="false">HYPERLINK("https://lindat.mff.cuni.cz/services/teitok/pdtc10/index.php?action=vallex&amp;frame=v-w12005_ZUf1_ZU", "vystydnout (v-w12005_ZUf1_ZU)")</f>
        <v>vystydnout (v-w12005_ZUf1_ZU)</v>
      </c>
    </row>
    <row r="59820" customFormat="false" ht="12.8" hidden="false" customHeight="false" outlineLevel="0" collapsed="false">
      <c r="B59820" s="0" t="s">
        <v>7</v>
      </c>
    </row>
    <row r="59822" customFormat="false" ht="12.8" hidden="false" customHeight="false" outlineLevel="0" collapsed="false">
      <c r="A59822" s="0" t="s">
        <v>20626</v>
      </c>
      <c r="B59822" s="0" t="str">
        <f aca="false">HYPERLINK("https://lindat.mff.cuni.cz/services/teitok/pdtc10/index.php?action=vallex&amp;frame=v-w10378f2", "vystát (v-w10378f2)")</f>
        <v>vystát (v-w10378f2)</v>
      </c>
    </row>
    <row r="59823" customFormat="false" ht="12.8" hidden="false" customHeight="false" outlineLevel="0" collapsed="false">
      <c r="B59823" s="0" t="s">
        <v>7</v>
      </c>
      <c r="C59823" s="0" t="s">
        <v>569</v>
      </c>
      <c r="D59823" s="0" t="s">
        <v>569</v>
      </c>
      <c r="E59823" s="0" t="s">
        <v>569</v>
      </c>
      <c r="F59823" s="0" t="s">
        <v>569</v>
      </c>
    </row>
    <row r="59824" customFormat="false" ht="12.8" hidden="false" customHeight="false" outlineLevel="0" collapsed="false">
      <c r="B59824" s="0" t="s">
        <v>14</v>
      </c>
      <c r="C59824" s="0" t="s">
        <v>384</v>
      </c>
      <c r="D59824" s="0" t="s">
        <v>384</v>
      </c>
      <c r="E59824" s="0" t="s">
        <v>384</v>
      </c>
      <c r="F59824" s="0" t="s">
        <v>384</v>
      </c>
    </row>
    <row r="59826" customFormat="false" ht="12.8" hidden="false" customHeight="false" outlineLevel="0" collapsed="false">
      <c r="A59826" s="0" t="s">
        <v>20627</v>
      </c>
      <c r="B59826" s="0" t="str">
        <f aca="false">HYPERLINK("https://lindat.mff.cuni.cz/services/teitok/pdtc10/index.php?action=vallex&amp;frame=v-w10378f3_ZU", "vystát (v-w10378f3_ZU)")</f>
        <v>vystát (v-w10378f3_ZU)</v>
      </c>
    </row>
    <row r="59827" customFormat="false" ht="12.8" hidden="false" customHeight="false" outlineLevel="0" collapsed="false">
      <c r="B59827" s="0" t="s">
        <v>7</v>
      </c>
    </row>
    <row r="59828" customFormat="false" ht="12.8" hidden="false" customHeight="false" outlineLevel="0" collapsed="false">
      <c r="B59828" s="0" t="s">
        <v>14</v>
      </c>
    </row>
    <row r="59830" customFormat="false" ht="12.8" hidden="false" customHeight="false" outlineLevel="0" collapsed="false">
      <c r="A59830" s="0" t="s">
        <v>20628</v>
      </c>
      <c r="B59830" s="0" t="str">
        <f aca="false">HYPERLINK("https://lindat.mff.cuni.cz/services/teitok/pdtc10/index.php?action=vallex&amp;frame=v-w8388f1", "vystěhovat (v-w8388f1)")</f>
        <v>vystěhovat (v-w8388f1)</v>
      </c>
    </row>
    <row r="59831" customFormat="false" ht="12.8" hidden="false" customHeight="false" outlineLevel="0" collapsed="false">
      <c r="B59831" s="0" t="s">
        <v>7</v>
      </c>
      <c r="F59831" s="0" t="s">
        <v>16796</v>
      </c>
    </row>
    <row r="59832" customFormat="false" ht="12.8" hidden="false" customHeight="false" outlineLevel="0" collapsed="false">
      <c r="B59832" s="0" t="s">
        <v>14</v>
      </c>
      <c r="F59832" s="0" t="s">
        <v>16797</v>
      </c>
    </row>
    <row r="59833" customFormat="false" ht="12.8" hidden="false" customHeight="false" outlineLevel="0" collapsed="false">
      <c r="B59833" s="0" t="s">
        <v>459</v>
      </c>
      <c r="F59833" s="0" t="s">
        <v>20629</v>
      </c>
    </row>
    <row r="59835" customFormat="false" ht="12.8" hidden="false" customHeight="false" outlineLevel="0" collapsed="false">
      <c r="A59835" s="0" t="s">
        <v>20630</v>
      </c>
      <c r="B59835" s="0" t="str">
        <f aca="false">HYPERLINK("https://lindat.mff.cuni.cz/services/teitok/pdtc10/index.php?action=vallex&amp;frame=v-w8389f1", "vystěhovat se (v-w8389f1)")</f>
        <v>vystěhovat se (v-w8389f1)</v>
      </c>
    </row>
    <row r="59836" customFormat="false" ht="12.8" hidden="false" customHeight="false" outlineLevel="0" collapsed="false">
      <c r="B59836" s="0" t="s">
        <v>7</v>
      </c>
      <c r="C59836" s="0" t="s">
        <v>3855</v>
      </c>
      <c r="D59836" s="0" t="s">
        <v>1582</v>
      </c>
      <c r="E59836" s="0" t="s">
        <v>1582</v>
      </c>
      <c r="F59836" s="0" t="s">
        <v>16799</v>
      </c>
    </row>
    <row r="59837" customFormat="false" ht="12.8" hidden="false" customHeight="false" outlineLevel="0" collapsed="false">
      <c r="B59837" s="0" t="s">
        <v>459</v>
      </c>
      <c r="D59837" s="0" t="s">
        <v>1583</v>
      </c>
      <c r="E59837" s="0" t="s">
        <v>1583</v>
      </c>
      <c r="F59837" s="0" t="s">
        <v>20631</v>
      </c>
    </row>
    <row r="59839" customFormat="false" ht="12.8" hidden="false" customHeight="false" outlineLevel="0" collapsed="false">
      <c r="A59839" s="0" t="s">
        <v>20632</v>
      </c>
      <c r="B59839" s="0" t="str">
        <f aca="false">HYPERLINK("https://lindat.mff.cuni.cz/services/teitok/pdtc10/index.php?action=vallex&amp;frame=v-w11769_ZUf2_ZU", "vystěhovávat (v-w11769_ZUf2_ZU)")</f>
        <v>vystěhovávat (v-w11769_ZUf2_ZU)</v>
      </c>
    </row>
    <row r="59840" customFormat="false" ht="12.8" hidden="false" customHeight="false" outlineLevel="0" collapsed="false">
      <c r="B59840" s="0" t="s">
        <v>7</v>
      </c>
    </row>
    <row r="59841" customFormat="false" ht="12.8" hidden="false" customHeight="false" outlineLevel="0" collapsed="false">
      <c r="B59841" s="0" t="s">
        <v>14</v>
      </c>
    </row>
    <row r="59842" customFormat="false" ht="12.8" hidden="false" customHeight="false" outlineLevel="0" collapsed="false">
      <c r="B59842" s="0" t="s">
        <v>5382</v>
      </c>
    </row>
    <row r="59844" customFormat="false" ht="12.8" hidden="false" customHeight="false" outlineLevel="0" collapsed="false">
      <c r="A59844" s="0" t="s">
        <v>20632</v>
      </c>
      <c r="B59844" s="0" t="str">
        <f aca="false">HYPERLINK("https://lindat.mff.cuni.cz/services/teitok/pdtc10/index.php?action=vallex&amp;frame=v-w11769_ZUf1_ZU", "vystěhovávat (v-w11769_ZUf1_ZU) - substituted with v-w11769_ZUf2_ZU")</f>
        <v>vystěhovávat (v-w11769_ZUf1_ZU) - substituted with v-w11769_ZUf2_ZU</v>
      </c>
    </row>
    <row r="59845" customFormat="false" ht="12.8" hidden="false" customHeight="false" outlineLevel="0" collapsed="false">
      <c r="B59845" s="0" t="s">
        <v>7</v>
      </c>
    </row>
    <row r="59846" customFormat="false" ht="12.8" hidden="false" customHeight="false" outlineLevel="0" collapsed="false">
      <c r="B59846" s="0" t="s">
        <v>14</v>
      </c>
    </row>
    <row r="59847" customFormat="false" ht="12.8" hidden="false" customHeight="false" outlineLevel="0" collapsed="false">
      <c r="B59847" s="0" t="s">
        <v>5382</v>
      </c>
    </row>
    <row r="59849" customFormat="false" ht="12.8" hidden="false" customHeight="false" outlineLevel="0" collapsed="false">
      <c r="A59849" s="0" t="s">
        <v>20633</v>
      </c>
      <c r="B59849" s="0" t="str">
        <f aca="false">HYPERLINK("https://lindat.mff.cuni.cz/services/teitok/pdtc10/index.php?action=vallex&amp;frame=v-w8401f1", "vystřelit (v-w8401f1)")</f>
        <v>vystřelit (v-w8401f1)</v>
      </c>
    </row>
    <row r="59850" customFormat="false" ht="12.8" hidden="false" customHeight="false" outlineLevel="0" collapsed="false">
      <c r="B59850" s="0" t="s">
        <v>7</v>
      </c>
      <c r="C59850" s="0" t="s">
        <v>184</v>
      </c>
      <c r="D59850" s="0" t="s">
        <v>184</v>
      </c>
      <c r="E59850" s="0" t="s">
        <v>184</v>
      </c>
      <c r="F59850" s="0" t="s">
        <v>184</v>
      </c>
    </row>
    <row r="59851" customFormat="false" ht="12.8" hidden="false" customHeight="false" outlineLevel="0" collapsed="false">
      <c r="B59851" s="0" t="s">
        <v>14</v>
      </c>
      <c r="C59851" s="0" t="s">
        <v>115</v>
      </c>
      <c r="D59851" s="0" t="s">
        <v>115</v>
      </c>
      <c r="E59851" s="0" t="s">
        <v>115</v>
      </c>
      <c r="F59851" s="0" t="s">
        <v>115</v>
      </c>
    </row>
    <row r="59853" customFormat="false" ht="12.8" hidden="false" customHeight="false" outlineLevel="0" collapsed="false">
      <c r="A59853" s="0" t="s">
        <v>20634</v>
      </c>
      <c r="B59853" s="0" t="str">
        <f aca="false">HYPERLINK("https://lindat.mff.cuni.cz/services/teitok/pdtc10/index.php?action=vallex&amp;frame=v-w8401f3", "vystřelit (v-w8401f3)")</f>
        <v>vystřelit (v-w8401f3)</v>
      </c>
    </row>
    <row r="59854" customFormat="false" ht="12.8" hidden="false" customHeight="false" outlineLevel="0" collapsed="false">
      <c r="B59854" s="0" t="s">
        <v>7</v>
      </c>
      <c r="C59854" s="0" t="s">
        <v>191</v>
      </c>
    </row>
    <row r="59855" customFormat="false" ht="12.8" hidden="false" customHeight="false" outlineLevel="0" collapsed="false">
      <c r="B59855" s="0" t="s">
        <v>14</v>
      </c>
      <c r="C59855" s="0" t="s">
        <v>155</v>
      </c>
    </row>
    <row r="59857" customFormat="false" ht="12.8" hidden="false" customHeight="false" outlineLevel="0" collapsed="false">
      <c r="A59857" s="0" t="s">
        <v>20635</v>
      </c>
      <c r="B59857" s="0" t="str">
        <f aca="false">HYPERLINK("https://lindat.mff.cuni.cz/services/teitok/pdtc10/index.php?action=vallex&amp;frame=v-w8401f2", "vystřelit (v-w8401f2)")</f>
        <v>vystřelit (v-w8401f2)</v>
      </c>
    </row>
    <row r="59858" customFormat="false" ht="12.8" hidden="false" customHeight="false" outlineLevel="0" collapsed="false">
      <c r="B59858" s="0" t="s">
        <v>7</v>
      </c>
      <c r="C59858" s="0" t="s">
        <v>13620</v>
      </c>
    </row>
    <row r="59859" customFormat="false" ht="12.8" hidden="false" customHeight="false" outlineLevel="0" collapsed="false">
      <c r="B59859" s="0" t="s">
        <v>124</v>
      </c>
    </row>
    <row r="59861" customFormat="false" ht="12.8" hidden="false" customHeight="false" outlineLevel="0" collapsed="false">
      <c r="A59861" s="0" t="s">
        <v>20636</v>
      </c>
      <c r="B59861" s="0" t="str">
        <f aca="false">HYPERLINK("https://lindat.mff.cuni.cz/services/teitok/pdtc10/index.php?action=vallex&amp;frame=v-w8401hsa_556", "vystřelit (v-w8401hsa_556)")</f>
        <v>vystřelit (v-w8401hsa_556)</v>
      </c>
    </row>
    <row r="59862" customFormat="false" ht="12.8" hidden="false" customHeight="false" outlineLevel="0" collapsed="false">
      <c r="B59862" s="0" t="s">
        <v>7</v>
      </c>
      <c r="C59862" s="0" t="s">
        <v>176</v>
      </c>
      <c r="D59862" s="0" t="s">
        <v>6244</v>
      </c>
      <c r="E59862" s="0" t="s">
        <v>6244</v>
      </c>
      <c r="F59862" s="0" t="s">
        <v>6244</v>
      </c>
    </row>
    <row r="59863" customFormat="false" ht="12.8" hidden="false" customHeight="false" outlineLevel="0" collapsed="false">
      <c r="B59863" s="0" t="s">
        <v>63</v>
      </c>
      <c r="D59863" s="0" t="s">
        <v>4496</v>
      </c>
      <c r="E59863" s="0" t="s">
        <v>4496</v>
      </c>
      <c r="F59863" s="0" t="s">
        <v>4496</v>
      </c>
    </row>
    <row r="59864" customFormat="false" ht="12.8" hidden="false" customHeight="false" outlineLevel="0" collapsed="false">
      <c r="B59864" s="0" t="s">
        <v>35</v>
      </c>
      <c r="D59864" s="0" t="s">
        <v>4497</v>
      </c>
      <c r="E59864" s="0" t="s">
        <v>4497</v>
      </c>
      <c r="F59864" s="0" t="s">
        <v>4497</v>
      </c>
    </row>
    <row r="59866" customFormat="false" ht="12.8" hidden="false" customHeight="false" outlineLevel="0" collapsed="false">
      <c r="A59866" s="0" t="s">
        <v>20637</v>
      </c>
      <c r="B59866" s="0" t="str">
        <f aca="false">HYPERLINK("https://lindat.mff.cuni.cz/services/teitok/pdtc10/index.php?action=vallex&amp;frame=v-w8402f1", "vystřelovat (v-w8402f1)")</f>
        <v>vystřelovat (v-w8402f1)</v>
      </c>
    </row>
    <row r="59867" customFormat="false" ht="12.8" hidden="false" customHeight="false" outlineLevel="0" collapsed="false">
      <c r="B59867" s="0" t="s">
        <v>7</v>
      </c>
      <c r="D59867" s="0" t="s">
        <v>184</v>
      </c>
      <c r="E59867" s="0" t="s">
        <v>184</v>
      </c>
      <c r="F59867" s="0" t="s">
        <v>184</v>
      </c>
    </row>
    <row r="59868" customFormat="false" ht="12.8" hidden="false" customHeight="false" outlineLevel="0" collapsed="false">
      <c r="B59868" s="0" t="s">
        <v>14</v>
      </c>
      <c r="D59868" s="0" t="s">
        <v>115</v>
      </c>
      <c r="E59868" s="0" t="s">
        <v>115</v>
      </c>
      <c r="F59868" s="0" t="s">
        <v>115</v>
      </c>
    </row>
    <row r="59870" customFormat="false" ht="12.8" hidden="false" customHeight="false" outlineLevel="0" collapsed="false">
      <c r="A59870" s="0" t="s">
        <v>20638</v>
      </c>
      <c r="B59870" s="0" t="str">
        <f aca="false">HYPERLINK("https://lindat.mff.cuni.cz/services/teitok/pdtc10/index.php?action=vallex&amp;frame=v-w8407f2", "vystřihnout (v-w8407f2)")</f>
        <v>vystřihnout (v-w8407f2)</v>
      </c>
    </row>
    <row r="59871" customFormat="false" ht="12.8" hidden="false" customHeight="false" outlineLevel="0" collapsed="false">
      <c r="B59871" s="0" t="s">
        <v>7</v>
      </c>
      <c r="C59871" s="0" t="s">
        <v>191</v>
      </c>
      <c r="D59871" s="0" t="s">
        <v>191</v>
      </c>
      <c r="E59871" s="0" t="s">
        <v>191</v>
      </c>
      <c r="F59871" s="0" t="s">
        <v>191</v>
      </c>
    </row>
    <row r="59872" customFormat="false" ht="12.8" hidden="false" customHeight="false" outlineLevel="0" collapsed="false">
      <c r="B59872" s="0" t="s">
        <v>14</v>
      </c>
      <c r="C59872" s="0" t="s">
        <v>155</v>
      </c>
      <c r="D59872" s="0" t="s">
        <v>155</v>
      </c>
      <c r="E59872" s="0" t="s">
        <v>155</v>
      </c>
      <c r="F59872" s="0" t="s">
        <v>155</v>
      </c>
    </row>
    <row r="59873" customFormat="false" ht="12.8" hidden="false" customHeight="false" outlineLevel="0" collapsed="false">
      <c r="B59873" s="0" t="s">
        <v>459</v>
      </c>
      <c r="C59873" s="0" t="s">
        <v>8091</v>
      </c>
      <c r="D59873" s="0" t="s">
        <v>8091</v>
      </c>
      <c r="E59873" s="0" t="s">
        <v>8091</v>
      </c>
      <c r="F59873" s="0" t="s">
        <v>8091</v>
      </c>
    </row>
    <row r="59875" customFormat="false" ht="12.8" hidden="false" customHeight="false" outlineLevel="0" collapsed="false">
      <c r="A59875" s="0" t="s">
        <v>20639</v>
      </c>
      <c r="B59875" s="0" t="str">
        <f aca="false">HYPERLINK("https://lindat.mff.cuni.cz/services/teitok/pdtc10/index.php?action=vallex&amp;frame=v-w8407f1", "vystřihnout (v-w8407f1)")</f>
        <v>vystřihnout (v-w8407f1)</v>
      </c>
    </row>
    <row r="59876" customFormat="false" ht="12.8" hidden="false" customHeight="false" outlineLevel="0" collapsed="false">
      <c r="B59876" s="0" t="s">
        <v>7</v>
      </c>
      <c r="C59876" s="0" t="s">
        <v>191</v>
      </c>
    </row>
    <row r="59877" customFormat="false" ht="12.8" hidden="false" customHeight="false" outlineLevel="0" collapsed="false">
      <c r="B59877" s="0" t="s">
        <v>14</v>
      </c>
      <c r="C59877" s="0" t="s">
        <v>567</v>
      </c>
    </row>
    <row r="59879" customFormat="false" ht="12.8" hidden="false" customHeight="false" outlineLevel="0" collapsed="false">
      <c r="A59879" s="0" t="s">
        <v>20640</v>
      </c>
      <c r="B59879" s="0" t="str">
        <f aca="false">HYPERLINK("https://lindat.mff.cuni.cz/services/teitok/pdtc10/index.php?action=vallex&amp;frame=v-w8406f2", "vystřihávat (v-w8406f2)")</f>
        <v>vystřihávat (v-w8406f2)</v>
      </c>
    </row>
    <row r="59880" customFormat="false" ht="12.8" hidden="false" customHeight="false" outlineLevel="0" collapsed="false">
      <c r="B59880" s="0" t="s">
        <v>7</v>
      </c>
    </row>
    <row r="59881" customFormat="false" ht="12.8" hidden="false" customHeight="false" outlineLevel="0" collapsed="false">
      <c r="B59881" s="0" t="s">
        <v>14</v>
      </c>
    </row>
    <row r="59882" customFormat="false" ht="12.8" hidden="false" customHeight="false" outlineLevel="0" collapsed="false">
      <c r="B59882" s="0" t="s">
        <v>35</v>
      </c>
    </row>
    <row r="59884" customFormat="false" ht="12.8" hidden="false" customHeight="false" outlineLevel="0" collapsed="false">
      <c r="A59884" s="0" t="s">
        <v>20641</v>
      </c>
      <c r="B59884" s="0" t="str">
        <f aca="false">HYPERLINK("https://lindat.mff.cuni.cz/services/teitok/pdtc10/index.php?action=vallex&amp;frame=v-w8406f1", "vystřihávat (v-w8406f1)")</f>
        <v>vystřihávat (v-w8406f1)</v>
      </c>
    </row>
    <row r="59885" customFormat="false" ht="12.8" hidden="false" customHeight="false" outlineLevel="0" collapsed="false">
      <c r="B59885" s="0" t="s">
        <v>7</v>
      </c>
    </row>
    <row r="59886" customFormat="false" ht="12.8" hidden="false" customHeight="false" outlineLevel="0" collapsed="false">
      <c r="B59886" s="0" t="s">
        <v>14</v>
      </c>
    </row>
    <row r="59887" customFormat="false" ht="12.8" hidden="false" customHeight="false" outlineLevel="0" collapsed="false">
      <c r="B59887" s="0" t="s">
        <v>459</v>
      </c>
    </row>
    <row r="59889" customFormat="false" ht="12.8" hidden="false" customHeight="false" outlineLevel="0" collapsed="false">
      <c r="A59889" s="0" t="s">
        <v>20642</v>
      </c>
      <c r="B59889" s="0" t="str">
        <f aca="false">HYPERLINK("https://lindat.mff.cuni.cz/services/teitok/pdtc10/index.php?action=vallex&amp;frame=v-w8406f3", "vystřihávat (v-w8406f3)")</f>
        <v>vystřihávat (v-w8406f3)</v>
      </c>
    </row>
    <row r="59890" customFormat="false" ht="12.8" hidden="false" customHeight="false" outlineLevel="0" collapsed="false">
      <c r="B59890" s="0" t="s">
        <v>7</v>
      </c>
    </row>
    <row r="59891" customFormat="false" ht="12.8" hidden="false" customHeight="false" outlineLevel="0" collapsed="false">
      <c r="B59891" s="0" t="s">
        <v>14</v>
      </c>
    </row>
    <row r="59893" customFormat="false" ht="12.8" hidden="false" customHeight="false" outlineLevel="0" collapsed="false">
      <c r="A59893" s="0" t="s">
        <v>20643</v>
      </c>
      <c r="B59893" s="0" t="str">
        <f aca="false">HYPERLINK("https://lindat.mff.cuni.cz/services/teitok/pdtc10/index.php?action=vallex&amp;frame=v-w8404f2", "vystřídat (v-w8404f2)")</f>
        <v>vystřídat (v-w8404f2)</v>
      </c>
    </row>
    <row r="59894" customFormat="false" ht="12.8" hidden="false" customHeight="false" outlineLevel="0" collapsed="false">
      <c r="B59894" s="0" t="s">
        <v>7</v>
      </c>
    </row>
    <row r="59895" customFormat="false" ht="12.8" hidden="false" customHeight="false" outlineLevel="0" collapsed="false">
      <c r="B59895" s="0" t="s">
        <v>14</v>
      </c>
    </row>
    <row r="59896" customFormat="false" ht="12.8" hidden="false" customHeight="false" outlineLevel="0" collapsed="false">
      <c r="B59896" s="0" t="s">
        <v>16830</v>
      </c>
    </row>
    <row r="59898" customFormat="false" ht="12.8" hidden="false" customHeight="false" outlineLevel="0" collapsed="false">
      <c r="A59898" s="0" t="s">
        <v>20644</v>
      </c>
      <c r="B59898" s="0" t="str">
        <f aca="false">HYPERLINK("https://lindat.mff.cuni.cz/services/teitok/pdtc10/index.php?action=vallex&amp;frame=v-w8404f1", "vystřídat (v-w8404f1)")</f>
        <v>vystřídat (v-w8404f1)</v>
      </c>
    </row>
    <row r="59899" customFormat="false" ht="12.8" hidden="false" customHeight="false" outlineLevel="0" collapsed="false">
      <c r="B59899" s="0" t="s">
        <v>7</v>
      </c>
      <c r="C59899" s="0" t="s">
        <v>20645</v>
      </c>
      <c r="D59899" s="0" t="s">
        <v>6477</v>
      </c>
      <c r="E59899" s="0" t="s">
        <v>6477</v>
      </c>
      <c r="F59899" s="0" t="s">
        <v>6477</v>
      </c>
    </row>
    <row r="59900" customFormat="false" ht="12.8" hidden="false" customHeight="false" outlineLevel="0" collapsed="false">
      <c r="B59900" s="0" t="s">
        <v>14</v>
      </c>
      <c r="C59900" s="0" t="s">
        <v>20646</v>
      </c>
      <c r="D59900" s="0" t="s">
        <v>6479</v>
      </c>
      <c r="E59900" s="0" t="s">
        <v>6479</v>
      </c>
      <c r="F59900" s="0" t="s">
        <v>6479</v>
      </c>
    </row>
    <row r="59902" customFormat="false" ht="12.8" hidden="false" customHeight="false" outlineLevel="0" collapsed="false">
      <c r="A59902" s="0" t="s">
        <v>20647</v>
      </c>
      <c r="B59902" s="0" t="str">
        <f aca="false">HYPERLINK("https://lindat.mff.cuni.cz/services/teitok/pdtc10/index.php?action=vallex&amp;frame=v-w8405f1", "vystřídat se (v-w8405f1)")</f>
        <v>vystřídat se (v-w8405f1)</v>
      </c>
    </row>
    <row r="59903" customFormat="false" ht="12.8" hidden="false" customHeight="false" outlineLevel="0" collapsed="false">
      <c r="B59903" s="0" t="s">
        <v>7</v>
      </c>
      <c r="E59903" s="0" t="s">
        <v>6477</v>
      </c>
      <c r="F59903" s="0" t="s">
        <v>6477</v>
      </c>
    </row>
    <row r="59904" customFormat="false" ht="12.8" hidden="false" customHeight="false" outlineLevel="0" collapsed="false">
      <c r="B59904" s="0" t="s">
        <v>548</v>
      </c>
      <c r="E59904" s="0" t="s">
        <v>6479</v>
      </c>
      <c r="F59904" s="0" t="s">
        <v>6479</v>
      </c>
    </row>
    <row r="59906" customFormat="false" ht="12.8" hidden="false" customHeight="false" outlineLevel="0" collapsed="false">
      <c r="A59906" s="0" t="s">
        <v>20648</v>
      </c>
      <c r="B59906" s="0" t="str">
        <f aca="false">HYPERLINK("https://lindat.mff.cuni.cz/services/teitok/pdtc10/index.php?action=vallex&amp;frame=v-whsa_1068f1_ZU", "vystříkat (v-whsa_1068f1_ZU)")</f>
        <v>vystříkat (v-whsa_1068f1_ZU)</v>
      </c>
    </row>
    <row r="59907" customFormat="false" ht="12.8" hidden="false" customHeight="false" outlineLevel="0" collapsed="false">
      <c r="B59907" s="0" t="s">
        <v>7</v>
      </c>
    </row>
    <row r="59908" customFormat="false" ht="12.8" hidden="false" customHeight="false" outlineLevel="0" collapsed="false">
      <c r="B59908" s="0" t="s">
        <v>14</v>
      </c>
    </row>
    <row r="59910" customFormat="false" ht="12.8" hidden="false" customHeight="false" outlineLevel="0" collapsed="false">
      <c r="A59910" s="0" t="s">
        <v>20649</v>
      </c>
      <c r="B59910" s="0" t="str">
        <f aca="false">HYPERLINK("https://lindat.mff.cuni.cz/services/teitok/pdtc10/index.php?action=vallex&amp;frame=v-whsa_1068f2_ZU", "vystříkat (v-whsa_1068f2_ZU)")</f>
        <v>vystříkat (v-whsa_1068f2_ZU)</v>
      </c>
    </row>
    <row r="59911" customFormat="false" ht="12.8" hidden="false" customHeight="false" outlineLevel="0" collapsed="false">
      <c r="B59911" s="0" t="s">
        <v>7</v>
      </c>
    </row>
    <row r="59912" customFormat="false" ht="12.8" hidden="false" customHeight="false" outlineLevel="0" collapsed="false">
      <c r="B59912" s="0" t="s">
        <v>14</v>
      </c>
    </row>
    <row r="59914" customFormat="false" ht="12.8" hidden="false" customHeight="false" outlineLevel="0" collapsed="false">
      <c r="A59914" s="0" t="s">
        <v>20650</v>
      </c>
      <c r="B59914" s="0" t="str">
        <f aca="false">HYPERLINK("https://lindat.mff.cuni.cz/services/teitok/pdtc10/index.php?action=vallex&amp;frame=v-w8408f1", "vystřílet (v-w8408f1)")</f>
        <v>vystřílet (v-w8408f1)</v>
      </c>
    </row>
    <row r="59915" customFormat="false" ht="12.8" hidden="false" customHeight="false" outlineLevel="0" collapsed="false">
      <c r="B59915" s="0" t="s">
        <v>7</v>
      </c>
    </row>
    <row r="59916" customFormat="false" ht="12.8" hidden="false" customHeight="false" outlineLevel="0" collapsed="false">
      <c r="B59916" s="0" t="s">
        <v>14</v>
      </c>
    </row>
    <row r="59918" customFormat="false" ht="12.8" hidden="false" customHeight="false" outlineLevel="0" collapsed="false">
      <c r="A59918" s="0" t="s">
        <v>20651</v>
      </c>
      <c r="B59918" s="0" t="str">
        <f aca="false">HYPERLINK("https://lindat.mff.cuni.cz/services/teitok/pdtc10/index.php?action=vallex&amp;frame=v-w8409f1", "vystřízlivět (v-w8409f1)")</f>
        <v>vystřízlivět (v-w8409f1)</v>
      </c>
    </row>
    <row r="59919" customFormat="false" ht="12.8" hidden="false" customHeight="false" outlineLevel="0" collapsed="false">
      <c r="B59919" s="0" t="s">
        <v>7</v>
      </c>
    </row>
    <row r="59920" customFormat="false" ht="12.8" hidden="false" customHeight="false" outlineLevel="0" collapsed="false">
      <c r="B59920" s="0" t="s">
        <v>581</v>
      </c>
    </row>
    <row r="59922" customFormat="false" ht="12.8" hidden="false" customHeight="false" outlineLevel="0" collapsed="false">
      <c r="A59922" s="0" t="s">
        <v>20652</v>
      </c>
      <c r="B59922" s="0" t="str">
        <f aca="false">HYPERLINK("https://lindat.mff.cuni.cz/services/teitok/pdtc10/index.php?action=vallex&amp;frame=v-w8409hsa_1317", "vystřízlivět (v-w8409hsa_1317)")</f>
        <v>vystřízlivět (v-w8409hsa_1317)</v>
      </c>
    </row>
    <row r="59923" customFormat="false" ht="12.8" hidden="false" customHeight="false" outlineLevel="0" collapsed="false">
      <c r="B59923" s="0" t="s">
        <v>7</v>
      </c>
      <c r="C59923" s="0" t="s">
        <v>191</v>
      </c>
      <c r="D59923" s="0" t="s">
        <v>46</v>
      </c>
      <c r="E59923" s="0" t="s">
        <v>46</v>
      </c>
      <c r="F59923" s="0" t="s">
        <v>46</v>
      </c>
    </row>
    <row r="59924" customFormat="false" ht="12.8" hidden="false" customHeight="false" outlineLevel="0" collapsed="false">
      <c r="B59924" s="0" t="s">
        <v>81</v>
      </c>
      <c r="C59924" s="0" t="s">
        <v>3323</v>
      </c>
      <c r="D59924" s="0" t="s">
        <v>2004</v>
      </c>
      <c r="E59924" s="0" t="s">
        <v>2004</v>
      </c>
      <c r="F59924" s="0" t="s">
        <v>2004</v>
      </c>
    </row>
    <row r="59925" customFormat="false" ht="12.8" hidden="false" customHeight="false" outlineLevel="0" collapsed="false">
      <c r="B59925" s="0" t="s">
        <v>581</v>
      </c>
    </row>
    <row r="59927" customFormat="false" ht="12.8" hidden="false" customHeight="false" outlineLevel="0" collapsed="false">
      <c r="A59927" s="0" t="s">
        <v>20653</v>
      </c>
      <c r="B59927" s="0" t="str">
        <f aca="false">HYPERLINK("https://lindat.mff.cuni.cz/services/teitok/pdtc10/index.php?action=vallex&amp;frame=v-w8416f1", "vysunout se (v-w8416f1)")</f>
        <v>vysunout se (v-w8416f1)</v>
      </c>
    </row>
    <row r="59928" customFormat="false" ht="12.8" hidden="false" customHeight="false" outlineLevel="0" collapsed="false">
      <c r="B59928" s="0" t="s">
        <v>7</v>
      </c>
    </row>
    <row r="59929" customFormat="false" ht="12.8" hidden="false" customHeight="false" outlineLevel="0" collapsed="false">
      <c r="B59929" s="0" t="s">
        <v>459</v>
      </c>
    </row>
    <row r="59931" customFormat="false" ht="12.8" hidden="false" customHeight="false" outlineLevel="0" collapsed="false">
      <c r="A59931" s="0" t="s">
        <v>20654</v>
      </c>
      <c r="B59931" s="0" t="str">
        <f aca="false">HYPERLINK("https://lindat.mff.cuni.cz/services/teitok/pdtc10/index.php?action=vallex&amp;frame=v-w10800f2", "vysušit (v-w10800f2)")</f>
        <v>vysušit (v-w10800f2)</v>
      </c>
    </row>
    <row r="59932" customFormat="false" ht="12.8" hidden="false" customHeight="false" outlineLevel="0" collapsed="false">
      <c r="B59932" s="0" t="s">
        <v>7</v>
      </c>
      <c r="C59932" s="0" t="s">
        <v>191</v>
      </c>
    </row>
    <row r="59933" customFormat="false" ht="12.8" hidden="false" customHeight="false" outlineLevel="0" collapsed="false">
      <c r="B59933" s="0" t="s">
        <v>14</v>
      </c>
      <c r="C59933" s="0" t="s">
        <v>155</v>
      </c>
    </row>
    <row r="59935" customFormat="false" ht="12.8" hidden="false" customHeight="false" outlineLevel="0" collapsed="false">
      <c r="A59935" s="0" t="s">
        <v>20655</v>
      </c>
      <c r="B59935" s="0" t="str">
        <f aca="false">HYPERLINK("https://lindat.mff.cuni.cz/services/teitok/pdtc10/index.php?action=vallex&amp;frame=v-w12067_ZUf1_ZU", "vysušovat (v-w12067_ZUf1_ZU)")</f>
        <v>vysušovat (v-w12067_ZUf1_ZU)</v>
      </c>
    </row>
    <row r="59936" customFormat="false" ht="12.8" hidden="false" customHeight="false" outlineLevel="0" collapsed="false">
      <c r="B59936" s="0" t="s">
        <v>7</v>
      </c>
    </row>
    <row r="59937" customFormat="false" ht="12.8" hidden="false" customHeight="false" outlineLevel="0" collapsed="false">
      <c r="B59937" s="0" t="s">
        <v>14</v>
      </c>
    </row>
    <row r="59939" customFormat="false" ht="12.8" hidden="false" customHeight="false" outlineLevel="0" collapsed="false">
      <c r="A59939" s="0" t="s">
        <v>20656</v>
      </c>
      <c r="B59939" s="0" t="str">
        <f aca="false">HYPERLINK("https://lindat.mff.cuni.cz/services/teitok/pdtc10/index.php?action=vallex&amp;frame=v-w11869_ZUf1_ZU", "vysvléci (v-w11869_ZUf1_ZU)")</f>
        <v>vysvléci (v-w11869_ZUf1_ZU)</v>
      </c>
    </row>
    <row r="59940" customFormat="false" ht="12.8" hidden="false" customHeight="false" outlineLevel="0" collapsed="false">
      <c r="B59940" s="0" t="s">
        <v>7</v>
      </c>
    </row>
    <row r="59941" customFormat="false" ht="12.8" hidden="false" customHeight="false" outlineLevel="0" collapsed="false">
      <c r="B59941" s="0" t="s">
        <v>14</v>
      </c>
    </row>
    <row r="59942" customFormat="false" ht="12.8" hidden="false" customHeight="false" outlineLevel="0" collapsed="false">
      <c r="B59942" s="0" t="s">
        <v>35</v>
      </c>
    </row>
    <row r="59944" customFormat="false" ht="12.8" hidden="false" customHeight="false" outlineLevel="0" collapsed="false">
      <c r="A59944" s="0" t="s">
        <v>20657</v>
      </c>
      <c r="B59944" s="0" t="str">
        <f aca="false">HYPERLINK("https://lindat.mff.cuni.cz/services/teitok/pdtc10/index.php?action=vallex&amp;frame=v-whsa_1834hsa_1835", "vysvlíknout (v-whsa_1834hsa_1835)")</f>
        <v>vysvlíknout (v-whsa_1834hsa_1835)</v>
      </c>
    </row>
    <row r="59945" customFormat="false" ht="12.8" hidden="false" customHeight="false" outlineLevel="0" collapsed="false">
      <c r="B59945" s="0" t="s">
        <v>7</v>
      </c>
    </row>
    <row r="59946" customFormat="false" ht="12.8" hidden="false" customHeight="false" outlineLevel="0" collapsed="false">
      <c r="B59946" s="0" t="s">
        <v>14</v>
      </c>
    </row>
    <row r="59947" customFormat="false" ht="12.8" hidden="false" customHeight="false" outlineLevel="0" collapsed="false">
      <c r="B59947" s="0" t="s">
        <v>35</v>
      </c>
    </row>
    <row r="59949" customFormat="false" ht="12.8" hidden="false" customHeight="false" outlineLevel="0" collapsed="false">
      <c r="A59949" s="0" t="s">
        <v>20658</v>
      </c>
      <c r="B59949" s="0" t="str">
        <f aca="false">HYPERLINK("https://lindat.mff.cuni.cz/services/teitok/pdtc10/index.php?action=vallex&amp;frame=v-w8426f1", "vysvobodit (v-w8426f1)")</f>
        <v>vysvobodit (v-w8426f1)</v>
      </c>
    </row>
    <row r="59950" customFormat="false" ht="12.8" hidden="false" customHeight="false" outlineLevel="0" collapsed="false">
      <c r="B59950" s="0" t="s">
        <v>7</v>
      </c>
    </row>
    <row r="59951" customFormat="false" ht="12.8" hidden="false" customHeight="false" outlineLevel="0" collapsed="false">
      <c r="B59951" s="0" t="s">
        <v>14</v>
      </c>
    </row>
    <row r="59952" customFormat="false" ht="12.8" hidden="false" customHeight="false" outlineLevel="0" collapsed="false">
      <c r="B59952" s="0" t="s">
        <v>8558</v>
      </c>
    </row>
    <row r="59954" customFormat="false" ht="12.8" hidden="false" customHeight="false" outlineLevel="0" collapsed="false">
      <c r="A59954" s="0" t="s">
        <v>20659</v>
      </c>
      <c r="B59954" s="0" t="str">
        <f aca="false">HYPERLINK("https://lindat.mff.cuni.cz/services/teitok/pdtc10/index.php?action=vallex&amp;frame=v-w8427f1", "vysvobozovat (v-w8427f1)")</f>
        <v>vysvobozovat (v-w8427f1)</v>
      </c>
    </row>
    <row r="59955" customFormat="false" ht="12.8" hidden="false" customHeight="false" outlineLevel="0" collapsed="false">
      <c r="B59955" s="0" t="s">
        <v>7</v>
      </c>
    </row>
    <row r="59956" customFormat="false" ht="12.8" hidden="false" customHeight="false" outlineLevel="0" collapsed="false">
      <c r="B59956" s="0" t="s">
        <v>14</v>
      </c>
    </row>
    <row r="59957" customFormat="false" ht="12.8" hidden="false" customHeight="false" outlineLevel="0" collapsed="false">
      <c r="B59957" s="0" t="s">
        <v>416</v>
      </c>
    </row>
    <row r="59959" customFormat="false" ht="12.8" hidden="false" customHeight="false" outlineLevel="0" collapsed="false">
      <c r="A59959" s="0" t="s">
        <v>20660</v>
      </c>
      <c r="B59959" s="0" t="str">
        <f aca="false">HYPERLINK("https://lindat.mff.cuni.cz/services/teitok/pdtc10/index.php?action=vallex&amp;frame=v-w8425f1", "vysvítat (v-w8425f1)")</f>
        <v>vysvítat (v-w8425f1)</v>
      </c>
    </row>
    <row r="59960" customFormat="false" ht="12.8" hidden="false" customHeight="false" outlineLevel="0" collapsed="false">
      <c r="B59960" s="0" t="s">
        <v>641</v>
      </c>
    </row>
    <row r="59961" customFormat="false" ht="12.8" hidden="false" customHeight="false" outlineLevel="0" collapsed="false">
      <c r="B59961" s="0" t="s">
        <v>227</v>
      </c>
    </row>
    <row r="59963" customFormat="false" ht="12.8" hidden="false" customHeight="false" outlineLevel="0" collapsed="false">
      <c r="A59963" s="0" t="s">
        <v>20661</v>
      </c>
      <c r="B59963" s="0" t="str">
        <f aca="false">HYPERLINK("https://lindat.mff.cuni.cz/services/teitok/pdtc10/index.php?action=vallex&amp;frame=v-whsa_303hsa_304", "vysvětit (v-whsa_303hsa_304)")</f>
        <v>vysvětit (v-whsa_303hsa_304)</v>
      </c>
    </row>
    <row r="59964" customFormat="false" ht="12.8" hidden="false" customHeight="false" outlineLevel="0" collapsed="false">
      <c r="B59964" s="0" t="s">
        <v>7</v>
      </c>
    </row>
    <row r="59965" customFormat="false" ht="12.8" hidden="false" customHeight="false" outlineLevel="0" collapsed="false">
      <c r="B59965" s="0" t="s">
        <v>14</v>
      </c>
    </row>
    <row r="59967" customFormat="false" ht="12.8" hidden="false" customHeight="false" outlineLevel="0" collapsed="false">
      <c r="A59967" s="0" t="s">
        <v>20662</v>
      </c>
      <c r="B59967" s="0" t="str">
        <f aca="false">HYPERLINK("https://lindat.mff.cuni.cz/services/teitok/pdtc10/index.php?action=vallex&amp;frame=v-w8418f1", "vysvětlit (v-w8418f1)")</f>
        <v>vysvětlit (v-w8418f1)</v>
      </c>
    </row>
    <row r="59968" customFormat="false" ht="12.8" hidden="false" customHeight="false" outlineLevel="0" collapsed="false">
      <c r="B59968" s="0" t="s">
        <v>7</v>
      </c>
      <c r="C59968" s="0" t="s">
        <v>20663</v>
      </c>
      <c r="D59968" s="0" t="s">
        <v>7632</v>
      </c>
      <c r="E59968" s="0" t="s">
        <v>7632</v>
      </c>
      <c r="F59968" s="0" t="s">
        <v>7632</v>
      </c>
    </row>
    <row r="59969" customFormat="false" ht="12.8" hidden="false" customHeight="false" outlineLevel="0" collapsed="false">
      <c r="B59969" s="0" t="s">
        <v>7636</v>
      </c>
      <c r="C59969" s="0" t="s">
        <v>1742</v>
      </c>
      <c r="D59969" s="0" t="s">
        <v>7634</v>
      </c>
      <c r="E59969" s="0" t="s">
        <v>7634</v>
      </c>
      <c r="F59969" s="0" t="s">
        <v>7634</v>
      </c>
    </row>
    <row r="59970" customFormat="false" ht="12.8" hidden="false" customHeight="false" outlineLevel="0" collapsed="false">
      <c r="B59970" s="0" t="s">
        <v>48</v>
      </c>
      <c r="C59970" s="0" t="s">
        <v>20664</v>
      </c>
      <c r="D59970" s="0" t="s">
        <v>3288</v>
      </c>
      <c r="E59970" s="0" t="s">
        <v>3288</v>
      </c>
      <c r="F59970" s="0" t="s">
        <v>3288</v>
      </c>
    </row>
    <row r="59972" customFormat="false" ht="12.8" hidden="false" customHeight="false" outlineLevel="0" collapsed="false">
      <c r="A59972" s="0" t="s">
        <v>20665</v>
      </c>
      <c r="B59972" s="0" t="str">
        <f aca="false">HYPERLINK("https://lindat.mff.cuni.cz/services/teitok/pdtc10/index.php?action=vallex&amp;frame=v-w8418hsa_544", "vysvětlit (v-w8418hsa_544)")</f>
        <v>vysvětlit (v-w8418hsa_544)</v>
      </c>
    </row>
    <row r="59973" customFormat="false" ht="12.8" hidden="false" customHeight="false" outlineLevel="0" collapsed="false">
      <c r="B59973" s="0" t="s">
        <v>7</v>
      </c>
    </row>
    <row r="59974" customFormat="false" ht="12.8" hidden="false" customHeight="false" outlineLevel="0" collapsed="false">
      <c r="B59974" s="0" t="s">
        <v>48</v>
      </c>
    </row>
    <row r="59975" customFormat="false" ht="12.8" hidden="false" customHeight="false" outlineLevel="0" collapsed="false">
      <c r="B59975" s="0" t="s">
        <v>5527</v>
      </c>
    </row>
    <row r="59976" customFormat="false" ht="12.8" hidden="false" customHeight="false" outlineLevel="0" collapsed="false">
      <c r="B59976" s="0" t="s">
        <v>363</v>
      </c>
    </row>
    <row r="59978" customFormat="false" ht="12.8" hidden="false" customHeight="false" outlineLevel="0" collapsed="false">
      <c r="A59978" s="0" t="s">
        <v>20666</v>
      </c>
      <c r="B59978" s="0" t="str">
        <f aca="false">HYPERLINK("https://lindat.mff.cuni.cz/services/teitok/pdtc10/index.php?action=vallex&amp;frame=v-w8419f1", "vysvětlit si (v-w8419f1)")</f>
        <v>vysvětlit si (v-w8419f1)</v>
      </c>
    </row>
    <row r="59979" customFormat="false" ht="12.8" hidden="false" customHeight="false" outlineLevel="0" collapsed="false">
      <c r="B59979" s="0" t="s">
        <v>7</v>
      </c>
      <c r="C59979" s="0" t="s">
        <v>149</v>
      </c>
      <c r="D59979" s="0" t="s">
        <v>451</v>
      </c>
      <c r="E59979" s="0" t="s">
        <v>451</v>
      </c>
      <c r="F59979" s="0" t="s">
        <v>451</v>
      </c>
    </row>
    <row r="59980" customFormat="false" ht="12.8" hidden="false" customHeight="false" outlineLevel="0" collapsed="false">
      <c r="B59980" s="0" t="s">
        <v>14</v>
      </c>
      <c r="C59980" s="0" t="s">
        <v>173</v>
      </c>
      <c r="D59980" s="0" t="s">
        <v>453</v>
      </c>
      <c r="E59980" s="0" t="s">
        <v>453</v>
      </c>
      <c r="F59980" s="0" t="s">
        <v>453</v>
      </c>
    </row>
    <row r="59981" customFormat="false" ht="12.8" hidden="false" customHeight="false" outlineLevel="0" collapsed="false">
      <c r="B59981" s="0" t="s">
        <v>552</v>
      </c>
      <c r="D59981" s="0" t="s">
        <v>6459</v>
      </c>
      <c r="E59981" s="0" t="s">
        <v>6459</v>
      </c>
      <c r="F59981" s="0" t="s">
        <v>6459</v>
      </c>
    </row>
    <row r="59982" customFormat="false" ht="12.8" hidden="false" customHeight="false" outlineLevel="0" collapsed="false">
      <c r="B59982" s="0" t="s">
        <v>474</v>
      </c>
      <c r="D59982" s="0" t="s">
        <v>3401</v>
      </c>
      <c r="E59982" s="0" t="s">
        <v>3401</v>
      </c>
      <c r="F59982" s="0" t="s">
        <v>3401</v>
      </c>
    </row>
    <row r="59983" customFormat="false" ht="12.8" hidden="false" customHeight="false" outlineLevel="0" collapsed="false">
      <c r="B59983" s="0" t="s">
        <v>477</v>
      </c>
      <c r="D59983" s="0" t="s">
        <v>6461</v>
      </c>
      <c r="E59983" s="0" t="s">
        <v>6461</v>
      </c>
      <c r="F59983" s="0" t="s">
        <v>6461</v>
      </c>
    </row>
    <row r="59984" customFormat="false" ht="12.8" hidden="false" customHeight="false" outlineLevel="0" collapsed="false">
      <c r="B59984" s="0" t="s">
        <v>479</v>
      </c>
      <c r="D59984" s="0" t="s">
        <v>3402</v>
      </c>
      <c r="E59984" s="0" t="s">
        <v>3402</v>
      </c>
      <c r="F59984" s="0" t="s">
        <v>3402</v>
      </c>
    </row>
    <row r="59985" customFormat="false" ht="12.8" hidden="false" customHeight="false" outlineLevel="0" collapsed="false">
      <c r="B59985" s="0" t="s">
        <v>481</v>
      </c>
      <c r="D59985" s="0" t="s">
        <v>3403</v>
      </c>
      <c r="E59985" s="0" t="s">
        <v>3403</v>
      </c>
      <c r="F59985" s="0" t="s">
        <v>3403</v>
      </c>
    </row>
    <row r="59986" customFormat="false" ht="12.8" hidden="false" customHeight="false" outlineLevel="0" collapsed="false">
      <c r="B59986" s="0" t="s">
        <v>483</v>
      </c>
      <c r="D59986" s="0" t="s">
        <v>3405</v>
      </c>
      <c r="E59986" s="0" t="s">
        <v>3405</v>
      </c>
      <c r="F59986" s="0" t="s">
        <v>3405</v>
      </c>
    </row>
    <row r="59988" customFormat="false" ht="12.8" hidden="false" customHeight="false" outlineLevel="0" collapsed="false">
      <c r="A59988" s="0" t="s">
        <v>20667</v>
      </c>
      <c r="B59988" s="0" t="str">
        <f aca="false">HYPERLINK("https://lindat.mff.cuni.cz/services/teitok/pdtc10/index.php?action=vallex&amp;frame=v-w8422f2_ZU", "vysvětlovat (v-w8422f2_ZU)")</f>
        <v>vysvětlovat (v-w8422f2_ZU)</v>
      </c>
    </row>
    <row r="59989" customFormat="false" ht="12.8" hidden="false" customHeight="false" outlineLevel="0" collapsed="false">
      <c r="B59989" s="0" t="s">
        <v>7</v>
      </c>
      <c r="D59989" s="0" t="s">
        <v>7632</v>
      </c>
      <c r="E59989" s="0" t="s">
        <v>7632</v>
      </c>
      <c r="F59989" s="0" t="s">
        <v>7632</v>
      </c>
    </row>
    <row r="59990" customFormat="false" ht="12.8" hidden="false" customHeight="false" outlineLevel="0" collapsed="false">
      <c r="B59990" s="0" t="s">
        <v>7636</v>
      </c>
      <c r="D59990" s="0" t="s">
        <v>7634</v>
      </c>
      <c r="E59990" s="0" t="s">
        <v>7634</v>
      </c>
      <c r="F59990" s="0" t="s">
        <v>7634</v>
      </c>
    </row>
    <row r="59991" customFormat="false" ht="12.8" hidden="false" customHeight="false" outlineLevel="0" collapsed="false">
      <c r="B59991" s="0" t="s">
        <v>48</v>
      </c>
      <c r="D59991" s="0" t="s">
        <v>3288</v>
      </c>
      <c r="E59991" s="0" t="s">
        <v>3288</v>
      </c>
      <c r="F59991" s="0" t="s">
        <v>3288</v>
      </c>
    </row>
    <row r="59993" customFormat="false" ht="12.8" hidden="false" customHeight="false" outlineLevel="0" collapsed="false">
      <c r="A59993" s="0" t="s">
        <v>20667</v>
      </c>
      <c r="B59993" s="0" t="str">
        <f aca="false">HYPERLINK("https://lindat.mff.cuni.cz/services/teitok/pdtc10/index.php?action=vallex&amp;frame=v-w8422f1", "vysvětlovat (v-w8422f1) - substituted with v-w8422f2_ZU")</f>
        <v>vysvětlovat (v-w8422f1) - substituted with v-w8422f2_ZU</v>
      </c>
    </row>
    <row r="59994" customFormat="false" ht="12.8" hidden="false" customHeight="false" outlineLevel="0" collapsed="false">
      <c r="B59994" s="0" t="s">
        <v>7</v>
      </c>
      <c r="C59994" s="0" t="s">
        <v>20668</v>
      </c>
    </row>
    <row r="59995" customFormat="false" ht="12.8" hidden="false" customHeight="false" outlineLevel="0" collapsed="false">
      <c r="B59995" s="0" t="s">
        <v>7636</v>
      </c>
      <c r="C59995" s="0" t="s">
        <v>20669</v>
      </c>
    </row>
    <row r="59996" customFormat="false" ht="12.8" hidden="false" customHeight="false" outlineLevel="0" collapsed="false">
      <c r="B59996" s="0" t="s">
        <v>48</v>
      </c>
      <c r="C59996" s="0" t="s">
        <v>709</v>
      </c>
    </row>
    <row r="59998" customFormat="false" ht="12.8" hidden="false" customHeight="false" outlineLevel="0" collapsed="false">
      <c r="A59998" s="0" t="s">
        <v>20670</v>
      </c>
      <c r="B59998" s="0" t="str">
        <f aca="false">HYPERLINK("https://lindat.mff.cuni.cz/services/teitok/pdtc10/index.php?action=vallex&amp;frame=v-w8422hsa_492", "vysvětlovat (v-w8422hsa_492)")</f>
        <v>vysvětlovat (v-w8422hsa_492)</v>
      </c>
    </row>
    <row r="59999" customFormat="false" ht="12.8" hidden="false" customHeight="false" outlineLevel="0" collapsed="false">
      <c r="B59999" s="0" t="s">
        <v>7</v>
      </c>
    </row>
    <row r="60000" customFormat="false" ht="12.8" hidden="false" customHeight="false" outlineLevel="0" collapsed="false">
      <c r="B60000" s="0" t="s">
        <v>14</v>
      </c>
    </row>
    <row r="60001" customFormat="false" ht="12.8" hidden="false" customHeight="false" outlineLevel="0" collapsed="false">
      <c r="B60001" s="0" t="s">
        <v>943</v>
      </c>
    </row>
    <row r="60003" customFormat="false" ht="12.8" hidden="false" customHeight="false" outlineLevel="0" collapsed="false">
      <c r="A60003" s="0" t="s">
        <v>20671</v>
      </c>
      <c r="B60003" s="0" t="str">
        <f aca="false">HYPERLINK("https://lindat.mff.cuni.cz/services/teitok/pdtc10/index.php?action=vallex&amp;frame=v-w8423f1", "vysvětlovat si (v-w8423f1)")</f>
        <v>vysvětlovat si (v-w8423f1)</v>
      </c>
    </row>
    <row r="60004" customFormat="false" ht="12.8" hidden="false" customHeight="false" outlineLevel="0" collapsed="false">
      <c r="B60004" s="0" t="s">
        <v>7</v>
      </c>
    </row>
    <row r="60005" customFormat="false" ht="12.8" hidden="false" customHeight="false" outlineLevel="0" collapsed="false">
      <c r="B60005" s="0" t="s">
        <v>14</v>
      </c>
    </row>
    <row r="60006" customFormat="false" ht="12.8" hidden="false" customHeight="false" outlineLevel="0" collapsed="false">
      <c r="B60006" s="0" t="s">
        <v>552</v>
      </c>
    </row>
    <row r="60007" customFormat="false" ht="12.8" hidden="false" customHeight="false" outlineLevel="0" collapsed="false">
      <c r="B60007" s="0" t="s">
        <v>474</v>
      </c>
    </row>
    <row r="60008" customFormat="false" ht="12.8" hidden="false" customHeight="false" outlineLevel="0" collapsed="false">
      <c r="B60008" s="0" t="s">
        <v>477</v>
      </c>
    </row>
    <row r="60009" customFormat="false" ht="12.8" hidden="false" customHeight="false" outlineLevel="0" collapsed="false">
      <c r="B60009" s="0" t="s">
        <v>479</v>
      </c>
    </row>
    <row r="60010" customFormat="false" ht="12.8" hidden="false" customHeight="false" outlineLevel="0" collapsed="false">
      <c r="B60010" s="0" t="s">
        <v>481</v>
      </c>
    </row>
    <row r="60011" customFormat="false" ht="12.8" hidden="false" customHeight="false" outlineLevel="0" collapsed="false">
      <c r="B60011" s="0" t="s">
        <v>483</v>
      </c>
    </row>
    <row r="60013" customFormat="false" ht="12.8" hidden="false" customHeight="false" outlineLevel="0" collapsed="false">
      <c r="A60013" s="0" t="s">
        <v>20672</v>
      </c>
      <c r="B60013" s="0" t="str">
        <f aca="false">HYPERLINK("https://lindat.mff.cuni.cz/services/teitok/pdtc10/index.php?action=vallex&amp;frame=v-w8428f1", "vysychat (v-w8428f1)")</f>
        <v>vysychat (v-w8428f1)</v>
      </c>
    </row>
    <row r="60014" customFormat="false" ht="12.8" hidden="false" customHeight="false" outlineLevel="0" collapsed="false">
      <c r="B60014" s="0" t="s">
        <v>7</v>
      </c>
      <c r="C60014" s="0" t="s">
        <v>272</v>
      </c>
      <c r="D60014" s="0" t="s">
        <v>708</v>
      </c>
      <c r="E60014" s="0" t="s">
        <v>708</v>
      </c>
      <c r="F60014" s="0" t="s">
        <v>708</v>
      </c>
    </row>
    <row r="60016" customFormat="false" ht="12.8" hidden="false" customHeight="false" outlineLevel="0" collapsed="false">
      <c r="A60016" s="0" t="s">
        <v>20673</v>
      </c>
      <c r="B60016" s="0" t="str">
        <f aca="false">HYPERLINK("https://lindat.mff.cuni.cz/services/teitok/pdtc10/index.php?action=vallex&amp;frame=v-w8428hsa_180", "vysychat (v-w8428hsa_180)")</f>
        <v>vysychat (v-w8428hsa_180)</v>
      </c>
    </row>
    <row r="60017" customFormat="false" ht="12.8" hidden="false" customHeight="false" outlineLevel="0" collapsed="false">
      <c r="B60017" s="0" t="s">
        <v>7</v>
      </c>
    </row>
    <row r="60019" customFormat="false" ht="12.8" hidden="false" customHeight="false" outlineLevel="0" collapsed="false">
      <c r="A60019" s="0" t="s">
        <v>20674</v>
      </c>
      <c r="B60019" s="0" t="str">
        <f aca="false">HYPERLINK("https://lindat.mff.cuni.cz/services/teitok/pdtc10/index.php?action=vallex&amp;frame=v-w8429f4", "vysypat (v-w8429f4)")</f>
        <v>vysypat (v-w8429f4)</v>
      </c>
    </row>
    <row r="60020" customFormat="false" ht="12.8" hidden="false" customHeight="false" outlineLevel="0" collapsed="false">
      <c r="B60020" s="0" t="s">
        <v>7</v>
      </c>
    </row>
    <row r="60021" customFormat="false" ht="12.8" hidden="false" customHeight="false" outlineLevel="0" collapsed="false">
      <c r="B60021" s="0" t="s">
        <v>14</v>
      </c>
    </row>
    <row r="60022" customFormat="false" ht="12.8" hidden="false" customHeight="false" outlineLevel="0" collapsed="false">
      <c r="B60022" s="0" t="s">
        <v>459</v>
      </c>
    </row>
    <row r="60024" customFormat="false" ht="12.8" hidden="false" customHeight="false" outlineLevel="0" collapsed="false">
      <c r="A60024" s="0" t="s">
        <v>20675</v>
      </c>
      <c r="B60024" s="0" t="str">
        <f aca="false">HYPERLINK("https://lindat.mff.cuni.cz/services/teitok/pdtc10/index.php?action=vallex&amp;frame=v-w8429f1", "vysypat (v-w8429f1)")</f>
        <v>vysypat (v-w8429f1)</v>
      </c>
    </row>
    <row r="60025" customFormat="false" ht="12.8" hidden="false" customHeight="false" outlineLevel="0" collapsed="false">
      <c r="B60025" s="0" t="s">
        <v>7</v>
      </c>
      <c r="C60025" s="0" t="s">
        <v>1142</v>
      </c>
      <c r="D60025" s="0" t="s">
        <v>1226</v>
      </c>
      <c r="E60025" s="0" t="s">
        <v>1226</v>
      </c>
      <c r="F60025" s="0" t="s">
        <v>1226</v>
      </c>
    </row>
    <row r="60026" customFormat="false" ht="12.8" hidden="false" customHeight="false" outlineLevel="0" collapsed="false">
      <c r="B60026" s="0" t="s">
        <v>14</v>
      </c>
      <c r="C60026" s="0" t="s">
        <v>7007</v>
      </c>
      <c r="D60026" s="0" t="s">
        <v>26</v>
      </c>
      <c r="E60026" s="0" t="s">
        <v>26</v>
      </c>
      <c r="F60026" s="0" t="s">
        <v>26</v>
      </c>
    </row>
    <row r="60027" customFormat="false" ht="12.8" hidden="false" customHeight="false" outlineLevel="0" collapsed="false">
      <c r="B60027" s="0" t="s">
        <v>124</v>
      </c>
    </row>
    <row r="60029" customFormat="false" ht="12.8" hidden="false" customHeight="false" outlineLevel="0" collapsed="false">
      <c r="A60029" s="0" t="s">
        <v>20676</v>
      </c>
      <c r="B60029" s="0" t="str">
        <f aca="false">HYPERLINK("https://lindat.mff.cuni.cz/services/teitok/pdtc10/index.php?action=vallex&amp;frame=v-w8429f3", "vysypat (v-w8429f3)")</f>
        <v>vysypat (v-w8429f3)</v>
      </c>
    </row>
    <row r="60030" customFormat="false" ht="12.8" hidden="false" customHeight="false" outlineLevel="0" collapsed="false">
      <c r="B60030" s="0" t="s">
        <v>7</v>
      </c>
    </row>
    <row r="60031" customFormat="false" ht="12.8" hidden="false" customHeight="false" outlineLevel="0" collapsed="false">
      <c r="B60031" s="0" t="s">
        <v>14</v>
      </c>
    </row>
    <row r="60033" customFormat="false" ht="12.8" hidden="false" customHeight="false" outlineLevel="0" collapsed="false">
      <c r="A60033" s="0" t="s">
        <v>20677</v>
      </c>
      <c r="B60033" s="0" t="str">
        <f aca="false">HYPERLINK("https://lindat.mff.cuni.cz/services/teitok/pdtc10/index.php?action=vallex&amp;frame=v-w8429f2", "vysypat (v-w8429f2)")</f>
        <v>vysypat (v-w8429f2)</v>
      </c>
    </row>
    <row r="60034" customFormat="false" ht="12.8" hidden="false" customHeight="false" outlineLevel="0" collapsed="false">
      <c r="B60034" s="0" t="s">
        <v>7</v>
      </c>
      <c r="D60034" s="0" t="s">
        <v>191</v>
      </c>
      <c r="E60034" s="0" t="s">
        <v>191</v>
      </c>
      <c r="F60034" s="0" t="s">
        <v>191</v>
      </c>
    </row>
    <row r="60035" customFormat="false" ht="12.8" hidden="false" customHeight="false" outlineLevel="0" collapsed="false">
      <c r="B60035" s="0" t="s">
        <v>14</v>
      </c>
      <c r="C60035" s="0" t="s">
        <v>384</v>
      </c>
      <c r="D60035" s="0" t="s">
        <v>115</v>
      </c>
      <c r="E60035" s="0" t="s">
        <v>115</v>
      </c>
      <c r="F60035" s="0" t="s">
        <v>115</v>
      </c>
    </row>
    <row r="60037" customFormat="false" ht="12.8" hidden="false" customHeight="false" outlineLevel="0" collapsed="false">
      <c r="A60037" s="0" t="s">
        <v>20678</v>
      </c>
      <c r="B60037" s="0" t="str">
        <f aca="false">HYPERLINK("https://lindat.mff.cuni.cz/services/teitok/pdtc10/index.php?action=vallex&amp;frame=v-w8429f5_ZU", "vysypat (v-w8429f5_ZU)")</f>
        <v>vysypat (v-w8429f5_ZU)</v>
      </c>
    </row>
    <row r="60038" customFormat="false" ht="12.8" hidden="false" customHeight="false" outlineLevel="0" collapsed="false">
      <c r="B60038" s="0" t="s">
        <v>7</v>
      </c>
    </row>
    <row r="60039" customFormat="false" ht="12.8" hidden="false" customHeight="false" outlineLevel="0" collapsed="false">
      <c r="B60039" s="0" t="s">
        <v>48</v>
      </c>
    </row>
    <row r="60040" customFormat="false" ht="12.8" hidden="false" customHeight="false" outlineLevel="0" collapsed="false">
      <c r="B60040" s="0" t="s">
        <v>5527</v>
      </c>
    </row>
    <row r="60041" customFormat="false" ht="12.8" hidden="false" customHeight="false" outlineLevel="0" collapsed="false">
      <c r="B60041" s="0" t="s">
        <v>363</v>
      </c>
    </row>
    <row r="60043" customFormat="false" ht="12.8" hidden="false" customHeight="false" outlineLevel="0" collapsed="false">
      <c r="A60043" s="0" t="s">
        <v>20678</v>
      </c>
      <c r="B60043" s="0" t="str">
        <f aca="false">HYPERLINK("https://lindat.mff.cuni.cz/services/teitok/pdtc10/index.php?action=vallex&amp;frame=v-w8429hsa_628", "vysypat (v-w8429hsa_628) - substituted with v-w8429f5_ZU")</f>
        <v>vysypat (v-w8429hsa_628) - substituted with v-w8429f5_ZU</v>
      </c>
    </row>
    <row r="60044" customFormat="false" ht="12.8" hidden="false" customHeight="false" outlineLevel="0" collapsed="false">
      <c r="B60044" s="0" t="s">
        <v>7</v>
      </c>
    </row>
    <row r="60045" customFormat="false" ht="12.8" hidden="false" customHeight="false" outlineLevel="0" collapsed="false">
      <c r="B60045" s="0" t="s">
        <v>48</v>
      </c>
    </row>
    <row r="60046" customFormat="false" ht="12.8" hidden="false" customHeight="false" outlineLevel="0" collapsed="false">
      <c r="B60046" s="0" t="s">
        <v>5527</v>
      </c>
    </row>
    <row r="60047" customFormat="false" ht="12.8" hidden="false" customHeight="false" outlineLevel="0" collapsed="false">
      <c r="B60047" s="0" t="s">
        <v>363</v>
      </c>
    </row>
    <row r="60049" customFormat="false" ht="12.8" hidden="false" customHeight="false" outlineLevel="0" collapsed="false">
      <c r="A60049" s="0" t="s">
        <v>20679</v>
      </c>
      <c r="B60049" s="0" t="str">
        <f aca="false">HYPERLINK("https://lindat.mff.cuni.cz/services/teitok/pdtc10/index.php?action=vallex&amp;frame=v-w8430f1", "vysypat se (v-w8430f1)")</f>
        <v>vysypat se (v-w8430f1)</v>
      </c>
    </row>
    <row r="60050" customFormat="false" ht="12.8" hidden="false" customHeight="false" outlineLevel="0" collapsed="false">
      <c r="B60050" s="0" t="s">
        <v>7</v>
      </c>
    </row>
    <row r="60052" customFormat="false" ht="12.8" hidden="false" customHeight="false" outlineLevel="0" collapsed="false">
      <c r="A60052" s="0" t="s">
        <v>20680</v>
      </c>
      <c r="B60052" s="0" t="str">
        <f aca="false">HYPERLINK("https://lindat.mff.cuni.cz/services/teitok/pdtc10/index.php?action=vallex&amp;frame=v-w10436f2", "vysypávat (v-w10436f2)")</f>
        <v>vysypávat (v-w10436f2)</v>
      </c>
    </row>
    <row r="60053" customFormat="false" ht="12.8" hidden="false" customHeight="false" outlineLevel="0" collapsed="false">
      <c r="B60053" s="0" t="s">
        <v>7</v>
      </c>
      <c r="D60053" s="0" t="s">
        <v>1226</v>
      </c>
      <c r="E60053" s="0" t="s">
        <v>1226</v>
      </c>
      <c r="F60053" s="0" t="s">
        <v>1226</v>
      </c>
    </row>
    <row r="60054" customFormat="false" ht="12.8" hidden="false" customHeight="false" outlineLevel="0" collapsed="false">
      <c r="B60054" s="0" t="s">
        <v>14</v>
      </c>
      <c r="C60054" s="0" t="s">
        <v>33</v>
      </c>
      <c r="D60054" s="0" t="s">
        <v>26</v>
      </c>
      <c r="E60054" s="0" t="s">
        <v>26</v>
      </c>
      <c r="F60054" s="0" t="s">
        <v>26</v>
      </c>
    </row>
    <row r="60055" customFormat="false" ht="12.8" hidden="false" customHeight="false" outlineLevel="0" collapsed="false">
      <c r="B60055" s="0" t="s">
        <v>124</v>
      </c>
    </row>
    <row r="60057" customFormat="false" ht="12.8" hidden="false" customHeight="false" outlineLevel="0" collapsed="false">
      <c r="A60057" s="0" t="s">
        <v>20681</v>
      </c>
      <c r="B60057" s="0" t="str">
        <f aca="false">HYPERLINK("https://lindat.mff.cuni.cz/services/teitok/pdtc10/index.php?action=vallex&amp;frame=v-w10436f3", "vysypávat (v-w10436f3)")</f>
        <v>vysypávat (v-w10436f3)</v>
      </c>
    </row>
    <row r="60058" customFormat="false" ht="12.8" hidden="false" customHeight="false" outlineLevel="0" collapsed="false">
      <c r="B60058" s="0" t="s">
        <v>7</v>
      </c>
      <c r="C60058" s="0" t="s">
        <v>191</v>
      </c>
      <c r="D60058" s="0" t="s">
        <v>191</v>
      </c>
      <c r="E60058" s="0" t="s">
        <v>191</v>
      </c>
      <c r="F60058" s="0" t="s">
        <v>191</v>
      </c>
    </row>
    <row r="60059" customFormat="false" ht="12.8" hidden="false" customHeight="false" outlineLevel="0" collapsed="false">
      <c r="B60059" s="0" t="s">
        <v>14</v>
      </c>
      <c r="C60059" s="0" t="s">
        <v>567</v>
      </c>
      <c r="D60059" s="0" t="s">
        <v>115</v>
      </c>
      <c r="E60059" s="0" t="s">
        <v>115</v>
      </c>
      <c r="F60059" s="0" t="s">
        <v>115</v>
      </c>
    </row>
    <row r="60061" customFormat="false" ht="12.8" hidden="false" customHeight="false" outlineLevel="0" collapsed="false">
      <c r="A60061" s="0" t="s">
        <v>20682</v>
      </c>
      <c r="B60061" s="0" t="str">
        <f aca="false">HYPERLINK("https://lindat.mff.cuni.cz/services/teitok/pdtc10/index.php?action=vallex&amp;frame=v-w10436f4_ZU", "vysypávat (v-w10436f4_ZU)")</f>
        <v>vysypávat (v-w10436f4_ZU)</v>
      </c>
    </row>
    <row r="60062" customFormat="false" ht="12.8" hidden="false" customHeight="false" outlineLevel="0" collapsed="false">
      <c r="B60062" s="0" t="s">
        <v>7</v>
      </c>
    </row>
    <row r="60063" customFormat="false" ht="12.8" hidden="false" customHeight="false" outlineLevel="0" collapsed="false">
      <c r="B60063" s="0" t="s">
        <v>14</v>
      </c>
    </row>
    <row r="60065" customFormat="false" ht="12.8" hidden="false" customHeight="false" outlineLevel="0" collapsed="false">
      <c r="A60065" s="0" t="s">
        <v>20682</v>
      </c>
      <c r="B60065" s="0" t="str">
        <f aca="false">HYPERLINK("https://lindat.mff.cuni.cz/services/teitok/pdtc10/index.php?action=vallex&amp;frame=v-w10436hsa_1229", "vysypávat (v-w10436hsa_1229) - substituted with v-w10436f4_ZU")</f>
        <v>vysypávat (v-w10436hsa_1229) - substituted with v-w10436f4_ZU</v>
      </c>
    </row>
    <row r="60066" customFormat="false" ht="12.8" hidden="false" customHeight="false" outlineLevel="0" collapsed="false">
      <c r="B60066" s="0" t="s">
        <v>7</v>
      </c>
    </row>
    <row r="60067" customFormat="false" ht="12.8" hidden="false" customHeight="false" outlineLevel="0" collapsed="false">
      <c r="B60067" s="0" t="s">
        <v>14</v>
      </c>
    </row>
    <row r="60069" customFormat="false" ht="12.8" hidden="false" customHeight="false" outlineLevel="0" collapsed="false">
      <c r="A60069" s="0" t="s">
        <v>20683</v>
      </c>
      <c r="B60069" s="0" t="str">
        <f aca="false">HYPERLINK("https://lindat.mff.cuni.cz/services/teitok/pdtc10/index.php?action=vallex&amp;frame=v-w11313f1", "vysypávat se (v-w11313f1)")</f>
        <v>vysypávat se (v-w11313f1)</v>
      </c>
    </row>
    <row r="60070" customFormat="false" ht="12.8" hidden="false" customHeight="false" outlineLevel="0" collapsed="false">
      <c r="B60070" s="0" t="s">
        <v>7</v>
      </c>
    </row>
    <row r="60072" customFormat="false" ht="12.8" hidden="false" customHeight="false" outlineLevel="0" collapsed="false">
      <c r="A60072" s="0" t="s">
        <v>20684</v>
      </c>
      <c r="B60072" s="0" t="str">
        <f aca="false">HYPERLINK("https://lindat.mff.cuni.cz/services/teitok/pdtc10/index.php?action=vallex&amp;frame=v-w10307f2", "vysát (v-w10307f2)")</f>
        <v>vysát (v-w10307f2)</v>
      </c>
    </row>
    <row r="60073" customFormat="false" ht="12.8" hidden="false" customHeight="false" outlineLevel="0" collapsed="false">
      <c r="B60073" s="0" t="s">
        <v>7</v>
      </c>
      <c r="C60073" s="0" t="s">
        <v>191</v>
      </c>
      <c r="D60073" s="0" t="s">
        <v>191</v>
      </c>
      <c r="E60073" s="0" t="s">
        <v>191</v>
      </c>
      <c r="F60073" s="0" t="s">
        <v>191</v>
      </c>
    </row>
    <row r="60074" customFormat="false" ht="12.8" hidden="false" customHeight="false" outlineLevel="0" collapsed="false">
      <c r="B60074" s="0" t="s">
        <v>14</v>
      </c>
      <c r="C60074" s="0" t="s">
        <v>47</v>
      </c>
      <c r="D60074" s="0" t="s">
        <v>8694</v>
      </c>
      <c r="E60074" s="0" t="s">
        <v>8694</v>
      </c>
      <c r="F60074" s="0" t="s">
        <v>8694</v>
      </c>
    </row>
    <row r="60075" customFormat="false" ht="12.8" hidden="false" customHeight="false" outlineLevel="0" collapsed="false">
      <c r="B60075" s="0" t="s">
        <v>459</v>
      </c>
    </row>
    <row r="60077" customFormat="false" ht="12.8" hidden="false" customHeight="false" outlineLevel="0" collapsed="false">
      <c r="A60077" s="0" t="s">
        <v>20685</v>
      </c>
      <c r="B60077" s="0" t="str">
        <f aca="false">HYPERLINK("https://lindat.mff.cuni.cz/services/teitok/pdtc10/index.php?action=vallex&amp;frame=v-w10307f3", "vysát (v-w10307f3)")</f>
        <v>vysát (v-w10307f3)</v>
      </c>
    </row>
    <row r="60078" customFormat="false" ht="12.8" hidden="false" customHeight="false" outlineLevel="0" collapsed="false">
      <c r="B60078" s="0" t="s">
        <v>7</v>
      </c>
      <c r="C60078" s="0" t="s">
        <v>335</v>
      </c>
      <c r="D60078" s="0" t="s">
        <v>157</v>
      </c>
      <c r="E60078" s="0" t="s">
        <v>157</v>
      </c>
      <c r="F60078" s="0" t="s">
        <v>157</v>
      </c>
    </row>
    <row r="60079" customFormat="false" ht="12.8" hidden="false" customHeight="false" outlineLevel="0" collapsed="false">
      <c r="B60079" s="0" t="s">
        <v>14</v>
      </c>
      <c r="C60079" s="0" t="s">
        <v>3615</v>
      </c>
      <c r="D60079" s="0" t="s">
        <v>2641</v>
      </c>
      <c r="E60079" s="0" t="s">
        <v>2641</v>
      </c>
      <c r="F60079" s="0" t="s">
        <v>2641</v>
      </c>
    </row>
    <row r="60081" customFormat="false" ht="12.8" hidden="false" customHeight="false" outlineLevel="0" collapsed="false">
      <c r="A60081" s="0" t="s">
        <v>20686</v>
      </c>
      <c r="B60081" s="0" t="str">
        <f aca="false">HYPERLINK("https://lindat.mff.cuni.cz/services/teitok/pdtc10/index.php?action=vallex&amp;frame=v-w8336f1", "vysávat (v-w8336f1)")</f>
        <v>vysávat (v-w8336f1)</v>
      </c>
    </row>
    <row r="60082" customFormat="false" ht="12.8" hidden="false" customHeight="false" outlineLevel="0" collapsed="false">
      <c r="B60082" s="0" t="s">
        <v>7</v>
      </c>
    </row>
    <row r="60083" customFormat="false" ht="12.8" hidden="false" customHeight="false" outlineLevel="0" collapsed="false">
      <c r="B60083" s="0" t="s">
        <v>14</v>
      </c>
    </row>
    <row r="60084" customFormat="false" ht="12.8" hidden="false" customHeight="false" outlineLevel="0" collapsed="false">
      <c r="B60084" s="0" t="s">
        <v>459</v>
      </c>
    </row>
    <row r="60086" customFormat="false" ht="12.8" hidden="false" customHeight="false" outlineLevel="0" collapsed="false">
      <c r="A60086" s="0" t="s">
        <v>20687</v>
      </c>
      <c r="B60086" s="0" t="str">
        <f aca="false">HYPERLINK("https://lindat.mff.cuni.cz/services/teitok/pdtc10/index.php?action=vallex&amp;frame=v-w8336f3", "vysávat (v-w8336f3)")</f>
        <v>vysávat (v-w8336f3)</v>
      </c>
    </row>
    <row r="60087" customFormat="false" ht="12.8" hidden="false" customHeight="false" outlineLevel="0" collapsed="false">
      <c r="B60087" s="0" t="s">
        <v>7</v>
      </c>
      <c r="D60087" s="0" t="s">
        <v>157</v>
      </c>
      <c r="E60087" s="0" t="s">
        <v>157</v>
      </c>
      <c r="F60087" s="0" t="s">
        <v>157</v>
      </c>
    </row>
    <row r="60088" customFormat="false" ht="12.8" hidden="false" customHeight="false" outlineLevel="0" collapsed="false">
      <c r="B60088" s="0" t="s">
        <v>14</v>
      </c>
      <c r="D60088" s="0" t="s">
        <v>2641</v>
      </c>
      <c r="E60088" s="0" t="s">
        <v>2641</v>
      </c>
      <c r="F60088" s="0" t="s">
        <v>2641</v>
      </c>
    </row>
    <row r="60090" customFormat="false" ht="12.8" hidden="false" customHeight="false" outlineLevel="0" collapsed="false">
      <c r="A60090" s="0" t="s">
        <v>20688</v>
      </c>
      <c r="B60090" s="0" t="str">
        <f aca="false">HYPERLINK("https://lindat.mff.cuni.cz/services/teitok/pdtc10/index.php?action=vallex&amp;frame=v-w8336f4", "vysávat (v-w8336f4)")</f>
        <v>vysávat (v-w8336f4)</v>
      </c>
    </row>
    <row r="60091" customFormat="false" ht="12.8" hidden="false" customHeight="false" outlineLevel="0" collapsed="false">
      <c r="B60091" s="0" t="s">
        <v>7</v>
      </c>
      <c r="D60091" s="0" t="s">
        <v>157</v>
      </c>
      <c r="E60091" s="0" t="s">
        <v>157</v>
      </c>
      <c r="F60091" s="0" t="s">
        <v>157</v>
      </c>
    </row>
    <row r="60092" customFormat="false" ht="12.8" hidden="false" customHeight="false" outlineLevel="0" collapsed="false">
      <c r="B60092" s="0" t="s">
        <v>14</v>
      </c>
      <c r="C60092" s="0" t="s">
        <v>155</v>
      </c>
      <c r="D60092" s="0" t="s">
        <v>2641</v>
      </c>
      <c r="E60092" s="0" t="s">
        <v>2641</v>
      </c>
      <c r="F60092" s="0" t="s">
        <v>2641</v>
      </c>
    </row>
    <row r="60094" customFormat="false" ht="12.8" hidden="false" customHeight="false" outlineLevel="0" collapsed="false">
      <c r="A60094" s="0" t="s">
        <v>20689</v>
      </c>
      <c r="B60094" s="0" t="str">
        <f aca="false">HYPERLINK("https://lindat.mff.cuni.cz/services/teitok/pdtc10/index.php?action=vallex&amp;frame=v-w11168f3", "vysázet (v-w11168f3)")</f>
        <v>vysázet (v-w11168f3)</v>
      </c>
    </row>
    <row r="60095" customFormat="false" ht="12.8" hidden="false" customHeight="false" outlineLevel="0" collapsed="false">
      <c r="B60095" s="0" t="s">
        <v>7</v>
      </c>
      <c r="C60095" s="0" t="s">
        <v>191</v>
      </c>
      <c r="D60095" s="0" t="s">
        <v>9673</v>
      </c>
      <c r="E60095" s="0" t="s">
        <v>9673</v>
      </c>
      <c r="F60095" s="0" t="s">
        <v>9673</v>
      </c>
    </row>
    <row r="60096" customFormat="false" ht="12.8" hidden="false" customHeight="false" outlineLevel="0" collapsed="false">
      <c r="B60096" s="0" t="s">
        <v>14</v>
      </c>
      <c r="C60096" s="0" t="s">
        <v>155</v>
      </c>
      <c r="D60096" s="0" t="s">
        <v>20206</v>
      </c>
      <c r="E60096" s="0" t="s">
        <v>20206</v>
      </c>
      <c r="F60096" s="0" t="s">
        <v>20206</v>
      </c>
    </row>
    <row r="60097" customFormat="false" ht="12.8" hidden="false" customHeight="false" outlineLevel="0" collapsed="false">
      <c r="B60097" s="0" t="s">
        <v>48</v>
      </c>
      <c r="D60097" s="0" t="s">
        <v>20207</v>
      </c>
      <c r="E60097" s="0" t="s">
        <v>20207</v>
      </c>
      <c r="F60097" s="0" t="s">
        <v>20207</v>
      </c>
    </row>
    <row r="60099" customFormat="false" ht="12.8" hidden="false" customHeight="false" outlineLevel="0" collapsed="false">
      <c r="A60099" s="0" t="s">
        <v>20690</v>
      </c>
      <c r="B60099" s="0" t="str">
        <f aca="false">HYPERLINK("https://lindat.mff.cuni.cz/services/teitok/pdtc10/index.php?action=vallex&amp;frame=v-w11168f2", "vysázet (v-w11168f2)")</f>
        <v>vysázet (v-w11168f2)</v>
      </c>
    </row>
    <row r="60100" customFormat="false" ht="12.8" hidden="false" customHeight="false" outlineLevel="0" collapsed="false">
      <c r="B60100" s="0" t="s">
        <v>7</v>
      </c>
      <c r="C60100" s="0" t="s">
        <v>623</v>
      </c>
    </row>
    <row r="60101" customFormat="false" ht="12.8" hidden="false" customHeight="false" outlineLevel="0" collapsed="false">
      <c r="B60101" s="0" t="s">
        <v>14</v>
      </c>
      <c r="C60101" s="0" t="s">
        <v>1264</v>
      </c>
    </row>
    <row r="60103" customFormat="false" ht="12.8" hidden="false" customHeight="false" outlineLevel="0" collapsed="false">
      <c r="A60103" s="0" t="s">
        <v>20691</v>
      </c>
      <c r="B60103" s="0" t="str">
        <f aca="false">HYPERLINK("https://lindat.mff.cuni.cz/services/teitok/pdtc10/index.php?action=vallex&amp;frame=v-w8345f4_ZU", "vysílat (v-w8345f4_ZU)")</f>
        <v>vysílat (v-w8345f4_ZU)</v>
      </c>
    </row>
    <row r="60104" customFormat="false" ht="12.8" hidden="false" customHeight="false" outlineLevel="0" collapsed="false">
      <c r="B60104" s="0" t="s">
        <v>7</v>
      </c>
      <c r="C60104" s="0" t="s">
        <v>2737</v>
      </c>
    </row>
    <row r="60105" customFormat="false" ht="12.8" hidden="false" customHeight="false" outlineLevel="0" collapsed="false">
      <c r="B60105" s="0" t="s">
        <v>14</v>
      </c>
      <c r="C60105" s="0" t="s">
        <v>20692</v>
      </c>
    </row>
    <row r="60106" customFormat="false" ht="12.8" hidden="false" customHeight="false" outlineLevel="0" collapsed="false">
      <c r="B60106" s="0" t="s">
        <v>48</v>
      </c>
      <c r="C60106" s="0" t="s">
        <v>2942</v>
      </c>
    </row>
    <row r="60108" customFormat="false" ht="12.8" hidden="false" customHeight="false" outlineLevel="0" collapsed="false">
      <c r="A60108" s="0" t="s">
        <v>20693</v>
      </c>
      <c r="B60108" s="0" t="str">
        <f aca="false">HYPERLINK("https://lindat.mff.cuni.cz/services/teitok/pdtc10/index.php?action=vallex&amp;frame=v-w8345f2", "vysílat (v-w8345f2)")</f>
        <v>vysílat (v-w8345f2)</v>
      </c>
    </row>
    <row r="60109" customFormat="false" ht="12.8" hidden="false" customHeight="false" outlineLevel="0" collapsed="false">
      <c r="B60109" s="0" t="s">
        <v>7</v>
      </c>
      <c r="C60109" s="0" t="s">
        <v>8058</v>
      </c>
      <c r="D60109" s="0" t="s">
        <v>1630</v>
      </c>
      <c r="E60109" s="0" t="s">
        <v>1630</v>
      </c>
      <c r="F60109" s="0" t="s">
        <v>1630</v>
      </c>
    </row>
    <row r="60110" customFormat="false" ht="12.8" hidden="false" customHeight="false" outlineLevel="0" collapsed="false">
      <c r="B60110" s="0" t="s">
        <v>14</v>
      </c>
      <c r="C60110" s="0" t="s">
        <v>128</v>
      </c>
      <c r="D60110" s="0" t="s">
        <v>1632</v>
      </c>
      <c r="E60110" s="0" t="s">
        <v>1632</v>
      </c>
      <c r="F60110" s="0" t="s">
        <v>1632</v>
      </c>
    </row>
    <row r="60111" customFormat="false" ht="12.8" hidden="false" customHeight="false" outlineLevel="0" collapsed="false">
      <c r="B60111" s="0" t="s">
        <v>124</v>
      </c>
      <c r="C60111" s="0" t="s">
        <v>8108</v>
      </c>
      <c r="D60111" s="0" t="s">
        <v>2165</v>
      </c>
      <c r="E60111" s="0" t="s">
        <v>2165</v>
      </c>
      <c r="F60111" s="0" t="s">
        <v>2165</v>
      </c>
    </row>
    <row r="60113" customFormat="false" ht="12.8" hidden="false" customHeight="false" outlineLevel="0" collapsed="false">
      <c r="A60113" s="0" t="s">
        <v>20694</v>
      </c>
      <c r="B60113" s="0" t="str">
        <f aca="false">HYPERLINK("https://lindat.mff.cuni.cz/services/teitok/pdtc10/index.php?action=vallex&amp;frame=v-w8345f1", "vysílat (v-w8345f1)")</f>
        <v>vysílat (v-w8345f1)</v>
      </c>
    </row>
    <row r="60114" customFormat="false" ht="12.8" hidden="false" customHeight="false" outlineLevel="0" collapsed="false">
      <c r="B60114" s="0" t="s">
        <v>7</v>
      </c>
      <c r="C60114" s="0" t="s">
        <v>20695</v>
      </c>
      <c r="D60114" s="0" t="s">
        <v>8652</v>
      </c>
      <c r="E60114" s="0" t="s">
        <v>8652</v>
      </c>
      <c r="F60114" s="0" t="s">
        <v>8652</v>
      </c>
    </row>
    <row r="60115" customFormat="false" ht="12.8" hidden="false" customHeight="false" outlineLevel="0" collapsed="false">
      <c r="B60115" s="0" t="s">
        <v>14</v>
      </c>
      <c r="C60115" s="0" t="s">
        <v>20696</v>
      </c>
      <c r="D60115" s="0" t="s">
        <v>152</v>
      </c>
      <c r="E60115" s="0" t="s">
        <v>152</v>
      </c>
      <c r="F60115" s="0" t="s">
        <v>152</v>
      </c>
    </row>
    <row r="60117" customFormat="false" ht="12.8" hidden="false" customHeight="false" outlineLevel="0" collapsed="false">
      <c r="A60117" s="0" t="s">
        <v>20697</v>
      </c>
      <c r="B60117" s="0" t="str">
        <f aca="false">HYPERLINK("https://lindat.mff.cuni.cz/services/teitok/pdtc10/index.php?action=vallex&amp;frame=v-w8345f3", "vysílat (v-w8345f3)")</f>
        <v>vysílat (v-w8345f3)</v>
      </c>
    </row>
    <row r="60118" customFormat="false" ht="12.8" hidden="false" customHeight="false" outlineLevel="0" collapsed="false">
      <c r="B60118" s="0" t="s">
        <v>7</v>
      </c>
      <c r="C60118" s="0" t="s">
        <v>309</v>
      </c>
    </row>
    <row r="60119" customFormat="false" ht="12.8" hidden="false" customHeight="false" outlineLevel="0" collapsed="false">
      <c r="B60119" s="0" t="s">
        <v>14</v>
      </c>
      <c r="C60119" s="0" t="s">
        <v>462</v>
      </c>
    </row>
    <row r="60121" customFormat="false" ht="12.8" hidden="false" customHeight="false" outlineLevel="0" collapsed="false">
      <c r="A60121" s="0" t="s">
        <v>20698</v>
      </c>
      <c r="B60121" s="0" t="str">
        <f aca="false">HYPERLINK("https://lindat.mff.cuni.cz/services/teitok/pdtc10/index.php?action=vallex&amp;frame=v-whsa_1999hsa_2000", "vysýpat (v-whsa_1999hsa_2000)")</f>
        <v>vysýpat (v-whsa_1999hsa_2000)</v>
      </c>
    </row>
    <row r="60122" customFormat="false" ht="12.8" hidden="false" customHeight="false" outlineLevel="0" collapsed="false">
      <c r="B60122" s="0" t="s">
        <v>7</v>
      </c>
    </row>
    <row r="60123" customFormat="false" ht="12.8" hidden="false" customHeight="false" outlineLevel="0" collapsed="false">
      <c r="B60123" s="0" t="s">
        <v>14</v>
      </c>
    </row>
    <row r="60125" customFormat="false" ht="12.8" hidden="false" customHeight="false" outlineLevel="0" collapsed="false">
      <c r="A60125" s="0" t="s">
        <v>20699</v>
      </c>
      <c r="B60125" s="0" t="str">
        <f aca="false">HYPERLINK("https://lindat.mff.cuni.cz/services/teitok/pdtc10/index.php?action=vallex&amp;frame=v-w8455f1", "vytahat (v-w8455f1)")</f>
        <v>vytahat (v-w8455f1)</v>
      </c>
    </row>
    <row r="60126" customFormat="false" ht="12.8" hidden="false" customHeight="false" outlineLevel="0" collapsed="false">
      <c r="B60126" s="0" t="s">
        <v>7</v>
      </c>
    </row>
    <row r="60127" customFormat="false" ht="12.8" hidden="false" customHeight="false" outlineLevel="0" collapsed="false">
      <c r="B60127" s="0" t="s">
        <v>14</v>
      </c>
    </row>
    <row r="60128" customFormat="false" ht="12.8" hidden="false" customHeight="false" outlineLevel="0" collapsed="false">
      <c r="B60128" s="0" t="s">
        <v>459</v>
      </c>
    </row>
    <row r="60130" customFormat="false" ht="12.8" hidden="false" customHeight="false" outlineLevel="0" collapsed="false">
      <c r="A60130" s="0" t="s">
        <v>20700</v>
      </c>
      <c r="B60130" s="0" t="str">
        <f aca="false">HYPERLINK("https://lindat.mff.cuni.cz/services/teitok/pdtc10/index.php?action=vallex&amp;frame=v-w8458f4_ZU", "vytahovat (v-w8458f4_ZU)")</f>
        <v>vytahovat (v-w8458f4_ZU)</v>
      </c>
    </row>
    <row r="60131" customFormat="false" ht="12.8" hidden="false" customHeight="false" outlineLevel="0" collapsed="false">
      <c r="B60131" s="0" t="s">
        <v>7</v>
      </c>
    </row>
    <row r="60132" customFormat="false" ht="12.8" hidden="false" customHeight="false" outlineLevel="0" collapsed="false">
      <c r="B60132" s="0" t="s">
        <v>14</v>
      </c>
    </row>
    <row r="60133" customFormat="false" ht="12.8" hidden="false" customHeight="false" outlineLevel="0" collapsed="false">
      <c r="B60133" s="0" t="s">
        <v>459</v>
      </c>
    </row>
    <row r="60135" customFormat="false" ht="12.8" hidden="false" customHeight="false" outlineLevel="0" collapsed="false">
      <c r="A60135" s="0" t="s">
        <v>20700</v>
      </c>
      <c r="B60135" s="0" t="str">
        <f aca="false">HYPERLINK("https://lindat.mff.cuni.cz/services/teitok/pdtc10/index.php?action=vallex&amp;frame=v-w8458f1", "vytahovat (v-w8458f1) - substituted with v-w8458f4_ZU")</f>
        <v>vytahovat (v-w8458f1) - substituted with v-w8458f4_ZU</v>
      </c>
    </row>
    <row r="60136" customFormat="false" ht="12.8" hidden="false" customHeight="false" outlineLevel="0" collapsed="false">
      <c r="B60136" s="0" t="s">
        <v>7</v>
      </c>
      <c r="C60136" s="0" t="s">
        <v>2736</v>
      </c>
      <c r="D60136" s="0" t="s">
        <v>8058</v>
      </c>
      <c r="E60136" s="0" t="s">
        <v>8058</v>
      </c>
      <c r="F60136" s="0" t="s">
        <v>8058</v>
      </c>
    </row>
    <row r="60137" customFormat="false" ht="12.8" hidden="false" customHeight="false" outlineLevel="0" collapsed="false">
      <c r="B60137" s="0" t="s">
        <v>14</v>
      </c>
      <c r="C60137" s="0" t="s">
        <v>173</v>
      </c>
      <c r="D60137" s="0" t="s">
        <v>6843</v>
      </c>
      <c r="E60137" s="0" t="s">
        <v>1625</v>
      </c>
      <c r="F60137" s="0" t="s">
        <v>1625</v>
      </c>
    </row>
    <row r="60138" customFormat="false" ht="12.8" hidden="false" customHeight="false" outlineLevel="0" collapsed="false">
      <c r="B60138" s="0" t="s">
        <v>459</v>
      </c>
      <c r="C60138" s="0" t="s">
        <v>8091</v>
      </c>
      <c r="D60138" s="0" t="s">
        <v>8062</v>
      </c>
      <c r="E60138" s="0" t="s">
        <v>8062</v>
      </c>
      <c r="F60138" s="0" t="s">
        <v>8062</v>
      </c>
    </row>
    <row r="60140" customFormat="false" ht="12.8" hidden="false" customHeight="false" outlineLevel="0" collapsed="false">
      <c r="A60140" s="0" t="s">
        <v>20701</v>
      </c>
      <c r="B60140" s="0" t="str">
        <f aca="false">HYPERLINK("https://lindat.mff.cuni.cz/services/teitok/pdtc10/index.php?action=vallex&amp;frame=v-w8458f2", "vytahovat (v-w8458f2)")</f>
        <v>vytahovat (v-w8458f2)</v>
      </c>
    </row>
    <row r="60141" customFormat="false" ht="12.8" hidden="false" customHeight="false" outlineLevel="0" collapsed="false">
      <c r="B60141" s="0" t="s">
        <v>7</v>
      </c>
    </row>
    <row r="60142" customFormat="false" ht="12.8" hidden="false" customHeight="false" outlineLevel="0" collapsed="false">
      <c r="B60142" s="0" t="s">
        <v>54</v>
      </c>
    </row>
    <row r="60144" customFormat="false" ht="12.8" hidden="false" customHeight="false" outlineLevel="0" collapsed="false">
      <c r="A60144" s="0" t="s">
        <v>20702</v>
      </c>
      <c r="B60144" s="0" t="str">
        <f aca="false">HYPERLINK("https://lindat.mff.cuni.cz/services/teitok/pdtc10/index.php?action=vallex&amp;frame=v-w8458f3_ZU", "vytahovat (v-w8458f3_ZU)")</f>
        <v>vytahovat (v-w8458f3_ZU)</v>
      </c>
    </row>
    <row r="60145" customFormat="false" ht="12.8" hidden="false" customHeight="false" outlineLevel="0" collapsed="false">
      <c r="B60145" s="0" t="s">
        <v>7</v>
      </c>
    </row>
    <row r="60146" customFormat="false" ht="12.8" hidden="false" customHeight="false" outlineLevel="0" collapsed="false">
      <c r="B60146" s="0" t="s">
        <v>14</v>
      </c>
    </row>
    <row r="60147" customFormat="false" ht="12.8" hidden="false" customHeight="false" outlineLevel="0" collapsed="false">
      <c r="B60147" s="0" t="s">
        <v>3441</v>
      </c>
    </row>
    <row r="60149" customFormat="false" ht="12.8" hidden="false" customHeight="false" outlineLevel="0" collapsed="false">
      <c r="A60149" s="0" t="s">
        <v>20703</v>
      </c>
      <c r="B60149" s="0" t="str">
        <f aca="false">HYPERLINK("https://lindat.mff.cuni.cz/services/teitok/pdtc10/index.php?action=vallex&amp;frame=v-w8458f5_ZU", "vytahovat (v-w8458f5_ZU)")</f>
        <v>vytahovat (v-w8458f5_ZU)</v>
      </c>
    </row>
    <row r="60150" customFormat="false" ht="12.8" hidden="false" customHeight="false" outlineLevel="0" collapsed="false">
      <c r="B60150" s="0" t="s">
        <v>7</v>
      </c>
    </row>
    <row r="60151" customFormat="false" ht="12.8" hidden="false" customHeight="false" outlineLevel="0" collapsed="false">
      <c r="B60151" s="0" t="s">
        <v>14</v>
      </c>
    </row>
    <row r="60152" customFormat="false" ht="12.8" hidden="false" customHeight="false" outlineLevel="0" collapsed="false">
      <c r="B60152" s="0" t="s">
        <v>338</v>
      </c>
    </row>
    <row r="60154" customFormat="false" ht="12.8" hidden="false" customHeight="false" outlineLevel="0" collapsed="false">
      <c r="A60154" s="0" t="s">
        <v>20704</v>
      </c>
      <c r="B60154" s="0" t="str">
        <f aca="false">HYPERLINK("https://lindat.mff.cuni.cz/services/teitok/pdtc10/index.php?action=vallex&amp;frame=v-whsa_1260f1_ZU", "vytahovat se (v-whsa_1260f1_ZU)")</f>
        <v>vytahovat se (v-whsa_1260f1_ZU)</v>
      </c>
    </row>
    <row r="60155" customFormat="false" ht="12.8" hidden="false" customHeight="false" outlineLevel="0" collapsed="false">
      <c r="B60155" s="0" t="s">
        <v>7</v>
      </c>
    </row>
    <row r="60156" customFormat="false" ht="12.8" hidden="false" customHeight="false" outlineLevel="0" collapsed="false">
      <c r="B60156" s="0" t="s">
        <v>292</v>
      </c>
    </row>
    <row r="60157" customFormat="false" ht="12.8" hidden="false" customHeight="false" outlineLevel="0" collapsed="false">
      <c r="B60157" s="0" t="s">
        <v>293</v>
      </c>
    </row>
    <row r="60159" customFormat="false" ht="12.8" hidden="false" customHeight="false" outlineLevel="0" collapsed="false">
      <c r="A60159" s="0" t="s">
        <v>20704</v>
      </c>
      <c r="B60159" s="0" t="str">
        <f aca="false">HYPERLINK("https://lindat.mff.cuni.cz/services/teitok/pdtc10/index.php?action=vallex&amp;frame=v-whsb_1260hsa_1261", "vytahovat se (v-whsb_1260hsa_1261) - substituted with v-whsa_1260f1_ZU")</f>
        <v>vytahovat se (v-whsb_1260hsa_1261) - substituted with v-whsa_1260f1_ZU</v>
      </c>
    </row>
    <row r="60160" customFormat="false" ht="12.8" hidden="false" customHeight="false" outlineLevel="0" collapsed="false">
      <c r="B60160" s="0" t="s">
        <v>7</v>
      </c>
    </row>
    <row r="60161" customFormat="false" ht="12.8" hidden="false" customHeight="false" outlineLevel="0" collapsed="false">
      <c r="B60161" s="0" t="s">
        <v>292</v>
      </c>
    </row>
    <row r="60162" customFormat="false" ht="12.8" hidden="false" customHeight="false" outlineLevel="0" collapsed="false">
      <c r="B60162" s="0" t="s">
        <v>293</v>
      </c>
    </row>
    <row r="60164" customFormat="false" ht="12.8" hidden="false" customHeight="false" outlineLevel="0" collapsed="false">
      <c r="A60164" s="0" t="s">
        <v>20705</v>
      </c>
      <c r="B60164" s="0" t="str">
        <f aca="false">HYPERLINK("https://lindat.mff.cuni.cz/services/teitok/pdtc10/index.php?action=vallex&amp;frame=v-whsb_896hsa_897", "vytancovat se (v-whsb_896hsa_897)")</f>
        <v>vytancovat se (v-whsb_896hsa_897)</v>
      </c>
    </row>
    <row r="60165" customFormat="false" ht="12.8" hidden="false" customHeight="false" outlineLevel="0" collapsed="false">
      <c r="B60165" s="0" t="s">
        <v>7</v>
      </c>
    </row>
    <row r="60167" customFormat="false" ht="12.8" hidden="false" customHeight="false" outlineLevel="0" collapsed="false">
      <c r="A60167" s="0" t="s">
        <v>20706</v>
      </c>
      <c r="B60167" s="0" t="str">
        <f aca="false">HYPERLINK("https://lindat.mff.cuni.cz/services/teitok/pdtc10/index.php?action=vallex&amp;frame=v-w8459f1", "vytanout (v-w8459f1)")</f>
        <v>vytanout (v-w8459f1)</v>
      </c>
    </row>
    <row r="60168" customFormat="false" ht="12.8" hidden="false" customHeight="false" outlineLevel="0" collapsed="false">
      <c r="B60168" s="0" t="s">
        <v>641</v>
      </c>
    </row>
    <row r="60169" customFormat="false" ht="12.8" hidden="false" customHeight="false" outlineLevel="0" collapsed="false">
      <c r="B60169" s="0" t="s">
        <v>5845</v>
      </c>
    </row>
    <row r="60170" customFormat="false" ht="12.8" hidden="false" customHeight="false" outlineLevel="0" collapsed="false">
      <c r="B60170" s="0" t="s">
        <v>142</v>
      </c>
    </row>
    <row r="60172" customFormat="false" ht="12.8" hidden="false" customHeight="false" outlineLevel="0" collapsed="false">
      <c r="A60172" s="0" t="s">
        <v>20707</v>
      </c>
      <c r="B60172" s="0" t="str">
        <f aca="false">HYPERLINK("https://lindat.mff.cuni.cz/services/teitok/pdtc10/index.php?action=vallex&amp;frame=v-w8459f2", "vytanout (v-w8459f2)")</f>
        <v>vytanout (v-w8459f2)</v>
      </c>
    </row>
    <row r="60173" customFormat="false" ht="12.8" hidden="false" customHeight="false" outlineLevel="0" collapsed="false">
      <c r="B60173" s="0" t="s">
        <v>641</v>
      </c>
    </row>
    <row r="60174" customFormat="false" ht="12.8" hidden="false" customHeight="false" outlineLevel="0" collapsed="false">
      <c r="B60174" s="0" t="s">
        <v>20708</v>
      </c>
    </row>
    <row r="60175" customFormat="false" ht="12.8" hidden="false" customHeight="false" outlineLevel="0" collapsed="false">
      <c r="B60175" s="0" t="s">
        <v>142</v>
      </c>
    </row>
    <row r="60177" customFormat="false" ht="12.8" hidden="false" customHeight="false" outlineLevel="0" collapsed="false">
      <c r="A60177" s="0" t="s">
        <v>20709</v>
      </c>
      <c r="B60177" s="0" t="str">
        <f aca="false">HYPERLINK("https://lindat.mff.cuni.cz/services/teitok/pdtc10/index.php?action=vallex&amp;frame=v-w8462f1", "vytasit (v-w8462f1)")</f>
        <v>vytasit (v-w8462f1)</v>
      </c>
    </row>
    <row r="60178" customFormat="false" ht="12.8" hidden="false" customHeight="false" outlineLevel="0" collapsed="false">
      <c r="B60178" s="0" t="s">
        <v>7</v>
      </c>
    </row>
    <row r="60179" customFormat="false" ht="12.8" hidden="false" customHeight="false" outlineLevel="0" collapsed="false">
      <c r="B60179" s="0" t="s">
        <v>14</v>
      </c>
    </row>
    <row r="60180" customFormat="false" ht="12.8" hidden="false" customHeight="false" outlineLevel="0" collapsed="false">
      <c r="B60180" s="0" t="s">
        <v>459</v>
      </c>
    </row>
    <row r="60182" customFormat="false" ht="12.8" hidden="false" customHeight="false" outlineLevel="0" collapsed="false">
      <c r="A60182" s="0" t="s">
        <v>20710</v>
      </c>
      <c r="B60182" s="0" t="str">
        <f aca="false">HYPERLINK("https://lindat.mff.cuni.cz/services/teitok/pdtc10/index.php?action=vallex&amp;frame=v-w8463f1", "vytasit se (v-w8463f1)")</f>
        <v>vytasit se (v-w8463f1)</v>
      </c>
    </row>
    <row r="60183" customFormat="false" ht="12.8" hidden="false" customHeight="false" outlineLevel="0" collapsed="false">
      <c r="B60183" s="0" t="s">
        <v>7</v>
      </c>
    </row>
    <row r="60184" customFormat="false" ht="12.8" hidden="false" customHeight="false" outlineLevel="0" collapsed="false">
      <c r="B60184" s="0" t="s">
        <v>548</v>
      </c>
    </row>
    <row r="60186" customFormat="false" ht="12.8" hidden="false" customHeight="false" outlineLevel="0" collapsed="false">
      <c r="A60186" s="0" t="s">
        <v>20711</v>
      </c>
      <c r="B60186" s="0" t="str">
        <f aca="false">HYPERLINK("https://lindat.mff.cuni.cz/services/teitok/pdtc10/index.php?action=vallex&amp;frame=v-w8467f1", "vytempovat (v-w8467f1)")</f>
        <v>vytempovat (v-w8467f1)</v>
      </c>
    </row>
    <row r="60187" customFormat="false" ht="12.8" hidden="false" customHeight="false" outlineLevel="0" collapsed="false">
      <c r="B60187" s="0" t="s">
        <v>7</v>
      </c>
    </row>
    <row r="60188" customFormat="false" ht="12.8" hidden="false" customHeight="false" outlineLevel="0" collapsed="false">
      <c r="B60188" s="0" t="s">
        <v>14</v>
      </c>
    </row>
    <row r="60190" customFormat="false" ht="12.8" hidden="false" customHeight="false" outlineLevel="0" collapsed="false">
      <c r="A60190" s="0" t="s">
        <v>20712</v>
      </c>
      <c r="B60190" s="0" t="str">
        <f aca="false">HYPERLINK("https://lindat.mff.cuni.cz/services/teitok/pdtc10/index.php?action=vallex&amp;frame=v-w8468f1", "vytesat (v-w8468f1)")</f>
        <v>vytesat (v-w8468f1)</v>
      </c>
    </row>
    <row r="60191" customFormat="false" ht="12.8" hidden="false" customHeight="false" outlineLevel="0" collapsed="false">
      <c r="B60191" s="0" t="s">
        <v>7</v>
      </c>
    </row>
    <row r="60192" customFormat="false" ht="12.8" hidden="false" customHeight="false" outlineLevel="0" collapsed="false">
      <c r="B60192" s="0" t="s">
        <v>14</v>
      </c>
    </row>
    <row r="60193" customFormat="false" ht="12.8" hidden="false" customHeight="false" outlineLevel="0" collapsed="false">
      <c r="B60193" s="0" t="s">
        <v>35</v>
      </c>
    </row>
    <row r="60195" customFormat="false" ht="12.8" hidden="false" customHeight="false" outlineLevel="0" collapsed="false">
      <c r="A60195" s="0" t="s">
        <v>20713</v>
      </c>
      <c r="B60195" s="0" t="str">
        <f aca="false">HYPERLINK("https://lindat.mff.cuni.cz/services/teitok/pdtc10/index.php?action=vallex&amp;frame=v-w8469f1", "vytesávat (v-w8469f1)")</f>
        <v>vytesávat (v-w8469f1)</v>
      </c>
    </row>
    <row r="60196" customFormat="false" ht="12.8" hidden="false" customHeight="false" outlineLevel="0" collapsed="false">
      <c r="B60196" s="0" t="s">
        <v>7</v>
      </c>
    </row>
    <row r="60197" customFormat="false" ht="12.8" hidden="false" customHeight="false" outlineLevel="0" collapsed="false">
      <c r="B60197" s="0" t="s">
        <v>14</v>
      </c>
    </row>
    <row r="60198" customFormat="false" ht="12.8" hidden="false" customHeight="false" outlineLevel="0" collapsed="false">
      <c r="B60198" s="0" t="s">
        <v>35</v>
      </c>
    </row>
    <row r="60200" customFormat="false" ht="12.8" hidden="false" customHeight="false" outlineLevel="0" collapsed="false">
      <c r="A60200" s="0" t="s">
        <v>20714</v>
      </c>
      <c r="B60200" s="0" t="str">
        <f aca="false">HYPERLINK("https://lindat.mff.cuni.cz/services/teitok/pdtc10/index.php?action=vallex&amp;frame=v-w8471f1", "vytetovat (v-w8471f1)")</f>
        <v>vytetovat (v-w8471f1)</v>
      </c>
    </row>
    <row r="60201" customFormat="false" ht="12.8" hidden="false" customHeight="false" outlineLevel="0" collapsed="false">
      <c r="B60201" s="0" t="s">
        <v>7</v>
      </c>
    </row>
    <row r="60202" customFormat="false" ht="12.8" hidden="false" customHeight="false" outlineLevel="0" collapsed="false">
      <c r="B60202" s="0" t="s">
        <v>14</v>
      </c>
    </row>
    <row r="60204" customFormat="false" ht="12.8" hidden="false" customHeight="false" outlineLevel="0" collapsed="false">
      <c r="A60204" s="0" t="s">
        <v>20715</v>
      </c>
      <c r="B60204" s="0" t="str">
        <f aca="false">HYPERLINK("https://lindat.mff.cuni.cz/services/teitok/pdtc10/index.php?action=vallex&amp;frame=v-w8466f1", "vytečkovat (v-w8466f1)")</f>
        <v>vytečkovat (v-w8466f1)</v>
      </c>
    </row>
    <row r="60205" customFormat="false" ht="12.8" hidden="false" customHeight="false" outlineLevel="0" collapsed="false">
      <c r="B60205" s="0" t="s">
        <v>7</v>
      </c>
    </row>
    <row r="60206" customFormat="false" ht="12.8" hidden="false" customHeight="false" outlineLevel="0" collapsed="false">
      <c r="B60206" s="0" t="s">
        <v>14</v>
      </c>
    </row>
    <row r="60208" customFormat="false" ht="12.8" hidden="false" customHeight="false" outlineLevel="0" collapsed="false">
      <c r="A60208" s="0" t="s">
        <v>20716</v>
      </c>
      <c r="B60208" s="0" t="str">
        <f aca="false">HYPERLINK("https://lindat.mff.cuni.cz/services/teitok/pdtc10/index.php?action=vallex&amp;frame=v-w8475hsa_524", "vytipovat (v-w8475hsa_524)")</f>
        <v>vytipovat (v-w8475hsa_524)</v>
      </c>
    </row>
    <row r="60209" customFormat="false" ht="12.8" hidden="false" customHeight="false" outlineLevel="0" collapsed="false">
      <c r="B60209" s="0" t="s">
        <v>7</v>
      </c>
    </row>
    <row r="60210" customFormat="false" ht="12.8" hidden="false" customHeight="false" outlineLevel="0" collapsed="false">
      <c r="B60210" s="0" t="s">
        <v>232</v>
      </c>
    </row>
    <row r="60212" customFormat="false" ht="12.8" hidden="false" customHeight="false" outlineLevel="0" collapsed="false">
      <c r="A60212" s="0" t="s">
        <v>20716</v>
      </c>
      <c r="B60212" s="0" t="str">
        <f aca="false">HYPERLINK("https://lindat.mff.cuni.cz/services/teitok/pdtc10/index.php?action=vallex&amp;frame=v-w8475f1", "vytipovat (v-w8475f1) - substituted with v-w8475hsa_524")</f>
        <v>vytipovat (v-w8475f1) - substituted with v-w8475hsa_524</v>
      </c>
    </row>
    <row r="60213" customFormat="false" ht="12.8" hidden="false" customHeight="false" outlineLevel="0" collapsed="false">
      <c r="B60213" s="0" t="s">
        <v>7</v>
      </c>
    </row>
    <row r="60214" customFormat="false" ht="12.8" hidden="false" customHeight="false" outlineLevel="0" collapsed="false">
      <c r="B60214" s="0" t="s">
        <v>232</v>
      </c>
    </row>
    <row r="60216" customFormat="false" ht="12.8" hidden="false" customHeight="false" outlineLevel="0" collapsed="false">
      <c r="A60216" s="0" t="s">
        <v>20717</v>
      </c>
      <c r="B60216" s="0" t="str">
        <f aca="false">HYPERLINK("https://lindat.mff.cuni.cz/services/teitok/pdtc10/index.php?action=vallex&amp;frame=v-w11144f2", "vytipovávat (v-w11144f2)")</f>
        <v>vytipovávat (v-w11144f2)</v>
      </c>
    </row>
    <row r="60217" customFormat="false" ht="12.8" hidden="false" customHeight="false" outlineLevel="0" collapsed="false">
      <c r="B60217" s="0" t="s">
        <v>7</v>
      </c>
      <c r="C60217" s="0" t="s">
        <v>2736</v>
      </c>
    </row>
    <row r="60218" customFormat="false" ht="12.8" hidden="false" customHeight="false" outlineLevel="0" collapsed="false">
      <c r="B60218" s="0" t="s">
        <v>14</v>
      </c>
      <c r="C60218" s="0" t="s">
        <v>16157</v>
      </c>
    </row>
    <row r="60220" customFormat="false" ht="12.8" hidden="false" customHeight="false" outlineLevel="0" collapsed="false">
      <c r="A60220" s="0" t="s">
        <v>20718</v>
      </c>
      <c r="B60220" s="0" t="str">
        <f aca="false">HYPERLINK("https://lindat.mff.cuni.cz/services/teitok/pdtc10/index.php?action=vallex&amp;frame=v-w8477f1", "vytisknout (v-w8477f1)")</f>
        <v>vytisknout (v-w8477f1)</v>
      </c>
    </row>
    <row r="60221" customFormat="false" ht="12.8" hidden="false" customHeight="false" outlineLevel="0" collapsed="false">
      <c r="B60221" s="0" t="s">
        <v>7</v>
      </c>
      <c r="C60221" s="0" t="s">
        <v>88</v>
      </c>
      <c r="D60221" s="0" t="s">
        <v>118</v>
      </c>
      <c r="E60221" s="0" t="s">
        <v>118</v>
      </c>
      <c r="F60221" s="0" t="s">
        <v>118</v>
      </c>
    </row>
    <row r="60222" customFormat="false" ht="12.8" hidden="false" customHeight="false" outlineLevel="0" collapsed="false">
      <c r="B60222" s="0" t="s">
        <v>1520</v>
      </c>
      <c r="C60222" s="0" t="s">
        <v>625</v>
      </c>
      <c r="D60222" s="0" t="s">
        <v>173</v>
      </c>
      <c r="E60222" s="0" t="s">
        <v>173</v>
      </c>
      <c r="F60222" s="0" t="s">
        <v>173</v>
      </c>
    </row>
    <row r="60224" customFormat="false" ht="12.8" hidden="false" customHeight="false" outlineLevel="0" collapsed="false">
      <c r="A60224" s="0" t="s">
        <v>20719</v>
      </c>
      <c r="B60224" s="0" t="str">
        <f aca="false">HYPERLINK("https://lindat.mff.cuni.cz/services/teitok/pdtc10/index.php?action=vallex&amp;frame=v-w8482f2", "vytknout (v-w8482f2)")</f>
        <v>vytknout (v-w8482f2)</v>
      </c>
    </row>
    <row r="60225" customFormat="false" ht="12.8" hidden="false" customHeight="false" outlineLevel="0" collapsed="false">
      <c r="B60225" s="0" t="s">
        <v>7</v>
      </c>
    </row>
    <row r="60226" customFormat="false" ht="12.8" hidden="false" customHeight="false" outlineLevel="0" collapsed="false">
      <c r="B60226" s="0" t="s">
        <v>5854</v>
      </c>
    </row>
    <row r="60227" customFormat="false" ht="12.8" hidden="false" customHeight="false" outlineLevel="0" collapsed="false">
      <c r="B60227" s="0" t="s">
        <v>106</v>
      </c>
    </row>
    <row r="60228" customFormat="false" ht="12.8" hidden="false" customHeight="false" outlineLevel="0" collapsed="false">
      <c r="B60228" s="0" t="s">
        <v>2946</v>
      </c>
    </row>
    <row r="60230" customFormat="false" ht="12.8" hidden="false" customHeight="false" outlineLevel="0" collapsed="false">
      <c r="A60230" s="0" t="s">
        <v>20720</v>
      </c>
      <c r="B60230" s="0" t="str">
        <f aca="false">HYPERLINK("https://lindat.mff.cuni.cz/services/teitok/pdtc10/index.php?action=vallex&amp;frame=v-w8482f1", "vytknout (v-w8482f1)")</f>
        <v>vytknout (v-w8482f1)</v>
      </c>
    </row>
    <row r="60231" customFormat="false" ht="12.8" hidden="false" customHeight="false" outlineLevel="0" collapsed="false">
      <c r="B60231" s="0" t="s">
        <v>7</v>
      </c>
      <c r="C60231" s="0" t="s">
        <v>184</v>
      </c>
      <c r="D60231" s="0" t="s">
        <v>118</v>
      </c>
      <c r="E60231" s="0" t="s">
        <v>118</v>
      </c>
      <c r="F60231" s="0" t="s">
        <v>118</v>
      </c>
    </row>
    <row r="60232" customFormat="false" ht="12.8" hidden="false" customHeight="false" outlineLevel="0" collapsed="false">
      <c r="B60232" s="0" t="s">
        <v>172</v>
      </c>
      <c r="D60232" s="0" t="s">
        <v>4813</v>
      </c>
      <c r="E60232" s="0" t="s">
        <v>4813</v>
      </c>
      <c r="F60232" s="0" t="s">
        <v>4813</v>
      </c>
    </row>
    <row r="60233" customFormat="false" ht="12.8" hidden="false" customHeight="false" outlineLevel="0" collapsed="false">
      <c r="B60233" s="0" t="s">
        <v>48</v>
      </c>
      <c r="C60233" s="0" t="s">
        <v>4967</v>
      </c>
      <c r="D60233" s="0" t="s">
        <v>8546</v>
      </c>
      <c r="E60233" s="0" t="s">
        <v>8546</v>
      </c>
      <c r="F60233" s="0" t="s">
        <v>8546</v>
      </c>
    </row>
    <row r="60235" customFormat="false" ht="12.8" hidden="false" customHeight="false" outlineLevel="0" collapsed="false">
      <c r="A60235" s="0" t="s">
        <v>20721</v>
      </c>
      <c r="B60235" s="0" t="str">
        <f aca="false">HYPERLINK("https://lindat.mff.cuni.cz/services/teitok/pdtc10/index.php?action=vallex&amp;frame=v-w8482f3", "vytknout (v-w8482f3)")</f>
        <v>vytknout (v-w8482f3)</v>
      </c>
    </row>
    <row r="60236" customFormat="false" ht="12.8" hidden="false" customHeight="false" outlineLevel="0" collapsed="false">
      <c r="B60236" s="0" t="s">
        <v>7</v>
      </c>
    </row>
    <row r="60237" customFormat="false" ht="12.8" hidden="false" customHeight="false" outlineLevel="0" collapsed="false">
      <c r="B60237" s="0" t="s">
        <v>14</v>
      </c>
    </row>
    <row r="60238" customFormat="false" ht="12.8" hidden="false" customHeight="false" outlineLevel="0" collapsed="false">
      <c r="B60238" s="0" t="s">
        <v>124</v>
      </c>
    </row>
    <row r="60240" customFormat="false" ht="12.8" hidden="false" customHeight="false" outlineLevel="0" collapsed="false">
      <c r="A60240" s="0" t="s">
        <v>20722</v>
      </c>
      <c r="B60240" s="0" t="str">
        <f aca="false">HYPERLINK("https://lindat.mff.cuni.cz/services/teitok/pdtc10/index.php?action=vallex&amp;frame=v-w8484f1", "vytlačit (v-w8484f1)")</f>
        <v>vytlačit (v-w8484f1)</v>
      </c>
    </row>
    <row r="60241" customFormat="false" ht="12.8" hidden="false" customHeight="false" outlineLevel="0" collapsed="false">
      <c r="B60241" s="0" t="s">
        <v>7</v>
      </c>
      <c r="C60241" s="0" t="s">
        <v>22</v>
      </c>
      <c r="D60241" s="0" t="s">
        <v>1567</v>
      </c>
      <c r="E60241" s="0" t="s">
        <v>1567</v>
      </c>
      <c r="F60241" s="0" t="s">
        <v>1567</v>
      </c>
    </row>
    <row r="60242" customFormat="false" ht="12.8" hidden="false" customHeight="false" outlineLevel="0" collapsed="false">
      <c r="B60242" s="0" t="s">
        <v>14</v>
      </c>
      <c r="C60242" s="0" t="s">
        <v>12750</v>
      </c>
      <c r="D60242" s="0" t="s">
        <v>1568</v>
      </c>
      <c r="E60242" s="0" t="s">
        <v>1568</v>
      </c>
      <c r="F60242" s="0" t="s">
        <v>1568</v>
      </c>
    </row>
    <row r="60243" customFormat="false" ht="12.8" hidden="false" customHeight="false" outlineLevel="0" collapsed="false">
      <c r="B60243" s="0" t="s">
        <v>459</v>
      </c>
      <c r="C60243" s="0" t="s">
        <v>8536</v>
      </c>
      <c r="D60243" s="0" t="s">
        <v>1569</v>
      </c>
      <c r="E60243" s="0" t="s">
        <v>1569</v>
      </c>
      <c r="F60243" s="0" t="s">
        <v>1569</v>
      </c>
    </row>
    <row r="60245" customFormat="false" ht="12.8" hidden="false" customHeight="false" outlineLevel="0" collapsed="false">
      <c r="A60245" s="0" t="s">
        <v>20723</v>
      </c>
      <c r="B60245" s="0" t="str">
        <f aca="false">HYPERLINK("https://lindat.mff.cuni.cz/services/teitok/pdtc10/index.php?action=vallex&amp;frame=v-w8484f3", "vytlačit (v-w8484f3)")</f>
        <v>vytlačit (v-w8484f3)</v>
      </c>
    </row>
    <row r="60246" customFormat="false" ht="12.8" hidden="false" customHeight="false" outlineLevel="0" collapsed="false">
      <c r="B60246" s="0" t="s">
        <v>7</v>
      </c>
      <c r="D60246" s="0" t="s">
        <v>1567</v>
      </c>
      <c r="E60246" s="0" t="s">
        <v>1567</v>
      </c>
      <c r="F60246" s="0" t="s">
        <v>1567</v>
      </c>
    </row>
    <row r="60247" customFormat="false" ht="12.8" hidden="false" customHeight="false" outlineLevel="0" collapsed="false">
      <c r="B60247" s="0" t="s">
        <v>14</v>
      </c>
      <c r="D60247" s="0" t="s">
        <v>1568</v>
      </c>
      <c r="E60247" s="0" t="s">
        <v>1568</v>
      </c>
      <c r="F60247" s="0" t="s">
        <v>1568</v>
      </c>
    </row>
    <row r="60248" customFormat="false" ht="12.8" hidden="false" customHeight="false" outlineLevel="0" collapsed="false">
      <c r="B60248" s="0" t="s">
        <v>459</v>
      </c>
      <c r="D60248" s="0" t="s">
        <v>1569</v>
      </c>
      <c r="E60248" s="0" t="s">
        <v>1569</v>
      </c>
      <c r="F60248" s="0" t="s">
        <v>1569</v>
      </c>
    </row>
    <row r="60250" customFormat="false" ht="12.8" hidden="false" customHeight="false" outlineLevel="0" collapsed="false">
      <c r="A60250" s="0" t="s">
        <v>20724</v>
      </c>
      <c r="B60250" s="0" t="str">
        <f aca="false">HYPERLINK("https://lindat.mff.cuni.cz/services/teitok/pdtc10/index.php?action=vallex&amp;frame=v-w8484f2", "vytlačit (v-w8484f2)")</f>
        <v>vytlačit (v-w8484f2)</v>
      </c>
    </row>
    <row r="60251" customFormat="false" ht="12.8" hidden="false" customHeight="false" outlineLevel="0" collapsed="false">
      <c r="B60251" s="0" t="s">
        <v>7</v>
      </c>
      <c r="C60251" s="0" t="s">
        <v>4783</v>
      </c>
      <c r="D60251" s="0" t="s">
        <v>20725</v>
      </c>
      <c r="E60251" s="0" t="s">
        <v>20725</v>
      </c>
      <c r="F60251" s="0" t="s">
        <v>20725</v>
      </c>
    </row>
    <row r="60252" customFormat="false" ht="12.8" hidden="false" customHeight="false" outlineLevel="0" collapsed="false">
      <c r="B60252" s="0" t="s">
        <v>14</v>
      </c>
      <c r="C60252" s="0" t="s">
        <v>342</v>
      </c>
      <c r="D60252" s="0" t="s">
        <v>20726</v>
      </c>
      <c r="E60252" s="0" t="s">
        <v>20726</v>
      </c>
      <c r="F60252" s="0" t="s">
        <v>20726</v>
      </c>
    </row>
    <row r="60253" customFormat="false" ht="12.8" hidden="false" customHeight="false" outlineLevel="0" collapsed="false">
      <c r="B60253" s="0" t="s">
        <v>124</v>
      </c>
      <c r="D60253" s="0" t="s">
        <v>19603</v>
      </c>
      <c r="E60253" s="0" t="s">
        <v>19603</v>
      </c>
      <c r="F60253" s="0" t="s">
        <v>19603</v>
      </c>
    </row>
    <row r="60255" customFormat="false" ht="12.8" hidden="false" customHeight="false" outlineLevel="0" collapsed="false">
      <c r="A60255" s="0" t="s">
        <v>20727</v>
      </c>
      <c r="B60255" s="0" t="str">
        <f aca="false">HYPERLINK("https://lindat.mff.cuni.cz/services/teitok/pdtc10/index.php?action=vallex&amp;frame=v-w8484f4", "vytlačit (v-w8484f4)")</f>
        <v>vytlačit (v-w8484f4)</v>
      </c>
    </row>
    <row r="60256" customFormat="false" ht="12.8" hidden="false" customHeight="false" outlineLevel="0" collapsed="false">
      <c r="B60256" s="0" t="s">
        <v>7</v>
      </c>
      <c r="C60256" s="0" t="s">
        <v>108</v>
      </c>
      <c r="D60256" s="0" t="s">
        <v>6477</v>
      </c>
      <c r="E60256" s="0" t="s">
        <v>6477</v>
      </c>
      <c r="F60256" s="0" t="s">
        <v>6477</v>
      </c>
    </row>
    <row r="60257" customFormat="false" ht="12.8" hidden="false" customHeight="false" outlineLevel="0" collapsed="false">
      <c r="B60257" s="0" t="s">
        <v>14</v>
      </c>
      <c r="C60257" s="0" t="s">
        <v>89</v>
      </c>
      <c r="D60257" s="0" t="s">
        <v>6479</v>
      </c>
      <c r="E60257" s="0" t="s">
        <v>6479</v>
      </c>
      <c r="F60257" s="0" t="s">
        <v>6479</v>
      </c>
    </row>
    <row r="60259" customFormat="false" ht="12.8" hidden="false" customHeight="false" outlineLevel="0" collapsed="false">
      <c r="A60259" s="0" t="s">
        <v>20728</v>
      </c>
      <c r="B60259" s="0" t="str">
        <f aca="false">HYPERLINK("https://lindat.mff.cuni.cz/services/teitok/pdtc10/index.php?action=vallex&amp;frame=v-w8484hsa_898", "vytlačit (v-w8484hsa_898)")</f>
        <v>vytlačit (v-w8484hsa_898)</v>
      </c>
    </row>
    <row r="60260" customFormat="false" ht="12.8" hidden="false" customHeight="false" outlineLevel="0" collapsed="false">
      <c r="B60260" s="0" t="s">
        <v>7</v>
      </c>
    </row>
    <row r="60261" customFormat="false" ht="12.8" hidden="false" customHeight="false" outlineLevel="0" collapsed="false">
      <c r="B60261" s="0" t="s">
        <v>14</v>
      </c>
    </row>
    <row r="60263" customFormat="false" ht="12.8" hidden="false" customHeight="false" outlineLevel="0" collapsed="false">
      <c r="A60263" s="0" t="s">
        <v>20729</v>
      </c>
      <c r="B60263" s="0" t="str">
        <f aca="false">HYPERLINK("https://lindat.mff.cuni.cz/services/teitok/pdtc10/index.php?action=vallex&amp;frame=v-w8484f5_ZU", "vytlačit (v-w8484f5_ZU)")</f>
        <v>vytlačit (v-w8484f5_ZU)</v>
      </c>
    </row>
    <row r="60264" customFormat="false" ht="12.8" hidden="false" customHeight="false" outlineLevel="0" collapsed="false">
      <c r="B60264" s="0" t="s">
        <v>7</v>
      </c>
      <c r="C60264" s="0" t="s">
        <v>113</v>
      </c>
      <c r="D60264" s="0" t="s">
        <v>6436</v>
      </c>
      <c r="E60264" s="0" t="s">
        <v>6436</v>
      </c>
      <c r="F60264" s="0" t="s">
        <v>6436</v>
      </c>
    </row>
    <row r="60265" customFormat="false" ht="12.8" hidden="false" customHeight="false" outlineLevel="0" collapsed="false">
      <c r="B60265" s="0" t="s">
        <v>14</v>
      </c>
      <c r="C60265" s="0" t="s">
        <v>33</v>
      </c>
      <c r="D60265" s="0" t="s">
        <v>6437</v>
      </c>
      <c r="E60265" s="0" t="s">
        <v>6437</v>
      </c>
      <c r="F60265" s="0" t="s">
        <v>6437</v>
      </c>
    </row>
    <row r="60266" customFormat="false" ht="12.8" hidden="false" customHeight="false" outlineLevel="0" collapsed="false">
      <c r="B60266" s="0" t="s">
        <v>35</v>
      </c>
      <c r="D60266" s="0" t="s">
        <v>6438</v>
      </c>
      <c r="E60266" s="0" t="s">
        <v>6438</v>
      </c>
      <c r="F60266" s="0" t="s">
        <v>6438</v>
      </c>
    </row>
    <row r="60267" customFormat="false" ht="12.8" hidden="false" customHeight="false" outlineLevel="0" collapsed="false">
      <c r="B60267" s="0" t="s">
        <v>20730</v>
      </c>
      <c r="D60267" s="0" t="s">
        <v>6440</v>
      </c>
      <c r="E60267" s="0" t="s">
        <v>6440</v>
      </c>
      <c r="F60267" s="0" t="s">
        <v>6440</v>
      </c>
    </row>
    <row r="60269" customFormat="false" ht="12.8" hidden="false" customHeight="false" outlineLevel="0" collapsed="false">
      <c r="A60269" s="0" t="s">
        <v>20729</v>
      </c>
      <c r="B60269" s="0" t="str">
        <f aca="false">HYPERLINK("https://lindat.mff.cuni.cz/services/teitok/pdtc10/index.php?action=vallex&amp;frame=v-w8484hsa_899", "vytlačit (v-w8484hsa_899) - substituted with v-w8484f5_ZU")</f>
        <v>vytlačit (v-w8484hsa_899) - substituted with v-w8484f5_ZU</v>
      </c>
    </row>
    <row r="60270" customFormat="false" ht="12.8" hidden="false" customHeight="false" outlineLevel="0" collapsed="false">
      <c r="B60270" s="0" t="s">
        <v>7</v>
      </c>
    </row>
    <row r="60271" customFormat="false" ht="12.8" hidden="false" customHeight="false" outlineLevel="0" collapsed="false">
      <c r="B60271" s="0" t="s">
        <v>14</v>
      </c>
    </row>
    <row r="60272" customFormat="false" ht="12.8" hidden="false" customHeight="false" outlineLevel="0" collapsed="false">
      <c r="B60272" s="0" t="s">
        <v>35</v>
      </c>
    </row>
    <row r="60273" customFormat="false" ht="12.8" hidden="false" customHeight="false" outlineLevel="0" collapsed="false">
      <c r="B60273" s="0" t="s">
        <v>20730</v>
      </c>
    </row>
    <row r="60275" customFormat="false" ht="12.8" hidden="false" customHeight="false" outlineLevel="0" collapsed="false">
      <c r="A60275" s="0" t="s">
        <v>20731</v>
      </c>
      <c r="B60275" s="0" t="str">
        <f aca="false">HYPERLINK("https://lindat.mff.cuni.cz/services/teitok/pdtc10/index.php?action=vallex&amp;frame=v-w8486f1", "vytlačovat (v-w8486f1)")</f>
        <v>vytlačovat (v-w8486f1)</v>
      </c>
    </row>
    <row r="60276" customFormat="false" ht="12.8" hidden="false" customHeight="false" outlineLevel="0" collapsed="false">
      <c r="B60276" s="0" t="s">
        <v>7</v>
      </c>
      <c r="C60276" s="0" t="s">
        <v>3051</v>
      </c>
      <c r="D60276" s="0" t="s">
        <v>1567</v>
      </c>
      <c r="E60276" s="0" t="s">
        <v>1567</v>
      </c>
      <c r="F60276" s="0" t="s">
        <v>1567</v>
      </c>
    </row>
    <row r="60277" customFormat="false" ht="12.8" hidden="false" customHeight="false" outlineLevel="0" collapsed="false">
      <c r="B60277" s="0" t="s">
        <v>14</v>
      </c>
      <c r="C60277" s="0" t="s">
        <v>3662</v>
      </c>
      <c r="D60277" s="0" t="s">
        <v>1568</v>
      </c>
      <c r="E60277" s="0" t="s">
        <v>1568</v>
      </c>
      <c r="F60277" s="0" t="s">
        <v>1568</v>
      </c>
    </row>
    <row r="60278" customFormat="false" ht="12.8" hidden="false" customHeight="false" outlineLevel="0" collapsed="false">
      <c r="B60278" s="0" t="s">
        <v>459</v>
      </c>
      <c r="D60278" s="0" t="s">
        <v>1569</v>
      </c>
      <c r="E60278" s="0" t="s">
        <v>1569</v>
      </c>
      <c r="F60278" s="0" t="s">
        <v>1569</v>
      </c>
    </row>
    <row r="60280" customFormat="false" ht="12.8" hidden="false" customHeight="false" outlineLevel="0" collapsed="false">
      <c r="A60280" s="0" t="s">
        <v>20732</v>
      </c>
      <c r="B60280" s="0" t="str">
        <f aca="false">HYPERLINK("https://lindat.mff.cuni.cz/services/teitok/pdtc10/index.php?action=vallex&amp;frame=v-w8486f2", "vytlačovat (v-w8486f2)")</f>
        <v>vytlačovat (v-w8486f2)</v>
      </c>
    </row>
    <row r="60281" customFormat="false" ht="12.8" hidden="false" customHeight="false" outlineLevel="0" collapsed="false">
      <c r="B60281" s="0" t="s">
        <v>7</v>
      </c>
      <c r="C60281" s="0" t="s">
        <v>191</v>
      </c>
      <c r="D60281" s="0" t="s">
        <v>6477</v>
      </c>
      <c r="E60281" s="0" t="s">
        <v>6477</v>
      </c>
      <c r="F60281" s="0" t="s">
        <v>6477</v>
      </c>
    </row>
    <row r="60282" customFormat="false" ht="12.8" hidden="false" customHeight="false" outlineLevel="0" collapsed="false">
      <c r="B60282" s="0" t="s">
        <v>14</v>
      </c>
      <c r="C60282" s="0" t="s">
        <v>155</v>
      </c>
      <c r="D60282" s="0" t="s">
        <v>6479</v>
      </c>
      <c r="E60282" s="0" t="s">
        <v>6479</v>
      </c>
      <c r="F60282" s="0" t="s">
        <v>6479</v>
      </c>
    </row>
    <row r="60284" customFormat="false" ht="12.8" hidden="false" customHeight="false" outlineLevel="0" collapsed="false">
      <c r="A60284" s="0" t="s">
        <v>20733</v>
      </c>
      <c r="B60284" s="0" t="str">
        <f aca="false">HYPERLINK("https://lindat.mff.cuni.cz/services/teitok/pdtc10/index.php?action=vallex&amp;frame=v-w10207f2", "vytlouci (v-w10207f2)")</f>
        <v>vytlouci (v-w10207f2)</v>
      </c>
    </row>
    <row r="60285" customFormat="false" ht="12.8" hidden="false" customHeight="false" outlineLevel="0" collapsed="false">
      <c r="B60285" s="0" t="s">
        <v>7</v>
      </c>
      <c r="C60285" s="0" t="s">
        <v>7860</v>
      </c>
    </row>
    <row r="60286" customFormat="false" ht="12.8" hidden="false" customHeight="false" outlineLevel="0" collapsed="false">
      <c r="B60286" s="0" t="s">
        <v>14</v>
      </c>
      <c r="C60286" s="0" t="s">
        <v>47</v>
      </c>
    </row>
    <row r="60287" customFormat="false" ht="12.8" hidden="false" customHeight="false" outlineLevel="0" collapsed="false">
      <c r="B60287" s="0" t="s">
        <v>459</v>
      </c>
    </row>
    <row r="60289" customFormat="false" ht="12.8" hidden="false" customHeight="false" outlineLevel="0" collapsed="false">
      <c r="A60289" s="0" t="s">
        <v>20734</v>
      </c>
      <c r="B60289" s="0" t="str">
        <f aca="false">HYPERLINK("https://lindat.mff.cuni.cz/services/teitok/pdtc10/index.php?action=vallex&amp;frame=v-w8487f1", "vytloukat (v-w8487f1)")</f>
        <v>vytloukat (v-w8487f1)</v>
      </c>
    </row>
    <row r="60290" customFormat="false" ht="12.8" hidden="false" customHeight="false" outlineLevel="0" collapsed="false">
      <c r="B60290" s="0" t="s">
        <v>7</v>
      </c>
    </row>
    <row r="60291" customFormat="false" ht="12.8" hidden="false" customHeight="false" outlineLevel="0" collapsed="false">
      <c r="B60291" s="0" t="s">
        <v>14</v>
      </c>
    </row>
    <row r="60292" customFormat="false" ht="12.8" hidden="false" customHeight="false" outlineLevel="0" collapsed="false">
      <c r="B60292" s="0" t="s">
        <v>35</v>
      </c>
    </row>
    <row r="60294" customFormat="false" ht="12.8" hidden="false" customHeight="false" outlineLevel="0" collapsed="false">
      <c r="A60294" s="0" t="s">
        <v>20735</v>
      </c>
      <c r="B60294" s="0" t="str">
        <f aca="false">HYPERLINK("https://lindat.mff.cuni.cz/services/teitok/pdtc10/index.php?action=vallex&amp;frame=v-whsa_745hsa_746", "vytopit (v-whsa_745hsa_746)")</f>
        <v>vytopit (v-whsa_745hsa_746)</v>
      </c>
    </row>
    <row r="60295" customFormat="false" ht="12.8" hidden="false" customHeight="false" outlineLevel="0" collapsed="false">
      <c r="B60295" s="0" t="s">
        <v>7</v>
      </c>
    </row>
    <row r="60296" customFormat="false" ht="12.8" hidden="false" customHeight="false" outlineLevel="0" collapsed="false">
      <c r="B60296" s="0" t="s">
        <v>14</v>
      </c>
    </row>
    <row r="60298" customFormat="false" ht="12.8" hidden="false" customHeight="false" outlineLevel="0" collapsed="false">
      <c r="A60298" s="0" t="s">
        <v>20736</v>
      </c>
      <c r="B60298" s="0" t="str">
        <f aca="false">HYPERLINK("https://lindat.mff.cuni.cz/services/teitok/pdtc10/index.php?action=vallex&amp;frame=v-w8488f1", "vytočit (v-w8488f1)")</f>
        <v>vytočit (v-w8488f1)</v>
      </c>
    </row>
    <row r="60299" customFormat="false" ht="12.8" hidden="false" customHeight="false" outlineLevel="0" collapsed="false">
      <c r="B60299" s="0" t="s">
        <v>7</v>
      </c>
      <c r="C60299" s="0" t="s">
        <v>248</v>
      </c>
      <c r="D60299" s="0" t="s">
        <v>14671</v>
      </c>
      <c r="E60299" s="0" t="s">
        <v>10458</v>
      </c>
      <c r="F60299" s="0" t="s">
        <v>10458</v>
      </c>
    </row>
    <row r="60300" customFormat="false" ht="12.8" hidden="false" customHeight="false" outlineLevel="0" collapsed="false">
      <c r="B60300" s="0" t="s">
        <v>14</v>
      </c>
      <c r="C60300" s="0" t="s">
        <v>4163</v>
      </c>
      <c r="D60300" s="0" t="s">
        <v>10088</v>
      </c>
      <c r="E60300" s="0" t="s">
        <v>2584</v>
      </c>
      <c r="F60300" s="0" t="s">
        <v>2584</v>
      </c>
    </row>
    <row r="60302" customFormat="false" ht="12.8" hidden="false" customHeight="false" outlineLevel="0" collapsed="false">
      <c r="A60302" s="0" t="s">
        <v>20737</v>
      </c>
      <c r="B60302" s="0" t="str">
        <f aca="false">HYPERLINK("https://lindat.mff.cuni.cz/services/teitok/pdtc10/index.php?action=vallex&amp;frame=v-w8488hsa_124", "vytočit (v-w8488hsa_124)")</f>
        <v>vytočit (v-w8488hsa_124)</v>
      </c>
    </row>
    <row r="60303" customFormat="false" ht="12.8" hidden="false" customHeight="false" outlineLevel="0" collapsed="false">
      <c r="B60303" s="0" t="s">
        <v>7</v>
      </c>
    </row>
    <row r="60304" customFormat="false" ht="12.8" hidden="false" customHeight="false" outlineLevel="0" collapsed="false">
      <c r="B60304" s="0" t="s">
        <v>14</v>
      </c>
    </row>
    <row r="60306" customFormat="false" ht="12.8" hidden="false" customHeight="false" outlineLevel="0" collapsed="false">
      <c r="A60306" s="0" t="s">
        <v>20738</v>
      </c>
      <c r="B60306" s="0" t="str">
        <f aca="false">HYPERLINK("https://lindat.mff.cuni.cz/services/teitok/pdtc10/index.php?action=vallex&amp;frame=v-w8488hsa_125", "vytočit (v-w8488hsa_125)")</f>
        <v>vytočit (v-w8488hsa_125)</v>
      </c>
    </row>
    <row r="60307" customFormat="false" ht="12.8" hidden="false" customHeight="false" outlineLevel="0" collapsed="false">
      <c r="B60307" s="0" t="s">
        <v>7</v>
      </c>
    </row>
    <row r="60308" customFormat="false" ht="12.8" hidden="false" customHeight="false" outlineLevel="0" collapsed="false">
      <c r="B60308" s="0" t="s">
        <v>14</v>
      </c>
    </row>
    <row r="60310" customFormat="false" ht="12.8" hidden="false" customHeight="false" outlineLevel="0" collapsed="false">
      <c r="A60310" s="0" t="s">
        <v>20739</v>
      </c>
      <c r="B60310" s="0" t="str">
        <f aca="false">HYPERLINK("https://lindat.mff.cuni.cz/services/teitok/pdtc10/index.php?action=vallex&amp;frame=v-w8490f1", "vytratit se (v-w8490f1)")</f>
        <v>vytratit se (v-w8490f1)</v>
      </c>
    </row>
    <row r="60311" customFormat="false" ht="12.8" hidden="false" customHeight="false" outlineLevel="0" collapsed="false">
      <c r="B60311" s="0" t="s">
        <v>7</v>
      </c>
      <c r="C60311" s="0" t="s">
        <v>20740</v>
      </c>
      <c r="D60311" s="0" t="s">
        <v>5380</v>
      </c>
      <c r="E60311" s="0" t="s">
        <v>5380</v>
      </c>
      <c r="F60311" s="0" t="s">
        <v>5380</v>
      </c>
    </row>
    <row r="60313" customFormat="false" ht="12.8" hidden="false" customHeight="false" outlineLevel="0" collapsed="false">
      <c r="A60313" s="0" t="s">
        <v>20741</v>
      </c>
      <c r="B60313" s="0" t="str">
        <f aca="false">HYPERLINK("https://lindat.mff.cuni.cz/services/teitok/pdtc10/index.php?action=vallex&amp;frame=v-w8491f1", "vytrejdovat (v-w8491f1)")</f>
        <v>vytrejdovat (v-w8491f1)</v>
      </c>
    </row>
    <row r="60314" customFormat="false" ht="12.8" hidden="false" customHeight="false" outlineLevel="0" collapsed="false">
      <c r="B60314" s="0" t="s">
        <v>7</v>
      </c>
    </row>
    <row r="60315" customFormat="false" ht="12.8" hidden="false" customHeight="false" outlineLevel="0" collapsed="false">
      <c r="B60315" s="0" t="s">
        <v>14</v>
      </c>
    </row>
    <row r="60316" customFormat="false" ht="12.8" hidden="false" customHeight="false" outlineLevel="0" collapsed="false">
      <c r="B60316" s="0" t="s">
        <v>2767</v>
      </c>
    </row>
    <row r="60317" customFormat="false" ht="12.8" hidden="false" customHeight="false" outlineLevel="0" collapsed="false">
      <c r="B60317" s="0" t="s">
        <v>550</v>
      </c>
    </row>
    <row r="60319" customFormat="false" ht="12.8" hidden="false" customHeight="false" outlineLevel="0" collapsed="false">
      <c r="A60319" s="0" t="s">
        <v>20742</v>
      </c>
      <c r="B60319" s="0" t="str">
        <f aca="false">HYPERLINK("https://lindat.mff.cuni.cz/services/teitok/pdtc10/index.php?action=vallex&amp;frame=v-w11145f2", "vytrhat (v-w11145f2)")</f>
        <v>vytrhat (v-w11145f2)</v>
      </c>
    </row>
    <row r="60320" customFormat="false" ht="12.8" hidden="false" customHeight="false" outlineLevel="0" collapsed="false">
      <c r="B60320" s="0" t="s">
        <v>7</v>
      </c>
      <c r="C60320" s="0" t="s">
        <v>191</v>
      </c>
      <c r="D60320" s="0" t="s">
        <v>88</v>
      </c>
      <c r="E60320" s="0" t="s">
        <v>88</v>
      </c>
      <c r="F60320" s="0" t="s">
        <v>88</v>
      </c>
    </row>
    <row r="60321" customFormat="false" ht="12.8" hidden="false" customHeight="false" outlineLevel="0" collapsed="false">
      <c r="B60321" s="0" t="s">
        <v>14</v>
      </c>
      <c r="C60321" s="0" t="s">
        <v>47</v>
      </c>
      <c r="D60321" s="0" t="s">
        <v>3872</v>
      </c>
      <c r="E60321" s="0" t="s">
        <v>3872</v>
      </c>
      <c r="F60321" s="0" t="s">
        <v>3872</v>
      </c>
    </row>
    <row r="60322" customFormat="false" ht="12.8" hidden="false" customHeight="false" outlineLevel="0" collapsed="false">
      <c r="B60322" s="0" t="s">
        <v>459</v>
      </c>
      <c r="D60322" s="0" t="s">
        <v>8533</v>
      </c>
      <c r="E60322" s="0" t="s">
        <v>8533</v>
      </c>
      <c r="F60322" s="0" t="s">
        <v>8533</v>
      </c>
    </row>
    <row r="60324" customFormat="false" ht="12.8" hidden="false" customHeight="false" outlineLevel="0" collapsed="false">
      <c r="A60324" s="0" t="s">
        <v>20743</v>
      </c>
      <c r="B60324" s="0" t="str">
        <f aca="false">HYPERLINK("https://lindat.mff.cuni.cz/services/teitok/pdtc10/index.php?action=vallex&amp;frame=v-w8493f2", "vytrhnout (v-w8493f2)")</f>
        <v>vytrhnout (v-w8493f2)</v>
      </c>
    </row>
    <row r="60325" customFormat="false" ht="12.8" hidden="false" customHeight="false" outlineLevel="0" collapsed="false">
      <c r="B60325" s="0" t="s">
        <v>7</v>
      </c>
      <c r="C60325" s="0" t="s">
        <v>569</v>
      </c>
    </row>
    <row r="60326" customFormat="false" ht="12.8" hidden="false" customHeight="false" outlineLevel="0" collapsed="false">
      <c r="B60326" s="0" t="s">
        <v>14</v>
      </c>
      <c r="C60326" s="0" t="s">
        <v>33</v>
      </c>
      <c r="D60326" s="0" t="s">
        <v>155</v>
      </c>
      <c r="E60326" s="0" t="s">
        <v>155</v>
      </c>
      <c r="F60326" s="0" t="s">
        <v>155</v>
      </c>
    </row>
    <row r="60327" customFormat="false" ht="12.8" hidden="false" customHeight="false" outlineLevel="0" collapsed="false">
      <c r="B60327" s="0" t="s">
        <v>2339</v>
      </c>
    </row>
    <row r="60329" customFormat="false" ht="12.8" hidden="false" customHeight="false" outlineLevel="0" collapsed="false">
      <c r="A60329" s="0" t="s">
        <v>20744</v>
      </c>
      <c r="B60329" s="0" t="str">
        <f aca="false">HYPERLINK("https://lindat.mff.cuni.cz/services/teitok/pdtc10/index.php?action=vallex&amp;frame=v-w8493f1", "vytrhnout (v-w8493f1)")</f>
        <v>vytrhnout (v-w8493f1)</v>
      </c>
    </row>
    <row r="60330" customFormat="false" ht="12.8" hidden="false" customHeight="false" outlineLevel="0" collapsed="false">
      <c r="B60330" s="0" t="s">
        <v>7</v>
      </c>
      <c r="C60330" s="0" t="s">
        <v>31</v>
      </c>
      <c r="D60330" s="0" t="s">
        <v>191</v>
      </c>
      <c r="E60330" s="0" t="s">
        <v>191</v>
      </c>
      <c r="F60330" s="0" t="s">
        <v>191</v>
      </c>
    </row>
    <row r="60331" customFormat="false" ht="12.8" hidden="false" customHeight="false" outlineLevel="0" collapsed="false">
      <c r="B60331" s="0" t="s">
        <v>14</v>
      </c>
      <c r="C60331" s="0" t="s">
        <v>487</v>
      </c>
      <c r="D60331" s="0" t="s">
        <v>47</v>
      </c>
      <c r="E60331" s="0" t="s">
        <v>47</v>
      </c>
      <c r="F60331" s="0" t="s">
        <v>47</v>
      </c>
    </row>
    <row r="60332" customFormat="false" ht="12.8" hidden="false" customHeight="false" outlineLevel="0" collapsed="false">
      <c r="B60332" s="0" t="s">
        <v>459</v>
      </c>
    </row>
    <row r="60334" customFormat="false" ht="12.8" hidden="false" customHeight="false" outlineLevel="0" collapsed="false">
      <c r="A60334" s="0" t="s">
        <v>20745</v>
      </c>
      <c r="B60334" s="0" t="str">
        <f aca="false">HYPERLINK("https://lindat.mff.cuni.cz/services/teitok/pdtc10/index.php?action=vallex&amp;frame=v-w8494f2", "vytrhovat (v-w8494f2)")</f>
        <v>vytrhovat (v-w8494f2)</v>
      </c>
    </row>
    <row r="60335" customFormat="false" ht="12.8" hidden="false" customHeight="false" outlineLevel="0" collapsed="false">
      <c r="B60335" s="0" t="s">
        <v>7</v>
      </c>
    </row>
    <row r="60336" customFormat="false" ht="12.8" hidden="false" customHeight="false" outlineLevel="0" collapsed="false">
      <c r="B60336" s="0" t="s">
        <v>14</v>
      </c>
      <c r="D60336" s="0" t="s">
        <v>155</v>
      </c>
      <c r="E60336" s="0" t="s">
        <v>155</v>
      </c>
      <c r="F60336" s="0" t="s">
        <v>155</v>
      </c>
    </row>
    <row r="60337" customFormat="false" ht="12.8" hidden="false" customHeight="false" outlineLevel="0" collapsed="false">
      <c r="B60337" s="0" t="s">
        <v>2339</v>
      </c>
    </row>
    <row r="60339" customFormat="false" ht="12.8" hidden="false" customHeight="false" outlineLevel="0" collapsed="false">
      <c r="A60339" s="0" t="s">
        <v>20746</v>
      </c>
      <c r="B60339" s="0" t="str">
        <f aca="false">HYPERLINK("https://lindat.mff.cuni.cz/services/teitok/pdtc10/index.php?action=vallex&amp;frame=v-w8494f1", "vytrhovat (v-w8494f1)")</f>
        <v>vytrhovat (v-w8494f1)</v>
      </c>
    </row>
    <row r="60340" customFormat="false" ht="12.8" hidden="false" customHeight="false" outlineLevel="0" collapsed="false">
      <c r="B60340" s="0" t="s">
        <v>7</v>
      </c>
      <c r="D60340" s="0" t="s">
        <v>191</v>
      </c>
      <c r="E60340" s="0" t="s">
        <v>191</v>
      </c>
      <c r="F60340" s="0" t="s">
        <v>191</v>
      </c>
    </row>
    <row r="60341" customFormat="false" ht="12.8" hidden="false" customHeight="false" outlineLevel="0" collapsed="false">
      <c r="B60341" s="0" t="s">
        <v>14</v>
      </c>
      <c r="D60341" s="0" t="s">
        <v>47</v>
      </c>
      <c r="E60341" s="0" t="s">
        <v>47</v>
      </c>
      <c r="F60341" s="0" t="s">
        <v>47</v>
      </c>
    </row>
    <row r="60342" customFormat="false" ht="12.8" hidden="false" customHeight="false" outlineLevel="0" collapsed="false">
      <c r="B60342" s="0" t="s">
        <v>459</v>
      </c>
    </row>
    <row r="60344" customFormat="false" ht="12.8" hidden="false" customHeight="false" outlineLevel="0" collapsed="false">
      <c r="A60344" s="0" t="s">
        <v>20747</v>
      </c>
      <c r="B60344" s="0" t="str">
        <f aca="false">HYPERLINK("https://lindat.mff.cuni.cz/services/teitok/pdtc10/index.php?action=vallex&amp;frame=v-w8492f1", "vytrhávat (v-w8492f1)")</f>
        <v>vytrhávat (v-w8492f1)</v>
      </c>
    </row>
    <row r="60345" customFormat="false" ht="12.8" hidden="false" customHeight="false" outlineLevel="0" collapsed="false">
      <c r="B60345" s="0" t="s">
        <v>7</v>
      </c>
    </row>
    <row r="60346" customFormat="false" ht="12.8" hidden="false" customHeight="false" outlineLevel="0" collapsed="false">
      <c r="B60346" s="0" t="s">
        <v>14</v>
      </c>
    </row>
    <row r="60347" customFormat="false" ht="12.8" hidden="false" customHeight="false" outlineLevel="0" collapsed="false">
      <c r="B60347" s="0" t="s">
        <v>459</v>
      </c>
    </row>
    <row r="60349" customFormat="false" ht="12.8" hidden="false" customHeight="false" outlineLevel="0" collapsed="false">
      <c r="A60349" s="0" t="s">
        <v>20748</v>
      </c>
      <c r="B60349" s="0" t="str">
        <f aca="false">HYPERLINK("https://lindat.mff.cuni.cz/services/teitok/pdtc10/index.php?action=vallex&amp;frame=v-w8492f2_ZU", "vytrhávat (v-w8492f2_ZU)")</f>
        <v>vytrhávat (v-w8492f2_ZU)</v>
      </c>
    </row>
    <row r="60350" customFormat="false" ht="12.8" hidden="false" customHeight="false" outlineLevel="0" collapsed="false">
      <c r="B60350" s="0" t="s">
        <v>7</v>
      </c>
      <c r="C60350" s="0" t="s">
        <v>191</v>
      </c>
    </row>
    <row r="60351" customFormat="false" ht="12.8" hidden="false" customHeight="false" outlineLevel="0" collapsed="false">
      <c r="B60351" s="0" t="s">
        <v>20749</v>
      </c>
    </row>
    <row r="60352" customFormat="false" ht="12.8" hidden="false" customHeight="false" outlineLevel="0" collapsed="false">
      <c r="B60352" s="0" t="s">
        <v>14</v>
      </c>
      <c r="C60352" s="0" t="s">
        <v>155</v>
      </c>
    </row>
    <row r="60354" customFormat="false" ht="12.8" hidden="false" customHeight="false" outlineLevel="0" collapsed="false">
      <c r="A60354" s="0" t="s">
        <v>20748</v>
      </c>
      <c r="B60354" s="0" t="str">
        <f aca="false">HYPERLINK("https://lindat.mff.cuni.cz/services/teitok/pdtc10/index.php?action=vallex&amp;frame=v-w8492hsa_611", "vytrhávat (v-w8492hsa_611) - substituted with v-w8492f2_ZU")</f>
        <v>vytrhávat (v-w8492hsa_611) - substituted with v-w8492f2_ZU</v>
      </c>
    </row>
    <row r="60355" customFormat="false" ht="12.8" hidden="false" customHeight="false" outlineLevel="0" collapsed="false">
      <c r="B60355" s="0" t="s">
        <v>7</v>
      </c>
    </row>
    <row r="60356" customFormat="false" ht="12.8" hidden="false" customHeight="false" outlineLevel="0" collapsed="false">
      <c r="B60356" s="0" t="s">
        <v>20749</v>
      </c>
    </row>
    <row r="60357" customFormat="false" ht="12.8" hidden="false" customHeight="false" outlineLevel="0" collapsed="false">
      <c r="B60357" s="0" t="s">
        <v>14</v>
      </c>
    </row>
    <row r="60359" customFormat="false" ht="12.8" hidden="false" customHeight="false" outlineLevel="0" collapsed="false">
      <c r="A60359" s="0" t="s">
        <v>20750</v>
      </c>
      <c r="B60359" s="0" t="str">
        <f aca="false">HYPERLINK("https://lindat.mff.cuni.cz/services/teitok/pdtc10/index.php?action=vallex&amp;frame=v-w11323f1", "vytrpět (v-w11323f1)")</f>
        <v>vytrpět (v-w11323f1)</v>
      </c>
    </row>
    <row r="60360" customFormat="false" ht="12.8" hidden="false" customHeight="false" outlineLevel="0" collapsed="false">
      <c r="B60360" s="0" t="s">
        <v>7</v>
      </c>
    </row>
    <row r="60361" customFormat="false" ht="12.8" hidden="false" customHeight="false" outlineLevel="0" collapsed="false">
      <c r="B60361" s="0" t="s">
        <v>14</v>
      </c>
    </row>
    <row r="60363" customFormat="false" ht="12.8" hidden="false" customHeight="false" outlineLevel="0" collapsed="false">
      <c r="A60363" s="0" t="s">
        <v>20751</v>
      </c>
      <c r="B60363" s="0" t="str">
        <f aca="false">HYPERLINK("https://lindat.mff.cuni.cz/services/teitok/pdtc10/index.php?action=vallex&amp;frame=v-w8495f1", "vytrpět si (v-w8495f1)")</f>
        <v>vytrpět si (v-w8495f1)</v>
      </c>
    </row>
    <row r="60364" customFormat="false" ht="12.8" hidden="false" customHeight="false" outlineLevel="0" collapsed="false">
      <c r="B60364" s="0" t="s">
        <v>7</v>
      </c>
      <c r="C60364" s="0" t="s">
        <v>3918</v>
      </c>
      <c r="D60364" s="0" t="s">
        <v>2092</v>
      </c>
      <c r="E60364" s="0" t="s">
        <v>2092</v>
      </c>
      <c r="F60364" s="0" t="s">
        <v>2092</v>
      </c>
    </row>
    <row r="60365" customFormat="false" ht="12.8" hidden="false" customHeight="false" outlineLevel="0" collapsed="false">
      <c r="B60365" s="0" t="s">
        <v>14</v>
      </c>
      <c r="D60365" s="0" t="s">
        <v>2094</v>
      </c>
      <c r="E60365" s="0" t="s">
        <v>2094</v>
      </c>
      <c r="F60365" s="0" t="s">
        <v>2094</v>
      </c>
    </row>
    <row r="60367" customFormat="false" ht="12.8" hidden="false" customHeight="false" outlineLevel="0" collapsed="false">
      <c r="A60367" s="0" t="s">
        <v>20752</v>
      </c>
      <c r="B60367" s="0" t="str">
        <f aca="false">HYPERLINK("https://lindat.mff.cuni.cz/services/teitok/pdtc10/index.php?action=vallex&amp;frame=v-w10961f2", "vytrubovat (v-w10961f2)")</f>
        <v>vytrubovat (v-w10961f2)</v>
      </c>
    </row>
    <row r="60368" customFormat="false" ht="12.8" hidden="false" customHeight="false" outlineLevel="0" collapsed="false">
      <c r="B60368" s="0" t="s">
        <v>7</v>
      </c>
      <c r="C60368" s="0" t="s">
        <v>46</v>
      </c>
      <c r="D60368" s="0" t="s">
        <v>46</v>
      </c>
      <c r="E60368" s="0" t="s">
        <v>46</v>
      </c>
      <c r="F60368" s="0" t="s">
        <v>46</v>
      </c>
    </row>
    <row r="60369" customFormat="false" ht="12.8" hidden="false" customHeight="false" outlineLevel="0" collapsed="false">
      <c r="B60369" s="0" t="s">
        <v>172</v>
      </c>
      <c r="C60369" s="0" t="s">
        <v>1170</v>
      </c>
      <c r="D60369" s="0" t="s">
        <v>1170</v>
      </c>
      <c r="E60369" s="0" t="s">
        <v>1170</v>
      </c>
      <c r="F60369" s="0" t="s">
        <v>1170</v>
      </c>
    </row>
    <row r="60371" customFormat="false" ht="12.8" hidden="false" customHeight="false" outlineLevel="0" collapsed="false">
      <c r="A60371" s="0" t="s">
        <v>20753</v>
      </c>
      <c r="B60371" s="0" t="str">
        <f aca="false">HYPERLINK("https://lindat.mff.cuni.cz/services/teitok/pdtc10/index.php?action=vallex&amp;frame=v-w8496f1", "vytrucovat (v-w8496f1)")</f>
        <v>vytrucovat (v-w8496f1)</v>
      </c>
    </row>
    <row r="60372" customFormat="false" ht="12.8" hidden="false" customHeight="false" outlineLevel="0" collapsed="false">
      <c r="B60372" s="0" t="s">
        <v>7</v>
      </c>
    </row>
    <row r="60373" customFormat="false" ht="12.8" hidden="false" customHeight="false" outlineLevel="0" collapsed="false">
      <c r="B60373" s="0" t="s">
        <v>54</v>
      </c>
    </row>
    <row r="60374" customFormat="false" ht="12.8" hidden="false" customHeight="false" outlineLevel="0" collapsed="false">
      <c r="B60374" s="0" t="s">
        <v>586</v>
      </c>
    </row>
    <row r="60376" customFormat="false" ht="12.8" hidden="false" customHeight="false" outlineLevel="0" collapsed="false">
      <c r="A60376" s="0" t="s">
        <v>20754</v>
      </c>
      <c r="B60376" s="0" t="str">
        <f aca="false">HYPERLINK("https://lindat.mff.cuni.cz/services/teitok/pdtc10/index.php?action=vallex&amp;frame=v-w8497f1", "vytrvat (v-w8497f1)")</f>
        <v>vytrvat (v-w8497f1)</v>
      </c>
    </row>
    <row r="60377" customFormat="false" ht="12.8" hidden="false" customHeight="false" outlineLevel="0" collapsed="false">
      <c r="B60377" s="0" t="s">
        <v>7</v>
      </c>
      <c r="C60377" s="0" t="s">
        <v>8450</v>
      </c>
      <c r="D60377" s="0" t="s">
        <v>20755</v>
      </c>
      <c r="E60377" s="0" t="s">
        <v>20755</v>
      </c>
      <c r="F60377" s="0" t="s">
        <v>20755</v>
      </c>
    </row>
    <row r="60378" customFormat="false" ht="12.8" hidden="false" customHeight="false" outlineLevel="0" collapsed="false">
      <c r="B60378" s="0" t="s">
        <v>387</v>
      </c>
      <c r="C60378" s="0" t="s">
        <v>20756</v>
      </c>
      <c r="D60378" s="0" t="s">
        <v>8765</v>
      </c>
      <c r="E60378" s="0" t="s">
        <v>8765</v>
      </c>
      <c r="F60378" s="0" t="s">
        <v>8765</v>
      </c>
    </row>
    <row r="60380" customFormat="false" ht="12.8" hidden="false" customHeight="false" outlineLevel="0" collapsed="false">
      <c r="A60380" s="0" t="s">
        <v>20757</v>
      </c>
      <c r="B60380" s="0" t="str">
        <f aca="false">HYPERLINK("https://lindat.mff.cuni.cz/services/teitok/pdtc10/index.php?action=vallex&amp;frame=v-w8497f2", "vytrvat (v-w8497f2)")</f>
        <v>vytrvat (v-w8497f2)</v>
      </c>
    </row>
    <row r="60381" customFormat="false" ht="12.8" hidden="false" customHeight="false" outlineLevel="0" collapsed="false">
      <c r="B60381" s="0" t="s">
        <v>7</v>
      </c>
      <c r="C60381" s="0" t="s">
        <v>1332</v>
      </c>
      <c r="D60381" s="0" t="s">
        <v>1753</v>
      </c>
      <c r="E60381" s="0" t="s">
        <v>1753</v>
      </c>
      <c r="F60381" s="0" t="s">
        <v>1753</v>
      </c>
    </row>
    <row r="60383" customFormat="false" ht="12.8" hidden="false" customHeight="false" outlineLevel="0" collapsed="false">
      <c r="A60383" s="0" t="s">
        <v>20758</v>
      </c>
      <c r="B60383" s="0" t="str">
        <f aca="false">HYPERLINK("https://lindat.mff.cuni.cz/services/teitok/pdtc10/index.php?action=vallex&amp;frame=v-w10179f2", "vytrvávat (v-w10179f2)")</f>
        <v>vytrvávat (v-w10179f2)</v>
      </c>
    </row>
    <row r="60384" customFormat="false" ht="12.8" hidden="false" customHeight="false" outlineLevel="0" collapsed="false">
      <c r="B60384" s="0" t="s">
        <v>7</v>
      </c>
      <c r="C60384" s="0" t="s">
        <v>2894</v>
      </c>
      <c r="D60384" s="0" t="s">
        <v>1753</v>
      </c>
      <c r="E60384" s="0" t="s">
        <v>1753</v>
      </c>
      <c r="F60384" s="0" t="s">
        <v>1753</v>
      </c>
    </row>
    <row r="60386" customFormat="false" ht="12.8" hidden="false" customHeight="false" outlineLevel="0" collapsed="false">
      <c r="A60386" s="0" t="s">
        <v>20759</v>
      </c>
      <c r="B60386" s="0" t="str">
        <f aca="false">HYPERLINK("https://lindat.mff.cuni.cz/services/teitok/pdtc10/index.php?action=vallex&amp;frame=v-w8489f1", "vytrácet se (v-w8489f1)")</f>
        <v>vytrácet se (v-w8489f1)</v>
      </c>
    </row>
    <row r="60387" customFormat="false" ht="12.8" hidden="false" customHeight="false" outlineLevel="0" collapsed="false">
      <c r="B60387" s="0" t="s">
        <v>7</v>
      </c>
      <c r="C60387" s="0" t="s">
        <v>6750</v>
      </c>
      <c r="D60387" s="0" t="s">
        <v>5380</v>
      </c>
      <c r="E60387" s="0" t="s">
        <v>5380</v>
      </c>
      <c r="F60387" s="0" t="s">
        <v>5380</v>
      </c>
    </row>
    <row r="60389" customFormat="false" ht="12.8" hidden="false" customHeight="false" outlineLevel="0" collapsed="false">
      <c r="A60389" s="0" t="s">
        <v>20760</v>
      </c>
      <c r="B60389" s="0" t="str">
        <f aca="false">HYPERLINK("https://lindat.mff.cuni.cz/services/teitok/pdtc10/index.php?action=vallex&amp;frame=v-w11630_ZUf1_ZU", "vytrénovat (v-w11630_ZUf1_ZU)")</f>
        <v>vytrénovat (v-w11630_ZUf1_ZU)</v>
      </c>
    </row>
    <row r="60390" customFormat="false" ht="12.8" hidden="false" customHeight="false" outlineLevel="0" collapsed="false">
      <c r="B60390" s="0" t="s">
        <v>7</v>
      </c>
      <c r="C60390" s="0" t="s">
        <v>46</v>
      </c>
      <c r="D60390" s="0" t="s">
        <v>8548</v>
      </c>
      <c r="E60390" s="0" t="s">
        <v>8548</v>
      </c>
      <c r="F60390" s="0" t="s">
        <v>8548</v>
      </c>
    </row>
    <row r="60391" customFormat="false" ht="12.8" hidden="false" customHeight="false" outlineLevel="0" collapsed="false">
      <c r="B60391" s="0" t="s">
        <v>14</v>
      </c>
      <c r="C60391" s="0" t="s">
        <v>115</v>
      </c>
      <c r="D60391" s="0" t="s">
        <v>4212</v>
      </c>
      <c r="E60391" s="0" t="s">
        <v>4212</v>
      </c>
      <c r="F60391" s="0" t="s">
        <v>4212</v>
      </c>
    </row>
    <row r="60393" customFormat="false" ht="12.8" hidden="false" customHeight="false" outlineLevel="0" collapsed="false">
      <c r="A60393" s="0" t="s">
        <v>20761</v>
      </c>
      <c r="B60393" s="0" t="str">
        <f aca="false">HYPERLINK("https://lindat.mff.cuni.cz/services/teitok/pdtc10/index.php?action=vallex&amp;frame=v-w8500f1", "vytušit (v-w8500f1)")</f>
        <v>vytušit (v-w8500f1)</v>
      </c>
    </row>
    <row r="60394" customFormat="false" ht="12.8" hidden="false" customHeight="false" outlineLevel="0" collapsed="false">
      <c r="B60394" s="0" t="s">
        <v>7</v>
      </c>
    </row>
    <row r="60395" customFormat="false" ht="12.8" hidden="false" customHeight="false" outlineLevel="0" collapsed="false">
      <c r="B60395" s="0" t="s">
        <v>54</v>
      </c>
    </row>
    <row r="60397" customFormat="false" ht="12.8" hidden="false" customHeight="false" outlineLevel="0" collapsed="false">
      <c r="A60397" s="0" t="s">
        <v>20762</v>
      </c>
      <c r="B60397" s="0" t="str">
        <f aca="false">HYPERLINK("https://lindat.mff.cuni.cz/services/teitok/pdtc10/index.php?action=vallex&amp;frame=v-w8501f1", "vytvarovat (v-w8501f1)")</f>
        <v>vytvarovat (v-w8501f1)</v>
      </c>
    </row>
    <row r="60398" customFormat="false" ht="12.8" hidden="false" customHeight="false" outlineLevel="0" collapsed="false">
      <c r="B60398" s="0" t="s">
        <v>7</v>
      </c>
    </row>
    <row r="60399" customFormat="false" ht="12.8" hidden="false" customHeight="false" outlineLevel="0" collapsed="false">
      <c r="B60399" s="0" t="s">
        <v>14</v>
      </c>
    </row>
    <row r="60400" customFormat="false" ht="12.8" hidden="false" customHeight="false" outlineLevel="0" collapsed="false">
      <c r="B60400" s="0" t="s">
        <v>181</v>
      </c>
    </row>
    <row r="60402" customFormat="false" ht="12.8" hidden="false" customHeight="false" outlineLevel="0" collapsed="false">
      <c r="A60402" s="0" t="s">
        <v>20763</v>
      </c>
      <c r="B60402" s="0" t="str">
        <f aca="false">HYPERLINK("https://lindat.mff.cuni.cz/services/teitok/pdtc10/index.php?action=vallex&amp;frame=v-w8510f1", "vytvořit (v-w8510f1)")</f>
        <v>vytvořit (v-w8510f1)</v>
      </c>
    </row>
    <row r="60403" customFormat="false" ht="12.8" hidden="false" customHeight="false" outlineLevel="0" collapsed="false">
      <c r="B60403" s="0" t="s">
        <v>7</v>
      </c>
      <c r="C60403" s="0" t="s">
        <v>20764</v>
      </c>
      <c r="D60403" s="0" t="s">
        <v>20765</v>
      </c>
      <c r="E60403" s="0" t="s">
        <v>20766</v>
      </c>
      <c r="F60403" s="0" t="s">
        <v>20766</v>
      </c>
    </row>
    <row r="60404" customFormat="false" ht="12.8" hidden="false" customHeight="false" outlineLevel="0" collapsed="false">
      <c r="B60404" s="0" t="s">
        <v>14</v>
      </c>
      <c r="C60404" s="0" t="s">
        <v>20767</v>
      </c>
      <c r="D60404" s="0" t="s">
        <v>20768</v>
      </c>
      <c r="E60404" s="0" t="s">
        <v>20769</v>
      </c>
      <c r="F60404" s="0" t="s">
        <v>20769</v>
      </c>
    </row>
    <row r="60405" customFormat="false" ht="12.8" hidden="false" customHeight="false" outlineLevel="0" collapsed="false">
      <c r="B60405" s="0" t="s">
        <v>1953</v>
      </c>
      <c r="C60405" s="0" t="s">
        <v>20770</v>
      </c>
    </row>
    <row r="60406" customFormat="false" ht="12.8" hidden="false" customHeight="false" outlineLevel="0" collapsed="false">
      <c r="B60406" s="0" t="s">
        <v>35</v>
      </c>
      <c r="C60406" s="0" t="s">
        <v>20771</v>
      </c>
      <c r="D60406" s="0" t="s">
        <v>4253</v>
      </c>
      <c r="E60406" s="0" t="s">
        <v>4253</v>
      </c>
      <c r="F60406" s="0" t="s">
        <v>4253</v>
      </c>
    </row>
    <row r="60408" customFormat="false" ht="12.8" hidden="false" customHeight="false" outlineLevel="0" collapsed="false">
      <c r="A60408" s="0" t="s">
        <v>20772</v>
      </c>
      <c r="B60408" s="0" t="str">
        <f aca="false">HYPERLINK("https://lindat.mff.cuni.cz/services/teitok/pdtc10/index.php?action=vallex&amp;frame=v-w8510f4", "vytvořit (v-w8510f4)")</f>
        <v>vytvořit (v-w8510f4)</v>
      </c>
    </row>
    <row r="60409" customFormat="false" ht="12.8" hidden="false" customHeight="false" outlineLevel="0" collapsed="false">
      <c r="B60409" s="0" t="s">
        <v>7</v>
      </c>
      <c r="C60409" s="0" t="s">
        <v>20773</v>
      </c>
      <c r="D60409" s="0" t="s">
        <v>20774</v>
      </c>
      <c r="E60409" s="0" t="s">
        <v>20774</v>
      </c>
      <c r="F60409" s="0" t="s">
        <v>20774</v>
      </c>
    </row>
    <row r="60410" customFormat="false" ht="12.8" hidden="false" customHeight="false" outlineLevel="0" collapsed="false">
      <c r="B60410" s="0" t="s">
        <v>14</v>
      </c>
      <c r="C60410" s="0" t="s">
        <v>20775</v>
      </c>
      <c r="D60410" s="0" t="s">
        <v>20776</v>
      </c>
      <c r="E60410" s="0" t="s">
        <v>20776</v>
      </c>
      <c r="F60410" s="0" t="s">
        <v>20776</v>
      </c>
    </row>
    <row r="60411" customFormat="false" ht="12.8" hidden="false" customHeight="false" outlineLevel="0" collapsed="false">
      <c r="B60411" s="0" t="s">
        <v>35</v>
      </c>
      <c r="C60411" s="0" t="s">
        <v>20777</v>
      </c>
      <c r="D60411" s="0" t="s">
        <v>20778</v>
      </c>
      <c r="E60411" s="0" t="s">
        <v>20778</v>
      </c>
      <c r="F60411" s="0" t="s">
        <v>20778</v>
      </c>
    </row>
    <row r="60413" customFormat="false" ht="12.8" hidden="false" customHeight="false" outlineLevel="0" collapsed="false">
      <c r="A60413" s="0" t="s">
        <v>20779</v>
      </c>
      <c r="B60413" s="0" t="str">
        <f aca="false">HYPERLINK("https://lindat.mff.cuni.cz/services/teitok/pdtc10/index.php?action=vallex&amp;frame=v-w8510f2", "vytvořit (v-w8510f2)")</f>
        <v>vytvořit (v-w8510f2)</v>
      </c>
    </row>
    <row r="60414" customFormat="false" ht="12.8" hidden="false" customHeight="false" outlineLevel="0" collapsed="false">
      <c r="B60414" s="0" t="s">
        <v>7</v>
      </c>
      <c r="C60414" s="0" t="s">
        <v>20780</v>
      </c>
      <c r="D60414" s="0" t="s">
        <v>2998</v>
      </c>
      <c r="E60414" s="0" t="s">
        <v>2998</v>
      </c>
      <c r="F60414" s="0" t="s">
        <v>2998</v>
      </c>
    </row>
    <row r="60415" customFormat="false" ht="12.8" hidden="false" customHeight="false" outlineLevel="0" collapsed="false">
      <c r="B60415" s="0" t="s">
        <v>14</v>
      </c>
      <c r="C60415" s="0" t="s">
        <v>20781</v>
      </c>
      <c r="D60415" s="0" t="s">
        <v>3001</v>
      </c>
      <c r="E60415" s="0" t="s">
        <v>3001</v>
      </c>
      <c r="F60415" s="0" t="s">
        <v>3001</v>
      </c>
    </row>
    <row r="60417" customFormat="false" ht="12.8" hidden="false" customHeight="false" outlineLevel="0" collapsed="false">
      <c r="A60417" s="0" t="s">
        <v>20782</v>
      </c>
      <c r="B60417" s="0" t="str">
        <f aca="false">HYPERLINK("https://lindat.mff.cuni.cz/services/teitok/pdtc10/index.php?action=vallex&amp;frame=v-w8510f3", "vytvořit (v-w8510f3)")</f>
        <v>vytvořit (v-w8510f3)</v>
      </c>
    </row>
    <row r="60418" customFormat="false" ht="12.8" hidden="false" customHeight="false" outlineLevel="0" collapsed="false">
      <c r="B60418" s="0" t="s">
        <v>7</v>
      </c>
      <c r="C60418" s="0" t="s">
        <v>5572</v>
      </c>
      <c r="D60418" s="0" t="s">
        <v>2998</v>
      </c>
      <c r="E60418" s="0" t="s">
        <v>2998</v>
      </c>
      <c r="F60418" s="0" t="s">
        <v>2998</v>
      </c>
    </row>
    <row r="60419" customFormat="false" ht="12.8" hidden="false" customHeight="false" outlineLevel="0" collapsed="false">
      <c r="B60419" s="0" t="s">
        <v>14</v>
      </c>
      <c r="C60419" s="0" t="s">
        <v>7637</v>
      </c>
      <c r="D60419" s="0" t="s">
        <v>3001</v>
      </c>
      <c r="E60419" s="0" t="s">
        <v>3001</v>
      </c>
      <c r="F60419" s="0" t="s">
        <v>3001</v>
      </c>
    </row>
    <row r="60421" customFormat="false" ht="12.8" hidden="false" customHeight="false" outlineLevel="0" collapsed="false">
      <c r="A60421" s="0" t="s">
        <v>20783</v>
      </c>
      <c r="B60421" s="0" t="str">
        <f aca="false">HYPERLINK("https://lindat.mff.cuni.cz/services/teitok/pdtc10/index.php?action=vallex&amp;frame=v-w8510f5", "vytvořit (v-w8510f5)")</f>
        <v>vytvořit (v-w8510f5)</v>
      </c>
    </row>
    <row r="60422" customFormat="false" ht="12.8" hidden="false" customHeight="false" outlineLevel="0" collapsed="false">
      <c r="B60422" s="0" t="s">
        <v>7</v>
      </c>
    </row>
    <row r="60423" customFormat="false" ht="12.8" hidden="false" customHeight="false" outlineLevel="0" collapsed="false">
      <c r="B60423" s="0" t="s">
        <v>20784</v>
      </c>
    </row>
    <row r="60425" customFormat="false" ht="12.8" hidden="false" customHeight="false" outlineLevel="0" collapsed="false">
      <c r="A60425" s="0" t="s">
        <v>20785</v>
      </c>
      <c r="B60425" s="0" t="str">
        <f aca="false">HYPERLINK("https://lindat.mff.cuni.cz/services/teitok/pdtc10/index.php?action=vallex&amp;frame=v-w8510hsa_720", "vytvořit (v-w8510hsa_720)")</f>
        <v>vytvořit (v-w8510hsa_720)</v>
      </c>
    </row>
    <row r="60426" customFormat="false" ht="12.8" hidden="false" customHeight="false" outlineLevel="0" collapsed="false">
      <c r="B60426" s="0" t="s">
        <v>7</v>
      </c>
      <c r="C60426" s="0" t="s">
        <v>191</v>
      </c>
    </row>
    <row r="60427" customFormat="false" ht="12.8" hidden="false" customHeight="false" outlineLevel="0" collapsed="false">
      <c r="B60427" s="0" t="s">
        <v>20786</v>
      </c>
      <c r="C60427" s="0" t="s">
        <v>3181</v>
      </c>
    </row>
    <row r="60429" customFormat="false" ht="12.8" hidden="false" customHeight="false" outlineLevel="0" collapsed="false">
      <c r="A60429" s="0" t="s">
        <v>20787</v>
      </c>
      <c r="B60429" s="0" t="str">
        <f aca="false">HYPERLINK("https://lindat.mff.cuni.cz/services/teitok/pdtc10/index.php?action=vallex&amp;frame=v-w8511f1", "vytvořit se (v-w8511f1)")</f>
        <v>vytvořit se (v-w8511f1)</v>
      </c>
    </row>
    <row r="60430" customFormat="false" ht="12.8" hidden="false" customHeight="false" outlineLevel="0" collapsed="false">
      <c r="B60430" s="0" t="s">
        <v>7</v>
      </c>
      <c r="C60430" s="0" t="s">
        <v>20788</v>
      </c>
    </row>
    <row r="60431" customFormat="false" ht="12.8" hidden="false" customHeight="false" outlineLevel="0" collapsed="false">
      <c r="B60431" s="0" t="s">
        <v>581</v>
      </c>
      <c r="C60431" s="0" t="s">
        <v>18</v>
      </c>
    </row>
    <row r="60433" customFormat="false" ht="12.8" hidden="false" customHeight="false" outlineLevel="0" collapsed="false">
      <c r="A60433" s="0" t="s">
        <v>20789</v>
      </c>
      <c r="B60433" s="0" t="str">
        <f aca="false">HYPERLINK("https://lindat.mff.cuni.cz/services/teitok/pdtc10/index.php?action=vallex&amp;frame=v-w8505f2", "vytvářet (v-w8505f2)")</f>
        <v>vytvářet (v-w8505f2)</v>
      </c>
    </row>
    <row r="60434" customFormat="false" ht="12.8" hidden="false" customHeight="false" outlineLevel="0" collapsed="false">
      <c r="B60434" s="0" t="s">
        <v>7</v>
      </c>
      <c r="C60434" s="0" t="s">
        <v>20790</v>
      </c>
      <c r="D60434" s="0" t="s">
        <v>20791</v>
      </c>
      <c r="E60434" s="0" t="s">
        <v>20791</v>
      </c>
      <c r="F60434" s="0" t="s">
        <v>20791</v>
      </c>
    </row>
    <row r="60435" customFormat="false" ht="12.8" hidden="false" customHeight="false" outlineLevel="0" collapsed="false">
      <c r="B60435" s="0" t="s">
        <v>14</v>
      </c>
      <c r="C60435" s="0" t="s">
        <v>20792</v>
      </c>
      <c r="D60435" s="0" t="s">
        <v>20793</v>
      </c>
      <c r="E60435" s="0" t="s">
        <v>20793</v>
      </c>
      <c r="F60435" s="0" t="s">
        <v>20793</v>
      </c>
    </row>
    <row r="60436" customFormat="false" ht="12.8" hidden="false" customHeight="false" outlineLevel="0" collapsed="false">
      <c r="B60436" s="0" t="s">
        <v>1953</v>
      </c>
      <c r="C60436" s="0" t="s">
        <v>20794</v>
      </c>
    </row>
    <row r="60437" customFormat="false" ht="12.8" hidden="false" customHeight="false" outlineLevel="0" collapsed="false">
      <c r="B60437" s="0" t="s">
        <v>35</v>
      </c>
      <c r="C60437" s="0" t="s">
        <v>20795</v>
      </c>
      <c r="D60437" s="0" t="s">
        <v>5460</v>
      </c>
      <c r="E60437" s="0" t="s">
        <v>5460</v>
      </c>
      <c r="F60437" s="0" t="s">
        <v>5460</v>
      </c>
    </row>
    <row r="60439" customFormat="false" ht="12.8" hidden="false" customHeight="false" outlineLevel="0" collapsed="false">
      <c r="A60439" s="0" t="s">
        <v>20796</v>
      </c>
      <c r="B60439" s="0" t="str">
        <f aca="false">HYPERLINK("https://lindat.mff.cuni.cz/services/teitok/pdtc10/index.php?action=vallex&amp;frame=v-w8505f3", "vytvářet (v-w8505f3)")</f>
        <v>vytvářet (v-w8505f3)</v>
      </c>
    </row>
    <row r="60440" customFormat="false" ht="12.8" hidden="false" customHeight="false" outlineLevel="0" collapsed="false">
      <c r="B60440" s="0" t="s">
        <v>7</v>
      </c>
      <c r="C60440" s="0" t="s">
        <v>20797</v>
      </c>
      <c r="D60440" s="0" t="s">
        <v>19241</v>
      </c>
      <c r="E60440" s="0" t="s">
        <v>19241</v>
      </c>
      <c r="F60440" s="0" t="s">
        <v>19241</v>
      </c>
    </row>
    <row r="60441" customFormat="false" ht="12.8" hidden="false" customHeight="false" outlineLevel="0" collapsed="false">
      <c r="B60441" s="0" t="s">
        <v>14</v>
      </c>
      <c r="C60441" s="0" t="s">
        <v>20798</v>
      </c>
      <c r="D60441" s="0" t="s">
        <v>19243</v>
      </c>
      <c r="E60441" s="0" t="s">
        <v>19243</v>
      </c>
      <c r="F60441" s="0" t="s">
        <v>19243</v>
      </c>
    </row>
    <row r="60442" customFormat="false" ht="12.8" hidden="false" customHeight="false" outlineLevel="0" collapsed="false">
      <c r="B60442" s="0" t="s">
        <v>35</v>
      </c>
      <c r="C60442" s="0" t="s">
        <v>11659</v>
      </c>
      <c r="D60442" s="0" t="s">
        <v>19244</v>
      </c>
      <c r="E60442" s="0" t="s">
        <v>19244</v>
      </c>
      <c r="F60442" s="0" t="s">
        <v>19244</v>
      </c>
    </row>
    <row r="60444" customFormat="false" ht="12.8" hidden="false" customHeight="false" outlineLevel="0" collapsed="false">
      <c r="A60444" s="0" t="s">
        <v>20799</v>
      </c>
      <c r="B60444" s="0" t="str">
        <f aca="false">HYPERLINK("https://lindat.mff.cuni.cz/services/teitok/pdtc10/index.php?action=vallex&amp;frame=v-w8505f1", "vytvářet (v-w8505f1)")</f>
        <v>vytvářet (v-w8505f1)</v>
      </c>
    </row>
    <row r="60445" customFormat="false" ht="12.8" hidden="false" customHeight="false" outlineLevel="0" collapsed="false">
      <c r="B60445" s="0" t="s">
        <v>7</v>
      </c>
      <c r="C60445" s="0" t="s">
        <v>20800</v>
      </c>
    </row>
    <row r="60446" customFormat="false" ht="12.8" hidden="false" customHeight="false" outlineLevel="0" collapsed="false">
      <c r="B60446" s="0" t="s">
        <v>14</v>
      </c>
      <c r="C60446" s="0" t="s">
        <v>20801</v>
      </c>
    </row>
    <row r="60448" customFormat="false" ht="12.8" hidden="false" customHeight="false" outlineLevel="0" collapsed="false">
      <c r="A60448" s="0" t="s">
        <v>20802</v>
      </c>
      <c r="B60448" s="0" t="str">
        <f aca="false">HYPERLINK("https://lindat.mff.cuni.cz/services/teitok/pdtc10/index.php?action=vallex&amp;frame=v-w8505f4", "vytvářet (v-w8505f4)")</f>
        <v>vytvářet (v-w8505f4)</v>
      </c>
    </row>
    <row r="60449" customFormat="false" ht="12.8" hidden="false" customHeight="false" outlineLevel="0" collapsed="false">
      <c r="B60449" s="0" t="s">
        <v>7</v>
      </c>
    </row>
    <row r="60450" customFormat="false" ht="12.8" hidden="false" customHeight="false" outlineLevel="0" collapsed="false">
      <c r="B60450" s="0" t="s">
        <v>679</v>
      </c>
    </row>
    <row r="60452" customFormat="false" ht="12.8" hidden="false" customHeight="false" outlineLevel="0" collapsed="false">
      <c r="A60452" s="0" t="s">
        <v>20803</v>
      </c>
      <c r="B60452" s="0" t="str">
        <f aca="false">HYPERLINK("https://lindat.mff.cuni.cz/services/teitok/pdtc10/index.php?action=vallex&amp;frame=v-w8506f1", "vytvářet se (v-w8506f1)")</f>
        <v>vytvářet se (v-w8506f1)</v>
      </c>
    </row>
    <row r="60453" customFormat="false" ht="12.8" hidden="false" customHeight="false" outlineLevel="0" collapsed="false">
      <c r="B60453" s="0" t="s">
        <v>7</v>
      </c>
      <c r="C60453" s="0" t="s">
        <v>20804</v>
      </c>
    </row>
    <row r="60454" customFormat="false" ht="12.8" hidden="false" customHeight="false" outlineLevel="0" collapsed="false">
      <c r="B60454" s="0" t="s">
        <v>581</v>
      </c>
      <c r="C60454" s="0" t="s">
        <v>1544</v>
      </c>
    </row>
    <row r="60456" customFormat="false" ht="12.8" hidden="false" customHeight="false" outlineLevel="0" collapsed="false">
      <c r="A60456" s="0" t="s">
        <v>20805</v>
      </c>
      <c r="B60456" s="0" t="str">
        <f aca="false">HYPERLINK("https://lindat.mff.cuni.cz/services/teitok/pdtc10/index.php?action=vallex&amp;frame=v-whsa_1291hsa_1292", "vytypovat (v-whsa_1291hsa_1292)")</f>
        <v>vytypovat (v-whsa_1291hsa_1292)</v>
      </c>
    </row>
    <row r="60457" customFormat="false" ht="12.8" hidden="false" customHeight="false" outlineLevel="0" collapsed="false">
      <c r="B60457" s="0" t="s">
        <v>7</v>
      </c>
    </row>
    <row r="60458" customFormat="false" ht="12.8" hidden="false" customHeight="false" outlineLevel="0" collapsed="false">
      <c r="B60458" s="0" t="s">
        <v>14</v>
      </c>
    </row>
    <row r="60460" customFormat="false" ht="12.8" hidden="false" customHeight="false" outlineLevel="0" collapsed="false">
      <c r="A60460" s="0" t="s">
        <v>20806</v>
      </c>
      <c r="B60460" s="0" t="str">
        <f aca="false">HYPERLINK("https://lindat.mff.cuni.cz/services/teitok/pdtc10/index.php?action=vallex&amp;frame=v-w8513f1", "vytyčit (v-w8513f1)")</f>
        <v>vytyčit (v-w8513f1)</v>
      </c>
    </row>
    <row r="60461" customFormat="false" ht="12.8" hidden="false" customHeight="false" outlineLevel="0" collapsed="false">
      <c r="B60461" s="0" t="s">
        <v>7</v>
      </c>
      <c r="C60461" s="0" t="s">
        <v>3844</v>
      </c>
      <c r="D60461" s="0" t="s">
        <v>2998</v>
      </c>
      <c r="E60461" s="0" t="s">
        <v>2998</v>
      </c>
      <c r="F60461" s="0" t="s">
        <v>2998</v>
      </c>
    </row>
    <row r="60462" customFormat="false" ht="12.8" hidden="false" customHeight="false" outlineLevel="0" collapsed="false">
      <c r="B60462" s="0" t="s">
        <v>172</v>
      </c>
      <c r="C60462" s="0" t="s">
        <v>1168</v>
      </c>
      <c r="D60462" s="0" t="s">
        <v>3001</v>
      </c>
      <c r="E60462" s="0" t="s">
        <v>3001</v>
      </c>
      <c r="F60462" s="0" t="s">
        <v>3001</v>
      </c>
    </row>
    <row r="60463" customFormat="false" ht="12.8" hidden="false" customHeight="false" outlineLevel="0" collapsed="false">
      <c r="B60463" s="0" t="s">
        <v>106</v>
      </c>
    </row>
    <row r="60464" customFormat="false" ht="12.8" hidden="false" customHeight="false" outlineLevel="0" collapsed="false">
      <c r="B60464" s="0" t="s">
        <v>98</v>
      </c>
    </row>
    <row r="60466" customFormat="false" ht="12.8" hidden="false" customHeight="false" outlineLevel="0" collapsed="false">
      <c r="A60466" s="0" t="s">
        <v>20807</v>
      </c>
      <c r="B60466" s="0" t="str">
        <f aca="false">HYPERLINK("https://lindat.mff.cuni.cz/services/teitok/pdtc10/index.php?action=vallex&amp;frame=v-w8516f1", "vytyčovat (v-w8516f1)")</f>
        <v>vytyčovat (v-w8516f1)</v>
      </c>
    </row>
    <row r="60467" customFormat="false" ht="12.8" hidden="false" customHeight="false" outlineLevel="0" collapsed="false">
      <c r="B60467" s="0" t="s">
        <v>7</v>
      </c>
      <c r="C60467" s="0" t="s">
        <v>46</v>
      </c>
      <c r="D60467" s="0" t="s">
        <v>2998</v>
      </c>
      <c r="E60467" s="0" t="s">
        <v>2998</v>
      </c>
      <c r="F60467" s="0" t="s">
        <v>2998</v>
      </c>
    </row>
    <row r="60468" customFormat="false" ht="12.8" hidden="false" customHeight="false" outlineLevel="0" collapsed="false">
      <c r="B60468" s="0" t="s">
        <v>172</v>
      </c>
      <c r="C60468" s="0" t="s">
        <v>384</v>
      </c>
      <c r="D60468" s="0" t="s">
        <v>3001</v>
      </c>
      <c r="E60468" s="0" t="s">
        <v>3001</v>
      </c>
      <c r="F60468" s="0" t="s">
        <v>3001</v>
      </c>
    </row>
    <row r="60470" customFormat="false" ht="12.8" hidden="false" customHeight="false" outlineLevel="0" collapsed="false">
      <c r="A60470" s="0" t="s">
        <v>20808</v>
      </c>
      <c r="B60470" s="0" t="str">
        <f aca="false">HYPERLINK("https://lindat.mff.cuni.cz/services/teitok/pdtc10/index.php?action=vallex&amp;frame=v-w8456f1", "vytáhnout (v-w8456f1)")</f>
        <v>vytáhnout (v-w8456f1)</v>
      </c>
    </row>
    <row r="60471" customFormat="false" ht="12.8" hidden="false" customHeight="false" outlineLevel="0" collapsed="false">
      <c r="B60471" s="0" t="s">
        <v>7</v>
      </c>
      <c r="C60471" s="0" t="s">
        <v>20809</v>
      </c>
      <c r="D60471" s="0" t="s">
        <v>8058</v>
      </c>
      <c r="E60471" s="0" t="s">
        <v>8058</v>
      </c>
      <c r="F60471" s="0" t="s">
        <v>8058</v>
      </c>
    </row>
    <row r="60472" customFormat="false" ht="12.8" hidden="false" customHeight="false" outlineLevel="0" collapsed="false">
      <c r="B60472" s="0" t="s">
        <v>14</v>
      </c>
      <c r="C60472" s="0" t="s">
        <v>20810</v>
      </c>
      <c r="D60472" s="0" t="s">
        <v>6843</v>
      </c>
      <c r="E60472" s="0" t="s">
        <v>1625</v>
      </c>
      <c r="F60472" s="0" t="s">
        <v>1625</v>
      </c>
    </row>
    <row r="60473" customFormat="false" ht="12.8" hidden="false" customHeight="false" outlineLevel="0" collapsed="false">
      <c r="B60473" s="0" t="s">
        <v>459</v>
      </c>
      <c r="C60473" s="0" t="s">
        <v>20811</v>
      </c>
      <c r="D60473" s="0" t="s">
        <v>8062</v>
      </c>
      <c r="E60473" s="0" t="s">
        <v>8062</v>
      </c>
      <c r="F60473" s="0" t="s">
        <v>8062</v>
      </c>
    </row>
    <row r="60475" customFormat="false" ht="12.8" hidden="false" customHeight="false" outlineLevel="0" collapsed="false">
      <c r="A60475" s="0" t="s">
        <v>20812</v>
      </c>
      <c r="B60475" s="0" t="str">
        <f aca="false">HYPERLINK("https://lindat.mff.cuni.cz/services/teitok/pdtc10/index.php?action=vallex&amp;frame=v-w8456f4_ZU", "vytáhnout (v-w8456f4_ZU)")</f>
        <v>vytáhnout (v-w8456f4_ZU)</v>
      </c>
    </row>
    <row r="60476" customFormat="false" ht="12.8" hidden="false" customHeight="false" outlineLevel="0" collapsed="false">
      <c r="B60476" s="0" t="s">
        <v>7</v>
      </c>
    </row>
    <row r="60477" customFormat="false" ht="12.8" hidden="false" customHeight="false" outlineLevel="0" collapsed="false">
      <c r="B60477" s="0" t="s">
        <v>14</v>
      </c>
    </row>
    <row r="60478" customFormat="false" ht="12.8" hidden="false" customHeight="false" outlineLevel="0" collapsed="false">
      <c r="B60478" s="0" t="s">
        <v>5382</v>
      </c>
    </row>
    <row r="60480" customFormat="false" ht="12.8" hidden="false" customHeight="false" outlineLevel="0" collapsed="false">
      <c r="A60480" s="0" t="s">
        <v>20813</v>
      </c>
      <c r="B60480" s="0" t="str">
        <f aca="false">HYPERLINK("https://lindat.mff.cuni.cz/services/teitok/pdtc10/index.php?action=vallex&amp;frame=v-w8456f3_ZU", "vytáhnout (v-w8456f3_ZU)")</f>
        <v>vytáhnout (v-w8456f3_ZU)</v>
      </c>
    </row>
    <row r="60481" customFormat="false" ht="12.8" hidden="false" customHeight="false" outlineLevel="0" collapsed="false">
      <c r="B60481" s="0" t="s">
        <v>7</v>
      </c>
    </row>
    <row r="60482" customFormat="false" ht="12.8" hidden="false" customHeight="false" outlineLevel="0" collapsed="false">
      <c r="B60482" s="0" t="s">
        <v>35</v>
      </c>
    </row>
    <row r="60483" customFormat="false" ht="12.8" hidden="false" customHeight="false" outlineLevel="0" collapsed="false">
      <c r="B60483" s="0" t="s">
        <v>84</v>
      </c>
    </row>
    <row r="60485" customFormat="false" ht="12.8" hidden="false" customHeight="false" outlineLevel="0" collapsed="false">
      <c r="A60485" s="0" t="s">
        <v>20814</v>
      </c>
      <c r="B60485" s="0" t="str">
        <f aca="false">HYPERLINK("https://lindat.mff.cuni.cz/services/teitok/pdtc10/index.php?action=vallex&amp;frame=v-w8456f2", "vytáhnout (v-w8456f2)")</f>
        <v>vytáhnout (v-w8456f2)</v>
      </c>
    </row>
    <row r="60486" customFormat="false" ht="12.8" hidden="false" customHeight="false" outlineLevel="0" collapsed="false">
      <c r="B60486" s="0" t="s">
        <v>7</v>
      </c>
    </row>
    <row r="60487" customFormat="false" ht="12.8" hidden="false" customHeight="false" outlineLevel="0" collapsed="false">
      <c r="B60487" s="0" t="s">
        <v>124</v>
      </c>
    </row>
    <row r="60489" customFormat="false" ht="12.8" hidden="false" customHeight="false" outlineLevel="0" collapsed="false">
      <c r="A60489" s="0" t="s">
        <v>20815</v>
      </c>
      <c r="B60489" s="0" t="str">
        <f aca="false">HYPERLINK("https://lindat.mff.cuni.cz/services/teitok/pdtc10/index.php?action=vallex&amp;frame=v-w8456hsa_1242", "vytáhnout (v-w8456hsa_1242)")</f>
        <v>vytáhnout (v-w8456hsa_1242)</v>
      </c>
    </row>
    <row r="60490" customFormat="false" ht="12.8" hidden="false" customHeight="false" outlineLevel="0" collapsed="false">
      <c r="B60490" s="0" t="s">
        <v>7</v>
      </c>
      <c r="C60490" s="0" t="s">
        <v>623</v>
      </c>
      <c r="D60490" s="0" t="s">
        <v>46</v>
      </c>
      <c r="E60490" s="0" t="s">
        <v>46</v>
      </c>
      <c r="F60490" s="0" t="s">
        <v>46</v>
      </c>
    </row>
    <row r="60491" customFormat="false" ht="12.8" hidden="false" customHeight="false" outlineLevel="0" collapsed="false">
      <c r="B60491" s="0" t="s">
        <v>14</v>
      </c>
      <c r="C60491" s="0" t="s">
        <v>625</v>
      </c>
      <c r="D60491" s="0" t="s">
        <v>3615</v>
      </c>
      <c r="E60491" s="0" t="s">
        <v>3615</v>
      </c>
      <c r="F60491" s="0" t="s">
        <v>3615</v>
      </c>
    </row>
    <row r="60492" customFormat="false" ht="12.8" hidden="false" customHeight="false" outlineLevel="0" collapsed="false">
      <c r="B60492" s="0" t="s">
        <v>459</v>
      </c>
    </row>
    <row r="60494" customFormat="false" ht="12.8" hidden="false" customHeight="false" outlineLevel="0" collapsed="false">
      <c r="A60494" s="0" t="s">
        <v>20816</v>
      </c>
      <c r="B60494" s="0" t="str">
        <f aca="false">HYPERLINK("https://lindat.mff.cuni.cz/services/teitok/pdtc10/index.php?action=vallex&amp;frame=v-w8456f5_ZU", "vytáhnout (v-w8456f5_ZU)")</f>
        <v>vytáhnout (v-w8456f5_ZU)</v>
      </c>
    </row>
    <row r="60495" customFormat="false" ht="12.8" hidden="false" customHeight="false" outlineLevel="0" collapsed="false">
      <c r="B60495" s="0" t="s">
        <v>7</v>
      </c>
    </row>
    <row r="60496" customFormat="false" ht="12.8" hidden="false" customHeight="false" outlineLevel="0" collapsed="false">
      <c r="B60496" s="0" t="s">
        <v>14</v>
      </c>
    </row>
    <row r="60497" customFormat="false" ht="12.8" hidden="false" customHeight="false" outlineLevel="0" collapsed="false">
      <c r="B60497" s="0" t="s">
        <v>124</v>
      </c>
    </row>
    <row r="60499" customFormat="false" ht="12.8" hidden="false" customHeight="false" outlineLevel="0" collapsed="false">
      <c r="A60499" s="0" t="s">
        <v>20816</v>
      </c>
      <c r="B60499" s="0" t="str">
        <f aca="false">HYPERLINK("https://lindat.mff.cuni.cz/services/teitok/pdtc10/index.php?action=vallex&amp;frame=v-w8456hsa_1058", "vytáhnout (v-w8456hsa_1058) - substituted with v-w8456f5_ZU")</f>
        <v>vytáhnout (v-w8456hsa_1058) - substituted with v-w8456f5_ZU</v>
      </c>
    </row>
    <row r="60500" customFormat="false" ht="12.8" hidden="false" customHeight="false" outlineLevel="0" collapsed="false">
      <c r="B60500" s="0" t="s">
        <v>7</v>
      </c>
    </row>
    <row r="60501" customFormat="false" ht="12.8" hidden="false" customHeight="false" outlineLevel="0" collapsed="false">
      <c r="B60501" s="0" t="s">
        <v>14</v>
      </c>
    </row>
    <row r="60502" customFormat="false" ht="12.8" hidden="false" customHeight="false" outlineLevel="0" collapsed="false">
      <c r="B60502" s="0" t="s">
        <v>124</v>
      </c>
    </row>
    <row r="60504" customFormat="false" ht="12.8" hidden="false" customHeight="false" outlineLevel="0" collapsed="false">
      <c r="A60504" s="0" t="s">
        <v>20817</v>
      </c>
      <c r="B60504" s="0" t="str">
        <f aca="false">HYPERLINK("https://lindat.mff.cuni.cz/services/teitok/pdtc10/index.php?action=vallex&amp;frame=v-w8456f8_ZU", "vytáhnout (v-w8456f8_ZU)")</f>
        <v>vytáhnout (v-w8456f8_ZU)</v>
      </c>
    </row>
    <row r="60505" customFormat="false" ht="12.8" hidden="false" customHeight="false" outlineLevel="0" collapsed="false">
      <c r="B60505" s="0" t="s">
        <v>7</v>
      </c>
    </row>
    <row r="60506" customFormat="false" ht="12.8" hidden="false" customHeight="false" outlineLevel="0" collapsed="false">
      <c r="B60506" s="0" t="s">
        <v>232</v>
      </c>
    </row>
    <row r="60507" customFormat="false" ht="12.8" hidden="false" customHeight="false" outlineLevel="0" collapsed="false">
      <c r="B60507" s="0" t="s">
        <v>20818</v>
      </c>
    </row>
    <row r="60509" customFormat="false" ht="12.8" hidden="false" customHeight="false" outlineLevel="0" collapsed="false">
      <c r="A60509" s="0" t="s">
        <v>20817</v>
      </c>
      <c r="B60509" s="0" t="str">
        <f aca="false">HYPERLINK("https://lindat.mff.cuni.cz/services/teitok/pdtc10/index.php?action=vallex&amp;frame=v-w8456f7_ZU", "vytáhnout (v-w8456f7_ZU) - substituted with v-w8456f8_ZU")</f>
        <v>vytáhnout (v-w8456f7_ZU) - substituted with v-w8456f8_ZU</v>
      </c>
    </row>
    <row r="60510" customFormat="false" ht="12.8" hidden="false" customHeight="false" outlineLevel="0" collapsed="false">
      <c r="B60510" s="0" t="s">
        <v>7</v>
      </c>
    </row>
    <row r="60511" customFormat="false" ht="12.8" hidden="false" customHeight="false" outlineLevel="0" collapsed="false">
      <c r="B60511" s="0" t="s">
        <v>232</v>
      </c>
    </row>
    <row r="60512" customFormat="false" ht="12.8" hidden="false" customHeight="false" outlineLevel="0" collapsed="false">
      <c r="B60512" s="0" t="s">
        <v>20818</v>
      </c>
    </row>
    <row r="60514" customFormat="false" ht="12.8" hidden="false" customHeight="false" outlineLevel="0" collapsed="false">
      <c r="A60514" s="0" t="s">
        <v>20817</v>
      </c>
      <c r="B60514" s="0" t="str">
        <f aca="false">HYPERLINK("https://lindat.mff.cuni.cz/services/teitok/pdtc10/index.php?action=vallex&amp;frame=v-w8456hsa_1059", "vytáhnout (v-w8456hsa_1059) - substituted with v-w8456f8_ZU")</f>
        <v>vytáhnout (v-w8456hsa_1059) - substituted with v-w8456f8_ZU</v>
      </c>
    </row>
    <row r="60515" customFormat="false" ht="12.8" hidden="false" customHeight="false" outlineLevel="0" collapsed="false">
      <c r="B60515" s="0" t="s">
        <v>7</v>
      </c>
    </row>
    <row r="60516" customFormat="false" ht="12.8" hidden="false" customHeight="false" outlineLevel="0" collapsed="false">
      <c r="B60516" s="0" t="s">
        <v>232</v>
      </c>
    </row>
    <row r="60517" customFormat="false" ht="12.8" hidden="false" customHeight="false" outlineLevel="0" collapsed="false">
      <c r="B60517" s="0" t="s">
        <v>20818</v>
      </c>
    </row>
    <row r="60519" customFormat="false" ht="12.8" hidden="false" customHeight="false" outlineLevel="0" collapsed="false">
      <c r="A60519" s="0" t="s">
        <v>20819</v>
      </c>
      <c r="B60519" s="0" t="str">
        <f aca="false">HYPERLINK("https://lindat.mff.cuni.cz/services/teitok/pdtc10/index.php?action=vallex&amp;frame=v-w8456f9_ZU", "vytáhnout (v-w8456f9_ZU)")</f>
        <v>vytáhnout (v-w8456f9_ZU)</v>
      </c>
    </row>
    <row r="60520" customFormat="false" ht="12.8" hidden="false" customHeight="false" outlineLevel="0" collapsed="false">
      <c r="B60520" s="0" t="s">
        <v>7</v>
      </c>
    </row>
    <row r="60521" customFormat="false" ht="12.8" hidden="false" customHeight="false" outlineLevel="0" collapsed="false">
      <c r="B60521" s="0" t="s">
        <v>14</v>
      </c>
    </row>
    <row r="60522" customFormat="false" ht="12.8" hidden="false" customHeight="false" outlineLevel="0" collapsed="false">
      <c r="B60522" s="0" t="s">
        <v>124</v>
      </c>
    </row>
    <row r="60524" customFormat="false" ht="12.8" hidden="false" customHeight="false" outlineLevel="0" collapsed="false">
      <c r="A60524" s="0" t="s">
        <v>20819</v>
      </c>
      <c r="B60524" s="0" t="str">
        <f aca="false">HYPERLINK("https://lindat.mff.cuni.cz/services/teitok/pdtc10/index.php?action=vallex&amp;frame=v-w8456f6_ZU", "vytáhnout (v-w8456f6_ZU) - substituted with v-w8456f9_ZU")</f>
        <v>vytáhnout (v-w8456f6_ZU) - substituted with v-w8456f9_ZU</v>
      </c>
    </row>
    <row r="60525" customFormat="false" ht="12.8" hidden="false" customHeight="false" outlineLevel="0" collapsed="false">
      <c r="B60525" s="0" t="s">
        <v>7</v>
      </c>
    </row>
    <row r="60526" customFormat="false" ht="12.8" hidden="false" customHeight="false" outlineLevel="0" collapsed="false">
      <c r="B60526" s="0" t="s">
        <v>14</v>
      </c>
    </row>
    <row r="60527" customFormat="false" ht="12.8" hidden="false" customHeight="false" outlineLevel="0" collapsed="false">
      <c r="B60527" s="0" t="s">
        <v>124</v>
      </c>
    </row>
    <row r="60529" customFormat="false" ht="12.8" hidden="false" customHeight="false" outlineLevel="0" collapsed="false">
      <c r="A60529" s="0" t="s">
        <v>20819</v>
      </c>
      <c r="B60529" s="0" t="str">
        <f aca="false">HYPERLINK("https://lindat.mff.cuni.cz/services/teitok/pdtc10/index.php?action=vallex&amp;frame=v-w8456hsa_1057", "vytáhnout (v-w8456hsa_1057) - substituted with v-w8456f9_ZU")</f>
        <v>vytáhnout (v-w8456hsa_1057) - substituted with v-w8456f9_ZU</v>
      </c>
    </row>
    <row r="60530" customFormat="false" ht="12.8" hidden="false" customHeight="false" outlineLevel="0" collapsed="false">
      <c r="B60530" s="0" t="s">
        <v>7</v>
      </c>
    </row>
    <row r="60531" customFormat="false" ht="12.8" hidden="false" customHeight="false" outlineLevel="0" collapsed="false">
      <c r="B60531" s="0" t="s">
        <v>14</v>
      </c>
    </row>
    <row r="60532" customFormat="false" ht="12.8" hidden="false" customHeight="false" outlineLevel="0" collapsed="false">
      <c r="B60532" s="0" t="s">
        <v>124</v>
      </c>
    </row>
    <row r="60534" customFormat="false" ht="12.8" hidden="false" customHeight="false" outlineLevel="0" collapsed="false">
      <c r="A60534" s="0" t="s">
        <v>20820</v>
      </c>
      <c r="B60534" s="0" t="str">
        <f aca="false">HYPERLINK("https://lindat.mff.cuni.cz/services/teitok/pdtc10/index.php?action=vallex&amp;frame=v-w8456hsa_1060", "vytáhnout (v-w8456hsa_1060)")</f>
        <v>vytáhnout (v-w8456hsa_1060)</v>
      </c>
    </row>
    <row r="60535" customFormat="false" ht="12.8" hidden="false" customHeight="false" outlineLevel="0" collapsed="false">
      <c r="B60535" s="0" t="s">
        <v>7</v>
      </c>
    </row>
    <row r="60536" customFormat="false" ht="12.8" hidden="false" customHeight="false" outlineLevel="0" collapsed="false">
      <c r="B60536" s="0" t="s">
        <v>14</v>
      </c>
    </row>
    <row r="60537" customFormat="false" ht="12.8" hidden="false" customHeight="false" outlineLevel="0" collapsed="false">
      <c r="B60537" s="0" t="s">
        <v>122</v>
      </c>
    </row>
    <row r="60539" customFormat="false" ht="12.8" hidden="false" customHeight="false" outlineLevel="0" collapsed="false">
      <c r="A60539" s="0" t="s">
        <v>20821</v>
      </c>
      <c r="B60539" s="0" t="str">
        <f aca="false">HYPERLINK("https://lindat.mff.cuni.cz/services/teitok/pdtc10/index.php?action=vallex&amp;frame=v-w8456hsa_1243", "vytáhnout (v-w8456hsa_1243)")</f>
        <v>vytáhnout (v-w8456hsa_1243)</v>
      </c>
    </row>
    <row r="60540" customFormat="false" ht="12.8" hidden="false" customHeight="false" outlineLevel="0" collapsed="false">
      <c r="B60540" s="0" t="s">
        <v>7</v>
      </c>
      <c r="C60540" s="0" t="s">
        <v>184</v>
      </c>
      <c r="D60540" s="0" t="s">
        <v>6436</v>
      </c>
      <c r="E60540" s="0" t="s">
        <v>6436</v>
      </c>
      <c r="F60540" s="0" t="s">
        <v>6436</v>
      </c>
    </row>
    <row r="60541" customFormat="false" ht="12.8" hidden="false" customHeight="false" outlineLevel="0" collapsed="false">
      <c r="B60541" s="0" t="s">
        <v>14</v>
      </c>
      <c r="C60541" s="0" t="s">
        <v>567</v>
      </c>
      <c r="D60541" s="0" t="s">
        <v>6437</v>
      </c>
      <c r="E60541" s="0" t="s">
        <v>6437</v>
      </c>
      <c r="F60541" s="0" t="s">
        <v>6437</v>
      </c>
    </row>
    <row r="60542" customFormat="false" ht="12.8" hidden="false" customHeight="false" outlineLevel="0" collapsed="false">
      <c r="B60542" s="0" t="s">
        <v>35</v>
      </c>
      <c r="D60542" s="0" t="s">
        <v>6438</v>
      </c>
      <c r="E60542" s="0" t="s">
        <v>6438</v>
      </c>
      <c r="F60542" s="0" t="s">
        <v>6438</v>
      </c>
    </row>
    <row r="60543" customFormat="false" ht="12.8" hidden="false" customHeight="false" outlineLevel="0" collapsed="false">
      <c r="B60543" s="0" t="s">
        <v>84</v>
      </c>
      <c r="D60543" s="0" t="s">
        <v>6440</v>
      </c>
      <c r="E60543" s="0" t="s">
        <v>6440</v>
      </c>
      <c r="F60543" s="0" t="s">
        <v>6440</v>
      </c>
    </row>
    <row r="60545" customFormat="false" ht="12.8" hidden="false" customHeight="false" outlineLevel="0" collapsed="false">
      <c r="A60545" s="0" t="s">
        <v>20822</v>
      </c>
      <c r="B60545" s="0" t="str">
        <f aca="false">HYPERLINK("https://lindat.mff.cuni.cz/services/teitok/pdtc10/index.php?action=vallex&amp;frame=v-w8457f1", "vytáhnout se (v-w8457f1)")</f>
        <v>vytáhnout se (v-w8457f1)</v>
      </c>
    </row>
    <row r="60546" customFormat="false" ht="12.8" hidden="false" customHeight="false" outlineLevel="0" collapsed="false">
      <c r="B60546" s="0" t="s">
        <v>7</v>
      </c>
    </row>
    <row r="60547" customFormat="false" ht="12.8" hidden="false" customHeight="false" outlineLevel="0" collapsed="false">
      <c r="B60547" s="0" t="s">
        <v>292</v>
      </c>
    </row>
    <row r="60548" customFormat="false" ht="12.8" hidden="false" customHeight="false" outlineLevel="0" collapsed="false">
      <c r="B60548" s="0" t="s">
        <v>3935</v>
      </c>
    </row>
    <row r="60550" customFormat="false" ht="12.8" hidden="false" customHeight="false" outlineLevel="0" collapsed="false">
      <c r="A60550" s="0" t="s">
        <v>20823</v>
      </c>
      <c r="B60550" s="0" t="str">
        <f aca="false">HYPERLINK("https://lindat.mff.cuni.cz/services/teitok/pdtc10/index.php?action=vallex&amp;frame=v-w8461f1", "vytápět (v-w8461f1)")</f>
        <v>vytápět (v-w8461f1)</v>
      </c>
    </row>
    <row r="60551" customFormat="false" ht="12.8" hidden="false" customHeight="false" outlineLevel="0" collapsed="false">
      <c r="B60551" s="0" t="s">
        <v>7</v>
      </c>
    </row>
    <row r="60552" customFormat="false" ht="12.8" hidden="false" customHeight="false" outlineLevel="0" collapsed="false">
      <c r="B60552" s="0" t="s">
        <v>14</v>
      </c>
      <c r="C60552" s="0" t="s">
        <v>7506</v>
      </c>
    </row>
    <row r="60554" customFormat="false" ht="12.8" hidden="false" customHeight="false" outlineLevel="0" collapsed="false">
      <c r="A60554" s="0" t="s">
        <v>20824</v>
      </c>
      <c r="B60554" s="0" t="str">
        <f aca="false">HYPERLINK("https://lindat.mff.cuni.cz/services/teitok/pdtc10/index.php?action=vallex&amp;frame=v-w8454f1", "vytáčet (v-w8454f1)")</f>
        <v>vytáčet (v-w8454f1)</v>
      </c>
    </row>
    <row r="60555" customFormat="false" ht="12.8" hidden="false" customHeight="false" outlineLevel="0" collapsed="false">
      <c r="B60555" s="0" t="s">
        <v>7</v>
      </c>
      <c r="D60555" s="0" t="s">
        <v>14671</v>
      </c>
      <c r="E60555" s="0" t="s">
        <v>10458</v>
      </c>
      <c r="F60555" s="0" t="s">
        <v>10458</v>
      </c>
    </row>
    <row r="60556" customFormat="false" ht="12.8" hidden="false" customHeight="false" outlineLevel="0" collapsed="false">
      <c r="B60556" s="0" t="s">
        <v>14</v>
      </c>
      <c r="D60556" s="0" t="s">
        <v>10088</v>
      </c>
      <c r="E60556" s="0" t="s">
        <v>2584</v>
      </c>
      <c r="F60556" s="0" t="s">
        <v>2584</v>
      </c>
    </row>
    <row r="60558" customFormat="false" ht="12.8" hidden="false" customHeight="false" outlineLevel="0" collapsed="false">
      <c r="A60558" s="0" t="s">
        <v>20825</v>
      </c>
      <c r="B60558" s="0" t="str">
        <f aca="false">HYPERLINK("https://lindat.mff.cuni.cz/services/teitok/pdtc10/index.php?action=vallex&amp;frame=v-w8454f2", "vytáčet (v-w8454f2)")</f>
        <v>vytáčet (v-w8454f2)</v>
      </c>
    </row>
    <row r="60559" customFormat="false" ht="12.8" hidden="false" customHeight="false" outlineLevel="0" collapsed="false">
      <c r="B60559" s="0" t="s">
        <v>7</v>
      </c>
    </row>
    <row r="60560" customFormat="false" ht="12.8" hidden="false" customHeight="false" outlineLevel="0" collapsed="false">
      <c r="B60560" s="0" t="s">
        <v>14</v>
      </c>
    </row>
    <row r="60562" customFormat="false" ht="12.8" hidden="false" customHeight="false" outlineLevel="0" collapsed="false">
      <c r="A60562" s="0" t="s">
        <v>20826</v>
      </c>
      <c r="B60562" s="0" t="str">
        <f aca="false">HYPERLINK("https://lindat.mff.cuni.cz/services/teitok/pdtc10/index.php?action=vallex&amp;frame=v-w8454f3_ZU", "vytáčet (v-w8454f3_ZU)")</f>
        <v>vytáčet (v-w8454f3_ZU)</v>
      </c>
    </row>
    <row r="60563" customFormat="false" ht="12.8" hidden="false" customHeight="false" outlineLevel="0" collapsed="false">
      <c r="B60563" s="0" t="s">
        <v>7</v>
      </c>
    </row>
    <row r="60564" customFormat="false" ht="12.8" hidden="false" customHeight="false" outlineLevel="0" collapsed="false">
      <c r="B60564" s="0" t="s">
        <v>14</v>
      </c>
    </row>
    <row r="60566" customFormat="false" ht="12.8" hidden="false" customHeight="false" outlineLevel="0" collapsed="false">
      <c r="A60566" s="0" t="s">
        <v>20827</v>
      </c>
      <c r="B60566" s="0" t="str">
        <f aca="false">HYPERLINK("https://lindat.mff.cuni.cz/services/teitok/pdtc10/index.php?action=vallex&amp;frame=v-w8454f4_ZU", "vytáčet (v-w8454f4_ZU)")</f>
        <v>vytáčet (v-w8454f4_ZU)</v>
      </c>
    </row>
    <row r="60567" customFormat="false" ht="12.8" hidden="false" customHeight="false" outlineLevel="0" collapsed="false">
      <c r="B60567" s="0" t="s">
        <v>7</v>
      </c>
    </row>
    <row r="60568" customFormat="false" ht="12.8" hidden="false" customHeight="false" outlineLevel="0" collapsed="false">
      <c r="B60568" s="0" t="s">
        <v>14</v>
      </c>
    </row>
    <row r="60569" customFormat="false" ht="12.8" hidden="false" customHeight="false" outlineLevel="0" collapsed="false">
      <c r="B60569" s="0" t="s">
        <v>5382</v>
      </c>
    </row>
    <row r="60571" customFormat="false" ht="12.8" hidden="false" customHeight="false" outlineLevel="0" collapsed="false">
      <c r="A60571" s="0" t="s">
        <v>20828</v>
      </c>
      <c r="B60571" s="0" t="str">
        <f aca="false">HYPERLINK("https://lindat.mff.cuni.cz/services/teitok/pdtc10/index.php?action=vallex&amp;frame=v-w8465f1", "vytéci (v-w8465f1)")</f>
        <v>vytéci (v-w8465f1)</v>
      </c>
    </row>
    <row r="60572" customFormat="false" ht="12.8" hidden="false" customHeight="false" outlineLevel="0" collapsed="false">
      <c r="B60572" s="0" t="s">
        <v>7</v>
      </c>
      <c r="C60572" s="0" t="s">
        <v>1142</v>
      </c>
    </row>
    <row r="60573" customFormat="false" ht="12.8" hidden="false" customHeight="false" outlineLevel="0" collapsed="false">
      <c r="B60573" s="0" t="s">
        <v>459</v>
      </c>
    </row>
    <row r="60575" customFormat="false" ht="12.8" hidden="false" customHeight="false" outlineLevel="0" collapsed="false">
      <c r="A60575" s="0" t="s">
        <v>20829</v>
      </c>
      <c r="B60575" s="0" t="str">
        <f aca="false">HYPERLINK("https://lindat.mff.cuni.cz/services/teitok/pdtc10/index.php?action=vallex&amp;frame=v-w11114f2", "vytékat (v-w11114f2)")</f>
        <v>vytékat (v-w11114f2)</v>
      </c>
    </row>
    <row r="60576" customFormat="false" ht="12.8" hidden="false" customHeight="false" outlineLevel="0" collapsed="false">
      <c r="B60576" s="0" t="s">
        <v>7</v>
      </c>
      <c r="C60576" s="0" t="s">
        <v>1378</v>
      </c>
      <c r="D60576" s="0" t="s">
        <v>9818</v>
      </c>
      <c r="E60576" s="0" t="s">
        <v>9818</v>
      </c>
      <c r="F60576" s="0" t="s">
        <v>9818</v>
      </c>
    </row>
    <row r="60577" customFormat="false" ht="12.8" hidden="false" customHeight="false" outlineLevel="0" collapsed="false">
      <c r="B60577" s="0" t="s">
        <v>459</v>
      </c>
      <c r="D60577" s="0" t="s">
        <v>17216</v>
      </c>
      <c r="E60577" s="0" t="s">
        <v>17216</v>
      </c>
      <c r="F60577" s="0" t="s">
        <v>17216</v>
      </c>
    </row>
    <row r="60579" customFormat="false" ht="12.8" hidden="false" customHeight="false" outlineLevel="0" collapsed="false">
      <c r="A60579" s="0" t="s">
        <v>20830</v>
      </c>
      <c r="B60579" s="0" t="str">
        <f aca="false">HYPERLINK("https://lindat.mff.cuni.cz/services/teitok/pdtc10/index.php?action=vallex&amp;frame=v-whsa_258hsa_259", "vytírat (v-whsa_258hsa_259)")</f>
        <v>vytírat (v-whsa_258hsa_259)</v>
      </c>
    </row>
    <row r="60580" customFormat="false" ht="12.8" hidden="false" customHeight="false" outlineLevel="0" collapsed="false">
      <c r="B60580" s="0" t="s">
        <v>7</v>
      </c>
    </row>
    <row r="60581" customFormat="false" ht="12.8" hidden="false" customHeight="false" outlineLevel="0" collapsed="false">
      <c r="B60581" s="0" t="s">
        <v>14</v>
      </c>
    </row>
    <row r="60583" customFormat="false" ht="12.8" hidden="false" customHeight="false" outlineLevel="0" collapsed="false">
      <c r="A60583" s="0" t="s">
        <v>20831</v>
      </c>
      <c r="B60583" s="0" t="str">
        <f aca="false">HYPERLINK("https://lindat.mff.cuni.cz/services/teitok/pdtc10/index.php?action=vallex&amp;frame=v-w8480f1", "vytížit (v-w8480f1)")</f>
        <v>vytížit (v-w8480f1)</v>
      </c>
    </row>
    <row r="60584" customFormat="false" ht="12.8" hidden="false" customHeight="false" outlineLevel="0" collapsed="false">
      <c r="B60584" s="0" t="s">
        <v>7</v>
      </c>
    </row>
    <row r="60585" customFormat="false" ht="12.8" hidden="false" customHeight="false" outlineLevel="0" collapsed="false">
      <c r="B60585" s="0" t="s">
        <v>14</v>
      </c>
      <c r="C60585" s="0" t="s">
        <v>20832</v>
      </c>
    </row>
    <row r="60587" customFormat="false" ht="12.8" hidden="false" customHeight="false" outlineLevel="0" collapsed="false">
      <c r="A60587" s="0" t="s">
        <v>20833</v>
      </c>
      <c r="B60587" s="0" t="str">
        <f aca="false">HYPERLINK("https://lindat.mff.cuni.cz/services/teitok/pdtc10/index.php?action=vallex&amp;frame=v-w8517f2", "vytýkat (v-w8517f2)")</f>
        <v>vytýkat (v-w8517f2)</v>
      </c>
    </row>
    <row r="60588" customFormat="false" ht="12.8" hidden="false" customHeight="false" outlineLevel="0" collapsed="false">
      <c r="B60588" s="0" t="s">
        <v>7</v>
      </c>
    </row>
    <row r="60589" customFormat="false" ht="12.8" hidden="false" customHeight="false" outlineLevel="0" collapsed="false">
      <c r="B60589" s="0" t="s">
        <v>5854</v>
      </c>
    </row>
    <row r="60590" customFormat="false" ht="12.8" hidden="false" customHeight="false" outlineLevel="0" collapsed="false">
      <c r="B60590" s="0" t="s">
        <v>106</v>
      </c>
    </row>
    <row r="60591" customFormat="false" ht="12.8" hidden="false" customHeight="false" outlineLevel="0" collapsed="false">
      <c r="B60591" s="0" t="s">
        <v>2946</v>
      </c>
    </row>
    <row r="60593" customFormat="false" ht="12.8" hidden="false" customHeight="false" outlineLevel="0" collapsed="false">
      <c r="A60593" s="0" t="s">
        <v>20834</v>
      </c>
      <c r="B60593" s="0" t="str">
        <f aca="false">HYPERLINK("https://lindat.mff.cuni.cz/services/teitok/pdtc10/index.php?action=vallex&amp;frame=v-w8517f1", "vytýkat (v-w8517f1)")</f>
        <v>vytýkat (v-w8517f1)</v>
      </c>
    </row>
    <row r="60594" customFormat="false" ht="12.8" hidden="false" customHeight="false" outlineLevel="0" collapsed="false">
      <c r="B60594" s="0" t="s">
        <v>7</v>
      </c>
      <c r="C60594" s="0" t="s">
        <v>118</v>
      </c>
      <c r="D60594" s="0" t="s">
        <v>118</v>
      </c>
      <c r="E60594" s="0" t="s">
        <v>118</v>
      </c>
      <c r="F60594" s="0" t="s">
        <v>118</v>
      </c>
    </row>
    <row r="60595" customFormat="false" ht="12.8" hidden="false" customHeight="false" outlineLevel="0" collapsed="false">
      <c r="B60595" s="0" t="s">
        <v>172</v>
      </c>
      <c r="C60595" s="0" t="s">
        <v>384</v>
      </c>
      <c r="D60595" s="0" t="s">
        <v>4813</v>
      </c>
      <c r="E60595" s="0" t="s">
        <v>4813</v>
      </c>
      <c r="F60595" s="0" t="s">
        <v>4813</v>
      </c>
    </row>
    <row r="60596" customFormat="false" ht="12.8" hidden="false" customHeight="false" outlineLevel="0" collapsed="false">
      <c r="B60596" s="0" t="s">
        <v>48</v>
      </c>
      <c r="D60596" s="0" t="s">
        <v>8546</v>
      </c>
      <c r="E60596" s="0" t="s">
        <v>8546</v>
      </c>
      <c r="F60596" s="0" t="s">
        <v>8546</v>
      </c>
    </row>
    <row r="60598" customFormat="false" ht="12.8" hidden="false" customHeight="false" outlineLevel="0" collapsed="false">
      <c r="A60598" s="0" t="s">
        <v>20835</v>
      </c>
      <c r="B60598" s="0" t="str">
        <f aca="false">HYPERLINK("https://lindat.mff.cuni.cz/services/teitok/pdtc10/index.php?action=vallex&amp;frame=v-w8514f1", "vytýčit (v-w8514f1)")</f>
        <v>vytýčit (v-w8514f1)</v>
      </c>
    </row>
    <row r="60599" customFormat="false" ht="12.8" hidden="false" customHeight="false" outlineLevel="0" collapsed="false">
      <c r="B60599" s="0" t="s">
        <v>7</v>
      </c>
    </row>
    <row r="60600" customFormat="false" ht="12.8" hidden="false" customHeight="false" outlineLevel="0" collapsed="false">
      <c r="B60600" s="0" t="s">
        <v>172</v>
      </c>
    </row>
    <row r="60602" customFormat="false" ht="12.8" hidden="false" customHeight="false" outlineLevel="0" collapsed="false">
      <c r="A60602" s="0" t="s">
        <v>20836</v>
      </c>
      <c r="B60602" s="0" t="str">
        <f aca="false">HYPERLINK("https://lindat.mff.cuni.cz/services/teitok/pdtc10/index.php?action=vallex&amp;frame=v-w8470f1", "vytěsnit (v-w8470f1)")</f>
        <v>vytěsnit (v-w8470f1)</v>
      </c>
    </row>
    <row r="60603" customFormat="false" ht="12.8" hidden="false" customHeight="false" outlineLevel="0" collapsed="false">
      <c r="B60603" s="0" t="s">
        <v>7</v>
      </c>
      <c r="C60603" s="0" t="s">
        <v>191</v>
      </c>
    </row>
    <row r="60604" customFormat="false" ht="12.8" hidden="false" customHeight="false" outlineLevel="0" collapsed="false">
      <c r="B60604" s="0" t="s">
        <v>14</v>
      </c>
      <c r="C60604" s="0" t="s">
        <v>567</v>
      </c>
      <c r="D60604" s="0" t="s">
        <v>47</v>
      </c>
      <c r="E60604" s="0" t="s">
        <v>47</v>
      </c>
      <c r="F60604" s="0" t="s">
        <v>47</v>
      </c>
    </row>
    <row r="60605" customFormat="false" ht="12.8" hidden="false" customHeight="false" outlineLevel="0" collapsed="false">
      <c r="B60605" s="0" t="s">
        <v>459</v>
      </c>
      <c r="C60605" s="0" t="s">
        <v>19535</v>
      </c>
      <c r="D60605" s="0" t="s">
        <v>19535</v>
      </c>
      <c r="E60605" s="0" t="s">
        <v>19535</v>
      </c>
      <c r="F60605" s="0" t="s">
        <v>19535</v>
      </c>
    </row>
    <row r="60607" customFormat="false" ht="12.8" hidden="false" customHeight="false" outlineLevel="0" collapsed="false">
      <c r="A60607" s="0" t="s">
        <v>20837</v>
      </c>
      <c r="B60607" s="0" t="str">
        <f aca="false">HYPERLINK("https://lindat.mff.cuni.cz/services/teitok/pdtc10/index.php?action=vallex&amp;frame=v-w8473f2", "vytěžit (v-w8473f2)")</f>
        <v>vytěžit (v-w8473f2)</v>
      </c>
    </row>
    <row r="60608" customFormat="false" ht="12.8" hidden="false" customHeight="false" outlineLevel="0" collapsed="false">
      <c r="B60608" s="0" t="s">
        <v>7</v>
      </c>
      <c r="C60608" s="0" t="s">
        <v>20838</v>
      </c>
      <c r="D60608" s="0" t="s">
        <v>11678</v>
      </c>
      <c r="E60608" s="0" t="s">
        <v>11678</v>
      </c>
      <c r="F60608" s="0" t="s">
        <v>11678</v>
      </c>
    </row>
    <row r="60609" customFormat="false" ht="12.8" hidden="false" customHeight="false" outlineLevel="0" collapsed="false">
      <c r="B60609" s="0" t="s">
        <v>14</v>
      </c>
      <c r="C60609" s="0" t="s">
        <v>20839</v>
      </c>
    </row>
    <row r="60610" customFormat="false" ht="12.8" hidden="false" customHeight="false" outlineLevel="0" collapsed="false">
      <c r="B60610" s="0" t="s">
        <v>35</v>
      </c>
      <c r="C60610" s="0" t="s">
        <v>20840</v>
      </c>
      <c r="D60610" s="0" t="s">
        <v>18340</v>
      </c>
      <c r="E60610" s="0" t="s">
        <v>18340</v>
      </c>
      <c r="F60610" s="0" t="s">
        <v>18340</v>
      </c>
    </row>
    <row r="60612" customFormat="false" ht="12.8" hidden="false" customHeight="false" outlineLevel="0" collapsed="false">
      <c r="A60612" s="0" t="s">
        <v>20841</v>
      </c>
      <c r="B60612" s="0" t="str">
        <f aca="false">HYPERLINK("https://lindat.mff.cuni.cz/services/teitok/pdtc10/index.php?action=vallex&amp;frame=v-w8473f1", "vytěžit (v-w8473f1)")</f>
        <v>vytěžit (v-w8473f1)</v>
      </c>
    </row>
    <row r="60613" customFormat="false" ht="12.8" hidden="false" customHeight="false" outlineLevel="0" collapsed="false">
      <c r="B60613" s="0" t="s">
        <v>7</v>
      </c>
    </row>
    <row r="60614" customFormat="false" ht="12.8" hidden="false" customHeight="false" outlineLevel="0" collapsed="false">
      <c r="B60614" s="0" t="s">
        <v>14</v>
      </c>
    </row>
    <row r="60615" customFormat="false" ht="12.8" hidden="false" customHeight="false" outlineLevel="0" collapsed="false">
      <c r="B60615" s="0" t="s">
        <v>459</v>
      </c>
    </row>
    <row r="60617" customFormat="false" ht="12.8" hidden="false" customHeight="false" outlineLevel="0" collapsed="false">
      <c r="A60617" s="0" t="s">
        <v>20842</v>
      </c>
      <c r="B60617" s="0" t="str">
        <f aca="false">HYPERLINK("https://lindat.mff.cuni.cz/services/teitok/pdtc10/index.php?action=vallex&amp;frame=v-w11672_ZUf1_ZU", "vytřást (v-w11672_ZUf1_ZU)")</f>
        <v>vytřást (v-w11672_ZUf1_ZU)</v>
      </c>
    </row>
    <row r="60618" customFormat="false" ht="12.8" hidden="false" customHeight="false" outlineLevel="0" collapsed="false">
      <c r="B60618" s="0" t="s">
        <v>7</v>
      </c>
      <c r="C60618" s="0" t="s">
        <v>191</v>
      </c>
    </row>
    <row r="60619" customFormat="false" ht="12.8" hidden="false" customHeight="false" outlineLevel="0" collapsed="false">
      <c r="B60619" s="0" t="s">
        <v>14</v>
      </c>
      <c r="C60619" s="0" t="s">
        <v>155</v>
      </c>
    </row>
    <row r="60621" customFormat="false" ht="12.8" hidden="false" customHeight="false" outlineLevel="0" collapsed="false">
      <c r="A60621" s="0" t="s">
        <v>20843</v>
      </c>
      <c r="B60621" s="0" t="str">
        <f aca="false">HYPERLINK("https://lindat.mff.cuni.cz/services/teitok/pdtc10/index.php?action=vallex&amp;frame=v-w11631_ZUf1_ZU", "vytříbit (v-w11631_ZUf1_ZU)")</f>
        <v>vytříbit (v-w11631_ZUf1_ZU)</v>
      </c>
    </row>
    <row r="60622" customFormat="false" ht="12.8" hidden="false" customHeight="false" outlineLevel="0" collapsed="false">
      <c r="B60622" s="0" t="s">
        <v>7</v>
      </c>
      <c r="C60622" s="0" t="s">
        <v>46</v>
      </c>
    </row>
    <row r="60623" customFormat="false" ht="12.8" hidden="false" customHeight="false" outlineLevel="0" collapsed="false">
      <c r="B60623" s="0" t="s">
        <v>14</v>
      </c>
      <c r="C60623" s="0" t="s">
        <v>78</v>
      </c>
    </row>
    <row r="60625" customFormat="false" ht="12.8" hidden="false" customHeight="false" outlineLevel="0" collapsed="false">
      <c r="A60625" s="0" t="s">
        <v>20844</v>
      </c>
      <c r="B60625" s="0" t="str">
        <f aca="false">HYPERLINK("https://lindat.mff.cuni.cz/services/teitok/pdtc10/index.php?action=vallex&amp;frame=v-w8498f1", "vytříbit se (v-w8498f1)")</f>
        <v>vytříbit se (v-w8498f1)</v>
      </c>
    </row>
    <row r="60626" customFormat="false" ht="12.8" hidden="false" customHeight="false" outlineLevel="0" collapsed="false">
      <c r="B60626" s="0" t="s">
        <v>7</v>
      </c>
    </row>
    <row r="60628" customFormat="false" ht="12.8" hidden="false" customHeight="false" outlineLevel="0" collapsed="false">
      <c r="A60628" s="0" t="s">
        <v>20845</v>
      </c>
      <c r="B60628" s="0" t="str">
        <f aca="false">HYPERLINK("https://lindat.mff.cuni.cz/services/teitok/pdtc10/index.php?action=vallex&amp;frame=v-w8499f2", "vytřídit (v-w8499f2)")</f>
        <v>vytřídit (v-w8499f2)</v>
      </c>
    </row>
    <row r="60629" customFormat="false" ht="12.8" hidden="false" customHeight="false" outlineLevel="0" collapsed="false">
      <c r="B60629" s="0" t="s">
        <v>7</v>
      </c>
    </row>
    <row r="60630" customFormat="false" ht="12.8" hidden="false" customHeight="false" outlineLevel="0" collapsed="false">
      <c r="B60630" s="0" t="s">
        <v>14</v>
      </c>
    </row>
    <row r="60631" customFormat="false" ht="12.8" hidden="false" customHeight="false" outlineLevel="0" collapsed="false">
      <c r="B60631" s="0" t="s">
        <v>459</v>
      </c>
    </row>
    <row r="60633" customFormat="false" ht="12.8" hidden="false" customHeight="false" outlineLevel="0" collapsed="false">
      <c r="A60633" s="0" t="s">
        <v>20846</v>
      </c>
      <c r="B60633" s="0" t="str">
        <f aca="false">HYPERLINK("https://lindat.mff.cuni.cz/services/teitok/pdtc10/index.php?action=vallex&amp;frame=v-w8499f1", "vytřídit (v-w8499f1)")</f>
        <v>vytřídit (v-w8499f1)</v>
      </c>
    </row>
    <row r="60634" customFormat="false" ht="12.8" hidden="false" customHeight="false" outlineLevel="0" collapsed="false">
      <c r="B60634" s="0" t="s">
        <v>7</v>
      </c>
    </row>
    <row r="60635" customFormat="false" ht="12.8" hidden="false" customHeight="false" outlineLevel="0" collapsed="false">
      <c r="B60635" s="0" t="s">
        <v>14</v>
      </c>
    </row>
    <row r="60637" customFormat="false" ht="12.8" hidden="false" customHeight="false" outlineLevel="0" collapsed="false">
      <c r="A60637" s="0" t="s">
        <v>20847</v>
      </c>
      <c r="B60637" s="0" t="str">
        <f aca="false">HYPERLINK("https://lindat.mff.cuni.cz/services/teitok/pdtc10/index.php?action=vallex&amp;frame=v-whsa_1379hsa_1380", "vytřít (v-whsa_1379hsa_1380)")</f>
        <v>vytřít (v-whsa_1379hsa_1380)</v>
      </c>
    </row>
    <row r="60638" customFormat="false" ht="12.8" hidden="false" customHeight="false" outlineLevel="0" collapsed="false">
      <c r="B60638" s="0" t="s">
        <v>7</v>
      </c>
    </row>
    <row r="60639" customFormat="false" ht="12.8" hidden="false" customHeight="false" outlineLevel="0" collapsed="false">
      <c r="B60639" s="0" t="s">
        <v>14</v>
      </c>
    </row>
    <row r="60641" customFormat="false" ht="12.8" hidden="false" customHeight="false" outlineLevel="0" collapsed="false">
      <c r="A60641" s="0" t="s">
        <v>20848</v>
      </c>
      <c r="B60641" s="0" t="str">
        <f aca="false">HYPERLINK("https://lindat.mff.cuni.cz/services/teitok/pdtc10/index.php?action=vallex&amp;frame=v-w11807_ZUf1_ZU", "vyudit (v-w11807_ZUf1_ZU)")</f>
        <v>vyudit (v-w11807_ZUf1_ZU)</v>
      </c>
    </row>
    <row r="60642" customFormat="false" ht="12.8" hidden="false" customHeight="false" outlineLevel="0" collapsed="false">
      <c r="B60642" s="0" t="s">
        <v>7</v>
      </c>
    </row>
    <row r="60643" customFormat="false" ht="12.8" hidden="false" customHeight="false" outlineLevel="0" collapsed="false">
      <c r="B60643" s="0" t="s">
        <v>14</v>
      </c>
    </row>
    <row r="60645" customFormat="false" ht="12.8" hidden="false" customHeight="false" outlineLevel="0" collapsed="false">
      <c r="A60645" s="0" t="s">
        <v>20849</v>
      </c>
      <c r="B60645" s="0" t="str">
        <f aca="false">HYPERLINK("https://lindat.mff.cuni.cz/services/teitok/pdtc10/index.php?action=vallex&amp;frame=v-w8519f2_ZU", "vyučit (v-w8519f2_ZU)")</f>
        <v>vyučit (v-w8519f2_ZU)</v>
      </c>
    </row>
    <row r="60646" customFormat="false" ht="12.8" hidden="false" customHeight="false" outlineLevel="0" collapsed="false">
      <c r="B60646" s="0" t="s">
        <v>7</v>
      </c>
    </row>
    <row r="60647" customFormat="false" ht="12.8" hidden="false" customHeight="false" outlineLevel="0" collapsed="false">
      <c r="B60647" s="0" t="s">
        <v>20850</v>
      </c>
    </row>
    <row r="60648" customFormat="false" ht="12.8" hidden="false" customHeight="false" outlineLevel="0" collapsed="false">
      <c r="B60648" s="0" t="s">
        <v>81</v>
      </c>
    </row>
    <row r="60650" customFormat="false" ht="12.8" hidden="false" customHeight="false" outlineLevel="0" collapsed="false">
      <c r="A60650" s="0" t="s">
        <v>20849</v>
      </c>
      <c r="B60650" s="0" t="str">
        <f aca="false">HYPERLINK("https://lindat.mff.cuni.cz/services/teitok/pdtc10/index.php?action=vallex&amp;frame=v-w8519f1", "vyučit (v-w8519f1) - substituted with v-w8519f2_ZU")</f>
        <v>vyučit (v-w8519f1) - substituted with v-w8519f2_ZU</v>
      </c>
    </row>
    <row r="60651" customFormat="false" ht="12.8" hidden="false" customHeight="false" outlineLevel="0" collapsed="false">
      <c r="B60651" s="0" t="s">
        <v>7</v>
      </c>
      <c r="D60651" s="0" t="s">
        <v>23</v>
      </c>
      <c r="E60651" s="0" t="s">
        <v>23</v>
      </c>
      <c r="F60651" s="0" t="s">
        <v>23</v>
      </c>
    </row>
    <row r="60652" customFormat="false" ht="12.8" hidden="false" customHeight="false" outlineLevel="0" collapsed="false">
      <c r="B60652" s="0" t="s">
        <v>20850</v>
      </c>
      <c r="D60652" s="0" t="s">
        <v>7131</v>
      </c>
      <c r="E60652" s="0" t="s">
        <v>7131</v>
      </c>
      <c r="F60652" s="0" t="s">
        <v>7131</v>
      </c>
    </row>
    <row r="60653" customFormat="false" ht="12.8" hidden="false" customHeight="false" outlineLevel="0" collapsed="false">
      <c r="B60653" s="0" t="s">
        <v>81</v>
      </c>
      <c r="D60653" s="0" t="s">
        <v>7133</v>
      </c>
      <c r="E60653" s="0" t="s">
        <v>7133</v>
      </c>
      <c r="F60653" s="0" t="s">
        <v>7133</v>
      </c>
    </row>
    <row r="60655" customFormat="false" ht="12.8" hidden="false" customHeight="false" outlineLevel="0" collapsed="false">
      <c r="A60655" s="0" t="s">
        <v>20849</v>
      </c>
      <c r="B60655" s="0" t="str">
        <f aca="false">HYPERLINK("https://lindat.mff.cuni.cz/services/teitok/pdtc10/index.php?action=vallex&amp;frame=v-w8519hsa_777", "vyučit (v-w8519hsa_777) - substituted with v-w8519f2_ZU")</f>
        <v>vyučit (v-w8519hsa_777) - substituted with v-w8519f2_ZU</v>
      </c>
    </row>
    <row r="60656" customFormat="false" ht="12.8" hidden="false" customHeight="false" outlineLevel="0" collapsed="false">
      <c r="B60656" s="0" t="s">
        <v>7</v>
      </c>
    </row>
    <row r="60657" customFormat="false" ht="12.8" hidden="false" customHeight="false" outlineLevel="0" collapsed="false">
      <c r="B60657" s="0" t="s">
        <v>20850</v>
      </c>
    </row>
    <row r="60658" customFormat="false" ht="12.8" hidden="false" customHeight="false" outlineLevel="0" collapsed="false">
      <c r="B60658" s="0" t="s">
        <v>81</v>
      </c>
    </row>
    <row r="60660" customFormat="false" ht="12.8" hidden="false" customHeight="false" outlineLevel="0" collapsed="false">
      <c r="A60660" s="0" t="s">
        <v>20851</v>
      </c>
      <c r="B60660" s="0" t="str">
        <f aca="false">HYPERLINK("https://lindat.mff.cuni.cz/services/teitok/pdtc10/index.php?action=vallex&amp;frame=v-w8520f3_ZU", "vyučit se (v-w8520f3_ZU)")</f>
        <v>vyučit se (v-w8520f3_ZU)</v>
      </c>
    </row>
    <row r="60661" customFormat="false" ht="12.8" hidden="false" customHeight="false" outlineLevel="0" collapsed="false">
      <c r="B60661" s="0" t="s">
        <v>7</v>
      </c>
    </row>
    <row r="60662" customFormat="false" ht="12.8" hidden="false" customHeight="false" outlineLevel="0" collapsed="false">
      <c r="B60662" s="0" t="s">
        <v>20852</v>
      </c>
    </row>
    <row r="60664" customFormat="false" ht="12.8" hidden="false" customHeight="false" outlineLevel="0" collapsed="false">
      <c r="A60664" s="0" t="s">
        <v>20851</v>
      </c>
      <c r="B60664" s="0" t="str">
        <f aca="false">HYPERLINK("https://lindat.mff.cuni.cz/services/teitok/pdtc10/index.php?action=vallex&amp;frame=v-w8520f1", "vyučit se (v-w8520f1) - substituted with v-w8520f3_ZU")</f>
        <v>vyučit se (v-w8520f1) - substituted with v-w8520f3_ZU</v>
      </c>
    </row>
    <row r="60665" customFormat="false" ht="12.8" hidden="false" customHeight="false" outlineLevel="0" collapsed="false">
      <c r="B60665" s="0" t="s">
        <v>7</v>
      </c>
      <c r="D60665" s="0" t="s">
        <v>20853</v>
      </c>
      <c r="E60665" s="0" t="s">
        <v>20853</v>
      </c>
      <c r="F60665" s="0" t="s">
        <v>20853</v>
      </c>
    </row>
    <row r="60666" customFormat="false" ht="12.8" hidden="false" customHeight="false" outlineLevel="0" collapsed="false">
      <c r="B60666" s="0" t="s">
        <v>20852</v>
      </c>
      <c r="D60666" s="0" t="s">
        <v>20526</v>
      </c>
      <c r="E60666" s="0" t="s">
        <v>20526</v>
      </c>
      <c r="F60666" s="0" t="s">
        <v>20526</v>
      </c>
    </row>
    <row r="60668" customFormat="false" ht="12.8" hidden="false" customHeight="false" outlineLevel="0" collapsed="false">
      <c r="A60668" s="0" t="s">
        <v>20851</v>
      </c>
      <c r="B60668" s="0" t="str">
        <f aca="false">HYPERLINK("https://lindat.mff.cuni.cz/services/teitok/pdtc10/index.php?action=vallex&amp;frame=v-w8520f2_ZU", "vyučit se (v-w8520f2_ZU) - substituted with v-w8520f3_ZU")</f>
        <v>vyučit se (v-w8520f2_ZU) - substituted with v-w8520f3_ZU</v>
      </c>
    </row>
    <row r="60669" customFormat="false" ht="12.8" hidden="false" customHeight="false" outlineLevel="0" collapsed="false">
      <c r="B60669" s="0" t="s">
        <v>7</v>
      </c>
    </row>
    <row r="60670" customFormat="false" ht="12.8" hidden="false" customHeight="false" outlineLevel="0" collapsed="false">
      <c r="B60670" s="0" t="s">
        <v>20852</v>
      </c>
    </row>
    <row r="60672" customFormat="false" ht="12.8" hidden="false" customHeight="false" outlineLevel="0" collapsed="false">
      <c r="A60672" s="0" t="s">
        <v>20851</v>
      </c>
      <c r="B60672" s="0" t="str">
        <f aca="false">HYPERLINK("https://lindat.mff.cuni.cz/services/teitok/pdtc10/index.php?action=vallex&amp;frame=v-w8520hsa_667", "vyučit se (v-w8520hsa_667) - substituted with v-w8520f3_ZU")</f>
        <v>vyučit se (v-w8520hsa_667) - substituted with v-w8520f3_ZU</v>
      </c>
    </row>
    <row r="60673" customFormat="false" ht="12.8" hidden="false" customHeight="false" outlineLevel="0" collapsed="false">
      <c r="B60673" s="0" t="s">
        <v>7</v>
      </c>
    </row>
    <row r="60674" customFormat="false" ht="12.8" hidden="false" customHeight="false" outlineLevel="0" collapsed="false">
      <c r="B60674" s="0" t="s">
        <v>20852</v>
      </c>
    </row>
    <row r="60676" customFormat="false" ht="12.8" hidden="false" customHeight="false" outlineLevel="0" collapsed="false">
      <c r="A60676" s="0" t="s">
        <v>20854</v>
      </c>
      <c r="B60676" s="0" t="str">
        <f aca="false">HYPERLINK("https://lindat.mff.cuni.cz/services/teitok/pdtc10/index.php?action=vallex&amp;frame=v-w8522f1", "vyučovat (v-w8522f1)")</f>
        <v>vyučovat (v-w8522f1)</v>
      </c>
    </row>
    <row r="60677" customFormat="false" ht="12.8" hidden="false" customHeight="false" outlineLevel="0" collapsed="false">
      <c r="B60677" s="0" t="s">
        <v>7</v>
      </c>
      <c r="C60677" s="0" t="s">
        <v>1637</v>
      </c>
      <c r="D60677" s="0" t="s">
        <v>23</v>
      </c>
      <c r="E60677" s="0" t="s">
        <v>23</v>
      </c>
      <c r="F60677" s="0" t="s">
        <v>23</v>
      </c>
    </row>
    <row r="60678" customFormat="false" ht="12.8" hidden="false" customHeight="false" outlineLevel="0" collapsed="false">
      <c r="B60678" s="0" t="s">
        <v>18663</v>
      </c>
      <c r="C60678" s="0" t="s">
        <v>7134</v>
      </c>
      <c r="D60678" s="0" t="s">
        <v>7131</v>
      </c>
      <c r="E60678" s="0" t="s">
        <v>7131</v>
      </c>
      <c r="F60678" s="0" t="s">
        <v>7131</v>
      </c>
    </row>
    <row r="60679" customFormat="false" ht="12.8" hidden="false" customHeight="false" outlineLevel="0" collapsed="false">
      <c r="B60679" s="0" t="s">
        <v>2617</v>
      </c>
      <c r="C60679" s="0" t="s">
        <v>3566</v>
      </c>
      <c r="D60679" s="0" t="s">
        <v>7133</v>
      </c>
      <c r="E60679" s="0" t="s">
        <v>7133</v>
      </c>
      <c r="F60679" s="0" t="s">
        <v>7133</v>
      </c>
    </row>
    <row r="60681" customFormat="false" ht="12.8" hidden="false" customHeight="false" outlineLevel="0" collapsed="false">
      <c r="A60681" s="0" t="s">
        <v>20855</v>
      </c>
      <c r="B60681" s="0" t="str">
        <f aca="false">HYPERLINK("https://lindat.mff.cuni.cz/services/teitok/pdtc10/index.php?action=vallex&amp;frame=v-w8528f1", "využít (v-w8528f1)")</f>
        <v>využít (v-w8528f1)</v>
      </c>
    </row>
    <row r="60682" customFormat="false" ht="12.8" hidden="false" customHeight="false" outlineLevel="0" collapsed="false">
      <c r="B60682" s="0" t="s">
        <v>7</v>
      </c>
      <c r="C60682" s="0" t="s">
        <v>20856</v>
      </c>
      <c r="D60682" s="0" t="s">
        <v>127</v>
      </c>
      <c r="E60682" s="0" t="s">
        <v>127</v>
      </c>
      <c r="F60682" s="0" t="s">
        <v>127</v>
      </c>
    </row>
    <row r="60683" customFormat="false" ht="12.8" hidden="false" customHeight="false" outlineLevel="0" collapsed="false">
      <c r="B60683" s="0" t="s">
        <v>20857</v>
      </c>
      <c r="C60683" s="0" t="s">
        <v>20858</v>
      </c>
      <c r="D60683" s="0" t="s">
        <v>129</v>
      </c>
      <c r="E60683" s="0" t="s">
        <v>129</v>
      </c>
      <c r="F60683" s="0" t="s">
        <v>129</v>
      </c>
    </row>
    <row r="60685" customFormat="false" ht="12.8" hidden="false" customHeight="false" outlineLevel="0" collapsed="false">
      <c r="A60685" s="0" t="s">
        <v>20859</v>
      </c>
      <c r="B60685" s="0" t="str">
        <f aca="false">HYPERLINK("https://lindat.mff.cuni.cz/services/teitok/pdtc10/index.php?action=vallex&amp;frame=v-w8533f1", "využívat (v-w8533f1)")</f>
        <v>využívat (v-w8533f1)</v>
      </c>
    </row>
    <row r="60686" customFormat="false" ht="12.8" hidden="false" customHeight="false" outlineLevel="0" collapsed="false">
      <c r="B60686" s="0" t="s">
        <v>7</v>
      </c>
      <c r="C60686" s="0" t="s">
        <v>20860</v>
      </c>
      <c r="D60686" s="0" t="s">
        <v>127</v>
      </c>
      <c r="E60686" s="0" t="s">
        <v>127</v>
      </c>
      <c r="F60686" s="0" t="s">
        <v>127</v>
      </c>
    </row>
    <row r="60687" customFormat="false" ht="12.8" hidden="false" customHeight="false" outlineLevel="0" collapsed="false">
      <c r="B60687" s="0" t="s">
        <v>1145</v>
      </c>
      <c r="C60687" s="0" t="s">
        <v>20861</v>
      </c>
      <c r="D60687" s="0" t="s">
        <v>129</v>
      </c>
      <c r="E60687" s="0" t="s">
        <v>129</v>
      </c>
      <c r="F60687" s="0" t="s">
        <v>129</v>
      </c>
    </row>
    <row r="60689" customFormat="false" ht="12.8" hidden="false" customHeight="false" outlineLevel="0" collapsed="false">
      <c r="A60689" s="0" t="s">
        <v>20862</v>
      </c>
      <c r="B60689" s="0" t="str">
        <f aca="false">HYPERLINK("https://lindat.mff.cuni.cz/services/teitok/pdtc10/index.php?action=vallex&amp;frame=v-w8533f2", "využívat (v-w8533f2)")</f>
        <v>využívat (v-w8533f2)</v>
      </c>
    </row>
    <row r="60690" customFormat="false" ht="12.8" hidden="false" customHeight="false" outlineLevel="0" collapsed="false">
      <c r="B60690" s="0" t="s">
        <v>7</v>
      </c>
    </row>
    <row r="60691" customFormat="false" ht="12.8" hidden="false" customHeight="false" outlineLevel="0" collapsed="false">
      <c r="B60691" s="0" t="s">
        <v>14</v>
      </c>
    </row>
    <row r="60693" customFormat="false" ht="12.8" hidden="false" customHeight="false" outlineLevel="0" collapsed="false">
      <c r="A60693" s="0" t="s">
        <v>20863</v>
      </c>
      <c r="B60693" s="0" t="str">
        <f aca="false">HYPERLINK("https://lindat.mff.cuni.cz/services/teitok/pdtc10/index.php?action=vallex&amp;frame=v-whsa_103hsa_104", "vyvalit (v-whsa_103hsa_104)")</f>
        <v>vyvalit (v-whsa_103hsa_104)</v>
      </c>
    </row>
    <row r="60694" customFormat="false" ht="12.8" hidden="false" customHeight="false" outlineLevel="0" collapsed="false">
      <c r="B60694" s="0" t="s">
        <v>7</v>
      </c>
    </row>
    <row r="60695" customFormat="false" ht="12.8" hidden="false" customHeight="false" outlineLevel="0" collapsed="false">
      <c r="B60695" s="0" t="s">
        <v>14</v>
      </c>
    </row>
    <row r="60697" customFormat="false" ht="12.8" hidden="false" customHeight="false" outlineLevel="0" collapsed="false">
      <c r="A60697" s="0" t="s">
        <v>20864</v>
      </c>
      <c r="B60697" s="0" t="str">
        <f aca="false">HYPERLINK("https://lindat.mff.cuni.cz/services/teitok/pdtc10/index.php?action=vallex&amp;frame=v-w8534f1", "vyvalit se (v-w8534f1)")</f>
        <v>vyvalit se (v-w8534f1)</v>
      </c>
    </row>
    <row r="60698" customFormat="false" ht="12.8" hidden="false" customHeight="false" outlineLevel="0" collapsed="false">
      <c r="B60698" s="0" t="s">
        <v>7</v>
      </c>
    </row>
    <row r="60699" customFormat="false" ht="12.8" hidden="false" customHeight="false" outlineLevel="0" collapsed="false">
      <c r="B60699" s="0" t="s">
        <v>581</v>
      </c>
    </row>
    <row r="60701" customFormat="false" ht="12.8" hidden="false" customHeight="false" outlineLevel="0" collapsed="false">
      <c r="A60701" s="0" t="s">
        <v>20865</v>
      </c>
      <c r="B60701" s="0" t="str">
        <f aca="false">HYPERLINK("https://lindat.mff.cuni.cz/services/teitok/pdtc10/index.php?action=vallex&amp;frame=v-w8534f2", "vyvalit se (v-w8534f2)")</f>
        <v>vyvalit se (v-w8534f2)</v>
      </c>
    </row>
    <row r="60702" customFormat="false" ht="12.8" hidden="false" customHeight="false" outlineLevel="0" collapsed="false">
      <c r="B60702" s="0" t="s">
        <v>7</v>
      </c>
    </row>
    <row r="60703" customFormat="false" ht="12.8" hidden="false" customHeight="false" outlineLevel="0" collapsed="false">
      <c r="B60703" s="0" t="s">
        <v>459</v>
      </c>
    </row>
    <row r="60705" customFormat="false" ht="12.8" hidden="false" customHeight="false" outlineLevel="0" collapsed="false">
      <c r="A60705" s="0" t="s">
        <v>20866</v>
      </c>
      <c r="B60705" s="0" t="str">
        <f aca="false">HYPERLINK("https://lindat.mff.cuni.cz/services/teitok/pdtc10/index.php?action=vallex&amp;frame=v-w8536f1", "vyvarovat se (v-w8536f1)")</f>
        <v>vyvarovat se (v-w8536f1)</v>
      </c>
    </row>
    <row r="60706" customFormat="false" ht="12.8" hidden="false" customHeight="false" outlineLevel="0" collapsed="false">
      <c r="B60706" s="0" t="s">
        <v>7</v>
      </c>
      <c r="C60706" s="0" t="s">
        <v>391</v>
      </c>
      <c r="D60706" s="0" t="s">
        <v>5572</v>
      </c>
      <c r="E60706" s="0" t="s">
        <v>5572</v>
      </c>
      <c r="F60706" s="0" t="s">
        <v>5572</v>
      </c>
    </row>
    <row r="60707" customFormat="false" ht="12.8" hidden="false" customHeight="false" outlineLevel="0" collapsed="false">
      <c r="B60707" s="0" t="s">
        <v>20867</v>
      </c>
      <c r="C60707" s="0" t="s">
        <v>2182</v>
      </c>
      <c r="D60707" s="0" t="s">
        <v>518</v>
      </c>
      <c r="E60707" s="0" t="s">
        <v>518</v>
      </c>
      <c r="F60707" s="0" t="s">
        <v>518</v>
      </c>
    </row>
    <row r="60709" customFormat="false" ht="12.8" hidden="false" customHeight="false" outlineLevel="0" collapsed="false">
      <c r="A60709" s="0" t="s">
        <v>20868</v>
      </c>
      <c r="B60709" s="0" t="str">
        <f aca="false">HYPERLINK("https://lindat.mff.cuni.cz/services/teitok/pdtc10/index.php?action=vallex&amp;frame=v-w11098f2", "vyvařit (v-w11098f2)")</f>
        <v>vyvařit (v-w11098f2)</v>
      </c>
    </row>
    <row r="60710" customFormat="false" ht="12.8" hidden="false" customHeight="false" outlineLevel="0" collapsed="false">
      <c r="B60710" s="0" t="s">
        <v>7</v>
      </c>
    </row>
    <row r="60711" customFormat="false" ht="12.8" hidden="false" customHeight="false" outlineLevel="0" collapsed="false">
      <c r="B60711" s="0" t="s">
        <v>14</v>
      </c>
    </row>
    <row r="60713" customFormat="false" ht="12.8" hidden="false" customHeight="false" outlineLevel="0" collapsed="false">
      <c r="A60713" s="0" t="s">
        <v>20869</v>
      </c>
      <c r="B60713" s="0" t="str">
        <f aca="false">HYPERLINK("https://lindat.mff.cuni.cz/services/teitok/pdtc10/index.php?action=vallex&amp;frame=v-w11724_ZUf1_ZU", "vyvařovat (v-w11724_ZUf1_ZU)")</f>
        <v>vyvařovat (v-w11724_ZUf1_ZU)</v>
      </c>
    </row>
    <row r="60714" customFormat="false" ht="12.8" hidden="false" customHeight="false" outlineLevel="0" collapsed="false">
      <c r="B60714" s="0" t="s">
        <v>7</v>
      </c>
    </row>
    <row r="60715" customFormat="false" ht="12.8" hidden="false" customHeight="false" outlineLevel="0" collapsed="false">
      <c r="B60715" s="0" t="s">
        <v>14</v>
      </c>
    </row>
    <row r="60717" customFormat="false" ht="12.8" hidden="false" customHeight="false" outlineLevel="0" collapsed="false">
      <c r="A60717" s="0" t="s">
        <v>20870</v>
      </c>
      <c r="B60717" s="0" t="str">
        <f aca="false">HYPERLINK("https://lindat.mff.cuni.cz/services/teitok/pdtc10/index.php?action=vallex&amp;frame=v-w8541f1", "vyvažovat (v-w8541f1)")</f>
        <v>vyvažovat (v-w8541f1)</v>
      </c>
    </row>
    <row r="60718" customFormat="false" ht="12.8" hidden="false" customHeight="false" outlineLevel="0" collapsed="false">
      <c r="B60718" s="0" t="s">
        <v>7</v>
      </c>
      <c r="C60718" s="0" t="s">
        <v>20871</v>
      </c>
      <c r="D60718" s="0" t="s">
        <v>4732</v>
      </c>
      <c r="E60718" s="0" t="s">
        <v>4732</v>
      </c>
      <c r="F60718" s="0" t="s">
        <v>18054</v>
      </c>
    </row>
    <row r="60719" customFormat="false" ht="12.8" hidden="false" customHeight="false" outlineLevel="0" collapsed="false">
      <c r="B60719" s="0" t="s">
        <v>14</v>
      </c>
      <c r="C60719" s="0" t="s">
        <v>8036</v>
      </c>
      <c r="D60719" s="0" t="s">
        <v>4737</v>
      </c>
      <c r="E60719" s="0" t="s">
        <v>4737</v>
      </c>
      <c r="F60719" s="0" t="s">
        <v>10824</v>
      </c>
    </row>
    <row r="60720" customFormat="false" ht="12.8" hidden="false" customHeight="false" outlineLevel="0" collapsed="false">
      <c r="B60720" s="0" t="s">
        <v>6292</v>
      </c>
      <c r="D60720" s="0" t="s">
        <v>12871</v>
      </c>
      <c r="E60720" s="0" t="s">
        <v>12871</v>
      </c>
      <c r="F60720" s="0" t="s">
        <v>12871</v>
      </c>
    </row>
    <row r="60722" customFormat="false" ht="12.8" hidden="false" customHeight="false" outlineLevel="0" collapsed="false">
      <c r="A60722" s="0" t="s">
        <v>20872</v>
      </c>
      <c r="B60722" s="0" t="str">
        <f aca="false">HYPERLINK("https://lindat.mff.cuni.cz/services/teitok/pdtc10/index.php?action=vallex&amp;frame=v-whsa_795hsa_796", "vyvdat (v-whsa_795hsa_796)")</f>
        <v>vyvdat (v-whsa_795hsa_796)</v>
      </c>
    </row>
    <row r="60723" customFormat="false" ht="12.8" hidden="false" customHeight="false" outlineLevel="0" collapsed="false">
      <c r="B60723" s="0" t="s">
        <v>7</v>
      </c>
    </row>
    <row r="60724" customFormat="false" ht="12.8" hidden="false" customHeight="false" outlineLevel="0" collapsed="false">
      <c r="B60724" s="0" t="s">
        <v>14</v>
      </c>
    </row>
    <row r="60725" customFormat="false" ht="12.8" hidden="false" customHeight="false" outlineLevel="0" collapsed="false">
      <c r="B60725" s="0" t="s">
        <v>2339</v>
      </c>
    </row>
    <row r="60727" customFormat="false" ht="12.8" hidden="false" customHeight="false" outlineLevel="0" collapsed="false">
      <c r="A60727" s="0" t="s">
        <v>20873</v>
      </c>
      <c r="B60727" s="0" t="str">
        <f aca="false">HYPERLINK("https://lindat.mff.cuni.cz/services/teitok/pdtc10/index.php?action=vallex&amp;frame=v-w8551f2", "vyvinout (v-w8551f2)")</f>
        <v>vyvinout (v-w8551f2)</v>
      </c>
    </row>
    <row r="60728" customFormat="false" ht="12.8" hidden="false" customHeight="false" outlineLevel="0" collapsed="false">
      <c r="B60728" s="0" t="s">
        <v>7</v>
      </c>
      <c r="C60728" s="0" t="s">
        <v>1364</v>
      </c>
      <c r="D60728" s="0" t="s">
        <v>2808</v>
      </c>
      <c r="E60728" s="0" t="s">
        <v>20874</v>
      </c>
      <c r="F60728" s="0" t="s">
        <v>20874</v>
      </c>
    </row>
    <row r="60729" customFormat="false" ht="12.8" hidden="false" customHeight="false" outlineLevel="0" collapsed="false">
      <c r="B60729" s="0" t="s">
        <v>14</v>
      </c>
      <c r="C60729" s="0" t="s">
        <v>9174</v>
      </c>
      <c r="D60729" s="0" t="s">
        <v>4644</v>
      </c>
      <c r="E60729" s="0" t="s">
        <v>20875</v>
      </c>
      <c r="F60729" s="0" t="s">
        <v>20875</v>
      </c>
    </row>
    <row r="60730" customFormat="false" ht="12.8" hidden="false" customHeight="false" outlineLevel="0" collapsed="false">
      <c r="B60730" s="0" t="s">
        <v>35</v>
      </c>
      <c r="C60730" s="0" t="s">
        <v>5360</v>
      </c>
      <c r="D60730" s="0" t="s">
        <v>4253</v>
      </c>
      <c r="E60730" s="0" t="s">
        <v>20876</v>
      </c>
      <c r="F60730" s="0" t="s">
        <v>20876</v>
      </c>
    </row>
    <row r="60732" customFormat="false" ht="12.8" hidden="false" customHeight="false" outlineLevel="0" collapsed="false">
      <c r="A60732" s="0" t="s">
        <v>20877</v>
      </c>
      <c r="B60732" s="0" t="str">
        <f aca="false">HYPERLINK("https://lindat.mff.cuni.cz/services/teitok/pdtc10/index.php?action=vallex&amp;frame=v-w8551f1", "vyvinout (v-w8551f1)")</f>
        <v>vyvinout (v-w8551f1)</v>
      </c>
    </row>
    <row r="60733" customFormat="false" ht="12.8" hidden="false" customHeight="false" outlineLevel="0" collapsed="false">
      <c r="B60733" s="0" t="s">
        <v>7</v>
      </c>
      <c r="C60733" s="0" t="s">
        <v>20878</v>
      </c>
      <c r="D60733" s="0" t="s">
        <v>2156</v>
      </c>
      <c r="E60733" s="0" t="s">
        <v>2156</v>
      </c>
      <c r="F60733" s="0" t="s">
        <v>2156</v>
      </c>
    </row>
    <row r="60734" customFormat="false" ht="12.8" hidden="false" customHeight="false" outlineLevel="0" collapsed="false">
      <c r="B60734" s="0" t="s">
        <v>20879</v>
      </c>
      <c r="C60734" s="0" t="s">
        <v>17603</v>
      </c>
      <c r="D60734" s="0" t="s">
        <v>9974</v>
      </c>
      <c r="E60734" s="0" t="s">
        <v>9974</v>
      </c>
      <c r="F60734" s="0" t="s">
        <v>9974</v>
      </c>
    </row>
    <row r="60736" customFormat="false" ht="12.8" hidden="false" customHeight="false" outlineLevel="0" collapsed="false">
      <c r="A60736" s="0" t="s">
        <v>20880</v>
      </c>
      <c r="B60736" s="0" t="str">
        <f aca="false">HYPERLINK("https://lindat.mff.cuni.cz/services/teitok/pdtc10/index.php?action=vallex&amp;frame=v-w8552f1", "vyvinout se (v-w8552f1)")</f>
        <v>vyvinout se (v-w8552f1)</v>
      </c>
    </row>
    <row r="60737" customFormat="false" ht="12.8" hidden="false" customHeight="false" outlineLevel="0" collapsed="false">
      <c r="B60737" s="0" t="s">
        <v>7</v>
      </c>
      <c r="C60737" s="0" t="s">
        <v>20881</v>
      </c>
      <c r="D60737" s="0" t="s">
        <v>6207</v>
      </c>
      <c r="E60737" s="0" t="s">
        <v>6207</v>
      </c>
      <c r="F60737" s="0" t="s">
        <v>6207</v>
      </c>
    </row>
    <row r="60738" customFormat="false" ht="12.8" hidden="false" customHeight="false" outlineLevel="0" collapsed="false">
      <c r="B60738" s="0" t="s">
        <v>2231</v>
      </c>
      <c r="C60738" s="0" t="s">
        <v>20882</v>
      </c>
      <c r="D60738" s="0" t="s">
        <v>6211</v>
      </c>
      <c r="E60738" s="0" t="s">
        <v>6211</v>
      </c>
      <c r="F60738" s="0" t="s">
        <v>6211</v>
      </c>
    </row>
    <row r="60739" customFormat="false" ht="12.8" hidden="false" customHeight="false" outlineLevel="0" collapsed="false">
      <c r="B60739" s="0" t="s">
        <v>35</v>
      </c>
      <c r="C60739" s="0" t="s">
        <v>6246</v>
      </c>
      <c r="D60739" s="0" t="s">
        <v>6214</v>
      </c>
      <c r="E60739" s="0" t="s">
        <v>6214</v>
      </c>
      <c r="F60739" s="0" t="s">
        <v>6214</v>
      </c>
    </row>
    <row r="60741" customFormat="false" ht="12.8" hidden="false" customHeight="false" outlineLevel="0" collapsed="false">
      <c r="A60741" s="0" t="s">
        <v>20883</v>
      </c>
      <c r="B60741" s="0" t="str">
        <f aca="false">HYPERLINK("https://lindat.mff.cuni.cz/services/teitok/pdtc10/index.php?action=vallex&amp;frame=v-w8552f2", "vyvinout se (v-w8552f2)")</f>
        <v>vyvinout se (v-w8552f2)</v>
      </c>
    </row>
    <row r="60742" customFormat="false" ht="12.8" hidden="false" customHeight="false" outlineLevel="0" collapsed="false">
      <c r="B60742" s="0" t="s">
        <v>7</v>
      </c>
      <c r="C60742" s="0" t="s">
        <v>20884</v>
      </c>
    </row>
    <row r="60743" customFormat="false" ht="12.8" hidden="false" customHeight="false" outlineLevel="0" collapsed="false">
      <c r="B60743" s="0" t="s">
        <v>227</v>
      </c>
      <c r="C60743" s="0" t="s">
        <v>8888</v>
      </c>
    </row>
    <row r="60745" customFormat="false" ht="12.8" hidden="false" customHeight="false" outlineLevel="0" collapsed="false">
      <c r="A60745" s="0" t="s">
        <v>20885</v>
      </c>
      <c r="B60745" s="0" t="str">
        <f aca="false">HYPERLINK("https://lindat.mff.cuni.cz/services/teitok/pdtc10/index.php?action=vallex&amp;frame=v-w8552f4_ZU", "vyvinout se (v-w8552f4_ZU)")</f>
        <v>vyvinout se (v-w8552f4_ZU)</v>
      </c>
    </row>
    <row r="60746" customFormat="false" ht="12.8" hidden="false" customHeight="false" outlineLevel="0" collapsed="false">
      <c r="B60746" s="0" t="s">
        <v>7</v>
      </c>
      <c r="C60746" s="0" t="s">
        <v>20804</v>
      </c>
      <c r="D60746" s="0" t="s">
        <v>5047</v>
      </c>
      <c r="E60746" s="0" t="s">
        <v>5047</v>
      </c>
      <c r="F60746" s="0" t="s">
        <v>5047</v>
      </c>
    </row>
    <row r="60748" customFormat="false" ht="12.8" hidden="false" customHeight="false" outlineLevel="0" collapsed="false">
      <c r="A60748" s="0" t="s">
        <v>20885</v>
      </c>
      <c r="B60748" s="0" t="str">
        <f aca="false">HYPERLINK("https://lindat.mff.cuni.cz/services/teitok/pdtc10/index.php?action=vallex&amp;frame=v-w8552f3_ZU", "vyvinout se (v-w8552f3_ZU) - substituted with v-w8552f4_ZU")</f>
        <v>vyvinout se (v-w8552f3_ZU) - substituted with v-w8552f4_ZU</v>
      </c>
    </row>
    <row r="60749" customFormat="false" ht="12.8" hidden="false" customHeight="false" outlineLevel="0" collapsed="false">
      <c r="B60749" s="0" t="s">
        <v>7</v>
      </c>
      <c r="C60749" s="0" t="s">
        <v>1378</v>
      </c>
    </row>
    <row r="60751" customFormat="false" ht="12.8" hidden="false" customHeight="false" outlineLevel="0" collapsed="false">
      <c r="A60751" s="0" t="s">
        <v>20886</v>
      </c>
      <c r="B60751" s="0" t="str">
        <f aca="false">HYPERLINK("https://lindat.mff.cuni.cz/services/teitok/pdtc10/index.php?action=vallex&amp;frame=v-w8552hsa_190", "vyvinout se (v-w8552hsa_190)")</f>
        <v>vyvinout se (v-w8552hsa_190)</v>
      </c>
    </row>
    <row r="60752" customFormat="false" ht="12.8" hidden="false" customHeight="false" outlineLevel="0" collapsed="false">
      <c r="B60752" s="0" t="s">
        <v>7</v>
      </c>
    </row>
    <row r="60754" customFormat="false" ht="12.8" hidden="false" customHeight="false" outlineLevel="0" collapsed="false">
      <c r="A60754" s="0" t="s">
        <v>20887</v>
      </c>
      <c r="B60754" s="0" t="str">
        <f aca="false">HYPERLINK("https://lindat.mff.cuni.cz/services/teitok/pdtc10/index.php?action=vallex&amp;frame=v-w8554f1", "vyvlastnit (v-w8554f1)")</f>
        <v>vyvlastnit (v-w8554f1)</v>
      </c>
    </row>
    <row r="60755" customFormat="false" ht="12.8" hidden="false" customHeight="false" outlineLevel="0" collapsed="false">
      <c r="B60755" s="0" t="s">
        <v>7</v>
      </c>
      <c r="C60755" s="0" t="s">
        <v>191</v>
      </c>
      <c r="D60755" s="0" t="s">
        <v>3051</v>
      </c>
      <c r="E60755" s="0" t="s">
        <v>3051</v>
      </c>
      <c r="F60755" s="0" t="s">
        <v>3051</v>
      </c>
    </row>
    <row r="60756" customFormat="false" ht="12.8" hidden="false" customHeight="false" outlineLevel="0" collapsed="false">
      <c r="B60756" s="0" t="s">
        <v>14</v>
      </c>
      <c r="C60756" s="0" t="s">
        <v>155</v>
      </c>
      <c r="D60756" s="0" t="s">
        <v>2394</v>
      </c>
      <c r="E60756" s="0" t="s">
        <v>2394</v>
      </c>
      <c r="F60756" s="0" t="s">
        <v>2394</v>
      </c>
    </row>
    <row r="60758" customFormat="false" ht="12.8" hidden="false" customHeight="false" outlineLevel="0" collapsed="false">
      <c r="A60758" s="0" t="s">
        <v>20888</v>
      </c>
      <c r="B60758" s="0" t="str">
        <f aca="false">HYPERLINK("https://lindat.mff.cuni.cz/services/teitok/pdtc10/index.php?action=vallex&amp;frame=v-w8554f2_ZU", "vyvlastnit (v-w8554f2_ZU)")</f>
        <v>vyvlastnit (v-w8554f2_ZU)</v>
      </c>
    </row>
    <row r="60759" customFormat="false" ht="12.8" hidden="false" customHeight="false" outlineLevel="0" collapsed="false">
      <c r="B60759" s="0" t="s">
        <v>7</v>
      </c>
    </row>
    <row r="60760" customFormat="false" ht="12.8" hidden="false" customHeight="false" outlineLevel="0" collapsed="false">
      <c r="B60760" s="0" t="s">
        <v>14</v>
      </c>
    </row>
    <row r="60762" customFormat="false" ht="12.8" hidden="false" customHeight="false" outlineLevel="0" collapsed="false">
      <c r="A60762" s="0" t="s">
        <v>20889</v>
      </c>
      <c r="B60762" s="0" t="str">
        <f aca="false">HYPERLINK("https://lindat.mff.cuni.cz/services/teitok/pdtc10/index.php?action=vallex&amp;frame=v-w11395f1", "vyvléci se (v-w11395f1)")</f>
        <v>vyvléci se (v-w11395f1)</v>
      </c>
    </row>
    <row r="60763" customFormat="false" ht="12.8" hidden="false" customHeight="false" outlineLevel="0" collapsed="false">
      <c r="B60763" s="0" t="s">
        <v>7</v>
      </c>
      <c r="D60763" s="0" t="s">
        <v>7000</v>
      </c>
      <c r="E60763" s="0" t="s">
        <v>7000</v>
      </c>
      <c r="F60763" s="0" t="s">
        <v>7000</v>
      </c>
    </row>
    <row r="60764" customFormat="false" ht="12.8" hidden="false" customHeight="false" outlineLevel="0" collapsed="false">
      <c r="B60764" s="0" t="s">
        <v>227</v>
      </c>
      <c r="D60764" s="0" t="s">
        <v>12969</v>
      </c>
      <c r="E60764" s="0" t="s">
        <v>12969</v>
      </c>
      <c r="F60764" s="0" t="s">
        <v>12969</v>
      </c>
    </row>
    <row r="60766" customFormat="false" ht="12.8" hidden="false" customHeight="false" outlineLevel="0" collapsed="false">
      <c r="A60766" s="0" t="s">
        <v>20890</v>
      </c>
      <c r="B60766" s="0" t="str">
        <f aca="false">HYPERLINK("https://lindat.mff.cuni.cz/services/teitok/pdtc10/index.php?action=vallex&amp;frame=v-w8556f1", "vyvléknout se (v-w8556f1)")</f>
        <v>vyvléknout se (v-w8556f1)</v>
      </c>
    </row>
    <row r="60767" customFormat="false" ht="12.8" hidden="false" customHeight="false" outlineLevel="0" collapsed="false">
      <c r="B60767" s="0" t="s">
        <v>7</v>
      </c>
    </row>
    <row r="60768" customFormat="false" ht="12.8" hidden="false" customHeight="false" outlineLevel="0" collapsed="false">
      <c r="B60768" s="0" t="s">
        <v>227</v>
      </c>
    </row>
    <row r="60770" customFormat="false" ht="12.8" hidden="false" customHeight="false" outlineLevel="0" collapsed="false">
      <c r="A60770" s="0" t="s">
        <v>20891</v>
      </c>
      <c r="B60770" s="0" t="str">
        <f aca="false">HYPERLINK("https://lindat.mff.cuni.cz/services/teitok/pdtc10/index.php?action=vallex&amp;frame=v-w8556f2", "vyvléknout se (v-w8556f2)")</f>
        <v>vyvléknout se (v-w8556f2)</v>
      </c>
    </row>
    <row r="60771" customFormat="false" ht="12.8" hidden="false" customHeight="false" outlineLevel="0" collapsed="false">
      <c r="B60771" s="0" t="s">
        <v>7</v>
      </c>
    </row>
    <row r="60772" customFormat="false" ht="12.8" hidden="false" customHeight="false" outlineLevel="0" collapsed="false">
      <c r="B60772" s="0" t="s">
        <v>459</v>
      </c>
    </row>
    <row r="60774" customFormat="false" ht="12.8" hidden="false" customHeight="false" outlineLevel="0" collapsed="false">
      <c r="A60774" s="0" t="s">
        <v>20892</v>
      </c>
      <c r="B60774" s="0" t="str">
        <f aca="false">HYPERLINK("https://lindat.mff.cuni.cz/services/teitok/pdtc10/index.php?action=vallex&amp;frame=v-whsa_765hsa_766", "vyvlíknout se (v-whsa_765hsa_766)")</f>
        <v>vyvlíknout se (v-whsa_765hsa_766)</v>
      </c>
    </row>
    <row r="60775" customFormat="false" ht="12.8" hidden="false" customHeight="false" outlineLevel="0" collapsed="false">
      <c r="B60775" s="0" t="s">
        <v>7</v>
      </c>
      <c r="C60775" s="0" t="s">
        <v>4445</v>
      </c>
    </row>
    <row r="60776" customFormat="false" ht="12.8" hidden="false" customHeight="false" outlineLevel="0" collapsed="false">
      <c r="B60776" s="0" t="s">
        <v>459</v>
      </c>
    </row>
    <row r="60778" customFormat="false" ht="12.8" hidden="false" customHeight="false" outlineLevel="0" collapsed="false">
      <c r="A60778" s="0" t="s">
        <v>20893</v>
      </c>
      <c r="B60778" s="0" t="str">
        <f aca="false">HYPERLINK("https://lindat.mff.cuni.cz/services/teitok/pdtc10/index.php?action=vallex&amp;frame=v-w8557f1", "vyvodit (v-w8557f1)")</f>
        <v>vyvodit (v-w8557f1)</v>
      </c>
    </row>
    <row r="60779" customFormat="false" ht="12.8" hidden="false" customHeight="false" outlineLevel="0" collapsed="false">
      <c r="B60779" s="0" t="s">
        <v>7</v>
      </c>
      <c r="C60779" s="0" t="s">
        <v>7173</v>
      </c>
      <c r="D60779" s="0" t="s">
        <v>18259</v>
      </c>
      <c r="E60779" s="0" t="s">
        <v>18259</v>
      </c>
      <c r="F60779" s="0" t="s">
        <v>18259</v>
      </c>
    </row>
    <row r="60780" customFormat="false" ht="12.8" hidden="false" customHeight="false" outlineLevel="0" collapsed="false">
      <c r="B60780" s="0" t="s">
        <v>14047</v>
      </c>
      <c r="C60780" s="0" t="s">
        <v>7703</v>
      </c>
      <c r="D60780" s="0" t="s">
        <v>18260</v>
      </c>
      <c r="E60780" s="0" t="s">
        <v>18260</v>
      </c>
      <c r="F60780" s="0" t="s">
        <v>18260</v>
      </c>
    </row>
    <row r="60781" customFormat="false" ht="12.8" hidden="false" customHeight="false" outlineLevel="0" collapsed="false">
      <c r="B60781" s="0" t="s">
        <v>20894</v>
      </c>
    </row>
    <row r="60783" customFormat="false" ht="12.8" hidden="false" customHeight="false" outlineLevel="0" collapsed="false">
      <c r="A60783" s="0" t="s">
        <v>20895</v>
      </c>
      <c r="B60783" s="0" t="str">
        <f aca="false">HYPERLINK("https://lindat.mff.cuni.cz/services/teitok/pdtc10/index.php?action=vallex&amp;frame=v-w8557f2", "vyvodit (v-w8557f2)")</f>
        <v>vyvodit (v-w8557f2)</v>
      </c>
    </row>
    <row r="60784" customFormat="false" ht="12.8" hidden="false" customHeight="false" outlineLevel="0" collapsed="false">
      <c r="B60784" s="0" t="s">
        <v>7</v>
      </c>
      <c r="C60784" s="0" t="s">
        <v>68</v>
      </c>
      <c r="D60784" s="0" t="s">
        <v>2022</v>
      </c>
      <c r="E60784" s="0" t="s">
        <v>2022</v>
      </c>
      <c r="F60784" s="0" t="s">
        <v>2022</v>
      </c>
    </row>
    <row r="60785" customFormat="false" ht="12.8" hidden="false" customHeight="false" outlineLevel="0" collapsed="false">
      <c r="B60785" s="0" t="s">
        <v>8621</v>
      </c>
      <c r="C60785" s="0" t="s">
        <v>16169</v>
      </c>
      <c r="D60785" s="0" t="s">
        <v>2025</v>
      </c>
      <c r="E60785" s="0" t="s">
        <v>2025</v>
      </c>
      <c r="F60785" s="0" t="s">
        <v>2025</v>
      </c>
    </row>
    <row r="60786" customFormat="false" ht="12.8" hidden="false" customHeight="false" outlineLevel="0" collapsed="false">
      <c r="B60786" s="0" t="s">
        <v>363</v>
      </c>
      <c r="D60786" s="0" t="s">
        <v>2027</v>
      </c>
      <c r="E60786" s="0" t="s">
        <v>2027</v>
      </c>
      <c r="F60786" s="0" t="s">
        <v>2027</v>
      </c>
    </row>
    <row r="60788" customFormat="false" ht="12.8" hidden="false" customHeight="false" outlineLevel="0" collapsed="false">
      <c r="A60788" s="0" t="s">
        <v>20896</v>
      </c>
      <c r="B60788" s="0" t="str">
        <f aca="false">HYPERLINK("https://lindat.mff.cuni.cz/services/teitok/pdtc10/index.php?action=vallex&amp;frame=v-w8561f12_ZU", "vyvolat (v-w8561f12_ZU)")</f>
        <v>vyvolat (v-w8561f12_ZU)</v>
      </c>
    </row>
    <row r="60789" customFormat="false" ht="12.8" hidden="false" customHeight="false" outlineLevel="0" collapsed="false">
      <c r="B60789" s="0" t="s">
        <v>7</v>
      </c>
      <c r="C60789" s="0" t="s">
        <v>31</v>
      </c>
      <c r="D60789" s="0" t="s">
        <v>570</v>
      </c>
      <c r="E60789" s="0" t="s">
        <v>570</v>
      </c>
      <c r="F60789" s="0" t="s">
        <v>570</v>
      </c>
    </row>
    <row r="60790" customFormat="false" ht="12.8" hidden="false" customHeight="false" outlineLevel="0" collapsed="false">
      <c r="B60790" s="0" t="s">
        <v>14</v>
      </c>
      <c r="C60790" s="0" t="s">
        <v>78</v>
      </c>
      <c r="D60790" s="0" t="s">
        <v>5917</v>
      </c>
      <c r="E60790" s="0" t="s">
        <v>5917</v>
      </c>
      <c r="F60790" s="0" t="s">
        <v>5917</v>
      </c>
    </row>
    <row r="60792" customFormat="false" ht="12.8" hidden="false" customHeight="false" outlineLevel="0" collapsed="false">
      <c r="A60792" s="0" t="s">
        <v>20896</v>
      </c>
      <c r="B60792" s="0" t="str">
        <f aca="false">HYPERLINK("https://lindat.mff.cuni.cz/services/teitok/pdtc10/index.php?action=vallex&amp;frame=v-w8561f1", "vyvolat (v-w8561f1) - substituted with v-w8561f12_ZU")</f>
        <v>vyvolat (v-w8561f1) - substituted with v-w8561f12_ZU</v>
      </c>
    </row>
    <row r="60793" customFormat="false" ht="12.8" hidden="false" customHeight="false" outlineLevel="0" collapsed="false">
      <c r="B60793" s="0" t="s">
        <v>7</v>
      </c>
      <c r="C60793" s="0" t="s">
        <v>20897</v>
      </c>
    </row>
    <row r="60794" customFormat="false" ht="12.8" hidden="false" customHeight="false" outlineLevel="0" collapsed="false">
      <c r="B60794" s="0" t="s">
        <v>14</v>
      </c>
      <c r="C60794" s="0" t="s">
        <v>20898</v>
      </c>
    </row>
    <row r="60796" customFormat="false" ht="12.8" hidden="false" customHeight="false" outlineLevel="0" collapsed="false">
      <c r="A60796" s="0" t="s">
        <v>20899</v>
      </c>
      <c r="B60796" s="0" t="str">
        <f aca="false">HYPERLINK("https://lindat.mff.cuni.cz/services/teitok/pdtc10/index.php?action=vallex&amp;frame=v-w8561f3", "vyvolat (v-w8561f3)")</f>
        <v>vyvolat (v-w8561f3)</v>
      </c>
    </row>
    <row r="60797" customFormat="false" ht="12.8" hidden="false" customHeight="false" outlineLevel="0" collapsed="false">
      <c r="B60797" s="0" t="s">
        <v>7</v>
      </c>
      <c r="C60797" s="0" t="s">
        <v>191</v>
      </c>
    </row>
    <row r="60798" customFormat="false" ht="12.8" hidden="false" customHeight="false" outlineLevel="0" collapsed="false">
      <c r="B60798" s="0" t="s">
        <v>14</v>
      </c>
      <c r="C60798" s="0" t="s">
        <v>115</v>
      </c>
    </row>
    <row r="60800" customFormat="false" ht="12.8" hidden="false" customHeight="false" outlineLevel="0" collapsed="false">
      <c r="A60800" s="0" t="s">
        <v>20900</v>
      </c>
      <c r="B60800" s="0" t="str">
        <f aca="false">HYPERLINK("https://lindat.mff.cuni.cz/services/teitok/pdtc10/index.php?action=vallex&amp;frame=v-w8561f4", "vyvolat (v-w8561f4)")</f>
        <v>vyvolat (v-w8561f4)</v>
      </c>
    </row>
    <row r="60801" customFormat="false" ht="12.8" hidden="false" customHeight="false" outlineLevel="0" collapsed="false">
      <c r="B60801" s="0" t="s">
        <v>7</v>
      </c>
    </row>
    <row r="60802" customFormat="false" ht="12.8" hidden="false" customHeight="false" outlineLevel="0" collapsed="false">
      <c r="B60802" s="0" t="s">
        <v>14</v>
      </c>
    </row>
    <row r="60804" customFormat="false" ht="12.8" hidden="false" customHeight="false" outlineLevel="0" collapsed="false">
      <c r="A60804" s="0" t="s">
        <v>20901</v>
      </c>
      <c r="B60804" s="0" t="str">
        <f aca="false">HYPERLINK("https://lindat.mff.cuni.cz/services/teitok/pdtc10/index.php?action=vallex&amp;frame=v-w8561f13_ZU", "vyvolat (v-w8561f13_ZU)")</f>
        <v>vyvolat (v-w8561f13_ZU)</v>
      </c>
    </row>
    <row r="60805" customFormat="false" ht="12.8" hidden="false" customHeight="false" outlineLevel="0" collapsed="false">
      <c r="B60805" s="0" t="s">
        <v>457</v>
      </c>
      <c r="C60805" s="0" t="s">
        <v>1287</v>
      </c>
      <c r="D60805" s="0" t="s">
        <v>570</v>
      </c>
      <c r="E60805" s="0" t="s">
        <v>570</v>
      </c>
      <c r="F60805" s="0" t="s">
        <v>570</v>
      </c>
    </row>
    <row r="60806" customFormat="false" ht="12.8" hidden="false" customHeight="false" outlineLevel="0" collapsed="false">
      <c r="B60806" s="0" t="s">
        <v>20902</v>
      </c>
      <c r="C60806" s="0" t="s">
        <v>20903</v>
      </c>
      <c r="D60806" s="0" t="s">
        <v>573</v>
      </c>
      <c r="E60806" s="0" t="s">
        <v>573</v>
      </c>
      <c r="F60806" s="0" t="s">
        <v>573</v>
      </c>
    </row>
    <row r="60807" customFormat="false" ht="12.8" hidden="false" customHeight="false" outlineLevel="0" collapsed="false">
      <c r="B60807" s="0" t="s">
        <v>11</v>
      </c>
      <c r="D60807" s="0" t="s">
        <v>574</v>
      </c>
      <c r="E60807" s="0" t="s">
        <v>574</v>
      </c>
      <c r="F60807" s="0" t="s">
        <v>574</v>
      </c>
    </row>
    <row r="60809" customFormat="false" ht="12.8" hidden="false" customHeight="false" outlineLevel="0" collapsed="false">
      <c r="A60809" s="0" t="s">
        <v>20901</v>
      </c>
      <c r="B60809" s="0" t="str">
        <f aca="false">HYPERLINK("https://lindat.mff.cuni.cz/services/teitok/pdtc10/index.php?action=vallex&amp;frame=v-w8561f10_ZU", "vyvolat (v-w8561f10_ZU) - substituted with v-w8561f13_ZU")</f>
        <v>vyvolat (v-w8561f10_ZU) - substituted with v-w8561f13_ZU</v>
      </c>
    </row>
    <row r="60810" customFormat="false" ht="12.8" hidden="false" customHeight="false" outlineLevel="0" collapsed="false">
      <c r="B60810" s="0" t="s">
        <v>457</v>
      </c>
      <c r="C60810" s="0" t="s">
        <v>20904</v>
      </c>
    </row>
    <row r="60811" customFormat="false" ht="12.8" hidden="false" customHeight="false" outlineLevel="0" collapsed="false">
      <c r="B60811" s="0" t="s">
        <v>20902</v>
      </c>
      <c r="C60811" s="0" t="s">
        <v>20905</v>
      </c>
    </row>
    <row r="60812" customFormat="false" ht="12.8" hidden="false" customHeight="false" outlineLevel="0" collapsed="false">
      <c r="B60812" s="0" t="s">
        <v>11</v>
      </c>
    </row>
    <row r="60814" customFormat="false" ht="12.8" hidden="false" customHeight="false" outlineLevel="0" collapsed="false">
      <c r="A60814" s="0" t="s">
        <v>20901</v>
      </c>
      <c r="B60814" s="0" t="str">
        <f aca="false">HYPERLINK("https://lindat.mff.cuni.cz/services/teitok/pdtc10/index.php?action=vallex&amp;frame=v-w8561f11_ZU", "vyvolat (v-w8561f11_ZU) - substituted with v-w8561f13_ZU")</f>
        <v>vyvolat (v-w8561f11_ZU) - substituted with v-w8561f13_ZU</v>
      </c>
    </row>
    <row r="60815" customFormat="false" ht="12.8" hidden="false" customHeight="false" outlineLevel="0" collapsed="false">
      <c r="B60815" s="0" t="s">
        <v>457</v>
      </c>
      <c r="C60815" s="0" t="s">
        <v>20906</v>
      </c>
    </row>
    <row r="60816" customFormat="false" ht="12.8" hidden="false" customHeight="false" outlineLevel="0" collapsed="false">
      <c r="B60816" s="0" t="s">
        <v>20902</v>
      </c>
      <c r="C60816" s="0" t="s">
        <v>20907</v>
      </c>
    </row>
    <row r="60817" customFormat="false" ht="12.8" hidden="false" customHeight="false" outlineLevel="0" collapsed="false">
      <c r="B60817" s="0" t="s">
        <v>11</v>
      </c>
    </row>
    <row r="60819" customFormat="false" ht="12.8" hidden="false" customHeight="false" outlineLevel="0" collapsed="false">
      <c r="A60819" s="0" t="s">
        <v>20901</v>
      </c>
      <c r="B60819" s="0" t="str">
        <f aca="false">HYPERLINK("https://lindat.mff.cuni.cz/services/teitok/pdtc10/index.php?action=vallex&amp;frame=v-w8561f2", "vyvolat (v-w8561f2) - substituted with v-w8561f13_ZU")</f>
        <v>vyvolat (v-w8561f2) - substituted with v-w8561f13_ZU</v>
      </c>
    </row>
    <row r="60820" customFormat="false" ht="12.8" hidden="false" customHeight="false" outlineLevel="0" collapsed="false">
      <c r="B60820" s="0" t="s">
        <v>457</v>
      </c>
      <c r="C60820" s="0" t="s">
        <v>20908</v>
      </c>
    </row>
    <row r="60821" customFormat="false" ht="12.8" hidden="false" customHeight="false" outlineLevel="0" collapsed="false">
      <c r="B60821" s="0" t="s">
        <v>20902</v>
      </c>
      <c r="C60821" s="0" t="s">
        <v>20909</v>
      </c>
    </row>
    <row r="60822" customFormat="false" ht="12.8" hidden="false" customHeight="false" outlineLevel="0" collapsed="false">
      <c r="B60822" s="0" t="s">
        <v>11</v>
      </c>
    </row>
    <row r="60824" customFormat="false" ht="12.8" hidden="false" customHeight="false" outlineLevel="0" collapsed="false">
      <c r="A60824" s="0" t="s">
        <v>20901</v>
      </c>
      <c r="B60824" s="0" t="str">
        <f aca="false">HYPERLINK("https://lindat.mff.cuni.cz/services/teitok/pdtc10/index.php?action=vallex&amp;frame=v-w8561f5_ZU", "vyvolat (v-w8561f5_ZU) - substituted with v-w8561f13_ZU")</f>
        <v>vyvolat (v-w8561f5_ZU) - substituted with v-w8561f13_ZU</v>
      </c>
    </row>
    <row r="60825" customFormat="false" ht="12.8" hidden="false" customHeight="false" outlineLevel="0" collapsed="false">
      <c r="B60825" s="0" t="s">
        <v>457</v>
      </c>
    </row>
    <row r="60826" customFormat="false" ht="12.8" hidden="false" customHeight="false" outlineLevel="0" collapsed="false">
      <c r="B60826" s="0" t="s">
        <v>20902</v>
      </c>
    </row>
    <row r="60827" customFormat="false" ht="12.8" hidden="false" customHeight="false" outlineLevel="0" collapsed="false">
      <c r="B60827" s="0" t="s">
        <v>11</v>
      </c>
    </row>
    <row r="60829" customFormat="false" ht="12.8" hidden="false" customHeight="false" outlineLevel="0" collapsed="false">
      <c r="A60829" s="0" t="s">
        <v>20901</v>
      </c>
      <c r="B60829" s="0" t="str">
        <f aca="false">HYPERLINK("https://lindat.mff.cuni.cz/services/teitok/pdtc10/index.php?action=vallex&amp;frame=v-w8561f6_ZU", "vyvolat (v-w8561f6_ZU) - substituted with v-w8561f13_ZU")</f>
        <v>vyvolat (v-w8561f6_ZU) - substituted with v-w8561f13_ZU</v>
      </c>
    </row>
    <row r="60830" customFormat="false" ht="12.8" hidden="false" customHeight="false" outlineLevel="0" collapsed="false">
      <c r="B60830" s="0" t="s">
        <v>457</v>
      </c>
      <c r="C60830" s="0" t="s">
        <v>6398</v>
      </c>
    </row>
    <row r="60831" customFormat="false" ht="12.8" hidden="false" customHeight="false" outlineLevel="0" collapsed="false">
      <c r="B60831" s="0" t="s">
        <v>20902</v>
      </c>
      <c r="C60831" s="0" t="s">
        <v>20910</v>
      </c>
    </row>
    <row r="60832" customFormat="false" ht="12.8" hidden="false" customHeight="false" outlineLevel="0" collapsed="false">
      <c r="B60832" s="0" t="s">
        <v>11</v>
      </c>
    </row>
    <row r="60834" customFormat="false" ht="12.8" hidden="false" customHeight="false" outlineLevel="0" collapsed="false">
      <c r="A60834" s="0" t="s">
        <v>20901</v>
      </c>
      <c r="B60834" s="0" t="str">
        <f aca="false">HYPERLINK("https://lindat.mff.cuni.cz/services/teitok/pdtc10/index.php?action=vallex&amp;frame=v-w8561f7_ZU", "vyvolat (v-w8561f7_ZU) - substituted with v-w8561f13_ZU")</f>
        <v>vyvolat (v-w8561f7_ZU) - substituted with v-w8561f13_ZU</v>
      </c>
    </row>
    <row r="60835" customFormat="false" ht="12.8" hidden="false" customHeight="false" outlineLevel="0" collapsed="false">
      <c r="B60835" s="0" t="s">
        <v>457</v>
      </c>
      <c r="C60835" s="0" t="s">
        <v>20911</v>
      </c>
    </row>
    <row r="60836" customFormat="false" ht="12.8" hidden="false" customHeight="false" outlineLevel="0" collapsed="false">
      <c r="B60836" s="0" t="s">
        <v>20902</v>
      </c>
      <c r="C60836" s="0" t="s">
        <v>20912</v>
      </c>
    </row>
    <row r="60837" customFormat="false" ht="12.8" hidden="false" customHeight="false" outlineLevel="0" collapsed="false">
      <c r="B60837" s="0" t="s">
        <v>11</v>
      </c>
    </row>
    <row r="60839" customFormat="false" ht="12.8" hidden="false" customHeight="false" outlineLevel="0" collapsed="false">
      <c r="A60839" s="0" t="s">
        <v>20901</v>
      </c>
      <c r="B60839" s="0" t="str">
        <f aca="false">HYPERLINK("https://lindat.mff.cuni.cz/services/teitok/pdtc10/index.php?action=vallex&amp;frame=v-w8561f8_ZU", "vyvolat (v-w8561f8_ZU) - substituted with v-w8561f13_ZU")</f>
        <v>vyvolat (v-w8561f8_ZU) - substituted with v-w8561f13_ZU</v>
      </c>
    </row>
    <row r="60840" customFormat="false" ht="12.8" hidden="false" customHeight="false" outlineLevel="0" collapsed="false">
      <c r="B60840" s="0" t="s">
        <v>457</v>
      </c>
      <c r="C60840" s="0" t="s">
        <v>20913</v>
      </c>
    </row>
    <row r="60841" customFormat="false" ht="12.8" hidden="false" customHeight="false" outlineLevel="0" collapsed="false">
      <c r="B60841" s="0" t="s">
        <v>20902</v>
      </c>
      <c r="C60841" s="0" t="s">
        <v>20914</v>
      </c>
    </row>
    <row r="60842" customFormat="false" ht="12.8" hidden="false" customHeight="false" outlineLevel="0" collapsed="false">
      <c r="B60842" s="0" t="s">
        <v>11</v>
      </c>
    </row>
    <row r="60844" customFormat="false" ht="12.8" hidden="false" customHeight="false" outlineLevel="0" collapsed="false">
      <c r="A60844" s="0" t="s">
        <v>20901</v>
      </c>
      <c r="B60844" s="0" t="str">
        <f aca="false">HYPERLINK("https://lindat.mff.cuni.cz/services/teitok/pdtc10/index.php?action=vallex&amp;frame=v-w8561f9_ZU", "vyvolat (v-w8561f9_ZU) - substituted with v-w8561f13_ZU")</f>
        <v>vyvolat (v-w8561f9_ZU) - substituted with v-w8561f13_ZU</v>
      </c>
    </row>
    <row r="60845" customFormat="false" ht="12.8" hidden="false" customHeight="false" outlineLevel="0" collapsed="false">
      <c r="B60845" s="0" t="s">
        <v>457</v>
      </c>
      <c r="C60845" s="0" t="s">
        <v>20915</v>
      </c>
    </row>
    <row r="60846" customFormat="false" ht="12.8" hidden="false" customHeight="false" outlineLevel="0" collapsed="false">
      <c r="B60846" s="0" t="s">
        <v>20902</v>
      </c>
      <c r="C60846" s="0" t="s">
        <v>20916</v>
      </c>
    </row>
    <row r="60847" customFormat="false" ht="12.8" hidden="false" customHeight="false" outlineLevel="0" collapsed="false">
      <c r="B60847" s="0" t="s">
        <v>11</v>
      </c>
    </row>
    <row r="60849" customFormat="false" ht="12.8" hidden="false" customHeight="false" outlineLevel="0" collapsed="false">
      <c r="A60849" s="0" t="s">
        <v>20901</v>
      </c>
      <c r="B60849" s="0" t="str">
        <f aca="false">HYPERLINK("https://lindat.mff.cuni.cz/services/teitok/pdtc10/index.php?action=vallex&amp;frame=v-w8561hsa_638", "vyvolat (v-w8561hsa_638) - substituted with v-w8561f13_ZU")</f>
        <v>vyvolat (v-w8561hsa_638) - substituted with v-w8561f13_ZU</v>
      </c>
    </row>
    <row r="60850" customFormat="false" ht="12.8" hidden="false" customHeight="false" outlineLevel="0" collapsed="false">
      <c r="B60850" s="0" t="s">
        <v>457</v>
      </c>
    </row>
    <row r="60851" customFormat="false" ht="12.8" hidden="false" customHeight="false" outlineLevel="0" collapsed="false">
      <c r="B60851" s="0" t="s">
        <v>20902</v>
      </c>
    </row>
    <row r="60852" customFormat="false" ht="12.8" hidden="false" customHeight="false" outlineLevel="0" collapsed="false">
      <c r="B60852" s="0" t="s">
        <v>11</v>
      </c>
    </row>
    <row r="60854" customFormat="false" ht="12.8" hidden="false" customHeight="false" outlineLevel="0" collapsed="false">
      <c r="A60854" s="0" t="s">
        <v>20917</v>
      </c>
      <c r="B60854" s="0" t="str">
        <f aca="false">HYPERLINK("https://lindat.mff.cuni.cz/services/teitok/pdtc10/index.php?action=vallex&amp;frame=v-w8561hsa_637", "vyvolat (v-w8561hsa_637)")</f>
        <v>vyvolat (v-w8561hsa_637)</v>
      </c>
    </row>
    <row r="60855" customFormat="false" ht="12.8" hidden="false" customHeight="false" outlineLevel="0" collapsed="false">
      <c r="B60855" s="0" t="s">
        <v>7</v>
      </c>
    </row>
    <row r="60856" customFormat="false" ht="12.8" hidden="false" customHeight="false" outlineLevel="0" collapsed="false">
      <c r="B60856" s="0" t="s">
        <v>14</v>
      </c>
    </row>
    <row r="60858" customFormat="false" ht="12.8" hidden="false" customHeight="false" outlineLevel="0" collapsed="false">
      <c r="A60858" s="0" t="s">
        <v>20918</v>
      </c>
      <c r="B60858" s="0" t="str">
        <f aca="false">HYPERLINK("https://lindat.mff.cuni.cz/services/teitok/pdtc10/index.php?action=vallex&amp;frame=v-w8561f14_ZU", "vyvolat (v-w8561f14_ZU)")</f>
        <v>vyvolat (v-w8561f14_ZU)</v>
      </c>
    </row>
    <row r="60859" customFormat="false" ht="12.8" hidden="false" customHeight="false" outlineLevel="0" collapsed="false">
      <c r="B60859" s="0" t="s">
        <v>7</v>
      </c>
    </row>
    <row r="60860" customFormat="false" ht="12.8" hidden="false" customHeight="false" outlineLevel="0" collapsed="false">
      <c r="B60860" s="0" t="s">
        <v>54</v>
      </c>
    </row>
    <row r="60862" customFormat="false" ht="12.8" hidden="false" customHeight="false" outlineLevel="0" collapsed="false">
      <c r="A60862" s="0" t="s">
        <v>20919</v>
      </c>
      <c r="B60862" s="0" t="str">
        <f aca="false">HYPERLINK("https://lindat.mff.cuni.cz/services/teitok/pdtc10/index.php?action=vallex&amp;frame=v-w8565f4", "vyvolávat (v-w8565f4)")</f>
        <v>vyvolávat (v-w8565f4)</v>
      </c>
    </row>
    <row r="60863" customFormat="false" ht="12.8" hidden="false" customHeight="false" outlineLevel="0" collapsed="false">
      <c r="B60863" s="0" t="s">
        <v>457</v>
      </c>
    </row>
    <row r="60864" customFormat="false" ht="12.8" hidden="false" customHeight="false" outlineLevel="0" collapsed="false">
      <c r="B60864" s="0" t="s">
        <v>14</v>
      </c>
    </row>
    <row r="60866" customFormat="false" ht="12.8" hidden="false" customHeight="false" outlineLevel="0" collapsed="false">
      <c r="A60866" s="0" t="s">
        <v>20920</v>
      </c>
      <c r="B60866" s="0" t="str">
        <f aca="false">HYPERLINK("https://lindat.mff.cuni.cz/services/teitok/pdtc10/index.php?action=vallex&amp;frame=v-w8565f1", "vyvolávat (v-w8565f1)")</f>
        <v>vyvolávat (v-w8565f1)</v>
      </c>
    </row>
    <row r="60867" customFormat="false" ht="12.8" hidden="false" customHeight="false" outlineLevel="0" collapsed="false">
      <c r="B60867" s="0" t="s">
        <v>7</v>
      </c>
      <c r="C60867" s="0" t="s">
        <v>20921</v>
      </c>
      <c r="D60867" s="0" t="s">
        <v>570</v>
      </c>
      <c r="E60867" s="0" t="s">
        <v>570</v>
      </c>
      <c r="F60867" s="0" t="s">
        <v>570</v>
      </c>
    </row>
    <row r="60868" customFormat="false" ht="12.8" hidden="false" customHeight="false" outlineLevel="0" collapsed="false">
      <c r="B60868" s="0" t="s">
        <v>14</v>
      </c>
      <c r="C60868" s="0" t="s">
        <v>20922</v>
      </c>
      <c r="D60868" s="0" t="s">
        <v>5917</v>
      </c>
      <c r="E60868" s="0" t="s">
        <v>5917</v>
      </c>
      <c r="F60868" s="0" t="s">
        <v>5917</v>
      </c>
    </row>
    <row r="60870" customFormat="false" ht="12.8" hidden="false" customHeight="false" outlineLevel="0" collapsed="false">
      <c r="A60870" s="0" t="s">
        <v>20923</v>
      </c>
      <c r="B60870" s="0" t="str">
        <f aca="false">HYPERLINK("https://lindat.mff.cuni.cz/services/teitok/pdtc10/index.php?action=vallex&amp;frame=v-w8565f10_ZU", "vyvolávat (v-w8565f10_ZU)")</f>
        <v>vyvolávat (v-w8565f10_ZU)</v>
      </c>
    </row>
    <row r="60871" customFormat="false" ht="12.8" hidden="false" customHeight="false" outlineLevel="0" collapsed="false">
      <c r="B60871" s="0" t="s">
        <v>457</v>
      </c>
    </row>
    <row r="60872" customFormat="false" ht="12.8" hidden="false" customHeight="false" outlineLevel="0" collapsed="false">
      <c r="B60872" s="0" t="s">
        <v>20924</v>
      </c>
    </row>
    <row r="60873" customFormat="false" ht="12.8" hidden="false" customHeight="false" outlineLevel="0" collapsed="false">
      <c r="B60873" s="0" t="s">
        <v>11</v>
      </c>
    </row>
    <row r="60875" customFormat="false" ht="12.8" hidden="false" customHeight="false" outlineLevel="0" collapsed="false">
      <c r="A60875" s="0" t="s">
        <v>20923</v>
      </c>
      <c r="B60875" s="0" t="str">
        <f aca="false">HYPERLINK("https://lindat.mff.cuni.cz/services/teitok/pdtc10/index.php?action=vallex&amp;frame=v-w8565f2", "vyvolávat (v-w8565f2) - substituted with v-w8565f10_ZU")</f>
        <v>vyvolávat (v-w8565f2) - substituted with v-w8565f10_ZU</v>
      </c>
    </row>
    <row r="60876" customFormat="false" ht="12.8" hidden="false" customHeight="false" outlineLevel="0" collapsed="false">
      <c r="B60876" s="0" t="s">
        <v>457</v>
      </c>
      <c r="C60876" s="0" t="s">
        <v>14080</v>
      </c>
    </row>
    <row r="60877" customFormat="false" ht="12.8" hidden="false" customHeight="false" outlineLevel="0" collapsed="false">
      <c r="B60877" s="0" t="s">
        <v>20924</v>
      </c>
      <c r="C60877" s="0" t="s">
        <v>20925</v>
      </c>
    </row>
    <row r="60878" customFormat="false" ht="12.8" hidden="false" customHeight="false" outlineLevel="0" collapsed="false">
      <c r="B60878" s="0" t="s">
        <v>11</v>
      </c>
    </row>
    <row r="60880" customFormat="false" ht="12.8" hidden="false" customHeight="false" outlineLevel="0" collapsed="false">
      <c r="A60880" s="0" t="s">
        <v>20923</v>
      </c>
      <c r="B60880" s="0" t="str">
        <f aca="false">HYPERLINK("https://lindat.mff.cuni.cz/services/teitok/pdtc10/index.php?action=vallex&amp;frame=v-w8565f5_ZU", "vyvolávat (v-w8565f5_ZU) - substituted with v-w8565f10_ZU")</f>
        <v>vyvolávat (v-w8565f5_ZU) - substituted with v-w8565f10_ZU</v>
      </c>
    </row>
    <row r="60881" customFormat="false" ht="12.8" hidden="false" customHeight="false" outlineLevel="0" collapsed="false">
      <c r="B60881" s="0" t="s">
        <v>457</v>
      </c>
      <c r="C60881" s="0" t="s">
        <v>6398</v>
      </c>
    </row>
    <row r="60882" customFormat="false" ht="12.8" hidden="false" customHeight="false" outlineLevel="0" collapsed="false">
      <c r="B60882" s="0" t="s">
        <v>20924</v>
      </c>
      <c r="C60882" s="0" t="s">
        <v>20910</v>
      </c>
    </row>
    <row r="60883" customFormat="false" ht="12.8" hidden="false" customHeight="false" outlineLevel="0" collapsed="false">
      <c r="B60883" s="0" t="s">
        <v>11</v>
      </c>
    </row>
    <row r="60885" customFormat="false" ht="12.8" hidden="false" customHeight="false" outlineLevel="0" collapsed="false">
      <c r="A60885" s="0" t="s">
        <v>20923</v>
      </c>
      <c r="B60885" s="0" t="str">
        <f aca="false">HYPERLINK("https://lindat.mff.cuni.cz/services/teitok/pdtc10/index.php?action=vallex&amp;frame=v-w8565f6_ZU", "vyvolávat (v-w8565f6_ZU) - substituted with v-w8565f10_ZU")</f>
        <v>vyvolávat (v-w8565f6_ZU) - substituted with v-w8565f10_ZU</v>
      </c>
    </row>
    <row r="60886" customFormat="false" ht="12.8" hidden="false" customHeight="false" outlineLevel="0" collapsed="false">
      <c r="B60886" s="0" t="s">
        <v>457</v>
      </c>
      <c r="C60886" s="0" t="s">
        <v>4568</v>
      </c>
    </row>
    <row r="60887" customFormat="false" ht="12.8" hidden="false" customHeight="false" outlineLevel="0" collapsed="false">
      <c r="B60887" s="0" t="s">
        <v>20924</v>
      </c>
      <c r="C60887" s="0" t="s">
        <v>20910</v>
      </c>
    </row>
    <row r="60888" customFormat="false" ht="12.8" hidden="false" customHeight="false" outlineLevel="0" collapsed="false">
      <c r="B60888" s="0" t="s">
        <v>11</v>
      </c>
    </row>
    <row r="60890" customFormat="false" ht="12.8" hidden="false" customHeight="false" outlineLevel="0" collapsed="false">
      <c r="A60890" s="0" t="s">
        <v>20923</v>
      </c>
      <c r="B60890" s="0" t="str">
        <f aca="false">HYPERLINK("https://lindat.mff.cuni.cz/services/teitok/pdtc10/index.php?action=vallex&amp;frame=v-w8565f7_ZU", "vyvolávat (v-w8565f7_ZU) - substituted with v-w8565f10_ZU")</f>
        <v>vyvolávat (v-w8565f7_ZU) - substituted with v-w8565f10_ZU</v>
      </c>
    </row>
    <row r="60891" customFormat="false" ht="12.8" hidden="false" customHeight="false" outlineLevel="0" collapsed="false">
      <c r="B60891" s="0" t="s">
        <v>457</v>
      </c>
      <c r="C60891" s="0" t="s">
        <v>20926</v>
      </c>
    </row>
    <row r="60892" customFormat="false" ht="12.8" hidden="false" customHeight="false" outlineLevel="0" collapsed="false">
      <c r="B60892" s="0" t="s">
        <v>20924</v>
      </c>
      <c r="C60892" s="0" t="s">
        <v>20927</v>
      </c>
    </row>
    <row r="60893" customFormat="false" ht="12.8" hidden="false" customHeight="false" outlineLevel="0" collapsed="false">
      <c r="B60893" s="0" t="s">
        <v>11</v>
      </c>
    </row>
    <row r="60895" customFormat="false" ht="12.8" hidden="false" customHeight="false" outlineLevel="0" collapsed="false">
      <c r="A60895" s="0" t="s">
        <v>20923</v>
      </c>
      <c r="B60895" s="0" t="str">
        <f aca="false">HYPERLINK("https://lindat.mff.cuni.cz/services/teitok/pdtc10/index.php?action=vallex&amp;frame=v-w8565f8_ZU", "vyvolávat (v-w8565f8_ZU) - substituted with v-w8565f10_ZU")</f>
        <v>vyvolávat (v-w8565f8_ZU) - substituted with v-w8565f10_ZU</v>
      </c>
    </row>
    <row r="60896" customFormat="false" ht="12.8" hidden="false" customHeight="false" outlineLevel="0" collapsed="false">
      <c r="B60896" s="0" t="s">
        <v>457</v>
      </c>
      <c r="C60896" s="0" t="s">
        <v>20928</v>
      </c>
      <c r="D60896" s="0" t="s">
        <v>570</v>
      </c>
      <c r="E60896" s="0" t="s">
        <v>570</v>
      </c>
      <c r="F60896" s="0" t="s">
        <v>570</v>
      </c>
    </row>
    <row r="60897" customFormat="false" ht="12.8" hidden="false" customHeight="false" outlineLevel="0" collapsed="false">
      <c r="B60897" s="0" t="s">
        <v>20924</v>
      </c>
      <c r="C60897" s="0" t="s">
        <v>20929</v>
      </c>
      <c r="D60897" s="0" t="s">
        <v>573</v>
      </c>
      <c r="E60897" s="0" t="s">
        <v>573</v>
      </c>
      <c r="F60897" s="0" t="s">
        <v>573</v>
      </c>
    </row>
    <row r="60898" customFormat="false" ht="12.8" hidden="false" customHeight="false" outlineLevel="0" collapsed="false">
      <c r="B60898" s="0" t="s">
        <v>11</v>
      </c>
      <c r="D60898" s="0" t="s">
        <v>574</v>
      </c>
      <c r="E60898" s="0" t="s">
        <v>574</v>
      </c>
      <c r="F60898" s="0" t="s">
        <v>574</v>
      </c>
    </row>
    <row r="60900" customFormat="false" ht="12.8" hidden="false" customHeight="false" outlineLevel="0" collapsed="false">
      <c r="A60900" s="0" t="s">
        <v>20923</v>
      </c>
      <c r="B60900" s="0" t="str">
        <f aca="false">HYPERLINK("https://lindat.mff.cuni.cz/services/teitok/pdtc10/index.php?action=vallex&amp;frame=v-w8565hsa_446", "vyvolávat (v-w8565hsa_446) - substituted with v-w8565f10_ZU")</f>
        <v>vyvolávat (v-w8565hsa_446) - substituted with v-w8565f10_ZU</v>
      </c>
    </row>
    <row r="60901" customFormat="false" ht="12.8" hidden="false" customHeight="false" outlineLevel="0" collapsed="false">
      <c r="B60901" s="0" t="s">
        <v>457</v>
      </c>
    </row>
    <row r="60902" customFormat="false" ht="12.8" hidden="false" customHeight="false" outlineLevel="0" collapsed="false">
      <c r="B60902" s="0" t="s">
        <v>20924</v>
      </c>
    </row>
    <row r="60903" customFormat="false" ht="12.8" hidden="false" customHeight="false" outlineLevel="0" collapsed="false">
      <c r="B60903" s="0" t="s">
        <v>11</v>
      </c>
    </row>
    <row r="60905" customFormat="false" ht="12.8" hidden="false" customHeight="false" outlineLevel="0" collapsed="false">
      <c r="A60905" s="0" t="s">
        <v>20923</v>
      </c>
      <c r="B60905" s="0" t="str">
        <f aca="false">HYPERLINK("https://lindat.mff.cuni.cz/services/teitok/pdtc10/index.php?action=vallex&amp;frame=v-w8565hsa_517", "vyvolávat (v-w8565hsa_517) - substituted with v-w8565f10_ZU")</f>
        <v>vyvolávat (v-w8565hsa_517) - substituted with v-w8565f10_ZU</v>
      </c>
    </row>
    <row r="60906" customFormat="false" ht="12.8" hidden="false" customHeight="false" outlineLevel="0" collapsed="false">
      <c r="B60906" s="0" t="s">
        <v>457</v>
      </c>
    </row>
    <row r="60907" customFormat="false" ht="12.8" hidden="false" customHeight="false" outlineLevel="0" collapsed="false">
      <c r="B60907" s="0" t="s">
        <v>20924</v>
      </c>
    </row>
    <row r="60908" customFormat="false" ht="12.8" hidden="false" customHeight="false" outlineLevel="0" collapsed="false">
      <c r="B60908" s="0" t="s">
        <v>11</v>
      </c>
    </row>
    <row r="60910" customFormat="false" ht="12.8" hidden="false" customHeight="false" outlineLevel="0" collapsed="false">
      <c r="A60910" s="0" t="s">
        <v>20930</v>
      </c>
      <c r="B60910" s="0" t="str">
        <f aca="false">HYPERLINK("https://lindat.mff.cuni.cz/services/teitok/pdtc10/index.php?action=vallex&amp;frame=v-w8565f3", "vyvolávat (v-w8565f3)")</f>
        <v>vyvolávat (v-w8565f3)</v>
      </c>
    </row>
    <row r="60911" customFormat="false" ht="12.8" hidden="false" customHeight="false" outlineLevel="0" collapsed="false">
      <c r="B60911" s="0" t="s">
        <v>7</v>
      </c>
    </row>
    <row r="60912" customFormat="false" ht="12.8" hidden="false" customHeight="false" outlineLevel="0" collapsed="false">
      <c r="B60912" s="0" t="s">
        <v>18470</v>
      </c>
    </row>
    <row r="60913" customFormat="false" ht="12.8" hidden="false" customHeight="false" outlineLevel="0" collapsed="false">
      <c r="B60913" s="0" t="s">
        <v>14</v>
      </c>
    </row>
    <row r="60915" customFormat="false" ht="12.8" hidden="false" customHeight="false" outlineLevel="0" collapsed="false">
      <c r="A60915" s="0" t="s">
        <v>20931</v>
      </c>
      <c r="B60915" s="0" t="str">
        <f aca="false">HYPERLINK("https://lindat.mff.cuni.cz/services/teitok/pdtc10/index.php?action=vallex&amp;frame=v-w8565f9_ZU", "vyvolávat (v-w8565f9_ZU)")</f>
        <v>vyvolávat (v-w8565f9_ZU)</v>
      </c>
    </row>
    <row r="60916" customFormat="false" ht="12.8" hidden="false" customHeight="false" outlineLevel="0" collapsed="false">
      <c r="B60916" s="0" t="s">
        <v>7</v>
      </c>
    </row>
    <row r="60917" customFormat="false" ht="12.8" hidden="false" customHeight="false" outlineLevel="0" collapsed="false">
      <c r="B60917" s="0" t="s">
        <v>14</v>
      </c>
    </row>
    <row r="60919" customFormat="false" ht="12.8" hidden="false" customHeight="false" outlineLevel="0" collapsed="false">
      <c r="A60919" s="0" t="s">
        <v>20931</v>
      </c>
      <c r="B60919" s="0" t="str">
        <f aca="false">HYPERLINK("https://lindat.mff.cuni.cz/services/teitok/pdtc10/index.php?action=vallex&amp;frame=v-w8565hsa_445", "vyvolávat (v-w8565hsa_445) - substituted with v-w8565f9_ZU")</f>
        <v>vyvolávat (v-w8565hsa_445) - substituted with v-w8565f9_ZU</v>
      </c>
    </row>
    <row r="60920" customFormat="false" ht="12.8" hidden="false" customHeight="false" outlineLevel="0" collapsed="false">
      <c r="B60920" s="0" t="s">
        <v>7</v>
      </c>
    </row>
    <row r="60921" customFormat="false" ht="12.8" hidden="false" customHeight="false" outlineLevel="0" collapsed="false">
      <c r="B60921" s="0" t="s">
        <v>14</v>
      </c>
    </row>
    <row r="60923" customFormat="false" ht="12.8" hidden="false" customHeight="false" outlineLevel="0" collapsed="false">
      <c r="A60923" s="0" t="s">
        <v>20932</v>
      </c>
      <c r="B60923" s="0" t="str">
        <f aca="false">HYPERLINK("https://lindat.mff.cuni.cz/services/teitok/pdtc10/index.php?action=vallex&amp;frame=v-whsa_512hsa_513", "vyvozit (v-whsa_512hsa_513)")</f>
        <v>vyvozit (v-whsa_512hsa_513)</v>
      </c>
    </row>
    <row r="60924" customFormat="false" ht="12.8" hidden="false" customHeight="false" outlineLevel="0" collapsed="false">
      <c r="B60924" s="0" t="s">
        <v>7</v>
      </c>
    </row>
    <row r="60925" customFormat="false" ht="12.8" hidden="false" customHeight="false" outlineLevel="0" collapsed="false">
      <c r="B60925" s="0" t="s">
        <v>14</v>
      </c>
    </row>
    <row r="60926" customFormat="false" ht="12.8" hidden="false" customHeight="false" outlineLevel="0" collapsed="false">
      <c r="B60926" s="0" t="s">
        <v>459</v>
      </c>
    </row>
    <row r="60928" customFormat="false" ht="12.8" hidden="false" customHeight="false" outlineLevel="0" collapsed="false">
      <c r="A60928" s="0" t="s">
        <v>20933</v>
      </c>
      <c r="B60928" s="0" t="str">
        <f aca="false">HYPERLINK("https://lindat.mff.cuni.cz/services/teitok/pdtc10/index.php?action=vallex&amp;frame=v-w8569f1", "vyvozovat (v-w8569f1)")</f>
        <v>vyvozovat (v-w8569f1)</v>
      </c>
    </row>
    <row r="60929" customFormat="false" ht="12.8" hidden="false" customHeight="false" outlineLevel="0" collapsed="false">
      <c r="B60929" s="0" t="s">
        <v>7</v>
      </c>
      <c r="C60929" s="0" t="s">
        <v>1509</v>
      </c>
      <c r="D60929" s="0" t="s">
        <v>18259</v>
      </c>
      <c r="E60929" s="0" t="s">
        <v>18259</v>
      </c>
      <c r="F60929" s="0" t="s">
        <v>18259</v>
      </c>
    </row>
    <row r="60930" customFormat="false" ht="12.8" hidden="false" customHeight="false" outlineLevel="0" collapsed="false">
      <c r="B60930" s="0" t="s">
        <v>14047</v>
      </c>
      <c r="C60930" s="0" t="s">
        <v>413</v>
      </c>
      <c r="D60930" s="0" t="s">
        <v>18260</v>
      </c>
      <c r="E60930" s="0" t="s">
        <v>18260</v>
      </c>
      <c r="F60930" s="0" t="s">
        <v>18260</v>
      </c>
    </row>
    <row r="60931" customFormat="false" ht="12.8" hidden="false" customHeight="false" outlineLevel="0" collapsed="false">
      <c r="B60931" s="0" t="s">
        <v>20894</v>
      </c>
      <c r="C60931" s="0" t="s">
        <v>2480</v>
      </c>
    </row>
    <row r="60933" customFormat="false" ht="12.8" hidden="false" customHeight="false" outlineLevel="0" collapsed="false">
      <c r="A60933" s="0" t="s">
        <v>20934</v>
      </c>
      <c r="B60933" s="0" t="str">
        <f aca="false">HYPERLINK("https://lindat.mff.cuni.cz/services/teitok/pdtc10/index.php?action=vallex&amp;frame=v-w8569f2", "vyvozovat (v-w8569f2)")</f>
        <v>vyvozovat (v-w8569f2)</v>
      </c>
    </row>
    <row r="60934" customFormat="false" ht="12.8" hidden="false" customHeight="false" outlineLevel="0" collapsed="false">
      <c r="B60934" s="0" t="s">
        <v>7</v>
      </c>
      <c r="D60934" s="0" t="s">
        <v>2022</v>
      </c>
      <c r="E60934" s="0" t="s">
        <v>2022</v>
      </c>
      <c r="F60934" s="0" t="s">
        <v>2022</v>
      </c>
    </row>
    <row r="60935" customFormat="false" ht="12.8" hidden="false" customHeight="false" outlineLevel="0" collapsed="false">
      <c r="B60935" s="0" t="s">
        <v>8621</v>
      </c>
      <c r="D60935" s="0" t="s">
        <v>2025</v>
      </c>
      <c r="E60935" s="0" t="s">
        <v>2025</v>
      </c>
      <c r="F60935" s="0" t="s">
        <v>2025</v>
      </c>
    </row>
    <row r="60936" customFormat="false" ht="12.8" hidden="false" customHeight="false" outlineLevel="0" collapsed="false">
      <c r="B60936" s="0" t="s">
        <v>363</v>
      </c>
      <c r="D60936" s="0" t="s">
        <v>2027</v>
      </c>
      <c r="E60936" s="0" t="s">
        <v>2027</v>
      </c>
      <c r="F60936" s="0" t="s">
        <v>2027</v>
      </c>
    </row>
    <row r="60938" customFormat="false" ht="12.8" hidden="false" customHeight="false" outlineLevel="0" collapsed="false">
      <c r="A60938" s="0" t="s">
        <v>20935</v>
      </c>
      <c r="B60938" s="0" t="str">
        <f aca="false">HYPERLINK("https://lindat.mff.cuni.cz/services/teitok/pdtc10/index.php?action=vallex&amp;frame=v-w8570f1", "vyvracet (v-w8570f1)")</f>
        <v>vyvracet (v-w8570f1)</v>
      </c>
    </row>
    <row r="60939" customFormat="false" ht="12.8" hidden="false" customHeight="false" outlineLevel="0" collapsed="false">
      <c r="B60939" s="0" t="s">
        <v>7</v>
      </c>
      <c r="D60939" s="0" t="s">
        <v>46</v>
      </c>
      <c r="E60939" s="0" t="s">
        <v>46</v>
      </c>
      <c r="F60939" s="0" t="s">
        <v>46</v>
      </c>
    </row>
    <row r="60940" customFormat="false" ht="12.8" hidden="false" customHeight="false" outlineLevel="0" collapsed="false">
      <c r="B60940" s="0" t="s">
        <v>54</v>
      </c>
      <c r="D60940" s="0" t="s">
        <v>115</v>
      </c>
      <c r="E60940" s="0" t="s">
        <v>115</v>
      </c>
      <c r="F60940" s="0" t="s">
        <v>115</v>
      </c>
    </row>
    <row r="60941" customFormat="false" ht="12.8" hidden="false" customHeight="false" outlineLevel="0" collapsed="false">
      <c r="B60941" s="0" t="s">
        <v>106</v>
      </c>
    </row>
    <row r="60943" customFormat="false" ht="12.8" hidden="false" customHeight="false" outlineLevel="0" collapsed="false">
      <c r="A60943" s="0" t="s">
        <v>20936</v>
      </c>
      <c r="B60943" s="0" t="str">
        <f aca="false">HYPERLINK("https://lindat.mff.cuni.cz/services/teitok/pdtc10/index.php?action=vallex&amp;frame=v-w12046_ZUf1_ZU", "vyvraždit (v-w12046_ZUf1_ZU)")</f>
        <v>vyvraždit (v-w12046_ZUf1_ZU)</v>
      </c>
    </row>
    <row r="60944" customFormat="false" ht="12.8" hidden="false" customHeight="false" outlineLevel="0" collapsed="false">
      <c r="B60944" s="0" t="s">
        <v>7</v>
      </c>
    </row>
    <row r="60945" customFormat="false" ht="12.8" hidden="false" customHeight="false" outlineLevel="0" collapsed="false">
      <c r="B60945" s="0" t="s">
        <v>14</v>
      </c>
    </row>
    <row r="60947" customFormat="false" ht="12.8" hidden="false" customHeight="false" outlineLevel="0" collapsed="false">
      <c r="A60947" s="0" t="s">
        <v>20937</v>
      </c>
      <c r="B60947" s="0" t="str">
        <f aca="false">HYPERLINK("https://lindat.mff.cuni.cz/services/teitok/pdtc10/index.php?action=vallex&amp;frame=v-w8572f1", "vyvražďovat (v-w8572f1)")</f>
        <v>vyvražďovat (v-w8572f1)</v>
      </c>
    </row>
    <row r="60948" customFormat="false" ht="12.8" hidden="false" customHeight="false" outlineLevel="0" collapsed="false">
      <c r="B60948" s="0" t="s">
        <v>7</v>
      </c>
    </row>
    <row r="60949" customFormat="false" ht="12.8" hidden="false" customHeight="false" outlineLevel="0" collapsed="false">
      <c r="B60949" s="0" t="s">
        <v>14</v>
      </c>
    </row>
    <row r="60951" customFormat="false" ht="12.8" hidden="false" customHeight="false" outlineLevel="0" collapsed="false">
      <c r="A60951" s="0" t="s">
        <v>20938</v>
      </c>
      <c r="B60951" s="0" t="str">
        <f aca="false">HYPERLINK("https://lindat.mff.cuni.cz/services/teitok/pdtc10/index.php?action=vallex&amp;frame=v-w8574f1", "vyvrcholit (v-w8574f1)")</f>
        <v>vyvrcholit (v-w8574f1)</v>
      </c>
    </row>
    <row r="60952" customFormat="false" ht="12.8" hidden="false" customHeight="false" outlineLevel="0" collapsed="false">
      <c r="B60952" s="0" t="s">
        <v>7</v>
      </c>
      <c r="C60952" s="0" t="s">
        <v>2911</v>
      </c>
      <c r="D60952" s="0" t="s">
        <v>736</v>
      </c>
      <c r="E60952" s="0" t="s">
        <v>736</v>
      </c>
      <c r="F60952" s="0" t="s">
        <v>736</v>
      </c>
    </row>
    <row r="60954" customFormat="false" ht="12.8" hidden="false" customHeight="false" outlineLevel="0" collapsed="false">
      <c r="A60954" s="0" t="s">
        <v>20939</v>
      </c>
      <c r="B60954" s="0" t="str">
        <f aca="false">HYPERLINK("https://lindat.mff.cuni.cz/services/teitok/pdtc10/index.php?action=vallex&amp;frame=v-w10529f3", "vyvrhnout (v-w10529f3)")</f>
        <v>vyvrhnout (v-w10529f3)</v>
      </c>
    </row>
    <row r="60955" customFormat="false" ht="12.8" hidden="false" customHeight="false" outlineLevel="0" collapsed="false">
      <c r="B60955" s="0" t="s">
        <v>7</v>
      </c>
    </row>
    <row r="60956" customFormat="false" ht="12.8" hidden="false" customHeight="false" outlineLevel="0" collapsed="false">
      <c r="B60956" s="0" t="s">
        <v>14</v>
      </c>
    </row>
    <row r="60957" customFormat="false" ht="12.8" hidden="false" customHeight="false" outlineLevel="0" collapsed="false">
      <c r="B60957" s="0" t="s">
        <v>459</v>
      </c>
    </row>
    <row r="60959" customFormat="false" ht="12.8" hidden="false" customHeight="false" outlineLevel="0" collapsed="false">
      <c r="A60959" s="0" t="s">
        <v>20940</v>
      </c>
      <c r="B60959" s="0" t="str">
        <f aca="false">HYPERLINK("https://lindat.mff.cuni.cz/services/teitok/pdtc10/index.php?action=vallex&amp;frame=v-w10529f2", "vyvrhnout (v-w10529f2)")</f>
        <v>vyvrhnout (v-w10529f2)</v>
      </c>
    </row>
    <row r="60960" customFormat="false" ht="12.8" hidden="false" customHeight="false" outlineLevel="0" collapsed="false">
      <c r="B60960" s="0" t="s">
        <v>7</v>
      </c>
    </row>
    <row r="60961" customFormat="false" ht="12.8" hidden="false" customHeight="false" outlineLevel="0" collapsed="false">
      <c r="B60961" s="0" t="s">
        <v>14</v>
      </c>
    </row>
    <row r="60963" customFormat="false" ht="12.8" hidden="false" customHeight="false" outlineLevel="0" collapsed="false">
      <c r="A60963" s="0" t="s">
        <v>20941</v>
      </c>
      <c r="B60963" s="0" t="str">
        <f aca="false">HYPERLINK("https://lindat.mff.cuni.cz/services/teitok/pdtc10/index.php?action=vallex&amp;frame=v-w10529hsa_470", "vyvrhnout (v-w10529hsa_470)")</f>
        <v>vyvrhnout (v-w10529hsa_470)</v>
      </c>
    </row>
    <row r="60964" customFormat="false" ht="12.8" hidden="false" customHeight="false" outlineLevel="0" collapsed="false">
      <c r="B60964" s="0" t="s">
        <v>7</v>
      </c>
    </row>
    <row r="60965" customFormat="false" ht="12.8" hidden="false" customHeight="false" outlineLevel="0" collapsed="false">
      <c r="B60965" s="0" t="s">
        <v>14</v>
      </c>
    </row>
    <row r="60967" customFormat="false" ht="12.8" hidden="false" customHeight="false" outlineLevel="0" collapsed="false">
      <c r="A60967" s="0" t="s">
        <v>20942</v>
      </c>
      <c r="B60967" s="0" t="str">
        <f aca="false">HYPERLINK("https://lindat.mff.cuni.cz/services/teitok/pdtc10/index.php?action=vallex&amp;frame=v-w11632_ZUf1_ZU", "vyvrtat (v-w11632_ZUf1_ZU)")</f>
        <v>vyvrtat (v-w11632_ZUf1_ZU)</v>
      </c>
    </row>
    <row r="60968" customFormat="false" ht="12.8" hidden="false" customHeight="false" outlineLevel="0" collapsed="false">
      <c r="B60968" s="0" t="s">
        <v>7</v>
      </c>
    </row>
    <row r="60969" customFormat="false" ht="12.8" hidden="false" customHeight="false" outlineLevel="0" collapsed="false">
      <c r="B60969" s="0" t="s">
        <v>14</v>
      </c>
    </row>
    <row r="60971" customFormat="false" ht="12.8" hidden="false" customHeight="false" outlineLevel="0" collapsed="false">
      <c r="A60971" s="0" t="s">
        <v>20943</v>
      </c>
      <c r="B60971" s="0" t="str">
        <f aca="false">HYPERLINK("https://lindat.mff.cuni.cz/services/teitok/pdtc10/index.php?action=vallex&amp;frame=v-w8571f1", "vyvrátit (v-w8571f1)")</f>
        <v>vyvrátit (v-w8571f1)</v>
      </c>
    </row>
    <row r="60972" customFormat="false" ht="12.8" hidden="false" customHeight="false" outlineLevel="0" collapsed="false">
      <c r="B60972" s="0" t="s">
        <v>7</v>
      </c>
      <c r="C60972" s="0" t="s">
        <v>10057</v>
      </c>
      <c r="D60972" s="0" t="s">
        <v>46</v>
      </c>
      <c r="E60972" s="0" t="s">
        <v>46</v>
      </c>
      <c r="F60972" s="0" t="s">
        <v>46</v>
      </c>
    </row>
    <row r="60973" customFormat="false" ht="12.8" hidden="false" customHeight="false" outlineLevel="0" collapsed="false">
      <c r="B60973" s="0" t="s">
        <v>1961</v>
      </c>
      <c r="C60973" s="0" t="s">
        <v>5103</v>
      </c>
      <c r="D60973" s="0" t="s">
        <v>115</v>
      </c>
      <c r="E60973" s="0" t="s">
        <v>115</v>
      </c>
      <c r="F60973" s="0" t="s">
        <v>115</v>
      </c>
    </row>
    <row r="60974" customFormat="false" ht="12.8" hidden="false" customHeight="false" outlineLevel="0" collapsed="false">
      <c r="B60974" s="0" t="s">
        <v>106</v>
      </c>
    </row>
    <row r="60976" customFormat="false" ht="12.8" hidden="false" customHeight="false" outlineLevel="0" collapsed="false">
      <c r="A60976" s="0" t="s">
        <v>20944</v>
      </c>
      <c r="B60976" s="0" t="str">
        <f aca="false">HYPERLINK("https://lindat.mff.cuni.cz/services/teitok/pdtc10/index.php?action=vallex&amp;frame=v-w8575f1", "vyvstat (v-w8575f1)")</f>
        <v>vyvstat (v-w8575f1)</v>
      </c>
    </row>
    <row r="60977" customFormat="false" ht="12.8" hidden="false" customHeight="false" outlineLevel="0" collapsed="false">
      <c r="B60977" s="0" t="s">
        <v>7</v>
      </c>
      <c r="C60977" s="0" t="s">
        <v>20945</v>
      </c>
      <c r="D60977" s="0" t="s">
        <v>7654</v>
      </c>
      <c r="E60977" s="0" t="s">
        <v>7654</v>
      </c>
      <c r="F60977" s="0" t="s">
        <v>7654</v>
      </c>
    </row>
    <row r="60979" customFormat="false" ht="12.8" hidden="false" customHeight="false" outlineLevel="0" collapsed="false">
      <c r="A60979" s="0" t="s">
        <v>20946</v>
      </c>
      <c r="B60979" s="0" t="str">
        <f aca="false">HYPERLINK("https://lindat.mff.cuni.cz/services/teitok/pdtc10/index.php?action=vallex&amp;frame=v-w8576f1", "vyvstávat (v-w8576f1)")</f>
        <v>vyvstávat (v-w8576f1)</v>
      </c>
    </row>
    <row r="60980" customFormat="false" ht="12.8" hidden="false" customHeight="false" outlineLevel="0" collapsed="false">
      <c r="B60980" s="0" t="s">
        <v>7</v>
      </c>
      <c r="C60980" s="0" t="s">
        <v>20947</v>
      </c>
      <c r="D60980" s="0" t="s">
        <v>7654</v>
      </c>
      <c r="E60980" s="0" t="s">
        <v>7654</v>
      </c>
      <c r="F60980" s="0" t="s">
        <v>7654</v>
      </c>
    </row>
    <row r="60982" customFormat="false" ht="12.8" hidden="false" customHeight="false" outlineLevel="0" collapsed="false">
      <c r="A60982" s="0" t="s">
        <v>20948</v>
      </c>
      <c r="B60982" s="0" t="str">
        <f aca="false">HYPERLINK("https://lindat.mff.cuni.cz/services/teitok/pdtc10/index.php?action=vallex&amp;frame=v-whsa_671hsa_672", "vyvyšovat se (v-whsa_671hsa_672)")</f>
        <v>vyvyšovat se (v-whsa_671hsa_672)</v>
      </c>
    </row>
    <row r="60983" customFormat="false" ht="12.8" hidden="false" customHeight="false" outlineLevel="0" collapsed="false">
      <c r="B60983" s="0" t="s">
        <v>7</v>
      </c>
      <c r="C60983" s="0" t="s">
        <v>191</v>
      </c>
    </row>
    <row r="60984" customFormat="false" ht="12.8" hidden="false" customHeight="false" outlineLevel="0" collapsed="false">
      <c r="B60984" s="0" t="s">
        <v>20949</v>
      </c>
      <c r="C60984" s="0" t="s">
        <v>155</v>
      </c>
    </row>
    <row r="60986" customFormat="false" ht="12.8" hidden="false" customHeight="false" outlineLevel="0" collapsed="false">
      <c r="A60986" s="0" t="s">
        <v>20950</v>
      </c>
      <c r="B60986" s="0" t="str">
        <f aca="false">HYPERLINK("https://lindat.mff.cuni.cz/services/teitok/pdtc10/index.php?action=vallex&amp;frame=v-w8577f1", "vyvzdorovat (v-w8577f1)")</f>
        <v>vyvzdorovat (v-w8577f1)</v>
      </c>
    </row>
    <row r="60987" customFormat="false" ht="12.8" hidden="false" customHeight="false" outlineLevel="0" collapsed="false">
      <c r="B60987" s="0" t="s">
        <v>7</v>
      </c>
    </row>
    <row r="60988" customFormat="false" ht="12.8" hidden="false" customHeight="false" outlineLevel="0" collapsed="false">
      <c r="B60988" s="0" t="s">
        <v>14</v>
      </c>
    </row>
    <row r="60989" customFormat="false" ht="12.8" hidden="false" customHeight="false" outlineLevel="0" collapsed="false">
      <c r="B60989" s="0" t="s">
        <v>7321</v>
      </c>
    </row>
    <row r="60991" customFormat="false" ht="12.8" hidden="false" customHeight="false" outlineLevel="0" collapsed="false">
      <c r="A60991" s="0" t="s">
        <v>20951</v>
      </c>
      <c r="B60991" s="0" t="str">
        <f aca="false">HYPERLINK("https://lindat.mff.cuni.cz/services/teitok/pdtc10/index.php?action=vallex&amp;frame=v-w11202f3", "vyvádět (v-w11202f3)")</f>
        <v>vyvádět (v-w11202f3)</v>
      </c>
    </row>
    <row r="60992" customFormat="false" ht="12.8" hidden="false" customHeight="false" outlineLevel="0" collapsed="false">
      <c r="B60992" s="0" t="s">
        <v>7</v>
      </c>
    </row>
    <row r="60993" customFormat="false" ht="12.8" hidden="false" customHeight="false" outlineLevel="0" collapsed="false">
      <c r="B60993" s="0" t="s">
        <v>14</v>
      </c>
    </row>
    <row r="60994" customFormat="false" ht="12.8" hidden="false" customHeight="false" outlineLevel="0" collapsed="false">
      <c r="B60994" s="0" t="s">
        <v>459</v>
      </c>
    </row>
    <row r="60996" customFormat="false" ht="12.8" hidden="false" customHeight="false" outlineLevel="0" collapsed="false">
      <c r="A60996" s="0" t="s">
        <v>20952</v>
      </c>
      <c r="B60996" s="0" t="str">
        <f aca="false">HYPERLINK("https://lindat.mff.cuni.cz/services/teitok/pdtc10/index.php?action=vallex&amp;frame=v-w11202f2", "vyvádět (v-w11202f2)")</f>
        <v>vyvádět (v-w11202f2)</v>
      </c>
    </row>
    <row r="60997" customFormat="false" ht="12.8" hidden="false" customHeight="false" outlineLevel="0" collapsed="false">
      <c r="B60997" s="0" t="s">
        <v>7</v>
      </c>
      <c r="C60997" s="0" t="s">
        <v>31</v>
      </c>
      <c r="D60997" s="0" t="s">
        <v>20953</v>
      </c>
      <c r="E60997" s="0" t="s">
        <v>20954</v>
      </c>
      <c r="F60997" s="0" t="s">
        <v>20954</v>
      </c>
    </row>
    <row r="60998" customFormat="false" ht="12.8" hidden="false" customHeight="false" outlineLevel="0" collapsed="false">
      <c r="B60998" s="0" t="s">
        <v>20955</v>
      </c>
      <c r="D60998" s="0" t="s">
        <v>20956</v>
      </c>
      <c r="E60998" s="0" t="s">
        <v>20956</v>
      </c>
      <c r="F60998" s="0" t="s">
        <v>20956</v>
      </c>
    </row>
    <row r="60999" customFormat="false" ht="12.8" hidden="false" customHeight="false" outlineLevel="0" collapsed="false">
      <c r="B60999" s="0" t="s">
        <v>14</v>
      </c>
      <c r="C60999" s="0" t="s">
        <v>461</v>
      </c>
      <c r="D60999" s="0" t="s">
        <v>20957</v>
      </c>
      <c r="E60999" s="0" t="s">
        <v>20958</v>
      </c>
      <c r="F60999" s="0" t="s">
        <v>20958</v>
      </c>
    </row>
    <row r="61001" customFormat="false" ht="12.8" hidden="false" customHeight="false" outlineLevel="0" collapsed="false">
      <c r="A61001" s="0" t="s">
        <v>20959</v>
      </c>
      <c r="B61001" s="0" t="str">
        <f aca="false">HYPERLINK("https://lindat.mff.cuni.cz/services/teitok/pdtc10/index.php?action=vallex&amp;frame=v-w11202f4_ZU", "vyvádět (v-w11202f4_ZU)")</f>
        <v>vyvádět (v-w11202f4_ZU)</v>
      </c>
    </row>
    <row r="61002" customFormat="false" ht="12.8" hidden="false" customHeight="false" outlineLevel="0" collapsed="false">
      <c r="B61002" s="0" t="s">
        <v>7</v>
      </c>
    </row>
    <row r="61003" customFormat="false" ht="12.8" hidden="false" customHeight="false" outlineLevel="0" collapsed="false">
      <c r="B61003" s="0" t="s">
        <v>297</v>
      </c>
    </row>
    <row r="61005" customFormat="false" ht="12.8" hidden="false" customHeight="false" outlineLevel="0" collapsed="false">
      <c r="A61005" s="0" t="s">
        <v>20959</v>
      </c>
      <c r="B61005" s="0" t="str">
        <f aca="false">HYPERLINK("https://lindat.mff.cuni.cz/services/teitok/pdtc10/index.php?action=vallex&amp;frame=v-w11202hsa_1612", "vyvádět (v-w11202hsa_1612) - substituted with v-w11202f4_ZU")</f>
        <v>vyvádět (v-w11202hsa_1612) - substituted with v-w11202f4_ZU</v>
      </c>
    </row>
    <row r="61006" customFormat="false" ht="12.8" hidden="false" customHeight="false" outlineLevel="0" collapsed="false">
      <c r="B61006" s="0" t="s">
        <v>7</v>
      </c>
    </row>
    <row r="61007" customFormat="false" ht="12.8" hidden="false" customHeight="false" outlineLevel="0" collapsed="false">
      <c r="B61007" s="0" t="s">
        <v>297</v>
      </c>
    </row>
    <row r="61009" customFormat="false" ht="12.8" hidden="false" customHeight="false" outlineLevel="0" collapsed="false">
      <c r="A61009" s="0" t="s">
        <v>20960</v>
      </c>
      <c r="B61009" s="0" t="str">
        <f aca="false">HYPERLINK("https://lindat.mff.cuni.cz/services/teitok/pdtc10/index.php?action=vallex&amp;frame=v-w11202f5_ZU", "vyvádět (v-w11202f5_ZU)")</f>
        <v>vyvádět (v-w11202f5_ZU)</v>
      </c>
    </row>
    <row r="61010" customFormat="false" ht="12.8" hidden="false" customHeight="false" outlineLevel="0" collapsed="false">
      <c r="B61010" s="0" t="s">
        <v>7</v>
      </c>
    </row>
    <row r="61011" customFormat="false" ht="12.8" hidden="false" customHeight="false" outlineLevel="0" collapsed="false">
      <c r="B61011" s="0" t="s">
        <v>14</v>
      </c>
    </row>
    <row r="61013" customFormat="false" ht="12.8" hidden="false" customHeight="false" outlineLevel="0" collapsed="false">
      <c r="A61013" s="0" t="s">
        <v>20961</v>
      </c>
      <c r="B61013" s="0" t="str">
        <f aca="false">HYPERLINK("https://lindat.mff.cuni.cz/services/teitok/pdtc10/index.php?action=vallex&amp;frame=v-w12392_MMf1_MM", "vyválet (v-w12392_MMf1_MM)")</f>
        <v>vyválet (v-w12392_MMf1_MM)</v>
      </c>
    </row>
    <row r="61014" customFormat="false" ht="12.8" hidden="false" customHeight="false" outlineLevel="0" collapsed="false">
      <c r="B61014" s="0" t="s">
        <v>7</v>
      </c>
    </row>
    <row r="61015" customFormat="false" ht="12.8" hidden="false" customHeight="false" outlineLevel="0" collapsed="false">
      <c r="B61015" s="0" t="s">
        <v>14</v>
      </c>
    </row>
    <row r="61016" customFormat="false" ht="12.8" hidden="false" customHeight="false" outlineLevel="0" collapsed="false">
      <c r="B61016" s="0" t="s">
        <v>35</v>
      </c>
    </row>
    <row r="61018" customFormat="false" ht="12.8" hidden="false" customHeight="false" outlineLevel="0" collapsed="false">
      <c r="A61018" s="0" t="s">
        <v>20962</v>
      </c>
      <c r="B61018" s="0" t="str">
        <f aca="false">HYPERLINK("https://lindat.mff.cuni.cz/services/teitok/pdtc10/index.php?action=vallex&amp;frame=v-whsa_1369hsa_1370", "vyválet se (v-whsa_1369hsa_1370)")</f>
        <v>vyválet se (v-whsa_1369hsa_1370)</v>
      </c>
    </row>
    <row r="61019" customFormat="false" ht="12.8" hidden="false" customHeight="false" outlineLevel="0" collapsed="false">
      <c r="B61019" s="0" t="s">
        <v>7</v>
      </c>
    </row>
    <row r="61021" customFormat="false" ht="12.8" hidden="false" customHeight="false" outlineLevel="0" collapsed="false">
      <c r="A61021" s="0" t="s">
        <v>20963</v>
      </c>
      <c r="B61021" s="0" t="str">
        <f aca="false">HYPERLINK("https://lindat.mff.cuni.cz/services/teitok/pdtc10/index.php?action=vallex&amp;frame=v-w10862f2", "vyvázat (v-w10862f2)")</f>
        <v>vyvázat (v-w10862f2)</v>
      </c>
    </row>
    <row r="61022" customFormat="false" ht="12.8" hidden="false" customHeight="false" outlineLevel="0" collapsed="false">
      <c r="B61022" s="0" t="s">
        <v>7</v>
      </c>
      <c r="C61022" s="0" t="s">
        <v>118</v>
      </c>
    </row>
    <row r="61023" customFormat="false" ht="12.8" hidden="false" customHeight="false" outlineLevel="0" collapsed="false">
      <c r="B61023" s="0" t="s">
        <v>14</v>
      </c>
    </row>
    <row r="61024" customFormat="false" ht="12.8" hidden="false" customHeight="false" outlineLevel="0" collapsed="false">
      <c r="B61024" s="0" t="s">
        <v>3441</v>
      </c>
      <c r="C61024" s="0" t="s">
        <v>20964</v>
      </c>
    </row>
    <row r="61026" customFormat="false" ht="12.8" hidden="false" customHeight="false" outlineLevel="0" collapsed="false">
      <c r="A61026" s="0" t="s">
        <v>20965</v>
      </c>
      <c r="B61026" s="0" t="str">
        <f aca="false">HYPERLINK("https://lindat.mff.cuni.cz/services/teitok/pdtc10/index.php?action=vallex&amp;frame=v-w8538f1", "vyváznout (v-w8538f1)")</f>
        <v>vyváznout (v-w8538f1)</v>
      </c>
    </row>
    <row r="61027" customFormat="false" ht="12.8" hidden="false" customHeight="false" outlineLevel="0" collapsed="false">
      <c r="B61027" s="0" t="s">
        <v>7</v>
      </c>
      <c r="C61027" s="0" t="s">
        <v>2736</v>
      </c>
      <c r="D61027" s="0" t="s">
        <v>2409</v>
      </c>
      <c r="E61027" s="0" t="s">
        <v>2409</v>
      </c>
      <c r="F61027" s="0" t="s">
        <v>2409</v>
      </c>
    </row>
    <row r="61028" customFormat="false" ht="12.8" hidden="false" customHeight="false" outlineLevel="0" collapsed="false">
      <c r="B61028" s="0" t="s">
        <v>459</v>
      </c>
      <c r="C61028" s="0" t="s">
        <v>17911</v>
      </c>
      <c r="D61028" s="0" t="s">
        <v>2411</v>
      </c>
      <c r="E61028" s="0" t="s">
        <v>2411</v>
      </c>
      <c r="F61028" s="0" t="s">
        <v>2411</v>
      </c>
    </row>
    <row r="61030" customFormat="false" ht="12.8" hidden="false" customHeight="false" outlineLevel="0" collapsed="false">
      <c r="A61030" s="0" t="s">
        <v>20966</v>
      </c>
      <c r="B61030" s="0" t="str">
        <f aca="false">HYPERLINK("https://lindat.mff.cuni.cz/services/teitok/pdtc10/index.php?action=vallex&amp;frame=v-w8538f2_ZU", "vyváznout (v-w8538f2_ZU)")</f>
        <v>vyváznout (v-w8538f2_ZU)</v>
      </c>
    </row>
    <row r="61031" customFormat="false" ht="12.8" hidden="false" customHeight="false" outlineLevel="0" collapsed="false">
      <c r="B61031" s="0" t="s">
        <v>7</v>
      </c>
    </row>
    <row r="61032" customFormat="false" ht="12.8" hidden="false" customHeight="false" outlineLevel="0" collapsed="false">
      <c r="B61032" s="0" t="s">
        <v>227</v>
      </c>
    </row>
    <row r="61034" customFormat="false" ht="12.8" hidden="false" customHeight="false" outlineLevel="0" collapsed="false">
      <c r="A61034" s="0" t="s">
        <v>20967</v>
      </c>
      <c r="B61034" s="0" t="str">
        <f aca="false">HYPERLINK("https://lindat.mff.cuni.cz/services/teitok/pdtc10/index.php?action=vallex&amp;frame=v-w11723_ZUf1_ZU", "vyvářet (v-w11723_ZUf1_ZU)")</f>
        <v>vyvářet (v-w11723_ZUf1_ZU)</v>
      </c>
    </row>
    <row r="61035" customFormat="false" ht="12.8" hidden="false" customHeight="false" outlineLevel="0" collapsed="false">
      <c r="B61035" s="0" t="s">
        <v>7</v>
      </c>
    </row>
    <row r="61036" customFormat="false" ht="12.8" hidden="false" customHeight="false" outlineLevel="0" collapsed="false">
      <c r="B61036" s="0" t="s">
        <v>14</v>
      </c>
    </row>
    <row r="61038" customFormat="false" ht="12.8" hidden="false" customHeight="false" outlineLevel="0" collapsed="false">
      <c r="A61038" s="0" t="s">
        <v>20968</v>
      </c>
      <c r="B61038" s="0" t="str">
        <f aca="false">HYPERLINK("https://lindat.mff.cuni.cz/services/teitok/pdtc10/index.php?action=vallex&amp;frame=v-w8539f1", "vyvážet (v-w8539f1)")</f>
        <v>vyvážet (v-w8539f1)</v>
      </c>
    </row>
    <row r="61039" customFormat="false" ht="12.8" hidden="false" customHeight="false" outlineLevel="0" collapsed="false">
      <c r="B61039" s="0" t="s">
        <v>7</v>
      </c>
      <c r="C61039" s="0" t="s">
        <v>126</v>
      </c>
      <c r="D61039" s="0" t="s">
        <v>194</v>
      </c>
      <c r="E61039" s="0" t="s">
        <v>194</v>
      </c>
      <c r="F61039" s="0" t="s">
        <v>194</v>
      </c>
    </row>
    <row r="61040" customFormat="false" ht="12.8" hidden="false" customHeight="false" outlineLevel="0" collapsed="false">
      <c r="B61040" s="0" t="s">
        <v>14</v>
      </c>
      <c r="C61040" s="0" t="s">
        <v>20969</v>
      </c>
      <c r="D61040" s="0" t="s">
        <v>9636</v>
      </c>
      <c r="E61040" s="0" t="s">
        <v>9636</v>
      </c>
      <c r="F61040" s="0" t="s">
        <v>9636</v>
      </c>
    </row>
    <row r="61041" customFormat="false" ht="12.8" hidden="false" customHeight="false" outlineLevel="0" collapsed="false">
      <c r="B61041" s="0" t="s">
        <v>459</v>
      </c>
    </row>
    <row r="61043" customFormat="false" ht="12.8" hidden="false" customHeight="false" outlineLevel="0" collapsed="false">
      <c r="A61043" s="0" t="s">
        <v>20970</v>
      </c>
      <c r="B61043" s="0" t="str">
        <f aca="false">HYPERLINK("https://lindat.mff.cuni.cz/services/teitok/pdtc10/index.php?action=vallex&amp;frame=v-w8540f1", "vyvážit (v-w8540f1)")</f>
        <v>vyvážit (v-w8540f1)</v>
      </c>
    </row>
    <row r="61044" customFormat="false" ht="12.8" hidden="false" customHeight="false" outlineLevel="0" collapsed="false">
      <c r="B61044" s="0" t="s">
        <v>7</v>
      </c>
      <c r="C61044" s="0" t="s">
        <v>108</v>
      </c>
      <c r="D61044" s="0" t="s">
        <v>4732</v>
      </c>
      <c r="E61044" s="0" t="s">
        <v>4732</v>
      </c>
      <c r="F61044" s="0" t="s">
        <v>4732</v>
      </c>
    </row>
    <row r="61045" customFormat="false" ht="12.8" hidden="false" customHeight="false" outlineLevel="0" collapsed="false">
      <c r="B61045" s="0" t="s">
        <v>14</v>
      </c>
      <c r="C61045" s="0" t="s">
        <v>20971</v>
      </c>
      <c r="D61045" s="0" t="s">
        <v>4737</v>
      </c>
      <c r="E61045" s="0" t="s">
        <v>4737</v>
      </c>
      <c r="F61045" s="0" t="s">
        <v>4737</v>
      </c>
    </row>
    <row r="61046" customFormat="false" ht="12.8" hidden="false" customHeight="false" outlineLevel="0" collapsed="false">
      <c r="B61046" s="0" t="s">
        <v>6292</v>
      </c>
      <c r="C61046" s="0" t="s">
        <v>20972</v>
      </c>
      <c r="D61046" s="0" t="s">
        <v>12871</v>
      </c>
      <c r="E61046" s="0" t="s">
        <v>12871</v>
      </c>
      <c r="F61046" s="0" t="s">
        <v>12871</v>
      </c>
    </row>
    <row r="61048" customFormat="false" ht="12.8" hidden="false" customHeight="false" outlineLevel="0" collapsed="false">
      <c r="A61048" s="0" t="s">
        <v>20973</v>
      </c>
      <c r="B61048" s="0" t="str">
        <f aca="false">HYPERLINK("https://lindat.mff.cuni.cz/services/teitok/pdtc10/index.php?action=vallex&amp;frame=v-w8540f2_ZU", "vyvážit (v-w8540f2_ZU)")</f>
        <v>vyvážit (v-w8540f2_ZU)</v>
      </c>
    </row>
    <row r="61049" customFormat="false" ht="12.8" hidden="false" customHeight="false" outlineLevel="0" collapsed="false">
      <c r="B61049" s="0" t="s">
        <v>7</v>
      </c>
      <c r="C61049" s="0" t="s">
        <v>19774</v>
      </c>
      <c r="D61049" s="0" t="s">
        <v>20974</v>
      </c>
      <c r="E61049" s="0" t="s">
        <v>20974</v>
      </c>
      <c r="F61049" s="0" t="s">
        <v>20975</v>
      </c>
    </row>
    <row r="61050" customFormat="false" ht="12.8" hidden="false" customHeight="false" outlineLevel="0" collapsed="false">
      <c r="B61050" s="0" t="s">
        <v>14</v>
      </c>
      <c r="C61050" s="0" t="s">
        <v>1681</v>
      </c>
      <c r="D61050" s="0" t="s">
        <v>20976</v>
      </c>
      <c r="E61050" s="0" t="s">
        <v>20976</v>
      </c>
      <c r="F61050" s="0" t="s">
        <v>434</v>
      </c>
    </row>
    <row r="61052" customFormat="false" ht="12.8" hidden="false" customHeight="false" outlineLevel="0" collapsed="false">
      <c r="A61052" s="0" t="s">
        <v>20973</v>
      </c>
      <c r="B61052" s="0" t="str">
        <f aca="false">HYPERLINK("https://lindat.mff.cuni.cz/services/teitok/pdtc10/index.php?action=vallex&amp;frame=v-w8540hsa_1091", "vyvážit (v-w8540hsa_1091) - substituted with v-w8540f2_ZU")</f>
        <v>vyvážit (v-w8540hsa_1091) - substituted with v-w8540f2_ZU</v>
      </c>
    </row>
    <row r="61053" customFormat="false" ht="12.8" hidden="false" customHeight="false" outlineLevel="0" collapsed="false">
      <c r="B61053" s="0" t="s">
        <v>7</v>
      </c>
    </row>
    <row r="61054" customFormat="false" ht="12.8" hidden="false" customHeight="false" outlineLevel="0" collapsed="false">
      <c r="B61054" s="0" t="s">
        <v>14</v>
      </c>
    </row>
    <row r="61056" customFormat="false" ht="12.8" hidden="false" customHeight="false" outlineLevel="0" collapsed="false">
      <c r="A61056" s="0" t="s">
        <v>20977</v>
      </c>
      <c r="B61056" s="0" t="str">
        <f aca="false">HYPERLINK("https://lindat.mff.cuni.cz/services/teitok/pdtc10/index.php?action=vallex&amp;frame=v-w8544f1", "vyvést (v-w8544f1)")</f>
        <v>vyvést (v-w8544f1)</v>
      </c>
    </row>
    <row r="61057" customFormat="false" ht="12.8" hidden="false" customHeight="false" outlineLevel="0" collapsed="false">
      <c r="B61057" s="0" t="s">
        <v>7</v>
      </c>
      <c r="C61057" s="0" t="s">
        <v>3042</v>
      </c>
    </row>
    <row r="61058" customFormat="false" ht="12.8" hidden="false" customHeight="false" outlineLevel="0" collapsed="false">
      <c r="B61058" s="0" t="s">
        <v>14</v>
      </c>
      <c r="C61058" s="0" t="s">
        <v>20978</v>
      </c>
    </row>
    <row r="61059" customFormat="false" ht="12.8" hidden="false" customHeight="false" outlineLevel="0" collapsed="false">
      <c r="B61059" s="0" t="s">
        <v>35</v>
      </c>
      <c r="C61059" s="0" t="s">
        <v>20979</v>
      </c>
    </row>
    <row r="61061" customFormat="false" ht="12.8" hidden="false" customHeight="false" outlineLevel="0" collapsed="false">
      <c r="A61061" s="0" t="s">
        <v>20980</v>
      </c>
      <c r="B61061" s="0" t="str">
        <f aca="false">HYPERLINK("https://lindat.mff.cuni.cz/services/teitok/pdtc10/index.php?action=vallex&amp;frame=v-w8544f3", "vyvést (v-w8544f3)")</f>
        <v>vyvést (v-w8544f3)</v>
      </c>
    </row>
    <row r="61062" customFormat="false" ht="12.8" hidden="false" customHeight="false" outlineLevel="0" collapsed="false">
      <c r="B61062" s="0" t="s">
        <v>7</v>
      </c>
      <c r="C61062" s="0" t="s">
        <v>504</v>
      </c>
      <c r="D61062" s="0" t="s">
        <v>3844</v>
      </c>
      <c r="E61062" s="0" t="s">
        <v>3844</v>
      </c>
      <c r="F61062" s="0" t="s">
        <v>3844</v>
      </c>
    </row>
    <row r="61063" customFormat="false" ht="12.8" hidden="false" customHeight="false" outlineLevel="0" collapsed="false">
      <c r="B61063" s="0" t="s">
        <v>14</v>
      </c>
      <c r="C61063" s="0" t="s">
        <v>152</v>
      </c>
      <c r="D61063" s="0" t="s">
        <v>312</v>
      </c>
      <c r="E61063" s="0" t="s">
        <v>312</v>
      </c>
      <c r="F61063" s="0" t="s">
        <v>312</v>
      </c>
    </row>
    <row r="61064" customFormat="false" ht="12.8" hidden="false" customHeight="false" outlineLevel="0" collapsed="false">
      <c r="B61064" s="0" t="s">
        <v>459</v>
      </c>
    </row>
    <row r="61066" customFormat="false" ht="12.8" hidden="false" customHeight="false" outlineLevel="0" collapsed="false">
      <c r="A61066" s="0" t="s">
        <v>20981</v>
      </c>
      <c r="B61066" s="0" t="str">
        <f aca="false">HYPERLINK("https://lindat.mff.cuni.cz/services/teitok/pdtc10/index.php?action=vallex&amp;frame=v-w8544f2", "vyvést (v-w8544f2)")</f>
        <v>vyvést (v-w8544f2)</v>
      </c>
    </row>
    <row r="61067" customFormat="false" ht="12.8" hidden="false" customHeight="false" outlineLevel="0" collapsed="false">
      <c r="B61067" s="0" t="s">
        <v>7</v>
      </c>
      <c r="C61067" s="0" t="s">
        <v>46</v>
      </c>
      <c r="D61067" s="0" t="s">
        <v>10458</v>
      </c>
      <c r="E61067" s="0" t="s">
        <v>20982</v>
      </c>
      <c r="F61067" s="0" t="s">
        <v>20982</v>
      </c>
    </row>
    <row r="61068" customFormat="false" ht="12.8" hidden="false" customHeight="false" outlineLevel="0" collapsed="false">
      <c r="B61068" s="0" t="s">
        <v>20955</v>
      </c>
    </row>
    <row r="61069" customFormat="false" ht="12.8" hidden="false" customHeight="false" outlineLevel="0" collapsed="false">
      <c r="B61069" s="0" t="s">
        <v>14</v>
      </c>
      <c r="C61069" s="0" t="s">
        <v>567</v>
      </c>
      <c r="D61069" s="0" t="s">
        <v>14767</v>
      </c>
      <c r="E61069" s="0" t="s">
        <v>20983</v>
      </c>
      <c r="F61069" s="0" t="s">
        <v>20983</v>
      </c>
    </row>
    <row r="61071" customFormat="false" ht="12.8" hidden="false" customHeight="false" outlineLevel="0" collapsed="false">
      <c r="A61071" s="0" t="s">
        <v>20984</v>
      </c>
      <c r="B61071" s="0" t="str">
        <f aca="false">HYPERLINK("https://lindat.mff.cuni.cz/services/teitok/pdtc10/index.php?action=vallex&amp;frame=v-w8544f4_ZU", "vyvést (v-w8544f4_ZU)")</f>
        <v>vyvést (v-w8544f4_ZU)</v>
      </c>
    </row>
    <row r="61072" customFormat="false" ht="12.8" hidden="false" customHeight="false" outlineLevel="0" collapsed="false">
      <c r="B61072" s="0" t="s">
        <v>7</v>
      </c>
      <c r="D61072" s="0" t="s">
        <v>10458</v>
      </c>
      <c r="E61072" s="0" t="s">
        <v>10458</v>
      </c>
      <c r="F61072" s="0" t="s">
        <v>10458</v>
      </c>
    </row>
    <row r="61073" customFormat="false" ht="12.8" hidden="false" customHeight="false" outlineLevel="0" collapsed="false">
      <c r="B61073" s="0" t="s">
        <v>20985</v>
      </c>
    </row>
    <row r="61074" customFormat="false" ht="12.8" hidden="false" customHeight="false" outlineLevel="0" collapsed="false">
      <c r="B61074" s="0" t="s">
        <v>14</v>
      </c>
      <c r="C61074" s="0" t="s">
        <v>155</v>
      </c>
      <c r="D61074" s="0" t="s">
        <v>20986</v>
      </c>
      <c r="E61074" s="0" t="s">
        <v>20986</v>
      </c>
      <c r="F61074" s="0" t="s">
        <v>20986</v>
      </c>
    </row>
    <row r="61076" customFormat="false" ht="12.8" hidden="false" customHeight="false" outlineLevel="0" collapsed="false">
      <c r="A61076" s="0" t="s">
        <v>20984</v>
      </c>
      <c r="B61076" s="0" t="str">
        <f aca="false">HYPERLINK("https://lindat.mff.cuni.cz/services/teitok/pdtc10/index.php?action=vallex&amp;frame=v-w8544hsa_501", "vyvést (v-w8544hsa_501) - substituted with v-w8544f4_ZU")</f>
        <v>vyvést (v-w8544hsa_501) - substituted with v-w8544f4_ZU</v>
      </c>
    </row>
    <row r="61077" customFormat="false" ht="12.8" hidden="false" customHeight="false" outlineLevel="0" collapsed="false">
      <c r="B61077" s="0" t="s">
        <v>7</v>
      </c>
    </row>
    <row r="61078" customFormat="false" ht="12.8" hidden="false" customHeight="false" outlineLevel="0" collapsed="false">
      <c r="B61078" s="0" t="s">
        <v>20985</v>
      </c>
    </row>
    <row r="61079" customFormat="false" ht="12.8" hidden="false" customHeight="false" outlineLevel="0" collapsed="false">
      <c r="B61079" s="0" t="s">
        <v>14</v>
      </c>
    </row>
    <row r="61081" customFormat="false" ht="12.8" hidden="false" customHeight="false" outlineLevel="0" collapsed="false">
      <c r="A61081" s="0" t="s">
        <v>20987</v>
      </c>
      <c r="B61081" s="0" t="str">
        <f aca="false">HYPERLINK("https://lindat.mff.cuni.cz/services/teitok/pdtc10/index.php?action=vallex&amp;frame=v-w8544hsa_1504", "vyvést (v-w8544hsa_1504)")</f>
        <v>vyvést (v-w8544hsa_1504)</v>
      </c>
    </row>
    <row r="61082" customFormat="false" ht="12.8" hidden="false" customHeight="false" outlineLevel="0" collapsed="false">
      <c r="B61082" s="0" t="s">
        <v>7</v>
      </c>
    </row>
    <row r="61083" customFormat="false" ht="12.8" hidden="false" customHeight="false" outlineLevel="0" collapsed="false">
      <c r="B61083" s="0" t="s">
        <v>14</v>
      </c>
    </row>
    <row r="61085" customFormat="false" ht="12.8" hidden="false" customHeight="false" outlineLevel="0" collapsed="false">
      <c r="A61085" s="0" t="s">
        <v>20988</v>
      </c>
      <c r="B61085" s="0" t="str">
        <f aca="false">HYPERLINK("https://lindat.mff.cuni.cz/services/teitok/pdtc10/index.php?action=vallex&amp;frame=v-w8545f1", "vyvést se (v-w8545f1)")</f>
        <v>vyvést se (v-w8545f1)</v>
      </c>
    </row>
    <row r="61086" customFormat="false" ht="12.8" hidden="false" customHeight="false" outlineLevel="0" collapsed="false">
      <c r="B61086" s="0" t="s">
        <v>603</v>
      </c>
    </row>
    <row r="61087" customFormat="false" ht="12.8" hidden="false" customHeight="false" outlineLevel="0" collapsed="false">
      <c r="B61087" s="0" t="s">
        <v>9897</v>
      </c>
    </row>
    <row r="61089" customFormat="false" ht="12.8" hidden="false" customHeight="false" outlineLevel="0" collapsed="false">
      <c r="A61089" s="0" t="s">
        <v>20989</v>
      </c>
      <c r="B61089" s="0" t="str">
        <f aca="false">HYPERLINK("https://lindat.mff.cuni.cz/services/teitok/pdtc10/index.php?action=vallex&amp;frame=v-w8547f1", "vyvézt (v-w8547f1)")</f>
        <v>vyvézt (v-w8547f1)</v>
      </c>
    </row>
    <row r="61090" customFormat="false" ht="12.8" hidden="false" customHeight="false" outlineLevel="0" collapsed="false">
      <c r="B61090" s="0" t="s">
        <v>7</v>
      </c>
      <c r="C61090" s="0" t="s">
        <v>126</v>
      </c>
      <c r="D61090" s="0" t="s">
        <v>194</v>
      </c>
      <c r="E61090" s="0" t="s">
        <v>194</v>
      </c>
      <c r="F61090" s="0" t="s">
        <v>194</v>
      </c>
    </row>
    <row r="61091" customFormat="false" ht="12.8" hidden="false" customHeight="false" outlineLevel="0" collapsed="false">
      <c r="B61091" s="0" t="s">
        <v>14</v>
      </c>
      <c r="C61091" s="0" t="s">
        <v>5444</v>
      </c>
      <c r="D61091" s="0" t="s">
        <v>9636</v>
      </c>
      <c r="E61091" s="0" t="s">
        <v>9636</v>
      </c>
      <c r="F61091" s="0" t="s">
        <v>9636</v>
      </c>
    </row>
    <row r="61092" customFormat="false" ht="12.8" hidden="false" customHeight="false" outlineLevel="0" collapsed="false">
      <c r="B61092" s="0" t="s">
        <v>459</v>
      </c>
    </row>
    <row r="61094" customFormat="false" ht="12.8" hidden="false" customHeight="false" outlineLevel="0" collapsed="false">
      <c r="A61094" s="0" t="s">
        <v>20990</v>
      </c>
      <c r="B61094" s="0" t="str">
        <f aca="false">HYPERLINK("https://lindat.mff.cuni.cz/services/teitok/pdtc10/index.php?action=vallex&amp;frame=v-w8547f2_ZU", "vyvézt (v-w8547f2_ZU)")</f>
        <v>vyvézt (v-w8547f2_ZU)</v>
      </c>
    </row>
    <row r="61095" customFormat="false" ht="12.8" hidden="false" customHeight="false" outlineLevel="0" collapsed="false">
      <c r="B61095" s="0" t="s">
        <v>7</v>
      </c>
    </row>
    <row r="61096" customFormat="false" ht="12.8" hidden="false" customHeight="false" outlineLevel="0" collapsed="false">
      <c r="B61096" s="0" t="s">
        <v>14</v>
      </c>
    </row>
    <row r="61097" customFormat="false" ht="12.8" hidden="false" customHeight="false" outlineLevel="0" collapsed="false">
      <c r="B61097" s="0" t="s">
        <v>338</v>
      </c>
    </row>
    <row r="61099" customFormat="false" ht="12.8" hidden="false" customHeight="false" outlineLevel="0" collapsed="false">
      <c r="A61099" s="0" t="s">
        <v>20991</v>
      </c>
      <c r="B61099" s="0" t="str">
        <f aca="false">HYPERLINK("https://lindat.mff.cuni.cz/services/teitok/pdtc10/index.php?action=vallex&amp;frame=v-w8549f2", "vyvíjet (v-w8549f2)")</f>
        <v>vyvíjet (v-w8549f2)</v>
      </c>
    </row>
    <row r="61100" customFormat="false" ht="12.8" hidden="false" customHeight="false" outlineLevel="0" collapsed="false">
      <c r="B61100" s="0" t="s">
        <v>7</v>
      </c>
      <c r="C61100" s="0" t="s">
        <v>20992</v>
      </c>
      <c r="D61100" s="0" t="s">
        <v>2808</v>
      </c>
      <c r="E61100" s="0" t="s">
        <v>2808</v>
      </c>
      <c r="F61100" s="0" t="s">
        <v>2808</v>
      </c>
    </row>
    <row r="61101" customFormat="false" ht="12.8" hidden="false" customHeight="false" outlineLevel="0" collapsed="false">
      <c r="B61101" s="0" t="s">
        <v>14</v>
      </c>
      <c r="C61101" s="0" t="s">
        <v>20993</v>
      </c>
      <c r="D61101" s="0" t="s">
        <v>4644</v>
      </c>
      <c r="E61101" s="0" t="s">
        <v>4644</v>
      </c>
      <c r="F61101" s="0" t="s">
        <v>4644</v>
      </c>
    </row>
    <row r="61102" customFormat="false" ht="12.8" hidden="false" customHeight="false" outlineLevel="0" collapsed="false">
      <c r="B61102" s="0" t="s">
        <v>35</v>
      </c>
      <c r="C61102" s="0" t="s">
        <v>5360</v>
      </c>
      <c r="D61102" s="0" t="s">
        <v>4253</v>
      </c>
      <c r="E61102" s="0" t="s">
        <v>4253</v>
      </c>
      <c r="F61102" s="0" t="s">
        <v>4253</v>
      </c>
    </row>
    <row r="61104" customFormat="false" ht="12.8" hidden="false" customHeight="false" outlineLevel="0" collapsed="false">
      <c r="A61104" s="0" t="s">
        <v>20994</v>
      </c>
      <c r="B61104" s="0" t="str">
        <f aca="false">HYPERLINK("https://lindat.mff.cuni.cz/services/teitok/pdtc10/index.php?action=vallex&amp;frame=v-w8549hsa_298", "vyvíjet (v-w8549hsa_298)")</f>
        <v>vyvíjet (v-w8549hsa_298)</v>
      </c>
    </row>
    <row r="61105" customFormat="false" ht="12.8" hidden="false" customHeight="false" outlineLevel="0" collapsed="false">
      <c r="B61105" s="0" t="s">
        <v>7</v>
      </c>
      <c r="C61105" s="0" t="s">
        <v>3664</v>
      </c>
    </row>
    <row r="61106" customFormat="false" ht="12.8" hidden="false" customHeight="false" outlineLevel="0" collapsed="false">
      <c r="B61106" s="0" t="s">
        <v>20995</v>
      </c>
      <c r="C61106" s="0" t="s">
        <v>11800</v>
      </c>
    </row>
    <row r="61108" customFormat="false" ht="12.8" hidden="false" customHeight="false" outlineLevel="0" collapsed="false">
      <c r="A61108" s="0" t="s">
        <v>20994</v>
      </c>
      <c r="B61108" s="0" t="str">
        <f aca="false">HYPERLINK("https://lindat.mff.cuni.cz/services/teitok/pdtc10/index.php?action=vallex&amp;frame=v-w8549f1", "vyvíjet (v-w8549f1) - substituted with v-w8549hsa_298")</f>
        <v>vyvíjet (v-w8549f1) - substituted with v-w8549hsa_298</v>
      </c>
    </row>
    <row r="61109" customFormat="false" ht="12.8" hidden="false" customHeight="false" outlineLevel="0" collapsed="false">
      <c r="B61109" s="0" t="s">
        <v>7</v>
      </c>
      <c r="C61109" s="0" t="s">
        <v>1154</v>
      </c>
    </row>
    <row r="61110" customFormat="false" ht="12.8" hidden="false" customHeight="false" outlineLevel="0" collapsed="false">
      <c r="B61110" s="0" t="s">
        <v>20995</v>
      </c>
      <c r="C61110" s="0" t="s">
        <v>20996</v>
      </c>
    </row>
    <row r="61112" customFormat="false" ht="12.8" hidden="false" customHeight="false" outlineLevel="0" collapsed="false">
      <c r="A61112" s="0" t="s">
        <v>20994</v>
      </c>
      <c r="B61112" s="0" t="str">
        <f aca="false">HYPERLINK("https://lindat.mff.cuni.cz/services/teitok/pdtc10/index.php?action=vallex&amp;frame=v-w8549f3_ZU", "vyvíjet (v-w8549f3_ZU) - substituted with v-w8549hsa_298")</f>
        <v>vyvíjet (v-w8549f3_ZU) - substituted with v-w8549hsa_298</v>
      </c>
    </row>
    <row r="61113" customFormat="false" ht="12.8" hidden="false" customHeight="false" outlineLevel="0" collapsed="false">
      <c r="B61113" s="0" t="s">
        <v>7</v>
      </c>
      <c r="C61113" s="0" t="s">
        <v>7173</v>
      </c>
    </row>
    <row r="61114" customFormat="false" ht="12.8" hidden="false" customHeight="false" outlineLevel="0" collapsed="false">
      <c r="B61114" s="0" t="s">
        <v>20995</v>
      </c>
      <c r="C61114" s="0" t="s">
        <v>20997</v>
      </c>
    </row>
    <row r="61116" customFormat="false" ht="12.8" hidden="false" customHeight="false" outlineLevel="0" collapsed="false">
      <c r="A61116" s="0" t="s">
        <v>20998</v>
      </c>
      <c r="B61116" s="0" t="str">
        <f aca="false">HYPERLINK("https://lindat.mff.cuni.cz/services/teitok/pdtc10/index.php?action=vallex&amp;frame=v-w8550f1", "vyvíjet se (v-w8550f1)")</f>
        <v>vyvíjet se (v-w8550f1)</v>
      </c>
    </row>
    <row r="61117" customFormat="false" ht="12.8" hidden="false" customHeight="false" outlineLevel="0" collapsed="false">
      <c r="B61117" s="0" t="s">
        <v>7</v>
      </c>
      <c r="C61117" s="0" t="s">
        <v>20999</v>
      </c>
      <c r="D61117" s="0" t="s">
        <v>5047</v>
      </c>
      <c r="E61117" s="0" t="s">
        <v>5047</v>
      </c>
      <c r="F61117" s="0" t="s">
        <v>5047</v>
      </c>
    </row>
    <row r="61119" customFormat="false" ht="12.8" hidden="false" customHeight="false" outlineLevel="0" collapsed="false">
      <c r="A61119" s="0" t="s">
        <v>21000</v>
      </c>
      <c r="B61119" s="0" t="str">
        <f aca="false">HYPERLINK("https://lindat.mff.cuni.cz/services/teitok/pdtc10/index.php?action=vallex&amp;frame=v-w10104f2", "vyvěrat (v-w10104f2)")</f>
        <v>vyvěrat (v-w10104f2)</v>
      </c>
    </row>
    <row r="61120" customFormat="false" ht="12.8" hidden="false" customHeight="false" outlineLevel="0" collapsed="false">
      <c r="B61120" s="0" t="s">
        <v>7</v>
      </c>
      <c r="C61120" s="0" t="s">
        <v>8450</v>
      </c>
      <c r="D61120" s="0" t="s">
        <v>9818</v>
      </c>
      <c r="E61120" s="0" t="s">
        <v>9818</v>
      </c>
      <c r="F61120" s="0" t="s">
        <v>9818</v>
      </c>
    </row>
    <row r="61121" customFormat="false" ht="12.8" hidden="false" customHeight="false" outlineLevel="0" collapsed="false">
      <c r="B61121" s="0" t="s">
        <v>227</v>
      </c>
      <c r="C61121" s="0" t="s">
        <v>21001</v>
      </c>
      <c r="D61121" s="0" t="s">
        <v>9820</v>
      </c>
      <c r="E61121" s="0" t="s">
        <v>9820</v>
      </c>
      <c r="F61121" s="0" t="s">
        <v>9820</v>
      </c>
    </row>
    <row r="61123" customFormat="false" ht="12.8" hidden="false" customHeight="false" outlineLevel="0" collapsed="false">
      <c r="A61123" s="0" t="s">
        <v>21002</v>
      </c>
      <c r="B61123" s="0" t="str">
        <f aca="false">HYPERLINK("https://lindat.mff.cuni.cz/services/teitok/pdtc10/index.php?action=vallex&amp;frame=v-w10104hsa_1753", "vyvěrat (v-w10104hsa_1753)")</f>
        <v>vyvěrat (v-w10104hsa_1753)</v>
      </c>
    </row>
    <row r="61124" customFormat="false" ht="12.8" hidden="false" customHeight="false" outlineLevel="0" collapsed="false">
      <c r="B61124" s="0" t="s">
        <v>7</v>
      </c>
    </row>
    <row r="61125" customFormat="false" ht="12.8" hidden="false" customHeight="false" outlineLevel="0" collapsed="false">
      <c r="B61125" s="0" t="s">
        <v>459</v>
      </c>
    </row>
    <row r="61127" customFormat="false" ht="12.8" hidden="false" customHeight="false" outlineLevel="0" collapsed="false">
      <c r="A61127" s="0" t="s">
        <v>21003</v>
      </c>
      <c r="B61127" s="0" t="str">
        <f aca="false">HYPERLINK("https://lindat.mff.cuni.cz/services/teitok/pdtc10/index.php?action=vallex&amp;frame=v-w8543f1", "vyvěsit (v-w8543f1)")</f>
        <v>vyvěsit (v-w8543f1)</v>
      </c>
    </row>
    <row r="61128" customFormat="false" ht="12.8" hidden="false" customHeight="false" outlineLevel="0" collapsed="false">
      <c r="B61128" s="0" t="s">
        <v>7</v>
      </c>
      <c r="C61128" s="0" t="s">
        <v>184</v>
      </c>
      <c r="D61128" s="0" t="s">
        <v>2235</v>
      </c>
      <c r="E61128" s="0" t="s">
        <v>2235</v>
      </c>
      <c r="F61128" s="0" t="s">
        <v>2235</v>
      </c>
    </row>
    <row r="61129" customFormat="false" ht="12.8" hidden="false" customHeight="false" outlineLevel="0" collapsed="false">
      <c r="B61129" s="0" t="s">
        <v>172</v>
      </c>
      <c r="C61129" s="0" t="s">
        <v>384</v>
      </c>
      <c r="D61129" s="0" t="s">
        <v>2237</v>
      </c>
      <c r="E61129" s="0" t="s">
        <v>2237</v>
      </c>
      <c r="F61129" s="0" t="s">
        <v>2237</v>
      </c>
    </row>
    <row r="61131" customFormat="false" ht="12.8" hidden="false" customHeight="false" outlineLevel="0" collapsed="false">
      <c r="A61131" s="0" t="s">
        <v>21004</v>
      </c>
      <c r="B61131" s="0" t="str">
        <f aca="false">HYPERLINK("https://lindat.mff.cuni.cz/services/teitok/pdtc10/index.php?action=vallex&amp;frame=v-w12321_MMf1_MM", "vyvětrat (v-w12321_MMf1_MM)")</f>
        <v>vyvětrat (v-w12321_MMf1_MM)</v>
      </c>
    </row>
    <row r="61132" customFormat="false" ht="12.8" hidden="false" customHeight="false" outlineLevel="0" collapsed="false">
      <c r="B61132" s="0" t="s">
        <v>7</v>
      </c>
    </row>
    <row r="61133" customFormat="false" ht="12.8" hidden="false" customHeight="false" outlineLevel="0" collapsed="false">
      <c r="B61133" s="0" t="s">
        <v>14</v>
      </c>
    </row>
    <row r="61135" customFormat="false" ht="12.8" hidden="false" customHeight="false" outlineLevel="0" collapsed="false">
      <c r="A61135" s="0" t="s">
        <v>21005</v>
      </c>
      <c r="B61135" s="0" t="str">
        <f aca="false">HYPERLINK("https://lindat.mff.cuni.cz/services/teitok/pdtc10/index.php?action=vallex&amp;frame=v-w10904f2", "vyvěšovat (v-w10904f2)")</f>
        <v>vyvěšovat (v-w10904f2)</v>
      </c>
    </row>
    <row r="61136" customFormat="false" ht="12.8" hidden="false" customHeight="false" outlineLevel="0" collapsed="false">
      <c r="B61136" s="0" t="s">
        <v>7</v>
      </c>
      <c r="C61136" s="0" t="s">
        <v>163</v>
      </c>
    </row>
    <row r="61137" customFormat="false" ht="12.8" hidden="false" customHeight="false" outlineLevel="0" collapsed="false">
      <c r="B61137" s="0" t="s">
        <v>172</v>
      </c>
      <c r="C61137" s="0" t="s">
        <v>166</v>
      </c>
    </row>
    <row r="61139" customFormat="false" ht="12.8" hidden="false" customHeight="false" outlineLevel="0" collapsed="false">
      <c r="A61139" s="0" t="s">
        <v>21006</v>
      </c>
      <c r="B61139" s="0" t="str">
        <f aca="false">HYPERLINK("https://lindat.mff.cuni.cz/services/teitok/pdtc10/index.php?action=vallex&amp;frame=v-w8578f2", "vyzařovat (v-w8578f2)")</f>
        <v>vyzařovat (v-w8578f2)</v>
      </c>
    </row>
    <row r="61140" customFormat="false" ht="12.8" hidden="false" customHeight="false" outlineLevel="0" collapsed="false">
      <c r="B61140" s="0" t="s">
        <v>7</v>
      </c>
      <c r="C61140" s="0" t="s">
        <v>1226</v>
      </c>
      <c r="D61140" s="0" t="s">
        <v>21007</v>
      </c>
      <c r="E61140" s="0" t="s">
        <v>21007</v>
      </c>
      <c r="F61140" s="0" t="s">
        <v>21007</v>
      </c>
    </row>
    <row r="61141" customFormat="false" ht="12.8" hidden="false" customHeight="false" outlineLevel="0" collapsed="false">
      <c r="B61141" s="0" t="s">
        <v>14</v>
      </c>
      <c r="C61141" s="0" t="s">
        <v>2013</v>
      </c>
      <c r="D61141" s="0" t="s">
        <v>21008</v>
      </c>
      <c r="E61141" s="0" t="s">
        <v>21008</v>
      </c>
      <c r="F61141" s="0" t="s">
        <v>21008</v>
      </c>
    </row>
    <row r="61143" customFormat="false" ht="12.8" hidden="false" customHeight="false" outlineLevel="0" collapsed="false">
      <c r="A61143" s="0" t="s">
        <v>21009</v>
      </c>
      <c r="B61143" s="0" t="str">
        <f aca="false">HYPERLINK("https://lindat.mff.cuni.cz/services/teitok/pdtc10/index.php?action=vallex&amp;frame=v-w8578f1", "vyzařovat (v-w8578f1)")</f>
        <v>vyzařovat (v-w8578f1)</v>
      </c>
    </row>
    <row r="61144" customFormat="false" ht="12.8" hidden="false" customHeight="false" outlineLevel="0" collapsed="false">
      <c r="B61144" s="0" t="s">
        <v>7</v>
      </c>
      <c r="C61144" s="0" t="s">
        <v>200</v>
      </c>
      <c r="D61144" s="0" t="s">
        <v>9818</v>
      </c>
      <c r="E61144" s="0" t="s">
        <v>9818</v>
      </c>
      <c r="F61144" s="0" t="s">
        <v>9818</v>
      </c>
    </row>
    <row r="61145" customFormat="false" ht="12.8" hidden="false" customHeight="false" outlineLevel="0" collapsed="false">
      <c r="B61145" s="0" t="s">
        <v>459</v>
      </c>
      <c r="C61145" s="0" t="s">
        <v>21010</v>
      </c>
      <c r="D61145" s="0" t="s">
        <v>17216</v>
      </c>
      <c r="E61145" s="0" t="s">
        <v>17216</v>
      </c>
      <c r="F61145" s="0" t="s">
        <v>17216</v>
      </c>
    </row>
    <row r="61147" customFormat="false" ht="12.8" hidden="false" customHeight="false" outlineLevel="0" collapsed="false">
      <c r="A61147" s="0" t="s">
        <v>21011</v>
      </c>
      <c r="B61147" s="0" t="str">
        <f aca="false">HYPERLINK("https://lindat.mff.cuni.cz/services/teitok/pdtc10/index.php?action=vallex&amp;frame=v-w8579f1", "vyzbrojit (v-w8579f1)")</f>
        <v>vyzbrojit (v-w8579f1)</v>
      </c>
    </row>
    <row r="61148" customFormat="false" ht="12.8" hidden="false" customHeight="false" outlineLevel="0" collapsed="false">
      <c r="B61148" s="0" t="s">
        <v>7</v>
      </c>
      <c r="C61148" s="0" t="s">
        <v>191</v>
      </c>
      <c r="D61148" s="0" t="s">
        <v>8931</v>
      </c>
      <c r="E61148" s="0" t="s">
        <v>8931</v>
      </c>
      <c r="F61148" s="0" t="s">
        <v>8931</v>
      </c>
    </row>
    <row r="61149" customFormat="false" ht="12.8" hidden="false" customHeight="false" outlineLevel="0" collapsed="false">
      <c r="B61149" s="0" t="s">
        <v>14</v>
      </c>
      <c r="C61149" s="0" t="s">
        <v>155</v>
      </c>
      <c r="D61149" s="0" t="s">
        <v>8932</v>
      </c>
      <c r="E61149" s="0" t="s">
        <v>8932</v>
      </c>
      <c r="F61149" s="0" t="s">
        <v>8932</v>
      </c>
    </row>
    <row r="61150" customFormat="false" ht="12.8" hidden="false" customHeight="false" outlineLevel="0" collapsed="false">
      <c r="B61150" s="0" t="s">
        <v>6292</v>
      </c>
      <c r="D61150" s="0" t="s">
        <v>8933</v>
      </c>
      <c r="E61150" s="0" t="s">
        <v>8933</v>
      </c>
      <c r="F61150" s="0" t="s">
        <v>8933</v>
      </c>
    </row>
    <row r="61152" customFormat="false" ht="12.8" hidden="false" customHeight="false" outlineLevel="0" collapsed="false">
      <c r="A61152" s="0" t="s">
        <v>21012</v>
      </c>
      <c r="B61152" s="0" t="str">
        <f aca="false">HYPERLINK("https://lindat.mff.cuni.cz/services/teitok/pdtc10/index.php?action=vallex&amp;frame=v-w11404f2_ZU", "vyzbrojit se (v-w11404f2_ZU)")</f>
        <v>vyzbrojit se (v-w11404f2_ZU)</v>
      </c>
    </row>
    <row r="61153" customFormat="false" ht="12.8" hidden="false" customHeight="false" outlineLevel="0" collapsed="false">
      <c r="B61153" s="0" t="s">
        <v>7</v>
      </c>
    </row>
    <row r="61154" customFormat="false" ht="12.8" hidden="false" customHeight="false" outlineLevel="0" collapsed="false">
      <c r="B61154" s="0" t="s">
        <v>3771</v>
      </c>
    </row>
    <row r="61156" customFormat="false" ht="12.8" hidden="false" customHeight="false" outlineLevel="0" collapsed="false">
      <c r="A61156" s="0" t="s">
        <v>21012</v>
      </c>
      <c r="B61156" s="0" t="str">
        <f aca="false">HYPERLINK("https://lindat.mff.cuni.cz/services/teitok/pdtc10/index.php?action=vallex&amp;frame=v-w11404f1", "vyzbrojit se (v-w11404f1) - substituted with v-w11404f2_ZU")</f>
        <v>vyzbrojit se (v-w11404f1) - substituted with v-w11404f2_ZU</v>
      </c>
    </row>
    <row r="61157" customFormat="false" ht="12.8" hidden="false" customHeight="false" outlineLevel="0" collapsed="false">
      <c r="B61157" s="0" t="s">
        <v>7</v>
      </c>
    </row>
    <row r="61158" customFormat="false" ht="12.8" hidden="false" customHeight="false" outlineLevel="0" collapsed="false">
      <c r="B61158" s="0" t="s">
        <v>3771</v>
      </c>
    </row>
    <row r="61160" customFormat="false" ht="12.8" hidden="false" customHeight="false" outlineLevel="0" collapsed="false">
      <c r="A61160" s="0" t="s">
        <v>21013</v>
      </c>
      <c r="B61160" s="0" t="str">
        <f aca="false">HYPERLINK("https://lindat.mff.cuni.cz/services/teitok/pdtc10/index.php?action=vallex&amp;frame=v-w8580f1", "vyzbrojovat (v-w8580f1)")</f>
        <v>vyzbrojovat (v-w8580f1)</v>
      </c>
    </row>
    <row r="61161" customFormat="false" ht="12.8" hidden="false" customHeight="false" outlineLevel="0" collapsed="false">
      <c r="B61161" s="0" t="s">
        <v>7</v>
      </c>
    </row>
    <row r="61162" customFormat="false" ht="12.8" hidden="false" customHeight="false" outlineLevel="0" collapsed="false">
      <c r="B61162" s="0" t="s">
        <v>14</v>
      </c>
    </row>
    <row r="61164" customFormat="false" ht="12.8" hidden="false" customHeight="false" outlineLevel="0" collapsed="false">
      <c r="A61164" s="0" t="s">
        <v>21014</v>
      </c>
      <c r="B61164" s="0" t="str">
        <f aca="false">HYPERLINK("https://lindat.mff.cuni.cz/services/teitok/pdtc10/index.php?action=vallex&amp;frame=v-w8581f1", "vyzdobit (v-w8581f1)")</f>
        <v>vyzdobit (v-w8581f1)</v>
      </c>
    </row>
    <row r="61165" customFormat="false" ht="12.8" hidden="false" customHeight="false" outlineLevel="0" collapsed="false">
      <c r="B61165" s="0" t="s">
        <v>7</v>
      </c>
      <c r="C61165" s="0" t="s">
        <v>191</v>
      </c>
      <c r="D61165" s="0" t="s">
        <v>569</v>
      </c>
      <c r="E61165" s="0" t="s">
        <v>569</v>
      </c>
      <c r="F61165" s="0" t="s">
        <v>569</v>
      </c>
    </row>
    <row r="61166" customFormat="false" ht="12.8" hidden="false" customHeight="false" outlineLevel="0" collapsed="false">
      <c r="B61166" s="0" t="s">
        <v>14</v>
      </c>
      <c r="C61166" s="0" t="s">
        <v>155</v>
      </c>
      <c r="D61166" s="0" t="s">
        <v>461</v>
      </c>
      <c r="E61166" s="0" t="s">
        <v>461</v>
      </c>
      <c r="F61166" s="0" t="s">
        <v>461</v>
      </c>
    </row>
    <row r="61168" customFormat="false" ht="12.8" hidden="false" customHeight="false" outlineLevel="0" collapsed="false">
      <c r="A61168" s="0" t="s">
        <v>21015</v>
      </c>
      <c r="B61168" s="0" t="str">
        <f aca="false">HYPERLINK("https://lindat.mff.cuni.cz/services/teitok/pdtc10/index.php?action=vallex&amp;frame=v-w8582f2", "vyzdvihnout (v-w8582f2)")</f>
        <v>vyzdvihnout (v-w8582f2)</v>
      </c>
    </row>
    <row r="61169" customFormat="false" ht="12.8" hidden="false" customHeight="false" outlineLevel="0" collapsed="false">
      <c r="B61169" s="0" t="s">
        <v>7</v>
      </c>
    </row>
    <row r="61170" customFormat="false" ht="12.8" hidden="false" customHeight="false" outlineLevel="0" collapsed="false">
      <c r="B61170" s="0" t="s">
        <v>14</v>
      </c>
    </row>
    <row r="61171" customFormat="false" ht="12.8" hidden="false" customHeight="false" outlineLevel="0" collapsed="false">
      <c r="B61171" s="0" t="s">
        <v>459</v>
      </c>
    </row>
    <row r="61173" customFormat="false" ht="12.8" hidden="false" customHeight="false" outlineLevel="0" collapsed="false">
      <c r="A61173" s="0" t="s">
        <v>21016</v>
      </c>
      <c r="B61173" s="0" t="str">
        <f aca="false">HYPERLINK("https://lindat.mff.cuni.cz/services/teitok/pdtc10/index.php?action=vallex&amp;frame=v-w8582f1", "vyzdvihnout (v-w8582f1)")</f>
        <v>vyzdvihnout (v-w8582f1)</v>
      </c>
    </row>
    <row r="61174" customFormat="false" ht="12.8" hidden="false" customHeight="false" outlineLevel="0" collapsed="false">
      <c r="B61174" s="0" t="s">
        <v>7</v>
      </c>
      <c r="C61174" s="0" t="s">
        <v>335</v>
      </c>
      <c r="D61174" s="0" t="s">
        <v>4677</v>
      </c>
      <c r="E61174" s="0" t="s">
        <v>4677</v>
      </c>
      <c r="F61174" s="0" t="s">
        <v>4677</v>
      </c>
    </row>
    <row r="61175" customFormat="false" ht="12.8" hidden="false" customHeight="false" outlineLevel="0" collapsed="false">
      <c r="B61175" s="0" t="s">
        <v>14</v>
      </c>
      <c r="C61175" s="0" t="s">
        <v>74</v>
      </c>
      <c r="D61175" s="0" t="s">
        <v>10088</v>
      </c>
      <c r="E61175" s="0" t="s">
        <v>10088</v>
      </c>
      <c r="F61175" s="0" t="s">
        <v>10088</v>
      </c>
    </row>
    <row r="61177" customFormat="false" ht="12.8" hidden="false" customHeight="false" outlineLevel="0" collapsed="false">
      <c r="A61177" s="0" t="s">
        <v>21017</v>
      </c>
      <c r="B61177" s="0" t="str">
        <f aca="false">HYPERLINK("https://lindat.mff.cuni.cz/services/teitok/pdtc10/index.php?action=vallex&amp;frame=v-w8582hsa_1951", "vyzdvihnout (v-w8582hsa_1951)")</f>
        <v>vyzdvihnout (v-w8582hsa_1951)</v>
      </c>
    </row>
    <row r="61178" customFormat="false" ht="12.8" hidden="false" customHeight="false" outlineLevel="0" collapsed="false">
      <c r="B61178" s="0" t="s">
        <v>7</v>
      </c>
    </row>
    <row r="61179" customFormat="false" ht="12.8" hidden="false" customHeight="false" outlineLevel="0" collapsed="false">
      <c r="B61179" s="0" t="s">
        <v>14</v>
      </c>
    </row>
    <row r="61180" customFormat="false" ht="12.8" hidden="false" customHeight="false" outlineLevel="0" collapsed="false">
      <c r="B61180" s="0" t="s">
        <v>124</v>
      </c>
    </row>
    <row r="61182" customFormat="false" ht="12.8" hidden="false" customHeight="false" outlineLevel="0" collapsed="false">
      <c r="A61182" s="0" t="s">
        <v>21018</v>
      </c>
      <c r="B61182" s="0" t="str">
        <f aca="false">HYPERLINK("https://lindat.mff.cuni.cz/services/teitok/pdtc10/index.php?action=vallex&amp;frame=v-w10558f4_ZU", "vyzdvihovat (v-w10558f4_ZU)")</f>
        <v>vyzdvihovat (v-w10558f4_ZU)</v>
      </c>
    </row>
    <row r="61183" customFormat="false" ht="12.8" hidden="false" customHeight="false" outlineLevel="0" collapsed="false">
      <c r="B61183" s="0" t="s">
        <v>7</v>
      </c>
      <c r="D61183" s="0" t="s">
        <v>4677</v>
      </c>
      <c r="E61183" s="0" t="s">
        <v>4677</v>
      </c>
      <c r="F61183" s="0" t="s">
        <v>4677</v>
      </c>
    </row>
    <row r="61184" customFormat="false" ht="12.8" hidden="false" customHeight="false" outlineLevel="0" collapsed="false">
      <c r="B61184" s="0" t="s">
        <v>14</v>
      </c>
      <c r="D61184" s="0" t="s">
        <v>10088</v>
      </c>
      <c r="E61184" s="0" t="s">
        <v>10088</v>
      </c>
      <c r="F61184" s="0" t="s">
        <v>10088</v>
      </c>
    </row>
    <row r="61186" customFormat="false" ht="12.8" hidden="false" customHeight="false" outlineLevel="0" collapsed="false">
      <c r="A61186" s="0" t="s">
        <v>21018</v>
      </c>
      <c r="B61186" s="0" t="str">
        <f aca="false">HYPERLINK("https://lindat.mff.cuni.cz/services/teitok/pdtc10/index.php?action=vallex&amp;frame=v-w10558f2", "vyzdvihovat (v-w10558f2) - substituted with v-w10558f4_ZU")</f>
        <v>vyzdvihovat (v-w10558f2) - substituted with v-w10558f4_ZU</v>
      </c>
    </row>
    <row r="61187" customFormat="false" ht="12.8" hidden="false" customHeight="false" outlineLevel="0" collapsed="false">
      <c r="B61187" s="0" t="s">
        <v>7</v>
      </c>
      <c r="C61187" s="0" t="s">
        <v>8313</v>
      </c>
    </row>
    <row r="61188" customFormat="false" ht="12.8" hidden="false" customHeight="false" outlineLevel="0" collapsed="false">
      <c r="B61188" s="0" t="s">
        <v>14</v>
      </c>
      <c r="C61188" s="0" t="s">
        <v>20310</v>
      </c>
    </row>
    <row r="61190" customFormat="false" ht="12.8" hidden="false" customHeight="false" outlineLevel="0" collapsed="false">
      <c r="A61190" s="0" t="s">
        <v>21018</v>
      </c>
      <c r="B61190" s="0" t="str">
        <f aca="false">HYPERLINK("https://lindat.mff.cuni.cz/services/teitok/pdtc10/index.php?action=vallex&amp;frame=v-w10558f3_ZU", "vyzdvihovat (v-w10558f3_ZU) - substituted with v-w10558f4_ZU")</f>
        <v>vyzdvihovat (v-w10558f3_ZU) - substituted with v-w10558f4_ZU</v>
      </c>
    </row>
    <row r="61191" customFormat="false" ht="12.8" hidden="false" customHeight="false" outlineLevel="0" collapsed="false">
      <c r="B61191" s="0" t="s">
        <v>7</v>
      </c>
    </row>
    <row r="61192" customFormat="false" ht="12.8" hidden="false" customHeight="false" outlineLevel="0" collapsed="false">
      <c r="B61192" s="0" t="s">
        <v>14</v>
      </c>
    </row>
    <row r="61194" customFormat="false" ht="12.8" hidden="false" customHeight="false" outlineLevel="0" collapsed="false">
      <c r="A61194" s="0" t="s">
        <v>21019</v>
      </c>
      <c r="B61194" s="0" t="str">
        <f aca="false">HYPERLINK("https://lindat.mff.cuni.cz/services/teitok/pdtc10/index.php?action=vallex&amp;frame=v-w11768_ZUf1_ZU", "vyzdívat (v-w11768_ZUf1_ZU)")</f>
        <v>vyzdívat (v-w11768_ZUf1_ZU)</v>
      </c>
    </row>
    <row r="61195" customFormat="false" ht="12.8" hidden="false" customHeight="false" outlineLevel="0" collapsed="false">
      <c r="B61195" s="0" t="s">
        <v>7</v>
      </c>
    </row>
    <row r="61196" customFormat="false" ht="12.8" hidden="false" customHeight="false" outlineLevel="0" collapsed="false">
      <c r="B61196" s="0" t="s">
        <v>14</v>
      </c>
    </row>
    <row r="61198" customFormat="false" ht="12.8" hidden="false" customHeight="false" outlineLevel="0" collapsed="false">
      <c r="A61198" s="0" t="s">
        <v>21020</v>
      </c>
      <c r="B61198" s="0" t="str">
        <f aca="false">HYPERLINK("https://lindat.mff.cuni.cz/services/teitok/pdtc10/index.php?action=vallex&amp;frame=v-w8586f1", "vyzkoumat (v-w8586f1)")</f>
        <v>vyzkoumat (v-w8586f1)</v>
      </c>
    </row>
    <row r="61199" customFormat="false" ht="12.8" hidden="false" customHeight="false" outlineLevel="0" collapsed="false">
      <c r="B61199" s="0" t="s">
        <v>7</v>
      </c>
    </row>
    <row r="61200" customFormat="false" ht="12.8" hidden="false" customHeight="false" outlineLevel="0" collapsed="false">
      <c r="B61200" s="0" t="s">
        <v>2030</v>
      </c>
    </row>
    <row r="61202" customFormat="false" ht="12.8" hidden="false" customHeight="false" outlineLevel="0" collapsed="false">
      <c r="A61202" s="0" t="s">
        <v>21021</v>
      </c>
      <c r="B61202" s="0" t="str">
        <f aca="false">HYPERLINK("https://lindat.mff.cuni.cz/services/teitok/pdtc10/index.php?action=vallex&amp;frame=v-w8588f1", "vyzkoušet (v-w8588f1)")</f>
        <v>vyzkoušet (v-w8588f1)</v>
      </c>
    </row>
    <row r="61203" customFormat="false" ht="12.8" hidden="false" customHeight="false" outlineLevel="0" collapsed="false">
      <c r="B61203" s="0" t="s">
        <v>7</v>
      </c>
      <c r="C61203" s="0" t="s">
        <v>21022</v>
      </c>
      <c r="D61203" s="0" t="s">
        <v>1111</v>
      </c>
      <c r="E61203" s="0" t="s">
        <v>1111</v>
      </c>
      <c r="F61203" s="0" t="s">
        <v>1111</v>
      </c>
    </row>
    <row r="61204" customFormat="false" ht="12.8" hidden="false" customHeight="false" outlineLevel="0" collapsed="false">
      <c r="B61204" s="0" t="s">
        <v>1520</v>
      </c>
      <c r="C61204" s="0" t="s">
        <v>21023</v>
      </c>
      <c r="D61204" s="0" t="s">
        <v>3860</v>
      </c>
      <c r="E61204" s="0" t="s">
        <v>3860</v>
      </c>
      <c r="F61204" s="0" t="s">
        <v>3860</v>
      </c>
    </row>
    <row r="61206" customFormat="false" ht="12.8" hidden="false" customHeight="false" outlineLevel="0" collapsed="false">
      <c r="A61206" s="0" t="s">
        <v>21024</v>
      </c>
      <c r="B61206" s="0" t="str">
        <f aca="false">HYPERLINK("https://lindat.mff.cuni.cz/services/teitok/pdtc10/index.php?action=vallex&amp;frame=v-w8589f1", "vyzkoušet si (v-w8589f1)")</f>
        <v>vyzkoušet si (v-w8589f1)</v>
      </c>
    </row>
    <row r="61207" customFormat="false" ht="12.8" hidden="false" customHeight="false" outlineLevel="0" collapsed="false">
      <c r="B61207" s="0" t="s">
        <v>7</v>
      </c>
    </row>
    <row r="61208" customFormat="false" ht="12.8" hidden="false" customHeight="false" outlineLevel="0" collapsed="false">
      <c r="B61208" s="0" t="s">
        <v>306</v>
      </c>
    </row>
    <row r="61210" customFormat="false" ht="12.8" hidden="false" customHeight="false" outlineLevel="0" collapsed="false">
      <c r="A61210" s="0" t="s">
        <v>21025</v>
      </c>
      <c r="B61210" s="0" t="str">
        <f aca="false">HYPERLINK("https://lindat.mff.cuni.cz/services/teitok/pdtc10/index.php?action=vallex&amp;frame=v-w8596f1", "vyznamenat (v-w8596f1)")</f>
        <v>vyznamenat (v-w8596f1)</v>
      </c>
    </row>
    <row r="61211" customFormat="false" ht="12.8" hidden="false" customHeight="false" outlineLevel="0" collapsed="false">
      <c r="B61211" s="0" t="s">
        <v>7</v>
      </c>
    </row>
    <row r="61212" customFormat="false" ht="12.8" hidden="false" customHeight="false" outlineLevel="0" collapsed="false">
      <c r="B61212" s="0" t="s">
        <v>14</v>
      </c>
    </row>
    <row r="61214" customFormat="false" ht="12.8" hidden="false" customHeight="false" outlineLevel="0" collapsed="false">
      <c r="A61214" s="0" t="s">
        <v>21026</v>
      </c>
      <c r="B61214" s="0" t="str">
        <f aca="false">HYPERLINK("https://lindat.mff.cuni.cz/services/teitok/pdtc10/index.php?action=vallex&amp;frame=v-w12147_ZUf1_ZU", "vyznamenat se (v-w12147_ZUf1_ZU)")</f>
        <v>vyznamenat se (v-w12147_ZUf1_ZU)</v>
      </c>
    </row>
    <row r="61215" customFormat="false" ht="12.8" hidden="false" customHeight="false" outlineLevel="0" collapsed="false">
      <c r="B61215" s="0" t="s">
        <v>7</v>
      </c>
    </row>
    <row r="61217" customFormat="false" ht="12.8" hidden="false" customHeight="false" outlineLevel="0" collapsed="false">
      <c r="A61217" s="0" t="s">
        <v>21027</v>
      </c>
      <c r="B61217" s="0" t="str">
        <f aca="false">HYPERLINK("https://lindat.mff.cuni.cz/services/teitok/pdtc10/index.php?action=vallex&amp;frame=v-w8598f1", "vyznat se (v-w8598f1)")</f>
        <v>vyznat se (v-w8598f1)</v>
      </c>
    </row>
    <row r="61218" customFormat="false" ht="12.8" hidden="false" customHeight="false" outlineLevel="0" collapsed="false">
      <c r="B61218" s="0" t="s">
        <v>7</v>
      </c>
      <c r="C61218" s="0" t="s">
        <v>21028</v>
      </c>
    </row>
    <row r="61219" customFormat="false" ht="12.8" hidden="false" customHeight="false" outlineLevel="0" collapsed="false">
      <c r="B61219" s="0" t="s">
        <v>387</v>
      </c>
      <c r="C61219" s="0" t="s">
        <v>21029</v>
      </c>
    </row>
    <row r="61221" customFormat="false" ht="12.8" hidden="false" customHeight="false" outlineLevel="0" collapsed="false">
      <c r="A61221" s="0" t="s">
        <v>21030</v>
      </c>
      <c r="B61221" s="0" t="str">
        <f aca="false">HYPERLINK("https://lindat.mff.cuni.cz/services/teitok/pdtc10/index.php?action=vallex&amp;frame=v-w8598f2", "vyznat se (v-w8598f2)")</f>
        <v>vyznat se (v-w8598f2)</v>
      </c>
    </row>
    <row r="61222" customFormat="false" ht="12.8" hidden="false" customHeight="false" outlineLevel="0" collapsed="false">
      <c r="B61222" s="0" t="s">
        <v>7</v>
      </c>
    </row>
    <row r="61223" customFormat="false" ht="12.8" hidden="false" customHeight="false" outlineLevel="0" collapsed="false">
      <c r="B61223" s="0" t="s">
        <v>227</v>
      </c>
    </row>
    <row r="61225" customFormat="false" ht="12.8" hidden="false" customHeight="false" outlineLevel="0" collapsed="false">
      <c r="A61225" s="0" t="s">
        <v>21031</v>
      </c>
      <c r="B61225" s="0" t="str">
        <f aca="false">HYPERLINK("https://lindat.mff.cuni.cz/services/teitok/pdtc10/index.php?action=vallex&amp;frame=v-w8598f3_ZU", "vyznat se (v-w8598f3_ZU)")</f>
        <v>vyznat se (v-w8598f3_ZU)</v>
      </c>
    </row>
    <row r="61226" customFormat="false" ht="12.8" hidden="false" customHeight="false" outlineLevel="0" collapsed="false">
      <c r="B61226" s="0" t="s">
        <v>7</v>
      </c>
    </row>
    <row r="61227" customFormat="false" ht="12.8" hidden="false" customHeight="false" outlineLevel="0" collapsed="false">
      <c r="B61227" s="0" t="s">
        <v>1059</v>
      </c>
    </row>
    <row r="61229" customFormat="false" ht="12.8" hidden="false" customHeight="false" outlineLevel="0" collapsed="false">
      <c r="A61229" s="0" t="s">
        <v>21032</v>
      </c>
      <c r="B61229" s="0" t="str">
        <f aca="false">HYPERLINK("https://lindat.mff.cuni.cz/services/teitok/pdtc10/index.php?action=vallex&amp;frame=v-w8598hsa_485", "vyznat se (v-w8598hsa_485)")</f>
        <v>vyznat se (v-w8598hsa_485)</v>
      </c>
    </row>
    <row r="61230" customFormat="false" ht="12.8" hidden="false" customHeight="false" outlineLevel="0" collapsed="false">
      <c r="B61230" s="0" t="s">
        <v>7</v>
      </c>
    </row>
    <row r="61231" customFormat="false" ht="12.8" hidden="false" customHeight="false" outlineLevel="0" collapsed="false">
      <c r="B61231" s="0" t="s">
        <v>387</v>
      </c>
    </row>
    <row r="61233" customFormat="false" ht="12.8" hidden="false" customHeight="false" outlineLevel="0" collapsed="false">
      <c r="A61233" s="0" t="s">
        <v>21033</v>
      </c>
      <c r="B61233" s="0" t="str">
        <f aca="false">HYPERLINK("https://lindat.mff.cuni.cz/services/teitok/pdtc10/index.php?action=vallex&amp;frame=v-w8592f1", "vyznačit (v-w8592f1)")</f>
        <v>vyznačit (v-w8592f1)</v>
      </c>
    </row>
    <row r="61234" customFormat="false" ht="12.8" hidden="false" customHeight="false" outlineLevel="0" collapsed="false">
      <c r="B61234" s="0" t="s">
        <v>7</v>
      </c>
    </row>
    <row r="61235" customFormat="false" ht="12.8" hidden="false" customHeight="false" outlineLevel="0" collapsed="false">
      <c r="B61235" s="0" t="s">
        <v>1520</v>
      </c>
    </row>
    <row r="61237" customFormat="false" ht="12.8" hidden="false" customHeight="false" outlineLevel="0" collapsed="false">
      <c r="A61237" s="0" t="s">
        <v>21034</v>
      </c>
      <c r="B61237" s="0" t="str">
        <f aca="false">HYPERLINK("https://lindat.mff.cuni.cz/services/teitok/pdtc10/index.php?action=vallex&amp;frame=v-w8593f1", "vyznačovat se (v-w8593f1)")</f>
        <v>vyznačovat se (v-w8593f1)</v>
      </c>
    </row>
    <row r="61238" customFormat="false" ht="12.8" hidden="false" customHeight="false" outlineLevel="0" collapsed="false">
      <c r="B61238" s="0" t="s">
        <v>7</v>
      </c>
      <c r="C61238" s="0" t="s">
        <v>21035</v>
      </c>
      <c r="D61238" s="0" t="s">
        <v>21035</v>
      </c>
      <c r="E61238" s="0" t="s">
        <v>21035</v>
      </c>
      <c r="F61238" s="0" t="s">
        <v>21035</v>
      </c>
    </row>
    <row r="61239" customFormat="false" ht="12.8" hidden="false" customHeight="false" outlineLevel="0" collapsed="false">
      <c r="B61239" s="0" t="s">
        <v>216</v>
      </c>
      <c r="C61239" s="0" t="s">
        <v>21036</v>
      </c>
      <c r="D61239" s="0" t="s">
        <v>21036</v>
      </c>
      <c r="E61239" s="0" t="s">
        <v>21036</v>
      </c>
      <c r="F61239" s="0" t="s">
        <v>21036</v>
      </c>
    </row>
    <row r="61241" customFormat="false" ht="12.8" hidden="false" customHeight="false" outlineLevel="0" collapsed="false">
      <c r="A61241" s="0" t="s">
        <v>21037</v>
      </c>
      <c r="B61241" s="0" t="str">
        <f aca="false">HYPERLINK("https://lindat.mff.cuni.cz/services/teitok/pdtc10/index.php?action=vallex&amp;frame=v-w8600f1", "vyznávat (v-w8600f1)")</f>
        <v>vyznávat (v-w8600f1)</v>
      </c>
    </row>
    <row r="61242" customFormat="false" ht="12.8" hidden="false" customHeight="false" outlineLevel="0" collapsed="false">
      <c r="B61242" s="0" t="s">
        <v>7</v>
      </c>
    </row>
    <row r="61243" customFormat="false" ht="12.8" hidden="false" customHeight="false" outlineLevel="0" collapsed="false">
      <c r="B61243" s="0" t="s">
        <v>14</v>
      </c>
    </row>
    <row r="61245" customFormat="false" ht="12.8" hidden="false" customHeight="false" outlineLevel="0" collapsed="false">
      <c r="A61245" s="0" t="s">
        <v>21038</v>
      </c>
      <c r="B61245" s="0" t="str">
        <f aca="false">HYPERLINK("https://lindat.mff.cuni.cz/services/teitok/pdtc10/index.php?action=vallex&amp;frame=v-w8602f1", "vyznít (v-w8602f1)")</f>
        <v>vyznít (v-w8602f1)</v>
      </c>
    </row>
    <row r="61246" customFormat="false" ht="12.8" hidden="false" customHeight="false" outlineLevel="0" collapsed="false">
      <c r="B61246" s="0" t="s">
        <v>7</v>
      </c>
      <c r="C61246" s="0" t="s">
        <v>9438</v>
      </c>
      <c r="D61246" s="0" t="s">
        <v>4304</v>
      </c>
      <c r="E61246" s="0" t="s">
        <v>4304</v>
      </c>
      <c r="F61246" s="0" t="s">
        <v>4304</v>
      </c>
    </row>
    <row r="61247" customFormat="false" ht="12.8" hidden="false" customHeight="false" outlineLevel="0" collapsed="false">
      <c r="B61247" s="0" t="s">
        <v>552</v>
      </c>
      <c r="D61247" s="0" t="s">
        <v>11810</v>
      </c>
      <c r="E61247" s="0" t="s">
        <v>11810</v>
      </c>
      <c r="F61247" s="0" t="s">
        <v>11810</v>
      </c>
    </row>
    <row r="61248" customFormat="false" ht="12.8" hidden="false" customHeight="false" outlineLevel="0" collapsed="false">
      <c r="B61248" s="0" t="s">
        <v>474</v>
      </c>
      <c r="C61248" s="0" t="s">
        <v>21039</v>
      </c>
      <c r="D61248" s="0" t="s">
        <v>4314</v>
      </c>
      <c r="E61248" s="0" t="s">
        <v>4314</v>
      </c>
      <c r="F61248" s="0" t="s">
        <v>4314</v>
      </c>
    </row>
    <row r="61250" customFormat="false" ht="12.8" hidden="false" customHeight="false" outlineLevel="0" collapsed="false">
      <c r="A61250" s="0" t="s">
        <v>21040</v>
      </c>
      <c r="B61250" s="0" t="str">
        <f aca="false">HYPERLINK("https://lindat.mff.cuni.cz/services/teitok/pdtc10/index.php?action=vallex&amp;frame=v-w8603f1", "vyznívat (v-w8603f1)")</f>
        <v>vyznívat (v-w8603f1)</v>
      </c>
    </row>
    <row r="61251" customFormat="false" ht="12.8" hidden="false" customHeight="false" outlineLevel="0" collapsed="false">
      <c r="B61251" s="0" t="s">
        <v>7</v>
      </c>
      <c r="C61251" s="0" t="s">
        <v>13964</v>
      </c>
      <c r="D61251" s="0" t="s">
        <v>4304</v>
      </c>
      <c r="E61251" s="0" t="s">
        <v>4304</v>
      </c>
      <c r="F61251" s="0" t="s">
        <v>4304</v>
      </c>
    </row>
    <row r="61252" customFormat="false" ht="12.8" hidden="false" customHeight="false" outlineLevel="0" collapsed="false">
      <c r="B61252" s="0" t="s">
        <v>552</v>
      </c>
      <c r="D61252" s="0" t="s">
        <v>11810</v>
      </c>
      <c r="E61252" s="0" t="s">
        <v>11810</v>
      </c>
      <c r="F61252" s="0" t="s">
        <v>11810</v>
      </c>
    </row>
    <row r="61253" customFormat="false" ht="12.8" hidden="false" customHeight="false" outlineLevel="0" collapsed="false">
      <c r="B61253" s="0" t="s">
        <v>474</v>
      </c>
      <c r="D61253" s="0" t="s">
        <v>4314</v>
      </c>
      <c r="E61253" s="0" t="s">
        <v>4314</v>
      </c>
      <c r="F61253" s="0" t="s">
        <v>4314</v>
      </c>
    </row>
    <row r="61255" customFormat="false" ht="12.8" hidden="false" customHeight="false" outlineLevel="0" collapsed="false">
      <c r="A61255" s="0" t="s">
        <v>21041</v>
      </c>
      <c r="B61255" s="0" t="str">
        <f aca="false">HYPERLINK("https://lindat.mff.cuni.cz/services/teitok/pdtc10/index.php?action=vallex&amp;frame=v-w8604f1", "vyzobávat (v-w8604f1)")</f>
        <v>vyzobávat (v-w8604f1)</v>
      </c>
    </row>
    <row r="61256" customFormat="false" ht="12.8" hidden="false" customHeight="false" outlineLevel="0" collapsed="false">
      <c r="B61256" s="0" t="s">
        <v>7</v>
      </c>
    </row>
    <row r="61257" customFormat="false" ht="12.8" hidden="false" customHeight="false" outlineLevel="0" collapsed="false">
      <c r="B61257" s="0" t="s">
        <v>14</v>
      </c>
    </row>
    <row r="61258" customFormat="false" ht="12.8" hidden="false" customHeight="false" outlineLevel="0" collapsed="false">
      <c r="B61258" s="0" t="s">
        <v>459</v>
      </c>
    </row>
    <row r="61260" customFormat="false" ht="12.8" hidden="false" customHeight="false" outlineLevel="0" collapsed="false">
      <c r="A61260" s="0" t="s">
        <v>21042</v>
      </c>
      <c r="B61260" s="0" t="str">
        <f aca="false">HYPERLINK("https://lindat.mff.cuni.cz/services/teitok/pdtc10/index.php?action=vallex&amp;frame=v-whsa_1054f2_ZU", "vyzpovídat (v-whsa_1054f2_ZU)")</f>
        <v>vyzpovídat (v-whsa_1054f2_ZU)</v>
      </c>
    </row>
    <row r="61261" customFormat="false" ht="12.8" hidden="false" customHeight="false" outlineLevel="0" collapsed="false">
      <c r="B61261" s="0" t="s">
        <v>7</v>
      </c>
    </row>
    <row r="61262" customFormat="false" ht="12.8" hidden="false" customHeight="false" outlineLevel="0" collapsed="false">
      <c r="B61262" s="0" t="s">
        <v>81</v>
      </c>
    </row>
    <row r="61263" customFormat="false" ht="12.8" hidden="false" customHeight="false" outlineLevel="0" collapsed="false">
      <c r="B61263" s="0" t="s">
        <v>581</v>
      </c>
    </row>
    <row r="61265" customFormat="false" ht="12.8" hidden="false" customHeight="false" outlineLevel="0" collapsed="false">
      <c r="A61265" s="0" t="s">
        <v>21042</v>
      </c>
      <c r="B61265" s="0" t="str">
        <f aca="false">HYPERLINK("https://lindat.mff.cuni.cz/services/teitok/pdtc10/index.php?action=vallex&amp;frame=v-whsa_1054f1_ZU", "vyzpovídat (v-whsa_1054f1_ZU) - substituted with v-whsa_1054f2_ZU")</f>
        <v>vyzpovídat (v-whsa_1054f1_ZU) - substituted with v-whsa_1054f2_ZU</v>
      </c>
    </row>
    <row r="61266" customFormat="false" ht="12.8" hidden="false" customHeight="false" outlineLevel="0" collapsed="false">
      <c r="B61266" s="0" t="s">
        <v>7</v>
      </c>
    </row>
    <row r="61267" customFormat="false" ht="12.8" hidden="false" customHeight="false" outlineLevel="0" collapsed="false">
      <c r="B61267" s="0" t="s">
        <v>81</v>
      </c>
    </row>
    <row r="61268" customFormat="false" ht="12.8" hidden="false" customHeight="false" outlineLevel="0" collapsed="false">
      <c r="B61268" s="0" t="s">
        <v>581</v>
      </c>
    </row>
    <row r="61270" customFormat="false" ht="12.8" hidden="false" customHeight="false" outlineLevel="0" collapsed="false">
      <c r="A61270" s="0" t="s">
        <v>21042</v>
      </c>
      <c r="B61270" s="0" t="str">
        <f aca="false">HYPERLINK("https://lindat.mff.cuni.cz/services/teitok/pdtc10/index.php?action=vallex&amp;frame=v-whsa_1054hsa_1055", "vyzpovídat (v-whsa_1054hsa_1055) - substituted with v-whsa_1054f2_ZU")</f>
        <v>vyzpovídat (v-whsa_1054hsa_1055) - substituted with v-whsa_1054f2_ZU</v>
      </c>
    </row>
    <row r="61271" customFormat="false" ht="12.8" hidden="false" customHeight="false" outlineLevel="0" collapsed="false">
      <c r="B61271" s="0" t="s">
        <v>7</v>
      </c>
      <c r="C61271" s="0" t="s">
        <v>191</v>
      </c>
      <c r="D61271" s="0" t="s">
        <v>2534</v>
      </c>
      <c r="E61271" s="0" t="s">
        <v>2534</v>
      </c>
      <c r="F61271" s="0" t="s">
        <v>2534</v>
      </c>
    </row>
    <row r="61272" customFormat="false" ht="12.8" hidden="false" customHeight="false" outlineLevel="0" collapsed="false">
      <c r="B61272" s="0" t="s">
        <v>81</v>
      </c>
      <c r="C61272" s="0" t="s">
        <v>3323</v>
      </c>
      <c r="D61272" s="0" t="s">
        <v>2540</v>
      </c>
      <c r="E61272" s="0" t="s">
        <v>2540</v>
      </c>
      <c r="F61272" s="0" t="s">
        <v>2540</v>
      </c>
    </row>
    <row r="61273" customFormat="false" ht="12.8" hidden="false" customHeight="false" outlineLevel="0" collapsed="false">
      <c r="B61273" s="0" t="s">
        <v>581</v>
      </c>
      <c r="D61273" s="0" t="s">
        <v>2537</v>
      </c>
      <c r="E61273" s="0" t="s">
        <v>2537</v>
      </c>
      <c r="F61273" s="0" t="s">
        <v>2537</v>
      </c>
    </row>
    <row r="61275" customFormat="false" ht="12.8" hidden="false" customHeight="false" outlineLevel="0" collapsed="false">
      <c r="A61275" s="0" t="s">
        <v>21043</v>
      </c>
      <c r="B61275" s="0" t="str">
        <f aca="false">HYPERLINK("https://lindat.mff.cuni.cz/services/teitok/pdtc10/index.php?action=vallex&amp;frame=v-w8606f1", "vyzpovídat se (v-w8606f1)")</f>
        <v>vyzpovídat se (v-w8606f1)</v>
      </c>
    </row>
    <row r="61276" customFormat="false" ht="12.8" hidden="false" customHeight="false" outlineLevel="0" collapsed="false">
      <c r="B61276" s="0" t="s">
        <v>7</v>
      </c>
    </row>
    <row r="61277" customFormat="false" ht="12.8" hidden="false" customHeight="false" outlineLevel="0" collapsed="false">
      <c r="B61277" s="0" t="s">
        <v>581</v>
      </c>
    </row>
    <row r="61278" customFormat="false" ht="12.8" hidden="false" customHeight="false" outlineLevel="0" collapsed="false">
      <c r="B61278" s="0" t="s">
        <v>106</v>
      </c>
    </row>
    <row r="61280" customFormat="false" ht="12.8" hidden="false" customHeight="false" outlineLevel="0" collapsed="false">
      <c r="A61280" s="0" t="s">
        <v>21044</v>
      </c>
      <c r="B61280" s="0" t="str">
        <f aca="false">HYPERLINK("https://lindat.mff.cuni.cz/services/teitok/pdtc10/index.php?action=vallex&amp;frame=v-w8605f1", "vyzpívat (v-w8605f1)")</f>
        <v>vyzpívat (v-w8605f1)</v>
      </c>
    </row>
    <row r="61281" customFormat="false" ht="12.8" hidden="false" customHeight="false" outlineLevel="0" collapsed="false">
      <c r="B61281" s="0" t="s">
        <v>7</v>
      </c>
    </row>
    <row r="61282" customFormat="false" ht="12.8" hidden="false" customHeight="false" outlineLevel="0" collapsed="false">
      <c r="B61282" s="0" t="s">
        <v>14</v>
      </c>
    </row>
    <row r="61284" customFormat="false" ht="12.8" hidden="false" customHeight="false" outlineLevel="0" collapsed="false">
      <c r="A61284" s="0" t="s">
        <v>21045</v>
      </c>
      <c r="B61284" s="0" t="str">
        <f aca="false">HYPERLINK("https://lindat.mff.cuni.cz/services/teitok/pdtc10/index.php?action=vallex&amp;frame=v-w8607f1", "vyzradit (v-w8607f1)")</f>
        <v>vyzradit (v-w8607f1)</v>
      </c>
    </row>
    <row r="61285" customFormat="false" ht="12.8" hidden="false" customHeight="false" outlineLevel="0" collapsed="false">
      <c r="B61285" s="0" t="s">
        <v>7</v>
      </c>
      <c r="C61285" s="0" t="s">
        <v>21046</v>
      </c>
    </row>
    <row r="61286" customFormat="false" ht="12.8" hidden="false" customHeight="false" outlineLevel="0" collapsed="false">
      <c r="B61286" s="0" t="s">
        <v>48</v>
      </c>
      <c r="C61286" s="0" t="s">
        <v>7572</v>
      </c>
    </row>
    <row r="61287" customFormat="false" ht="12.8" hidden="false" customHeight="false" outlineLevel="0" collapsed="false">
      <c r="B61287" s="0" t="s">
        <v>19653</v>
      </c>
      <c r="C61287" s="0" t="s">
        <v>21047</v>
      </c>
    </row>
    <row r="61288" customFormat="false" ht="12.8" hidden="false" customHeight="false" outlineLevel="0" collapsed="false">
      <c r="B61288" s="0" t="s">
        <v>12383</v>
      </c>
    </row>
    <row r="61290" customFormat="false" ht="12.8" hidden="false" customHeight="false" outlineLevel="0" collapsed="false">
      <c r="A61290" s="0" t="s">
        <v>21048</v>
      </c>
      <c r="B61290" s="0" t="str">
        <f aca="false">HYPERLINK("https://lindat.mff.cuni.cz/services/teitok/pdtc10/index.php?action=vallex&amp;frame=v-w8608f2", "vyzrát (v-w8608f2)")</f>
        <v>vyzrát (v-w8608f2)</v>
      </c>
    </row>
    <row r="61291" customFormat="false" ht="12.8" hidden="false" customHeight="false" outlineLevel="0" collapsed="false">
      <c r="B61291" s="0" t="s">
        <v>7</v>
      </c>
      <c r="C61291" s="0" t="s">
        <v>113</v>
      </c>
    </row>
    <row r="61292" customFormat="false" ht="12.8" hidden="false" customHeight="false" outlineLevel="0" collapsed="false">
      <c r="B61292" s="0" t="s">
        <v>41</v>
      </c>
      <c r="C61292" s="0" t="s">
        <v>1809</v>
      </c>
      <c r="D61292" s="0" t="s">
        <v>1544</v>
      </c>
      <c r="E61292" s="0" t="s">
        <v>1544</v>
      </c>
      <c r="F61292" s="0" t="s">
        <v>1544</v>
      </c>
    </row>
    <row r="61294" customFormat="false" ht="12.8" hidden="false" customHeight="false" outlineLevel="0" collapsed="false">
      <c r="A61294" s="0" t="s">
        <v>21049</v>
      </c>
      <c r="B61294" s="0" t="str">
        <f aca="false">HYPERLINK("https://lindat.mff.cuni.cz/services/teitok/pdtc10/index.php?action=vallex&amp;frame=v-w8608f1", "vyzrát (v-w8608f1)")</f>
        <v>vyzrát (v-w8608f1)</v>
      </c>
    </row>
    <row r="61295" customFormat="false" ht="12.8" hidden="false" customHeight="false" outlineLevel="0" collapsed="false">
      <c r="B61295" s="0" t="s">
        <v>7</v>
      </c>
    </row>
    <row r="61297" customFormat="false" ht="12.8" hidden="false" customHeight="false" outlineLevel="0" collapsed="false">
      <c r="A61297" s="0" t="s">
        <v>21050</v>
      </c>
      <c r="B61297" s="0" t="str">
        <f aca="false">HYPERLINK("https://lindat.mff.cuni.cz/services/teitok/pdtc10/index.php?action=vallex&amp;frame=v-w11182f2", "vyzrávat (v-w11182f2)")</f>
        <v>vyzrávat (v-w11182f2)</v>
      </c>
    </row>
    <row r="61298" customFormat="false" ht="12.8" hidden="false" customHeight="false" outlineLevel="0" collapsed="false">
      <c r="B61298" s="0" t="s">
        <v>7</v>
      </c>
      <c r="D61298" s="0" t="s">
        <v>16</v>
      </c>
      <c r="E61298" s="0" t="s">
        <v>16</v>
      </c>
      <c r="F61298" s="0" t="s">
        <v>16</v>
      </c>
    </row>
    <row r="61300" customFormat="false" ht="12.8" hidden="false" customHeight="false" outlineLevel="0" collapsed="false">
      <c r="A61300" s="0" t="s">
        <v>21051</v>
      </c>
      <c r="B61300" s="0" t="str">
        <f aca="false">HYPERLINK("https://lindat.mff.cuni.cz/services/teitok/pdtc10/index.php?action=vallex&amp;frame=v-w8610f1", "vyztužit (v-w8610f1)")</f>
        <v>vyztužit (v-w8610f1)</v>
      </c>
    </row>
    <row r="61301" customFormat="false" ht="12.8" hidden="false" customHeight="false" outlineLevel="0" collapsed="false">
      <c r="B61301" s="0" t="s">
        <v>7</v>
      </c>
      <c r="C61301" s="0" t="s">
        <v>149</v>
      </c>
    </row>
    <row r="61302" customFormat="false" ht="12.8" hidden="false" customHeight="false" outlineLevel="0" collapsed="false">
      <c r="B61302" s="0" t="s">
        <v>14</v>
      </c>
      <c r="C61302" s="0" t="s">
        <v>2788</v>
      </c>
    </row>
    <row r="61304" customFormat="false" ht="12.8" hidden="false" customHeight="false" outlineLevel="0" collapsed="false">
      <c r="A61304" s="0" t="s">
        <v>21052</v>
      </c>
      <c r="B61304" s="0" t="str">
        <f aca="false">HYPERLINK("https://lindat.mff.cuni.cz/services/teitok/pdtc10/index.php?action=vallex&amp;frame=v-w8614f1", "vyzvat (v-w8614f1)")</f>
        <v>vyzvat (v-w8614f1)</v>
      </c>
    </row>
    <row r="61305" customFormat="false" ht="12.8" hidden="false" customHeight="false" outlineLevel="0" collapsed="false">
      <c r="B61305" s="0" t="s">
        <v>7</v>
      </c>
      <c r="C61305" s="0" t="s">
        <v>21053</v>
      </c>
      <c r="D61305" s="0" t="s">
        <v>3051</v>
      </c>
      <c r="E61305" s="0" t="s">
        <v>3051</v>
      </c>
      <c r="F61305" s="0" t="s">
        <v>3051</v>
      </c>
    </row>
    <row r="61306" customFormat="false" ht="12.8" hidden="false" customHeight="false" outlineLevel="0" collapsed="false">
      <c r="B61306" s="0" t="s">
        <v>9782</v>
      </c>
      <c r="C61306" s="0" t="s">
        <v>21054</v>
      </c>
      <c r="D61306" s="0" t="s">
        <v>9767</v>
      </c>
      <c r="E61306" s="0" t="s">
        <v>9768</v>
      </c>
      <c r="F61306" s="0" t="s">
        <v>9768</v>
      </c>
    </row>
    <row r="61307" customFormat="false" ht="12.8" hidden="false" customHeight="false" outlineLevel="0" collapsed="false">
      <c r="B61307" s="0" t="s">
        <v>81</v>
      </c>
      <c r="C61307" s="0" t="s">
        <v>21055</v>
      </c>
      <c r="D61307" s="0" t="s">
        <v>9770</v>
      </c>
      <c r="E61307" s="0" t="s">
        <v>9771</v>
      </c>
      <c r="F61307" s="0" t="s">
        <v>9771</v>
      </c>
    </row>
    <row r="61309" customFormat="false" ht="12.8" hidden="false" customHeight="false" outlineLevel="0" collapsed="false">
      <c r="A61309" s="0" t="s">
        <v>21056</v>
      </c>
      <c r="B61309" s="0" t="str">
        <f aca="false">HYPERLINK("https://lindat.mff.cuni.cz/services/teitok/pdtc10/index.php?action=vallex&amp;frame=v-w8617f2", "vyzvednout (v-w8617f2)")</f>
        <v>vyzvednout (v-w8617f2)</v>
      </c>
    </row>
    <row r="61310" customFormat="false" ht="12.8" hidden="false" customHeight="false" outlineLevel="0" collapsed="false">
      <c r="B61310" s="0" t="s">
        <v>7</v>
      </c>
    </row>
    <row r="61311" customFormat="false" ht="12.8" hidden="false" customHeight="false" outlineLevel="0" collapsed="false">
      <c r="B61311" s="0" t="s">
        <v>14</v>
      </c>
    </row>
    <row r="61312" customFormat="false" ht="12.8" hidden="false" customHeight="false" outlineLevel="0" collapsed="false">
      <c r="B61312" s="0" t="s">
        <v>459</v>
      </c>
    </row>
    <row r="61314" customFormat="false" ht="12.8" hidden="false" customHeight="false" outlineLevel="0" collapsed="false">
      <c r="A61314" s="0" t="s">
        <v>21057</v>
      </c>
      <c r="B61314" s="0" t="str">
        <f aca="false">HYPERLINK("https://lindat.mff.cuni.cz/services/teitok/pdtc10/index.php?action=vallex&amp;frame=v-w8617f3", "vyzvednout (v-w8617f3)")</f>
        <v>vyzvednout (v-w8617f3)</v>
      </c>
    </row>
    <row r="61315" customFormat="false" ht="12.8" hidden="false" customHeight="false" outlineLevel="0" collapsed="false">
      <c r="B61315" s="0" t="s">
        <v>7</v>
      </c>
    </row>
    <row r="61316" customFormat="false" ht="12.8" hidden="false" customHeight="false" outlineLevel="0" collapsed="false">
      <c r="B61316" s="0" t="s">
        <v>172</v>
      </c>
    </row>
    <row r="61318" customFormat="false" ht="12.8" hidden="false" customHeight="false" outlineLevel="0" collapsed="false">
      <c r="A61318" s="0" t="s">
        <v>21058</v>
      </c>
      <c r="B61318" s="0" t="str">
        <f aca="false">HYPERLINK("https://lindat.mff.cuni.cz/services/teitok/pdtc10/index.php?action=vallex&amp;frame=v-w8617f1", "vyzvednout (v-w8617f1)")</f>
        <v>vyzvednout (v-w8617f1)</v>
      </c>
    </row>
    <row r="61319" customFormat="false" ht="12.8" hidden="false" customHeight="false" outlineLevel="0" collapsed="false">
      <c r="B61319" s="0" t="s">
        <v>7</v>
      </c>
      <c r="C61319" s="0" t="s">
        <v>335</v>
      </c>
      <c r="D61319" s="0" t="s">
        <v>335</v>
      </c>
      <c r="E61319" s="0" t="s">
        <v>335</v>
      </c>
      <c r="F61319" s="0" t="s">
        <v>335</v>
      </c>
    </row>
    <row r="61320" customFormat="false" ht="12.8" hidden="false" customHeight="false" outlineLevel="0" collapsed="false">
      <c r="B61320" s="0" t="s">
        <v>14</v>
      </c>
      <c r="C61320" s="0" t="s">
        <v>120</v>
      </c>
      <c r="D61320" s="0" t="s">
        <v>120</v>
      </c>
      <c r="E61320" s="0" t="s">
        <v>120</v>
      </c>
      <c r="F61320" s="0" t="s">
        <v>120</v>
      </c>
    </row>
    <row r="61322" customFormat="false" ht="12.8" hidden="false" customHeight="false" outlineLevel="0" collapsed="false">
      <c r="A61322" s="0" t="s">
        <v>21059</v>
      </c>
      <c r="B61322" s="0" t="str">
        <f aca="false">HYPERLINK("https://lindat.mff.cuni.cz/services/teitok/pdtc10/index.php?action=vallex&amp;frame=v-w8615f2", "vyzvedávat (v-w8615f2)")</f>
        <v>vyzvedávat (v-w8615f2)</v>
      </c>
    </row>
    <row r="61323" customFormat="false" ht="12.8" hidden="false" customHeight="false" outlineLevel="0" collapsed="false">
      <c r="B61323" s="0" t="s">
        <v>7</v>
      </c>
    </row>
    <row r="61324" customFormat="false" ht="12.8" hidden="false" customHeight="false" outlineLevel="0" collapsed="false">
      <c r="B61324" s="0" t="s">
        <v>172</v>
      </c>
    </row>
    <row r="61326" customFormat="false" ht="12.8" hidden="false" customHeight="false" outlineLevel="0" collapsed="false">
      <c r="A61326" s="0" t="s">
        <v>21059</v>
      </c>
      <c r="B61326" s="0" t="str">
        <f aca="false">HYPERLINK("https://lindat.mff.cuni.cz/services/teitok/pdtc10/index.php?action=vallex&amp;frame=v-w8615f1", "vyzvedávat (v-w8615f1) - substituted with v-w8615f2")</f>
        <v>vyzvedávat (v-w8615f1) - substituted with v-w8615f2</v>
      </c>
    </row>
    <row r="61327" customFormat="false" ht="12.8" hidden="false" customHeight="false" outlineLevel="0" collapsed="false">
      <c r="B61327" s="0" t="s">
        <v>7</v>
      </c>
    </row>
    <row r="61328" customFormat="false" ht="12.8" hidden="false" customHeight="false" outlineLevel="0" collapsed="false">
      <c r="B61328" s="0" t="s">
        <v>172</v>
      </c>
    </row>
    <row r="61330" customFormat="false" ht="12.8" hidden="false" customHeight="false" outlineLevel="0" collapsed="false">
      <c r="A61330" s="0" t="s">
        <v>21060</v>
      </c>
      <c r="B61330" s="0" t="str">
        <f aca="false">HYPERLINK("https://lindat.mff.cuni.cz/services/teitok/pdtc10/index.php?action=vallex&amp;frame=v-w8615hsa_565", "vyzvedávat (v-w8615hsa_565)")</f>
        <v>vyzvedávat (v-w8615hsa_565)</v>
      </c>
    </row>
    <row r="61331" customFormat="false" ht="12.8" hidden="false" customHeight="false" outlineLevel="0" collapsed="false">
      <c r="B61331" s="0" t="s">
        <v>7</v>
      </c>
    </row>
    <row r="61332" customFormat="false" ht="12.8" hidden="false" customHeight="false" outlineLevel="0" collapsed="false">
      <c r="B61332" s="0" t="s">
        <v>14</v>
      </c>
    </row>
    <row r="61334" customFormat="false" ht="12.8" hidden="false" customHeight="false" outlineLevel="0" collapsed="false">
      <c r="A61334" s="0" t="s">
        <v>21061</v>
      </c>
      <c r="B61334" s="0" t="str">
        <f aca="false">HYPERLINK("https://lindat.mff.cuni.cz/services/teitok/pdtc10/index.php?action=vallex&amp;frame=v-w11072f2", "vyzvonit (v-w11072f2)")</f>
        <v>vyzvonit (v-w11072f2)</v>
      </c>
    </row>
    <row r="61335" customFormat="false" ht="12.8" hidden="false" customHeight="false" outlineLevel="0" collapsed="false">
      <c r="B61335" s="0" t="s">
        <v>7</v>
      </c>
      <c r="D61335" s="0" t="s">
        <v>164</v>
      </c>
      <c r="E61335" s="0" t="s">
        <v>164</v>
      </c>
      <c r="F61335" s="0" t="s">
        <v>164</v>
      </c>
    </row>
    <row r="61336" customFormat="false" ht="12.8" hidden="false" customHeight="false" outlineLevel="0" collapsed="false">
      <c r="B61336" s="0" t="s">
        <v>48</v>
      </c>
      <c r="C61336" s="0" t="s">
        <v>1165</v>
      </c>
      <c r="D61336" s="0" t="s">
        <v>168</v>
      </c>
      <c r="E61336" s="0" t="s">
        <v>168</v>
      </c>
      <c r="F61336" s="0" t="s">
        <v>168</v>
      </c>
    </row>
    <row r="61337" customFormat="false" ht="12.8" hidden="false" customHeight="false" outlineLevel="0" collapsed="false">
      <c r="B61337" s="0" t="s">
        <v>19653</v>
      </c>
      <c r="C61337" s="0" t="s">
        <v>361</v>
      </c>
      <c r="D61337" s="0" t="s">
        <v>1766</v>
      </c>
      <c r="E61337" s="0" t="s">
        <v>1766</v>
      </c>
      <c r="F61337" s="0" t="s">
        <v>1766</v>
      </c>
    </row>
    <row r="61338" customFormat="false" ht="12.8" hidden="false" customHeight="false" outlineLevel="0" collapsed="false">
      <c r="B61338" s="0" t="s">
        <v>12383</v>
      </c>
      <c r="D61338" s="0" t="s">
        <v>167</v>
      </c>
      <c r="E61338" s="0" t="s">
        <v>167</v>
      </c>
      <c r="F61338" s="0" t="s">
        <v>167</v>
      </c>
    </row>
    <row r="61340" customFormat="false" ht="12.8" hidden="false" customHeight="false" outlineLevel="0" collapsed="false">
      <c r="A61340" s="0" t="s">
        <v>21062</v>
      </c>
      <c r="B61340" s="0" t="str">
        <f aca="false">HYPERLINK("https://lindat.mff.cuni.cz/services/teitok/pdtc10/index.php?action=vallex&amp;frame=v-w12220_ZUf1_ZU", "vyzvrátit (v-w12220_ZUf1_ZU)")</f>
        <v>vyzvrátit (v-w12220_ZUf1_ZU)</v>
      </c>
    </row>
    <row r="61341" customFormat="false" ht="12.8" hidden="false" customHeight="false" outlineLevel="0" collapsed="false">
      <c r="B61341" s="0" t="s">
        <v>7</v>
      </c>
    </row>
    <row r="61342" customFormat="false" ht="12.8" hidden="false" customHeight="false" outlineLevel="0" collapsed="false">
      <c r="B61342" s="0" t="s">
        <v>232</v>
      </c>
    </row>
    <row r="61344" customFormat="false" ht="12.8" hidden="false" customHeight="false" outlineLevel="0" collapsed="false">
      <c r="A61344" s="0" t="s">
        <v>21063</v>
      </c>
      <c r="B61344" s="0" t="str">
        <f aca="false">HYPERLINK("https://lindat.mff.cuni.cz/services/teitok/pdtc10/index.php?action=vallex&amp;frame=v-w8612f1", "vyzvánět (v-w8612f1)")</f>
        <v>vyzvánět (v-w8612f1)</v>
      </c>
    </row>
    <row r="61345" customFormat="false" ht="12.8" hidden="false" customHeight="false" outlineLevel="0" collapsed="false">
      <c r="B61345" s="0" t="s">
        <v>7</v>
      </c>
      <c r="D61345" s="0" t="s">
        <v>200</v>
      </c>
      <c r="E61345" s="0" t="s">
        <v>200</v>
      </c>
      <c r="F61345" s="0" t="s">
        <v>200</v>
      </c>
    </row>
    <row r="61347" customFormat="false" ht="12.8" hidden="false" customHeight="false" outlineLevel="0" collapsed="false">
      <c r="A61347" s="0" t="s">
        <v>21064</v>
      </c>
      <c r="B61347" s="0" t="str">
        <f aca="false">HYPERLINK("https://lindat.mff.cuni.cz/services/teitok/pdtc10/index.php?action=vallex&amp;frame=v-w8619f1", "vyzvídat (v-w8619f1)")</f>
        <v>vyzvídat (v-w8619f1)</v>
      </c>
    </row>
    <row r="61348" customFormat="false" ht="12.8" hidden="false" customHeight="false" outlineLevel="0" collapsed="false">
      <c r="B61348" s="0" t="s">
        <v>7</v>
      </c>
      <c r="C61348" s="0" t="s">
        <v>46</v>
      </c>
    </row>
    <row r="61349" customFormat="false" ht="12.8" hidden="false" customHeight="false" outlineLevel="0" collapsed="false">
      <c r="B61349" s="0" t="s">
        <v>2257</v>
      </c>
      <c r="C61349" s="0" t="s">
        <v>10350</v>
      </c>
    </row>
    <row r="61350" customFormat="false" ht="12.8" hidden="false" customHeight="false" outlineLevel="0" collapsed="false">
      <c r="B61350" s="0" t="s">
        <v>363</v>
      </c>
    </row>
    <row r="61351" customFormat="false" ht="12.8" hidden="false" customHeight="false" outlineLevel="0" collapsed="false">
      <c r="B61351" s="0" t="s">
        <v>21065</v>
      </c>
    </row>
    <row r="61353" customFormat="false" ht="12.8" hidden="false" customHeight="false" outlineLevel="0" collapsed="false">
      <c r="A61353" s="0" t="s">
        <v>21066</v>
      </c>
      <c r="B61353" s="0" t="str">
        <f aca="false">HYPERLINK("https://lindat.mff.cuni.cz/services/teitok/pdtc10/index.php?action=vallex&amp;frame=v-w8616f1", "vyzvědět (v-w8616f1)")</f>
        <v>vyzvědět (v-w8616f1)</v>
      </c>
    </row>
    <row r="61354" customFormat="false" ht="12.8" hidden="false" customHeight="false" outlineLevel="0" collapsed="false">
      <c r="B61354" s="0" t="s">
        <v>7</v>
      </c>
    </row>
    <row r="61355" customFormat="false" ht="12.8" hidden="false" customHeight="false" outlineLevel="0" collapsed="false">
      <c r="B61355" s="0" t="s">
        <v>2257</v>
      </c>
    </row>
    <row r="61356" customFormat="false" ht="12.8" hidden="false" customHeight="false" outlineLevel="0" collapsed="false">
      <c r="B61356" s="0" t="s">
        <v>363</v>
      </c>
    </row>
    <row r="61357" customFormat="false" ht="12.8" hidden="false" customHeight="false" outlineLevel="0" collapsed="false">
      <c r="B61357" s="0" t="s">
        <v>21065</v>
      </c>
    </row>
    <row r="61359" customFormat="false" ht="12.8" hidden="false" customHeight="false" outlineLevel="0" collapsed="false">
      <c r="A61359" s="0" t="s">
        <v>21067</v>
      </c>
      <c r="B61359" s="0" t="str">
        <f aca="false">HYPERLINK("https://lindat.mff.cuni.cz/services/teitok/pdtc10/index.php?action=vallex&amp;frame=v-w10864f2", "vyzískat (v-w10864f2)")</f>
        <v>vyzískat (v-w10864f2)</v>
      </c>
    </row>
    <row r="61360" customFormat="false" ht="12.8" hidden="false" customHeight="false" outlineLevel="0" collapsed="false">
      <c r="B61360" s="0" t="s">
        <v>7</v>
      </c>
    </row>
    <row r="61361" customFormat="false" ht="12.8" hidden="false" customHeight="false" outlineLevel="0" collapsed="false">
      <c r="B61361" s="0" t="s">
        <v>14</v>
      </c>
    </row>
    <row r="61362" customFormat="false" ht="12.8" hidden="false" customHeight="false" outlineLevel="0" collapsed="false">
      <c r="B61362" s="0" t="s">
        <v>7321</v>
      </c>
    </row>
    <row r="61364" customFormat="false" ht="12.8" hidden="false" customHeight="false" outlineLevel="0" collapsed="false">
      <c r="A61364" s="0" t="s">
        <v>21068</v>
      </c>
      <c r="B61364" s="0" t="str">
        <f aca="false">HYPERLINK("https://lindat.mff.cuni.cz/services/teitok/pdtc10/index.php?action=vallex&amp;frame=v-w8621f2_ZU", "vyzývat (v-w8621f2_ZU)")</f>
        <v>vyzývat (v-w8621f2_ZU)</v>
      </c>
    </row>
    <row r="61365" customFormat="false" ht="12.8" hidden="false" customHeight="false" outlineLevel="0" collapsed="false">
      <c r="B61365" s="0" t="s">
        <v>7</v>
      </c>
      <c r="D61365" s="0" t="s">
        <v>3051</v>
      </c>
      <c r="E61365" s="0" t="s">
        <v>3051</v>
      </c>
      <c r="F61365" s="0" t="s">
        <v>3051</v>
      </c>
    </row>
    <row r="61366" customFormat="false" ht="12.8" hidden="false" customHeight="false" outlineLevel="0" collapsed="false">
      <c r="B61366" s="0" t="s">
        <v>21069</v>
      </c>
      <c r="D61366" s="0" t="s">
        <v>9767</v>
      </c>
      <c r="E61366" s="0" t="s">
        <v>9768</v>
      </c>
      <c r="F61366" s="0" t="s">
        <v>9768</v>
      </c>
    </row>
    <row r="61367" customFormat="false" ht="12.8" hidden="false" customHeight="false" outlineLevel="0" collapsed="false">
      <c r="B61367" s="0" t="s">
        <v>81</v>
      </c>
      <c r="D61367" s="0" t="s">
        <v>9770</v>
      </c>
      <c r="E61367" s="0" t="s">
        <v>9771</v>
      </c>
      <c r="F61367" s="0" t="s">
        <v>9771</v>
      </c>
    </row>
    <row r="61369" customFormat="false" ht="12.8" hidden="false" customHeight="false" outlineLevel="0" collapsed="false">
      <c r="A61369" s="0" t="s">
        <v>21068</v>
      </c>
      <c r="B61369" s="0" t="str">
        <f aca="false">HYPERLINK("https://lindat.mff.cuni.cz/services/teitok/pdtc10/index.php?action=vallex&amp;frame=v-w8621f1", "vyzývat (v-w8621f1) - substituted with v-w8621f2_ZU")</f>
        <v>vyzývat (v-w8621f1) - substituted with v-w8621f2_ZU</v>
      </c>
    </row>
    <row r="61370" customFormat="false" ht="12.8" hidden="false" customHeight="false" outlineLevel="0" collapsed="false">
      <c r="B61370" s="0" t="s">
        <v>7</v>
      </c>
      <c r="C61370" s="0" t="s">
        <v>21070</v>
      </c>
    </row>
    <row r="61371" customFormat="false" ht="12.8" hidden="false" customHeight="false" outlineLevel="0" collapsed="false">
      <c r="B61371" s="0" t="s">
        <v>21069</v>
      </c>
      <c r="C61371" s="0" t="s">
        <v>21071</v>
      </c>
    </row>
    <row r="61372" customFormat="false" ht="12.8" hidden="false" customHeight="false" outlineLevel="0" collapsed="false">
      <c r="B61372" s="0" t="s">
        <v>81</v>
      </c>
      <c r="C61372" s="0" t="s">
        <v>21072</v>
      </c>
    </row>
    <row r="61374" customFormat="false" ht="12.8" hidden="false" customHeight="false" outlineLevel="0" collapsed="false">
      <c r="A61374" s="0" t="s">
        <v>21073</v>
      </c>
      <c r="B61374" s="0" t="str">
        <f aca="false">HYPERLINK("https://lindat.mff.cuni.cz/services/teitok/pdtc10/index.php?action=vallex&amp;frame=v-w8527f1", "vyústit (v-w8527f1)")</f>
        <v>vyústit (v-w8527f1)</v>
      </c>
    </row>
    <row r="61375" customFormat="false" ht="12.8" hidden="false" customHeight="false" outlineLevel="0" collapsed="false">
      <c r="B61375" s="0" t="s">
        <v>7</v>
      </c>
      <c r="C61375" s="0" t="s">
        <v>21074</v>
      </c>
      <c r="D61375" s="0" t="s">
        <v>354</v>
      </c>
      <c r="E61375" s="0" t="s">
        <v>354</v>
      </c>
      <c r="F61375" s="0" t="s">
        <v>354</v>
      </c>
    </row>
    <row r="61376" customFormat="false" ht="12.8" hidden="false" customHeight="false" outlineLevel="0" collapsed="false">
      <c r="B61376" s="0" t="s">
        <v>21075</v>
      </c>
      <c r="C61376" s="0" t="s">
        <v>21076</v>
      </c>
      <c r="D61376" s="0" t="s">
        <v>21077</v>
      </c>
      <c r="E61376" s="0" t="s">
        <v>21077</v>
      </c>
      <c r="F61376" s="0" t="s">
        <v>21077</v>
      </c>
    </row>
    <row r="61378" customFormat="false" ht="12.8" hidden="false" customHeight="false" outlineLevel="0" collapsed="false">
      <c r="A61378" s="0" t="s">
        <v>21078</v>
      </c>
      <c r="B61378" s="0" t="str">
        <f aca="false">HYPERLINK("https://lindat.mff.cuni.cz/services/teitok/pdtc10/index.php?action=vallex&amp;frame=v-w8527f3", "vyústit (v-w8527f3)")</f>
        <v>vyústit (v-w8527f3)</v>
      </c>
    </row>
    <row r="61379" customFormat="false" ht="12.8" hidden="false" customHeight="false" outlineLevel="0" collapsed="false">
      <c r="B61379" s="0" t="s">
        <v>7</v>
      </c>
    </row>
    <row r="61380" customFormat="false" ht="12.8" hidden="false" customHeight="false" outlineLevel="0" collapsed="false">
      <c r="B61380" s="0" t="s">
        <v>11</v>
      </c>
    </row>
    <row r="61382" customFormat="false" ht="12.8" hidden="false" customHeight="false" outlineLevel="0" collapsed="false">
      <c r="A61382" s="0" t="s">
        <v>21079</v>
      </c>
      <c r="B61382" s="0" t="str">
        <f aca="false">HYPERLINK("https://lindat.mff.cuni.cz/services/teitok/pdtc10/index.php?action=vallex&amp;frame=v-w8527f2", "vyústit (v-w8527f2)")</f>
        <v>vyústit (v-w8527f2)</v>
      </c>
    </row>
    <row r="61383" customFormat="false" ht="12.8" hidden="false" customHeight="false" outlineLevel="0" collapsed="false">
      <c r="B61383" s="0" t="s">
        <v>7</v>
      </c>
    </row>
    <row r="61384" customFormat="false" ht="12.8" hidden="false" customHeight="false" outlineLevel="0" collapsed="false">
      <c r="B61384" s="0" t="s">
        <v>124</v>
      </c>
    </row>
    <row r="61386" customFormat="false" ht="12.8" hidden="false" customHeight="false" outlineLevel="0" collapsed="false">
      <c r="A61386" s="0" t="s">
        <v>21080</v>
      </c>
      <c r="B61386" s="0" t="str">
        <f aca="false">HYPERLINK("https://lindat.mff.cuni.cz/services/teitok/pdtc10/index.php?action=vallex&amp;frame=v-w8524f1", "vyúčtovat (v-w8524f1)")</f>
        <v>vyúčtovat (v-w8524f1)</v>
      </c>
    </row>
    <row r="61387" customFormat="false" ht="12.8" hidden="false" customHeight="false" outlineLevel="0" collapsed="false">
      <c r="B61387" s="0" t="s">
        <v>7</v>
      </c>
      <c r="C61387" s="0" t="s">
        <v>184</v>
      </c>
      <c r="D61387" s="0" t="s">
        <v>5452</v>
      </c>
      <c r="E61387" s="0" t="s">
        <v>5452</v>
      </c>
      <c r="F61387" s="0" t="s">
        <v>5452</v>
      </c>
    </row>
    <row r="61388" customFormat="false" ht="12.8" hidden="false" customHeight="false" outlineLevel="0" collapsed="false">
      <c r="B61388" s="0" t="s">
        <v>14</v>
      </c>
      <c r="C61388" s="0" t="s">
        <v>384</v>
      </c>
      <c r="D61388" s="0" t="s">
        <v>1625</v>
      </c>
      <c r="E61388" s="0" t="s">
        <v>1625</v>
      </c>
      <c r="F61388" s="0" t="s">
        <v>1625</v>
      </c>
    </row>
    <row r="61390" customFormat="false" ht="12.8" hidden="false" customHeight="false" outlineLevel="0" collapsed="false">
      <c r="A61390" s="0" t="s">
        <v>21081</v>
      </c>
      <c r="B61390" s="0" t="str">
        <f aca="false">HYPERLINK("https://lindat.mff.cuni.cz/services/teitok/pdtc10/index.php?action=vallex&amp;frame=v-w7816f2", "vyčerpat (v-w7816f2)")</f>
        <v>vyčerpat (v-w7816f2)</v>
      </c>
    </row>
    <row r="61391" customFormat="false" ht="12.8" hidden="false" customHeight="false" outlineLevel="0" collapsed="false">
      <c r="B61391" s="0" t="s">
        <v>7</v>
      </c>
    </row>
    <row r="61392" customFormat="false" ht="12.8" hidden="false" customHeight="false" outlineLevel="0" collapsed="false">
      <c r="B61392" s="0" t="s">
        <v>14</v>
      </c>
    </row>
    <row r="61393" customFormat="false" ht="12.8" hidden="false" customHeight="false" outlineLevel="0" collapsed="false">
      <c r="B61393" s="0" t="s">
        <v>459</v>
      </c>
    </row>
    <row r="61395" customFormat="false" ht="12.8" hidden="false" customHeight="false" outlineLevel="0" collapsed="false">
      <c r="A61395" s="0" t="s">
        <v>21082</v>
      </c>
      <c r="B61395" s="0" t="str">
        <f aca="false">HYPERLINK("https://lindat.mff.cuni.cz/services/teitok/pdtc10/index.php?action=vallex&amp;frame=v-w7816f1", "vyčerpat (v-w7816f1)")</f>
        <v>vyčerpat (v-w7816f1)</v>
      </c>
    </row>
    <row r="61396" customFormat="false" ht="12.8" hidden="false" customHeight="false" outlineLevel="0" collapsed="false">
      <c r="B61396" s="0" t="s">
        <v>7</v>
      </c>
      <c r="C61396" s="0" t="s">
        <v>21083</v>
      </c>
      <c r="D61396" s="0" t="s">
        <v>1410</v>
      </c>
      <c r="E61396" s="0" t="s">
        <v>1410</v>
      </c>
      <c r="F61396" s="0" t="s">
        <v>1410</v>
      </c>
    </row>
    <row r="61397" customFormat="false" ht="12.8" hidden="false" customHeight="false" outlineLevel="0" collapsed="false">
      <c r="B61397" s="0" t="s">
        <v>14</v>
      </c>
      <c r="C61397" s="0" t="s">
        <v>21084</v>
      </c>
      <c r="D61397" s="0" t="s">
        <v>1411</v>
      </c>
      <c r="E61397" s="0" t="s">
        <v>1411</v>
      </c>
      <c r="F61397" s="0" t="s">
        <v>1411</v>
      </c>
    </row>
    <row r="61399" customFormat="false" ht="12.8" hidden="false" customHeight="false" outlineLevel="0" collapsed="false">
      <c r="A61399" s="0" t="s">
        <v>21085</v>
      </c>
      <c r="B61399" s="0" t="str">
        <f aca="false">HYPERLINK("https://lindat.mff.cuni.cz/services/teitok/pdtc10/index.php?action=vallex&amp;frame=v-w7816f3_ZU", "vyčerpat (v-w7816f3_ZU)")</f>
        <v>vyčerpat (v-w7816f3_ZU)</v>
      </c>
    </row>
    <row r="61400" customFormat="false" ht="12.8" hidden="false" customHeight="false" outlineLevel="0" collapsed="false">
      <c r="B61400" s="0" t="s">
        <v>7</v>
      </c>
      <c r="C61400" s="0" t="s">
        <v>149</v>
      </c>
      <c r="F61400" s="0" t="s">
        <v>335</v>
      </c>
    </row>
    <row r="61401" customFormat="false" ht="12.8" hidden="false" customHeight="false" outlineLevel="0" collapsed="false">
      <c r="B61401" s="0" t="s">
        <v>14</v>
      </c>
      <c r="C61401" s="0" t="s">
        <v>151</v>
      </c>
      <c r="F61401" s="0" t="s">
        <v>461</v>
      </c>
    </row>
    <row r="61403" customFormat="false" ht="12.8" hidden="false" customHeight="false" outlineLevel="0" collapsed="false">
      <c r="A61403" s="0" t="s">
        <v>21086</v>
      </c>
      <c r="B61403" s="0" t="str">
        <f aca="false">HYPERLINK("https://lindat.mff.cuni.cz/services/teitok/pdtc10/index.php?action=vallex&amp;frame=v-w7816f4_ZU", "vyčerpat (v-w7816f4_ZU)")</f>
        <v>vyčerpat (v-w7816f4_ZU)</v>
      </c>
    </row>
    <row r="61404" customFormat="false" ht="12.8" hidden="false" customHeight="false" outlineLevel="0" collapsed="false">
      <c r="B61404" s="0" t="s">
        <v>7</v>
      </c>
    </row>
    <row r="61405" customFormat="false" ht="12.8" hidden="false" customHeight="false" outlineLevel="0" collapsed="false">
      <c r="B61405" s="0" t="s">
        <v>14</v>
      </c>
    </row>
    <row r="61407" customFormat="false" ht="12.8" hidden="false" customHeight="false" outlineLevel="0" collapsed="false">
      <c r="A61407" s="0" t="s">
        <v>21087</v>
      </c>
      <c r="B61407" s="0" t="str">
        <f aca="false">HYPERLINK("https://lindat.mff.cuni.cz/services/teitok/pdtc10/index.php?action=vallex&amp;frame=v-w7817f1", "vyčerpat se (v-w7817f1)")</f>
        <v>vyčerpat se (v-w7817f1)</v>
      </c>
    </row>
    <row r="61408" customFormat="false" ht="12.8" hidden="false" customHeight="false" outlineLevel="0" collapsed="false">
      <c r="B61408" s="0" t="s">
        <v>7</v>
      </c>
      <c r="C61408" s="0" t="s">
        <v>46</v>
      </c>
      <c r="D61408" s="0" t="s">
        <v>17900</v>
      </c>
      <c r="E61408" s="0" t="s">
        <v>17900</v>
      </c>
      <c r="F61408" s="0" t="s">
        <v>21088</v>
      </c>
    </row>
    <row r="61410" customFormat="false" ht="12.8" hidden="false" customHeight="false" outlineLevel="0" collapsed="false">
      <c r="A61410" s="0" t="s">
        <v>21089</v>
      </c>
      <c r="B61410" s="0" t="str">
        <f aca="false">HYPERLINK("https://lindat.mff.cuni.cz/services/teitok/pdtc10/index.php?action=vallex&amp;frame=v-w11112f3", "vyčerpávat (v-w11112f3)")</f>
        <v>vyčerpávat (v-w11112f3)</v>
      </c>
    </row>
    <row r="61411" customFormat="false" ht="12.8" hidden="false" customHeight="false" outlineLevel="0" collapsed="false">
      <c r="B61411" s="0" t="s">
        <v>7</v>
      </c>
      <c r="D61411" s="0" t="s">
        <v>1410</v>
      </c>
      <c r="E61411" s="0" t="s">
        <v>1410</v>
      </c>
      <c r="F61411" s="0" t="s">
        <v>1410</v>
      </c>
    </row>
    <row r="61412" customFormat="false" ht="12.8" hidden="false" customHeight="false" outlineLevel="0" collapsed="false">
      <c r="B61412" s="0" t="s">
        <v>14</v>
      </c>
      <c r="D61412" s="0" t="s">
        <v>1411</v>
      </c>
      <c r="E61412" s="0" t="s">
        <v>1411</v>
      </c>
      <c r="F61412" s="0" t="s">
        <v>1411</v>
      </c>
    </row>
    <row r="61414" customFormat="false" ht="12.8" hidden="false" customHeight="false" outlineLevel="0" collapsed="false">
      <c r="A61414" s="0" t="s">
        <v>21090</v>
      </c>
      <c r="B61414" s="0" t="str">
        <f aca="false">HYPERLINK("https://lindat.mff.cuni.cz/services/teitok/pdtc10/index.php?action=vallex&amp;frame=v-w11112f4", "vyčerpávat (v-w11112f4)")</f>
        <v>vyčerpávat (v-w11112f4)</v>
      </c>
    </row>
    <row r="61415" customFormat="false" ht="12.8" hidden="false" customHeight="false" outlineLevel="0" collapsed="false">
      <c r="B61415" s="0" t="s">
        <v>7</v>
      </c>
      <c r="C61415" s="0" t="s">
        <v>335</v>
      </c>
      <c r="D61415" s="0" t="s">
        <v>157</v>
      </c>
      <c r="E61415" s="0" t="s">
        <v>157</v>
      </c>
      <c r="F61415" s="0" t="s">
        <v>157</v>
      </c>
    </row>
    <row r="61416" customFormat="false" ht="12.8" hidden="false" customHeight="false" outlineLevel="0" collapsed="false">
      <c r="B61416" s="0" t="s">
        <v>14</v>
      </c>
      <c r="C61416" s="0" t="s">
        <v>384</v>
      </c>
      <c r="D61416" s="0" t="s">
        <v>2641</v>
      </c>
      <c r="E61416" s="0" t="s">
        <v>2641</v>
      </c>
      <c r="F61416" s="0" t="s">
        <v>2641</v>
      </c>
    </row>
    <row r="61418" customFormat="false" ht="12.8" hidden="false" customHeight="false" outlineLevel="0" collapsed="false">
      <c r="A61418" s="0" t="s">
        <v>21091</v>
      </c>
      <c r="B61418" s="0" t="str">
        <f aca="false">HYPERLINK("https://lindat.mff.cuni.cz/services/teitok/pdtc10/index.php?action=vallex&amp;frame=v-w11112f5_ZU", "vyčerpávat (v-w11112f5_ZU)")</f>
        <v>vyčerpávat (v-w11112f5_ZU)</v>
      </c>
    </row>
    <row r="61419" customFormat="false" ht="12.8" hidden="false" customHeight="false" outlineLevel="0" collapsed="false">
      <c r="B61419" s="0" t="s">
        <v>7</v>
      </c>
    </row>
    <row r="61420" customFormat="false" ht="12.8" hidden="false" customHeight="false" outlineLevel="0" collapsed="false">
      <c r="B61420" s="0" t="s">
        <v>14</v>
      </c>
    </row>
    <row r="61422" customFormat="false" ht="12.8" hidden="false" customHeight="false" outlineLevel="0" collapsed="false">
      <c r="A61422" s="0" t="s">
        <v>21092</v>
      </c>
      <c r="B61422" s="0" t="str">
        <f aca="false">HYPERLINK("https://lindat.mff.cuni.cz/services/teitok/pdtc10/index.php?action=vallex&amp;frame=v-w11618_ZUf1_ZU", "vyčinit (v-w11618_ZUf1_ZU)")</f>
        <v>vyčinit (v-w11618_ZUf1_ZU)</v>
      </c>
    </row>
    <row r="61423" customFormat="false" ht="12.8" hidden="false" customHeight="false" outlineLevel="0" collapsed="false">
      <c r="B61423" s="0" t="s">
        <v>7</v>
      </c>
      <c r="C61423" s="0" t="s">
        <v>191</v>
      </c>
      <c r="D61423" s="0" t="s">
        <v>46</v>
      </c>
      <c r="E61423" s="0" t="s">
        <v>46</v>
      </c>
      <c r="F61423" s="0" t="s">
        <v>46</v>
      </c>
    </row>
    <row r="61424" customFormat="false" ht="12.8" hidden="false" customHeight="false" outlineLevel="0" collapsed="false">
      <c r="B61424" s="0" t="s">
        <v>48</v>
      </c>
      <c r="C61424" s="0" t="s">
        <v>3323</v>
      </c>
      <c r="D61424" s="0" t="s">
        <v>3323</v>
      </c>
      <c r="E61424" s="0" t="s">
        <v>3323</v>
      </c>
      <c r="F61424" s="0" t="s">
        <v>3323</v>
      </c>
    </row>
    <row r="61425" customFormat="false" ht="12.8" hidden="false" customHeight="false" outlineLevel="0" collapsed="false">
      <c r="B61425" s="0" t="s">
        <v>16370</v>
      </c>
    </row>
    <row r="61427" customFormat="false" ht="12.8" hidden="false" customHeight="false" outlineLevel="0" collapsed="false">
      <c r="A61427" s="0" t="s">
        <v>21093</v>
      </c>
      <c r="B61427" s="0" t="str">
        <f aca="false">HYPERLINK("https://lindat.mff.cuni.cz/services/teitok/pdtc10/index.php?action=vallex&amp;frame=v-w7822f2_ZU", "vyčistit (v-w7822f2_ZU)")</f>
        <v>vyčistit (v-w7822f2_ZU)</v>
      </c>
    </row>
    <row r="61428" customFormat="false" ht="12.8" hidden="false" customHeight="false" outlineLevel="0" collapsed="false">
      <c r="B61428" s="0" t="s">
        <v>7</v>
      </c>
    </row>
    <row r="61429" customFormat="false" ht="12.8" hidden="false" customHeight="false" outlineLevel="0" collapsed="false">
      <c r="B61429" s="0" t="s">
        <v>14</v>
      </c>
    </row>
    <row r="61430" customFormat="false" ht="12.8" hidden="false" customHeight="false" outlineLevel="0" collapsed="false">
      <c r="B61430" s="0" t="s">
        <v>441</v>
      </c>
    </row>
    <row r="61432" customFormat="false" ht="12.8" hidden="false" customHeight="false" outlineLevel="0" collapsed="false">
      <c r="A61432" s="0" t="s">
        <v>21093</v>
      </c>
      <c r="B61432" s="0" t="str">
        <f aca="false">HYPERLINK("https://lindat.mff.cuni.cz/services/teitok/pdtc10/index.php?action=vallex&amp;frame=v-w7822f1", "vyčistit (v-w7822f1) - substituted with v-w7822f2_ZU")</f>
        <v>vyčistit (v-w7822f1) - substituted with v-w7822f2_ZU</v>
      </c>
    </row>
    <row r="61433" customFormat="false" ht="12.8" hidden="false" customHeight="false" outlineLevel="0" collapsed="false">
      <c r="B61433" s="0" t="s">
        <v>7</v>
      </c>
      <c r="C61433" s="0" t="s">
        <v>149</v>
      </c>
      <c r="D61433" s="0" t="s">
        <v>194</v>
      </c>
      <c r="E61433" s="0" t="s">
        <v>4783</v>
      </c>
      <c r="F61433" s="0" t="s">
        <v>358</v>
      </c>
    </row>
    <row r="61434" customFormat="false" ht="12.8" hidden="false" customHeight="false" outlineLevel="0" collapsed="false">
      <c r="B61434" s="0" t="s">
        <v>14</v>
      </c>
      <c r="C61434" s="0" t="s">
        <v>21094</v>
      </c>
      <c r="D61434" s="0" t="s">
        <v>9476</v>
      </c>
      <c r="E61434" s="0" t="s">
        <v>9468</v>
      </c>
      <c r="F61434" s="0" t="s">
        <v>21095</v>
      </c>
    </row>
    <row r="61435" customFormat="false" ht="12.8" hidden="false" customHeight="false" outlineLevel="0" collapsed="false">
      <c r="B61435" s="0" t="s">
        <v>441</v>
      </c>
      <c r="C61435" s="0" t="s">
        <v>14399</v>
      </c>
      <c r="D61435" s="0" t="s">
        <v>9470</v>
      </c>
      <c r="E61435" s="0" t="s">
        <v>9470</v>
      </c>
      <c r="F61435" s="0" t="s">
        <v>9470</v>
      </c>
    </row>
    <row r="61437" customFormat="false" ht="12.8" hidden="false" customHeight="false" outlineLevel="0" collapsed="false">
      <c r="A61437" s="0" t="s">
        <v>21096</v>
      </c>
      <c r="B61437" s="0" t="str">
        <f aca="false">HYPERLINK("https://lindat.mff.cuni.cz/services/teitok/pdtc10/index.php?action=vallex&amp;frame=v-w7822hsa_1995", "vyčistit (v-w7822hsa_1995)")</f>
        <v>vyčistit (v-w7822hsa_1995)</v>
      </c>
    </row>
    <row r="61438" customFormat="false" ht="12.8" hidden="false" customHeight="false" outlineLevel="0" collapsed="false">
      <c r="B61438" s="0" t="s">
        <v>7</v>
      </c>
    </row>
    <row r="61439" customFormat="false" ht="12.8" hidden="false" customHeight="false" outlineLevel="0" collapsed="false">
      <c r="B61439" s="0" t="s">
        <v>14</v>
      </c>
    </row>
    <row r="61441" customFormat="false" ht="12.8" hidden="false" customHeight="false" outlineLevel="0" collapsed="false">
      <c r="A61441" s="0" t="s">
        <v>21097</v>
      </c>
      <c r="B61441" s="0" t="str">
        <f aca="false">HYPERLINK("https://lindat.mff.cuni.cz/services/teitok/pdtc10/index.php?action=vallex&amp;frame=v-w7822hsa_1996", "vyčistit (v-w7822hsa_1996)")</f>
        <v>vyčistit (v-w7822hsa_1996)</v>
      </c>
    </row>
    <row r="61442" customFormat="false" ht="12.8" hidden="false" customHeight="false" outlineLevel="0" collapsed="false">
      <c r="B61442" s="0" t="s">
        <v>7</v>
      </c>
    </row>
    <row r="61443" customFormat="false" ht="12.8" hidden="false" customHeight="false" outlineLevel="0" collapsed="false">
      <c r="B61443" s="0" t="s">
        <v>14</v>
      </c>
    </row>
    <row r="61445" customFormat="false" ht="12.8" hidden="false" customHeight="false" outlineLevel="0" collapsed="false">
      <c r="A61445" s="0" t="s">
        <v>21098</v>
      </c>
      <c r="B61445" s="0" t="str">
        <f aca="false">HYPERLINK("https://lindat.mff.cuni.cz/services/teitok/pdtc10/index.php?action=vallex&amp;frame=v-w7827f2", "vyčkat (v-w7827f2)")</f>
        <v>vyčkat (v-w7827f2)</v>
      </c>
    </row>
    <row r="61446" customFormat="false" ht="12.8" hidden="false" customHeight="false" outlineLevel="0" collapsed="false">
      <c r="B61446" s="0" t="s">
        <v>7</v>
      </c>
      <c r="C61446" s="0" t="s">
        <v>21099</v>
      </c>
    </row>
    <row r="61447" customFormat="false" ht="12.8" hidden="false" customHeight="false" outlineLevel="0" collapsed="false">
      <c r="B61447" s="0" t="s">
        <v>548</v>
      </c>
      <c r="C61447" s="0" t="s">
        <v>47</v>
      </c>
    </row>
    <row r="61449" customFormat="false" ht="12.8" hidden="false" customHeight="false" outlineLevel="0" collapsed="false">
      <c r="A61449" s="0" t="s">
        <v>21100</v>
      </c>
      <c r="B61449" s="0" t="str">
        <f aca="false">HYPERLINK("https://lindat.mff.cuni.cz/services/teitok/pdtc10/index.php?action=vallex&amp;frame=v-w7827f4_ZU", "vyčkat (v-w7827f4_ZU)")</f>
        <v>vyčkat (v-w7827f4_ZU)</v>
      </c>
    </row>
    <row r="61450" customFormat="false" ht="12.8" hidden="false" customHeight="false" outlineLevel="0" collapsed="false">
      <c r="B61450" s="0" t="s">
        <v>7</v>
      </c>
    </row>
    <row r="61451" customFormat="false" ht="12.8" hidden="false" customHeight="false" outlineLevel="0" collapsed="false">
      <c r="B61451" s="0" t="s">
        <v>21101</v>
      </c>
    </row>
    <row r="61453" customFormat="false" ht="12.8" hidden="false" customHeight="false" outlineLevel="0" collapsed="false">
      <c r="A61453" s="0" t="s">
        <v>21100</v>
      </c>
      <c r="B61453" s="0" t="str">
        <f aca="false">HYPERLINK("https://lindat.mff.cuni.cz/services/teitok/pdtc10/index.php?action=vallex&amp;frame=v-w7827f1", "vyčkat (v-w7827f1) - substituted with v-w7827f4_ZU")</f>
        <v>vyčkat (v-w7827f1) - substituted with v-w7827f4_ZU</v>
      </c>
    </row>
    <row r="61454" customFormat="false" ht="12.8" hidden="false" customHeight="false" outlineLevel="0" collapsed="false">
      <c r="B61454" s="0" t="s">
        <v>7</v>
      </c>
      <c r="C61454" s="0" t="s">
        <v>21102</v>
      </c>
      <c r="D61454" s="0" t="s">
        <v>9450</v>
      </c>
      <c r="E61454" s="0" t="s">
        <v>9450</v>
      </c>
      <c r="F61454" s="0" t="s">
        <v>9450</v>
      </c>
    </row>
    <row r="61455" customFormat="false" ht="12.8" hidden="false" customHeight="false" outlineLevel="0" collapsed="false">
      <c r="B61455" s="0" t="s">
        <v>21101</v>
      </c>
      <c r="C61455" s="0" t="s">
        <v>21103</v>
      </c>
      <c r="D61455" s="0" t="s">
        <v>9453</v>
      </c>
      <c r="E61455" s="0" t="s">
        <v>9453</v>
      </c>
      <c r="F61455" s="0" t="s">
        <v>9453</v>
      </c>
    </row>
    <row r="61457" customFormat="false" ht="12.8" hidden="false" customHeight="false" outlineLevel="0" collapsed="false">
      <c r="A61457" s="0" t="s">
        <v>21100</v>
      </c>
      <c r="B61457" s="0" t="str">
        <f aca="false">HYPERLINK("https://lindat.mff.cuni.cz/services/teitok/pdtc10/index.php?action=vallex&amp;frame=v-w7827f3_ZU", "vyčkat (v-w7827f3_ZU) - substituted with v-w7827f4_ZU")</f>
        <v>vyčkat (v-w7827f3_ZU) - substituted with v-w7827f4_ZU</v>
      </c>
    </row>
    <row r="61458" customFormat="false" ht="12.8" hidden="false" customHeight="false" outlineLevel="0" collapsed="false">
      <c r="B61458" s="0" t="s">
        <v>7</v>
      </c>
    </row>
    <row r="61459" customFormat="false" ht="12.8" hidden="false" customHeight="false" outlineLevel="0" collapsed="false">
      <c r="B61459" s="0" t="s">
        <v>21101</v>
      </c>
    </row>
    <row r="61461" customFormat="false" ht="12.8" hidden="false" customHeight="false" outlineLevel="0" collapsed="false">
      <c r="A61461" s="0" t="s">
        <v>21104</v>
      </c>
      <c r="B61461" s="0" t="str">
        <f aca="false">HYPERLINK("https://lindat.mff.cuni.cz/services/teitok/pdtc10/index.php?action=vallex&amp;frame=v-w7829f2", "vyčkávat (v-w7829f2)")</f>
        <v>vyčkávat (v-w7829f2)</v>
      </c>
    </row>
    <row r="61462" customFormat="false" ht="12.8" hidden="false" customHeight="false" outlineLevel="0" collapsed="false">
      <c r="B61462" s="0" t="s">
        <v>7</v>
      </c>
    </row>
    <row r="61463" customFormat="false" ht="12.8" hidden="false" customHeight="false" outlineLevel="0" collapsed="false">
      <c r="B61463" s="0" t="s">
        <v>548</v>
      </c>
    </row>
    <row r="61465" customFormat="false" ht="12.8" hidden="false" customHeight="false" outlineLevel="0" collapsed="false">
      <c r="A61465" s="0" t="s">
        <v>21105</v>
      </c>
      <c r="B61465" s="0" t="str">
        <f aca="false">HYPERLINK("https://lindat.mff.cuni.cz/services/teitok/pdtc10/index.php?action=vallex&amp;frame=v-w7829f1", "vyčkávat (v-w7829f1)")</f>
        <v>vyčkávat (v-w7829f1)</v>
      </c>
    </row>
    <row r="61466" customFormat="false" ht="12.8" hidden="false" customHeight="false" outlineLevel="0" collapsed="false">
      <c r="B61466" s="0" t="s">
        <v>7</v>
      </c>
      <c r="C61466" s="0" t="s">
        <v>21106</v>
      </c>
      <c r="D61466" s="0" t="s">
        <v>9450</v>
      </c>
      <c r="E61466" s="0" t="s">
        <v>9450</v>
      </c>
      <c r="F61466" s="0" t="s">
        <v>9450</v>
      </c>
    </row>
    <row r="61467" customFormat="false" ht="12.8" hidden="false" customHeight="false" outlineLevel="0" collapsed="false">
      <c r="B61467" s="0" t="s">
        <v>21107</v>
      </c>
      <c r="C61467" s="0" t="s">
        <v>21108</v>
      </c>
      <c r="D61467" s="0" t="s">
        <v>9453</v>
      </c>
      <c r="E61467" s="0" t="s">
        <v>9453</v>
      </c>
      <c r="F61467" s="0" t="s">
        <v>9453</v>
      </c>
    </row>
    <row r="61469" customFormat="false" ht="12.8" hidden="false" customHeight="false" outlineLevel="0" collapsed="false">
      <c r="A61469" s="0" t="s">
        <v>21109</v>
      </c>
      <c r="B61469" s="0" t="str">
        <f aca="false">HYPERLINK("https://lindat.mff.cuni.cz/services/teitok/pdtc10/index.php?action=vallex&amp;frame=v-w7832f1", "vyčlenit (v-w7832f1)")</f>
        <v>vyčlenit (v-w7832f1)</v>
      </c>
    </row>
    <row r="61470" customFormat="false" ht="12.8" hidden="false" customHeight="false" outlineLevel="0" collapsed="false">
      <c r="B61470" s="0" t="s">
        <v>7</v>
      </c>
      <c r="C61470" s="0" t="s">
        <v>20556</v>
      </c>
    </row>
    <row r="61471" customFormat="false" ht="12.8" hidden="false" customHeight="false" outlineLevel="0" collapsed="false">
      <c r="B61471" s="0" t="s">
        <v>14</v>
      </c>
      <c r="C61471" s="0" t="s">
        <v>21110</v>
      </c>
    </row>
    <row r="61472" customFormat="false" ht="12.8" hidden="false" customHeight="false" outlineLevel="0" collapsed="false">
      <c r="B61472" s="0" t="s">
        <v>459</v>
      </c>
      <c r="C61472" s="0" t="s">
        <v>21111</v>
      </c>
    </row>
    <row r="61474" customFormat="false" ht="12.8" hidden="false" customHeight="false" outlineLevel="0" collapsed="false">
      <c r="A61474" s="0" t="s">
        <v>21112</v>
      </c>
      <c r="B61474" s="0" t="str">
        <f aca="false">HYPERLINK("https://lindat.mff.cuni.cz/services/teitok/pdtc10/index.php?action=vallex&amp;frame=v-w7832hsa_142", "vyčlenit (v-w7832hsa_142)")</f>
        <v>vyčlenit (v-w7832hsa_142)</v>
      </c>
    </row>
    <row r="61475" customFormat="false" ht="12.8" hidden="false" customHeight="false" outlineLevel="0" collapsed="false">
      <c r="B61475" s="0" t="s">
        <v>7</v>
      </c>
      <c r="C61475" s="0" t="s">
        <v>184</v>
      </c>
    </row>
    <row r="61476" customFormat="false" ht="12.8" hidden="false" customHeight="false" outlineLevel="0" collapsed="false">
      <c r="B61476" s="0" t="s">
        <v>14</v>
      </c>
      <c r="C61476" s="0" t="s">
        <v>1170</v>
      </c>
    </row>
    <row r="61477" customFormat="false" ht="12.8" hidden="false" customHeight="false" outlineLevel="0" collapsed="false">
      <c r="B61477" s="0" t="s">
        <v>459</v>
      </c>
    </row>
    <row r="61479" customFormat="false" ht="12.8" hidden="false" customHeight="false" outlineLevel="0" collapsed="false">
      <c r="A61479" s="0" t="s">
        <v>21113</v>
      </c>
      <c r="B61479" s="0" t="str">
        <f aca="false">HYPERLINK("https://lindat.mff.cuni.cz/services/teitok/pdtc10/index.php?action=vallex&amp;frame=v-w7833f1", "vyčlenit se (v-w7833f1)")</f>
        <v>vyčlenit se (v-w7833f1)</v>
      </c>
    </row>
    <row r="61480" customFormat="false" ht="12.8" hidden="false" customHeight="false" outlineLevel="0" collapsed="false">
      <c r="B61480" s="0" t="s">
        <v>7</v>
      </c>
    </row>
    <row r="61481" customFormat="false" ht="12.8" hidden="false" customHeight="false" outlineLevel="0" collapsed="false">
      <c r="B61481" s="0" t="s">
        <v>459</v>
      </c>
    </row>
    <row r="61483" customFormat="false" ht="12.8" hidden="false" customHeight="false" outlineLevel="0" collapsed="false">
      <c r="A61483" s="0" t="s">
        <v>21114</v>
      </c>
      <c r="B61483" s="0" t="str">
        <f aca="false">HYPERLINK("https://lindat.mff.cuni.cz/services/teitok/pdtc10/index.php?action=vallex&amp;frame=v-w7835f1", "vyčleňovat (v-w7835f1)")</f>
        <v>vyčleňovat (v-w7835f1)</v>
      </c>
    </row>
    <row r="61484" customFormat="false" ht="12.8" hidden="false" customHeight="false" outlineLevel="0" collapsed="false">
      <c r="B61484" s="0" t="s">
        <v>7</v>
      </c>
      <c r="D61484" s="0" t="s">
        <v>1777</v>
      </c>
      <c r="E61484" s="0" t="s">
        <v>1777</v>
      </c>
      <c r="F61484" s="0" t="s">
        <v>1777</v>
      </c>
    </row>
    <row r="61485" customFormat="false" ht="12.8" hidden="false" customHeight="false" outlineLevel="0" collapsed="false">
      <c r="B61485" s="0" t="s">
        <v>14</v>
      </c>
      <c r="D61485" s="0" t="s">
        <v>4252</v>
      </c>
      <c r="E61485" s="0" t="s">
        <v>4252</v>
      </c>
      <c r="F61485" s="0" t="s">
        <v>4252</v>
      </c>
    </row>
    <row r="61486" customFormat="false" ht="12.8" hidden="false" customHeight="false" outlineLevel="0" collapsed="false">
      <c r="B61486" s="0" t="s">
        <v>459</v>
      </c>
      <c r="D61486" s="0" t="s">
        <v>8566</v>
      </c>
      <c r="E61486" s="0" t="s">
        <v>8566</v>
      </c>
      <c r="F61486" s="0" t="s">
        <v>8566</v>
      </c>
    </row>
    <row r="61488" customFormat="false" ht="12.8" hidden="false" customHeight="false" outlineLevel="0" collapsed="false">
      <c r="A61488" s="0" t="s">
        <v>21115</v>
      </c>
      <c r="B61488" s="0" t="str">
        <f aca="false">HYPERLINK("https://lindat.mff.cuni.cz/services/teitok/pdtc10/index.php?action=vallex&amp;frame=v-w7836f1", "vyčleňovat se (v-w7836f1)")</f>
        <v>vyčleňovat se (v-w7836f1)</v>
      </c>
    </row>
    <row r="61489" customFormat="false" ht="12.8" hidden="false" customHeight="false" outlineLevel="0" collapsed="false">
      <c r="B61489" s="0" t="s">
        <v>7</v>
      </c>
    </row>
    <row r="61490" customFormat="false" ht="12.8" hidden="false" customHeight="false" outlineLevel="0" collapsed="false">
      <c r="B61490" s="0" t="s">
        <v>459</v>
      </c>
    </row>
    <row r="61492" customFormat="false" ht="12.8" hidden="false" customHeight="false" outlineLevel="0" collapsed="false">
      <c r="A61492" s="0" t="s">
        <v>21116</v>
      </c>
      <c r="B61492" s="0" t="str">
        <f aca="false">HYPERLINK("https://lindat.mff.cuni.cz/services/teitok/pdtc10/index.php?action=vallex&amp;frame=v-w7837f1", "vyčnívat (v-w7837f1)")</f>
        <v>vyčnívat (v-w7837f1)</v>
      </c>
    </row>
    <row r="61493" customFormat="false" ht="12.8" hidden="false" customHeight="false" outlineLevel="0" collapsed="false">
      <c r="B61493" s="0" t="s">
        <v>7</v>
      </c>
    </row>
    <row r="61494" customFormat="false" ht="12.8" hidden="false" customHeight="false" outlineLevel="0" collapsed="false">
      <c r="B61494" s="0" t="s">
        <v>459</v>
      </c>
    </row>
    <row r="61496" customFormat="false" ht="12.8" hidden="false" customHeight="false" outlineLevel="0" collapsed="false">
      <c r="A61496" s="0" t="s">
        <v>21117</v>
      </c>
      <c r="B61496" s="0" t="str">
        <f aca="false">HYPERLINK("https://lindat.mff.cuni.cz/services/teitok/pdtc10/index.php?action=vallex&amp;frame=v-w7837f2", "vyčnívat (v-w7837f2)")</f>
        <v>vyčnívat (v-w7837f2)</v>
      </c>
    </row>
    <row r="61497" customFormat="false" ht="12.8" hidden="false" customHeight="false" outlineLevel="0" collapsed="false">
      <c r="B61497" s="0" t="s">
        <v>7</v>
      </c>
      <c r="C61497" s="0" t="s">
        <v>200</v>
      </c>
    </row>
    <row r="61499" customFormat="false" ht="12.8" hidden="false" customHeight="false" outlineLevel="0" collapsed="false">
      <c r="A61499" s="0" t="s">
        <v>21118</v>
      </c>
      <c r="B61499" s="0" t="str">
        <f aca="false">HYPERLINK("https://lindat.mff.cuni.cz/services/teitok/pdtc10/index.php?action=vallex&amp;frame=v-w11841_ZUf2_ZU", "vyčíhnout si (v-w11841_ZUf2_ZU)")</f>
        <v>vyčíhnout si (v-w11841_ZUf2_ZU)</v>
      </c>
    </row>
    <row r="61500" customFormat="false" ht="12.8" hidden="false" customHeight="false" outlineLevel="0" collapsed="false">
      <c r="B61500" s="0" t="s">
        <v>7</v>
      </c>
    </row>
    <row r="61501" customFormat="false" ht="12.8" hidden="false" customHeight="false" outlineLevel="0" collapsed="false">
      <c r="B61501" s="0" t="s">
        <v>54</v>
      </c>
    </row>
    <row r="61503" customFormat="false" ht="12.8" hidden="false" customHeight="false" outlineLevel="0" collapsed="false">
      <c r="A61503" s="0" t="s">
        <v>21118</v>
      </c>
      <c r="B61503" s="0" t="str">
        <f aca="false">HYPERLINK("https://lindat.mff.cuni.cz/services/teitok/pdtc10/index.php?action=vallex&amp;frame=v-w11841_ZUf1_ZU", "vyčíhnout si (v-w11841_ZUf1_ZU) - substituted with v-w11841_ZUf2_ZU")</f>
        <v>vyčíhnout si (v-w11841_ZUf1_ZU) - substituted with v-w11841_ZUf2_ZU</v>
      </c>
    </row>
    <row r="61504" customFormat="false" ht="12.8" hidden="false" customHeight="false" outlineLevel="0" collapsed="false">
      <c r="B61504" s="0" t="s">
        <v>7</v>
      </c>
    </row>
    <row r="61505" customFormat="false" ht="12.8" hidden="false" customHeight="false" outlineLevel="0" collapsed="false">
      <c r="B61505" s="0" t="s">
        <v>54</v>
      </c>
    </row>
    <row r="61507" customFormat="false" ht="12.8" hidden="false" customHeight="false" outlineLevel="0" collapsed="false">
      <c r="A61507" s="0" t="s">
        <v>21119</v>
      </c>
      <c r="B61507" s="0" t="str">
        <f aca="false">HYPERLINK("https://lindat.mff.cuni.cz/services/teitok/pdtc10/index.php?action=vallex&amp;frame=v-w7819f1", "vyčíslit (v-w7819f1)")</f>
        <v>vyčíslit (v-w7819f1)</v>
      </c>
    </row>
    <row r="61508" customFormat="false" ht="12.8" hidden="false" customHeight="false" outlineLevel="0" collapsed="false">
      <c r="B61508" s="0" t="s">
        <v>7</v>
      </c>
      <c r="C61508" s="0" t="s">
        <v>3944</v>
      </c>
      <c r="D61508" s="0" t="s">
        <v>1135</v>
      </c>
      <c r="E61508" s="0" t="s">
        <v>1135</v>
      </c>
      <c r="F61508" s="0" t="s">
        <v>1135</v>
      </c>
    </row>
    <row r="61509" customFormat="false" ht="12.8" hidden="false" customHeight="false" outlineLevel="0" collapsed="false">
      <c r="B61509" s="0" t="s">
        <v>232</v>
      </c>
      <c r="C61509" s="0" t="s">
        <v>21120</v>
      </c>
      <c r="D61509" s="0" t="s">
        <v>1137</v>
      </c>
      <c r="E61509" s="0" t="s">
        <v>1137</v>
      </c>
      <c r="F61509" s="0" t="s">
        <v>1137</v>
      </c>
    </row>
    <row r="61510" customFormat="false" ht="12.8" hidden="false" customHeight="false" outlineLevel="0" collapsed="false">
      <c r="B61510" s="0" t="s">
        <v>84</v>
      </c>
      <c r="C61510" s="0" t="s">
        <v>21121</v>
      </c>
      <c r="D61510" s="0" t="s">
        <v>1139</v>
      </c>
      <c r="E61510" s="0" t="s">
        <v>1139</v>
      </c>
      <c r="F61510" s="0" t="s">
        <v>1139</v>
      </c>
    </row>
    <row r="61512" customFormat="false" ht="12.8" hidden="false" customHeight="false" outlineLevel="0" collapsed="false">
      <c r="A61512" s="0" t="s">
        <v>21122</v>
      </c>
      <c r="B61512" s="0" t="str">
        <f aca="false">HYPERLINK("https://lindat.mff.cuni.cz/services/teitok/pdtc10/index.php?action=vallex&amp;frame=v-w7820f1", "vyčíslovat (v-w7820f1)")</f>
        <v>vyčíslovat (v-w7820f1)</v>
      </c>
    </row>
    <row r="61513" customFormat="false" ht="12.8" hidden="false" customHeight="false" outlineLevel="0" collapsed="false">
      <c r="B61513" s="0" t="s">
        <v>7</v>
      </c>
      <c r="C61513" s="0" t="s">
        <v>2736</v>
      </c>
      <c r="D61513" s="0" t="s">
        <v>1135</v>
      </c>
      <c r="E61513" s="0" t="s">
        <v>1135</v>
      </c>
      <c r="F61513" s="0" t="s">
        <v>1135</v>
      </c>
    </row>
    <row r="61514" customFormat="false" ht="12.8" hidden="false" customHeight="false" outlineLevel="0" collapsed="false">
      <c r="B61514" s="0" t="s">
        <v>14</v>
      </c>
      <c r="C61514" s="0" t="s">
        <v>3249</v>
      </c>
      <c r="D61514" s="0" t="s">
        <v>1137</v>
      </c>
      <c r="E61514" s="0" t="s">
        <v>1137</v>
      </c>
      <c r="F61514" s="0" t="s">
        <v>1137</v>
      </c>
    </row>
    <row r="61515" customFormat="false" ht="12.8" hidden="false" customHeight="false" outlineLevel="0" collapsed="false">
      <c r="B61515" s="0" t="s">
        <v>84</v>
      </c>
      <c r="D61515" s="0" t="s">
        <v>1139</v>
      </c>
      <c r="E61515" s="0" t="s">
        <v>1139</v>
      </c>
      <c r="F61515" s="0" t="s">
        <v>1139</v>
      </c>
    </row>
    <row r="61517" customFormat="false" ht="12.8" hidden="false" customHeight="false" outlineLevel="0" collapsed="false">
      <c r="A61517" s="0" t="s">
        <v>21123</v>
      </c>
      <c r="B61517" s="0" t="str">
        <f aca="false">HYPERLINK("https://lindat.mff.cuni.cz/services/teitok/pdtc10/index.php?action=vallex&amp;frame=v-w7821f2", "vyčíst (v-w7821f2)")</f>
        <v>vyčíst (v-w7821f2)</v>
      </c>
    </row>
    <row r="61518" customFormat="false" ht="12.8" hidden="false" customHeight="false" outlineLevel="0" collapsed="false">
      <c r="B61518" s="0" t="s">
        <v>7</v>
      </c>
      <c r="C61518" s="0" t="s">
        <v>46</v>
      </c>
      <c r="D61518" s="0" t="s">
        <v>118</v>
      </c>
      <c r="E61518" s="0" t="s">
        <v>118</v>
      </c>
      <c r="F61518" s="0" t="s">
        <v>118</v>
      </c>
    </row>
    <row r="61519" customFormat="false" ht="12.8" hidden="false" customHeight="false" outlineLevel="0" collapsed="false">
      <c r="B61519" s="0" t="s">
        <v>172</v>
      </c>
      <c r="C61519" s="0" t="s">
        <v>1544</v>
      </c>
      <c r="D61519" s="0" t="s">
        <v>4813</v>
      </c>
      <c r="E61519" s="0" t="s">
        <v>4813</v>
      </c>
      <c r="F61519" s="0" t="s">
        <v>4813</v>
      </c>
    </row>
    <row r="61520" customFormat="false" ht="12.8" hidden="false" customHeight="false" outlineLevel="0" collapsed="false">
      <c r="B61520" s="0" t="s">
        <v>48</v>
      </c>
      <c r="C61520" s="0" t="s">
        <v>2004</v>
      </c>
      <c r="D61520" s="0" t="s">
        <v>8546</v>
      </c>
      <c r="E61520" s="0" t="s">
        <v>8546</v>
      </c>
      <c r="F61520" s="0" t="s">
        <v>8546</v>
      </c>
    </row>
    <row r="61522" customFormat="false" ht="12.8" hidden="false" customHeight="false" outlineLevel="0" collapsed="false">
      <c r="A61522" s="0" t="s">
        <v>21124</v>
      </c>
      <c r="B61522" s="0" t="str">
        <f aca="false">HYPERLINK("https://lindat.mff.cuni.cz/services/teitok/pdtc10/index.php?action=vallex&amp;frame=v-w7821f1", "vyčíst (v-w7821f1)")</f>
        <v>vyčíst (v-w7821f1)</v>
      </c>
    </row>
    <row r="61523" customFormat="false" ht="12.8" hidden="false" customHeight="false" outlineLevel="0" collapsed="false">
      <c r="B61523" s="0" t="s">
        <v>7</v>
      </c>
    </row>
    <row r="61524" customFormat="false" ht="12.8" hidden="false" customHeight="false" outlineLevel="0" collapsed="false">
      <c r="B61524" s="0" t="s">
        <v>1520</v>
      </c>
    </row>
    <row r="61526" customFormat="false" ht="12.8" hidden="false" customHeight="false" outlineLevel="0" collapsed="false">
      <c r="A61526" s="0" t="s">
        <v>21125</v>
      </c>
      <c r="B61526" s="0" t="str">
        <f aca="false">HYPERLINK("https://lindat.mff.cuni.cz/services/teitok/pdtc10/index.php?action=vallex&amp;frame=v-w7825f1", "vyčítat (v-w7825f1)")</f>
        <v>vyčítat (v-w7825f1)</v>
      </c>
    </row>
    <row r="61527" customFormat="false" ht="12.8" hidden="false" customHeight="false" outlineLevel="0" collapsed="false">
      <c r="B61527" s="0" t="s">
        <v>7</v>
      </c>
      <c r="C61527" s="0" t="s">
        <v>1826</v>
      </c>
      <c r="D61527" s="0" t="s">
        <v>118</v>
      </c>
      <c r="E61527" s="0" t="s">
        <v>118</v>
      </c>
      <c r="F61527" s="0" t="s">
        <v>118</v>
      </c>
    </row>
    <row r="61528" customFormat="false" ht="12.8" hidden="false" customHeight="false" outlineLevel="0" collapsed="false">
      <c r="B61528" s="0" t="s">
        <v>12661</v>
      </c>
      <c r="C61528" s="0" t="s">
        <v>21126</v>
      </c>
      <c r="D61528" s="0" t="s">
        <v>4813</v>
      </c>
      <c r="E61528" s="0" t="s">
        <v>4813</v>
      </c>
      <c r="F61528" s="0" t="s">
        <v>4813</v>
      </c>
    </row>
    <row r="61529" customFormat="false" ht="12.8" hidden="false" customHeight="false" outlineLevel="0" collapsed="false">
      <c r="B61529" s="0" t="s">
        <v>48</v>
      </c>
      <c r="C61529" s="0" t="s">
        <v>21127</v>
      </c>
      <c r="D61529" s="0" t="s">
        <v>8546</v>
      </c>
      <c r="E61529" s="0" t="s">
        <v>8546</v>
      </c>
      <c r="F61529" s="0" t="s">
        <v>8546</v>
      </c>
    </row>
    <row r="61531" customFormat="false" ht="12.8" hidden="false" customHeight="false" outlineLevel="0" collapsed="false">
      <c r="A61531" s="0" t="s">
        <v>21128</v>
      </c>
      <c r="B61531" s="0" t="str">
        <f aca="false">HYPERLINK("https://lindat.mff.cuni.cz/services/teitok/pdtc10/index.php?action=vallex&amp;frame=v-w7825f2_ZU", "vyčítat (v-w7825f2_ZU)")</f>
        <v>vyčítat (v-w7825f2_ZU)</v>
      </c>
    </row>
    <row r="61532" customFormat="false" ht="12.8" hidden="false" customHeight="false" outlineLevel="0" collapsed="false">
      <c r="B61532" s="0" t="s">
        <v>7</v>
      </c>
    </row>
    <row r="61533" customFormat="false" ht="12.8" hidden="false" customHeight="false" outlineLevel="0" collapsed="false">
      <c r="B61533" s="0" t="s">
        <v>14</v>
      </c>
    </row>
    <row r="61535" customFormat="false" ht="12.8" hidden="false" customHeight="false" outlineLevel="0" collapsed="false">
      <c r="A61535" s="0" t="s">
        <v>21128</v>
      </c>
      <c r="B61535" s="0" t="str">
        <f aca="false">HYPERLINK("https://lindat.mff.cuni.cz/services/teitok/pdtc10/index.php?action=vallex&amp;frame=v-w7825hsa_28", "vyčítat (v-w7825hsa_28) - substituted with v-w7825f2_ZU")</f>
        <v>vyčítat (v-w7825hsa_28) - substituted with v-w7825f2_ZU</v>
      </c>
    </row>
    <row r="61536" customFormat="false" ht="12.8" hidden="false" customHeight="false" outlineLevel="0" collapsed="false">
      <c r="B61536" s="0" t="s">
        <v>7</v>
      </c>
    </row>
    <row r="61537" customFormat="false" ht="12.8" hidden="false" customHeight="false" outlineLevel="0" collapsed="false">
      <c r="B61537" s="0" t="s">
        <v>14</v>
      </c>
    </row>
    <row r="61539" customFormat="false" ht="12.8" hidden="false" customHeight="false" outlineLevel="0" collapsed="false">
      <c r="A61539" s="0" t="s">
        <v>21129</v>
      </c>
      <c r="B61539" s="0" t="str">
        <f aca="false">HYPERLINK("https://lindat.mff.cuni.cz/services/teitok/pdtc10/index.php?action=vallex&amp;frame=v-w8319f1", "vyřadit (v-w8319f1)")</f>
        <v>vyřadit (v-w8319f1)</v>
      </c>
    </row>
    <row r="61540" customFormat="false" ht="12.8" hidden="false" customHeight="false" outlineLevel="0" collapsed="false">
      <c r="B61540" s="0" t="s">
        <v>7</v>
      </c>
      <c r="C61540" s="0" t="s">
        <v>21130</v>
      </c>
      <c r="D61540" s="0" t="s">
        <v>7297</v>
      </c>
      <c r="E61540" s="0" t="s">
        <v>7297</v>
      </c>
      <c r="F61540" s="0" t="s">
        <v>7297</v>
      </c>
    </row>
    <row r="61541" customFormat="false" ht="12.8" hidden="false" customHeight="false" outlineLevel="0" collapsed="false">
      <c r="B61541" s="0" t="s">
        <v>14</v>
      </c>
      <c r="C61541" s="0" t="s">
        <v>21131</v>
      </c>
      <c r="D61541" s="0" t="s">
        <v>18030</v>
      </c>
      <c r="E61541" s="0" t="s">
        <v>18030</v>
      </c>
      <c r="F61541" s="0" t="s">
        <v>18030</v>
      </c>
    </row>
    <row r="61542" customFormat="false" ht="12.8" hidden="false" customHeight="false" outlineLevel="0" collapsed="false">
      <c r="B61542" s="0" t="s">
        <v>459</v>
      </c>
      <c r="D61542" s="0" t="s">
        <v>1569</v>
      </c>
      <c r="E61542" s="0" t="s">
        <v>1569</v>
      </c>
      <c r="F61542" s="0" t="s">
        <v>1569</v>
      </c>
    </row>
    <row r="61544" customFormat="false" ht="12.8" hidden="false" customHeight="false" outlineLevel="0" collapsed="false">
      <c r="A61544" s="0" t="s">
        <v>21132</v>
      </c>
      <c r="B61544" s="0" t="str">
        <f aca="false">HYPERLINK("https://lindat.mff.cuni.cz/services/teitok/pdtc10/index.php?action=vallex&amp;frame=v-w8319hsa_756", "vyřadit (v-w8319hsa_756)")</f>
        <v>vyřadit (v-w8319hsa_756)</v>
      </c>
    </row>
    <row r="61545" customFormat="false" ht="12.8" hidden="false" customHeight="false" outlineLevel="0" collapsed="false">
      <c r="B61545" s="0" t="s">
        <v>7</v>
      </c>
      <c r="C61545" s="0" t="s">
        <v>184</v>
      </c>
      <c r="D61545" s="0" t="s">
        <v>10527</v>
      </c>
      <c r="E61545" s="0" t="s">
        <v>10527</v>
      </c>
      <c r="F61545" s="0" t="s">
        <v>10527</v>
      </c>
    </row>
    <row r="61546" customFormat="false" ht="12.8" hidden="false" customHeight="false" outlineLevel="0" collapsed="false">
      <c r="B61546" s="0" t="s">
        <v>14</v>
      </c>
      <c r="C61546" s="0" t="s">
        <v>1405</v>
      </c>
      <c r="D61546" s="0" t="s">
        <v>1720</v>
      </c>
      <c r="E61546" s="0" t="s">
        <v>1720</v>
      </c>
      <c r="F61546" s="0" t="s">
        <v>1720</v>
      </c>
    </row>
    <row r="61547" customFormat="false" ht="12.8" hidden="false" customHeight="false" outlineLevel="0" collapsed="false">
      <c r="B61547" s="0" t="s">
        <v>2316</v>
      </c>
    </row>
    <row r="61549" customFormat="false" ht="12.8" hidden="false" customHeight="false" outlineLevel="0" collapsed="false">
      <c r="A61549" s="0" t="s">
        <v>21133</v>
      </c>
      <c r="B61549" s="0" t="str">
        <f aca="false">HYPERLINK("https://lindat.mff.cuni.cz/services/teitok/pdtc10/index.php?action=vallex&amp;frame=v-w8321f1", "vyřazovat (v-w8321f1)")</f>
        <v>vyřazovat (v-w8321f1)</v>
      </c>
    </row>
    <row r="61550" customFormat="false" ht="12.8" hidden="false" customHeight="false" outlineLevel="0" collapsed="false">
      <c r="B61550" s="0" t="s">
        <v>7</v>
      </c>
      <c r="C61550" s="0" t="s">
        <v>31</v>
      </c>
      <c r="D61550" s="0" t="s">
        <v>1567</v>
      </c>
      <c r="E61550" s="0" t="s">
        <v>1567</v>
      </c>
      <c r="F61550" s="0" t="s">
        <v>1567</v>
      </c>
    </row>
    <row r="61551" customFormat="false" ht="12.8" hidden="false" customHeight="false" outlineLevel="0" collapsed="false">
      <c r="B61551" s="0" t="s">
        <v>14</v>
      </c>
      <c r="C61551" s="0" t="s">
        <v>1264</v>
      </c>
      <c r="D61551" s="0" t="s">
        <v>1568</v>
      </c>
      <c r="E61551" s="0" t="s">
        <v>1568</v>
      </c>
      <c r="F61551" s="0" t="s">
        <v>1568</v>
      </c>
    </row>
    <row r="61552" customFormat="false" ht="12.8" hidden="false" customHeight="false" outlineLevel="0" collapsed="false">
      <c r="B61552" s="0" t="s">
        <v>459</v>
      </c>
      <c r="D61552" s="0" t="s">
        <v>1569</v>
      </c>
      <c r="E61552" s="0" t="s">
        <v>1569</v>
      </c>
      <c r="F61552" s="0" t="s">
        <v>1569</v>
      </c>
    </row>
    <row r="61554" customFormat="false" ht="12.8" hidden="false" customHeight="false" outlineLevel="0" collapsed="false">
      <c r="A61554" s="0" t="s">
        <v>21134</v>
      </c>
      <c r="B61554" s="0" t="str">
        <f aca="false">HYPERLINK("https://lindat.mff.cuni.cz/services/teitok/pdtc10/index.php?action=vallex&amp;frame=v-w8324f1", "vyřezat (v-w8324f1)")</f>
        <v>vyřezat (v-w8324f1)</v>
      </c>
    </row>
    <row r="61555" customFormat="false" ht="12.8" hidden="false" customHeight="false" outlineLevel="0" collapsed="false">
      <c r="B61555" s="0" t="s">
        <v>7</v>
      </c>
    </row>
    <row r="61556" customFormat="false" ht="12.8" hidden="false" customHeight="false" outlineLevel="0" collapsed="false">
      <c r="B61556" s="0" t="s">
        <v>14</v>
      </c>
    </row>
    <row r="61558" customFormat="false" ht="12.8" hidden="false" customHeight="false" outlineLevel="0" collapsed="false">
      <c r="A61558" s="0" t="s">
        <v>21135</v>
      </c>
      <c r="B61558" s="0" t="str">
        <f aca="false">HYPERLINK("https://lindat.mff.cuni.cz/services/teitok/pdtc10/index.php?action=vallex&amp;frame=v-whsa_1795f1_ZU", "vyřezávat (v-whsa_1795f1_ZU)")</f>
        <v>vyřezávat (v-whsa_1795f1_ZU)</v>
      </c>
    </row>
    <row r="61559" customFormat="false" ht="12.8" hidden="false" customHeight="false" outlineLevel="0" collapsed="false">
      <c r="B61559" s="0" t="s">
        <v>7</v>
      </c>
    </row>
    <row r="61560" customFormat="false" ht="12.8" hidden="false" customHeight="false" outlineLevel="0" collapsed="false">
      <c r="B61560" s="0" t="s">
        <v>14</v>
      </c>
    </row>
    <row r="61561" customFormat="false" ht="12.8" hidden="false" customHeight="false" outlineLevel="0" collapsed="false">
      <c r="B61561" s="0" t="s">
        <v>35</v>
      </c>
    </row>
    <row r="61563" customFormat="false" ht="12.8" hidden="false" customHeight="false" outlineLevel="0" collapsed="false">
      <c r="A61563" s="0" t="s">
        <v>21135</v>
      </c>
      <c r="B61563" s="0" t="str">
        <f aca="false">HYPERLINK("https://lindat.mff.cuni.cz/services/teitok/pdtc10/index.php?action=vallex&amp;frame=v-whsa_1795hsa_1796", "vyřezávat (v-whsa_1795hsa_1796) - substituted with v-whsa_1795f1_ZU")</f>
        <v>vyřezávat (v-whsa_1795hsa_1796) - substituted with v-whsa_1795f1_ZU</v>
      </c>
    </row>
    <row r="61564" customFormat="false" ht="12.8" hidden="false" customHeight="false" outlineLevel="0" collapsed="false">
      <c r="B61564" s="0" t="s">
        <v>7</v>
      </c>
    </row>
    <row r="61565" customFormat="false" ht="12.8" hidden="false" customHeight="false" outlineLevel="0" collapsed="false">
      <c r="B61565" s="0" t="s">
        <v>14</v>
      </c>
    </row>
    <row r="61566" customFormat="false" ht="12.8" hidden="false" customHeight="false" outlineLevel="0" collapsed="false">
      <c r="B61566" s="0" t="s">
        <v>35</v>
      </c>
    </row>
    <row r="61568" customFormat="false" ht="12.8" hidden="false" customHeight="false" outlineLevel="0" collapsed="false">
      <c r="A61568" s="0" t="s">
        <v>21136</v>
      </c>
      <c r="B61568" s="0" t="str">
        <f aca="false">HYPERLINK("https://lindat.mff.cuni.cz/services/teitok/pdtc10/index.php?action=vallex&amp;frame=v-whsa_1795f2_ZU", "vyřezávat (v-whsa_1795f2_ZU)")</f>
        <v>vyřezávat (v-whsa_1795f2_ZU)</v>
      </c>
    </row>
    <row r="61569" customFormat="false" ht="12.8" hidden="false" customHeight="false" outlineLevel="0" collapsed="false">
      <c r="B61569" s="0" t="s">
        <v>7</v>
      </c>
    </row>
    <row r="61570" customFormat="false" ht="12.8" hidden="false" customHeight="false" outlineLevel="0" collapsed="false">
      <c r="B61570" s="0" t="s">
        <v>14</v>
      </c>
    </row>
    <row r="61571" customFormat="false" ht="12.8" hidden="false" customHeight="false" outlineLevel="0" collapsed="false">
      <c r="B61571" s="0" t="s">
        <v>5382</v>
      </c>
    </row>
    <row r="61573" customFormat="false" ht="12.8" hidden="false" customHeight="false" outlineLevel="0" collapsed="false">
      <c r="A61573" s="0" t="s">
        <v>21137</v>
      </c>
      <c r="B61573" s="0" t="str">
        <f aca="false">HYPERLINK("https://lindat.mff.cuni.cz/services/teitok/pdtc10/index.php?action=vallex&amp;frame=v-w8323f1", "vyřešit (v-w8323f1)")</f>
        <v>vyřešit (v-w8323f1)</v>
      </c>
    </row>
    <row r="61574" customFormat="false" ht="12.8" hidden="false" customHeight="false" outlineLevel="0" collapsed="false">
      <c r="B61574" s="0" t="s">
        <v>7</v>
      </c>
      <c r="C61574" s="0" t="s">
        <v>21138</v>
      </c>
      <c r="D61574" s="0" t="s">
        <v>2737</v>
      </c>
      <c r="E61574" s="0" t="s">
        <v>2737</v>
      </c>
      <c r="F61574" s="0" t="s">
        <v>2737</v>
      </c>
    </row>
    <row r="61575" customFormat="false" ht="12.8" hidden="false" customHeight="false" outlineLevel="0" collapsed="false">
      <c r="B61575" s="0" t="s">
        <v>2030</v>
      </c>
      <c r="C61575" s="0" t="s">
        <v>21139</v>
      </c>
      <c r="D61575" s="0" t="s">
        <v>2740</v>
      </c>
      <c r="E61575" s="0" t="s">
        <v>2740</v>
      </c>
      <c r="F61575" s="0" t="s">
        <v>2740</v>
      </c>
    </row>
    <row r="61577" customFormat="false" ht="12.8" hidden="false" customHeight="false" outlineLevel="0" collapsed="false">
      <c r="A61577" s="0" t="s">
        <v>21140</v>
      </c>
      <c r="B61577" s="0" t="str">
        <f aca="false">HYPERLINK("https://lindat.mff.cuni.cz/services/teitok/pdtc10/index.php?action=vallex&amp;frame=v-w8323f2", "vyřešit (v-w8323f2)")</f>
        <v>vyřešit (v-w8323f2)</v>
      </c>
    </row>
    <row r="61578" customFormat="false" ht="12.8" hidden="false" customHeight="false" outlineLevel="0" collapsed="false">
      <c r="B61578" s="0" t="s">
        <v>7</v>
      </c>
    </row>
    <row r="61579" customFormat="false" ht="12.8" hidden="false" customHeight="false" outlineLevel="0" collapsed="false">
      <c r="B61579" s="0" t="s">
        <v>14</v>
      </c>
    </row>
    <row r="61581" customFormat="false" ht="12.8" hidden="false" customHeight="false" outlineLevel="0" collapsed="false">
      <c r="A61581" s="0" t="s">
        <v>21141</v>
      </c>
      <c r="B61581" s="0" t="str">
        <f aca="false">HYPERLINK("https://lindat.mff.cuni.cz/services/teitok/pdtc10/index.php?action=vallex&amp;frame=v-w8331f4", "vyřizovat (v-w8331f4)")</f>
        <v>vyřizovat (v-w8331f4)</v>
      </c>
    </row>
    <row r="61582" customFormat="false" ht="12.8" hidden="false" customHeight="false" outlineLevel="0" collapsed="false">
      <c r="B61582" s="0" t="s">
        <v>7</v>
      </c>
      <c r="F61582" s="0" t="s">
        <v>4783</v>
      </c>
    </row>
    <row r="61583" customFormat="false" ht="12.8" hidden="false" customHeight="false" outlineLevel="0" collapsed="false">
      <c r="B61583" s="0" t="s">
        <v>367</v>
      </c>
    </row>
    <row r="61584" customFormat="false" ht="12.8" hidden="false" customHeight="false" outlineLevel="0" collapsed="false">
      <c r="B61584" s="0" t="s">
        <v>48</v>
      </c>
      <c r="F61584" s="0" t="s">
        <v>7789</v>
      </c>
    </row>
    <row r="61586" customFormat="false" ht="12.8" hidden="false" customHeight="false" outlineLevel="0" collapsed="false">
      <c r="A61586" s="0" t="s">
        <v>21142</v>
      </c>
      <c r="B61586" s="0" t="str">
        <f aca="false">HYPERLINK("https://lindat.mff.cuni.cz/services/teitok/pdtc10/index.php?action=vallex&amp;frame=v-w8331f3", "vyřizovat (v-w8331f3)")</f>
        <v>vyřizovat (v-w8331f3)</v>
      </c>
    </row>
    <row r="61587" customFormat="false" ht="12.8" hidden="false" customHeight="false" outlineLevel="0" collapsed="false">
      <c r="B61587" s="0" t="s">
        <v>7</v>
      </c>
    </row>
    <row r="61588" customFormat="false" ht="12.8" hidden="false" customHeight="false" outlineLevel="0" collapsed="false">
      <c r="B61588" s="0" t="s">
        <v>14</v>
      </c>
    </row>
    <row r="61589" customFormat="false" ht="12.8" hidden="false" customHeight="false" outlineLevel="0" collapsed="false">
      <c r="B61589" s="0" t="s">
        <v>207</v>
      </c>
    </row>
    <row r="61591" customFormat="false" ht="12.8" hidden="false" customHeight="false" outlineLevel="0" collapsed="false">
      <c r="A61591" s="0" t="s">
        <v>21143</v>
      </c>
      <c r="B61591" s="0" t="str">
        <f aca="false">HYPERLINK("https://lindat.mff.cuni.cz/services/teitok/pdtc10/index.php?action=vallex&amp;frame=v-w8331f1", "vyřizovat (v-w8331f1)")</f>
        <v>vyřizovat (v-w8331f1)</v>
      </c>
    </row>
    <row r="61592" customFormat="false" ht="12.8" hidden="false" customHeight="false" outlineLevel="0" collapsed="false">
      <c r="B61592" s="0" t="s">
        <v>7</v>
      </c>
      <c r="C61592" s="0" t="s">
        <v>5236</v>
      </c>
      <c r="D61592" s="0" t="s">
        <v>9491</v>
      </c>
      <c r="E61592" s="0" t="s">
        <v>9491</v>
      </c>
      <c r="F61592" s="0" t="s">
        <v>9491</v>
      </c>
    </row>
    <row r="61593" customFormat="false" ht="12.8" hidden="false" customHeight="false" outlineLevel="0" collapsed="false">
      <c r="B61593" s="0" t="s">
        <v>54</v>
      </c>
      <c r="C61593" s="0" t="s">
        <v>17072</v>
      </c>
      <c r="D61593" s="0" t="s">
        <v>9492</v>
      </c>
      <c r="E61593" s="0" t="s">
        <v>9492</v>
      </c>
      <c r="F61593" s="0" t="s">
        <v>9492</v>
      </c>
    </row>
    <row r="61595" customFormat="false" ht="12.8" hidden="false" customHeight="false" outlineLevel="0" collapsed="false">
      <c r="A61595" s="0" t="s">
        <v>21144</v>
      </c>
      <c r="B61595" s="0" t="str">
        <f aca="false">HYPERLINK("https://lindat.mff.cuni.cz/services/teitok/pdtc10/index.php?action=vallex&amp;frame=v-w8331f2", "vyřizovat (v-w8331f2)")</f>
        <v>vyřizovat (v-w8331f2)</v>
      </c>
    </row>
    <row r="61596" customFormat="false" ht="12.8" hidden="false" customHeight="false" outlineLevel="0" collapsed="false">
      <c r="B61596" s="0" t="s">
        <v>7</v>
      </c>
    </row>
    <row r="61597" customFormat="false" ht="12.8" hidden="false" customHeight="false" outlineLevel="0" collapsed="false">
      <c r="B61597" s="0" t="s">
        <v>21145</v>
      </c>
    </row>
    <row r="61598" customFormat="false" ht="12.8" hidden="false" customHeight="false" outlineLevel="0" collapsed="false">
      <c r="B61598" s="0" t="s">
        <v>548</v>
      </c>
    </row>
    <row r="61600" customFormat="false" ht="12.8" hidden="false" customHeight="false" outlineLevel="0" collapsed="false">
      <c r="A61600" s="0" t="s">
        <v>21146</v>
      </c>
      <c r="B61600" s="0" t="str">
        <f aca="false">HYPERLINK("https://lindat.mff.cuni.cz/services/teitok/pdtc10/index.php?action=vallex&amp;frame=v-w8332f1", "vyřknout (v-w8332f1)")</f>
        <v>vyřknout (v-w8332f1)</v>
      </c>
    </row>
    <row r="61601" customFormat="false" ht="12.8" hidden="false" customHeight="false" outlineLevel="0" collapsed="false">
      <c r="B61601" s="0" t="s">
        <v>7</v>
      </c>
      <c r="C61601" s="0" t="s">
        <v>354</v>
      </c>
      <c r="D61601" s="0" t="s">
        <v>1386</v>
      </c>
      <c r="E61601" s="0" t="s">
        <v>4677</v>
      </c>
      <c r="F61601" s="0" t="s">
        <v>4677</v>
      </c>
    </row>
    <row r="61602" customFormat="false" ht="12.8" hidden="false" customHeight="false" outlineLevel="0" collapsed="false">
      <c r="B61602" s="0" t="s">
        <v>19821</v>
      </c>
      <c r="C61602" s="0" t="s">
        <v>21147</v>
      </c>
      <c r="D61602" s="0" t="s">
        <v>1388</v>
      </c>
      <c r="E61602" s="0" t="s">
        <v>21148</v>
      </c>
      <c r="F61602" s="0" t="s">
        <v>21148</v>
      </c>
    </row>
    <row r="61604" customFormat="false" ht="12.8" hidden="false" customHeight="false" outlineLevel="0" collapsed="false">
      <c r="A61604" s="0" t="s">
        <v>21149</v>
      </c>
      <c r="B61604" s="0" t="str">
        <f aca="false">HYPERLINK("https://lindat.mff.cuni.cz/services/teitok/pdtc10/index.php?action=vallex&amp;frame=v-w10796f2", "vyřvávat (v-w10796f2)")</f>
        <v>vyřvávat (v-w10796f2)</v>
      </c>
    </row>
    <row r="61605" customFormat="false" ht="12.8" hidden="false" customHeight="false" outlineLevel="0" collapsed="false">
      <c r="B61605" s="0" t="s">
        <v>7</v>
      </c>
    </row>
    <row r="61606" customFormat="false" ht="12.8" hidden="false" customHeight="false" outlineLevel="0" collapsed="false">
      <c r="B61606" s="0" t="s">
        <v>5518</v>
      </c>
    </row>
    <row r="61607" customFormat="false" ht="12.8" hidden="false" customHeight="false" outlineLevel="0" collapsed="false">
      <c r="B61607" s="0" t="s">
        <v>363</v>
      </c>
    </row>
    <row r="61609" customFormat="false" ht="12.8" hidden="false" customHeight="false" outlineLevel="0" collapsed="false">
      <c r="A61609" s="0" t="s">
        <v>21150</v>
      </c>
      <c r="B61609" s="0" t="str">
        <f aca="false">HYPERLINK("https://lindat.mff.cuni.cz/services/teitok/pdtc10/index.php?action=vallex&amp;frame=v-whsa_1297hsa_1298", "vyřádit se (v-whsa_1297hsa_1298)")</f>
        <v>vyřádit se (v-whsa_1297hsa_1298)</v>
      </c>
    </row>
    <row r="61610" customFormat="false" ht="12.8" hidden="false" customHeight="false" outlineLevel="0" collapsed="false">
      <c r="B61610" s="0" t="s">
        <v>7</v>
      </c>
    </row>
    <row r="61612" customFormat="false" ht="12.8" hidden="false" customHeight="false" outlineLevel="0" collapsed="false">
      <c r="A61612" s="0" t="s">
        <v>21151</v>
      </c>
      <c r="B61612" s="0" t="str">
        <f aca="false">HYPERLINK("https://lindat.mff.cuni.cz/services/teitok/pdtc10/index.php?action=vallex&amp;frame=v-w8325f3", "vyřídit (v-w8325f3)")</f>
        <v>vyřídit (v-w8325f3)</v>
      </c>
    </row>
    <row r="61613" customFormat="false" ht="12.8" hidden="false" customHeight="false" outlineLevel="0" collapsed="false">
      <c r="B61613" s="0" t="s">
        <v>7</v>
      </c>
      <c r="F61613" s="0" t="s">
        <v>4783</v>
      </c>
    </row>
    <row r="61614" customFormat="false" ht="12.8" hidden="false" customHeight="false" outlineLevel="0" collapsed="false">
      <c r="B61614" s="0" t="s">
        <v>367</v>
      </c>
    </row>
    <row r="61615" customFormat="false" ht="12.8" hidden="false" customHeight="false" outlineLevel="0" collapsed="false">
      <c r="B61615" s="0" t="s">
        <v>48</v>
      </c>
      <c r="F61615" s="0" t="s">
        <v>7789</v>
      </c>
    </row>
    <row r="61617" customFormat="false" ht="12.8" hidden="false" customHeight="false" outlineLevel="0" collapsed="false">
      <c r="A61617" s="0" t="s">
        <v>21152</v>
      </c>
      <c r="B61617" s="0" t="str">
        <f aca="false">HYPERLINK("https://lindat.mff.cuni.cz/services/teitok/pdtc10/index.php?action=vallex&amp;frame=v-w8325f4", "vyřídit (v-w8325f4)")</f>
        <v>vyřídit (v-w8325f4)</v>
      </c>
    </row>
    <row r="61618" customFormat="false" ht="12.8" hidden="false" customHeight="false" outlineLevel="0" collapsed="false">
      <c r="B61618" s="0" t="s">
        <v>7</v>
      </c>
    </row>
    <row r="61619" customFormat="false" ht="12.8" hidden="false" customHeight="false" outlineLevel="0" collapsed="false">
      <c r="B61619" s="0" t="s">
        <v>14</v>
      </c>
    </row>
    <row r="61620" customFormat="false" ht="12.8" hidden="false" customHeight="false" outlineLevel="0" collapsed="false">
      <c r="B61620" s="0" t="s">
        <v>207</v>
      </c>
    </row>
    <row r="61622" customFormat="false" ht="12.8" hidden="false" customHeight="false" outlineLevel="0" collapsed="false">
      <c r="A61622" s="0" t="s">
        <v>21153</v>
      </c>
      <c r="B61622" s="0" t="str">
        <f aca="false">HYPERLINK("https://lindat.mff.cuni.cz/services/teitok/pdtc10/index.php?action=vallex&amp;frame=v-w8325f1", "vyřídit (v-w8325f1)")</f>
        <v>vyřídit (v-w8325f1)</v>
      </c>
    </row>
    <row r="61623" customFormat="false" ht="12.8" hidden="false" customHeight="false" outlineLevel="0" collapsed="false">
      <c r="B61623" s="0" t="s">
        <v>7</v>
      </c>
      <c r="C61623" s="0" t="s">
        <v>21154</v>
      </c>
      <c r="D61623" s="0" t="s">
        <v>9491</v>
      </c>
      <c r="E61623" s="0" t="s">
        <v>9491</v>
      </c>
      <c r="F61623" s="0" t="s">
        <v>9491</v>
      </c>
    </row>
    <row r="61624" customFormat="false" ht="12.8" hidden="false" customHeight="false" outlineLevel="0" collapsed="false">
      <c r="B61624" s="0" t="s">
        <v>54</v>
      </c>
      <c r="C61624" s="0" t="s">
        <v>7201</v>
      </c>
      <c r="D61624" s="0" t="s">
        <v>9492</v>
      </c>
      <c r="E61624" s="0" t="s">
        <v>9492</v>
      </c>
      <c r="F61624" s="0" t="s">
        <v>9492</v>
      </c>
    </row>
    <row r="61626" customFormat="false" ht="12.8" hidden="false" customHeight="false" outlineLevel="0" collapsed="false">
      <c r="A61626" s="0" t="s">
        <v>21155</v>
      </c>
      <c r="B61626" s="0" t="str">
        <f aca="false">HYPERLINK("https://lindat.mff.cuni.cz/services/teitok/pdtc10/index.php?action=vallex&amp;frame=v-w8325f2", "vyřídit (v-w8325f2)")</f>
        <v>vyřídit (v-w8325f2)</v>
      </c>
    </row>
    <row r="61627" customFormat="false" ht="12.8" hidden="false" customHeight="false" outlineLevel="0" collapsed="false">
      <c r="B61627" s="0" t="s">
        <v>7</v>
      </c>
      <c r="C61627" s="0" t="s">
        <v>504</v>
      </c>
    </row>
    <row r="61628" customFormat="false" ht="12.8" hidden="false" customHeight="false" outlineLevel="0" collapsed="false">
      <c r="B61628" s="0" t="s">
        <v>14</v>
      </c>
      <c r="C61628" s="0" t="s">
        <v>44</v>
      </c>
    </row>
    <row r="61630" customFormat="false" ht="12.8" hidden="false" customHeight="false" outlineLevel="0" collapsed="false">
      <c r="A61630" s="0" t="s">
        <v>21156</v>
      </c>
      <c r="B61630" s="0" t="str">
        <f aca="false">HYPERLINK("https://lindat.mff.cuni.cz/services/teitok/pdtc10/index.php?action=vallex&amp;frame=v-w8326f1", "vyřídit si (v-w8326f1)")</f>
        <v>vyřídit si (v-w8326f1)</v>
      </c>
    </row>
    <row r="61631" customFormat="false" ht="12.8" hidden="false" customHeight="false" outlineLevel="0" collapsed="false">
      <c r="B61631" s="0" t="s">
        <v>7</v>
      </c>
      <c r="D61631" s="0" t="s">
        <v>11779</v>
      </c>
      <c r="E61631" s="0" t="s">
        <v>11779</v>
      </c>
      <c r="F61631" s="0" t="s">
        <v>11779</v>
      </c>
    </row>
    <row r="61632" customFormat="false" ht="12.8" hidden="false" customHeight="false" outlineLevel="0" collapsed="false">
      <c r="B61632" s="0" t="s">
        <v>172</v>
      </c>
      <c r="D61632" s="0" t="s">
        <v>16406</v>
      </c>
      <c r="E61632" s="0" t="s">
        <v>16406</v>
      </c>
      <c r="F61632" s="0" t="s">
        <v>16406</v>
      </c>
    </row>
    <row r="61633" customFormat="false" ht="12.8" hidden="false" customHeight="false" outlineLevel="0" collapsed="false">
      <c r="B61633" s="0" t="s">
        <v>207</v>
      </c>
      <c r="D61633" s="0" t="s">
        <v>20267</v>
      </c>
      <c r="E61633" s="0" t="s">
        <v>20267</v>
      </c>
      <c r="F61633" s="0" t="s">
        <v>20267</v>
      </c>
    </row>
    <row r="61635" customFormat="false" ht="12.8" hidden="false" customHeight="false" outlineLevel="0" collapsed="false">
      <c r="A61635" s="0" t="s">
        <v>21157</v>
      </c>
      <c r="B61635" s="0" t="str">
        <f aca="false">HYPERLINK("https://lindat.mff.cuni.cz/services/teitok/pdtc10/index.php?action=vallex&amp;frame=v-w8327f1", "vyříkat si (v-w8327f1)")</f>
        <v>vyříkat si (v-w8327f1)</v>
      </c>
    </row>
    <row r="61636" customFormat="false" ht="12.8" hidden="false" customHeight="false" outlineLevel="0" collapsed="false">
      <c r="B61636" s="0" t="s">
        <v>7</v>
      </c>
      <c r="D61636" s="0" t="s">
        <v>11779</v>
      </c>
      <c r="E61636" s="0" t="s">
        <v>11779</v>
      </c>
      <c r="F61636" s="0" t="s">
        <v>11779</v>
      </c>
    </row>
    <row r="61637" customFormat="false" ht="12.8" hidden="false" customHeight="false" outlineLevel="0" collapsed="false">
      <c r="B61637" s="0" t="s">
        <v>172</v>
      </c>
      <c r="D61637" s="0" t="s">
        <v>16406</v>
      </c>
      <c r="E61637" s="0" t="s">
        <v>16406</v>
      </c>
      <c r="F61637" s="0" t="s">
        <v>16406</v>
      </c>
    </row>
    <row r="61638" customFormat="false" ht="12.8" hidden="false" customHeight="false" outlineLevel="0" collapsed="false">
      <c r="B61638" s="0" t="s">
        <v>207</v>
      </c>
      <c r="D61638" s="0" t="s">
        <v>20267</v>
      </c>
      <c r="E61638" s="0" t="s">
        <v>20267</v>
      </c>
      <c r="F61638" s="0" t="s">
        <v>20267</v>
      </c>
    </row>
    <row r="61640" customFormat="false" ht="12.8" hidden="false" customHeight="false" outlineLevel="0" collapsed="false">
      <c r="A61640" s="0" t="s">
        <v>21158</v>
      </c>
      <c r="B61640" s="0" t="str">
        <f aca="false">HYPERLINK("https://lindat.mff.cuni.cz/services/teitok/pdtc10/index.php?action=vallex&amp;frame=v-w8329f1", "vyříznout (v-w8329f1)")</f>
        <v>vyříznout (v-w8329f1)</v>
      </c>
    </row>
    <row r="61641" customFormat="false" ht="12.8" hidden="false" customHeight="false" outlineLevel="0" collapsed="false">
      <c r="B61641" s="0" t="s">
        <v>7</v>
      </c>
    </row>
    <row r="61642" customFormat="false" ht="12.8" hidden="false" customHeight="false" outlineLevel="0" collapsed="false">
      <c r="B61642" s="0" t="s">
        <v>14</v>
      </c>
    </row>
    <row r="61643" customFormat="false" ht="12.8" hidden="false" customHeight="false" outlineLevel="0" collapsed="false">
      <c r="B61643" s="0" t="s">
        <v>459</v>
      </c>
    </row>
    <row r="61645" customFormat="false" ht="12.8" hidden="false" customHeight="false" outlineLevel="0" collapsed="false">
      <c r="A61645" s="0" t="s">
        <v>21159</v>
      </c>
      <c r="B61645" s="0" t="str">
        <f aca="false">HYPERLINK("https://lindat.mff.cuni.cz/services/teitok/pdtc10/index.php?action=vallex&amp;frame=v-w8432f1", "vyšachovat (v-w8432f1)")</f>
        <v>vyšachovat (v-w8432f1)</v>
      </c>
    </row>
    <row r="61646" customFormat="false" ht="12.8" hidden="false" customHeight="false" outlineLevel="0" collapsed="false">
      <c r="B61646" s="0" t="s">
        <v>7</v>
      </c>
    </row>
    <row r="61647" customFormat="false" ht="12.8" hidden="false" customHeight="false" outlineLevel="0" collapsed="false">
      <c r="B61647" s="0" t="s">
        <v>14</v>
      </c>
    </row>
    <row r="61649" customFormat="false" ht="12.8" hidden="false" customHeight="false" outlineLevel="0" collapsed="false">
      <c r="A61649" s="0" t="s">
        <v>21160</v>
      </c>
      <c r="B61649" s="0" t="str">
        <f aca="false">HYPERLINK("https://lindat.mff.cuni.cz/services/teitok/pdtc10/index.php?action=vallex&amp;frame=v-w8435f1", "vyšetřit (v-w8435f1)")</f>
        <v>vyšetřit (v-w8435f1)</v>
      </c>
    </row>
    <row r="61650" customFormat="false" ht="12.8" hidden="false" customHeight="false" outlineLevel="0" collapsed="false">
      <c r="B61650" s="0" t="s">
        <v>7</v>
      </c>
      <c r="C61650" s="0" t="s">
        <v>504</v>
      </c>
    </row>
    <row r="61651" customFormat="false" ht="12.8" hidden="false" customHeight="false" outlineLevel="0" collapsed="false">
      <c r="B61651" s="0" t="s">
        <v>2030</v>
      </c>
      <c r="C61651" s="0" t="s">
        <v>1146</v>
      </c>
    </row>
    <row r="61653" customFormat="false" ht="12.8" hidden="false" customHeight="false" outlineLevel="0" collapsed="false">
      <c r="A61653" s="0" t="s">
        <v>21161</v>
      </c>
      <c r="B61653" s="0" t="str">
        <f aca="false">HYPERLINK("https://lindat.mff.cuni.cz/services/teitok/pdtc10/index.php?action=vallex&amp;frame=v-w8435f2", "vyšetřit (v-w8435f2)")</f>
        <v>vyšetřit (v-w8435f2)</v>
      </c>
    </row>
    <row r="61654" customFormat="false" ht="12.8" hidden="false" customHeight="false" outlineLevel="0" collapsed="false">
      <c r="B61654" s="0" t="s">
        <v>7</v>
      </c>
      <c r="C61654" s="0" t="s">
        <v>504</v>
      </c>
    </row>
    <row r="61655" customFormat="false" ht="12.8" hidden="false" customHeight="false" outlineLevel="0" collapsed="false">
      <c r="B61655" s="0" t="s">
        <v>2030</v>
      </c>
      <c r="C61655" s="0" t="s">
        <v>1146</v>
      </c>
    </row>
    <row r="61657" customFormat="false" ht="12.8" hidden="false" customHeight="false" outlineLevel="0" collapsed="false">
      <c r="A61657" s="0" t="s">
        <v>21162</v>
      </c>
      <c r="B61657" s="0" t="str">
        <f aca="false">HYPERLINK("https://lindat.mff.cuni.cz/services/teitok/pdtc10/index.php?action=vallex&amp;frame=v-w11948_ZUf1_ZU", "vyšetřit si (v-w11948_ZUf1_ZU)")</f>
        <v>vyšetřit si (v-w11948_ZUf1_ZU)</v>
      </c>
    </row>
    <row r="61658" customFormat="false" ht="12.8" hidden="false" customHeight="false" outlineLevel="0" collapsed="false">
      <c r="B61658" s="0" t="s">
        <v>7</v>
      </c>
    </row>
    <row r="61659" customFormat="false" ht="12.8" hidden="false" customHeight="false" outlineLevel="0" collapsed="false">
      <c r="B61659" s="0" t="s">
        <v>14</v>
      </c>
    </row>
    <row r="61661" customFormat="false" ht="12.8" hidden="false" customHeight="false" outlineLevel="0" collapsed="false">
      <c r="A61661" s="0" t="s">
        <v>21163</v>
      </c>
      <c r="B61661" s="0" t="str">
        <f aca="false">HYPERLINK("https://lindat.mff.cuni.cz/services/teitok/pdtc10/index.php?action=vallex&amp;frame=v-w8437f1", "vyšetřovat (v-w8437f1)")</f>
        <v>vyšetřovat (v-w8437f1)</v>
      </c>
    </row>
    <row r="61662" customFormat="false" ht="12.8" hidden="false" customHeight="false" outlineLevel="0" collapsed="false">
      <c r="B61662" s="0" t="s">
        <v>7</v>
      </c>
      <c r="C61662" s="0" t="s">
        <v>21164</v>
      </c>
      <c r="D61662" s="0" t="s">
        <v>92</v>
      </c>
      <c r="E61662" s="0" t="s">
        <v>92</v>
      </c>
      <c r="F61662" s="0" t="s">
        <v>92</v>
      </c>
    </row>
    <row r="61663" customFormat="false" ht="12.8" hidden="false" customHeight="false" outlineLevel="0" collapsed="false">
      <c r="B61663" s="0" t="s">
        <v>2030</v>
      </c>
      <c r="C61663" s="0" t="s">
        <v>21165</v>
      </c>
      <c r="D61663" s="0" t="s">
        <v>95</v>
      </c>
      <c r="E61663" s="0" t="s">
        <v>95</v>
      </c>
      <c r="F61663" s="0" t="s">
        <v>95</v>
      </c>
    </row>
    <row r="61665" customFormat="false" ht="12.8" hidden="false" customHeight="false" outlineLevel="0" collapsed="false">
      <c r="A61665" s="0" t="s">
        <v>21166</v>
      </c>
      <c r="B61665" s="0" t="str">
        <f aca="false">HYPERLINK("https://lindat.mff.cuni.cz/services/teitok/pdtc10/index.php?action=vallex&amp;frame=v-w8437hsa_746", "vyšetřovat (v-w8437hsa_746)")</f>
        <v>vyšetřovat (v-w8437hsa_746)</v>
      </c>
    </row>
    <row r="61666" customFormat="false" ht="12.8" hidden="false" customHeight="false" outlineLevel="0" collapsed="false">
      <c r="B61666" s="0" t="s">
        <v>7</v>
      </c>
      <c r="C61666" s="0" t="s">
        <v>46</v>
      </c>
    </row>
    <row r="61667" customFormat="false" ht="12.8" hidden="false" customHeight="false" outlineLevel="0" collapsed="false">
      <c r="B61667" s="0" t="s">
        <v>14</v>
      </c>
      <c r="C61667" s="0" t="s">
        <v>33</v>
      </c>
    </row>
    <row r="61669" customFormat="false" ht="12.8" hidden="false" customHeight="false" outlineLevel="0" collapsed="false">
      <c r="A61669" s="0" t="s">
        <v>21167</v>
      </c>
      <c r="B61669" s="0" t="str">
        <f aca="false">HYPERLINK("https://lindat.mff.cuni.cz/services/teitok/pdtc10/index.php?action=vallex&amp;frame=v-w8439f1", "vyškemrat (v-w8439f1)")</f>
        <v>vyškemrat (v-w8439f1)</v>
      </c>
    </row>
    <row r="61670" customFormat="false" ht="12.8" hidden="false" customHeight="false" outlineLevel="0" collapsed="false">
      <c r="B61670" s="0" t="s">
        <v>7</v>
      </c>
    </row>
    <row r="61671" customFormat="false" ht="12.8" hidden="false" customHeight="false" outlineLevel="0" collapsed="false">
      <c r="B61671" s="0" t="s">
        <v>6839</v>
      </c>
    </row>
    <row r="61672" customFormat="false" ht="12.8" hidden="false" customHeight="false" outlineLevel="0" collapsed="false">
      <c r="B61672" s="0" t="s">
        <v>1668</v>
      </c>
    </row>
    <row r="61674" customFormat="false" ht="12.8" hidden="false" customHeight="false" outlineLevel="0" collapsed="false">
      <c r="A61674" s="0" t="s">
        <v>21168</v>
      </c>
      <c r="B61674" s="0" t="str">
        <f aca="false">HYPERLINK("https://lindat.mff.cuni.cz/services/teitok/pdtc10/index.php?action=vallex&amp;frame=v-w8441f1", "vyškolit (v-w8441f1)")</f>
        <v>vyškolit (v-w8441f1)</v>
      </c>
    </row>
    <row r="61675" customFormat="false" ht="12.8" hidden="false" customHeight="false" outlineLevel="0" collapsed="false">
      <c r="B61675" s="0" t="s">
        <v>7</v>
      </c>
      <c r="C61675" s="0" t="s">
        <v>46</v>
      </c>
      <c r="D61675" s="0" t="s">
        <v>8548</v>
      </c>
      <c r="E61675" s="0" t="s">
        <v>8548</v>
      </c>
      <c r="F61675" s="0" t="s">
        <v>8548</v>
      </c>
    </row>
    <row r="61676" customFormat="false" ht="12.8" hidden="false" customHeight="false" outlineLevel="0" collapsed="false">
      <c r="B61676" s="0" t="s">
        <v>14</v>
      </c>
      <c r="C61676" s="0" t="s">
        <v>4212</v>
      </c>
      <c r="D61676" s="0" t="s">
        <v>4212</v>
      </c>
      <c r="E61676" s="0" t="s">
        <v>4212</v>
      </c>
      <c r="F61676" s="0" t="s">
        <v>4212</v>
      </c>
    </row>
    <row r="61678" customFormat="false" ht="12.8" hidden="false" customHeight="false" outlineLevel="0" collapsed="false">
      <c r="A61678" s="0" t="s">
        <v>21169</v>
      </c>
      <c r="B61678" s="0" t="str">
        <f aca="false">HYPERLINK("https://lindat.mff.cuni.cz/services/teitok/pdtc10/index.php?action=vallex&amp;frame=v-w12140_ZUf1_ZU", "vyškrabat (v-w12140_ZUf1_ZU)")</f>
        <v>vyškrabat (v-w12140_ZUf1_ZU)</v>
      </c>
    </row>
    <row r="61679" customFormat="false" ht="12.8" hidden="false" customHeight="false" outlineLevel="0" collapsed="false">
      <c r="B61679" s="0" t="s">
        <v>7</v>
      </c>
    </row>
    <row r="61680" customFormat="false" ht="12.8" hidden="false" customHeight="false" outlineLevel="0" collapsed="false">
      <c r="B61680" s="0" t="s">
        <v>14</v>
      </c>
    </row>
    <row r="61682" customFormat="false" ht="12.8" hidden="false" customHeight="false" outlineLevel="0" collapsed="false">
      <c r="A61682" s="0" t="s">
        <v>21170</v>
      </c>
      <c r="B61682" s="0" t="str">
        <f aca="false">HYPERLINK("https://lindat.mff.cuni.cz/services/teitok/pdtc10/index.php?action=vallex&amp;frame=v-w12140_ZUf2_MM", "vyškrabat (v-w12140_ZUf2_MM)")</f>
        <v>vyškrabat (v-w12140_ZUf2_MM)</v>
      </c>
    </row>
    <row r="61683" customFormat="false" ht="12.8" hidden="false" customHeight="false" outlineLevel="0" collapsed="false">
      <c r="B61683" s="0" t="s">
        <v>7</v>
      </c>
    </row>
    <row r="61684" customFormat="false" ht="12.8" hidden="false" customHeight="false" outlineLevel="0" collapsed="false">
      <c r="B61684" s="0" t="s">
        <v>14</v>
      </c>
    </row>
    <row r="61685" customFormat="false" ht="12.8" hidden="false" customHeight="false" outlineLevel="0" collapsed="false">
      <c r="B61685" s="0" t="s">
        <v>459</v>
      </c>
    </row>
    <row r="61687" customFormat="false" ht="12.8" hidden="false" customHeight="false" outlineLevel="0" collapsed="false">
      <c r="A61687" s="0" t="s">
        <v>21171</v>
      </c>
      <c r="B61687" s="0" t="str">
        <f aca="false">HYPERLINK("https://lindat.mff.cuni.cz/services/teitok/pdtc10/index.php?action=vallex&amp;frame=v-w8442f1", "vyškrtnout (v-w8442f1)")</f>
        <v>vyškrtnout (v-w8442f1)</v>
      </c>
    </row>
    <row r="61688" customFormat="false" ht="12.8" hidden="false" customHeight="false" outlineLevel="0" collapsed="false">
      <c r="B61688" s="0" t="s">
        <v>7</v>
      </c>
      <c r="C61688" s="0" t="s">
        <v>468</v>
      </c>
      <c r="D61688" s="0" t="s">
        <v>88</v>
      </c>
      <c r="E61688" s="0" t="s">
        <v>88</v>
      </c>
      <c r="F61688" s="0" t="s">
        <v>88</v>
      </c>
    </row>
    <row r="61689" customFormat="false" ht="12.8" hidden="false" customHeight="false" outlineLevel="0" collapsed="false">
      <c r="B61689" s="0" t="s">
        <v>14</v>
      </c>
      <c r="C61689" s="0" t="s">
        <v>13604</v>
      </c>
      <c r="D61689" s="0" t="s">
        <v>3872</v>
      </c>
      <c r="E61689" s="0" t="s">
        <v>3872</v>
      </c>
      <c r="F61689" s="0" t="s">
        <v>3872</v>
      </c>
    </row>
    <row r="61690" customFormat="false" ht="12.8" hidden="false" customHeight="false" outlineLevel="0" collapsed="false">
      <c r="B61690" s="0" t="s">
        <v>459</v>
      </c>
      <c r="C61690" s="0" t="s">
        <v>21172</v>
      </c>
      <c r="D61690" s="0" t="s">
        <v>8533</v>
      </c>
      <c r="E61690" s="0" t="s">
        <v>8533</v>
      </c>
      <c r="F61690" s="0" t="s">
        <v>8533</v>
      </c>
    </row>
    <row r="61692" customFormat="false" ht="12.8" hidden="false" customHeight="false" outlineLevel="0" collapsed="false">
      <c r="A61692" s="0" t="s">
        <v>21173</v>
      </c>
      <c r="B61692" s="0" t="str">
        <f aca="false">HYPERLINK("https://lindat.mff.cuni.cz/services/teitok/pdtc10/index.php?action=vallex&amp;frame=v-w11991_ZUf1_ZU", "vyškrábat (v-w11991_ZUf1_ZU)")</f>
        <v>vyškrábat (v-w11991_ZUf1_ZU)</v>
      </c>
    </row>
    <row r="61693" customFormat="false" ht="12.8" hidden="false" customHeight="false" outlineLevel="0" collapsed="false">
      <c r="B61693" s="0" t="s">
        <v>7</v>
      </c>
    </row>
    <row r="61694" customFormat="false" ht="12.8" hidden="false" customHeight="false" outlineLevel="0" collapsed="false">
      <c r="B61694" s="0" t="s">
        <v>14</v>
      </c>
    </row>
    <row r="61696" customFormat="false" ht="12.8" hidden="false" customHeight="false" outlineLevel="0" collapsed="false">
      <c r="A61696" s="0" t="s">
        <v>21174</v>
      </c>
      <c r="B61696" s="0" t="str">
        <f aca="false">HYPERLINK("https://lindat.mff.cuni.cz/services/teitok/pdtc10/index.php?action=vallex&amp;frame=v-whsa_703hsa_704", "vyškrábat se (v-whsa_703hsa_704)")</f>
        <v>vyškrábat se (v-whsa_703hsa_704)</v>
      </c>
    </row>
    <row r="61697" customFormat="false" ht="12.8" hidden="false" customHeight="false" outlineLevel="0" collapsed="false">
      <c r="B61697" s="0" t="s">
        <v>7</v>
      </c>
      <c r="C61697" s="0" t="s">
        <v>191</v>
      </c>
      <c r="D61697" s="0" t="s">
        <v>1705</v>
      </c>
      <c r="E61697" s="0" t="s">
        <v>1706</v>
      </c>
      <c r="F61697" s="0" t="s">
        <v>1706</v>
      </c>
    </row>
    <row r="61698" customFormat="false" ht="12.8" hidden="false" customHeight="false" outlineLevel="0" collapsed="false">
      <c r="B61698" s="0" t="s">
        <v>124</v>
      </c>
      <c r="D61698" s="0" t="s">
        <v>1707</v>
      </c>
      <c r="E61698" s="0" t="s">
        <v>1707</v>
      </c>
      <c r="F61698" s="0" t="s">
        <v>1707</v>
      </c>
    </row>
    <row r="61700" customFormat="false" ht="12.8" hidden="false" customHeight="false" outlineLevel="0" collapsed="false">
      <c r="A61700" s="0" t="s">
        <v>21175</v>
      </c>
      <c r="B61700" s="0" t="str">
        <f aca="false">HYPERLINK("https://lindat.mff.cuni.cz/services/teitok/pdtc10/index.php?action=vallex&amp;frame=v-whsa_703f1_ZU", "vyškrábat se (v-whsa_703f1_ZU)")</f>
        <v>vyškrábat se (v-whsa_703f1_ZU)</v>
      </c>
    </row>
    <row r="61701" customFormat="false" ht="12.8" hidden="false" customHeight="false" outlineLevel="0" collapsed="false">
      <c r="B61701" s="0" t="s">
        <v>7</v>
      </c>
      <c r="D61701" s="0" t="s">
        <v>19882</v>
      </c>
      <c r="E61701" s="0" t="s">
        <v>19882</v>
      </c>
      <c r="F61701" s="0" t="s">
        <v>19882</v>
      </c>
    </row>
    <row r="61702" customFormat="false" ht="12.8" hidden="false" customHeight="false" outlineLevel="0" collapsed="false">
      <c r="B61702" s="0" t="s">
        <v>35</v>
      </c>
      <c r="D61702" s="0" t="s">
        <v>21176</v>
      </c>
      <c r="E61702" s="0" t="s">
        <v>21176</v>
      </c>
      <c r="F61702" s="0" t="s">
        <v>21176</v>
      </c>
    </row>
    <row r="61703" customFormat="false" ht="12.8" hidden="false" customHeight="false" outlineLevel="0" collapsed="false">
      <c r="B61703" s="0" t="s">
        <v>63</v>
      </c>
      <c r="D61703" s="0" t="s">
        <v>21177</v>
      </c>
      <c r="E61703" s="0" t="s">
        <v>21177</v>
      </c>
      <c r="F61703" s="0" t="s">
        <v>21177</v>
      </c>
    </row>
    <row r="61705" customFormat="false" ht="12.8" hidden="false" customHeight="false" outlineLevel="0" collapsed="false">
      <c r="A61705" s="0" t="s">
        <v>21178</v>
      </c>
      <c r="B61705" s="0" t="str">
        <f aca="false">HYPERLINK("https://lindat.mff.cuni.cz/services/teitok/pdtc10/index.php?action=vallex&amp;frame=v-whsa_701hsa_702", "vyškrábat se (v-whsa_701hsa_702)")</f>
        <v>vyškrábat se (v-whsa_701hsa_702)</v>
      </c>
    </row>
    <row r="61706" customFormat="false" ht="12.8" hidden="false" customHeight="false" outlineLevel="0" collapsed="false">
      <c r="B61706" s="0" t="s">
        <v>7</v>
      </c>
    </row>
    <row r="61707" customFormat="false" ht="12.8" hidden="false" customHeight="false" outlineLevel="0" collapsed="false">
      <c r="B61707" s="0" t="s">
        <v>35</v>
      </c>
    </row>
    <row r="61708" customFormat="false" ht="12.8" hidden="false" customHeight="false" outlineLevel="0" collapsed="false">
      <c r="B61708" s="0" t="s">
        <v>63</v>
      </c>
    </row>
    <row r="61710" customFormat="false" ht="12.8" hidden="false" customHeight="false" outlineLevel="0" collapsed="false">
      <c r="A61710" s="0" t="s">
        <v>21179</v>
      </c>
      <c r="B61710" s="0" t="str">
        <f aca="false">HYPERLINK("https://lindat.mff.cuni.cz/services/teitok/pdtc10/index.php?action=vallex&amp;frame=v-w8444f1", "vyšlapat (v-w8444f1)")</f>
        <v>vyšlapat (v-w8444f1)</v>
      </c>
    </row>
    <row r="61711" customFormat="false" ht="12.8" hidden="false" customHeight="false" outlineLevel="0" collapsed="false">
      <c r="B61711" s="0" t="s">
        <v>7</v>
      </c>
      <c r="C61711" s="0" t="s">
        <v>569</v>
      </c>
    </row>
    <row r="61712" customFormat="false" ht="12.8" hidden="false" customHeight="false" outlineLevel="0" collapsed="false">
      <c r="B61712" s="0" t="s">
        <v>14</v>
      </c>
      <c r="C61712" s="0" t="s">
        <v>115</v>
      </c>
    </row>
    <row r="61714" customFormat="false" ht="12.8" hidden="false" customHeight="false" outlineLevel="0" collapsed="false">
      <c r="A61714" s="0" t="s">
        <v>21180</v>
      </c>
      <c r="B61714" s="0" t="str">
        <f aca="false">HYPERLINK("https://lindat.mff.cuni.cz/services/teitok/pdtc10/index.php?action=vallex&amp;frame=v-w8444f4_ZU", "vyšlapat (v-w8444f4_ZU)")</f>
        <v>vyšlapat (v-w8444f4_ZU)</v>
      </c>
    </row>
    <row r="61715" customFormat="false" ht="12.8" hidden="false" customHeight="false" outlineLevel="0" collapsed="false">
      <c r="B61715" s="0" t="s">
        <v>7</v>
      </c>
    </row>
    <row r="61716" customFormat="false" ht="12.8" hidden="false" customHeight="false" outlineLevel="0" collapsed="false">
      <c r="B61716" s="0" t="s">
        <v>338</v>
      </c>
    </row>
    <row r="61718" customFormat="false" ht="12.8" hidden="false" customHeight="false" outlineLevel="0" collapsed="false">
      <c r="A61718" s="0" t="s">
        <v>21181</v>
      </c>
      <c r="B61718" s="0" t="str">
        <f aca="false">HYPERLINK("https://lindat.mff.cuni.cz/services/teitok/pdtc10/index.php?action=vallex&amp;frame=v-w8444f5_ZU", "vyšlapat (v-w8444f5_ZU)")</f>
        <v>vyšlapat (v-w8444f5_ZU)</v>
      </c>
    </row>
    <row r="61719" customFormat="false" ht="12.8" hidden="false" customHeight="false" outlineLevel="0" collapsed="false">
      <c r="B61719" s="0" t="s">
        <v>7</v>
      </c>
    </row>
    <row r="61720" customFormat="false" ht="12.8" hidden="false" customHeight="false" outlineLevel="0" collapsed="false">
      <c r="B61720" s="0" t="s">
        <v>14</v>
      </c>
    </row>
    <row r="61722" customFormat="false" ht="12.8" hidden="false" customHeight="false" outlineLevel="0" collapsed="false">
      <c r="A61722" s="0" t="s">
        <v>21181</v>
      </c>
      <c r="B61722" s="0" t="str">
        <f aca="false">HYPERLINK("https://lindat.mff.cuni.cz/services/teitok/pdtc10/index.php?action=vallex&amp;frame=v-w8444f2_ZU", "vyšlapat (v-w8444f2_ZU) - substituted with v-w8444f5_ZU")</f>
        <v>vyšlapat (v-w8444f2_ZU) - substituted with v-w8444f5_ZU</v>
      </c>
    </row>
    <row r="61723" customFormat="false" ht="12.8" hidden="false" customHeight="false" outlineLevel="0" collapsed="false">
      <c r="B61723" s="0" t="s">
        <v>7</v>
      </c>
    </row>
    <row r="61724" customFormat="false" ht="12.8" hidden="false" customHeight="false" outlineLevel="0" collapsed="false">
      <c r="B61724" s="0" t="s">
        <v>14</v>
      </c>
    </row>
    <row r="61726" customFormat="false" ht="12.8" hidden="false" customHeight="false" outlineLevel="0" collapsed="false">
      <c r="A61726" s="0" t="s">
        <v>21181</v>
      </c>
      <c r="B61726" s="0" t="str">
        <f aca="false">HYPERLINK("https://lindat.mff.cuni.cz/services/teitok/pdtc10/index.php?action=vallex&amp;frame=v-w8444f3_ZU", "vyšlapat (v-w8444f3_ZU) - substituted with v-w8444f5_ZU")</f>
        <v>vyšlapat (v-w8444f3_ZU) - substituted with v-w8444f5_ZU</v>
      </c>
    </row>
    <row r="61727" customFormat="false" ht="12.8" hidden="false" customHeight="false" outlineLevel="0" collapsed="false">
      <c r="B61727" s="0" t="s">
        <v>7</v>
      </c>
    </row>
    <row r="61728" customFormat="false" ht="12.8" hidden="false" customHeight="false" outlineLevel="0" collapsed="false">
      <c r="B61728" s="0" t="s">
        <v>14</v>
      </c>
    </row>
    <row r="61730" customFormat="false" ht="12.8" hidden="false" customHeight="false" outlineLevel="0" collapsed="false">
      <c r="A61730" s="0" t="s">
        <v>21182</v>
      </c>
      <c r="B61730" s="0" t="str">
        <f aca="false">HYPERLINK("https://lindat.mff.cuni.cz/services/teitok/pdtc10/index.php?action=vallex&amp;frame=v-w12120_ZUf1_ZU", "vyšlapávat (v-w12120_ZUf1_ZU)")</f>
        <v>vyšlapávat (v-w12120_ZUf1_ZU)</v>
      </c>
    </row>
    <row r="61731" customFormat="false" ht="12.8" hidden="false" customHeight="false" outlineLevel="0" collapsed="false">
      <c r="B61731" s="0" t="s">
        <v>7</v>
      </c>
    </row>
    <row r="61732" customFormat="false" ht="12.8" hidden="false" customHeight="false" outlineLevel="0" collapsed="false">
      <c r="B61732" s="0" t="s">
        <v>14</v>
      </c>
    </row>
    <row r="61734" customFormat="false" ht="12.8" hidden="false" customHeight="false" outlineLevel="0" collapsed="false">
      <c r="A61734" s="0" t="s">
        <v>21183</v>
      </c>
      <c r="B61734" s="0" t="str">
        <f aca="false">HYPERLINK("https://lindat.mff.cuni.cz/services/teitok/pdtc10/index.php?action=vallex&amp;frame=v-w8447f1", "vyšlechtit (v-w8447f1)")</f>
        <v>vyšlechtit (v-w8447f1)</v>
      </c>
    </row>
    <row r="61735" customFormat="false" ht="12.8" hidden="false" customHeight="false" outlineLevel="0" collapsed="false">
      <c r="B61735" s="0" t="s">
        <v>7</v>
      </c>
      <c r="C61735" s="0" t="s">
        <v>88</v>
      </c>
    </row>
    <row r="61736" customFormat="false" ht="12.8" hidden="false" customHeight="false" outlineLevel="0" collapsed="false">
      <c r="B61736" s="0" t="s">
        <v>14</v>
      </c>
      <c r="C61736" s="0" t="s">
        <v>78</v>
      </c>
    </row>
    <row r="61737" customFormat="false" ht="12.8" hidden="false" customHeight="false" outlineLevel="0" collapsed="false">
      <c r="B61737" s="0" t="s">
        <v>35</v>
      </c>
    </row>
    <row r="61739" customFormat="false" ht="12.8" hidden="false" customHeight="false" outlineLevel="0" collapsed="false">
      <c r="A61739" s="0" t="s">
        <v>21184</v>
      </c>
      <c r="B61739" s="0" t="str">
        <f aca="false">HYPERLINK("https://lindat.mff.cuni.cz/services/teitok/pdtc10/index.php?action=vallex&amp;frame=v-w8446f1", "vyšlehnout (v-w8446f1)")</f>
        <v>vyšlehnout (v-w8446f1)</v>
      </c>
    </row>
    <row r="61740" customFormat="false" ht="12.8" hidden="false" customHeight="false" outlineLevel="0" collapsed="false">
      <c r="B61740" s="0" t="s">
        <v>7</v>
      </c>
    </row>
    <row r="61741" customFormat="false" ht="12.8" hidden="false" customHeight="false" outlineLevel="0" collapsed="false">
      <c r="B61741" s="0" t="s">
        <v>459</v>
      </c>
    </row>
    <row r="61743" customFormat="false" ht="12.8" hidden="false" customHeight="false" outlineLevel="0" collapsed="false">
      <c r="A61743" s="0" t="s">
        <v>21185</v>
      </c>
      <c r="B61743" s="0" t="str">
        <f aca="false">HYPERLINK("https://lindat.mff.cuni.cz/services/teitok/pdtc10/index.php?action=vallex&amp;frame=v-w8445f1", "vyšlápnout si (v-w8445f1)")</f>
        <v>vyšlápnout si (v-w8445f1)</v>
      </c>
    </row>
    <row r="61744" customFormat="false" ht="12.8" hidden="false" customHeight="false" outlineLevel="0" collapsed="false">
      <c r="B61744" s="0" t="s">
        <v>7</v>
      </c>
    </row>
    <row r="61745" customFormat="false" ht="12.8" hidden="false" customHeight="false" outlineLevel="0" collapsed="false">
      <c r="B61745" s="0" t="s">
        <v>41</v>
      </c>
    </row>
    <row r="61747" customFormat="false" ht="12.8" hidden="false" customHeight="false" outlineLevel="0" collapsed="false">
      <c r="A61747" s="0" t="s">
        <v>21186</v>
      </c>
      <c r="B61747" s="0" t="str">
        <f aca="false">HYPERLINK("https://lindat.mff.cuni.cz/services/teitok/pdtc10/index.php?action=vallex&amp;frame=v-w8445hsa_830", "vyšlápnout si (v-w8445hsa_830)")</f>
        <v>vyšlápnout si (v-w8445hsa_830)</v>
      </c>
    </row>
    <row r="61748" customFormat="false" ht="12.8" hidden="false" customHeight="false" outlineLevel="0" collapsed="false">
      <c r="B61748" s="0" t="s">
        <v>7</v>
      </c>
    </row>
    <row r="61750" customFormat="false" ht="12.8" hidden="false" customHeight="false" outlineLevel="0" collapsed="false">
      <c r="A61750" s="0" t="s">
        <v>21187</v>
      </c>
      <c r="B61750" s="0" t="str">
        <f aca="false">HYPERLINK("https://lindat.mff.cuni.cz/services/teitok/pdtc10/index.php?action=vallex&amp;frame=v-w12018_ZUf1_ZU", "vyšmátrat (v-w12018_ZUf1_ZU)")</f>
        <v>vyšmátrat (v-w12018_ZUf1_ZU)</v>
      </c>
    </row>
    <row r="61751" customFormat="false" ht="12.8" hidden="false" customHeight="false" outlineLevel="0" collapsed="false">
      <c r="B61751" s="0" t="s">
        <v>7</v>
      </c>
    </row>
    <row r="61752" customFormat="false" ht="12.8" hidden="false" customHeight="false" outlineLevel="0" collapsed="false">
      <c r="B61752" s="0" t="s">
        <v>14</v>
      </c>
    </row>
    <row r="61754" customFormat="false" ht="12.8" hidden="false" customHeight="false" outlineLevel="0" collapsed="false">
      <c r="A61754" s="0" t="s">
        <v>21188</v>
      </c>
      <c r="B61754" s="0" t="str">
        <f aca="false">HYPERLINK("https://lindat.mff.cuni.cz/services/teitok/pdtc10/index.php?action=vallex&amp;frame=v-w11627_ZUf1_ZU", "vyšoupnout (v-w11627_ZUf1_ZU)")</f>
        <v>vyšoupnout (v-w11627_ZUf1_ZU)</v>
      </c>
    </row>
    <row r="61755" customFormat="false" ht="12.8" hidden="false" customHeight="false" outlineLevel="0" collapsed="false">
      <c r="B61755" s="0" t="s">
        <v>7</v>
      </c>
    </row>
    <row r="61756" customFormat="false" ht="12.8" hidden="false" customHeight="false" outlineLevel="0" collapsed="false">
      <c r="B61756" s="0" t="s">
        <v>14</v>
      </c>
    </row>
    <row r="61757" customFormat="false" ht="12.8" hidden="false" customHeight="false" outlineLevel="0" collapsed="false">
      <c r="B61757" s="0" t="s">
        <v>5382</v>
      </c>
    </row>
    <row r="61759" customFormat="false" ht="12.8" hidden="false" customHeight="false" outlineLevel="0" collapsed="false">
      <c r="A61759" s="0" t="s">
        <v>21189</v>
      </c>
      <c r="B61759" s="0" t="str">
        <f aca="false">HYPERLINK("https://lindat.mff.cuni.cz/services/teitok/pdtc10/index.php?action=vallex&amp;frame=v-w11190f2", "vyšperkovat (v-w11190f2)")</f>
        <v>vyšperkovat (v-w11190f2)</v>
      </c>
    </row>
    <row r="61760" customFormat="false" ht="12.8" hidden="false" customHeight="false" outlineLevel="0" collapsed="false">
      <c r="B61760" s="0" t="s">
        <v>7</v>
      </c>
      <c r="C61760" s="0" t="s">
        <v>191</v>
      </c>
      <c r="D61760" s="0" t="s">
        <v>623</v>
      </c>
      <c r="E61760" s="0" t="s">
        <v>623</v>
      </c>
      <c r="F61760" s="0" t="s">
        <v>623</v>
      </c>
    </row>
    <row r="61761" customFormat="false" ht="12.8" hidden="false" customHeight="false" outlineLevel="0" collapsed="false">
      <c r="B61761" s="0" t="s">
        <v>14</v>
      </c>
      <c r="C61761" s="0" t="s">
        <v>47</v>
      </c>
      <c r="D61761" s="0" t="s">
        <v>487</v>
      </c>
      <c r="E61761" s="0" t="s">
        <v>487</v>
      </c>
      <c r="F61761" s="0" t="s">
        <v>487</v>
      </c>
    </row>
    <row r="61763" customFormat="false" ht="12.8" hidden="false" customHeight="false" outlineLevel="0" collapsed="false">
      <c r="A61763" s="0" t="s">
        <v>21190</v>
      </c>
      <c r="B61763" s="0" t="str">
        <f aca="false">HYPERLINK("https://lindat.mff.cuni.cz/services/teitok/pdtc10/index.php?action=vallex&amp;frame=v-w11629_ZUf1_ZU", "vyšplhat (v-w11629_ZUf1_ZU)")</f>
        <v>vyšplhat (v-w11629_ZUf1_ZU)</v>
      </c>
    </row>
    <row r="61764" customFormat="false" ht="12.8" hidden="false" customHeight="false" outlineLevel="0" collapsed="false">
      <c r="B61764" s="0" t="s">
        <v>7</v>
      </c>
      <c r="C61764" s="0" t="s">
        <v>10943</v>
      </c>
      <c r="D61764" s="0" t="s">
        <v>6244</v>
      </c>
      <c r="E61764" s="0" t="s">
        <v>6244</v>
      </c>
      <c r="F61764" s="0" t="s">
        <v>6244</v>
      </c>
    </row>
    <row r="61765" customFormat="false" ht="12.8" hidden="false" customHeight="false" outlineLevel="0" collapsed="false">
      <c r="B61765" s="0" t="s">
        <v>63</v>
      </c>
      <c r="C61765" s="0" t="s">
        <v>20592</v>
      </c>
      <c r="D61765" s="0" t="s">
        <v>4496</v>
      </c>
      <c r="E61765" s="0" t="s">
        <v>4496</v>
      </c>
      <c r="F61765" s="0" t="s">
        <v>4496</v>
      </c>
    </row>
    <row r="61766" customFormat="false" ht="12.8" hidden="false" customHeight="false" outlineLevel="0" collapsed="false">
      <c r="B61766" s="0" t="s">
        <v>35</v>
      </c>
      <c r="C61766" s="0" t="s">
        <v>20593</v>
      </c>
      <c r="D61766" s="0" t="s">
        <v>4497</v>
      </c>
      <c r="E61766" s="0" t="s">
        <v>4497</v>
      </c>
      <c r="F61766" s="0" t="s">
        <v>4497</v>
      </c>
    </row>
    <row r="61768" customFormat="false" ht="12.8" hidden="false" customHeight="false" outlineLevel="0" collapsed="false">
      <c r="A61768" s="0" t="s">
        <v>21191</v>
      </c>
      <c r="B61768" s="0" t="str">
        <f aca="false">HYPERLINK("https://lindat.mff.cuni.cz/services/teitok/pdtc10/index.php?action=vallex&amp;frame=v-w8448f5_ZU", "vyšplhat se (v-w8448f5_ZU)")</f>
        <v>vyšplhat se (v-w8448f5_ZU)</v>
      </c>
    </row>
    <row r="61769" customFormat="false" ht="12.8" hidden="false" customHeight="false" outlineLevel="0" collapsed="false">
      <c r="B61769" s="0" t="s">
        <v>7</v>
      </c>
      <c r="C61769" s="0" t="s">
        <v>21192</v>
      </c>
      <c r="D61769" s="0" t="s">
        <v>6244</v>
      </c>
      <c r="E61769" s="0" t="s">
        <v>6244</v>
      </c>
      <c r="F61769" s="0" t="s">
        <v>6244</v>
      </c>
    </row>
    <row r="61770" customFormat="false" ht="12.8" hidden="false" customHeight="false" outlineLevel="0" collapsed="false">
      <c r="B61770" s="0" t="s">
        <v>21193</v>
      </c>
      <c r="C61770" s="0" t="s">
        <v>21194</v>
      </c>
      <c r="D61770" s="0" t="s">
        <v>4496</v>
      </c>
      <c r="E61770" s="0" t="s">
        <v>4496</v>
      </c>
      <c r="F61770" s="0" t="s">
        <v>4496</v>
      </c>
    </row>
    <row r="61771" customFormat="false" ht="12.8" hidden="false" customHeight="false" outlineLevel="0" collapsed="false">
      <c r="B61771" s="0" t="s">
        <v>35</v>
      </c>
      <c r="C61771" s="0" t="s">
        <v>20593</v>
      </c>
      <c r="D61771" s="0" t="s">
        <v>4497</v>
      </c>
      <c r="E61771" s="0" t="s">
        <v>4497</v>
      </c>
      <c r="F61771" s="0" t="s">
        <v>4497</v>
      </c>
    </row>
    <row r="61773" customFormat="false" ht="12.8" hidden="false" customHeight="false" outlineLevel="0" collapsed="false">
      <c r="A61773" s="0" t="s">
        <v>21191</v>
      </c>
      <c r="B61773" s="0" t="str">
        <f aca="false">HYPERLINK("https://lindat.mff.cuni.cz/services/teitok/pdtc10/index.php?action=vallex&amp;frame=v-w8448f2_ZU", "vyšplhat se (v-w8448f2_ZU) - substituted with v-w8448f5_ZU")</f>
        <v>vyšplhat se (v-w8448f2_ZU) - substituted with v-w8448f5_ZU</v>
      </c>
    </row>
    <row r="61774" customFormat="false" ht="12.8" hidden="false" customHeight="false" outlineLevel="0" collapsed="false">
      <c r="B61774" s="0" t="s">
        <v>7</v>
      </c>
      <c r="C61774" s="0" t="s">
        <v>5164</v>
      </c>
    </row>
    <row r="61775" customFormat="false" ht="12.8" hidden="false" customHeight="false" outlineLevel="0" collapsed="false">
      <c r="B61775" s="0" t="s">
        <v>21193</v>
      </c>
      <c r="C61775" s="0" t="s">
        <v>21195</v>
      </c>
    </row>
    <row r="61776" customFormat="false" ht="12.8" hidden="false" customHeight="false" outlineLevel="0" collapsed="false">
      <c r="B61776" s="0" t="s">
        <v>35</v>
      </c>
      <c r="C61776" s="0" t="s">
        <v>21196</v>
      </c>
    </row>
    <row r="61778" customFormat="false" ht="12.8" hidden="false" customHeight="false" outlineLevel="0" collapsed="false">
      <c r="A61778" s="0" t="s">
        <v>21191</v>
      </c>
      <c r="B61778" s="0" t="str">
        <f aca="false">HYPERLINK("https://lindat.mff.cuni.cz/services/teitok/pdtc10/index.php?action=vallex&amp;frame=v-w8448f4_ZU", "vyšplhat se (v-w8448f4_ZU) - substituted with v-w8448f5_ZU")</f>
        <v>vyšplhat se (v-w8448f4_ZU) - substituted with v-w8448f5_ZU</v>
      </c>
    </row>
    <row r="61779" customFormat="false" ht="12.8" hidden="false" customHeight="false" outlineLevel="0" collapsed="false">
      <c r="B61779" s="0" t="s">
        <v>7</v>
      </c>
    </row>
    <row r="61780" customFormat="false" ht="12.8" hidden="false" customHeight="false" outlineLevel="0" collapsed="false">
      <c r="B61780" s="0" t="s">
        <v>21193</v>
      </c>
    </row>
    <row r="61781" customFormat="false" ht="12.8" hidden="false" customHeight="false" outlineLevel="0" collapsed="false">
      <c r="B61781" s="0" t="s">
        <v>35</v>
      </c>
    </row>
    <row r="61783" customFormat="false" ht="12.8" hidden="false" customHeight="false" outlineLevel="0" collapsed="false">
      <c r="A61783" s="0" t="s">
        <v>21197</v>
      </c>
      <c r="B61783" s="0" t="str">
        <f aca="false">HYPERLINK("https://lindat.mff.cuni.cz/services/teitok/pdtc10/index.php?action=vallex&amp;frame=v-w8448f3_ZU", "vyšplhat se (v-w8448f3_ZU)")</f>
        <v>vyšplhat se (v-w8448f3_ZU)</v>
      </c>
    </row>
    <row r="61784" customFormat="false" ht="12.8" hidden="false" customHeight="false" outlineLevel="0" collapsed="false">
      <c r="B61784" s="0" t="s">
        <v>7</v>
      </c>
      <c r="D61784" s="0" t="s">
        <v>1705</v>
      </c>
      <c r="E61784" s="0" t="s">
        <v>1706</v>
      </c>
      <c r="F61784" s="0" t="s">
        <v>1706</v>
      </c>
    </row>
    <row r="61785" customFormat="false" ht="12.8" hidden="false" customHeight="false" outlineLevel="0" collapsed="false">
      <c r="B61785" s="0" t="s">
        <v>124</v>
      </c>
      <c r="D61785" s="0" t="s">
        <v>1707</v>
      </c>
      <c r="E61785" s="0" t="s">
        <v>1707</v>
      </c>
      <c r="F61785" s="0" t="s">
        <v>1707</v>
      </c>
    </row>
    <row r="61787" customFormat="false" ht="12.8" hidden="false" customHeight="false" outlineLevel="0" collapsed="false">
      <c r="A61787" s="0" t="s">
        <v>21197</v>
      </c>
      <c r="B61787" s="0" t="str">
        <f aca="false">HYPERLINK("https://lindat.mff.cuni.cz/services/teitok/pdtc10/index.php?action=vallex&amp;frame=v-w8448f1", "vyšplhat se (v-w8448f1) - substituted with v-w8448f3_ZU")</f>
        <v>vyšplhat se (v-w8448f1) - substituted with v-w8448f3_ZU</v>
      </c>
    </row>
    <row r="61788" customFormat="false" ht="12.8" hidden="false" customHeight="false" outlineLevel="0" collapsed="false">
      <c r="B61788" s="0" t="s">
        <v>7</v>
      </c>
      <c r="C61788" s="0" t="s">
        <v>21198</v>
      </c>
    </row>
    <row r="61789" customFormat="false" ht="12.8" hidden="false" customHeight="false" outlineLevel="0" collapsed="false">
      <c r="B61789" s="0" t="s">
        <v>124</v>
      </c>
      <c r="C61789" s="0" t="s">
        <v>19027</v>
      </c>
    </row>
    <row r="61791" customFormat="false" ht="12.8" hidden="false" customHeight="false" outlineLevel="0" collapsed="false">
      <c r="A61791" s="0" t="s">
        <v>21199</v>
      </c>
      <c r="B61791" s="0" t="str">
        <f aca="false">HYPERLINK("https://lindat.mff.cuni.cz/services/teitok/pdtc10/index.php?action=vallex&amp;frame=v-w8449f1", "vyšroubovat (v-w8449f1)")</f>
        <v>vyšroubovat (v-w8449f1)</v>
      </c>
    </row>
    <row r="61792" customFormat="false" ht="12.8" hidden="false" customHeight="false" outlineLevel="0" collapsed="false">
      <c r="B61792" s="0" t="s">
        <v>7</v>
      </c>
      <c r="C61792" s="0" t="s">
        <v>88</v>
      </c>
      <c r="D61792" s="0" t="s">
        <v>6436</v>
      </c>
      <c r="E61792" s="0" t="s">
        <v>6436</v>
      </c>
      <c r="F61792" s="0" t="s">
        <v>6436</v>
      </c>
    </row>
    <row r="61793" customFormat="false" ht="12.8" hidden="false" customHeight="false" outlineLevel="0" collapsed="false">
      <c r="B61793" s="0" t="s">
        <v>14</v>
      </c>
      <c r="C61793" s="0" t="s">
        <v>487</v>
      </c>
      <c r="D61793" s="0" t="s">
        <v>6437</v>
      </c>
      <c r="E61793" s="0" t="s">
        <v>6437</v>
      </c>
      <c r="F61793" s="0" t="s">
        <v>6437</v>
      </c>
    </row>
    <row r="61794" customFormat="false" ht="12.8" hidden="false" customHeight="false" outlineLevel="0" collapsed="false">
      <c r="B61794" s="0" t="s">
        <v>35</v>
      </c>
      <c r="D61794" s="0" t="s">
        <v>6438</v>
      </c>
      <c r="E61794" s="0" t="s">
        <v>6438</v>
      </c>
      <c r="F61794" s="0" t="s">
        <v>6438</v>
      </c>
    </row>
    <row r="61795" customFormat="false" ht="12.8" hidden="false" customHeight="false" outlineLevel="0" collapsed="false">
      <c r="B61795" s="0" t="s">
        <v>84</v>
      </c>
      <c r="D61795" s="0" t="s">
        <v>6440</v>
      </c>
      <c r="E61795" s="0" t="s">
        <v>6440</v>
      </c>
      <c r="F61795" s="0" t="s">
        <v>6440</v>
      </c>
    </row>
    <row r="61797" customFormat="false" ht="12.8" hidden="false" customHeight="false" outlineLevel="0" collapsed="false">
      <c r="A61797" s="0" t="s">
        <v>21200</v>
      </c>
      <c r="B61797" s="0" t="str">
        <f aca="false">HYPERLINK("https://lindat.mff.cuni.cz/services/teitok/pdtc10/index.php?action=vallex&amp;frame=v-w11860_ZUf2_ZU", "vyštvat (v-w11860_ZUf2_ZU)")</f>
        <v>vyštvat (v-w11860_ZUf2_ZU)</v>
      </c>
    </row>
    <row r="61798" customFormat="false" ht="12.8" hidden="false" customHeight="false" outlineLevel="0" collapsed="false">
      <c r="B61798" s="0" t="s">
        <v>7</v>
      </c>
    </row>
    <row r="61799" customFormat="false" ht="12.8" hidden="false" customHeight="false" outlineLevel="0" collapsed="false">
      <c r="B61799" s="0" t="s">
        <v>14</v>
      </c>
    </row>
    <row r="61800" customFormat="false" ht="12.8" hidden="false" customHeight="false" outlineLevel="0" collapsed="false">
      <c r="B61800" s="0" t="s">
        <v>5382</v>
      </c>
    </row>
    <row r="61802" customFormat="false" ht="12.8" hidden="false" customHeight="false" outlineLevel="0" collapsed="false">
      <c r="A61802" s="0" t="s">
        <v>21200</v>
      </c>
      <c r="B61802" s="0" t="str">
        <f aca="false">HYPERLINK("https://lindat.mff.cuni.cz/services/teitok/pdtc10/index.php?action=vallex&amp;frame=v-w11860_ZUf1_ZU", "vyštvat (v-w11860_ZUf1_ZU) - substituted with v-w11860_ZUf2_ZU")</f>
        <v>vyštvat (v-w11860_ZUf1_ZU) - substituted with v-w11860_ZUf2_ZU</v>
      </c>
    </row>
    <row r="61803" customFormat="false" ht="12.8" hidden="false" customHeight="false" outlineLevel="0" collapsed="false">
      <c r="B61803" s="0" t="s">
        <v>7</v>
      </c>
    </row>
    <row r="61804" customFormat="false" ht="12.8" hidden="false" customHeight="false" outlineLevel="0" collapsed="false">
      <c r="B61804" s="0" t="s">
        <v>14</v>
      </c>
    </row>
    <row r="61805" customFormat="false" ht="12.8" hidden="false" customHeight="false" outlineLevel="0" collapsed="false">
      <c r="B61805" s="0" t="s">
        <v>5382</v>
      </c>
    </row>
    <row r="61807" customFormat="false" ht="12.8" hidden="false" customHeight="false" outlineLevel="0" collapsed="false">
      <c r="A61807" s="0" t="s">
        <v>21201</v>
      </c>
      <c r="B61807" s="0" t="str">
        <f aca="false">HYPERLINK("https://lindat.mff.cuni.cz/services/teitok/pdtc10/index.php?action=vallex&amp;frame=v-w11224f2", "vyštěknout (v-w11224f2)")</f>
        <v>vyštěknout (v-w11224f2)</v>
      </c>
    </row>
    <row r="61808" customFormat="false" ht="12.8" hidden="false" customHeight="false" outlineLevel="0" collapsed="false">
      <c r="B61808" s="0" t="s">
        <v>7</v>
      </c>
      <c r="C61808" s="0" t="s">
        <v>46</v>
      </c>
      <c r="D61808" s="0" t="s">
        <v>8367</v>
      </c>
      <c r="E61808" s="0" t="s">
        <v>8367</v>
      </c>
      <c r="F61808" s="0" t="s">
        <v>8367</v>
      </c>
    </row>
    <row r="61809" customFormat="false" ht="12.8" hidden="false" customHeight="false" outlineLevel="0" collapsed="false">
      <c r="B61809" s="0" t="s">
        <v>367</v>
      </c>
      <c r="C61809" s="0" t="s">
        <v>567</v>
      </c>
      <c r="D61809" s="0" t="s">
        <v>8373</v>
      </c>
      <c r="E61809" s="0" t="s">
        <v>8373</v>
      </c>
      <c r="F61809" s="0" t="s">
        <v>8373</v>
      </c>
    </row>
    <row r="61810" customFormat="false" ht="12.8" hidden="false" customHeight="false" outlineLevel="0" collapsed="false">
      <c r="B61810" s="0" t="s">
        <v>4101</v>
      </c>
      <c r="D61810" s="0" t="s">
        <v>8368</v>
      </c>
      <c r="E61810" s="0" t="s">
        <v>8368</v>
      </c>
      <c r="F61810" s="0" t="s">
        <v>8368</v>
      </c>
    </row>
    <row r="61812" customFormat="false" ht="12.8" hidden="false" customHeight="false" outlineLevel="0" collapsed="false">
      <c r="A61812" s="0" t="s">
        <v>21202</v>
      </c>
      <c r="B61812" s="0" t="str">
        <f aca="false">HYPERLINK("https://lindat.mff.cuni.cz/services/teitok/pdtc10/index.php?action=vallex&amp;frame=v-w8450f1", "vyšumět (v-w8450f1)")</f>
        <v>vyšumět (v-w8450f1)</v>
      </c>
    </row>
    <row r="61813" customFormat="false" ht="12.8" hidden="false" customHeight="false" outlineLevel="0" collapsed="false">
      <c r="B61813" s="0" t="s">
        <v>7</v>
      </c>
      <c r="C61813" s="0" t="s">
        <v>396</v>
      </c>
      <c r="D61813" s="0" t="s">
        <v>396</v>
      </c>
      <c r="E61813" s="0" t="s">
        <v>396</v>
      </c>
      <c r="F61813" s="0" t="s">
        <v>396</v>
      </c>
    </row>
    <row r="61815" customFormat="false" ht="12.8" hidden="false" customHeight="false" outlineLevel="0" collapsed="false">
      <c r="A61815" s="0" t="s">
        <v>21203</v>
      </c>
      <c r="B61815" s="0" t="str">
        <f aca="false">HYPERLINK("https://lindat.mff.cuni.cz/services/teitok/pdtc10/index.php?action=vallex&amp;frame=v-w12334_MMf1_MM", "vyšupat (v-w12334_MMf1_MM)")</f>
        <v>vyšupat (v-w12334_MMf1_MM)</v>
      </c>
    </row>
    <row r="61816" customFormat="false" ht="12.8" hidden="false" customHeight="false" outlineLevel="0" collapsed="false">
      <c r="B61816" s="0" t="s">
        <v>7</v>
      </c>
    </row>
    <row r="61817" customFormat="false" ht="12.8" hidden="false" customHeight="false" outlineLevel="0" collapsed="false">
      <c r="B61817" s="0" t="s">
        <v>14</v>
      </c>
    </row>
    <row r="61819" customFormat="false" ht="12.8" hidden="false" customHeight="false" outlineLevel="0" collapsed="false">
      <c r="A61819" s="0" t="s">
        <v>21204</v>
      </c>
      <c r="B61819" s="0" t="str">
        <f aca="false">HYPERLINK("https://lindat.mff.cuni.cz/services/teitok/pdtc10/index.php?action=vallex&amp;frame=v-w8451f2", "vyšvihnout se (v-w8451f2)")</f>
        <v>vyšvihnout se (v-w8451f2)</v>
      </c>
    </row>
    <row r="61820" customFormat="false" ht="12.8" hidden="false" customHeight="false" outlineLevel="0" collapsed="false">
      <c r="B61820" s="0" t="s">
        <v>7</v>
      </c>
      <c r="C61820" s="0" t="s">
        <v>10943</v>
      </c>
      <c r="D61820" s="0" t="s">
        <v>6244</v>
      </c>
      <c r="E61820" s="0" t="s">
        <v>6244</v>
      </c>
      <c r="F61820" s="0" t="s">
        <v>6244</v>
      </c>
    </row>
    <row r="61821" customFormat="false" ht="12.8" hidden="false" customHeight="false" outlineLevel="0" collapsed="false">
      <c r="B61821" s="0" t="s">
        <v>63</v>
      </c>
      <c r="C61821" s="0" t="s">
        <v>20592</v>
      </c>
      <c r="D61821" s="0" t="s">
        <v>4496</v>
      </c>
      <c r="E61821" s="0" t="s">
        <v>4496</v>
      </c>
      <c r="F61821" s="0" t="s">
        <v>4496</v>
      </c>
    </row>
    <row r="61822" customFormat="false" ht="12.8" hidden="false" customHeight="false" outlineLevel="0" collapsed="false">
      <c r="B61822" s="0" t="s">
        <v>35</v>
      </c>
      <c r="C61822" s="0" t="s">
        <v>20593</v>
      </c>
      <c r="D61822" s="0" t="s">
        <v>4497</v>
      </c>
      <c r="E61822" s="0" t="s">
        <v>4497</v>
      </c>
      <c r="F61822" s="0" t="s">
        <v>4497</v>
      </c>
    </row>
    <row r="61824" customFormat="false" ht="12.8" hidden="false" customHeight="false" outlineLevel="0" collapsed="false">
      <c r="A61824" s="0" t="s">
        <v>21205</v>
      </c>
      <c r="B61824" s="0" t="str">
        <f aca="false">HYPERLINK("https://lindat.mff.cuni.cz/services/teitok/pdtc10/index.php?action=vallex&amp;frame=v-w8451f1", "vyšvihnout se (v-w8451f1)")</f>
        <v>vyšvihnout se (v-w8451f1)</v>
      </c>
    </row>
    <row r="61825" customFormat="false" ht="12.8" hidden="false" customHeight="false" outlineLevel="0" collapsed="false">
      <c r="B61825" s="0" t="s">
        <v>7</v>
      </c>
    </row>
    <row r="61826" customFormat="false" ht="12.8" hidden="false" customHeight="false" outlineLevel="0" collapsed="false">
      <c r="B61826" s="0" t="s">
        <v>124</v>
      </c>
    </row>
    <row r="61828" customFormat="false" ht="12.8" hidden="false" customHeight="false" outlineLevel="0" collapsed="false">
      <c r="A61828" s="0" t="s">
        <v>21206</v>
      </c>
      <c r="B61828" s="0" t="str">
        <f aca="false">HYPERLINK("https://lindat.mff.cuni.cz/services/teitok/pdtc10/index.php?action=vallex&amp;frame=v-w10133f2", "vyšvindlovat (v-w10133f2)")</f>
        <v>vyšvindlovat (v-w10133f2)</v>
      </c>
    </row>
    <row r="61829" customFormat="false" ht="12.8" hidden="false" customHeight="false" outlineLevel="0" collapsed="false">
      <c r="B61829" s="0" t="s">
        <v>7</v>
      </c>
      <c r="C61829" s="0" t="s">
        <v>191</v>
      </c>
    </row>
    <row r="61830" customFormat="false" ht="12.8" hidden="false" customHeight="false" outlineLevel="0" collapsed="false">
      <c r="B61830" s="0" t="s">
        <v>14</v>
      </c>
      <c r="C61830" s="0" t="s">
        <v>155</v>
      </c>
    </row>
    <row r="61831" customFormat="false" ht="12.8" hidden="false" customHeight="false" outlineLevel="0" collapsed="false">
      <c r="B61831" s="0" t="s">
        <v>7321</v>
      </c>
    </row>
    <row r="61833" customFormat="false" ht="12.8" hidden="false" customHeight="false" outlineLevel="0" collapsed="false">
      <c r="A61833" s="0" t="s">
        <v>21207</v>
      </c>
      <c r="B61833" s="0" t="str">
        <f aca="false">HYPERLINK("https://lindat.mff.cuni.cz/services/teitok/pdtc10/index.php?action=vallex&amp;frame=v-w11907_ZUf1_ZU", "vyšít (v-w11907_ZUf1_ZU)")</f>
        <v>vyšít (v-w11907_ZUf1_ZU)</v>
      </c>
    </row>
    <row r="61834" customFormat="false" ht="12.8" hidden="false" customHeight="false" outlineLevel="0" collapsed="false">
      <c r="B61834" s="0" t="s">
        <v>7</v>
      </c>
    </row>
    <row r="61835" customFormat="false" ht="12.8" hidden="false" customHeight="false" outlineLevel="0" collapsed="false">
      <c r="B61835" s="0" t="s">
        <v>14</v>
      </c>
    </row>
    <row r="61837" customFormat="false" ht="12.8" hidden="false" customHeight="false" outlineLevel="0" collapsed="false">
      <c r="A61837" s="0" t="s">
        <v>21208</v>
      </c>
      <c r="B61837" s="0" t="str">
        <f aca="false">HYPERLINK("https://lindat.mff.cuni.cz/services/teitok/pdtc10/index.php?action=vallex&amp;frame=v-w11907_ZUf2_ZU", "vyšít (v-w11907_ZUf2_ZU)")</f>
        <v>vyšít (v-w11907_ZUf2_ZU)</v>
      </c>
    </row>
    <row r="61838" customFormat="false" ht="12.8" hidden="false" customHeight="false" outlineLevel="0" collapsed="false">
      <c r="B61838" s="0" t="s">
        <v>7</v>
      </c>
    </row>
    <row r="61839" customFormat="false" ht="12.8" hidden="false" customHeight="false" outlineLevel="0" collapsed="false">
      <c r="B61839" s="0" t="s">
        <v>14</v>
      </c>
    </row>
    <row r="61841" customFormat="false" ht="12.8" hidden="false" customHeight="false" outlineLevel="0" collapsed="false">
      <c r="A61841" s="0" t="s">
        <v>21209</v>
      </c>
      <c r="B61841" s="0" t="str">
        <f aca="false">HYPERLINK("https://lindat.mff.cuni.cz/services/teitok/pdtc10/index.php?action=vallex&amp;frame=v-whsb_552f1_ZU", "vyšívat (v-whsb_552f1_ZU)")</f>
        <v>vyšívat (v-whsb_552f1_ZU)</v>
      </c>
    </row>
    <row r="61842" customFormat="false" ht="12.8" hidden="false" customHeight="false" outlineLevel="0" collapsed="false">
      <c r="B61842" s="0" t="s">
        <v>7</v>
      </c>
    </row>
    <row r="61843" customFormat="false" ht="12.8" hidden="false" customHeight="false" outlineLevel="0" collapsed="false">
      <c r="B61843" s="0" t="s">
        <v>14</v>
      </c>
    </row>
    <row r="61845" customFormat="false" ht="12.8" hidden="false" customHeight="false" outlineLevel="0" collapsed="false">
      <c r="A61845" s="0" t="s">
        <v>21209</v>
      </c>
      <c r="B61845" s="0" t="str">
        <f aca="false">HYPERLINK("https://lindat.mff.cuni.cz/services/teitok/pdtc10/index.php?action=vallex&amp;frame=v-whsb_552hsa_553", "vyšívat (v-whsb_552hsa_553) - substituted with v-whsb_552f1_ZU")</f>
        <v>vyšívat (v-whsb_552hsa_553) - substituted with v-whsb_552f1_ZU</v>
      </c>
    </row>
    <row r="61846" customFormat="false" ht="12.8" hidden="false" customHeight="false" outlineLevel="0" collapsed="false">
      <c r="B61846" s="0" t="s">
        <v>7</v>
      </c>
    </row>
    <row r="61847" customFormat="false" ht="12.8" hidden="false" customHeight="false" outlineLevel="0" collapsed="false">
      <c r="B61847" s="0" t="s">
        <v>14</v>
      </c>
    </row>
    <row r="61849" customFormat="false" ht="12.8" hidden="false" customHeight="false" outlineLevel="0" collapsed="false">
      <c r="A61849" s="0" t="s">
        <v>21210</v>
      </c>
      <c r="B61849" s="0" t="str">
        <f aca="false">HYPERLINK("https://lindat.mff.cuni.cz/services/teitok/pdtc10/index.php?action=vallex&amp;frame=v-w10769f2", "vyšňořit (v-w10769f2)")</f>
        <v>vyšňořit (v-w10769f2)</v>
      </c>
    </row>
    <row r="61850" customFormat="false" ht="12.8" hidden="false" customHeight="false" outlineLevel="0" collapsed="false">
      <c r="B61850" s="0" t="s">
        <v>7</v>
      </c>
      <c r="D61850" s="0" t="s">
        <v>46</v>
      </c>
      <c r="E61850" s="0" t="s">
        <v>46</v>
      </c>
      <c r="F61850" s="0" t="s">
        <v>46</v>
      </c>
    </row>
    <row r="61851" customFormat="false" ht="12.8" hidden="false" customHeight="false" outlineLevel="0" collapsed="false">
      <c r="B61851" s="0" t="s">
        <v>14</v>
      </c>
      <c r="D61851" s="0" t="s">
        <v>567</v>
      </c>
      <c r="E61851" s="0" t="s">
        <v>567</v>
      </c>
      <c r="F61851" s="0" t="s">
        <v>567</v>
      </c>
    </row>
    <row r="61853" customFormat="false" ht="12.8" hidden="false" customHeight="false" outlineLevel="0" collapsed="false">
      <c r="A61853" s="0" t="s">
        <v>21211</v>
      </c>
      <c r="B61853" s="0" t="str">
        <f aca="false">HYPERLINK("https://lindat.mff.cuni.cz/services/teitok/pdtc10/index.php?action=vallex&amp;frame=v-w12384_MMf1_MM", "vyšťourat (v-w12384_MMf1_MM)")</f>
        <v>vyšťourat (v-w12384_MMf1_MM)</v>
      </c>
    </row>
    <row r="61854" customFormat="false" ht="12.8" hidden="false" customHeight="false" outlineLevel="0" collapsed="false">
      <c r="B61854" s="0" t="s">
        <v>7</v>
      </c>
    </row>
    <row r="61855" customFormat="false" ht="12.8" hidden="false" customHeight="false" outlineLevel="0" collapsed="false">
      <c r="B61855" s="0" t="s">
        <v>3336</v>
      </c>
    </row>
    <row r="61857" customFormat="false" ht="12.8" hidden="false" customHeight="false" outlineLevel="0" collapsed="false">
      <c r="A61857" s="0" t="s">
        <v>21212</v>
      </c>
      <c r="B61857" s="0" t="str">
        <f aca="false">HYPERLINK("https://lindat.mff.cuni.cz/services/teitok/pdtc10/index.php?action=vallex&amp;frame=v-w8628f2_ZU", "vyžadovat (v-w8628f2_ZU)")</f>
        <v>vyžadovat (v-w8628f2_ZU)</v>
      </c>
    </row>
    <row r="61858" customFormat="false" ht="12.8" hidden="false" customHeight="false" outlineLevel="0" collapsed="false">
      <c r="B61858" s="0" t="s">
        <v>265</v>
      </c>
      <c r="C61858" s="0" t="s">
        <v>21213</v>
      </c>
      <c r="D61858" s="0" t="s">
        <v>18956</v>
      </c>
      <c r="E61858" s="0" t="s">
        <v>11470</v>
      </c>
      <c r="F61858" s="0" t="s">
        <v>11470</v>
      </c>
    </row>
    <row r="61859" customFormat="false" ht="12.8" hidden="false" customHeight="false" outlineLevel="0" collapsed="false">
      <c r="B61859" s="0" t="s">
        <v>1394</v>
      </c>
      <c r="C61859" s="0" t="s">
        <v>9328</v>
      </c>
      <c r="D61859" s="0" t="s">
        <v>18958</v>
      </c>
      <c r="E61859" s="0" t="s">
        <v>11473</v>
      </c>
      <c r="F61859" s="0" t="s">
        <v>11473</v>
      </c>
    </row>
    <row r="61860" customFormat="false" ht="12.8" hidden="false" customHeight="false" outlineLevel="0" collapsed="false">
      <c r="B61860" s="0" t="s">
        <v>1395</v>
      </c>
      <c r="D61860" s="0" t="s">
        <v>1248</v>
      </c>
      <c r="E61860" s="0" t="s">
        <v>1249</v>
      </c>
      <c r="F61860" s="0" t="s">
        <v>1249</v>
      </c>
    </row>
    <row r="61862" customFormat="false" ht="12.8" hidden="false" customHeight="false" outlineLevel="0" collapsed="false">
      <c r="A61862" s="0" t="s">
        <v>21212</v>
      </c>
      <c r="B61862" s="0" t="str">
        <f aca="false">HYPERLINK("https://lindat.mff.cuni.cz/services/teitok/pdtc10/index.php?action=vallex&amp;frame=v-w8628f1", "vyžadovat (v-w8628f1) - substituted with v-w8628f2_ZU")</f>
        <v>vyžadovat (v-w8628f1) - substituted with v-w8628f2_ZU</v>
      </c>
    </row>
    <row r="61863" customFormat="false" ht="12.8" hidden="false" customHeight="false" outlineLevel="0" collapsed="false">
      <c r="B61863" s="0" t="s">
        <v>265</v>
      </c>
      <c r="C61863" s="0" t="s">
        <v>21214</v>
      </c>
    </row>
    <row r="61864" customFormat="false" ht="12.8" hidden="false" customHeight="false" outlineLevel="0" collapsed="false">
      <c r="B61864" s="0" t="s">
        <v>1394</v>
      </c>
      <c r="C61864" s="0" t="s">
        <v>21215</v>
      </c>
    </row>
    <row r="61865" customFormat="false" ht="12.8" hidden="false" customHeight="false" outlineLevel="0" collapsed="false">
      <c r="B61865" s="0" t="s">
        <v>1395</v>
      </c>
      <c r="C61865" s="0" t="s">
        <v>21216</v>
      </c>
    </row>
    <row r="61867" customFormat="false" ht="12.8" hidden="false" customHeight="false" outlineLevel="0" collapsed="false">
      <c r="A61867" s="0" t="s">
        <v>21217</v>
      </c>
      <c r="B61867" s="0" t="str">
        <f aca="false">HYPERLINK("https://lindat.mff.cuni.cz/services/teitok/pdtc10/index.php?action=vallex&amp;frame=v-w8628hsa_961", "vyžadovat (v-w8628hsa_961)")</f>
        <v>vyžadovat (v-w8628hsa_961)</v>
      </c>
    </row>
    <row r="61868" customFormat="false" ht="12.8" hidden="false" customHeight="false" outlineLevel="0" collapsed="false">
      <c r="B61868" s="0" t="s">
        <v>265</v>
      </c>
    </row>
    <row r="61869" customFormat="false" ht="12.8" hidden="false" customHeight="false" outlineLevel="0" collapsed="false">
      <c r="B61869" s="0" t="s">
        <v>1394</v>
      </c>
    </row>
    <row r="61870" customFormat="false" ht="12.8" hidden="false" customHeight="false" outlineLevel="0" collapsed="false">
      <c r="B61870" s="0" t="s">
        <v>1395</v>
      </c>
    </row>
    <row r="61872" customFormat="false" ht="12.8" hidden="false" customHeight="false" outlineLevel="0" collapsed="false">
      <c r="A61872" s="0" t="s">
        <v>21218</v>
      </c>
      <c r="B61872" s="0" t="str">
        <f aca="false">HYPERLINK("https://lindat.mff.cuni.cz/services/teitok/pdtc10/index.php?action=vallex&amp;frame=v-w8629f1", "vyžadovat si (v-w8629f1)")</f>
        <v>vyžadovat si (v-w8629f1)</v>
      </c>
    </row>
    <row r="61873" customFormat="false" ht="12.8" hidden="false" customHeight="false" outlineLevel="0" collapsed="false">
      <c r="B61873" s="0" t="s">
        <v>7</v>
      </c>
      <c r="D61873" s="0" t="s">
        <v>10636</v>
      </c>
      <c r="E61873" s="0" t="s">
        <v>10636</v>
      </c>
      <c r="F61873" s="0" t="s">
        <v>10636</v>
      </c>
    </row>
    <row r="61874" customFormat="false" ht="12.8" hidden="false" customHeight="false" outlineLevel="0" collapsed="false">
      <c r="B61874" s="0" t="s">
        <v>14</v>
      </c>
      <c r="D61874" s="0" t="s">
        <v>10637</v>
      </c>
      <c r="E61874" s="0" t="s">
        <v>10637</v>
      </c>
      <c r="F61874" s="0" t="s">
        <v>10637</v>
      </c>
    </row>
    <row r="61876" customFormat="false" ht="12.8" hidden="false" customHeight="false" outlineLevel="0" collapsed="false">
      <c r="A61876" s="0" t="s">
        <v>21219</v>
      </c>
      <c r="B61876" s="0" t="str">
        <f aca="false">HYPERLINK("https://lindat.mff.cuni.cz/services/teitok/pdtc10/index.php?action=vallex&amp;frame=v-w10733f3", "vyždímat (v-w10733f3)")</f>
        <v>vyždímat (v-w10733f3)</v>
      </c>
    </row>
    <row r="61877" customFormat="false" ht="12.8" hidden="false" customHeight="false" outlineLevel="0" collapsed="false">
      <c r="B61877" s="0" t="s">
        <v>7</v>
      </c>
      <c r="C61877" s="0" t="s">
        <v>157</v>
      </c>
    </row>
    <row r="61878" customFormat="false" ht="12.8" hidden="false" customHeight="false" outlineLevel="0" collapsed="false">
      <c r="B61878" s="0" t="s">
        <v>14</v>
      </c>
      <c r="C61878" s="0" t="s">
        <v>173</v>
      </c>
    </row>
    <row r="61879" customFormat="false" ht="12.8" hidden="false" customHeight="false" outlineLevel="0" collapsed="false">
      <c r="B61879" s="0" t="s">
        <v>35</v>
      </c>
    </row>
    <row r="61881" customFormat="false" ht="12.8" hidden="false" customHeight="false" outlineLevel="0" collapsed="false">
      <c r="A61881" s="0" t="s">
        <v>21220</v>
      </c>
      <c r="B61881" s="0" t="str">
        <f aca="false">HYPERLINK("https://lindat.mff.cuni.cz/services/teitok/pdtc10/index.php?action=vallex&amp;frame=v-w10733f4", "vyždímat (v-w10733f4)")</f>
        <v>vyždímat (v-w10733f4)</v>
      </c>
    </row>
    <row r="61882" customFormat="false" ht="12.8" hidden="false" customHeight="false" outlineLevel="0" collapsed="false">
      <c r="B61882" s="0" t="s">
        <v>7</v>
      </c>
      <c r="C61882" s="0" t="s">
        <v>157</v>
      </c>
      <c r="D61882" s="0" t="s">
        <v>157</v>
      </c>
      <c r="E61882" s="0" t="s">
        <v>157</v>
      </c>
      <c r="F61882" s="0" t="s">
        <v>157</v>
      </c>
    </row>
    <row r="61883" customFormat="false" ht="12.8" hidden="false" customHeight="false" outlineLevel="0" collapsed="false">
      <c r="B61883" s="0" t="s">
        <v>14</v>
      </c>
      <c r="C61883" s="0" t="s">
        <v>110</v>
      </c>
      <c r="D61883" s="0" t="s">
        <v>2641</v>
      </c>
      <c r="E61883" s="0" t="s">
        <v>2641</v>
      </c>
      <c r="F61883" s="0" t="s">
        <v>2641</v>
      </c>
    </row>
    <row r="61885" customFormat="false" ht="12.8" hidden="false" customHeight="false" outlineLevel="0" collapsed="false">
      <c r="A61885" s="0" t="s">
        <v>21221</v>
      </c>
      <c r="B61885" s="0" t="str">
        <f aca="false">HYPERLINK("https://lindat.mff.cuni.cz/services/teitok/pdtc10/index.php?action=vallex&amp;frame=v-w10805f2", "vyžebrat (v-w10805f2)")</f>
        <v>vyžebrat (v-w10805f2)</v>
      </c>
    </row>
    <row r="61886" customFormat="false" ht="12.8" hidden="false" customHeight="false" outlineLevel="0" collapsed="false">
      <c r="B61886" s="0" t="s">
        <v>7</v>
      </c>
      <c r="C61886" s="0" t="s">
        <v>191</v>
      </c>
    </row>
    <row r="61887" customFormat="false" ht="12.8" hidden="false" customHeight="false" outlineLevel="0" collapsed="false">
      <c r="B61887" s="0" t="s">
        <v>1394</v>
      </c>
    </row>
    <row r="61888" customFormat="false" ht="12.8" hidden="false" customHeight="false" outlineLevel="0" collapsed="false">
      <c r="B61888" s="0" t="s">
        <v>1395</v>
      </c>
    </row>
    <row r="61890" customFormat="false" ht="12.8" hidden="false" customHeight="false" outlineLevel="0" collapsed="false">
      <c r="A61890" s="0" t="s">
        <v>21222</v>
      </c>
      <c r="B61890" s="0" t="str">
        <f aca="false">HYPERLINK("https://lindat.mff.cuni.cz/services/teitok/pdtc10/index.php?action=vallex&amp;frame=v-w10660f2", "vyžebrávat (v-w10660f2)")</f>
        <v>vyžebrávat (v-w10660f2)</v>
      </c>
    </row>
    <row r="61891" customFormat="false" ht="12.8" hidden="false" customHeight="false" outlineLevel="0" collapsed="false">
      <c r="B61891" s="0" t="s">
        <v>7</v>
      </c>
    </row>
    <row r="61892" customFormat="false" ht="12.8" hidden="false" customHeight="false" outlineLevel="0" collapsed="false">
      <c r="B61892" s="0" t="s">
        <v>1394</v>
      </c>
    </row>
    <row r="61893" customFormat="false" ht="12.8" hidden="false" customHeight="false" outlineLevel="0" collapsed="false">
      <c r="B61893" s="0" t="s">
        <v>1395</v>
      </c>
    </row>
    <row r="61895" customFormat="false" ht="12.8" hidden="false" customHeight="false" outlineLevel="0" collapsed="false">
      <c r="A61895" s="0" t="s">
        <v>21223</v>
      </c>
      <c r="B61895" s="0" t="str">
        <f aca="false">HYPERLINK("https://lindat.mff.cuni.cz/services/teitok/pdtc10/index.php?action=vallex&amp;frame=v-whsa_531hsa_532", "vyžehlit (v-whsa_531hsa_532)")</f>
        <v>vyžehlit (v-whsa_531hsa_532)</v>
      </c>
    </row>
    <row r="61896" customFormat="false" ht="12.8" hidden="false" customHeight="false" outlineLevel="0" collapsed="false">
      <c r="B61896" s="0" t="s">
        <v>7</v>
      </c>
    </row>
    <row r="61897" customFormat="false" ht="12.8" hidden="false" customHeight="false" outlineLevel="0" collapsed="false">
      <c r="B61897" s="0" t="s">
        <v>14</v>
      </c>
    </row>
    <row r="61899" customFormat="false" ht="12.8" hidden="false" customHeight="false" outlineLevel="0" collapsed="false">
      <c r="A61899" s="0" t="s">
        <v>21224</v>
      </c>
      <c r="B61899" s="0" t="str">
        <f aca="false">HYPERLINK("https://lindat.mff.cuni.cz/services/teitok/pdtc10/index.php?action=vallex&amp;frame=v-w12118_ZUf1_ZU", "vyženit (v-w12118_ZUf1_ZU)")</f>
        <v>vyženit (v-w12118_ZUf1_ZU)</v>
      </c>
    </row>
    <row r="61900" customFormat="false" ht="12.8" hidden="false" customHeight="false" outlineLevel="0" collapsed="false">
      <c r="B61900" s="0" t="s">
        <v>7</v>
      </c>
    </row>
    <row r="61901" customFormat="false" ht="12.8" hidden="false" customHeight="false" outlineLevel="0" collapsed="false">
      <c r="B61901" s="0" t="s">
        <v>14</v>
      </c>
    </row>
    <row r="61903" customFormat="false" ht="12.8" hidden="false" customHeight="false" outlineLevel="0" collapsed="false">
      <c r="A61903" s="0" t="s">
        <v>21225</v>
      </c>
      <c r="B61903" s="0" t="str">
        <f aca="false">HYPERLINK("https://lindat.mff.cuni.cz/services/teitok/pdtc10/index.php?action=vallex&amp;frame=v-w11990_ZUf1_ZU", "vyživit (v-w11990_ZUf1_ZU)")</f>
        <v>vyživit (v-w11990_ZUf1_ZU)</v>
      </c>
    </row>
    <row r="61904" customFormat="false" ht="12.8" hidden="false" customHeight="false" outlineLevel="0" collapsed="false">
      <c r="B61904" s="0" t="s">
        <v>7</v>
      </c>
    </row>
    <row r="61905" customFormat="false" ht="12.8" hidden="false" customHeight="false" outlineLevel="0" collapsed="false">
      <c r="B61905" s="0" t="s">
        <v>14</v>
      </c>
    </row>
    <row r="61907" customFormat="false" ht="12.8" hidden="false" customHeight="false" outlineLevel="0" collapsed="false">
      <c r="A61907" s="0" t="s">
        <v>21226</v>
      </c>
      <c r="B61907" s="0" t="str">
        <f aca="false">HYPERLINK("https://lindat.mff.cuni.cz/services/teitok/pdtc10/index.php?action=vallex&amp;frame=v-w11019f2", "vyživovat (v-w11019f2)")</f>
        <v>vyživovat (v-w11019f2)</v>
      </c>
    </row>
    <row r="61908" customFormat="false" ht="12.8" hidden="false" customHeight="false" outlineLevel="0" collapsed="false">
      <c r="B61908" s="0" t="s">
        <v>7</v>
      </c>
      <c r="C61908" s="0" t="s">
        <v>46</v>
      </c>
      <c r="D61908" s="0" t="s">
        <v>569</v>
      </c>
      <c r="E61908" s="0" t="s">
        <v>569</v>
      </c>
      <c r="F61908" s="0" t="s">
        <v>569</v>
      </c>
    </row>
    <row r="61909" customFormat="false" ht="12.8" hidden="false" customHeight="false" outlineLevel="0" collapsed="false">
      <c r="B61909" s="0" t="s">
        <v>14</v>
      </c>
      <c r="C61909" s="0" t="s">
        <v>47</v>
      </c>
      <c r="D61909" s="0" t="s">
        <v>4963</v>
      </c>
      <c r="E61909" s="0" t="s">
        <v>4963</v>
      </c>
      <c r="F61909" s="0" t="s">
        <v>4963</v>
      </c>
    </row>
    <row r="61911" customFormat="false" ht="12.8" hidden="false" customHeight="false" outlineLevel="0" collapsed="false">
      <c r="A61911" s="0" t="s">
        <v>21227</v>
      </c>
      <c r="B61911" s="0" t="str">
        <f aca="false">HYPERLINK("https://lindat.mff.cuni.cz/services/teitok/pdtc10/index.php?action=vallex&amp;frame=v-whsa_1220hsa_1221", "vyžrat (v-whsa_1220hsa_1221)")</f>
        <v>vyžrat (v-whsa_1220hsa_1221)</v>
      </c>
    </row>
    <row r="61912" customFormat="false" ht="12.8" hidden="false" customHeight="false" outlineLevel="0" collapsed="false">
      <c r="B61912" s="0" t="s">
        <v>7</v>
      </c>
      <c r="C61912" s="0" t="s">
        <v>184</v>
      </c>
      <c r="D61912" s="0" t="s">
        <v>4380</v>
      </c>
      <c r="E61912" s="0" t="s">
        <v>4380</v>
      </c>
      <c r="F61912" s="0" t="s">
        <v>4380</v>
      </c>
    </row>
    <row r="61913" customFormat="false" ht="12.8" hidden="false" customHeight="false" outlineLevel="0" collapsed="false">
      <c r="B61913" s="0" t="s">
        <v>14</v>
      </c>
      <c r="C61913" s="0" t="s">
        <v>567</v>
      </c>
      <c r="D61913" s="0" t="s">
        <v>151</v>
      </c>
      <c r="E61913" s="0" t="s">
        <v>151</v>
      </c>
      <c r="F61913" s="0" t="s">
        <v>151</v>
      </c>
    </row>
    <row r="61915" customFormat="false" ht="12.8" hidden="false" customHeight="false" outlineLevel="0" collapsed="false">
      <c r="A61915" s="0" t="s">
        <v>21228</v>
      </c>
      <c r="B61915" s="0" t="str">
        <f aca="false">HYPERLINK("https://lindat.mff.cuni.cz/services/teitok/pdtc10/index.php?action=vallex&amp;frame=v-w8624f1", "vyžádat (v-w8624f1)")</f>
        <v>vyžádat (v-w8624f1)</v>
      </c>
    </row>
    <row r="61916" customFormat="false" ht="12.8" hidden="false" customHeight="false" outlineLevel="0" collapsed="false">
      <c r="B61916" s="0" t="s">
        <v>7</v>
      </c>
      <c r="C61916" s="0" t="s">
        <v>21229</v>
      </c>
      <c r="D61916" s="0" t="s">
        <v>18956</v>
      </c>
      <c r="E61916" s="0" t="s">
        <v>11470</v>
      </c>
      <c r="F61916" s="0" t="s">
        <v>11470</v>
      </c>
    </row>
    <row r="61917" customFormat="false" ht="12.8" hidden="false" customHeight="false" outlineLevel="0" collapsed="false">
      <c r="B61917" s="0" t="s">
        <v>14</v>
      </c>
      <c r="C61917" s="0" t="s">
        <v>21230</v>
      </c>
      <c r="D61917" s="0" t="s">
        <v>18958</v>
      </c>
      <c r="E61917" s="0" t="s">
        <v>11473</v>
      </c>
      <c r="F61917" s="0" t="s">
        <v>11473</v>
      </c>
    </row>
    <row r="61918" customFormat="false" ht="12.8" hidden="false" customHeight="false" outlineLevel="0" collapsed="false">
      <c r="B61918" s="0" t="s">
        <v>21231</v>
      </c>
      <c r="C61918" s="0" t="s">
        <v>21232</v>
      </c>
      <c r="D61918" s="0" t="s">
        <v>1248</v>
      </c>
      <c r="E61918" s="0" t="s">
        <v>1249</v>
      </c>
      <c r="F61918" s="0" t="s">
        <v>1249</v>
      </c>
    </row>
    <row r="61920" customFormat="false" ht="12.8" hidden="false" customHeight="false" outlineLevel="0" collapsed="false">
      <c r="A61920" s="0" t="s">
        <v>21233</v>
      </c>
      <c r="B61920" s="0" t="str">
        <f aca="false">HYPERLINK("https://lindat.mff.cuni.cz/services/teitok/pdtc10/index.php?action=vallex&amp;frame=v-w8625f1", "vyžádat si (v-w8625f1)")</f>
        <v>vyžádat si (v-w8625f1)</v>
      </c>
    </row>
    <row r="61921" customFormat="false" ht="12.8" hidden="false" customHeight="false" outlineLevel="0" collapsed="false">
      <c r="B61921" s="0" t="s">
        <v>7</v>
      </c>
      <c r="C61921" s="0" t="s">
        <v>21234</v>
      </c>
      <c r="D61921" s="0" t="s">
        <v>10636</v>
      </c>
      <c r="E61921" s="0" t="s">
        <v>10636</v>
      </c>
      <c r="F61921" s="0" t="s">
        <v>10636</v>
      </c>
    </row>
    <row r="61922" customFormat="false" ht="12.8" hidden="false" customHeight="false" outlineLevel="0" collapsed="false">
      <c r="B61922" s="0" t="s">
        <v>14</v>
      </c>
      <c r="C61922" s="0" t="s">
        <v>21235</v>
      </c>
      <c r="D61922" s="0" t="s">
        <v>10637</v>
      </c>
      <c r="E61922" s="0" t="s">
        <v>10637</v>
      </c>
      <c r="F61922" s="0" t="s">
        <v>10637</v>
      </c>
    </row>
    <row r="61924" customFormat="false" ht="12.8" hidden="false" customHeight="false" outlineLevel="0" collapsed="false">
      <c r="A61924" s="0" t="s">
        <v>21236</v>
      </c>
      <c r="B61924" s="0" t="str">
        <f aca="false">HYPERLINK("https://lindat.mff.cuni.cz/services/teitok/pdtc10/index.php?action=vallex&amp;frame=v-w8625f2_ZU", "vyžádat si (v-w8625f2_ZU)")</f>
        <v>vyžádat si (v-w8625f2_ZU)</v>
      </c>
    </row>
    <row r="61925" customFormat="false" ht="12.8" hidden="false" customHeight="false" outlineLevel="0" collapsed="false">
      <c r="B61925" s="0" t="s">
        <v>7</v>
      </c>
    </row>
    <row r="61926" customFormat="false" ht="12.8" hidden="false" customHeight="false" outlineLevel="0" collapsed="false">
      <c r="B61926" s="0" t="s">
        <v>14</v>
      </c>
    </row>
    <row r="61927" customFormat="false" ht="12.8" hidden="false" customHeight="false" outlineLevel="0" collapsed="false">
      <c r="B61927" s="0" t="s">
        <v>441</v>
      </c>
    </row>
    <row r="61929" customFormat="false" ht="12.8" hidden="false" customHeight="false" outlineLevel="0" collapsed="false">
      <c r="A61929" s="0" t="s">
        <v>21237</v>
      </c>
      <c r="B61929" s="0" t="str">
        <f aca="false">HYPERLINK("https://lindat.mff.cuni.cz/services/teitok/pdtc10/index.php?action=vallex&amp;frame=v-whsa_1620hsa_1621", "vyžít se (v-whsa_1620hsa_1621)")</f>
        <v>vyžít se (v-whsa_1620hsa_1621)</v>
      </c>
    </row>
    <row r="61930" customFormat="false" ht="12.8" hidden="false" customHeight="false" outlineLevel="0" collapsed="false">
      <c r="B61930" s="0" t="s">
        <v>7</v>
      </c>
    </row>
    <row r="61931" customFormat="false" ht="12.8" hidden="false" customHeight="false" outlineLevel="0" collapsed="false">
      <c r="B61931" s="0" t="s">
        <v>706</v>
      </c>
    </row>
    <row r="61933" customFormat="false" ht="12.8" hidden="false" customHeight="false" outlineLevel="0" collapsed="false">
      <c r="A61933" s="0" t="s">
        <v>21238</v>
      </c>
      <c r="B61933" s="0" t="str">
        <f aca="false">HYPERLINK("https://lindat.mff.cuni.cz/services/teitok/pdtc10/index.php?action=vallex&amp;frame=v-w10567f2", "vyžívat (v-w10567f2)")</f>
        <v>vyžívat (v-w10567f2)</v>
      </c>
    </row>
    <row r="61934" customFormat="false" ht="12.8" hidden="false" customHeight="false" outlineLevel="0" collapsed="false">
      <c r="B61934" s="0" t="s">
        <v>7</v>
      </c>
    </row>
    <row r="61935" customFormat="false" ht="12.8" hidden="false" customHeight="false" outlineLevel="0" collapsed="false">
      <c r="B61935" s="0" t="s">
        <v>14</v>
      </c>
    </row>
    <row r="61937" customFormat="false" ht="12.8" hidden="false" customHeight="false" outlineLevel="0" collapsed="false">
      <c r="A61937" s="0" t="s">
        <v>21239</v>
      </c>
      <c r="B61937" s="0" t="str">
        <f aca="false">HYPERLINK("https://lindat.mff.cuni.cz/services/teitok/pdtc10/index.php?action=vallex&amp;frame=v-w12111_ZUf2_ZU", "vyžívat se (v-w12111_ZUf2_ZU)")</f>
        <v>vyžívat se (v-w12111_ZUf2_ZU)</v>
      </c>
    </row>
    <row r="61938" customFormat="false" ht="12.8" hidden="false" customHeight="false" outlineLevel="0" collapsed="false">
      <c r="B61938" s="0" t="s">
        <v>7</v>
      </c>
    </row>
    <row r="61939" customFormat="false" ht="12.8" hidden="false" customHeight="false" outlineLevel="0" collapsed="false">
      <c r="B61939" s="0" t="s">
        <v>11824</v>
      </c>
    </row>
    <row r="61941" customFormat="false" ht="12.8" hidden="false" customHeight="false" outlineLevel="0" collapsed="false">
      <c r="A61941" s="0" t="s">
        <v>21239</v>
      </c>
      <c r="B61941" s="0" t="str">
        <f aca="false">HYPERLINK("https://lindat.mff.cuni.cz/services/teitok/pdtc10/index.php?action=vallex&amp;frame=v-w12111_ZUf1_ZU", "vyžívat se (v-w12111_ZUf1_ZU) - substituted with v-w12111_ZUf2_ZU")</f>
        <v>vyžívat se (v-w12111_ZUf1_ZU) - substituted with v-w12111_ZUf2_ZU</v>
      </c>
    </row>
    <row r="61942" customFormat="false" ht="12.8" hidden="false" customHeight="false" outlineLevel="0" collapsed="false">
      <c r="B61942" s="0" t="s">
        <v>7</v>
      </c>
    </row>
    <row r="61943" customFormat="false" ht="12.8" hidden="false" customHeight="false" outlineLevel="0" collapsed="false">
      <c r="B61943" s="0" t="s">
        <v>11824</v>
      </c>
    </row>
    <row r="61945" customFormat="false" ht="12.8" hidden="false" customHeight="false" outlineLevel="0" collapsed="false">
      <c r="A61945" s="0" t="s">
        <v>21240</v>
      </c>
      <c r="B61945" s="0" t="str">
        <f aca="false">HYPERLINK("https://lindat.mff.cuni.cz/services/teitok/pdtc10/index.php?action=vallex&amp;frame=v-w8631f1", "vzbouřit se (v-w8631f1)")</f>
        <v>vzbouřit se (v-w8631f1)</v>
      </c>
    </row>
    <row r="61946" customFormat="false" ht="12.8" hidden="false" customHeight="false" outlineLevel="0" collapsed="false">
      <c r="B61946" s="0" t="s">
        <v>7</v>
      </c>
      <c r="C61946" s="0" t="s">
        <v>184</v>
      </c>
      <c r="D61946" s="0" t="s">
        <v>351</v>
      </c>
      <c r="E61946" s="0" t="s">
        <v>351</v>
      </c>
      <c r="F61946" s="0" t="s">
        <v>351</v>
      </c>
    </row>
    <row r="61947" customFormat="false" ht="12.8" hidden="false" customHeight="false" outlineLevel="0" collapsed="false">
      <c r="B61947" s="0" t="s">
        <v>1560</v>
      </c>
      <c r="D61947" s="0" t="s">
        <v>7637</v>
      </c>
      <c r="E61947" s="0" t="s">
        <v>7637</v>
      </c>
      <c r="F61947" s="0" t="s">
        <v>7637</v>
      </c>
    </row>
    <row r="61949" customFormat="false" ht="12.8" hidden="false" customHeight="false" outlineLevel="0" collapsed="false">
      <c r="A61949" s="0" t="s">
        <v>21241</v>
      </c>
      <c r="B61949" s="0" t="str">
        <f aca="false">HYPERLINK("https://lindat.mff.cuni.cz/services/teitok/pdtc10/index.php?action=vallex&amp;frame=v-w8632f2", "vzbudit (v-w8632f2)")</f>
        <v>vzbudit (v-w8632f2)</v>
      </c>
    </row>
    <row r="61950" customFormat="false" ht="12.8" hidden="false" customHeight="false" outlineLevel="0" collapsed="false">
      <c r="B61950" s="0" t="s">
        <v>7</v>
      </c>
      <c r="D61950" s="0" t="s">
        <v>46</v>
      </c>
      <c r="E61950" s="0" t="s">
        <v>46</v>
      </c>
      <c r="F61950" s="0" t="s">
        <v>46</v>
      </c>
    </row>
    <row r="61951" customFormat="false" ht="12.8" hidden="false" customHeight="false" outlineLevel="0" collapsed="false">
      <c r="B61951" s="0" t="s">
        <v>14</v>
      </c>
      <c r="D61951" s="0" t="s">
        <v>567</v>
      </c>
      <c r="E61951" s="0" t="s">
        <v>567</v>
      </c>
      <c r="F61951" s="0" t="s">
        <v>567</v>
      </c>
    </row>
    <row r="61952" customFormat="false" ht="12.8" hidden="false" customHeight="false" outlineLevel="0" collapsed="false">
      <c r="B61952" s="0" t="s">
        <v>35</v>
      </c>
    </row>
    <row r="61954" customFormat="false" ht="12.8" hidden="false" customHeight="false" outlineLevel="0" collapsed="false">
      <c r="A61954" s="0" t="s">
        <v>21242</v>
      </c>
      <c r="B61954" s="0" t="str">
        <f aca="false">HYPERLINK("https://lindat.mff.cuni.cz/services/teitok/pdtc10/index.php?action=vallex&amp;frame=v-w8632f5_ZU", "vzbudit (v-w8632f5_ZU)")</f>
        <v>vzbudit (v-w8632f5_ZU)</v>
      </c>
    </row>
    <row r="61955" customFormat="false" ht="12.8" hidden="false" customHeight="false" outlineLevel="0" collapsed="false">
      <c r="B61955" s="0" t="s">
        <v>7</v>
      </c>
      <c r="C61955" s="0" t="s">
        <v>21243</v>
      </c>
      <c r="D61955" s="0" t="s">
        <v>570</v>
      </c>
      <c r="E61955" s="0" t="s">
        <v>570</v>
      </c>
      <c r="F61955" s="0" t="s">
        <v>570</v>
      </c>
    </row>
    <row r="61956" customFormat="false" ht="12.8" hidden="false" customHeight="false" outlineLevel="0" collapsed="false">
      <c r="B61956" s="0" t="s">
        <v>21244</v>
      </c>
      <c r="C61956" s="0" t="s">
        <v>21245</v>
      </c>
      <c r="D61956" s="0" t="s">
        <v>573</v>
      </c>
      <c r="E61956" s="0" t="s">
        <v>573</v>
      </c>
      <c r="F61956" s="0" t="s">
        <v>573</v>
      </c>
    </row>
    <row r="61957" customFormat="false" ht="12.8" hidden="false" customHeight="false" outlineLevel="0" collapsed="false">
      <c r="B61957" s="0" t="s">
        <v>11</v>
      </c>
      <c r="C61957" s="0" t="s">
        <v>21246</v>
      </c>
      <c r="D61957" s="0" t="s">
        <v>574</v>
      </c>
      <c r="E61957" s="0" t="s">
        <v>574</v>
      </c>
      <c r="F61957" s="0" t="s">
        <v>574</v>
      </c>
    </row>
    <row r="61959" customFormat="false" ht="12.8" hidden="false" customHeight="false" outlineLevel="0" collapsed="false">
      <c r="A61959" s="0" t="s">
        <v>21242</v>
      </c>
      <c r="B61959" s="0" t="str">
        <f aca="false">HYPERLINK("https://lindat.mff.cuni.cz/services/teitok/pdtc10/index.php?action=vallex&amp;frame=v-w8632f1", "vzbudit (v-w8632f1) - substituted with v-w8632f5_ZU")</f>
        <v>vzbudit (v-w8632f1) - substituted with v-w8632f5_ZU</v>
      </c>
    </row>
    <row r="61960" customFormat="false" ht="12.8" hidden="false" customHeight="false" outlineLevel="0" collapsed="false">
      <c r="B61960" s="0" t="s">
        <v>7</v>
      </c>
      <c r="C61960" s="0" t="s">
        <v>15498</v>
      </c>
    </row>
    <row r="61961" customFormat="false" ht="12.8" hidden="false" customHeight="false" outlineLevel="0" collapsed="false">
      <c r="B61961" s="0" t="s">
        <v>21244</v>
      </c>
      <c r="C61961" s="0" t="s">
        <v>9886</v>
      </c>
    </row>
    <row r="61962" customFormat="false" ht="12.8" hidden="false" customHeight="false" outlineLevel="0" collapsed="false">
      <c r="B61962" s="0" t="s">
        <v>11</v>
      </c>
    </row>
    <row r="61964" customFormat="false" ht="12.8" hidden="false" customHeight="false" outlineLevel="0" collapsed="false">
      <c r="A61964" s="0" t="s">
        <v>21242</v>
      </c>
      <c r="B61964" s="0" t="str">
        <f aca="false">HYPERLINK("https://lindat.mff.cuni.cz/services/teitok/pdtc10/index.php?action=vallex&amp;frame=v-w8632f3_ZU", "vzbudit (v-w8632f3_ZU) - substituted with v-w8632f5_ZU")</f>
        <v>vzbudit (v-w8632f3_ZU) - substituted with v-w8632f5_ZU</v>
      </c>
    </row>
    <row r="61965" customFormat="false" ht="12.8" hidden="false" customHeight="false" outlineLevel="0" collapsed="false">
      <c r="B61965" s="0" t="s">
        <v>7</v>
      </c>
    </row>
    <row r="61966" customFormat="false" ht="12.8" hidden="false" customHeight="false" outlineLevel="0" collapsed="false">
      <c r="B61966" s="0" t="s">
        <v>21244</v>
      </c>
    </row>
    <row r="61967" customFormat="false" ht="12.8" hidden="false" customHeight="false" outlineLevel="0" collapsed="false">
      <c r="B61967" s="0" t="s">
        <v>11</v>
      </c>
    </row>
    <row r="61969" customFormat="false" ht="12.8" hidden="false" customHeight="false" outlineLevel="0" collapsed="false">
      <c r="A61969" s="0" t="s">
        <v>21242</v>
      </c>
      <c r="B61969" s="0" t="str">
        <f aca="false">HYPERLINK("https://lindat.mff.cuni.cz/services/teitok/pdtc10/index.php?action=vallex&amp;frame=v-w8632f4_ZU", "vzbudit (v-w8632f4_ZU) - substituted with v-w8632f5_ZU")</f>
        <v>vzbudit (v-w8632f4_ZU) - substituted with v-w8632f5_ZU</v>
      </c>
    </row>
    <row r="61970" customFormat="false" ht="12.8" hidden="false" customHeight="false" outlineLevel="0" collapsed="false">
      <c r="B61970" s="0" t="s">
        <v>7</v>
      </c>
      <c r="C61970" s="0" t="s">
        <v>208</v>
      </c>
    </row>
    <row r="61971" customFormat="false" ht="12.8" hidden="false" customHeight="false" outlineLevel="0" collapsed="false">
      <c r="B61971" s="0" t="s">
        <v>21244</v>
      </c>
      <c r="C61971" s="0" t="s">
        <v>21247</v>
      </c>
    </row>
    <row r="61972" customFormat="false" ht="12.8" hidden="false" customHeight="false" outlineLevel="0" collapsed="false">
      <c r="B61972" s="0" t="s">
        <v>11</v>
      </c>
    </row>
    <row r="61974" customFormat="false" ht="12.8" hidden="false" customHeight="false" outlineLevel="0" collapsed="false">
      <c r="A61974" s="0" t="s">
        <v>21242</v>
      </c>
      <c r="B61974" s="0" t="str">
        <f aca="false">HYPERLINK("https://lindat.mff.cuni.cz/services/teitok/pdtc10/index.php?action=vallex&amp;frame=v-w8632hsa_636", "vzbudit (v-w8632hsa_636) - substituted with v-w8632f5_ZU")</f>
        <v>vzbudit (v-w8632hsa_636) - substituted with v-w8632f5_ZU</v>
      </c>
    </row>
    <row r="61975" customFormat="false" ht="12.8" hidden="false" customHeight="false" outlineLevel="0" collapsed="false">
      <c r="B61975" s="0" t="s">
        <v>7</v>
      </c>
      <c r="C61975" s="0" t="s">
        <v>411</v>
      </c>
    </row>
    <row r="61976" customFormat="false" ht="12.8" hidden="false" customHeight="false" outlineLevel="0" collapsed="false">
      <c r="B61976" s="0" t="s">
        <v>21244</v>
      </c>
      <c r="C61976" s="0" t="s">
        <v>21248</v>
      </c>
    </row>
    <row r="61977" customFormat="false" ht="12.8" hidden="false" customHeight="false" outlineLevel="0" collapsed="false">
      <c r="B61977" s="0" t="s">
        <v>11</v>
      </c>
    </row>
    <row r="61979" customFormat="false" ht="12.8" hidden="false" customHeight="false" outlineLevel="0" collapsed="false">
      <c r="A61979" s="0" t="s">
        <v>21249</v>
      </c>
      <c r="B61979" s="0" t="str">
        <f aca="false">HYPERLINK("https://lindat.mff.cuni.cz/services/teitok/pdtc10/index.php?action=vallex&amp;frame=v-w8633f1", "vzbudit se (v-w8633f1)")</f>
        <v>vzbudit se (v-w8633f1)</v>
      </c>
    </row>
    <row r="61980" customFormat="false" ht="12.8" hidden="false" customHeight="false" outlineLevel="0" collapsed="false">
      <c r="B61980" s="0" t="s">
        <v>7</v>
      </c>
    </row>
    <row r="61981" customFormat="false" ht="12.8" hidden="false" customHeight="false" outlineLevel="0" collapsed="false">
      <c r="B61981" s="0" t="s">
        <v>581</v>
      </c>
    </row>
    <row r="61983" customFormat="false" ht="12.8" hidden="false" customHeight="false" outlineLevel="0" collapsed="false">
      <c r="A61983" s="0" t="s">
        <v>21250</v>
      </c>
      <c r="B61983" s="0" t="str">
        <f aca="false">HYPERLINK("https://lindat.mff.cuni.cz/services/teitok/pdtc10/index.php?action=vallex&amp;frame=v-w10666f2", "vzburcovat (v-w10666f2)")</f>
        <v>vzburcovat (v-w10666f2)</v>
      </c>
    </row>
    <row r="61984" customFormat="false" ht="12.8" hidden="false" customHeight="false" outlineLevel="0" collapsed="false">
      <c r="B61984" s="0" t="s">
        <v>7</v>
      </c>
    </row>
    <row r="61985" customFormat="false" ht="12.8" hidden="false" customHeight="false" outlineLevel="0" collapsed="false">
      <c r="B61985" s="0" t="s">
        <v>14</v>
      </c>
    </row>
    <row r="61987" customFormat="false" ht="12.8" hidden="false" customHeight="false" outlineLevel="0" collapsed="false">
      <c r="A61987" s="0" t="s">
        <v>21251</v>
      </c>
      <c r="B61987" s="0" t="str">
        <f aca="false">HYPERLINK("https://lindat.mff.cuni.cz/services/teitok/pdtc10/index.php?action=vallex&amp;frame=v-w8634f8_MM", "vzbuzovat (v-w8634f8_MM)")</f>
        <v>vzbuzovat (v-w8634f8_MM)</v>
      </c>
    </row>
    <row r="61988" customFormat="false" ht="12.8" hidden="false" customHeight="false" outlineLevel="0" collapsed="false">
      <c r="B61988" s="0" t="s">
        <v>7</v>
      </c>
    </row>
    <row r="61989" customFormat="false" ht="12.8" hidden="false" customHeight="false" outlineLevel="0" collapsed="false">
      <c r="B61989" s="0" t="s">
        <v>21252</v>
      </c>
    </row>
    <row r="61990" customFormat="false" ht="12.8" hidden="false" customHeight="false" outlineLevel="0" collapsed="false">
      <c r="B61990" s="0" t="s">
        <v>11</v>
      </c>
    </row>
    <row r="61992" customFormat="false" ht="12.8" hidden="false" customHeight="false" outlineLevel="0" collapsed="false">
      <c r="A61992" s="0" t="s">
        <v>21251</v>
      </c>
      <c r="B61992" s="0" t="str">
        <f aca="false">HYPERLINK("https://lindat.mff.cuni.cz/services/teitok/pdtc10/index.php?action=vallex&amp;frame=v-w8634f1", "vzbuzovat (v-w8634f1) - substituted with v-w8634f8_MM")</f>
        <v>vzbuzovat (v-w8634f1) - substituted with v-w8634f8_MM</v>
      </c>
    </row>
    <row r="61993" customFormat="false" ht="12.8" hidden="false" customHeight="false" outlineLevel="0" collapsed="false">
      <c r="B61993" s="0" t="s">
        <v>7</v>
      </c>
    </row>
    <row r="61994" customFormat="false" ht="12.8" hidden="false" customHeight="false" outlineLevel="0" collapsed="false">
      <c r="B61994" s="0" t="s">
        <v>21252</v>
      </c>
    </row>
    <row r="61995" customFormat="false" ht="12.8" hidden="false" customHeight="false" outlineLevel="0" collapsed="false">
      <c r="B61995" s="0" t="s">
        <v>11</v>
      </c>
    </row>
    <row r="61997" customFormat="false" ht="12.8" hidden="false" customHeight="false" outlineLevel="0" collapsed="false">
      <c r="A61997" s="0" t="s">
        <v>21251</v>
      </c>
      <c r="B61997" s="0" t="str">
        <f aca="false">HYPERLINK("https://lindat.mff.cuni.cz/services/teitok/pdtc10/index.php?action=vallex&amp;frame=v-w8634f2_ZU", "vzbuzovat (v-w8634f2_ZU) - substituted with v-w8634f8_MM")</f>
        <v>vzbuzovat (v-w8634f2_ZU) - substituted with v-w8634f8_MM</v>
      </c>
    </row>
    <row r="61998" customFormat="false" ht="12.8" hidden="false" customHeight="false" outlineLevel="0" collapsed="false">
      <c r="B61998" s="0" t="s">
        <v>7</v>
      </c>
      <c r="C61998" s="0" t="s">
        <v>6398</v>
      </c>
    </row>
    <row r="61999" customFormat="false" ht="12.8" hidden="false" customHeight="false" outlineLevel="0" collapsed="false">
      <c r="B61999" s="0" t="s">
        <v>21252</v>
      </c>
      <c r="C61999" s="0" t="s">
        <v>20910</v>
      </c>
    </row>
    <row r="62000" customFormat="false" ht="12.8" hidden="false" customHeight="false" outlineLevel="0" collapsed="false">
      <c r="B62000" s="0" t="s">
        <v>11</v>
      </c>
    </row>
    <row r="62002" customFormat="false" ht="12.8" hidden="false" customHeight="false" outlineLevel="0" collapsed="false">
      <c r="A62002" s="0" t="s">
        <v>21251</v>
      </c>
      <c r="B62002" s="0" t="str">
        <f aca="false">HYPERLINK("https://lindat.mff.cuni.cz/services/teitok/pdtc10/index.php?action=vallex&amp;frame=v-w8634f3_ZU", "vzbuzovat (v-w8634f3_ZU) - substituted with v-w8634f8_MM")</f>
        <v>vzbuzovat (v-w8634f3_ZU) - substituted with v-w8634f8_MM</v>
      </c>
    </row>
    <row r="62003" customFormat="false" ht="12.8" hidden="false" customHeight="false" outlineLevel="0" collapsed="false">
      <c r="B62003" s="0" t="s">
        <v>7</v>
      </c>
      <c r="C62003" s="0" t="s">
        <v>77</v>
      </c>
    </row>
    <row r="62004" customFormat="false" ht="12.8" hidden="false" customHeight="false" outlineLevel="0" collapsed="false">
      <c r="B62004" s="0" t="s">
        <v>21252</v>
      </c>
      <c r="C62004" s="0" t="s">
        <v>21253</v>
      </c>
    </row>
    <row r="62005" customFormat="false" ht="12.8" hidden="false" customHeight="false" outlineLevel="0" collapsed="false">
      <c r="B62005" s="0" t="s">
        <v>11</v>
      </c>
    </row>
    <row r="62007" customFormat="false" ht="12.8" hidden="false" customHeight="false" outlineLevel="0" collapsed="false">
      <c r="A62007" s="0" t="s">
        <v>21251</v>
      </c>
      <c r="B62007" s="0" t="str">
        <f aca="false">HYPERLINK("https://lindat.mff.cuni.cz/services/teitok/pdtc10/index.php?action=vallex&amp;frame=v-w8634f4_ZU", "vzbuzovat (v-w8634f4_ZU) - substituted with v-w8634f8_MM")</f>
        <v>vzbuzovat (v-w8634f4_ZU) - substituted with v-w8634f8_MM</v>
      </c>
    </row>
    <row r="62008" customFormat="false" ht="12.8" hidden="false" customHeight="false" outlineLevel="0" collapsed="false">
      <c r="B62008" s="0" t="s">
        <v>7</v>
      </c>
      <c r="C62008" s="0" t="s">
        <v>19921</v>
      </c>
    </row>
    <row r="62009" customFormat="false" ht="12.8" hidden="false" customHeight="false" outlineLevel="0" collapsed="false">
      <c r="B62009" s="0" t="s">
        <v>21252</v>
      </c>
      <c r="C62009" s="0" t="s">
        <v>21254</v>
      </c>
    </row>
    <row r="62010" customFormat="false" ht="12.8" hidden="false" customHeight="false" outlineLevel="0" collapsed="false">
      <c r="B62010" s="0" t="s">
        <v>11</v>
      </c>
    </row>
    <row r="62012" customFormat="false" ht="12.8" hidden="false" customHeight="false" outlineLevel="0" collapsed="false">
      <c r="A62012" s="0" t="s">
        <v>21251</v>
      </c>
      <c r="B62012" s="0" t="str">
        <f aca="false">HYPERLINK("https://lindat.mff.cuni.cz/services/teitok/pdtc10/index.php?action=vallex&amp;frame=v-w8634f5_ZU", "vzbuzovat (v-w8634f5_ZU) - substituted with v-w8634f8_MM")</f>
        <v>vzbuzovat (v-w8634f5_ZU) - substituted with v-w8634f8_MM</v>
      </c>
    </row>
    <row r="62013" customFormat="false" ht="12.8" hidden="false" customHeight="false" outlineLevel="0" collapsed="false">
      <c r="B62013" s="0" t="s">
        <v>7</v>
      </c>
      <c r="C62013" s="0" t="s">
        <v>498</v>
      </c>
    </row>
    <row r="62014" customFormat="false" ht="12.8" hidden="false" customHeight="false" outlineLevel="0" collapsed="false">
      <c r="B62014" s="0" t="s">
        <v>21252</v>
      </c>
      <c r="C62014" s="0" t="s">
        <v>500</v>
      </c>
    </row>
    <row r="62015" customFormat="false" ht="12.8" hidden="false" customHeight="false" outlineLevel="0" collapsed="false">
      <c r="B62015" s="0" t="s">
        <v>11</v>
      </c>
    </row>
    <row r="62017" customFormat="false" ht="12.8" hidden="false" customHeight="false" outlineLevel="0" collapsed="false">
      <c r="A62017" s="0" t="s">
        <v>21251</v>
      </c>
      <c r="B62017" s="0" t="str">
        <f aca="false">HYPERLINK("https://lindat.mff.cuni.cz/services/teitok/pdtc10/index.php?action=vallex&amp;frame=v-w8634f6_ZU", "vzbuzovat (v-w8634f6_ZU) - substituted with v-w8634f8_MM")</f>
        <v>vzbuzovat (v-w8634f6_ZU) - substituted with v-w8634f8_MM</v>
      </c>
    </row>
    <row r="62018" customFormat="false" ht="12.8" hidden="false" customHeight="false" outlineLevel="0" collapsed="false">
      <c r="B62018" s="0" t="s">
        <v>7</v>
      </c>
      <c r="C62018" s="0" t="s">
        <v>184</v>
      </c>
      <c r="D62018" s="0" t="s">
        <v>570</v>
      </c>
      <c r="E62018" s="0" t="s">
        <v>570</v>
      </c>
      <c r="F62018" s="0" t="s">
        <v>570</v>
      </c>
    </row>
    <row r="62019" customFormat="false" ht="12.8" hidden="false" customHeight="false" outlineLevel="0" collapsed="false">
      <c r="B62019" s="0" t="s">
        <v>21252</v>
      </c>
      <c r="C62019" s="0" t="s">
        <v>21255</v>
      </c>
      <c r="D62019" s="0" t="s">
        <v>573</v>
      </c>
      <c r="E62019" s="0" t="s">
        <v>573</v>
      </c>
      <c r="F62019" s="0" t="s">
        <v>573</v>
      </c>
    </row>
    <row r="62020" customFormat="false" ht="12.8" hidden="false" customHeight="false" outlineLevel="0" collapsed="false">
      <c r="B62020" s="0" t="s">
        <v>11</v>
      </c>
      <c r="D62020" s="0" t="s">
        <v>574</v>
      </c>
      <c r="E62020" s="0" t="s">
        <v>574</v>
      </c>
      <c r="F62020" s="0" t="s">
        <v>574</v>
      </c>
    </row>
    <row r="62022" customFormat="false" ht="12.8" hidden="false" customHeight="false" outlineLevel="0" collapsed="false">
      <c r="A62022" s="0" t="s">
        <v>21251</v>
      </c>
      <c r="B62022" s="0" t="str">
        <f aca="false">HYPERLINK("https://lindat.mff.cuni.cz/services/teitok/pdtc10/index.php?action=vallex&amp;frame=v-w8634f7_ZU", "vzbuzovat (v-w8634f7_ZU) - substituted with v-w8634f8_MM")</f>
        <v>vzbuzovat (v-w8634f7_ZU) - substituted with v-w8634f8_MM</v>
      </c>
    </row>
    <row r="62023" customFormat="false" ht="12.8" hidden="false" customHeight="false" outlineLevel="0" collapsed="false">
      <c r="B62023" s="0" t="s">
        <v>7</v>
      </c>
    </row>
    <row r="62024" customFormat="false" ht="12.8" hidden="false" customHeight="false" outlineLevel="0" collapsed="false">
      <c r="B62024" s="0" t="s">
        <v>21252</v>
      </c>
    </row>
    <row r="62025" customFormat="false" ht="12.8" hidden="false" customHeight="false" outlineLevel="0" collapsed="false">
      <c r="B62025" s="0" t="s">
        <v>11</v>
      </c>
    </row>
    <row r="62027" customFormat="false" ht="12.8" hidden="false" customHeight="false" outlineLevel="0" collapsed="false">
      <c r="A62027" s="0" t="s">
        <v>21256</v>
      </c>
      <c r="B62027" s="0" t="str">
        <f aca="false">HYPERLINK("https://lindat.mff.cuni.cz/services/teitok/pdtc10/index.php?action=vallex&amp;frame=v-w11317f2", "vzchopit se (v-w11317f2)")</f>
        <v>vzchopit se (v-w11317f2)</v>
      </c>
    </row>
    <row r="62028" customFormat="false" ht="12.8" hidden="false" customHeight="false" outlineLevel="0" collapsed="false">
      <c r="B62028" s="0" t="s">
        <v>7</v>
      </c>
      <c r="C62028" s="0" t="s">
        <v>21257</v>
      </c>
      <c r="D62028" s="0" t="s">
        <v>1319</v>
      </c>
      <c r="E62028" s="0" t="s">
        <v>1319</v>
      </c>
      <c r="F62028" s="0" t="s">
        <v>1319</v>
      </c>
    </row>
    <row r="62029" customFormat="false" ht="12.8" hidden="false" customHeight="false" outlineLevel="0" collapsed="false">
      <c r="B62029" s="0" t="s">
        <v>1767</v>
      </c>
      <c r="C62029" s="0" t="s">
        <v>21258</v>
      </c>
    </row>
    <row r="62031" customFormat="false" ht="12.8" hidden="false" customHeight="false" outlineLevel="0" collapsed="false">
      <c r="A62031" s="0" t="s">
        <v>21259</v>
      </c>
      <c r="B62031" s="0" t="str">
        <f aca="false">HYPERLINK("https://lindat.mff.cuni.cz/services/teitok/pdtc10/index.php?action=vallex&amp;frame=v-w11317hsa_738", "vzchopit se (v-w11317hsa_738)")</f>
        <v>vzchopit se (v-w11317hsa_738)</v>
      </c>
    </row>
    <row r="62032" customFormat="false" ht="12.8" hidden="false" customHeight="false" outlineLevel="0" collapsed="false">
      <c r="B62032" s="0" t="s">
        <v>7</v>
      </c>
      <c r="C62032" s="0" t="s">
        <v>577</v>
      </c>
    </row>
    <row r="62033" customFormat="false" ht="12.8" hidden="false" customHeight="false" outlineLevel="0" collapsed="false">
      <c r="B62033" s="0" t="s">
        <v>63</v>
      </c>
      <c r="C62033" s="0" t="s">
        <v>9281</v>
      </c>
    </row>
    <row r="62034" customFormat="false" ht="12.8" hidden="false" customHeight="false" outlineLevel="0" collapsed="false">
      <c r="B62034" s="0" t="s">
        <v>35</v>
      </c>
      <c r="C62034" s="0" t="s">
        <v>9282</v>
      </c>
    </row>
    <row r="62036" customFormat="false" ht="12.8" hidden="false" customHeight="false" outlineLevel="0" collapsed="false">
      <c r="A62036" s="0" t="s">
        <v>21260</v>
      </c>
      <c r="B62036" s="0" t="str">
        <f aca="false">HYPERLINK("https://lindat.mff.cuni.cz/services/teitok/pdtc10/index.php?action=vallex&amp;frame=v-w8638f3", "vzdalovat se (v-w8638f3)")</f>
        <v>vzdalovat se (v-w8638f3)</v>
      </c>
    </row>
    <row r="62037" customFormat="false" ht="12.8" hidden="false" customHeight="false" outlineLevel="0" collapsed="false">
      <c r="B62037" s="0" t="s">
        <v>7</v>
      </c>
      <c r="D62037" s="0" t="s">
        <v>8209</v>
      </c>
      <c r="E62037" s="0" t="s">
        <v>8209</v>
      </c>
      <c r="F62037" s="0" t="s">
        <v>8209</v>
      </c>
    </row>
    <row r="62038" customFormat="false" ht="12.8" hidden="false" customHeight="false" outlineLevel="0" collapsed="false">
      <c r="B62038" s="0" t="s">
        <v>21261</v>
      </c>
      <c r="D62038" s="0" t="s">
        <v>473</v>
      </c>
      <c r="E62038" s="0" t="s">
        <v>473</v>
      </c>
      <c r="F62038" s="0" t="s">
        <v>473</v>
      </c>
    </row>
    <row r="62040" customFormat="false" ht="12.8" hidden="false" customHeight="false" outlineLevel="0" collapsed="false">
      <c r="A62040" s="0" t="s">
        <v>21262</v>
      </c>
      <c r="B62040" s="0" t="str">
        <f aca="false">HYPERLINK("https://lindat.mff.cuni.cz/services/teitok/pdtc10/index.php?action=vallex&amp;frame=v-w8638f1", "vzdalovat se (v-w8638f1)")</f>
        <v>vzdalovat se (v-w8638f1)</v>
      </c>
    </row>
    <row r="62041" customFormat="false" ht="12.8" hidden="false" customHeight="false" outlineLevel="0" collapsed="false">
      <c r="B62041" s="0" t="s">
        <v>7</v>
      </c>
      <c r="D62041" s="0" t="s">
        <v>21263</v>
      </c>
      <c r="E62041" s="0" t="s">
        <v>21263</v>
      </c>
      <c r="F62041" s="0" t="s">
        <v>21263</v>
      </c>
    </row>
    <row r="62043" customFormat="false" ht="12.8" hidden="false" customHeight="false" outlineLevel="0" collapsed="false">
      <c r="A62043" s="0" t="s">
        <v>21264</v>
      </c>
      <c r="B62043" s="0" t="str">
        <f aca="false">HYPERLINK("https://lindat.mff.cuni.cz/services/teitok/pdtc10/index.php?action=vallex&amp;frame=v-w8648f1", "vzdorovat (v-w8648f1)")</f>
        <v>vzdorovat (v-w8648f1)</v>
      </c>
    </row>
    <row r="62044" customFormat="false" ht="12.8" hidden="false" customHeight="false" outlineLevel="0" collapsed="false">
      <c r="B62044" s="0" t="s">
        <v>7</v>
      </c>
      <c r="C62044" s="0" t="s">
        <v>2170</v>
      </c>
    </row>
    <row r="62045" customFormat="false" ht="12.8" hidden="false" customHeight="false" outlineLevel="0" collapsed="false">
      <c r="B62045" s="0" t="s">
        <v>142</v>
      </c>
      <c r="C62045" s="0" t="s">
        <v>110</v>
      </c>
    </row>
    <row r="62047" customFormat="false" ht="12.8" hidden="false" customHeight="false" outlineLevel="0" collapsed="false">
      <c r="A62047" s="0" t="s">
        <v>21265</v>
      </c>
      <c r="B62047" s="0" t="str">
        <f aca="false">HYPERLINK("https://lindat.mff.cuni.cz/services/teitok/pdtc10/index.php?action=vallex&amp;frame=v-w8648f2", "vzdorovat (v-w8648f2)")</f>
        <v>vzdorovat (v-w8648f2)</v>
      </c>
    </row>
    <row r="62048" customFormat="false" ht="12.8" hidden="false" customHeight="false" outlineLevel="0" collapsed="false">
      <c r="B62048" s="0" t="s">
        <v>7</v>
      </c>
    </row>
    <row r="62049" customFormat="false" ht="12.8" hidden="false" customHeight="false" outlineLevel="0" collapsed="false">
      <c r="B62049" s="0" t="s">
        <v>142</v>
      </c>
    </row>
    <row r="62051" customFormat="false" ht="12.8" hidden="false" customHeight="false" outlineLevel="0" collapsed="false">
      <c r="A62051" s="0" t="s">
        <v>21266</v>
      </c>
      <c r="B62051" s="0" t="str">
        <f aca="false">HYPERLINK("https://lindat.mff.cuni.cz/services/teitok/pdtc10/index.php?action=vallex&amp;frame=v-whsa_117f1_ZU", "vzdouvat (v-whsa_117f1_ZU)")</f>
        <v>vzdouvat (v-whsa_117f1_ZU)</v>
      </c>
    </row>
    <row r="62052" customFormat="false" ht="12.8" hidden="false" customHeight="false" outlineLevel="0" collapsed="false">
      <c r="B62052" s="0" t="s">
        <v>7</v>
      </c>
    </row>
    <row r="62053" customFormat="false" ht="12.8" hidden="false" customHeight="false" outlineLevel="0" collapsed="false">
      <c r="B62053" s="0" t="s">
        <v>14</v>
      </c>
    </row>
    <row r="62055" customFormat="false" ht="12.8" hidden="false" customHeight="false" outlineLevel="0" collapsed="false">
      <c r="A62055" s="0" t="s">
        <v>21266</v>
      </c>
      <c r="B62055" s="0" t="str">
        <f aca="false">HYPERLINK("https://lindat.mff.cuni.cz/services/teitok/pdtc10/index.php?action=vallex&amp;frame=v-whsa_117hsa_118", "vzdouvat (v-whsa_117hsa_118) - substituted with v-whsa_117f1_ZU")</f>
        <v>vzdouvat (v-whsa_117hsa_118) - substituted with v-whsa_117f1_ZU</v>
      </c>
    </row>
    <row r="62056" customFormat="false" ht="12.8" hidden="false" customHeight="false" outlineLevel="0" collapsed="false">
      <c r="B62056" s="0" t="s">
        <v>7</v>
      </c>
    </row>
    <row r="62057" customFormat="false" ht="12.8" hidden="false" customHeight="false" outlineLevel="0" collapsed="false">
      <c r="B62057" s="0" t="s">
        <v>14</v>
      </c>
    </row>
    <row r="62059" customFormat="false" ht="12.8" hidden="false" customHeight="false" outlineLevel="0" collapsed="false">
      <c r="A62059" s="0" t="s">
        <v>21267</v>
      </c>
      <c r="B62059" s="0" t="str">
        <f aca="false">HYPERLINK("https://lindat.mff.cuni.cz/services/teitok/pdtc10/index.php?action=vallex&amp;frame=v-w8650f1", "vzdychat (v-w8650f1)")</f>
        <v>vzdychat (v-w8650f1)</v>
      </c>
    </row>
    <row r="62060" customFormat="false" ht="12.8" hidden="false" customHeight="false" outlineLevel="0" collapsed="false">
      <c r="B62060" s="0" t="s">
        <v>7</v>
      </c>
    </row>
    <row r="62062" customFormat="false" ht="12.8" hidden="false" customHeight="false" outlineLevel="0" collapsed="false">
      <c r="A62062" s="0" t="s">
        <v>21268</v>
      </c>
      <c r="B62062" s="0" t="str">
        <f aca="false">HYPERLINK("https://lindat.mff.cuni.cz/services/teitok/pdtc10/index.php?action=vallex&amp;frame=v-w8636f2", "vzdálit (v-w8636f2)")</f>
        <v>vzdálit (v-w8636f2)</v>
      </c>
    </row>
    <row r="62063" customFormat="false" ht="12.8" hidden="false" customHeight="false" outlineLevel="0" collapsed="false">
      <c r="B62063" s="0" t="s">
        <v>7</v>
      </c>
    </row>
    <row r="62064" customFormat="false" ht="12.8" hidden="false" customHeight="false" outlineLevel="0" collapsed="false">
      <c r="B62064" s="0" t="s">
        <v>14</v>
      </c>
    </row>
    <row r="62065" customFormat="false" ht="12.8" hidden="false" customHeight="false" outlineLevel="0" collapsed="false">
      <c r="B62065" s="0" t="s">
        <v>21269</v>
      </c>
    </row>
    <row r="62067" customFormat="false" ht="12.8" hidden="false" customHeight="false" outlineLevel="0" collapsed="false">
      <c r="A62067" s="0" t="s">
        <v>21270</v>
      </c>
      <c r="B62067" s="0" t="str">
        <f aca="false">HYPERLINK("https://lindat.mff.cuni.cz/services/teitok/pdtc10/index.php?action=vallex&amp;frame=v-w8636f1", "vzdálit (v-w8636f1)")</f>
        <v>vzdálit (v-w8636f1)</v>
      </c>
    </row>
    <row r="62068" customFormat="false" ht="12.8" hidden="false" customHeight="false" outlineLevel="0" collapsed="false">
      <c r="B62068" s="0" t="s">
        <v>7</v>
      </c>
    </row>
    <row r="62069" customFormat="false" ht="12.8" hidden="false" customHeight="false" outlineLevel="0" collapsed="false">
      <c r="B62069" s="0" t="s">
        <v>14</v>
      </c>
    </row>
    <row r="62070" customFormat="false" ht="12.8" hidden="false" customHeight="false" outlineLevel="0" collapsed="false">
      <c r="B62070" s="0" t="s">
        <v>459</v>
      </c>
    </row>
    <row r="62072" customFormat="false" ht="12.8" hidden="false" customHeight="false" outlineLevel="0" collapsed="false">
      <c r="A62072" s="0" t="s">
        <v>21271</v>
      </c>
      <c r="B62072" s="0" t="str">
        <f aca="false">HYPERLINK("https://lindat.mff.cuni.cz/services/teitok/pdtc10/index.php?action=vallex&amp;frame=v-w8637f1", "vzdálit se (v-w8637f1)")</f>
        <v>vzdálit se (v-w8637f1)</v>
      </c>
    </row>
    <row r="62073" customFormat="false" ht="12.8" hidden="false" customHeight="false" outlineLevel="0" collapsed="false">
      <c r="B62073" s="0" t="s">
        <v>7</v>
      </c>
      <c r="C62073" s="0" t="s">
        <v>46</v>
      </c>
      <c r="D62073" s="0" t="s">
        <v>284</v>
      </c>
      <c r="E62073" s="0" t="s">
        <v>284</v>
      </c>
      <c r="F62073" s="0" t="s">
        <v>284</v>
      </c>
    </row>
    <row r="62075" customFormat="false" ht="12.8" hidden="false" customHeight="false" outlineLevel="0" collapsed="false">
      <c r="A62075" s="0" t="s">
        <v>21272</v>
      </c>
      <c r="B62075" s="0" t="str">
        <f aca="false">HYPERLINK("https://lindat.mff.cuni.cz/services/teitok/pdtc10/index.php?action=vallex&amp;frame=v-w8640f2", "vzdát (v-w8640f2)")</f>
        <v>vzdát (v-w8640f2)</v>
      </c>
    </row>
    <row r="62076" customFormat="false" ht="12.8" hidden="false" customHeight="false" outlineLevel="0" collapsed="false">
      <c r="B62076" s="0" t="s">
        <v>7</v>
      </c>
    </row>
    <row r="62077" customFormat="false" ht="12.8" hidden="false" customHeight="false" outlineLevel="0" collapsed="false">
      <c r="B62077" s="0" t="s">
        <v>142</v>
      </c>
    </row>
    <row r="62079" customFormat="false" ht="12.8" hidden="false" customHeight="false" outlineLevel="0" collapsed="false">
      <c r="A62079" s="0" t="s">
        <v>21273</v>
      </c>
      <c r="B62079" s="0" t="str">
        <f aca="false">HYPERLINK("https://lindat.mff.cuni.cz/services/teitok/pdtc10/index.php?action=vallex&amp;frame=v-w8640f1", "vzdát (v-w8640f1)")</f>
        <v>vzdát (v-w8640f1)</v>
      </c>
    </row>
    <row r="62080" customFormat="false" ht="12.8" hidden="false" customHeight="false" outlineLevel="0" collapsed="false">
      <c r="B62080" s="0" t="s">
        <v>7</v>
      </c>
      <c r="C62080" s="0" t="s">
        <v>2199</v>
      </c>
      <c r="D62080" s="0" t="s">
        <v>1399</v>
      </c>
      <c r="E62080" s="0" t="s">
        <v>1399</v>
      </c>
      <c r="F62080" s="0" t="s">
        <v>1399</v>
      </c>
    </row>
    <row r="62081" customFormat="false" ht="12.8" hidden="false" customHeight="false" outlineLevel="0" collapsed="false">
      <c r="B62081" s="0" t="s">
        <v>14</v>
      </c>
      <c r="C62081" s="0" t="s">
        <v>3816</v>
      </c>
      <c r="D62081" s="0" t="s">
        <v>1401</v>
      </c>
      <c r="E62081" s="0" t="s">
        <v>1401</v>
      </c>
      <c r="F62081" s="0" t="s">
        <v>1401</v>
      </c>
    </row>
    <row r="62083" customFormat="false" ht="12.8" hidden="false" customHeight="false" outlineLevel="0" collapsed="false">
      <c r="A62083" s="0" t="s">
        <v>21274</v>
      </c>
      <c r="B62083" s="0" t="str">
        <f aca="false">HYPERLINK("https://lindat.mff.cuni.cz/services/teitok/pdtc10/index.php?action=vallex&amp;frame=v-w8640f3", "vzdát (v-w8640f3)")</f>
        <v>vzdát (v-w8640f3)</v>
      </c>
    </row>
    <row r="62084" customFormat="false" ht="12.8" hidden="false" customHeight="false" outlineLevel="0" collapsed="false">
      <c r="B62084" s="0" t="s">
        <v>7</v>
      </c>
    </row>
    <row r="62085" customFormat="false" ht="12.8" hidden="false" customHeight="false" outlineLevel="0" collapsed="false">
      <c r="B62085" s="0" t="s">
        <v>21275</v>
      </c>
    </row>
    <row r="62086" customFormat="false" ht="12.8" hidden="false" customHeight="false" outlineLevel="0" collapsed="false">
      <c r="B62086" s="0" t="s">
        <v>48</v>
      </c>
    </row>
    <row r="62088" customFormat="false" ht="12.8" hidden="false" customHeight="false" outlineLevel="0" collapsed="false">
      <c r="A62088" s="0" t="s">
        <v>21276</v>
      </c>
      <c r="B62088" s="0" t="str">
        <f aca="false">HYPERLINK("https://lindat.mff.cuni.cz/services/teitok/pdtc10/index.php?action=vallex&amp;frame=v-w8640f4_ZU", "vzdát (v-w8640f4_ZU)")</f>
        <v>vzdát (v-w8640f4_ZU)</v>
      </c>
    </row>
    <row r="62089" customFormat="false" ht="12.8" hidden="false" customHeight="false" outlineLevel="0" collapsed="false">
      <c r="B62089" s="0" t="s">
        <v>7</v>
      </c>
      <c r="C62089" s="0" t="s">
        <v>460</v>
      </c>
    </row>
    <row r="62090" customFormat="false" ht="12.8" hidden="false" customHeight="false" outlineLevel="0" collapsed="false">
      <c r="B62090" s="0" t="s">
        <v>14</v>
      </c>
      <c r="C62090" s="0" t="s">
        <v>120</v>
      </c>
    </row>
    <row r="62091" customFormat="false" ht="12.8" hidden="false" customHeight="false" outlineLevel="0" collapsed="false">
      <c r="B62091" s="0" t="s">
        <v>48</v>
      </c>
      <c r="C62091" s="0" t="s">
        <v>1165</v>
      </c>
    </row>
    <row r="62093" customFormat="false" ht="12.8" hidden="false" customHeight="false" outlineLevel="0" collapsed="false">
      <c r="A62093" s="0" t="s">
        <v>21277</v>
      </c>
      <c r="B62093" s="0" t="str">
        <f aca="false">HYPERLINK("https://lindat.mff.cuni.cz/services/teitok/pdtc10/index.php?action=vallex&amp;frame=v-w8641f1", "vzdát se (v-w8641f1)")</f>
        <v>vzdát se (v-w8641f1)</v>
      </c>
    </row>
    <row r="62094" customFormat="false" ht="12.8" hidden="false" customHeight="false" outlineLevel="0" collapsed="false">
      <c r="B62094" s="0" t="s">
        <v>7</v>
      </c>
      <c r="C62094" s="0" t="s">
        <v>21278</v>
      </c>
    </row>
    <row r="62095" customFormat="false" ht="12.8" hidden="false" customHeight="false" outlineLevel="0" collapsed="false">
      <c r="B62095" s="0" t="s">
        <v>1087</v>
      </c>
      <c r="C62095" s="0" t="s">
        <v>21279</v>
      </c>
    </row>
    <row r="62097" customFormat="false" ht="12.8" hidden="false" customHeight="false" outlineLevel="0" collapsed="false">
      <c r="A62097" s="0" t="s">
        <v>21280</v>
      </c>
      <c r="B62097" s="0" t="str">
        <f aca="false">HYPERLINK("https://lindat.mff.cuni.cz/services/teitok/pdtc10/index.php?action=vallex&amp;frame=v-w8641f2", "vzdát se (v-w8641f2)")</f>
        <v>vzdát se (v-w8641f2)</v>
      </c>
    </row>
    <row r="62098" customFormat="false" ht="12.8" hidden="false" customHeight="false" outlineLevel="0" collapsed="false">
      <c r="B62098" s="0" t="s">
        <v>7</v>
      </c>
      <c r="C62098" s="0" t="s">
        <v>1758</v>
      </c>
      <c r="D62098" s="0" t="s">
        <v>4567</v>
      </c>
      <c r="E62098" s="0" t="s">
        <v>4567</v>
      </c>
      <c r="F62098" s="0" t="s">
        <v>4568</v>
      </c>
    </row>
    <row r="62099" customFormat="false" ht="12.8" hidden="false" customHeight="false" outlineLevel="0" collapsed="false">
      <c r="B62099" s="0" t="s">
        <v>119</v>
      </c>
      <c r="C62099" s="0" t="s">
        <v>4866</v>
      </c>
      <c r="D62099" s="0" t="s">
        <v>4569</v>
      </c>
      <c r="E62099" s="0" t="s">
        <v>4569</v>
      </c>
      <c r="F62099" s="0" t="s">
        <v>4570</v>
      </c>
    </row>
    <row r="62101" customFormat="false" ht="12.8" hidden="false" customHeight="false" outlineLevel="0" collapsed="false">
      <c r="A62101" s="0" t="s">
        <v>21281</v>
      </c>
      <c r="B62101" s="0" t="str">
        <f aca="false">HYPERLINK("https://lindat.mff.cuni.cz/services/teitok/pdtc10/index.php?action=vallex&amp;frame=v-w8642f1", "vzdávat (v-w8642f1)")</f>
        <v>vzdávat (v-w8642f1)</v>
      </c>
    </row>
    <row r="62102" customFormat="false" ht="12.8" hidden="false" customHeight="false" outlineLevel="0" collapsed="false">
      <c r="B62102" s="0" t="s">
        <v>7</v>
      </c>
      <c r="C62102" s="0" t="s">
        <v>4208</v>
      </c>
      <c r="D62102" s="0" t="s">
        <v>1399</v>
      </c>
      <c r="E62102" s="0" t="s">
        <v>1399</v>
      </c>
      <c r="F62102" s="0" t="s">
        <v>1399</v>
      </c>
    </row>
    <row r="62103" customFormat="false" ht="12.8" hidden="false" customHeight="false" outlineLevel="0" collapsed="false">
      <c r="B62103" s="0" t="s">
        <v>14</v>
      </c>
      <c r="C62103" s="0" t="s">
        <v>1277</v>
      </c>
      <c r="D62103" s="0" t="s">
        <v>1401</v>
      </c>
      <c r="E62103" s="0" t="s">
        <v>1401</v>
      </c>
      <c r="F62103" s="0" t="s">
        <v>1401</v>
      </c>
    </row>
    <row r="62105" customFormat="false" ht="12.8" hidden="false" customHeight="false" outlineLevel="0" collapsed="false">
      <c r="A62105" s="0" t="s">
        <v>21282</v>
      </c>
      <c r="B62105" s="0" t="str">
        <f aca="false">HYPERLINK("https://lindat.mff.cuni.cz/services/teitok/pdtc10/index.php?action=vallex&amp;frame=v-w8642f3_ZU", "vzdávat (v-w8642f3_ZU)")</f>
        <v>vzdávat (v-w8642f3_ZU)</v>
      </c>
    </row>
    <row r="62106" customFormat="false" ht="12.8" hidden="false" customHeight="false" outlineLevel="0" collapsed="false">
      <c r="B62106" s="0" t="s">
        <v>7</v>
      </c>
    </row>
    <row r="62107" customFormat="false" ht="12.8" hidden="false" customHeight="false" outlineLevel="0" collapsed="false">
      <c r="B62107" s="0" t="s">
        <v>21283</v>
      </c>
    </row>
    <row r="62108" customFormat="false" ht="12.8" hidden="false" customHeight="false" outlineLevel="0" collapsed="false">
      <c r="B62108" s="0" t="s">
        <v>48</v>
      </c>
    </row>
    <row r="62110" customFormat="false" ht="12.8" hidden="false" customHeight="false" outlineLevel="0" collapsed="false">
      <c r="A62110" s="0" t="s">
        <v>21282</v>
      </c>
      <c r="B62110" s="0" t="str">
        <f aca="false">HYPERLINK("https://lindat.mff.cuni.cz/services/teitok/pdtc10/index.php?action=vallex&amp;frame=v-w8642f2", "vzdávat (v-w8642f2) - substituted with v-w8642f3_ZU")</f>
        <v>vzdávat (v-w8642f2) - substituted with v-w8642f3_ZU</v>
      </c>
    </row>
    <row r="62111" customFormat="false" ht="12.8" hidden="false" customHeight="false" outlineLevel="0" collapsed="false">
      <c r="B62111" s="0" t="s">
        <v>7</v>
      </c>
    </row>
    <row r="62112" customFormat="false" ht="12.8" hidden="false" customHeight="false" outlineLevel="0" collapsed="false">
      <c r="B62112" s="0" t="s">
        <v>21283</v>
      </c>
    </row>
    <row r="62113" customFormat="false" ht="12.8" hidden="false" customHeight="false" outlineLevel="0" collapsed="false">
      <c r="B62113" s="0" t="s">
        <v>48</v>
      </c>
    </row>
    <row r="62115" customFormat="false" ht="12.8" hidden="false" customHeight="false" outlineLevel="0" collapsed="false">
      <c r="A62115" s="0" t="s">
        <v>21284</v>
      </c>
      <c r="B62115" s="0" t="str">
        <f aca="false">HYPERLINK("https://lindat.mff.cuni.cz/services/teitok/pdtc10/index.php?action=vallex&amp;frame=v-w8643f1", "vzdávat se (v-w8643f1)")</f>
        <v>vzdávat se (v-w8643f1)</v>
      </c>
    </row>
    <row r="62116" customFormat="false" ht="12.8" hidden="false" customHeight="false" outlineLevel="0" collapsed="false">
      <c r="B62116" s="0" t="s">
        <v>7</v>
      </c>
      <c r="C62116" s="0" t="s">
        <v>2583</v>
      </c>
      <c r="D62116" s="0" t="s">
        <v>21</v>
      </c>
      <c r="E62116" s="0" t="s">
        <v>21</v>
      </c>
      <c r="F62116" s="0" t="s">
        <v>21</v>
      </c>
    </row>
    <row r="62117" customFormat="false" ht="12.8" hidden="false" customHeight="false" outlineLevel="0" collapsed="false">
      <c r="B62117" s="0" t="s">
        <v>1087</v>
      </c>
      <c r="C62117" s="0" t="s">
        <v>7256</v>
      </c>
      <c r="D62117" s="0" t="s">
        <v>1146</v>
      </c>
      <c r="E62117" s="0" t="s">
        <v>1146</v>
      </c>
      <c r="F62117" s="0" t="s">
        <v>1146</v>
      </c>
    </row>
    <row r="62119" customFormat="false" ht="12.8" hidden="false" customHeight="false" outlineLevel="0" collapsed="false">
      <c r="A62119" s="0" t="s">
        <v>21285</v>
      </c>
      <c r="B62119" s="0" t="str">
        <f aca="false">HYPERLINK("https://lindat.mff.cuni.cz/services/teitok/pdtc10/index.php?action=vallex&amp;frame=v-w8643f2", "vzdávat se (v-w8643f2)")</f>
        <v>vzdávat se (v-w8643f2)</v>
      </c>
    </row>
    <row r="62120" customFormat="false" ht="12.8" hidden="false" customHeight="false" outlineLevel="0" collapsed="false">
      <c r="B62120" s="0" t="s">
        <v>7</v>
      </c>
      <c r="C62120" s="0" t="s">
        <v>19441</v>
      </c>
      <c r="D62120" s="0" t="s">
        <v>4567</v>
      </c>
      <c r="E62120" s="0" t="s">
        <v>4567</v>
      </c>
      <c r="F62120" s="0" t="s">
        <v>4568</v>
      </c>
    </row>
    <row r="62121" customFormat="false" ht="12.8" hidden="false" customHeight="false" outlineLevel="0" collapsed="false">
      <c r="B62121" s="0" t="s">
        <v>119</v>
      </c>
      <c r="D62121" s="0" t="s">
        <v>4569</v>
      </c>
      <c r="E62121" s="0" t="s">
        <v>4569</v>
      </c>
      <c r="F62121" s="0" t="s">
        <v>4570</v>
      </c>
    </row>
    <row r="62123" customFormat="false" ht="12.8" hidden="false" customHeight="false" outlineLevel="0" collapsed="false">
      <c r="A62123" s="0" t="s">
        <v>21286</v>
      </c>
      <c r="B62123" s="0" t="str">
        <f aca="false">HYPERLINK("https://lindat.mff.cuni.cz/services/teitok/pdtc10/index.php?action=vallex&amp;frame=v-w8645f1", "vzdělat (v-w8645f1)")</f>
        <v>vzdělat (v-w8645f1)</v>
      </c>
    </row>
    <row r="62124" customFormat="false" ht="12.8" hidden="false" customHeight="false" outlineLevel="0" collapsed="false">
      <c r="B62124" s="0" t="s">
        <v>7</v>
      </c>
      <c r="D62124" s="0" t="s">
        <v>23</v>
      </c>
      <c r="E62124" s="0" t="s">
        <v>23</v>
      </c>
      <c r="F62124" s="0" t="s">
        <v>23</v>
      </c>
    </row>
    <row r="62125" customFormat="false" ht="12.8" hidden="false" customHeight="false" outlineLevel="0" collapsed="false">
      <c r="B62125" s="0" t="s">
        <v>14</v>
      </c>
      <c r="D62125" s="0" t="s">
        <v>21287</v>
      </c>
      <c r="E62125" s="0" t="s">
        <v>21287</v>
      </c>
      <c r="F62125" s="0" t="s">
        <v>21287</v>
      </c>
    </row>
    <row r="62127" customFormat="false" ht="12.8" hidden="false" customHeight="false" outlineLevel="0" collapsed="false">
      <c r="A62127" s="0" t="s">
        <v>21288</v>
      </c>
      <c r="B62127" s="0" t="str">
        <f aca="false">HYPERLINK("https://lindat.mff.cuni.cz/services/teitok/pdtc10/index.php?action=vallex&amp;frame=v-w8647f2_ZU", "vzdělávat (v-w8647f2_ZU)")</f>
        <v>vzdělávat (v-w8647f2_ZU)</v>
      </c>
    </row>
    <row r="62128" customFormat="false" ht="12.8" hidden="false" customHeight="false" outlineLevel="0" collapsed="false">
      <c r="B62128" s="0" t="s">
        <v>7</v>
      </c>
    </row>
    <row r="62129" customFormat="false" ht="12.8" hidden="false" customHeight="false" outlineLevel="0" collapsed="false">
      <c r="B62129" s="0" t="s">
        <v>14</v>
      </c>
    </row>
    <row r="62131" customFormat="false" ht="12.8" hidden="false" customHeight="false" outlineLevel="0" collapsed="false">
      <c r="A62131" s="0" t="s">
        <v>21288</v>
      </c>
      <c r="B62131" s="0" t="str">
        <f aca="false">HYPERLINK("https://lindat.mff.cuni.cz/services/teitok/pdtc10/index.php?action=vallex&amp;frame=v-w8647f1", "vzdělávat (v-w8647f1) - substituted with v-w8647f2_ZU")</f>
        <v>vzdělávat (v-w8647f1) - substituted with v-w8647f2_ZU</v>
      </c>
    </row>
    <row r="62132" customFormat="false" ht="12.8" hidden="false" customHeight="false" outlineLevel="0" collapsed="false">
      <c r="B62132" s="0" t="s">
        <v>7</v>
      </c>
      <c r="C62132" s="0" t="s">
        <v>46</v>
      </c>
      <c r="D62132" s="0" t="s">
        <v>23</v>
      </c>
      <c r="E62132" s="0" t="s">
        <v>23</v>
      </c>
      <c r="F62132" s="0" t="s">
        <v>23</v>
      </c>
    </row>
    <row r="62133" customFormat="false" ht="12.8" hidden="false" customHeight="false" outlineLevel="0" collapsed="false">
      <c r="B62133" s="0" t="s">
        <v>14</v>
      </c>
      <c r="C62133" s="0" t="s">
        <v>21289</v>
      </c>
      <c r="D62133" s="0" t="s">
        <v>21287</v>
      </c>
      <c r="E62133" s="0" t="s">
        <v>21287</v>
      </c>
      <c r="F62133" s="0" t="s">
        <v>21287</v>
      </c>
    </row>
    <row r="62135" customFormat="false" ht="12.8" hidden="false" customHeight="false" outlineLevel="0" collapsed="false">
      <c r="A62135" s="0" t="s">
        <v>21290</v>
      </c>
      <c r="B62135" s="0" t="str">
        <f aca="false">HYPERLINK("https://lindat.mff.cuni.cz/services/teitok/pdtc10/index.php?action=vallex&amp;frame=v-w8651f1", "vzedmout (v-w8651f1)")</f>
        <v>vzedmout (v-w8651f1)</v>
      </c>
    </row>
    <row r="62136" customFormat="false" ht="12.8" hidden="false" customHeight="false" outlineLevel="0" collapsed="false">
      <c r="B62136" s="0" t="s">
        <v>7</v>
      </c>
    </row>
    <row r="62137" customFormat="false" ht="12.8" hidden="false" customHeight="false" outlineLevel="0" collapsed="false">
      <c r="B62137" s="0" t="s">
        <v>14</v>
      </c>
    </row>
    <row r="62139" customFormat="false" ht="12.8" hidden="false" customHeight="false" outlineLevel="0" collapsed="false">
      <c r="A62139" s="0" t="s">
        <v>21291</v>
      </c>
      <c r="B62139" s="0" t="str">
        <f aca="false">HYPERLINK("https://lindat.mff.cuni.cz/services/teitok/pdtc10/index.php?action=vallex&amp;frame=v-w11488f1", "vzedmout se (v-w11488f1)")</f>
        <v>vzedmout se (v-w11488f1)</v>
      </c>
    </row>
    <row r="62140" customFormat="false" ht="12.8" hidden="false" customHeight="false" outlineLevel="0" collapsed="false">
      <c r="B62140" s="0" t="s">
        <v>7</v>
      </c>
      <c r="C62140" s="0" t="s">
        <v>21292</v>
      </c>
    </row>
    <row r="62142" customFormat="false" ht="12.8" hidden="false" customHeight="false" outlineLevel="0" collapsed="false">
      <c r="A62142" s="0" t="s">
        <v>21293</v>
      </c>
      <c r="B62142" s="0" t="str">
        <f aca="false">HYPERLINK("https://lindat.mff.cuni.cz/services/teitok/pdtc10/index.php?action=vallex&amp;frame=v-w8652f1", "vzejít (v-w8652f1)")</f>
        <v>vzejít (v-w8652f1)</v>
      </c>
    </row>
    <row r="62143" customFormat="false" ht="12.8" hidden="false" customHeight="false" outlineLevel="0" collapsed="false">
      <c r="B62143" s="0" t="s">
        <v>7</v>
      </c>
      <c r="C62143" s="0" t="s">
        <v>21294</v>
      </c>
      <c r="D62143" s="0" t="s">
        <v>9818</v>
      </c>
      <c r="E62143" s="0" t="s">
        <v>9818</v>
      </c>
      <c r="F62143" s="0" t="s">
        <v>9818</v>
      </c>
    </row>
    <row r="62144" customFormat="false" ht="12.8" hidden="false" customHeight="false" outlineLevel="0" collapsed="false">
      <c r="B62144" s="0" t="s">
        <v>227</v>
      </c>
      <c r="C62144" s="0" t="s">
        <v>21295</v>
      </c>
      <c r="D62144" s="0" t="s">
        <v>9820</v>
      </c>
      <c r="E62144" s="0" t="s">
        <v>9820</v>
      </c>
      <c r="F62144" s="0" t="s">
        <v>9820</v>
      </c>
    </row>
    <row r="62146" customFormat="false" ht="12.8" hidden="false" customHeight="false" outlineLevel="0" collapsed="false">
      <c r="A62146" s="0" t="s">
        <v>21296</v>
      </c>
      <c r="B62146" s="0" t="str">
        <f aca="false">HYPERLINK("https://lindat.mff.cuni.cz/services/teitok/pdtc10/index.php?action=vallex&amp;frame=v-w8652f2", "vzejít (v-w8652f2)")</f>
        <v>vzejít (v-w8652f2)</v>
      </c>
    </row>
    <row r="62147" customFormat="false" ht="12.8" hidden="false" customHeight="false" outlineLevel="0" collapsed="false">
      <c r="B62147" s="0" t="s">
        <v>7</v>
      </c>
    </row>
    <row r="62148" customFormat="false" ht="12.8" hidden="false" customHeight="false" outlineLevel="0" collapsed="false">
      <c r="B62148" s="0" t="s">
        <v>459</v>
      </c>
    </row>
    <row r="62150" customFormat="false" ht="12.8" hidden="false" customHeight="false" outlineLevel="0" collapsed="false">
      <c r="A62150" s="0" t="s">
        <v>21297</v>
      </c>
      <c r="B62150" s="0" t="str">
        <f aca="false">HYPERLINK("https://lindat.mff.cuni.cz/services/teitok/pdtc10/index.php?action=vallex&amp;frame=v-w11387f2", "vzepnout se (v-w11387f2)")</f>
        <v>vzepnout se (v-w11387f2)</v>
      </c>
    </row>
    <row r="62151" customFormat="false" ht="12.8" hidden="false" customHeight="false" outlineLevel="0" collapsed="false">
      <c r="B62151" s="0" t="s">
        <v>7</v>
      </c>
      <c r="C62151" s="0" t="s">
        <v>1378</v>
      </c>
    </row>
    <row r="62152" customFormat="false" ht="12.8" hidden="false" customHeight="false" outlineLevel="0" collapsed="false">
      <c r="B62152" s="0" t="s">
        <v>237</v>
      </c>
    </row>
    <row r="62154" customFormat="false" ht="12.8" hidden="false" customHeight="false" outlineLevel="0" collapsed="false">
      <c r="A62154" s="0" t="s">
        <v>21298</v>
      </c>
      <c r="B62154" s="0" t="str">
        <f aca="false">HYPERLINK("https://lindat.mff.cuni.cz/services/teitok/pdtc10/index.php?action=vallex&amp;frame=v-w11311f1", "vzepřít se (v-w11311f1)")</f>
        <v>vzepřít se (v-w11311f1)</v>
      </c>
    </row>
    <row r="62155" customFormat="false" ht="12.8" hidden="false" customHeight="false" outlineLevel="0" collapsed="false">
      <c r="B62155" s="0" t="s">
        <v>7</v>
      </c>
      <c r="C62155" s="0" t="s">
        <v>1263</v>
      </c>
      <c r="D62155" s="0" t="s">
        <v>108</v>
      </c>
      <c r="E62155" s="0" t="s">
        <v>108</v>
      </c>
      <c r="F62155" s="0" t="s">
        <v>108</v>
      </c>
    </row>
    <row r="62156" customFormat="false" ht="12.8" hidden="false" customHeight="false" outlineLevel="0" collapsed="false">
      <c r="B62156" s="0" t="s">
        <v>10902</v>
      </c>
      <c r="C62156" s="0" t="s">
        <v>151</v>
      </c>
      <c r="D62156" s="0" t="s">
        <v>1809</v>
      </c>
      <c r="E62156" s="0" t="s">
        <v>1809</v>
      </c>
      <c r="F62156" s="0" t="s">
        <v>1809</v>
      </c>
    </row>
    <row r="62158" customFormat="false" ht="12.8" hidden="false" customHeight="false" outlineLevel="0" collapsed="false">
      <c r="A62158" s="0" t="s">
        <v>21299</v>
      </c>
      <c r="B62158" s="0" t="str">
        <f aca="false">HYPERLINK("https://lindat.mff.cuni.cz/services/teitok/pdtc10/index.php?action=vallex&amp;frame=v-w8655f1", "vzhlédnout (v-w8655f1)")</f>
        <v>vzhlédnout (v-w8655f1)</v>
      </c>
    </row>
    <row r="62159" customFormat="false" ht="12.8" hidden="false" customHeight="false" outlineLevel="0" collapsed="false">
      <c r="B62159" s="0" t="s">
        <v>7</v>
      </c>
      <c r="C62159" s="0" t="s">
        <v>2736</v>
      </c>
    </row>
    <row r="62160" customFormat="false" ht="12.8" hidden="false" customHeight="false" outlineLevel="0" collapsed="false">
      <c r="B62160" s="0" t="s">
        <v>459</v>
      </c>
    </row>
    <row r="62162" customFormat="false" ht="12.8" hidden="false" customHeight="false" outlineLevel="0" collapsed="false">
      <c r="A62162" s="0" t="s">
        <v>21300</v>
      </c>
      <c r="B62162" s="0" t="str">
        <f aca="false">HYPERLINK("https://lindat.mff.cuni.cz/services/teitok/pdtc10/index.php?action=vallex&amp;frame=v-w8655f2", "vzhlédnout (v-w8655f2)")</f>
        <v>vzhlédnout (v-w8655f2)</v>
      </c>
    </row>
    <row r="62163" customFormat="false" ht="12.8" hidden="false" customHeight="false" outlineLevel="0" collapsed="false">
      <c r="B62163" s="0" t="s">
        <v>7</v>
      </c>
    </row>
    <row r="62164" customFormat="false" ht="12.8" hidden="false" customHeight="false" outlineLevel="0" collapsed="false">
      <c r="B62164" s="0" t="s">
        <v>124</v>
      </c>
    </row>
    <row r="62166" customFormat="false" ht="12.8" hidden="false" customHeight="false" outlineLevel="0" collapsed="false">
      <c r="A62166" s="0" t="s">
        <v>21301</v>
      </c>
      <c r="B62166" s="0" t="str">
        <f aca="false">HYPERLINK("https://lindat.mff.cuni.cz/services/teitok/pdtc10/index.php?action=vallex&amp;frame=v-w8656f1", "vzhlížet (v-w8656f1)")</f>
        <v>vzhlížet (v-w8656f1)</v>
      </c>
    </row>
    <row r="62167" customFormat="false" ht="12.8" hidden="false" customHeight="false" outlineLevel="0" collapsed="false">
      <c r="B62167" s="0" t="s">
        <v>7</v>
      </c>
    </row>
    <row r="62168" customFormat="false" ht="12.8" hidden="false" customHeight="false" outlineLevel="0" collapsed="false">
      <c r="B62168" s="0" t="s">
        <v>237</v>
      </c>
    </row>
    <row r="62170" customFormat="false" ht="12.8" hidden="false" customHeight="false" outlineLevel="0" collapsed="false">
      <c r="A62170" s="0" t="s">
        <v>21302</v>
      </c>
      <c r="B62170" s="0" t="str">
        <f aca="false">HYPERLINK("https://lindat.mff.cuni.cz/services/teitok/pdtc10/index.php?action=vallex&amp;frame=v-w8656f2_ZU", "vzhlížet (v-w8656f2_ZU)")</f>
        <v>vzhlížet (v-w8656f2_ZU)</v>
      </c>
    </row>
    <row r="62171" customFormat="false" ht="12.8" hidden="false" customHeight="false" outlineLevel="0" collapsed="false">
      <c r="B62171" s="0" t="s">
        <v>7</v>
      </c>
    </row>
    <row r="62172" customFormat="false" ht="12.8" hidden="false" customHeight="false" outlineLevel="0" collapsed="false">
      <c r="B62172" s="0" t="s">
        <v>338</v>
      </c>
    </row>
    <row r="62174" customFormat="false" ht="12.8" hidden="false" customHeight="false" outlineLevel="0" collapsed="false">
      <c r="A62174" s="0" t="s">
        <v>21303</v>
      </c>
      <c r="B62174" s="0" t="str">
        <f aca="false">HYPERLINK("https://lindat.mff.cuni.cz/services/teitok/pdtc10/index.php?action=vallex&amp;frame=v-w8661f1", "vzkazovat (v-w8661f1)")</f>
        <v>vzkazovat (v-w8661f1)</v>
      </c>
    </row>
    <row r="62175" customFormat="false" ht="12.8" hidden="false" customHeight="false" outlineLevel="0" collapsed="false">
      <c r="B62175" s="0" t="s">
        <v>7</v>
      </c>
    </row>
    <row r="62176" customFormat="false" ht="12.8" hidden="false" customHeight="false" outlineLevel="0" collapsed="false">
      <c r="B62176" s="0" t="s">
        <v>2132</v>
      </c>
    </row>
    <row r="62177" customFormat="false" ht="12.8" hidden="false" customHeight="false" outlineLevel="0" collapsed="false">
      <c r="B62177" s="0" t="s">
        <v>48</v>
      </c>
    </row>
    <row r="62179" customFormat="false" ht="12.8" hidden="false" customHeight="false" outlineLevel="0" collapsed="false">
      <c r="A62179" s="0" t="s">
        <v>21304</v>
      </c>
      <c r="B62179" s="0" t="str">
        <f aca="false">HYPERLINK("https://lindat.mff.cuni.cz/services/teitok/pdtc10/index.php?action=vallex&amp;frame=v-w8662f1", "vzklíčit (v-w8662f1)")</f>
        <v>vzklíčit (v-w8662f1)</v>
      </c>
    </row>
    <row r="62180" customFormat="false" ht="12.8" hidden="false" customHeight="false" outlineLevel="0" collapsed="false">
      <c r="B62180" s="0" t="s">
        <v>7</v>
      </c>
    </row>
    <row r="62181" customFormat="false" ht="12.8" hidden="false" customHeight="false" outlineLevel="0" collapsed="false">
      <c r="B62181" s="0" t="s">
        <v>581</v>
      </c>
    </row>
    <row r="62183" customFormat="false" ht="12.8" hidden="false" customHeight="false" outlineLevel="0" collapsed="false">
      <c r="A62183" s="0" t="s">
        <v>21305</v>
      </c>
      <c r="B62183" s="0" t="str">
        <f aca="false">HYPERLINK("https://lindat.mff.cuni.cz/services/teitok/pdtc10/index.php?action=vallex&amp;frame=v-w10906f2", "vzkvétat (v-w10906f2)")</f>
        <v>vzkvétat (v-w10906f2)</v>
      </c>
    </row>
    <row r="62184" customFormat="false" ht="12.8" hidden="false" customHeight="false" outlineLevel="0" collapsed="false">
      <c r="B62184" s="0" t="s">
        <v>7</v>
      </c>
      <c r="C62184" s="0" t="s">
        <v>736</v>
      </c>
      <c r="D62184" s="0" t="s">
        <v>5047</v>
      </c>
      <c r="E62184" s="0" t="s">
        <v>5047</v>
      </c>
      <c r="F62184" s="0" t="s">
        <v>5047</v>
      </c>
    </row>
    <row r="62186" customFormat="false" ht="12.8" hidden="false" customHeight="false" outlineLevel="0" collapsed="false">
      <c r="A62186" s="0" t="s">
        <v>21306</v>
      </c>
      <c r="B62186" s="0" t="str">
        <f aca="false">HYPERLINK("https://lindat.mff.cuni.cz/services/teitok/pdtc10/index.php?action=vallex&amp;frame=v-w10217f2", "vzkypět (v-w10217f2)")</f>
        <v>vzkypět (v-w10217f2)</v>
      </c>
    </row>
    <row r="62187" customFormat="false" ht="12.8" hidden="false" customHeight="false" outlineLevel="0" collapsed="false">
      <c r="B62187" s="0" t="s">
        <v>7</v>
      </c>
    </row>
    <row r="62189" customFormat="false" ht="12.8" hidden="false" customHeight="false" outlineLevel="0" collapsed="false">
      <c r="A62189" s="0" t="s">
        <v>21307</v>
      </c>
      <c r="B62189" s="0" t="str">
        <f aca="false">HYPERLINK("https://lindat.mff.cuni.cz/services/teitok/pdtc10/index.php?action=vallex&amp;frame=v-w8660f1", "vzkázat (v-w8660f1)")</f>
        <v>vzkázat (v-w8660f1)</v>
      </c>
    </row>
    <row r="62190" customFormat="false" ht="12.8" hidden="false" customHeight="false" outlineLevel="0" collapsed="false">
      <c r="B62190" s="0" t="s">
        <v>7</v>
      </c>
      <c r="D62190" s="0" t="s">
        <v>164</v>
      </c>
      <c r="E62190" s="0" t="s">
        <v>164</v>
      </c>
      <c r="F62190" s="0" t="s">
        <v>164</v>
      </c>
    </row>
    <row r="62191" customFormat="false" ht="12.8" hidden="false" customHeight="false" outlineLevel="0" collapsed="false">
      <c r="B62191" s="0" t="s">
        <v>1599</v>
      </c>
      <c r="D62191" s="0" t="s">
        <v>167</v>
      </c>
      <c r="E62191" s="0" t="s">
        <v>167</v>
      </c>
      <c r="F62191" s="0" t="s">
        <v>167</v>
      </c>
    </row>
    <row r="62192" customFormat="false" ht="12.8" hidden="false" customHeight="false" outlineLevel="0" collapsed="false">
      <c r="B62192" s="0" t="s">
        <v>48</v>
      </c>
      <c r="D62192" s="0" t="s">
        <v>168</v>
      </c>
      <c r="E62192" s="0" t="s">
        <v>168</v>
      </c>
      <c r="F62192" s="0" t="s">
        <v>168</v>
      </c>
    </row>
    <row r="62194" customFormat="false" ht="12.8" hidden="false" customHeight="false" outlineLevel="0" collapsed="false">
      <c r="A62194" s="0" t="s">
        <v>21308</v>
      </c>
      <c r="B62194" s="0" t="str">
        <f aca="false">HYPERLINK("https://lindat.mff.cuni.cz/services/teitok/pdtc10/index.php?action=vallex&amp;frame=v-w8663f1", "vzkřísit (v-w8663f1)")</f>
        <v>vzkřísit (v-w8663f1)</v>
      </c>
    </row>
    <row r="62195" customFormat="false" ht="12.8" hidden="false" customHeight="false" outlineLevel="0" collapsed="false">
      <c r="B62195" s="0" t="s">
        <v>7</v>
      </c>
      <c r="C62195" s="0" t="s">
        <v>623</v>
      </c>
      <c r="D62195" s="0" t="s">
        <v>7701</v>
      </c>
      <c r="E62195" s="0" t="s">
        <v>7701</v>
      </c>
      <c r="F62195" s="0" t="s">
        <v>7701</v>
      </c>
    </row>
    <row r="62196" customFormat="false" ht="12.8" hidden="false" customHeight="false" outlineLevel="0" collapsed="false">
      <c r="B62196" s="0" t="s">
        <v>14</v>
      </c>
      <c r="C62196" s="0" t="s">
        <v>1571</v>
      </c>
      <c r="D62196" s="0" t="s">
        <v>7703</v>
      </c>
      <c r="E62196" s="0" t="s">
        <v>7703</v>
      </c>
      <c r="F62196" s="0" t="s">
        <v>7703</v>
      </c>
    </row>
    <row r="62198" customFormat="false" ht="12.8" hidden="false" customHeight="false" outlineLevel="0" collapsed="false">
      <c r="A62198" s="0" t="s">
        <v>21309</v>
      </c>
      <c r="B62198" s="0" t="str">
        <f aca="false">HYPERLINK("https://lindat.mff.cuni.cz/services/teitok/pdtc10/index.php?action=vallex&amp;frame=v-w10568f2", "vzlétnout (v-w10568f2)")</f>
        <v>vzlétnout (v-w10568f2)</v>
      </c>
    </row>
    <row r="62199" customFormat="false" ht="12.8" hidden="false" customHeight="false" outlineLevel="0" collapsed="false">
      <c r="B62199" s="0" t="s">
        <v>7</v>
      </c>
    </row>
    <row r="62201" customFormat="false" ht="12.8" hidden="false" customHeight="false" outlineLevel="0" collapsed="false">
      <c r="A62201" s="0" t="s">
        <v>21310</v>
      </c>
      <c r="B62201" s="0" t="str">
        <f aca="false">HYPERLINK("https://lindat.mff.cuni.cz/services/teitok/pdtc10/index.php?action=vallex&amp;frame=v-whsa_185f1_ZU", "vzmoci se (v-whsa_185f1_ZU)")</f>
        <v>vzmoci se (v-whsa_185f1_ZU)</v>
      </c>
    </row>
    <row r="62202" customFormat="false" ht="12.8" hidden="false" customHeight="false" outlineLevel="0" collapsed="false">
      <c r="B62202" s="0" t="s">
        <v>7</v>
      </c>
    </row>
    <row r="62203" customFormat="false" ht="12.8" hidden="false" customHeight="false" outlineLevel="0" collapsed="false">
      <c r="B62203" s="0" t="s">
        <v>1767</v>
      </c>
    </row>
    <row r="62205" customFormat="false" ht="12.8" hidden="false" customHeight="false" outlineLevel="0" collapsed="false">
      <c r="A62205" s="0" t="s">
        <v>21310</v>
      </c>
      <c r="B62205" s="0" t="str">
        <f aca="false">HYPERLINK("https://lindat.mff.cuni.cz/services/teitok/pdtc10/index.php?action=vallex&amp;frame=v-whsa_185hsa_186", "vzmoci se (v-whsa_185hsa_186) - substituted with v-whsa_185f1_ZU")</f>
        <v>vzmoci se (v-whsa_185hsa_186) - substituted with v-whsa_185f1_ZU</v>
      </c>
    </row>
    <row r="62206" customFormat="false" ht="12.8" hidden="false" customHeight="false" outlineLevel="0" collapsed="false">
      <c r="B62206" s="0" t="s">
        <v>7</v>
      </c>
    </row>
    <row r="62207" customFormat="false" ht="12.8" hidden="false" customHeight="false" outlineLevel="0" collapsed="false">
      <c r="B62207" s="0" t="s">
        <v>1767</v>
      </c>
    </row>
    <row r="62209" customFormat="false" ht="12.8" hidden="false" customHeight="false" outlineLevel="0" collapsed="false">
      <c r="A62209" s="0" t="s">
        <v>21311</v>
      </c>
      <c r="B62209" s="0" t="str">
        <f aca="false">HYPERLINK("https://lindat.mff.cuni.cz/services/teitok/pdtc10/index.php?action=vallex&amp;frame=v-w8670f1", "vznikat (v-w8670f1)")</f>
        <v>vznikat (v-w8670f1)</v>
      </c>
    </row>
    <row r="62210" customFormat="false" ht="12.8" hidden="false" customHeight="false" outlineLevel="0" collapsed="false">
      <c r="B62210" s="0" t="s">
        <v>7</v>
      </c>
      <c r="C62210" s="0" t="s">
        <v>21312</v>
      </c>
    </row>
    <row r="62211" customFormat="false" ht="12.8" hidden="false" customHeight="false" outlineLevel="0" collapsed="false">
      <c r="B62211" s="0" t="s">
        <v>581</v>
      </c>
      <c r="C62211" s="0" t="s">
        <v>11835</v>
      </c>
    </row>
    <row r="62213" customFormat="false" ht="12.8" hidden="false" customHeight="false" outlineLevel="0" collapsed="false">
      <c r="A62213" s="0" t="s">
        <v>21313</v>
      </c>
      <c r="B62213" s="0" t="str">
        <f aca="false">HYPERLINK("https://lindat.mff.cuni.cz/services/teitok/pdtc10/index.php?action=vallex&amp;frame=v-w8670f2", "vznikat (v-w8670f2)")</f>
        <v>vznikat (v-w8670f2)</v>
      </c>
    </row>
    <row r="62214" customFormat="false" ht="12.8" hidden="false" customHeight="false" outlineLevel="0" collapsed="false">
      <c r="B62214" s="0" t="s">
        <v>21314</v>
      </c>
    </row>
    <row r="62215" customFormat="false" ht="12.8" hidden="false" customHeight="false" outlineLevel="0" collapsed="false">
      <c r="B62215" s="0" t="s">
        <v>6304</v>
      </c>
    </row>
    <row r="62217" customFormat="false" ht="12.8" hidden="false" customHeight="false" outlineLevel="0" collapsed="false">
      <c r="A62217" s="0" t="s">
        <v>21315</v>
      </c>
      <c r="B62217" s="0" t="str">
        <f aca="false">HYPERLINK("https://lindat.mff.cuni.cz/services/teitok/pdtc10/index.php?action=vallex&amp;frame=v-w8671f3", "vzniknout (v-w8671f3)")</f>
        <v>vzniknout (v-w8671f3)</v>
      </c>
    </row>
    <row r="62218" customFormat="false" ht="12.8" hidden="false" customHeight="false" outlineLevel="0" collapsed="false">
      <c r="B62218" s="0" t="s">
        <v>7</v>
      </c>
      <c r="C62218" s="0" t="s">
        <v>21316</v>
      </c>
    </row>
    <row r="62219" customFormat="false" ht="12.8" hidden="false" customHeight="false" outlineLevel="0" collapsed="false">
      <c r="B62219" s="0" t="s">
        <v>142</v>
      </c>
      <c r="C62219" s="0" t="s">
        <v>21317</v>
      </c>
    </row>
    <row r="62221" customFormat="false" ht="12.8" hidden="false" customHeight="false" outlineLevel="0" collapsed="false">
      <c r="A62221" s="0" t="s">
        <v>21318</v>
      </c>
      <c r="B62221" s="0" t="str">
        <f aca="false">HYPERLINK("https://lindat.mff.cuni.cz/services/teitok/pdtc10/index.php?action=vallex&amp;frame=v-w8671f1", "vzniknout (v-w8671f1)")</f>
        <v>vzniknout (v-w8671f1)</v>
      </c>
    </row>
    <row r="62222" customFormat="false" ht="12.8" hidden="false" customHeight="false" outlineLevel="0" collapsed="false">
      <c r="B62222" s="0" t="s">
        <v>7</v>
      </c>
      <c r="C62222" s="0" t="s">
        <v>21319</v>
      </c>
      <c r="D62222" s="0" t="s">
        <v>9818</v>
      </c>
      <c r="E62222" s="0" t="s">
        <v>9818</v>
      </c>
      <c r="F62222" s="0" t="s">
        <v>9818</v>
      </c>
    </row>
    <row r="62223" customFormat="false" ht="12.8" hidden="false" customHeight="false" outlineLevel="0" collapsed="false">
      <c r="B62223" s="0" t="s">
        <v>581</v>
      </c>
      <c r="C62223" s="0" t="s">
        <v>21320</v>
      </c>
      <c r="D62223" s="0" t="s">
        <v>9820</v>
      </c>
      <c r="E62223" s="0" t="s">
        <v>9820</v>
      </c>
      <c r="F62223" s="0" t="s">
        <v>9820</v>
      </c>
    </row>
    <row r="62225" customFormat="false" ht="12.8" hidden="false" customHeight="false" outlineLevel="0" collapsed="false">
      <c r="A62225" s="0" t="s">
        <v>21321</v>
      </c>
      <c r="B62225" s="0" t="str">
        <f aca="false">HYPERLINK("https://lindat.mff.cuni.cz/services/teitok/pdtc10/index.php?action=vallex&amp;frame=v-w8671f2", "vzniknout (v-w8671f2)")</f>
        <v>vzniknout (v-w8671f2)</v>
      </c>
    </row>
    <row r="62226" customFormat="false" ht="12.8" hidden="false" customHeight="false" outlineLevel="0" collapsed="false">
      <c r="B62226" s="0" t="s">
        <v>21314</v>
      </c>
    </row>
    <row r="62227" customFormat="false" ht="12.8" hidden="false" customHeight="false" outlineLevel="0" collapsed="false">
      <c r="B62227" s="0" t="s">
        <v>6304</v>
      </c>
    </row>
    <row r="62229" customFormat="false" ht="12.8" hidden="false" customHeight="false" outlineLevel="0" collapsed="false">
      <c r="A62229" s="0" t="s">
        <v>21322</v>
      </c>
      <c r="B62229" s="0" t="str">
        <f aca="false">HYPERLINK("https://lindat.mff.cuni.cz/services/teitok/pdtc10/index.php?action=vallex&amp;frame=v-w8664f6_ZU", "vznášet (v-w8664f6_ZU)")</f>
        <v>vznášet (v-w8664f6_ZU)</v>
      </c>
    </row>
    <row r="62230" customFormat="false" ht="12.8" hidden="false" customHeight="false" outlineLevel="0" collapsed="false">
      <c r="B62230" s="0" t="s">
        <v>7</v>
      </c>
      <c r="C62230" s="0" t="s">
        <v>6398</v>
      </c>
      <c r="D62230" s="0" t="s">
        <v>21323</v>
      </c>
      <c r="E62230" s="0" t="s">
        <v>21323</v>
      </c>
      <c r="F62230" s="0" t="s">
        <v>21323</v>
      </c>
    </row>
    <row r="62231" customFormat="false" ht="12.8" hidden="false" customHeight="false" outlineLevel="0" collapsed="false">
      <c r="B62231" s="0" t="s">
        <v>21324</v>
      </c>
      <c r="C62231" s="0" t="s">
        <v>21325</v>
      </c>
      <c r="D62231" s="0" t="s">
        <v>21326</v>
      </c>
      <c r="E62231" s="0" t="s">
        <v>21326</v>
      </c>
      <c r="F62231" s="0" t="s">
        <v>21326</v>
      </c>
    </row>
    <row r="62232" customFormat="false" ht="12.8" hidden="false" customHeight="false" outlineLevel="0" collapsed="false">
      <c r="B62232" s="0" t="s">
        <v>21327</v>
      </c>
      <c r="D62232" s="0" t="s">
        <v>21328</v>
      </c>
      <c r="E62232" s="0" t="s">
        <v>21328</v>
      </c>
      <c r="F62232" s="0" t="s">
        <v>21328</v>
      </c>
    </row>
    <row r="62234" customFormat="false" ht="12.8" hidden="false" customHeight="false" outlineLevel="0" collapsed="false">
      <c r="A62234" s="0" t="s">
        <v>21322</v>
      </c>
      <c r="B62234" s="0" t="str">
        <f aca="false">HYPERLINK("https://lindat.mff.cuni.cz/services/teitok/pdtc10/index.php?action=vallex&amp;frame=v-w8664f2", "vznášet (v-w8664f2) - substituted with v-w8664f6_ZU")</f>
        <v>vznášet (v-w8664f2) - substituted with v-w8664f6_ZU</v>
      </c>
    </row>
    <row r="62235" customFormat="false" ht="12.8" hidden="false" customHeight="false" outlineLevel="0" collapsed="false">
      <c r="B62235" s="0" t="s">
        <v>7</v>
      </c>
    </row>
    <row r="62236" customFormat="false" ht="12.8" hidden="false" customHeight="false" outlineLevel="0" collapsed="false">
      <c r="B62236" s="0" t="s">
        <v>21324</v>
      </c>
    </row>
    <row r="62237" customFormat="false" ht="12.8" hidden="false" customHeight="false" outlineLevel="0" collapsed="false">
      <c r="B62237" s="0" t="s">
        <v>21327</v>
      </c>
    </row>
    <row r="62239" customFormat="false" ht="12.8" hidden="false" customHeight="false" outlineLevel="0" collapsed="false">
      <c r="A62239" s="0" t="s">
        <v>21329</v>
      </c>
      <c r="B62239" s="0" t="str">
        <f aca="false">HYPERLINK("https://lindat.mff.cuni.cz/services/teitok/pdtc10/index.php?action=vallex&amp;frame=v-w8664hsa_569", "vznášet (v-w8664hsa_569)")</f>
        <v>vznášet (v-w8664hsa_569)</v>
      </c>
    </row>
    <row r="62240" customFormat="false" ht="12.8" hidden="false" customHeight="false" outlineLevel="0" collapsed="false">
      <c r="B62240" s="0" t="s">
        <v>7</v>
      </c>
    </row>
    <row r="62241" customFormat="false" ht="12.8" hidden="false" customHeight="false" outlineLevel="0" collapsed="false">
      <c r="B62241" s="0" t="s">
        <v>21330</v>
      </c>
    </row>
    <row r="62242" customFormat="false" ht="12.8" hidden="false" customHeight="false" outlineLevel="0" collapsed="false">
      <c r="B62242" s="0" t="s">
        <v>21331</v>
      </c>
    </row>
    <row r="62244" customFormat="false" ht="12.8" hidden="false" customHeight="false" outlineLevel="0" collapsed="false">
      <c r="A62244" s="0" t="s">
        <v>21329</v>
      </c>
      <c r="B62244" s="0" t="str">
        <f aca="false">HYPERLINK("https://lindat.mff.cuni.cz/services/teitok/pdtc10/index.php?action=vallex&amp;frame=v-w8664f1", "vznášet (v-w8664f1) - substituted with v-w8664hsa_569")</f>
        <v>vznášet (v-w8664f1) - substituted with v-w8664hsa_569</v>
      </c>
    </row>
    <row r="62245" customFormat="false" ht="12.8" hidden="false" customHeight="false" outlineLevel="0" collapsed="false">
      <c r="B62245" s="0" t="s">
        <v>7</v>
      </c>
    </row>
    <row r="62246" customFormat="false" ht="12.8" hidden="false" customHeight="false" outlineLevel="0" collapsed="false">
      <c r="B62246" s="0" t="s">
        <v>21330</v>
      </c>
    </row>
    <row r="62247" customFormat="false" ht="12.8" hidden="false" customHeight="false" outlineLevel="0" collapsed="false">
      <c r="B62247" s="0" t="s">
        <v>21331</v>
      </c>
    </row>
    <row r="62249" customFormat="false" ht="12.8" hidden="false" customHeight="false" outlineLevel="0" collapsed="false">
      <c r="A62249" s="0" t="s">
        <v>21329</v>
      </c>
      <c r="B62249" s="0" t="str">
        <f aca="false">HYPERLINK("https://lindat.mff.cuni.cz/services/teitok/pdtc10/index.php?action=vallex&amp;frame=v-w8664f3_ZU", "vznášet (v-w8664f3_ZU) - substituted with v-w8664hsa_569")</f>
        <v>vznášet (v-w8664f3_ZU) - substituted with v-w8664hsa_569</v>
      </c>
    </row>
    <row r="62250" customFormat="false" ht="12.8" hidden="false" customHeight="false" outlineLevel="0" collapsed="false">
      <c r="B62250" s="0" t="s">
        <v>7</v>
      </c>
    </row>
    <row r="62251" customFormat="false" ht="12.8" hidden="false" customHeight="false" outlineLevel="0" collapsed="false">
      <c r="B62251" s="0" t="s">
        <v>21330</v>
      </c>
    </row>
    <row r="62252" customFormat="false" ht="12.8" hidden="false" customHeight="false" outlineLevel="0" collapsed="false">
      <c r="B62252" s="0" t="s">
        <v>21331</v>
      </c>
    </row>
    <row r="62254" customFormat="false" ht="12.8" hidden="false" customHeight="false" outlineLevel="0" collapsed="false">
      <c r="A62254" s="0" t="s">
        <v>21329</v>
      </c>
      <c r="B62254" s="0" t="str">
        <f aca="false">HYPERLINK("https://lindat.mff.cuni.cz/services/teitok/pdtc10/index.php?action=vallex&amp;frame=v-w8664f4_ZU", "vznášet (v-w8664f4_ZU) - substituted with v-w8664hsa_569")</f>
        <v>vznášet (v-w8664f4_ZU) - substituted with v-w8664hsa_569</v>
      </c>
    </row>
    <row r="62255" customFormat="false" ht="12.8" hidden="false" customHeight="false" outlineLevel="0" collapsed="false">
      <c r="B62255" s="0" t="s">
        <v>7</v>
      </c>
    </row>
    <row r="62256" customFormat="false" ht="12.8" hidden="false" customHeight="false" outlineLevel="0" collapsed="false">
      <c r="B62256" s="0" t="s">
        <v>21330</v>
      </c>
    </row>
    <row r="62257" customFormat="false" ht="12.8" hidden="false" customHeight="false" outlineLevel="0" collapsed="false">
      <c r="B62257" s="0" t="s">
        <v>21331</v>
      </c>
    </row>
    <row r="62259" customFormat="false" ht="12.8" hidden="false" customHeight="false" outlineLevel="0" collapsed="false">
      <c r="A62259" s="0" t="s">
        <v>21329</v>
      </c>
      <c r="B62259" s="0" t="str">
        <f aca="false">HYPERLINK("https://lindat.mff.cuni.cz/services/teitok/pdtc10/index.php?action=vallex&amp;frame=v-w8664f5_ZU", "vznášet (v-w8664f5_ZU) - substituted with v-w8664hsa_569")</f>
        <v>vznášet (v-w8664f5_ZU) - substituted with v-w8664hsa_569</v>
      </c>
    </row>
    <row r="62260" customFormat="false" ht="12.8" hidden="false" customHeight="false" outlineLevel="0" collapsed="false">
      <c r="B62260" s="0" t="s">
        <v>7</v>
      </c>
    </row>
    <row r="62261" customFormat="false" ht="12.8" hidden="false" customHeight="false" outlineLevel="0" collapsed="false">
      <c r="B62261" s="0" t="s">
        <v>21330</v>
      </c>
    </row>
    <row r="62262" customFormat="false" ht="12.8" hidden="false" customHeight="false" outlineLevel="0" collapsed="false">
      <c r="B62262" s="0" t="s">
        <v>21331</v>
      </c>
    </row>
    <row r="62264" customFormat="false" ht="12.8" hidden="false" customHeight="false" outlineLevel="0" collapsed="false">
      <c r="A62264" s="0" t="s">
        <v>21332</v>
      </c>
      <c r="B62264" s="0" t="str">
        <f aca="false">HYPERLINK("https://lindat.mff.cuni.cz/services/teitok/pdtc10/index.php?action=vallex&amp;frame=v-w8665f1", "vznášet se (v-w8665f1)")</f>
        <v>vznášet se (v-w8665f1)</v>
      </c>
    </row>
    <row r="62265" customFormat="false" ht="12.8" hidden="false" customHeight="false" outlineLevel="0" collapsed="false">
      <c r="B62265" s="0" t="s">
        <v>7</v>
      </c>
      <c r="C62265" s="0" t="s">
        <v>13404</v>
      </c>
    </row>
    <row r="62266" customFormat="false" ht="12.8" hidden="false" customHeight="false" outlineLevel="0" collapsed="false">
      <c r="B62266" s="0" t="s">
        <v>11</v>
      </c>
      <c r="C62266" s="0" t="s">
        <v>17884</v>
      </c>
    </row>
    <row r="62268" customFormat="false" ht="12.8" hidden="false" customHeight="false" outlineLevel="0" collapsed="false">
      <c r="A62268" s="0" t="s">
        <v>21333</v>
      </c>
      <c r="B62268" s="0" t="str">
        <f aca="false">HYPERLINK("https://lindat.mff.cuni.cz/services/teitok/pdtc10/index.php?action=vallex&amp;frame=v-w8665f2", "vznášet se (v-w8665f2)")</f>
        <v>vznášet se (v-w8665f2)</v>
      </c>
    </row>
    <row r="62269" customFormat="false" ht="12.8" hidden="false" customHeight="false" outlineLevel="0" collapsed="false">
      <c r="B62269" s="0" t="s">
        <v>7</v>
      </c>
      <c r="C62269" s="0" t="s">
        <v>1378</v>
      </c>
    </row>
    <row r="62271" customFormat="false" ht="12.8" hidden="false" customHeight="false" outlineLevel="0" collapsed="false">
      <c r="A62271" s="0" t="s">
        <v>21334</v>
      </c>
      <c r="B62271" s="0" t="str">
        <f aca="false">HYPERLINK("https://lindat.mff.cuni.cz/services/teitok/pdtc10/index.php?action=vallex&amp;frame=v-w8666f6_ZU", "vznést (v-w8666f6_ZU)")</f>
        <v>vznést (v-w8666f6_ZU)</v>
      </c>
    </row>
    <row r="62272" customFormat="false" ht="12.8" hidden="false" customHeight="false" outlineLevel="0" collapsed="false">
      <c r="B62272" s="0" t="s">
        <v>7</v>
      </c>
      <c r="C62272" s="0" t="s">
        <v>16829</v>
      </c>
      <c r="D62272" s="0" t="s">
        <v>21323</v>
      </c>
      <c r="E62272" s="0" t="s">
        <v>21323</v>
      </c>
      <c r="F62272" s="0" t="s">
        <v>21323</v>
      </c>
    </row>
    <row r="62273" customFormat="false" ht="12.8" hidden="false" customHeight="false" outlineLevel="0" collapsed="false">
      <c r="B62273" s="0" t="s">
        <v>21335</v>
      </c>
      <c r="C62273" s="0" t="s">
        <v>21336</v>
      </c>
      <c r="D62273" s="0" t="s">
        <v>21326</v>
      </c>
      <c r="E62273" s="0" t="s">
        <v>21326</v>
      </c>
      <c r="F62273" s="0" t="s">
        <v>21326</v>
      </c>
    </row>
    <row r="62274" customFormat="false" ht="12.8" hidden="false" customHeight="false" outlineLevel="0" collapsed="false">
      <c r="B62274" s="0" t="s">
        <v>21331</v>
      </c>
      <c r="C62274" s="0" t="s">
        <v>17822</v>
      </c>
      <c r="D62274" s="0" t="s">
        <v>21328</v>
      </c>
      <c r="E62274" s="0" t="s">
        <v>21328</v>
      </c>
      <c r="F62274" s="0" t="s">
        <v>21328</v>
      </c>
    </row>
    <row r="62276" customFormat="false" ht="12.8" hidden="false" customHeight="false" outlineLevel="0" collapsed="false">
      <c r="A62276" s="0" t="s">
        <v>21334</v>
      </c>
      <c r="B62276" s="0" t="str">
        <f aca="false">HYPERLINK("https://lindat.mff.cuni.cz/services/teitok/pdtc10/index.php?action=vallex&amp;frame=v-w8666f2", "vznést (v-w8666f2) - substituted with v-w8666f6_ZU")</f>
        <v>vznést (v-w8666f2) - substituted with v-w8666f6_ZU</v>
      </c>
    </row>
    <row r="62277" customFormat="false" ht="12.8" hidden="false" customHeight="false" outlineLevel="0" collapsed="false">
      <c r="B62277" s="0" t="s">
        <v>7</v>
      </c>
    </row>
    <row r="62278" customFormat="false" ht="12.8" hidden="false" customHeight="false" outlineLevel="0" collapsed="false">
      <c r="B62278" s="0" t="s">
        <v>21335</v>
      </c>
    </row>
    <row r="62279" customFormat="false" ht="12.8" hidden="false" customHeight="false" outlineLevel="0" collapsed="false">
      <c r="B62279" s="0" t="s">
        <v>21331</v>
      </c>
    </row>
    <row r="62281" customFormat="false" ht="12.8" hidden="false" customHeight="false" outlineLevel="0" collapsed="false">
      <c r="A62281" s="0" t="s">
        <v>21334</v>
      </c>
      <c r="B62281" s="0" t="str">
        <f aca="false">HYPERLINK("https://lindat.mff.cuni.cz/services/teitok/pdtc10/index.php?action=vallex&amp;frame=v-w8666f4_ZU", "vznést (v-w8666f4_ZU) - substituted with v-w8666f6_ZU")</f>
        <v>vznést (v-w8666f4_ZU) - substituted with v-w8666f6_ZU</v>
      </c>
    </row>
    <row r="62282" customFormat="false" ht="12.8" hidden="false" customHeight="false" outlineLevel="0" collapsed="false">
      <c r="B62282" s="0" t="s">
        <v>7</v>
      </c>
      <c r="C62282" s="0" t="s">
        <v>6398</v>
      </c>
    </row>
    <row r="62283" customFormat="false" ht="12.8" hidden="false" customHeight="false" outlineLevel="0" collapsed="false">
      <c r="B62283" s="0" t="s">
        <v>21335</v>
      </c>
      <c r="C62283" s="0" t="s">
        <v>20910</v>
      </c>
    </row>
    <row r="62284" customFormat="false" ht="12.8" hidden="false" customHeight="false" outlineLevel="0" collapsed="false">
      <c r="B62284" s="0" t="s">
        <v>21331</v>
      </c>
    </row>
    <row r="62286" customFormat="false" ht="12.8" hidden="false" customHeight="false" outlineLevel="0" collapsed="false">
      <c r="A62286" s="0" t="s">
        <v>21334</v>
      </c>
      <c r="B62286" s="0" t="str">
        <f aca="false">HYPERLINK("https://lindat.mff.cuni.cz/services/teitok/pdtc10/index.php?action=vallex&amp;frame=v-w8666f5_ZU", "vznést (v-w8666f5_ZU) - substituted with v-w8666f6_ZU")</f>
        <v>vznést (v-w8666f5_ZU) - substituted with v-w8666f6_ZU</v>
      </c>
    </row>
    <row r="62287" customFormat="false" ht="12.8" hidden="false" customHeight="false" outlineLevel="0" collapsed="false">
      <c r="B62287" s="0" t="s">
        <v>7</v>
      </c>
      <c r="C62287" s="0" t="s">
        <v>21337</v>
      </c>
    </row>
    <row r="62288" customFormat="false" ht="12.8" hidden="false" customHeight="false" outlineLevel="0" collapsed="false">
      <c r="B62288" s="0" t="s">
        <v>21335</v>
      </c>
      <c r="C62288" s="0" t="s">
        <v>21338</v>
      </c>
    </row>
    <row r="62289" customFormat="false" ht="12.8" hidden="false" customHeight="false" outlineLevel="0" collapsed="false">
      <c r="B62289" s="0" t="s">
        <v>21331</v>
      </c>
      <c r="C62289" s="0" t="s">
        <v>17822</v>
      </c>
    </row>
    <row r="62291" customFormat="false" ht="12.8" hidden="false" customHeight="false" outlineLevel="0" collapsed="false">
      <c r="A62291" s="0" t="s">
        <v>21339</v>
      </c>
      <c r="B62291" s="0" t="str">
        <f aca="false">HYPERLINK("https://lindat.mff.cuni.cz/services/teitok/pdtc10/index.php?action=vallex&amp;frame=v-w8666f3_ZU", "vznést (v-w8666f3_ZU)")</f>
        <v>vznést (v-w8666f3_ZU)</v>
      </c>
    </row>
    <row r="62292" customFormat="false" ht="12.8" hidden="false" customHeight="false" outlineLevel="0" collapsed="false">
      <c r="B62292" s="0" t="s">
        <v>8280</v>
      </c>
    </row>
    <row r="62293" customFormat="false" ht="12.8" hidden="false" customHeight="false" outlineLevel="0" collapsed="false">
      <c r="B62293" s="0" t="s">
        <v>21340</v>
      </c>
    </row>
    <row r="62295" customFormat="false" ht="12.8" hidden="false" customHeight="false" outlineLevel="0" collapsed="false">
      <c r="A62295" s="0" t="s">
        <v>21339</v>
      </c>
      <c r="B62295" s="0" t="str">
        <f aca="false">HYPERLINK("https://lindat.mff.cuni.cz/services/teitok/pdtc10/index.php?action=vallex&amp;frame=v-w8666f1", "vznést (v-w8666f1) - substituted with v-w8666f3_ZU")</f>
        <v>vznést (v-w8666f1) - substituted with v-w8666f3_ZU</v>
      </c>
    </row>
    <row r="62296" customFormat="false" ht="12.8" hidden="false" customHeight="false" outlineLevel="0" collapsed="false">
      <c r="B62296" s="0" t="s">
        <v>8280</v>
      </c>
    </row>
    <row r="62297" customFormat="false" ht="12.8" hidden="false" customHeight="false" outlineLevel="0" collapsed="false">
      <c r="B62297" s="0" t="s">
        <v>21340</v>
      </c>
    </row>
    <row r="62299" customFormat="false" ht="12.8" hidden="false" customHeight="false" outlineLevel="0" collapsed="false">
      <c r="A62299" s="0" t="s">
        <v>21341</v>
      </c>
      <c r="B62299" s="0" t="str">
        <f aca="false">HYPERLINK("https://lindat.mff.cuni.cz/services/teitok/pdtc10/index.php?action=vallex&amp;frame=v-whsa_550f1_ZU", "vznít se (v-whsa_550f1_ZU)")</f>
        <v>vznít se (v-whsa_550f1_ZU)</v>
      </c>
    </row>
    <row r="62300" customFormat="false" ht="12.8" hidden="false" customHeight="false" outlineLevel="0" collapsed="false">
      <c r="B62300" s="0" t="s">
        <v>7</v>
      </c>
    </row>
    <row r="62301" customFormat="false" ht="12.8" hidden="false" customHeight="false" outlineLevel="0" collapsed="false">
      <c r="B62301" s="0" t="s">
        <v>581</v>
      </c>
    </row>
    <row r="62303" customFormat="false" ht="12.8" hidden="false" customHeight="false" outlineLevel="0" collapsed="false">
      <c r="A62303" s="0" t="s">
        <v>21341</v>
      </c>
      <c r="B62303" s="0" t="str">
        <f aca="false">HYPERLINK("https://lindat.mff.cuni.cz/services/teitok/pdtc10/index.php?action=vallex&amp;frame=v-whsb_550hsa_551", "vznít se (v-whsb_550hsa_551) - substituted with v-whsa_550f1_ZU")</f>
        <v>vznít se (v-whsb_550hsa_551) - substituted with v-whsa_550f1_ZU</v>
      </c>
    </row>
    <row r="62304" customFormat="false" ht="12.8" hidden="false" customHeight="false" outlineLevel="0" collapsed="false">
      <c r="B62304" s="0" t="s">
        <v>7</v>
      </c>
    </row>
    <row r="62305" customFormat="false" ht="12.8" hidden="false" customHeight="false" outlineLevel="0" collapsed="false">
      <c r="B62305" s="0" t="s">
        <v>581</v>
      </c>
    </row>
    <row r="62307" customFormat="false" ht="12.8" hidden="false" customHeight="false" outlineLevel="0" collapsed="false">
      <c r="A62307" s="0" t="s">
        <v>21342</v>
      </c>
      <c r="B62307" s="0" t="str">
        <f aca="false">HYPERLINK("https://lindat.mff.cuni.cz/services/teitok/pdtc10/index.php?action=vallex&amp;frame=v-w8672f1", "vznítit se (v-w8672f1)")</f>
        <v>vznítit se (v-w8672f1)</v>
      </c>
    </row>
    <row r="62308" customFormat="false" ht="12.8" hidden="false" customHeight="false" outlineLevel="0" collapsed="false">
      <c r="B62308" s="0" t="s">
        <v>7</v>
      </c>
    </row>
    <row r="62309" customFormat="false" ht="12.8" hidden="false" customHeight="false" outlineLevel="0" collapsed="false">
      <c r="B62309" s="0" t="s">
        <v>581</v>
      </c>
    </row>
    <row r="62311" customFormat="false" ht="12.8" hidden="false" customHeight="false" outlineLevel="0" collapsed="false">
      <c r="A62311" s="0" t="s">
        <v>21343</v>
      </c>
      <c r="B62311" s="0" t="str">
        <f aca="false">HYPERLINK("https://lindat.mff.cuni.cz/services/teitok/pdtc10/index.php?action=vallex&amp;frame=v-w8674f1", "vzpamatovat se (v-w8674f1)")</f>
        <v>vzpamatovat se (v-w8674f1)</v>
      </c>
    </row>
    <row r="62312" customFormat="false" ht="12.8" hidden="false" customHeight="false" outlineLevel="0" collapsed="false">
      <c r="B62312" s="0" t="s">
        <v>7</v>
      </c>
      <c r="C62312" s="0" t="s">
        <v>21344</v>
      </c>
      <c r="D62312" s="0" t="s">
        <v>1319</v>
      </c>
      <c r="E62312" s="0" t="s">
        <v>1319</v>
      </c>
      <c r="F62312" s="0" t="s">
        <v>1319</v>
      </c>
    </row>
    <row r="62313" customFormat="false" ht="12.8" hidden="false" customHeight="false" outlineLevel="0" collapsed="false">
      <c r="B62313" s="0" t="s">
        <v>581</v>
      </c>
      <c r="C62313" s="0" t="s">
        <v>21345</v>
      </c>
    </row>
    <row r="62315" customFormat="false" ht="12.8" hidden="false" customHeight="false" outlineLevel="0" collapsed="false">
      <c r="A62315" s="0" t="s">
        <v>21346</v>
      </c>
      <c r="B62315" s="0" t="str">
        <f aca="false">HYPERLINK("https://lindat.mff.cuni.cz/services/teitok/pdtc10/index.php?action=vallex&amp;frame=v-w8675f1", "vzpamatovávat se (v-w8675f1)")</f>
        <v>vzpamatovávat se (v-w8675f1)</v>
      </c>
    </row>
    <row r="62316" customFormat="false" ht="12.8" hidden="false" customHeight="false" outlineLevel="0" collapsed="false">
      <c r="B62316" s="0" t="s">
        <v>7</v>
      </c>
      <c r="C62316" s="0" t="s">
        <v>21347</v>
      </c>
      <c r="D62316" s="0" t="s">
        <v>1319</v>
      </c>
      <c r="E62316" s="0" t="s">
        <v>1319</v>
      </c>
      <c r="F62316" s="0" t="s">
        <v>1319</v>
      </c>
    </row>
    <row r="62317" customFormat="false" ht="12.8" hidden="false" customHeight="false" outlineLevel="0" collapsed="false">
      <c r="B62317" s="0" t="s">
        <v>581</v>
      </c>
      <c r="C62317" s="0" t="s">
        <v>21348</v>
      </c>
    </row>
    <row r="62319" customFormat="false" ht="12.8" hidden="false" customHeight="false" outlineLevel="0" collapsed="false">
      <c r="A62319" s="0" t="s">
        <v>21349</v>
      </c>
      <c r="B62319" s="0" t="str">
        <f aca="false">HYPERLINK("https://lindat.mff.cuni.cz/services/teitok/pdtc10/index.php?action=vallex&amp;frame=v-w8678f3", "vzplanout (v-w8678f3)")</f>
        <v>vzplanout (v-w8678f3)</v>
      </c>
    </row>
    <row r="62320" customFormat="false" ht="12.8" hidden="false" customHeight="false" outlineLevel="0" collapsed="false">
      <c r="B62320" s="0" t="s">
        <v>7</v>
      </c>
    </row>
    <row r="62321" customFormat="false" ht="12.8" hidden="false" customHeight="false" outlineLevel="0" collapsed="false">
      <c r="B62321" s="0" t="s">
        <v>1685</v>
      </c>
    </row>
    <row r="62323" customFormat="false" ht="12.8" hidden="false" customHeight="false" outlineLevel="0" collapsed="false">
      <c r="A62323" s="0" t="s">
        <v>21350</v>
      </c>
      <c r="B62323" s="0" t="str">
        <f aca="false">HYPERLINK("https://lindat.mff.cuni.cz/services/teitok/pdtc10/index.php?action=vallex&amp;frame=v-w8678f1", "vzplanout (v-w8678f1)")</f>
        <v>vzplanout (v-w8678f1)</v>
      </c>
    </row>
    <row r="62324" customFormat="false" ht="12.8" hidden="false" customHeight="false" outlineLevel="0" collapsed="false">
      <c r="B62324" s="0" t="s">
        <v>7</v>
      </c>
      <c r="C62324" s="0" t="s">
        <v>6910</v>
      </c>
    </row>
    <row r="62325" customFormat="false" ht="12.8" hidden="false" customHeight="false" outlineLevel="0" collapsed="false">
      <c r="B62325" s="0" t="s">
        <v>581</v>
      </c>
    </row>
    <row r="62327" customFormat="false" ht="12.8" hidden="false" customHeight="false" outlineLevel="0" collapsed="false">
      <c r="A62327" s="0" t="s">
        <v>21351</v>
      </c>
      <c r="B62327" s="0" t="str">
        <f aca="false">HYPERLINK("https://lindat.mff.cuni.cz/services/teitok/pdtc10/index.php?action=vallex&amp;frame=v-w8678f4_ZU", "vzplanout (v-w8678f4_ZU)")</f>
        <v>vzplanout (v-w8678f4_ZU)</v>
      </c>
    </row>
    <row r="62328" customFormat="false" ht="12.8" hidden="false" customHeight="false" outlineLevel="0" collapsed="false">
      <c r="B62328" s="0" t="s">
        <v>7</v>
      </c>
      <c r="C62328" s="0" t="s">
        <v>736</v>
      </c>
    </row>
    <row r="62329" customFormat="false" ht="12.8" hidden="false" customHeight="false" outlineLevel="0" collapsed="false">
      <c r="B62329" s="0" t="s">
        <v>581</v>
      </c>
    </row>
    <row r="62331" customFormat="false" ht="12.8" hidden="false" customHeight="false" outlineLevel="0" collapsed="false">
      <c r="A62331" s="0" t="s">
        <v>21352</v>
      </c>
      <c r="B62331" s="0" t="str">
        <f aca="false">HYPERLINK("https://lindat.mff.cuni.cz/services/teitok/pdtc10/index.php?action=vallex&amp;frame=v-w8678f2", "vzplanout (v-w8678f2)")</f>
        <v>vzplanout (v-w8678f2)</v>
      </c>
    </row>
    <row r="62332" customFormat="false" ht="12.8" hidden="false" customHeight="false" outlineLevel="0" collapsed="false">
      <c r="B62332" s="0" t="s">
        <v>7</v>
      </c>
    </row>
    <row r="62333" customFormat="false" ht="12.8" hidden="false" customHeight="false" outlineLevel="0" collapsed="false">
      <c r="B62333" s="0" t="s">
        <v>21353</v>
      </c>
    </row>
    <row r="62335" customFormat="false" ht="12.8" hidden="false" customHeight="false" outlineLevel="0" collapsed="false">
      <c r="A62335" s="0" t="s">
        <v>21354</v>
      </c>
      <c r="B62335" s="0" t="str">
        <f aca="false">HYPERLINK("https://lindat.mff.cuni.cz/services/teitok/pdtc10/index.php?action=vallex&amp;frame=v-w8680f1", "vzpomenout (v-w8680f1)")</f>
        <v>vzpomenout (v-w8680f1)</v>
      </c>
    </row>
    <row r="62336" customFormat="false" ht="12.8" hidden="false" customHeight="false" outlineLevel="0" collapsed="false">
      <c r="B62336" s="0" t="s">
        <v>7</v>
      </c>
      <c r="C62336" s="0" t="s">
        <v>2170</v>
      </c>
      <c r="D62336" s="0" t="s">
        <v>5057</v>
      </c>
      <c r="E62336" s="0" t="s">
        <v>5057</v>
      </c>
      <c r="F62336" s="0" t="s">
        <v>5057</v>
      </c>
    </row>
    <row r="62337" customFormat="false" ht="12.8" hidden="false" customHeight="false" outlineLevel="0" collapsed="false">
      <c r="B62337" s="0" t="s">
        <v>21355</v>
      </c>
      <c r="C62337" s="0" t="s">
        <v>25</v>
      </c>
      <c r="D62337" s="0" t="s">
        <v>9591</v>
      </c>
      <c r="E62337" s="0" t="s">
        <v>9591</v>
      </c>
      <c r="F62337" s="0" t="s">
        <v>9591</v>
      </c>
    </row>
    <row r="62339" customFormat="false" ht="12.8" hidden="false" customHeight="false" outlineLevel="0" collapsed="false">
      <c r="A62339" s="0" t="s">
        <v>21356</v>
      </c>
      <c r="B62339" s="0" t="str">
        <f aca="false">HYPERLINK("https://lindat.mff.cuni.cz/services/teitok/pdtc10/index.php?action=vallex&amp;frame=v-w8681f2_ZU", "vzpomenout si (v-w8681f2_ZU)")</f>
        <v>vzpomenout si (v-w8681f2_ZU)</v>
      </c>
    </row>
    <row r="62340" customFormat="false" ht="12.8" hidden="false" customHeight="false" outlineLevel="0" collapsed="false">
      <c r="B62340" s="0" t="s">
        <v>7</v>
      </c>
    </row>
    <row r="62341" customFormat="false" ht="12.8" hidden="false" customHeight="false" outlineLevel="0" collapsed="false">
      <c r="B62341" s="0" t="s">
        <v>21357</v>
      </c>
    </row>
    <row r="62343" customFormat="false" ht="12.8" hidden="false" customHeight="false" outlineLevel="0" collapsed="false">
      <c r="A62343" s="0" t="s">
        <v>21356</v>
      </c>
      <c r="B62343" s="0" t="str">
        <f aca="false">HYPERLINK("https://lindat.mff.cuni.cz/services/teitok/pdtc10/index.php?action=vallex&amp;frame=v-w8681f1", "vzpomenout si (v-w8681f1) - substituted with v-w8681f2_ZU")</f>
        <v>vzpomenout si (v-w8681f1) - substituted with v-w8681f2_ZU</v>
      </c>
    </row>
    <row r="62344" customFormat="false" ht="12.8" hidden="false" customHeight="false" outlineLevel="0" collapsed="false">
      <c r="B62344" s="0" t="s">
        <v>7</v>
      </c>
      <c r="C62344" s="0" t="s">
        <v>21358</v>
      </c>
      <c r="D62344" s="0" t="s">
        <v>5057</v>
      </c>
      <c r="E62344" s="0" t="s">
        <v>5057</v>
      </c>
      <c r="F62344" s="0" t="s">
        <v>5057</v>
      </c>
    </row>
    <row r="62345" customFormat="false" ht="12.8" hidden="false" customHeight="false" outlineLevel="0" collapsed="false">
      <c r="B62345" s="0" t="s">
        <v>21357</v>
      </c>
      <c r="C62345" s="0" t="s">
        <v>21359</v>
      </c>
      <c r="D62345" s="0" t="s">
        <v>9591</v>
      </c>
      <c r="E62345" s="0" t="s">
        <v>9591</v>
      </c>
      <c r="F62345" s="0" t="s">
        <v>9591</v>
      </c>
    </row>
    <row r="62347" customFormat="false" ht="12.8" hidden="false" customHeight="false" outlineLevel="0" collapsed="false">
      <c r="A62347" s="0" t="s">
        <v>21356</v>
      </c>
      <c r="B62347" s="0" t="str">
        <f aca="false">HYPERLINK("https://lindat.mff.cuni.cz/services/teitok/pdtc10/index.php?action=vallex&amp;frame=v-w8681hsa_1551", "vzpomenout si (v-w8681hsa_1551) - substituted with v-w8681f2_ZU")</f>
        <v>vzpomenout si (v-w8681hsa_1551) - substituted with v-w8681f2_ZU</v>
      </c>
    </row>
    <row r="62348" customFormat="false" ht="12.8" hidden="false" customHeight="false" outlineLevel="0" collapsed="false">
      <c r="B62348" s="0" t="s">
        <v>7</v>
      </c>
    </row>
    <row r="62349" customFormat="false" ht="12.8" hidden="false" customHeight="false" outlineLevel="0" collapsed="false">
      <c r="B62349" s="0" t="s">
        <v>21357</v>
      </c>
    </row>
    <row r="62351" customFormat="false" ht="12.8" hidden="false" customHeight="false" outlineLevel="0" collapsed="false">
      <c r="A62351" s="0" t="s">
        <v>21360</v>
      </c>
      <c r="B62351" s="0" t="str">
        <f aca="false">HYPERLINK("https://lindat.mff.cuni.cz/services/teitok/pdtc10/index.php?action=vallex&amp;frame=v-w8682f5_ZU", "vzpomínat (v-w8682f5_ZU)")</f>
        <v>vzpomínat (v-w8682f5_ZU)</v>
      </c>
    </row>
    <row r="62352" customFormat="false" ht="12.8" hidden="false" customHeight="false" outlineLevel="0" collapsed="false">
      <c r="B62352" s="0" t="s">
        <v>7</v>
      </c>
    </row>
    <row r="62353" customFormat="false" ht="12.8" hidden="false" customHeight="false" outlineLevel="0" collapsed="false">
      <c r="B62353" s="0" t="s">
        <v>21361</v>
      </c>
    </row>
    <row r="62355" customFormat="false" ht="12.8" hidden="false" customHeight="false" outlineLevel="0" collapsed="false">
      <c r="A62355" s="0" t="s">
        <v>21360</v>
      </c>
      <c r="B62355" s="0" t="str">
        <f aca="false">HYPERLINK("https://lindat.mff.cuni.cz/services/teitok/pdtc10/index.php?action=vallex&amp;frame=v-w8682f1", "vzpomínat (v-w8682f1) - substituted with v-w8682f5_ZU")</f>
        <v>vzpomínat (v-w8682f1) - substituted with v-w8682f5_ZU</v>
      </c>
    </row>
    <row r="62356" customFormat="false" ht="12.8" hidden="false" customHeight="false" outlineLevel="0" collapsed="false">
      <c r="B62356" s="0" t="s">
        <v>7</v>
      </c>
      <c r="C62356" s="0" t="s">
        <v>21362</v>
      </c>
      <c r="D62356" s="0" t="s">
        <v>5057</v>
      </c>
      <c r="E62356" s="0" t="s">
        <v>5057</v>
      </c>
      <c r="F62356" s="0" t="s">
        <v>5057</v>
      </c>
    </row>
    <row r="62357" customFormat="false" ht="12.8" hidden="false" customHeight="false" outlineLevel="0" collapsed="false">
      <c r="B62357" s="0" t="s">
        <v>21361</v>
      </c>
      <c r="C62357" s="0" t="s">
        <v>21363</v>
      </c>
      <c r="D62357" s="0" t="s">
        <v>9591</v>
      </c>
      <c r="E62357" s="0" t="s">
        <v>9591</v>
      </c>
      <c r="F62357" s="0" t="s">
        <v>9591</v>
      </c>
    </row>
    <row r="62359" customFormat="false" ht="12.8" hidden="false" customHeight="false" outlineLevel="0" collapsed="false">
      <c r="A62359" s="0" t="s">
        <v>21360</v>
      </c>
      <c r="B62359" s="0" t="str">
        <f aca="false">HYPERLINK("https://lindat.mff.cuni.cz/services/teitok/pdtc10/index.php?action=vallex&amp;frame=v-w8682f2_ZU", "vzpomínat (v-w8682f2_ZU) - substituted with v-w8682f5_ZU")</f>
        <v>vzpomínat (v-w8682f2_ZU) - substituted with v-w8682f5_ZU</v>
      </c>
    </row>
    <row r="62360" customFormat="false" ht="12.8" hidden="false" customHeight="false" outlineLevel="0" collapsed="false">
      <c r="B62360" s="0" t="s">
        <v>7</v>
      </c>
    </row>
    <row r="62361" customFormat="false" ht="12.8" hidden="false" customHeight="false" outlineLevel="0" collapsed="false">
      <c r="B62361" s="0" t="s">
        <v>21361</v>
      </c>
    </row>
    <row r="62363" customFormat="false" ht="12.8" hidden="false" customHeight="false" outlineLevel="0" collapsed="false">
      <c r="A62363" s="0" t="s">
        <v>21360</v>
      </c>
      <c r="B62363" s="0" t="str">
        <f aca="false">HYPERLINK("https://lindat.mff.cuni.cz/services/teitok/pdtc10/index.php?action=vallex&amp;frame=v-w8682f3_ZU", "vzpomínat (v-w8682f3_ZU) - substituted with v-w8682f5_ZU")</f>
        <v>vzpomínat (v-w8682f3_ZU) - substituted with v-w8682f5_ZU</v>
      </c>
    </row>
    <row r="62364" customFormat="false" ht="12.8" hidden="false" customHeight="false" outlineLevel="0" collapsed="false">
      <c r="B62364" s="0" t="s">
        <v>7</v>
      </c>
    </row>
    <row r="62365" customFormat="false" ht="12.8" hidden="false" customHeight="false" outlineLevel="0" collapsed="false">
      <c r="B62365" s="0" t="s">
        <v>21361</v>
      </c>
    </row>
    <row r="62367" customFormat="false" ht="12.8" hidden="false" customHeight="false" outlineLevel="0" collapsed="false">
      <c r="A62367" s="0" t="s">
        <v>21360</v>
      </c>
      <c r="B62367" s="0" t="str">
        <f aca="false">HYPERLINK("https://lindat.mff.cuni.cz/services/teitok/pdtc10/index.php?action=vallex&amp;frame=v-w8682f4_ZU", "vzpomínat (v-w8682f4_ZU) - substituted with v-w8682f5_ZU")</f>
        <v>vzpomínat (v-w8682f4_ZU) - substituted with v-w8682f5_ZU</v>
      </c>
    </row>
    <row r="62368" customFormat="false" ht="12.8" hidden="false" customHeight="false" outlineLevel="0" collapsed="false">
      <c r="B62368" s="0" t="s">
        <v>7</v>
      </c>
    </row>
    <row r="62369" customFormat="false" ht="12.8" hidden="false" customHeight="false" outlineLevel="0" collapsed="false">
      <c r="B62369" s="0" t="s">
        <v>21361</v>
      </c>
    </row>
    <row r="62371" customFormat="false" ht="12.8" hidden="false" customHeight="false" outlineLevel="0" collapsed="false">
      <c r="A62371" s="0" t="s">
        <v>21364</v>
      </c>
      <c r="B62371" s="0" t="str">
        <f aca="false">HYPERLINK("https://lindat.mff.cuni.cz/services/teitok/pdtc10/index.php?action=vallex&amp;frame=v-w8683f3_MM", "vzpomínat si (v-w8683f3_MM)")</f>
        <v>vzpomínat si (v-w8683f3_MM)</v>
      </c>
    </row>
    <row r="62372" customFormat="false" ht="12.8" hidden="false" customHeight="false" outlineLevel="0" collapsed="false">
      <c r="B62372" s="0" t="s">
        <v>7</v>
      </c>
    </row>
    <row r="62373" customFormat="false" ht="12.8" hidden="false" customHeight="false" outlineLevel="0" collapsed="false">
      <c r="B62373" s="0" t="s">
        <v>21365</v>
      </c>
    </row>
    <row r="62375" customFormat="false" ht="12.8" hidden="false" customHeight="false" outlineLevel="0" collapsed="false">
      <c r="A62375" s="0" t="s">
        <v>21364</v>
      </c>
      <c r="B62375" s="0" t="str">
        <f aca="false">HYPERLINK("https://lindat.mff.cuni.cz/services/teitok/pdtc10/index.php?action=vallex&amp;frame=v-w8683f1", "vzpomínat si (v-w8683f1) - substituted with v-w8683f3_MM")</f>
        <v>vzpomínat si (v-w8683f1) - substituted with v-w8683f3_MM</v>
      </c>
    </row>
    <row r="62376" customFormat="false" ht="12.8" hidden="false" customHeight="false" outlineLevel="0" collapsed="false">
      <c r="B62376" s="0" t="s">
        <v>7</v>
      </c>
      <c r="C62376" s="0" t="s">
        <v>7173</v>
      </c>
    </row>
    <row r="62377" customFormat="false" ht="12.8" hidden="false" customHeight="false" outlineLevel="0" collapsed="false">
      <c r="B62377" s="0" t="s">
        <v>21365</v>
      </c>
      <c r="C62377" s="0" t="s">
        <v>1467</v>
      </c>
    </row>
    <row r="62379" customFormat="false" ht="12.8" hidden="false" customHeight="false" outlineLevel="0" collapsed="false">
      <c r="A62379" s="0" t="s">
        <v>21364</v>
      </c>
      <c r="B62379" s="0" t="str">
        <f aca="false">HYPERLINK("https://lindat.mff.cuni.cz/services/teitok/pdtc10/index.php?action=vallex&amp;frame=v-w8683f2_ZU", "vzpomínat si (v-w8683f2_ZU) - substituted with v-w8683f3_MM")</f>
        <v>vzpomínat si (v-w8683f2_ZU) - substituted with v-w8683f3_MM</v>
      </c>
    </row>
    <row r="62380" customFormat="false" ht="12.8" hidden="false" customHeight="false" outlineLevel="0" collapsed="false">
      <c r="B62380" s="0" t="s">
        <v>7</v>
      </c>
      <c r="C62380" s="0" t="s">
        <v>7173</v>
      </c>
      <c r="D62380" s="0" t="s">
        <v>5057</v>
      </c>
      <c r="E62380" s="0" t="s">
        <v>5057</v>
      </c>
      <c r="F62380" s="0" t="s">
        <v>5057</v>
      </c>
    </row>
    <row r="62381" customFormat="false" ht="12.8" hidden="false" customHeight="false" outlineLevel="0" collapsed="false">
      <c r="B62381" s="0" t="s">
        <v>21365</v>
      </c>
      <c r="C62381" s="0" t="s">
        <v>1467</v>
      </c>
      <c r="D62381" s="0" t="s">
        <v>9591</v>
      </c>
      <c r="E62381" s="0" t="s">
        <v>9591</v>
      </c>
      <c r="F62381" s="0" t="s">
        <v>9591</v>
      </c>
    </row>
    <row r="62383" customFormat="false" ht="12.8" hidden="false" customHeight="false" outlineLevel="0" collapsed="false">
      <c r="A62383" s="0" t="s">
        <v>21366</v>
      </c>
      <c r="B62383" s="0" t="str">
        <f aca="false">HYPERLINK("https://lindat.mff.cuni.cz/services/teitok/pdtc10/index.php?action=vallex&amp;frame=v-w10246f2", "vzpružit (v-w10246f2)")</f>
        <v>vzpružit (v-w10246f2)</v>
      </c>
    </row>
    <row r="62384" customFormat="false" ht="12.8" hidden="false" customHeight="false" outlineLevel="0" collapsed="false">
      <c r="B62384" s="0" t="s">
        <v>7</v>
      </c>
      <c r="C62384" s="0" t="s">
        <v>108</v>
      </c>
    </row>
    <row r="62385" customFormat="false" ht="12.8" hidden="false" customHeight="false" outlineLevel="0" collapsed="false">
      <c r="B62385" s="0" t="s">
        <v>14</v>
      </c>
      <c r="C62385" s="0" t="s">
        <v>78</v>
      </c>
    </row>
    <row r="62387" customFormat="false" ht="12.8" hidden="false" customHeight="false" outlineLevel="0" collapsed="false">
      <c r="A62387" s="0" t="s">
        <v>21367</v>
      </c>
      <c r="B62387" s="0" t="str">
        <f aca="false">HYPERLINK("https://lindat.mff.cuni.cz/services/teitok/pdtc10/index.php?action=vallex&amp;frame=v-w8676f1", "vzpínat se (v-w8676f1)")</f>
        <v>vzpínat se (v-w8676f1)</v>
      </c>
    </row>
    <row r="62388" customFormat="false" ht="12.8" hidden="false" customHeight="false" outlineLevel="0" collapsed="false">
      <c r="B62388" s="0" t="s">
        <v>7</v>
      </c>
      <c r="D62388" s="0" t="s">
        <v>191</v>
      </c>
      <c r="E62388" s="0" t="s">
        <v>191</v>
      </c>
      <c r="F62388" s="0" t="s">
        <v>191</v>
      </c>
    </row>
    <row r="62390" customFormat="false" ht="12.8" hidden="false" customHeight="false" outlineLevel="0" collapsed="false">
      <c r="A62390" s="0" t="s">
        <v>21368</v>
      </c>
      <c r="B62390" s="0" t="str">
        <f aca="false">HYPERLINK("https://lindat.mff.cuni.cz/services/teitok/pdtc10/index.php?action=vallex&amp;frame=v-w8677f1", "vzpírat se (v-w8677f1)")</f>
        <v>vzpírat se (v-w8677f1)</v>
      </c>
    </row>
    <row r="62391" customFormat="false" ht="12.8" hidden="false" customHeight="false" outlineLevel="0" collapsed="false">
      <c r="B62391" s="0" t="s">
        <v>7</v>
      </c>
      <c r="C62391" s="0" t="s">
        <v>194</v>
      </c>
      <c r="D62391" s="0" t="s">
        <v>108</v>
      </c>
      <c r="E62391" s="0" t="s">
        <v>108</v>
      </c>
      <c r="F62391" s="0" t="s">
        <v>108</v>
      </c>
    </row>
    <row r="62392" customFormat="false" ht="12.8" hidden="false" customHeight="false" outlineLevel="0" collapsed="false">
      <c r="B62392" s="0" t="s">
        <v>142</v>
      </c>
      <c r="C62392" s="0" t="s">
        <v>2788</v>
      </c>
      <c r="D62392" s="0" t="s">
        <v>1809</v>
      </c>
      <c r="E62392" s="0" t="s">
        <v>1809</v>
      </c>
      <c r="F62392" s="0" t="s">
        <v>1809</v>
      </c>
    </row>
    <row r="62394" customFormat="false" ht="12.8" hidden="false" customHeight="false" outlineLevel="0" collapsed="false">
      <c r="A62394" s="0" t="s">
        <v>21369</v>
      </c>
      <c r="B62394" s="0" t="str">
        <f aca="false">HYPERLINK("https://lindat.mff.cuni.cz/services/teitok/pdtc10/index.php?action=vallex&amp;frame=v-w8690f1", "vzrušit (v-w8690f1)")</f>
        <v>vzrušit (v-w8690f1)</v>
      </c>
    </row>
    <row r="62395" customFormat="false" ht="12.8" hidden="false" customHeight="false" outlineLevel="0" collapsed="false">
      <c r="B62395" s="0" t="s">
        <v>641</v>
      </c>
    </row>
    <row r="62396" customFormat="false" ht="12.8" hidden="false" customHeight="false" outlineLevel="0" collapsed="false">
      <c r="B62396" s="0" t="s">
        <v>14</v>
      </c>
    </row>
    <row r="62398" customFormat="false" ht="12.8" hidden="false" customHeight="false" outlineLevel="0" collapsed="false">
      <c r="A62398" s="0" t="s">
        <v>21370</v>
      </c>
      <c r="B62398" s="0" t="str">
        <f aca="false">HYPERLINK("https://lindat.mff.cuni.cz/services/teitok/pdtc10/index.php?action=vallex&amp;frame=v-w8691f1", "vzrušovat (v-w8691f1)")</f>
        <v>vzrušovat (v-w8691f1)</v>
      </c>
    </row>
    <row r="62399" customFormat="false" ht="12.8" hidden="false" customHeight="false" outlineLevel="0" collapsed="false">
      <c r="B62399" s="0" t="s">
        <v>641</v>
      </c>
    </row>
    <row r="62400" customFormat="false" ht="12.8" hidden="false" customHeight="false" outlineLevel="0" collapsed="false">
      <c r="B62400" s="0" t="s">
        <v>14</v>
      </c>
    </row>
    <row r="62402" customFormat="false" ht="12.8" hidden="false" customHeight="false" outlineLevel="0" collapsed="false">
      <c r="A62402" s="0" t="s">
        <v>21371</v>
      </c>
      <c r="B62402" s="0" t="str">
        <f aca="false">HYPERLINK("https://lindat.mff.cuni.cz/services/teitok/pdtc10/index.php?action=vallex&amp;frame=v-w8687f1", "vzrůst (v-w8687f1)")</f>
        <v>vzrůst (v-w8687f1)</v>
      </c>
    </row>
    <row r="62403" customFormat="false" ht="12.8" hidden="false" customHeight="false" outlineLevel="0" collapsed="false">
      <c r="B62403" s="0" t="s">
        <v>7</v>
      </c>
      <c r="C62403" s="0" t="s">
        <v>21372</v>
      </c>
      <c r="D62403" s="0" t="s">
        <v>6244</v>
      </c>
      <c r="E62403" s="0" t="s">
        <v>21373</v>
      </c>
      <c r="F62403" s="0" t="s">
        <v>21373</v>
      </c>
    </row>
    <row r="62404" customFormat="false" ht="12.8" hidden="false" customHeight="false" outlineLevel="0" collapsed="false">
      <c r="B62404" s="0" t="s">
        <v>63</v>
      </c>
      <c r="C62404" s="0" t="s">
        <v>21374</v>
      </c>
      <c r="D62404" s="0" t="s">
        <v>4496</v>
      </c>
      <c r="E62404" s="0" t="s">
        <v>4496</v>
      </c>
      <c r="F62404" s="0" t="s">
        <v>4496</v>
      </c>
    </row>
    <row r="62405" customFormat="false" ht="12.8" hidden="false" customHeight="false" outlineLevel="0" collapsed="false">
      <c r="B62405" s="0" t="s">
        <v>35</v>
      </c>
      <c r="C62405" s="0" t="s">
        <v>21375</v>
      </c>
      <c r="D62405" s="0" t="s">
        <v>4497</v>
      </c>
      <c r="E62405" s="0" t="s">
        <v>4497</v>
      </c>
      <c r="F62405" s="0" t="s">
        <v>4497</v>
      </c>
    </row>
    <row r="62407" customFormat="false" ht="12.8" hidden="false" customHeight="false" outlineLevel="0" collapsed="false">
      <c r="A62407" s="0" t="s">
        <v>21376</v>
      </c>
      <c r="B62407" s="0" t="str">
        <f aca="false">HYPERLINK("https://lindat.mff.cuni.cz/services/teitok/pdtc10/index.php?action=vallex&amp;frame=v-w8689f1", "vzrůstat (v-w8689f1)")</f>
        <v>vzrůstat (v-w8689f1)</v>
      </c>
    </row>
    <row r="62408" customFormat="false" ht="12.8" hidden="false" customHeight="false" outlineLevel="0" collapsed="false">
      <c r="B62408" s="0" t="s">
        <v>7</v>
      </c>
      <c r="C62408" s="0" t="s">
        <v>21377</v>
      </c>
      <c r="D62408" s="0" t="s">
        <v>6244</v>
      </c>
      <c r="E62408" s="0" t="s">
        <v>6244</v>
      </c>
      <c r="F62408" s="0" t="s">
        <v>6244</v>
      </c>
    </row>
    <row r="62409" customFormat="false" ht="12.8" hidden="false" customHeight="false" outlineLevel="0" collapsed="false">
      <c r="B62409" s="0" t="s">
        <v>63</v>
      </c>
      <c r="C62409" s="0" t="s">
        <v>6938</v>
      </c>
      <c r="D62409" s="0" t="s">
        <v>4496</v>
      </c>
      <c r="E62409" s="0" t="s">
        <v>4496</v>
      </c>
      <c r="F62409" s="0" t="s">
        <v>4496</v>
      </c>
    </row>
    <row r="62410" customFormat="false" ht="12.8" hidden="false" customHeight="false" outlineLevel="0" collapsed="false">
      <c r="B62410" s="0" t="s">
        <v>35</v>
      </c>
      <c r="C62410" s="0" t="s">
        <v>6939</v>
      </c>
      <c r="D62410" s="0" t="s">
        <v>4497</v>
      </c>
      <c r="E62410" s="0" t="s">
        <v>4497</v>
      </c>
      <c r="F62410" s="0" t="s">
        <v>4497</v>
      </c>
    </row>
    <row r="62412" customFormat="false" ht="12.8" hidden="false" customHeight="false" outlineLevel="0" collapsed="false">
      <c r="A62412" s="0" t="s">
        <v>21378</v>
      </c>
      <c r="B62412" s="0" t="str">
        <f aca="false">HYPERLINK("https://lindat.mff.cuni.cz/services/teitok/pdtc10/index.php?action=vallex&amp;frame=v-w8695f1", "vztahovat (v-w8695f1)")</f>
        <v>vztahovat (v-w8695f1)</v>
      </c>
    </row>
    <row r="62413" customFormat="false" ht="12.8" hidden="false" customHeight="false" outlineLevel="0" collapsed="false">
      <c r="B62413" s="0" t="s">
        <v>457</v>
      </c>
    </row>
    <row r="62414" customFormat="false" ht="12.8" hidden="false" customHeight="false" outlineLevel="0" collapsed="false">
      <c r="B62414" s="0" t="s">
        <v>14</v>
      </c>
    </row>
    <row r="62415" customFormat="false" ht="12.8" hidden="false" customHeight="false" outlineLevel="0" collapsed="false">
      <c r="B62415" s="0" t="s">
        <v>1438</v>
      </c>
    </row>
    <row r="62417" customFormat="false" ht="12.8" hidden="false" customHeight="false" outlineLevel="0" collapsed="false">
      <c r="A62417" s="0" t="s">
        <v>21379</v>
      </c>
      <c r="B62417" s="0" t="str">
        <f aca="false">HYPERLINK("https://lindat.mff.cuni.cz/services/teitok/pdtc10/index.php?action=vallex&amp;frame=v-w8696f2_ZU", "vztahovat se (v-w8696f2_ZU)")</f>
        <v>vztahovat se (v-w8696f2_ZU)</v>
      </c>
    </row>
    <row r="62418" customFormat="false" ht="12.8" hidden="false" customHeight="false" outlineLevel="0" collapsed="false">
      <c r="B62418" s="0" t="s">
        <v>7</v>
      </c>
    </row>
    <row r="62419" customFormat="false" ht="12.8" hidden="false" customHeight="false" outlineLevel="0" collapsed="false">
      <c r="B62419" s="0" t="s">
        <v>21380</v>
      </c>
    </row>
    <row r="62421" customFormat="false" ht="12.8" hidden="false" customHeight="false" outlineLevel="0" collapsed="false">
      <c r="A62421" s="0" t="s">
        <v>21379</v>
      </c>
      <c r="B62421" s="0" t="str">
        <f aca="false">HYPERLINK("https://lindat.mff.cuni.cz/services/teitok/pdtc10/index.php?action=vallex&amp;frame=v-w8696f1", "vztahovat se (v-w8696f1) - substituted with v-w8696f2_ZU")</f>
        <v>vztahovat se (v-w8696f1) - substituted with v-w8696f2_ZU</v>
      </c>
    </row>
    <row r="62422" customFormat="false" ht="12.8" hidden="false" customHeight="false" outlineLevel="0" collapsed="false">
      <c r="B62422" s="0" t="s">
        <v>7</v>
      </c>
      <c r="C62422" s="0" t="s">
        <v>21381</v>
      </c>
      <c r="D62422" s="0" t="s">
        <v>2592</v>
      </c>
      <c r="E62422" s="0" t="s">
        <v>2592</v>
      </c>
      <c r="F62422" s="0" t="s">
        <v>2592</v>
      </c>
    </row>
    <row r="62423" customFormat="false" ht="12.8" hidden="false" customHeight="false" outlineLevel="0" collapsed="false">
      <c r="B62423" s="0" t="s">
        <v>21380</v>
      </c>
      <c r="C62423" s="0" t="s">
        <v>21382</v>
      </c>
      <c r="D62423" s="0" t="s">
        <v>2595</v>
      </c>
      <c r="E62423" s="0" t="s">
        <v>2595</v>
      </c>
      <c r="F62423" s="0" t="s">
        <v>2595</v>
      </c>
    </row>
    <row r="62425" customFormat="false" ht="12.8" hidden="false" customHeight="false" outlineLevel="0" collapsed="false">
      <c r="A62425" s="0" t="s">
        <v>21383</v>
      </c>
      <c r="B62425" s="0" t="str">
        <f aca="false">HYPERLINK("https://lindat.mff.cuni.cz/services/teitok/pdtc10/index.php?action=vallex&amp;frame=v-whsa_213f1_ZU", "vztekat se (v-whsa_213f1_ZU)")</f>
        <v>vztekat se (v-whsa_213f1_ZU)</v>
      </c>
    </row>
    <row r="62426" customFormat="false" ht="12.8" hidden="false" customHeight="false" outlineLevel="0" collapsed="false">
      <c r="B62426" s="0" t="s">
        <v>7</v>
      </c>
      <c r="C62426" s="0" t="s">
        <v>191</v>
      </c>
      <c r="D62426" s="0" t="s">
        <v>184</v>
      </c>
      <c r="E62426" s="0" t="s">
        <v>184</v>
      </c>
      <c r="F62426" s="0" t="s">
        <v>184</v>
      </c>
    </row>
    <row r="62427" customFormat="false" ht="12.8" hidden="false" customHeight="false" outlineLevel="0" collapsed="false">
      <c r="B62427" s="0" t="s">
        <v>63</v>
      </c>
      <c r="D62427" s="0" t="s">
        <v>47</v>
      </c>
      <c r="E62427" s="0" t="s">
        <v>47</v>
      </c>
      <c r="F62427" s="0" t="s">
        <v>47</v>
      </c>
    </row>
    <row r="62429" customFormat="false" ht="12.8" hidden="false" customHeight="false" outlineLevel="0" collapsed="false">
      <c r="A62429" s="0" t="s">
        <v>21383</v>
      </c>
      <c r="B62429" s="0" t="str">
        <f aca="false">HYPERLINK("https://lindat.mff.cuni.cz/services/teitok/pdtc10/index.php?action=vallex&amp;frame=v-whsa_213hsa_214", "vztekat se (v-whsa_213hsa_214) - substituted with v-whsa_213f1_ZU")</f>
        <v>vztekat se (v-whsa_213hsa_214) - substituted with v-whsa_213f1_ZU</v>
      </c>
    </row>
    <row r="62430" customFormat="false" ht="12.8" hidden="false" customHeight="false" outlineLevel="0" collapsed="false">
      <c r="B62430" s="0" t="s">
        <v>7</v>
      </c>
    </row>
    <row r="62431" customFormat="false" ht="12.8" hidden="false" customHeight="false" outlineLevel="0" collapsed="false">
      <c r="B62431" s="0" t="s">
        <v>63</v>
      </c>
    </row>
    <row r="62433" customFormat="false" ht="12.8" hidden="false" customHeight="false" outlineLevel="0" collapsed="false">
      <c r="A62433" s="0" t="s">
        <v>21384</v>
      </c>
      <c r="B62433" s="0" t="str">
        <f aca="false">HYPERLINK("https://lindat.mff.cuni.cz/services/teitok/pdtc10/index.php?action=vallex&amp;frame=v-w8699f1", "vztyčit (v-w8699f1)")</f>
        <v>vztyčit (v-w8699f1)</v>
      </c>
    </row>
    <row r="62434" customFormat="false" ht="12.8" hidden="false" customHeight="false" outlineLevel="0" collapsed="false">
      <c r="B62434" s="0" t="s">
        <v>7</v>
      </c>
      <c r="C62434" s="0" t="s">
        <v>46</v>
      </c>
      <c r="D62434" s="0" t="s">
        <v>3028</v>
      </c>
      <c r="E62434" s="0" t="s">
        <v>3028</v>
      </c>
      <c r="F62434" s="0" t="s">
        <v>3028</v>
      </c>
    </row>
    <row r="62435" customFormat="false" ht="12.8" hidden="false" customHeight="false" outlineLevel="0" collapsed="false">
      <c r="B62435" s="0" t="s">
        <v>14</v>
      </c>
      <c r="C62435" s="0" t="s">
        <v>47</v>
      </c>
      <c r="D62435" s="0" t="s">
        <v>356</v>
      </c>
      <c r="E62435" s="0" t="s">
        <v>356</v>
      </c>
      <c r="F62435" s="0" t="s">
        <v>356</v>
      </c>
    </row>
    <row r="62437" customFormat="false" ht="12.8" hidden="false" customHeight="false" outlineLevel="0" collapsed="false">
      <c r="A62437" s="0" t="s">
        <v>21385</v>
      </c>
      <c r="B62437" s="0" t="str">
        <f aca="false">HYPERLINK("https://lindat.mff.cuni.cz/services/teitok/pdtc10/index.php?action=vallex&amp;frame=v-w8700f1", "vztyčit se (v-w8700f1)")</f>
        <v>vztyčit se (v-w8700f1)</v>
      </c>
    </row>
    <row r="62438" customFormat="false" ht="12.8" hidden="false" customHeight="false" outlineLevel="0" collapsed="false">
      <c r="B62438" s="0" t="s">
        <v>7</v>
      </c>
      <c r="C62438" s="0" t="s">
        <v>247</v>
      </c>
      <c r="D62438" s="0" t="s">
        <v>247</v>
      </c>
    </row>
    <row r="62440" customFormat="false" ht="12.8" hidden="false" customHeight="false" outlineLevel="0" collapsed="false">
      <c r="A62440" s="0" t="s">
        <v>21386</v>
      </c>
      <c r="B62440" s="0" t="str">
        <f aca="false">HYPERLINK("https://lindat.mff.cuni.cz/services/teitok/pdtc10/index.php?action=vallex&amp;frame=v-w8701f1", "vztyčovat (v-w8701f1)")</f>
        <v>vztyčovat (v-w8701f1)</v>
      </c>
    </row>
    <row r="62441" customFormat="false" ht="12.8" hidden="false" customHeight="false" outlineLevel="0" collapsed="false">
      <c r="B62441" s="0" t="s">
        <v>7</v>
      </c>
      <c r="C62441" s="0" t="s">
        <v>6398</v>
      </c>
    </row>
    <row r="62442" customFormat="false" ht="12.8" hidden="false" customHeight="false" outlineLevel="0" collapsed="false">
      <c r="B62442" s="0" t="s">
        <v>14</v>
      </c>
      <c r="C62442" s="0" t="s">
        <v>75</v>
      </c>
    </row>
    <row r="62444" customFormat="false" ht="12.8" hidden="false" customHeight="false" outlineLevel="0" collapsed="false">
      <c r="A62444" s="0" t="s">
        <v>21387</v>
      </c>
      <c r="B62444" s="0" t="str">
        <f aca="false">HYPERLINK("https://lindat.mff.cuni.cz/services/teitok/pdtc10/index.php?action=vallex&amp;frame=v-w8701f2", "vztyčovat (v-w8701f2)")</f>
        <v>vztyčovat (v-w8701f2)</v>
      </c>
    </row>
    <row r="62445" customFormat="false" ht="12.8" hidden="false" customHeight="false" outlineLevel="0" collapsed="false">
      <c r="B62445" s="0" t="s">
        <v>7</v>
      </c>
    </row>
    <row r="62446" customFormat="false" ht="12.8" hidden="false" customHeight="false" outlineLevel="0" collapsed="false">
      <c r="B62446" s="0" t="s">
        <v>14</v>
      </c>
    </row>
    <row r="62448" customFormat="false" ht="12.8" hidden="false" customHeight="false" outlineLevel="0" collapsed="false">
      <c r="A62448" s="0" t="s">
        <v>21388</v>
      </c>
      <c r="B62448" s="0" t="str">
        <f aca="false">HYPERLINK("https://lindat.mff.cuni.cz/services/teitok/pdtc10/index.php?action=vallex&amp;frame=v-w8693f2", "vztáhnout (v-w8693f2)")</f>
        <v>vztáhnout (v-w8693f2)</v>
      </c>
    </row>
    <row r="62449" customFormat="false" ht="12.8" hidden="false" customHeight="false" outlineLevel="0" collapsed="false">
      <c r="B62449" s="0" t="s">
        <v>457</v>
      </c>
    </row>
    <row r="62450" customFormat="false" ht="12.8" hidden="false" customHeight="false" outlineLevel="0" collapsed="false">
      <c r="B62450" s="0" t="s">
        <v>14</v>
      </c>
      <c r="C62450" s="0" t="s">
        <v>3249</v>
      </c>
    </row>
    <row r="62451" customFormat="false" ht="12.8" hidden="false" customHeight="false" outlineLevel="0" collapsed="false">
      <c r="B62451" s="0" t="s">
        <v>6881</v>
      </c>
      <c r="C62451" s="0" t="s">
        <v>17944</v>
      </c>
    </row>
    <row r="62453" customFormat="false" ht="12.8" hidden="false" customHeight="false" outlineLevel="0" collapsed="false">
      <c r="A62453" s="0" t="s">
        <v>21389</v>
      </c>
      <c r="B62453" s="0" t="str">
        <f aca="false">HYPERLINK("https://lindat.mff.cuni.cz/services/teitok/pdtc10/index.php?action=vallex&amp;frame=v-w8693f3", "vztáhnout (v-w8693f3)")</f>
        <v>vztáhnout (v-w8693f3)</v>
      </c>
    </row>
    <row r="62454" customFormat="false" ht="12.8" hidden="false" customHeight="false" outlineLevel="0" collapsed="false">
      <c r="B62454" s="0" t="s">
        <v>7</v>
      </c>
    </row>
    <row r="62455" customFormat="false" ht="12.8" hidden="false" customHeight="false" outlineLevel="0" collapsed="false">
      <c r="B62455" s="0" t="s">
        <v>21390</v>
      </c>
    </row>
    <row r="62456" customFormat="false" ht="12.8" hidden="false" customHeight="false" outlineLevel="0" collapsed="false">
      <c r="B62456" s="0" t="s">
        <v>21391</v>
      </c>
    </row>
    <row r="62458" customFormat="false" ht="12.8" hidden="false" customHeight="false" outlineLevel="0" collapsed="false">
      <c r="A62458" s="0" t="s">
        <v>21392</v>
      </c>
      <c r="B62458" s="0" t="str">
        <f aca="false">HYPERLINK("https://lindat.mff.cuni.cz/services/teitok/pdtc10/index.php?action=vallex&amp;frame=v-w8693f1", "vztáhnout (v-w8693f1)")</f>
        <v>vztáhnout (v-w8693f1)</v>
      </c>
    </row>
    <row r="62459" customFormat="false" ht="12.8" hidden="false" customHeight="false" outlineLevel="0" collapsed="false">
      <c r="B62459" s="0" t="s">
        <v>7</v>
      </c>
    </row>
    <row r="62460" customFormat="false" ht="12.8" hidden="false" customHeight="false" outlineLevel="0" collapsed="false">
      <c r="B62460" s="0" t="s">
        <v>2868</v>
      </c>
    </row>
    <row r="62461" customFormat="false" ht="12.8" hidden="false" customHeight="false" outlineLevel="0" collapsed="false">
      <c r="B62461" s="0" t="s">
        <v>21391</v>
      </c>
    </row>
    <row r="62463" customFormat="false" ht="12.8" hidden="false" customHeight="false" outlineLevel="0" collapsed="false">
      <c r="A62463" s="0" t="s">
        <v>21393</v>
      </c>
      <c r="B62463" s="0" t="str">
        <f aca="false">HYPERLINK("https://lindat.mff.cuni.cz/services/teitok/pdtc10/index.php?action=vallex&amp;frame=v-w8657f2", "vzít (v-w8657f2)")</f>
        <v>vzít (v-w8657f2)</v>
      </c>
    </row>
    <row r="62464" customFormat="false" ht="12.8" hidden="false" customHeight="false" outlineLevel="0" collapsed="false">
      <c r="B62464" s="0" t="s">
        <v>7</v>
      </c>
      <c r="C62464" s="0" t="s">
        <v>3051</v>
      </c>
      <c r="D62464" s="0" t="s">
        <v>429</v>
      </c>
      <c r="E62464" s="0" t="s">
        <v>430</v>
      </c>
      <c r="F62464" s="0" t="s">
        <v>431</v>
      </c>
    </row>
    <row r="62465" customFormat="false" ht="12.8" hidden="false" customHeight="false" outlineLevel="0" collapsed="false">
      <c r="B62465" s="0" t="s">
        <v>14</v>
      </c>
      <c r="C62465" s="0" t="s">
        <v>1205</v>
      </c>
      <c r="D62465" s="0" t="s">
        <v>433</v>
      </c>
      <c r="E62465" s="0" t="s">
        <v>434</v>
      </c>
      <c r="F62465" s="0" t="s">
        <v>435</v>
      </c>
    </row>
    <row r="62466" customFormat="false" ht="12.8" hidden="false" customHeight="false" outlineLevel="0" collapsed="false">
      <c r="B62466" s="0" t="s">
        <v>48</v>
      </c>
      <c r="C62466" s="0" t="s">
        <v>11538</v>
      </c>
      <c r="D62466" s="0" t="s">
        <v>437</v>
      </c>
      <c r="E62466" s="0" t="s">
        <v>438</v>
      </c>
      <c r="F62466" s="0" t="s">
        <v>439</v>
      </c>
    </row>
    <row r="62468" customFormat="false" ht="12.8" hidden="false" customHeight="false" outlineLevel="0" collapsed="false">
      <c r="A62468" s="0" t="s">
        <v>21394</v>
      </c>
      <c r="B62468" s="0" t="str">
        <f aca="false">HYPERLINK("https://lindat.mff.cuni.cz/services/teitok/pdtc10/index.php?action=vallex&amp;frame=v-w8657f44_ZU", "vzít (v-w8657f44_ZU)")</f>
        <v>vzít (v-w8657f44_ZU)</v>
      </c>
    </row>
    <row r="62469" customFormat="false" ht="12.8" hidden="false" customHeight="false" outlineLevel="0" collapsed="false">
      <c r="B62469" s="0" t="s">
        <v>7</v>
      </c>
      <c r="C62469" s="0" t="s">
        <v>3664</v>
      </c>
    </row>
    <row r="62470" customFormat="false" ht="12.8" hidden="false" customHeight="false" outlineLevel="0" collapsed="false">
      <c r="B62470" s="0" t="s">
        <v>1691</v>
      </c>
      <c r="C62470" s="0" t="s">
        <v>462</v>
      </c>
    </row>
    <row r="62471" customFormat="false" ht="12.8" hidden="false" customHeight="false" outlineLevel="0" collapsed="false">
      <c r="B62471" s="0" t="s">
        <v>441</v>
      </c>
      <c r="C62471" s="0" t="s">
        <v>12567</v>
      </c>
    </row>
    <row r="62473" customFormat="false" ht="12.8" hidden="false" customHeight="false" outlineLevel="0" collapsed="false">
      <c r="A62473" s="0" t="s">
        <v>21394</v>
      </c>
      <c r="B62473" s="0" t="str">
        <f aca="false">HYPERLINK("https://lindat.mff.cuni.cz/services/teitok/pdtc10/index.php?action=vallex&amp;frame=v-w8657f38", "vzít (v-w8657f38) - substituted with v-w8657f44_ZU")</f>
        <v>vzít (v-w8657f38) - substituted with v-w8657f44_ZU</v>
      </c>
    </row>
    <row r="62474" customFormat="false" ht="12.8" hidden="false" customHeight="false" outlineLevel="0" collapsed="false">
      <c r="B62474" s="0" t="s">
        <v>7</v>
      </c>
      <c r="C62474" s="0" t="s">
        <v>2668</v>
      </c>
    </row>
    <row r="62475" customFormat="false" ht="12.8" hidden="false" customHeight="false" outlineLevel="0" collapsed="false">
      <c r="B62475" s="0" t="s">
        <v>1691</v>
      </c>
      <c r="C62475" s="0" t="s">
        <v>899</v>
      </c>
    </row>
    <row r="62476" customFormat="false" ht="12.8" hidden="false" customHeight="false" outlineLevel="0" collapsed="false">
      <c r="B62476" s="0" t="s">
        <v>441</v>
      </c>
    </row>
    <row r="62478" customFormat="false" ht="12.8" hidden="false" customHeight="false" outlineLevel="0" collapsed="false">
      <c r="A62478" s="0" t="s">
        <v>21395</v>
      </c>
      <c r="B62478" s="0" t="str">
        <f aca="false">HYPERLINK("https://lindat.mff.cuni.cz/services/teitok/pdtc10/index.php?action=vallex&amp;frame=v-w8657f9", "vzít (v-w8657f9)")</f>
        <v>vzít (v-w8657f9)</v>
      </c>
    </row>
    <row r="62479" customFormat="false" ht="12.8" hidden="false" customHeight="false" outlineLevel="0" collapsed="false">
      <c r="B62479" s="0" t="s">
        <v>7</v>
      </c>
      <c r="C62479" s="0" t="s">
        <v>465</v>
      </c>
      <c r="D62479" s="0" t="s">
        <v>11408</v>
      </c>
      <c r="E62479" s="0" t="s">
        <v>11408</v>
      </c>
      <c r="F62479" s="0" t="s">
        <v>11408</v>
      </c>
    </row>
    <row r="62480" customFormat="false" ht="12.8" hidden="false" customHeight="false" outlineLevel="0" collapsed="false">
      <c r="B62480" s="0" t="s">
        <v>14</v>
      </c>
      <c r="C62480" s="0" t="s">
        <v>466</v>
      </c>
      <c r="D62480" s="0" t="s">
        <v>21396</v>
      </c>
      <c r="E62480" s="0" t="s">
        <v>21396</v>
      </c>
      <c r="F62480" s="0" t="s">
        <v>21396</v>
      </c>
    </row>
    <row r="62481" customFormat="false" ht="12.8" hidden="false" customHeight="false" outlineLevel="0" collapsed="false">
      <c r="B62481" s="0" t="s">
        <v>441</v>
      </c>
      <c r="D62481" s="0" t="s">
        <v>446</v>
      </c>
      <c r="E62481" s="0" t="s">
        <v>446</v>
      </c>
      <c r="F62481" s="0" t="s">
        <v>446</v>
      </c>
    </row>
    <row r="62483" customFormat="false" ht="12.8" hidden="false" customHeight="false" outlineLevel="0" collapsed="false">
      <c r="A62483" s="0" t="s">
        <v>21397</v>
      </c>
      <c r="B62483" s="0" t="str">
        <f aca="false">HYPERLINK("https://lindat.mff.cuni.cz/services/teitok/pdtc10/index.php?action=vallex&amp;frame=v-w8657f12", "vzít (v-w8657f12)")</f>
        <v>vzít (v-w8657f12)</v>
      </c>
    </row>
    <row r="62484" customFormat="false" ht="12.8" hidden="false" customHeight="false" outlineLevel="0" collapsed="false">
      <c r="B62484" s="0" t="s">
        <v>7</v>
      </c>
      <c r="C62484" s="0" t="s">
        <v>31</v>
      </c>
      <c r="D62484" s="0" t="s">
        <v>451</v>
      </c>
      <c r="E62484" s="0" t="s">
        <v>451</v>
      </c>
      <c r="F62484" s="0" t="s">
        <v>451</v>
      </c>
    </row>
    <row r="62485" customFormat="false" ht="12.8" hidden="false" customHeight="false" outlineLevel="0" collapsed="false">
      <c r="B62485" s="0" t="s">
        <v>54</v>
      </c>
      <c r="C62485" s="0" t="s">
        <v>120</v>
      </c>
      <c r="D62485" s="0" t="s">
        <v>453</v>
      </c>
      <c r="E62485" s="0" t="s">
        <v>453</v>
      </c>
      <c r="F62485" s="0" t="s">
        <v>453</v>
      </c>
    </row>
    <row r="62486" customFormat="false" ht="12.8" hidden="false" customHeight="false" outlineLevel="0" collapsed="false">
      <c r="B62486" s="0" t="s">
        <v>11404</v>
      </c>
      <c r="C62486" s="0" t="s">
        <v>21398</v>
      </c>
      <c r="D62486" s="0" t="s">
        <v>455</v>
      </c>
      <c r="E62486" s="0" t="s">
        <v>455</v>
      </c>
      <c r="F62486" s="0" t="s">
        <v>455</v>
      </c>
    </row>
    <row r="62488" customFormat="false" ht="12.8" hidden="false" customHeight="false" outlineLevel="0" collapsed="false">
      <c r="A62488" s="0" t="s">
        <v>21399</v>
      </c>
      <c r="B62488" s="0" t="str">
        <f aca="false">HYPERLINK("https://lindat.mff.cuni.cz/services/teitok/pdtc10/index.php?action=vallex&amp;frame=v-w8657f24", "vzít (v-w8657f24)")</f>
        <v>vzít (v-w8657f24)</v>
      </c>
    </row>
    <row r="62489" customFormat="false" ht="12.8" hidden="false" customHeight="false" outlineLevel="0" collapsed="false">
      <c r="B62489" s="0" t="s">
        <v>7</v>
      </c>
      <c r="C62489" s="0" t="s">
        <v>1226</v>
      </c>
      <c r="D62489" s="0" t="s">
        <v>429</v>
      </c>
      <c r="E62489" s="0" t="s">
        <v>430</v>
      </c>
      <c r="F62489" s="0" t="s">
        <v>431</v>
      </c>
    </row>
    <row r="62490" customFormat="false" ht="12.8" hidden="false" customHeight="false" outlineLevel="0" collapsed="false">
      <c r="B62490" s="0" t="s">
        <v>14</v>
      </c>
      <c r="C62490" s="0" t="s">
        <v>324</v>
      </c>
      <c r="D62490" s="0" t="s">
        <v>433</v>
      </c>
      <c r="E62490" s="0" t="s">
        <v>434</v>
      </c>
      <c r="F62490" s="0" t="s">
        <v>435</v>
      </c>
    </row>
    <row r="62491" customFormat="false" ht="12.8" hidden="false" customHeight="false" outlineLevel="0" collapsed="false">
      <c r="B62491" s="0" t="s">
        <v>459</v>
      </c>
      <c r="C62491" s="0" t="s">
        <v>21400</v>
      </c>
      <c r="D62491" s="0" t="s">
        <v>21401</v>
      </c>
      <c r="E62491" s="0" t="s">
        <v>21402</v>
      </c>
      <c r="F62491" s="0" t="s">
        <v>21403</v>
      </c>
    </row>
    <row r="62493" customFormat="false" ht="12.8" hidden="false" customHeight="false" outlineLevel="0" collapsed="false">
      <c r="A62493" s="0" t="s">
        <v>21404</v>
      </c>
      <c r="B62493" s="0" t="str">
        <f aca="false">HYPERLINK("https://lindat.mff.cuni.cz/services/teitok/pdtc10/index.php?action=vallex&amp;frame=v-w8657f39", "vzít (v-w8657f39)")</f>
        <v>vzít (v-w8657f39)</v>
      </c>
    </row>
    <row r="62494" customFormat="false" ht="12.8" hidden="false" customHeight="false" outlineLevel="0" collapsed="false">
      <c r="B62494" s="0" t="s">
        <v>7</v>
      </c>
      <c r="C62494" s="0" t="s">
        <v>1826</v>
      </c>
      <c r="D62494" s="0" t="s">
        <v>149</v>
      </c>
      <c r="E62494" s="0" t="s">
        <v>149</v>
      </c>
      <c r="F62494" s="0" t="s">
        <v>149</v>
      </c>
    </row>
    <row r="62495" customFormat="false" ht="12.8" hidden="false" customHeight="false" outlineLevel="0" collapsed="false">
      <c r="B62495" s="0" t="s">
        <v>14</v>
      </c>
      <c r="C62495" s="0" t="s">
        <v>5091</v>
      </c>
      <c r="D62495" s="0" t="s">
        <v>3249</v>
      </c>
      <c r="E62495" s="0" t="s">
        <v>3249</v>
      </c>
      <c r="F62495" s="0" t="s">
        <v>3249</v>
      </c>
    </row>
    <row r="62496" customFormat="false" ht="12.8" hidden="false" customHeight="false" outlineLevel="0" collapsed="false">
      <c r="B62496" s="0" t="s">
        <v>459</v>
      </c>
      <c r="C62496" s="0" t="s">
        <v>19661</v>
      </c>
      <c r="D62496" s="0" t="s">
        <v>8061</v>
      </c>
      <c r="E62496" s="0" t="s">
        <v>8061</v>
      </c>
      <c r="F62496" s="0" t="s">
        <v>8061</v>
      </c>
    </row>
    <row r="62498" customFormat="false" ht="12.8" hidden="false" customHeight="false" outlineLevel="0" collapsed="false">
      <c r="A62498" s="0" t="s">
        <v>21405</v>
      </c>
      <c r="B62498" s="0" t="str">
        <f aca="false">HYPERLINK("https://lindat.mff.cuni.cz/services/teitok/pdtc10/index.php?action=vallex&amp;frame=v-w8657f32", "vzít (v-w8657f32)")</f>
        <v>vzít (v-w8657f32)</v>
      </c>
    </row>
    <row r="62499" customFormat="false" ht="12.8" hidden="false" customHeight="false" outlineLevel="0" collapsed="false">
      <c r="B62499" s="0" t="s">
        <v>7</v>
      </c>
    </row>
    <row r="62500" customFormat="false" ht="12.8" hidden="false" customHeight="false" outlineLevel="0" collapsed="false">
      <c r="B62500" s="0" t="s">
        <v>14</v>
      </c>
    </row>
    <row r="62501" customFormat="false" ht="12.8" hidden="false" customHeight="false" outlineLevel="0" collapsed="false">
      <c r="B62501" s="0" t="s">
        <v>259</v>
      </c>
    </row>
    <row r="62503" customFormat="false" ht="12.8" hidden="false" customHeight="false" outlineLevel="0" collapsed="false">
      <c r="A62503" s="0" t="s">
        <v>21406</v>
      </c>
      <c r="B62503" s="0" t="str">
        <f aca="false">HYPERLINK("https://lindat.mff.cuni.cz/services/teitok/pdtc10/index.php?action=vallex&amp;frame=v-w8657f26", "vzít (v-w8657f26)")</f>
        <v>vzít (v-w8657f26)</v>
      </c>
    </row>
    <row r="62504" customFormat="false" ht="12.8" hidden="false" customHeight="false" outlineLevel="0" collapsed="false">
      <c r="B62504" s="0" t="s">
        <v>641</v>
      </c>
    </row>
    <row r="62505" customFormat="false" ht="12.8" hidden="false" customHeight="false" outlineLevel="0" collapsed="false">
      <c r="B62505" s="0" t="s">
        <v>14</v>
      </c>
    </row>
    <row r="62507" customFormat="false" ht="12.8" hidden="false" customHeight="false" outlineLevel="0" collapsed="false">
      <c r="A62507" s="0" t="s">
        <v>21407</v>
      </c>
      <c r="B62507" s="0" t="str">
        <f aca="false">HYPERLINK("https://lindat.mff.cuni.cz/services/teitok/pdtc10/index.php?action=vallex&amp;frame=v-w8657f5", "vzít (v-w8657f5)")</f>
        <v>vzít (v-w8657f5)</v>
      </c>
    </row>
    <row r="62508" customFormat="false" ht="12.8" hidden="false" customHeight="false" outlineLevel="0" collapsed="false">
      <c r="B62508" s="0" t="s">
        <v>7</v>
      </c>
      <c r="C62508" s="0" t="s">
        <v>2656</v>
      </c>
    </row>
    <row r="62509" customFormat="false" ht="12.8" hidden="false" customHeight="false" outlineLevel="0" collapsed="false">
      <c r="B62509" s="0" t="s">
        <v>21408</v>
      </c>
      <c r="C62509" s="0" t="s">
        <v>4736</v>
      </c>
    </row>
    <row r="62511" customFormat="false" ht="12.8" hidden="false" customHeight="false" outlineLevel="0" collapsed="false">
      <c r="A62511" s="0" t="s">
        <v>21409</v>
      </c>
      <c r="B62511" s="0" t="str">
        <f aca="false">HYPERLINK("https://lindat.mff.cuni.cz/services/teitok/pdtc10/index.php?action=vallex&amp;frame=v-w8657f3", "vzít (v-w8657f3)")</f>
        <v>vzít (v-w8657f3)</v>
      </c>
    </row>
    <row r="62512" customFormat="false" ht="12.8" hidden="false" customHeight="false" outlineLevel="0" collapsed="false">
      <c r="B62512" s="0" t="s">
        <v>7</v>
      </c>
      <c r="C62512" s="0" t="s">
        <v>1263</v>
      </c>
      <c r="D62512" s="0" t="s">
        <v>88</v>
      </c>
      <c r="E62512" s="0" t="s">
        <v>88</v>
      </c>
      <c r="F62512" s="0" t="s">
        <v>88</v>
      </c>
    </row>
    <row r="62513" customFormat="false" ht="12.8" hidden="false" customHeight="false" outlineLevel="0" collapsed="false">
      <c r="B62513" s="0" t="s">
        <v>14</v>
      </c>
      <c r="C62513" s="0" t="s">
        <v>21410</v>
      </c>
      <c r="D62513" s="0" t="s">
        <v>461</v>
      </c>
      <c r="E62513" s="0" t="s">
        <v>461</v>
      </c>
      <c r="F62513" s="0" t="s">
        <v>461</v>
      </c>
    </row>
    <row r="62514" customFormat="false" ht="12.8" hidden="false" customHeight="false" outlineLevel="0" collapsed="false">
      <c r="B62514" s="0" t="s">
        <v>474</v>
      </c>
      <c r="C62514" s="0" t="s">
        <v>476</v>
      </c>
      <c r="D62514" s="0" t="s">
        <v>476</v>
      </c>
      <c r="E62514" s="0" t="s">
        <v>476</v>
      </c>
      <c r="F62514" s="0" t="s">
        <v>476</v>
      </c>
    </row>
    <row r="62515" customFormat="false" ht="12.8" hidden="false" customHeight="false" outlineLevel="0" collapsed="false">
      <c r="B62515" s="0" t="s">
        <v>479</v>
      </c>
      <c r="D62515" s="0" t="s">
        <v>480</v>
      </c>
      <c r="E62515" s="0" t="s">
        <v>480</v>
      </c>
      <c r="F62515" s="0" t="s">
        <v>480</v>
      </c>
    </row>
    <row r="62516" customFormat="false" ht="12.8" hidden="false" customHeight="false" outlineLevel="0" collapsed="false">
      <c r="B62516" s="0" t="s">
        <v>481</v>
      </c>
      <c r="D62516" s="0" t="s">
        <v>482</v>
      </c>
      <c r="E62516" s="0" t="s">
        <v>482</v>
      </c>
      <c r="F62516" s="0" t="s">
        <v>482</v>
      </c>
    </row>
    <row r="62517" customFormat="false" ht="12.8" hidden="false" customHeight="false" outlineLevel="0" collapsed="false">
      <c r="B62517" s="0" t="s">
        <v>483</v>
      </c>
      <c r="D62517" s="0" t="s">
        <v>484</v>
      </c>
      <c r="E62517" s="0" t="s">
        <v>484</v>
      </c>
      <c r="F62517" s="0" t="s">
        <v>484</v>
      </c>
    </row>
    <row r="62519" customFormat="false" ht="12.8" hidden="false" customHeight="false" outlineLevel="0" collapsed="false">
      <c r="A62519" s="0" t="s">
        <v>21411</v>
      </c>
      <c r="B62519" s="0" t="str">
        <f aca="false">HYPERLINK("https://lindat.mff.cuni.cz/services/teitok/pdtc10/index.php?action=vallex&amp;frame=v-w8657f7", "vzít (v-w8657f7)")</f>
        <v>vzít (v-w8657f7)</v>
      </c>
    </row>
    <row r="62520" customFormat="false" ht="12.8" hidden="false" customHeight="false" outlineLevel="0" collapsed="false">
      <c r="B62520" s="0" t="s">
        <v>7</v>
      </c>
      <c r="C62520" s="0" t="s">
        <v>465</v>
      </c>
    </row>
    <row r="62521" customFormat="false" ht="12.8" hidden="false" customHeight="false" outlineLevel="0" collapsed="false">
      <c r="B62521" s="0" t="s">
        <v>14</v>
      </c>
      <c r="C62521" s="0" t="s">
        <v>466</v>
      </c>
    </row>
    <row r="62523" customFormat="false" ht="12.8" hidden="false" customHeight="false" outlineLevel="0" collapsed="false">
      <c r="A62523" s="0" t="s">
        <v>21412</v>
      </c>
      <c r="B62523" s="0" t="str">
        <f aca="false">HYPERLINK("https://lindat.mff.cuni.cz/services/teitok/pdtc10/index.php?action=vallex&amp;frame=v-w8657f6", "vzít (v-w8657f6)")</f>
        <v>vzít (v-w8657f6)</v>
      </c>
    </row>
    <row r="62524" customFormat="false" ht="12.8" hidden="false" customHeight="false" outlineLevel="0" collapsed="false">
      <c r="B62524" s="0" t="s">
        <v>7</v>
      </c>
      <c r="C62524" s="0" t="s">
        <v>21413</v>
      </c>
      <c r="D62524" s="0" t="s">
        <v>8678</v>
      </c>
      <c r="E62524" s="0" t="s">
        <v>8678</v>
      </c>
      <c r="F62524" s="0" t="s">
        <v>8678</v>
      </c>
    </row>
    <row r="62525" customFormat="false" ht="12.8" hidden="false" customHeight="false" outlineLevel="0" collapsed="false">
      <c r="B62525" s="0" t="s">
        <v>14</v>
      </c>
      <c r="C62525" s="0" t="s">
        <v>21414</v>
      </c>
      <c r="D62525" s="0" t="s">
        <v>8679</v>
      </c>
      <c r="E62525" s="0" t="s">
        <v>8679</v>
      </c>
      <c r="F62525" s="0" t="s">
        <v>8679</v>
      </c>
    </row>
    <row r="62527" customFormat="false" ht="12.8" hidden="false" customHeight="false" outlineLevel="0" collapsed="false">
      <c r="A62527" s="0" t="s">
        <v>21415</v>
      </c>
      <c r="B62527" s="0" t="str">
        <f aca="false">HYPERLINK("https://lindat.mff.cuni.cz/services/teitok/pdtc10/index.php?action=vallex&amp;frame=v-w8657f8", "vzít (v-w8657f8)")</f>
        <v>vzít (v-w8657f8)</v>
      </c>
    </row>
    <row r="62528" customFormat="false" ht="12.8" hidden="false" customHeight="false" outlineLevel="0" collapsed="false">
      <c r="B62528" s="0" t="s">
        <v>7</v>
      </c>
      <c r="C62528" s="0" t="s">
        <v>428</v>
      </c>
    </row>
    <row r="62529" customFormat="false" ht="12.8" hidden="false" customHeight="false" outlineLevel="0" collapsed="false">
      <c r="B62529" s="0" t="s">
        <v>14</v>
      </c>
      <c r="C62529" s="0" t="s">
        <v>2182</v>
      </c>
    </row>
    <row r="62531" customFormat="false" ht="12.8" hidden="false" customHeight="false" outlineLevel="0" collapsed="false">
      <c r="A62531" s="0" t="s">
        <v>21416</v>
      </c>
      <c r="B62531" s="0" t="str">
        <f aca="false">HYPERLINK("https://lindat.mff.cuni.cz/services/teitok/pdtc10/index.php?action=vallex&amp;frame=v-w8657f10", "vzít (v-w8657f10)")</f>
        <v>vzít (v-w8657f10)</v>
      </c>
    </row>
    <row r="62532" customFormat="false" ht="12.8" hidden="false" customHeight="false" outlineLevel="0" collapsed="false">
      <c r="B62532" s="0" t="s">
        <v>7</v>
      </c>
    </row>
    <row r="62533" customFormat="false" ht="12.8" hidden="false" customHeight="false" outlineLevel="0" collapsed="false">
      <c r="B62533" s="0" t="s">
        <v>14</v>
      </c>
    </row>
    <row r="62535" customFormat="false" ht="12.8" hidden="false" customHeight="false" outlineLevel="0" collapsed="false">
      <c r="A62535" s="0" t="s">
        <v>21417</v>
      </c>
      <c r="B62535" s="0" t="str">
        <f aca="false">HYPERLINK("https://lindat.mff.cuni.cz/services/teitok/pdtc10/index.php?action=vallex&amp;frame=v-w8657hsa_947", "vzít (v-w8657hsa_947)")</f>
        <v>vzít (v-w8657hsa_947)</v>
      </c>
    </row>
    <row r="62536" customFormat="false" ht="12.8" hidden="false" customHeight="false" outlineLevel="0" collapsed="false">
      <c r="B62536" s="0" t="s">
        <v>7</v>
      </c>
    </row>
    <row r="62537" customFormat="false" ht="12.8" hidden="false" customHeight="false" outlineLevel="0" collapsed="false">
      <c r="B62537" s="0" t="s">
        <v>232</v>
      </c>
    </row>
    <row r="62539" customFormat="false" ht="12.8" hidden="false" customHeight="false" outlineLevel="0" collapsed="false">
      <c r="A62539" s="0" t="s">
        <v>21417</v>
      </c>
      <c r="B62539" s="0" t="str">
        <f aca="false">HYPERLINK("https://lindat.mff.cuni.cz/services/teitok/pdtc10/index.php?action=vallex&amp;frame=v-w8657f15", "vzít (v-w8657f15) - substituted with v-w8657hsa_947")</f>
        <v>vzít (v-w8657f15) - substituted with v-w8657hsa_947</v>
      </c>
    </row>
    <row r="62540" customFormat="false" ht="12.8" hidden="false" customHeight="false" outlineLevel="0" collapsed="false">
      <c r="B62540" s="0" t="s">
        <v>7</v>
      </c>
      <c r="C62540" s="0" t="s">
        <v>5057</v>
      </c>
      <c r="D62540" s="0" t="s">
        <v>515</v>
      </c>
      <c r="E62540" s="0" t="s">
        <v>515</v>
      </c>
      <c r="F62540" s="0" t="s">
        <v>515</v>
      </c>
    </row>
    <row r="62541" customFormat="false" ht="12.8" hidden="false" customHeight="false" outlineLevel="0" collapsed="false">
      <c r="B62541" s="0" t="s">
        <v>232</v>
      </c>
      <c r="C62541" s="0" t="s">
        <v>1164</v>
      </c>
      <c r="D62541" s="0" t="s">
        <v>519</v>
      </c>
      <c r="E62541" s="0" t="s">
        <v>519</v>
      </c>
      <c r="F62541" s="0" t="s">
        <v>519</v>
      </c>
    </row>
    <row r="62543" customFormat="false" ht="12.8" hidden="false" customHeight="false" outlineLevel="0" collapsed="false">
      <c r="A62543" s="0" t="s">
        <v>21418</v>
      </c>
      <c r="B62543" s="0" t="str">
        <f aca="false">HYPERLINK("https://lindat.mff.cuni.cz/services/teitok/pdtc10/index.php?action=vallex&amp;frame=v-w8657f22", "vzít (v-w8657f22)")</f>
        <v>vzít (v-w8657f22)</v>
      </c>
    </row>
    <row r="62544" customFormat="false" ht="12.8" hidden="false" customHeight="false" outlineLevel="0" collapsed="false">
      <c r="B62544" s="0" t="s">
        <v>7</v>
      </c>
      <c r="C62544" s="0" t="s">
        <v>465</v>
      </c>
    </row>
    <row r="62545" customFormat="false" ht="12.8" hidden="false" customHeight="false" outlineLevel="0" collapsed="false">
      <c r="B62545" s="0" t="s">
        <v>14</v>
      </c>
      <c r="C62545" s="0" t="s">
        <v>466</v>
      </c>
    </row>
    <row r="62547" customFormat="false" ht="12.8" hidden="false" customHeight="false" outlineLevel="0" collapsed="false">
      <c r="A62547" s="0" t="s">
        <v>21419</v>
      </c>
      <c r="B62547" s="0" t="str">
        <f aca="false">HYPERLINK("https://lindat.mff.cuni.cz/services/teitok/pdtc10/index.php?action=vallex&amp;frame=v-w8657f33", "vzít (v-w8657f33)")</f>
        <v>vzít (v-w8657f33)</v>
      </c>
    </row>
    <row r="62548" customFormat="false" ht="12.8" hidden="false" customHeight="false" outlineLevel="0" collapsed="false">
      <c r="B62548" s="0" t="s">
        <v>7</v>
      </c>
    </row>
    <row r="62549" customFormat="false" ht="12.8" hidden="false" customHeight="false" outlineLevel="0" collapsed="false">
      <c r="B62549" s="0" t="s">
        <v>14</v>
      </c>
    </row>
    <row r="62551" customFormat="false" ht="12.8" hidden="false" customHeight="false" outlineLevel="0" collapsed="false">
      <c r="A62551" s="0" t="s">
        <v>21420</v>
      </c>
      <c r="B62551" s="0" t="str">
        <f aca="false">HYPERLINK("https://lindat.mff.cuni.cz/services/teitok/pdtc10/index.php?action=vallex&amp;frame=v-w8657f35", "vzít (v-w8657f35)")</f>
        <v>vzít (v-w8657f35)</v>
      </c>
    </row>
    <row r="62552" customFormat="false" ht="12.8" hidden="false" customHeight="false" outlineLevel="0" collapsed="false">
      <c r="B62552" s="0" t="s">
        <v>7</v>
      </c>
    </row>
    <row r="62553" customFormat="false" ht="12.8" hidden="false" customHeight="false" outlineLevel="0" collapsed="false">
      <c r="B62553" s="0" t="s">
        <v>491</v>
      </c>
    </row>
    <row r="62555" customFormat="false" ht="12.8" hidden="false" customHeight="false" outlineLevel="0" collapsed="false">
      <c r="A62555" s="0" t="s">
        <v>21421</v>
      </c>
      <c r="B62555" s="0" t="str">
        <f aca="false">HYPERLINK("https://lindat.mff.cuni.cz/services/teitok/pdtc10/index.php?action=vallex&amp;frame=v-w8657f40", "vzít (v-w8657f40)")</f>
        <v>vzít (v-w8657f40)</v>
      </c>
    </row>
    <row r="62556" customFormat="false" ht="12.8" hidden="false" customHeight="false" outlineLevel="0" collapsed="false">
      <c r="B62556" s="0" t="s">
        <v>457</v>
      </c>
    </row>
    <row r="62557" customFormat="false" ht="12.8" hidden="false" customHeight="false" outlineLevel="0" collapsed="false">
      <c r="B62557" s="0" t="s">
        <v>21422</v>
      </c>
    </row>
    <row r="62558" customFormat="false" ht="12.8" hidden="false" customHeight="false" outlineLevel="0" collapsed="false">
      <c r="B62558" s="0" t="s">
        <v>48</v>
      </c>
    </row>
    <row r="62560" customFormat="false" ht="12.8" hidden="false" customHeight="false" outlineLevel="0" collapsed="false">
      <c r="A62560" s="0" t="s">
        <v>21423</v>
      </c>
      <c r="B62560" s="0" t="str">
        <f aca="false">HYPERLINK("https://lindat.mff.cuni.cz/services/teitok/pdtc10/index.php?action=vallex&amp;frame=v-w8657f21", "vzít (v-w8657f21)")</f>
        <v>vzít (v-w8657f21)</v>
      </c>
    </row>
    <row r="62561" customFormat="false" ht="12.8" hidden="false" customHeight="false" outlineLevel="0" collapsed="false">
      <c r="B62561" s="0" t="s">
        <v>7</v>
      </c>
    </row>
    <row r="62562" customFormat="false" ht="12.8" hidden="false" customHeight="false" outlineLevel="0" collapsed="false">
      <c r="B62562" s="0" t="s">
        <v>499</v>
      </c>
    </row>
    <row r="62564" customFormat="false" ht="12.8" hidden="false" customHeight="false" outlineLevel="0" collapsed="false">
      <c r="A62564" s="0" t="s">
        <v>21424</v>
      </c>
      <c r="B62564" s="0" t="str">
        <f aca="false">HYPERLINK("https://lindat.mff.cuni.cz/services/teitok/pdtc10/index.php?action=vallex&amp;frame=v-w8657f17", "vzít (v-w8657f17)")</f>
        <v>vzít (v-w8657f17)</v>
      </c>
    </row>
    <row r="62565" customFormat="false" ht="12.8" hidden="false" customHeight="false" outlineLevel="0" collapsed="false">
      <c r="B62565" s="0" t="s">
        <v>7</v>
      </c>
    </row>
    <row r="62566" customFormat="false" ht="12.8" hidden="false" customHeight="false" outlineLevel="0" collapsed="false">
      <c r="B62566" s="0" t="s">
        <v>21425</v>
      </c>
    </row>
    <row r="62567" customFormat="false" ht="12.8" hidden="false" customHeight="false" outlineLevel="0" collapsed="false">
      <c r="B62567" s="0" t="s">
        <v>14</v>
      </c>
      <c r="D62567" s="0" t="s">
        <v>155</v>
      </c>
      <c r="E62567" s="0" t="s">
        <v>155</v>
      </c>
      <c r="F62567" s="0" t="s">
        <v>155</v>
      </c>
    </row>
    <row r="62569" customFormat="false" ht="12.8" hidden="false" customHeight="false" outlineLevel="0" collapsed="false">
      <c r="A62569" s="0" t="s">
        <v>21426</v>
      </c>
      <c r="B62569" s="0" t="str">
        <f aca="false">HYPERLINK("https://lindat.mff.cuni.cz/services/teitok/pdtc10/index.php?action=vallex&amp;frame=v-w8657f37", "vzít (v-w8657f37)")</f>
        <v>vzít (v-w8657f37)</v>
      </c>
    </row>
    <row r="62570" customFormat="false" ht="12.8" hidden="false" customHeight="false" outlineLevel="0" collapsed="false">
      <c r="B62570" s="0" t="s">
        <v>7</v>
      </c>
      <c r="C62570" s="0" t="s">
        <v>3051</v>
      </c>
    </row>
    <row r="62571" customFormat="false" ht="12.8" hidden="false" customHeight="false" outlineLevel="0" collapsed="false">
      <c r="B62571" s="0" t="s">
        <v>21427</v>
      </c>
    </row>
    <row r="62572" customFormat="false" ht="12.8" hidden="false" customHeight="false" outlineLevel="0" collapsed="false">
      <c r="B62572" s="0" t="s">
        <v>14</v>
      </c>
      <c r="C62572" s="0" t="s">
        <v>26</v>
      </c>
    </row>
    <row r="62574" customFormat="false" ht="12.8" hidden="false" customHeight="false" outlineLevel="0" collapsed="false">
      <c r="A62574" s="0" t="s">
        <v>21428</v>
      </c>
      <c r="B62574" s="0" t="str">
        <f aca="false">HYPERLINK("https://lindat.mff.cuni.cz/services/teitok/pdtc10/index.php?action=vallex&amp;frame=v-w8657f4", "vzít (v-w8657f4)")</f>
        <v>vzít (v-w8657f4)</v>
      </c>
    </row>
    <row r="62575" customFormat="false" ht="12.8" hidden="false" customHeight="false" outlineLevel="0" collapsed="false">
      <c r="B62575" s="0" t="s">
        <v>7</v>
      </c>
      <c r="C62575" s="0" t="s">
        <v>504</v>
      </c>
    </row>
    <row r="62576" customFormat="false" ht="12.8" hidden="false" customHeight="false" outlineLevel="0" collapsed="false">
      <c r="B62576" s="0" t="s">
        <v>21429</v>
      </c>
    </row>
    <row r="62577" customFormat="false" ht="12.8" hidden="false" customHeight="false" outlineLevel="0" collapsed="false">
      <c r="B62577" s="0" t="s">
        <v>14</v>
      </c>
      <c r="C62577" s="0" t="s">
        <v>152</v>
      </c>
    </row>
    <row r="62579" customFormat="false" ht="12.8" hidden="false" customHeight="false" outlineLevel="0" collapsed="false">
      <c r="A62579" s="0" t="s">
        <v>21430</v>
      </c>
      <c r="B62579" s="0" t="str">
        <f aca="false">HYPERLINK("https://lindat.mff.cuni.cz/services/teitok/pdtc10/index.php?action=vallex&amp;frame=v-w8657f30", "vzít (v-w8657f30)")</f>
        <v>vzít (v-w8657f30)</v>
      </c>
    </row>
    <row r="62580" customFormat="false" ht="12.8" hidden="false" customHeight="false" outlineLevel="0" collapsed="false">
      <c r="B62580" s="0" t="s">
        <v>7</v>
      </c>
    </row>
    <row r="62581" customFormat="false" ht="12.8" hidden="false" customHeight="false" outlineLevel="0" collapsed="false">
      <c r="B62581" s="0" t="s">
        <v>21431</v>
      </c>
    </row>
    <row r="62582" customFormat="false" ht="12.8" hidden="false" customHeight="false" outlineLevel="0" collapsed="false">
      <c r="B62582" s="0" t="s">
        <v>172</v>
      </c>
    </row>
    <row r="62584" customFormat="false" ht="12.8" hidden="false" customHeight="false" outlineLevel="0" collapsed="false">
      <c r="A62584" s="0" t="s">
        <v>21432</v>
      </c>
      <c r="B62584" s="0" t="str">
        <f aca="false">HYPERLINK("https://lindat.mff.cuni.cz/services/teitok/pdtc10/index.php?action=vallex&amp;frame=v-w8657f19", "vzít (v-w8657f19)")</f>
        <v>vzít (v-w8657f19)</v>
      </c>
    </row>
    <row r="62585" customFormat="false" ht="12.8" hidden="false" customHeight="false" outlineLevel="0" collapsed="false">
      <c r="B62585" s="0" t="s">
        <v>7</v>
      </c>
      <c r="C62585" s="0" t="s">
        <v>3205</v>
      </c>
    </row>
    <row r="62586" customFormat="false" ht="12.8" hidden="false" customHeight="false" outlineLevel="0" collapsed="false">
      <c r="B62586" s="0" t="s">
        <v>505</v>
      </c>
    </row>
    <row r="62587" customFormat="false" ht="12.8" hidden="false" customHeight="false" outlineLevel="0" collapsed="false">
      <c r="B62587" s="0" t="s">
        <v>54</v>
      </c>
      <c r="C62587" s="0" t="s">
        <v>21433</v>
      </c>
    </row>
    <row r="62589" customFormat="false" ht="12.8" hidden="false" customHeight="false" outlineLevel="0" collapsed="false">
      <c r="A62589" s="0" t="s">
        <v>21434</v>
      </c>
      <c r="B62589" s="0" t="str">
        <f aca="false">HYPERLINK("https://lindat.mff.cuni.cz/services/teitok/pdtc10/index.php?action=vallex&amp;frame=v-w8657f11", "vzít (v-w8657f11)")</f>
        <v>vzít (v-w8657f11)</v>
      </c>
    </row>
    <row r="62590" customFormat="false" ht="12.8" hidden="false" customHeight="false" outlineLevel="0" collapsed="false">
      <c r="B62590" s="0" t="s">
        <v>7</v>
      </c>
    </row>
    <row r="62591" customFormat="false" ht="12.8" hidden="false" customHeight="false" outlineLevel="0" collapsed="false">
      <c r="B62591" s="0" t="s">
        <v>510</v>
      </c>
    </row>
    <row r="62592" customFormat="false" ht="12.8" hidden="false" customHeight="false" outlineLevel="0" collapsed="false">
      <c r="B62592" s="0" t="s">
        <v>172</v>
      </c>
    </row>
    <row r="62594" customFormat="false" ht="12.8" hidden="false" customHeight="false" outlineLevel="0" collapsed="false">
      <c r="A62594" s="0" t="s">
        <v>21435</v>
      </c>
      <c r="B62594" s="0" t="str">
        <f aca="false">HYPERLINK("https://lindat.mff.cuni.cz/services/teitok/pdtc10/index.php?action=vallex&amp;frame=v-w8657f25", "vzít (v-w8657f25)")</f>
        <v>vzít (v-w8657f25)</v>
      </c>
    </row>
    <row r="62595" customFormat="false" ht="12.8" hidden="false" customHeight="false" outlineLevel="0" collapsed="false">
      <c r="B62595" s="0" t="s">
        <v>7</v>
      </c>
    </row>
    <row r="62596" customFormat="false" ht="12.8" hidden="false" customHeight="false" outlineLevel="0" collapsed="false">
      <c r="B62596" s="0" t="s">
        <v>21436</v>
      </c>
    </row>
    <row r="62597" customFormat="false" ht="12.8" hidden="false" customHeight="false" outlineLevel="0" collapsed="false">
      <c r="B62597" s="0" t="s">
        <v>54</v>
      </c>
    </row>
    <row r="62599" customFormat="false" ht="12.8" hidden="false" customHeight="false" outlineLevel="0" collapsed="false">
      <c r="A62599" s="0" t="s">
        <v>21437</v>
      </c>
      <c r="B62599" s="0" t="str">
        <f aca="false">HYPERLINK("https://lindat.mff.cuni.cz/services/teitok/pdtc10/index.php?action=vallex&amp;frame=v-w8657f14", "vzít (v-w8657f14)")</f>
        <v>vzít (v-w8657f14)</v>
      </c>
    </row>
    <row r="62600" customFormat="false" ht="12.8" hidden="false" customHeight="false" outlineLevel="0" collapsed="false">
      <c r="B62600" s="0" t="s">
        <v>7</v>
      </c>
    </row>
    <row r="62601" customFormat="false" ht="12.8" hidden="false" customHeight="false" outlineLevel="0" collapsed="false">
      <c r="B62601" s="0" t="s">
        <v>21438</v>
      </c>
    </row>
    <row r="62602" customFormat="false" ht="12.8" hidden="false" customHeight="false" outlineLevel="0" collapsed="false">
      <c r="B62602" s="0" t="s">
        <v>172</v>
      </c>
    </row>
    <row r="62604" customFormat="false" ht="12.8" hidden="false" customHeight="false" outlineLevel="0" collapsed="false">
      <c r="A62604" s="0" t="s">
        <v>21439</v>
      </c>
      <c r="B62604" s="0" t="str">
        <f aca="false">HYPERLINK("https://lindat.mff.cuni.cz/services/teitok/pdtc10/index.php?action=vallex&amp;frame=v-w8657f1", "vzít (v-w8657f1)")</f>
        <v>vzít (v-w8657f1)</v>
      </c>
    </row>
    <row r="62605" customFormat="false" ht="12.8" hidden="false" customHeight="false" outlineLevel="0" collapsed="false">
      <c r="B62605" s="0" t="s">
        <v>7</v>
      </c>
      <c r="C62605" s="0" t="s">
        <v>13493</v>
      </c>
      <c r="D62605" s="0" t="s">
        <v>515</v>
      </c>
      <c r="E62605" s="0" t="s">
        <v>515</v>
      </c>
      <c r="F62605" s="0" t="s">
        <v>515</v>
      </c>
    </row>
    <row r="62606" customFormat="false" ht="12.8" hidden="false" customHeight="false" outlineLevel="0" collapsed="false">
      <c r="B62606" s="0" t="s">
        <v>516</v>
      </c>
      <c r="C62606" s="0" t="s">
        <v>21440</v>
      </c>
    </row>
    <row r="62607" customFormat="false" ht="12.8" hidden="false" customHeight="false" outlineLevel="0" collapsed="false">
      <c r="B62607" s="0" t="s">
        <v>172</v>
      </c>
      <c r="C62607" s="0" t="s">
        <v>21441</v>
      </c>
      <c r="D62607" s="0" t="s">
        <v>519</v>
      </c>
      <c r="E62607" s="0" t="s">
        <v>519</v>
      </c>
      <c r="F62607" s="0" t="s">
        <v>519</v>
      </c>
    </row>
    <row r="62609" customFormat="false" ht="12.8" hidden="false" customHeight="false" outlineLevel="0" collapsed="false">
      <c r="A62609" s="0" t="s">
        <v>21442</v>
      </c>
      <c r="B62609" s="0" t="str">
        <f aca="false">HYPERLINK("https://lindat.mff.cuni.cz/services/teitok/pdtc10/index.php?action=vallex&amp;frame=v-w8657f28", "vzít (v-w8657f28)")</f>
        <v>vzít (v-w8657f28)</v>
      </c>
    </row>
    <row r="62610" customFormat="false" ht="12.8" hidden="false" customHeight="false" outlineLevel="0" collapsed="false">
      <c r="B62610" s="0" t="s">
        <v>7</v>
      </c>
    </row>
    <row r="62611" customFormat="false" ht="12.8" hidden="false" customHeight="false" outlineLevel="0" collapsed="false">
      <c r="B62611" s="0" t="s">
        <v>21443</v>
      </c>
    </row>
    <row r="62612" customFormat="false" ht="12.8" hidden="false" customHeight="false" outlineLevel="0" collapsed="false">
      <c r="B62612" s="0" t="s">
        <v>14</v>
      </c>
    </row>
    <row r="62614" customFormat="false" ht="12.8" hidden="false" customHeight="false" outlineLevel="0" collapsed="false">
      <c r="A62614" s="0" t="s">
        <v>21444</v>
      </c>
      <c r="B62614" s="0" t="str">
        <f aca="false">HYPERLINK("https://lindat.mff.cuni.cz/services/teitok/pdtc10/index.php?action=vallex&amp;frame=v-w8657f13", "vzít (v-w8657f13)")</f>
        <v>vzít (v-w8657f13)</v>
      </c>
    </row>
    <row r="62615" customFormat="false" ht="12.8" hidden="false" customHeight="false" outlineLevel="0" collapsed="false">
      <c r="B62615" s="0" t="s">
        <v>7</v>
      </c>
      <c r="F62615" s="0" t="s">
        <v>543</v>
      </c>
    </row>
    <row r="62616" customFormat="false" ht="12.8" hidden="false" customHeight="false" outlineLevel="0" collapsed="false">
      <c r="B62616" s="0" t="s">
        <v>21445</v>
      </c>
    </row>
    <row r="62617" customFormat="false" ht="12.8" hidden="false" customHeight="false" outlineLevel="0" collapsed="false">
      <c r="B62617" s="0" t="s">
        <v>14</v>
      </c>
      <c r="F62617" s="0" t="s">
        <v>545</v>
      </c>
    </row>
    <row r="62619" customFormat="false" ht="12.8" hidden="false" customHeight="false" outlineLevel="0" collapsed="false">
      <c r="A62619" s="0" t="s">
        <v>21446</v>
      </c>
      <c r="B62619" s="0" t="str">
        <f aca="false">HYPERLINK("https://lindat.mff.cuni.cz/services/teitok/pdtc10/index.php?action=vallex&amp;frame=v-w8657f20", "vzít (v-w8657f20)")</f>
        <v>vzít (v-w8657f20)</v>
      </c>
    </row>
    <row r="62620" customFormat="false" ht="12.8" hidden="false" customHeight="false" outlineLevel="0" collapsed="false">
      <c r="B62620" s="0" t="s">
        <v>7</v>
      </c>
    </row>
    <row r="62621" customFormat="false" ht="12.8" hidden="false" customHeight="false" outlineLevel="0" collapsed="false">
      <c r="B62621" s="0" t="s">
        <v>521</v>
      </c>
    </row>
    <row r="62622" customFormat="false" ht="12.8" hidden="false" customHeight="false" outlineLevel="0" collapsed="false">
      <c r="B62622" s="0" t="s">
        <v>216</v>
      </c>
    </row>
    <row r="62624" customFormat="false" ht="12.8" hidden="false" customHeight="false" outlineLevel="0" collapsed="false">
      <c r="A62624" s="0" t="s">
        <v>21447</v>
      </c>
      <c r="B62624" s="0" t="str">
        <f aca="false">HYPERLINK("https://lindat.mff.cuni.cz/services/teitok/pdtc10/index.php?action=vallex&amp;frame=v-w8657f23", "vzít (v-w8657f23)")</f>
        <v>vzít (v-w8657f23)</v>
      </c>
    </row>
    <row r="62625" customFormat="false" ht="12.8" hidden="false" customHeight="false" outlineLevel="0" collapsed="false">
      <c r="B62625" s="0" t="s">
        <v>7</v>
      </c>
    </row>
    <row r="62626" customFormat="false" ht="12.8" hidden="false" customHeight="false" outlineLevel="0" collapsed="false">
      <c r="B62626" s="0" t="s">
        <v>21448</v>
      </c>
    </row>
    <row r="62627" customFormat="false" ht="12.8" hidden="false" customHeight="false" outlineLevel="0" collapsed="false">
      <c r="B62627" s="0" t="s">
        <v>14</v>
      </c>
    </row>
    <row r="62629" customFormat="false" ht="12.8" hidden="false" customHeight="false" outlineLevel="0" collapsed="false">
      <c r="A62629" s="0" t="s">
        <v>21449</v>
      </c>
      <c r="B62629" s="0" t="str">
        <f aca="false">HYPERLINK("https://lindat.mff.cuni.cz/services/teitok/pdtc10/index.php?action=vallex&amp;frame=v-w8657f29", "vzít (v-w8657f29)")</f>
        <v>vzít (v-w8657f29)</v>
      </c>
    </row>
    <row r="62630" customFormat="false" ht="12.8" hidden="false" customHeight="false" outlineLevel="0" collapsed="false">
      <c r="B62630" s="0" t="s">
        <v>7</v>
      </c>
    </row>
    <row r="62631" customFormat="false" ht="12.8" hidden="false" customHeight="false" outlineLevel="0" collapsed="false">
      <c r="B62631" s="0" t="s">
        <v>21450</v>
      </c>
    </row>
    <row r="62633" customFormat="false" ht="12.8" hidden="false" customHeight="false" outlineLevel="0" collapsed="false">
      <c r="A62633" s="0" t="s">
        <v>21451</v>
      </c>
      <c r="B62633" s="0" t="str">
        <f aca="false">HYPERLINK("https://lindat.mff.cuni.cz/services/teitok/pdtc10/index.php?action=vallex&amp;frame=v-w8657f34", "vzít (v-w8657f34)")</f>
        <v>vzít (v-w8657f34)</v>
      </c>
    </row>
    <row r="62634" customFormat="false" ht="12.8" hidden="false" customHeight="false" outlineLevel="0" collapsed="false">
      <c r="B62634" s="0" t="s">
        <v>7</v>
      </c>
    </row>
    <row r="62635" customFormat="false" ht="12.8" hidden="false" customHeight="false" outlineLevel="0" collapsed="false">
      <c r="B62635" s="0" t="s">
        <v>21452</v>
      </c>
    </row>
    <row r="62637" customFormat="false" ht="12.8" hidden="false" customHeight="false" outlineLevel="0" collapsed="false">
      <c r="A62637" s="0" t="s">
        <v>21453</v>
      </c>
      <c r="B62637" s="0" t="str">
        <f aca="false">HYPERLINK("https://lindat.mff.cuni.cz/services/teitok/pdtc10/index.php?action=vallex&amp;frame=v-w8657f27", "vzít (v-w8657f27)")</f>
        <v>vzít (v-w8657f27)</v>
      </c>
    </row>
    <row r="62638" customFormat="false" ht="12.8" hidden="false" customHeight="false" outlineLevel="0" collapsed="false">
      <c r="B62638" s="0" t="s">
        <v>7</v>
      </c>
    </row>
    <row r="62639" customFormat="false" ht="12.8" hidden="false" customHeight="false" outlineLevel="0" collapsed="false">
      <c r="B62639" s="0" t="s">
        <v>21454</v>
      </c>
    </row>
    <row r="62641" customFormat="false" ht="12.8" hidden="false" customHeight="false" outlineLevel="0" collapsed="false">
      <c r="A62641" s="0" t="s">
        <v>21455</v>
      </c>
      <c r="B62641" s="0" t="str">
        <f aca="false">HYPERLINK("https://lindat.mff.cuni.cz/services/teitok/pdtc10/index.php?action=vallex&amp;frame=v-w8657f31", "vzít (v-w8657f31)")</f>
        <v>vzít (v-w8657f31)</v>
      </c>
    </row>
    <row r="62642" customFormat="false" ht="12.8" hidden="false" customHeight="false" outlineLevel="0" collapsed="false">
      <c r="B62642" s="0" t="s">
        <v>7</v>
      </c>
    </row>
    <row r="62643" customFormat="false" ht="12.8" hidden="false" customHeight="false" outlineLevel="0" collapsed="false">
      <c r="B62643" s="0" t="s">
        <v>21456</v>
      </c>
    </row>
    <row r="62645" customFormat="false" ht="12.8" hidden="false" customHeight="false" outlineLevel="0" collapsed="false">
      <c r="A62645" s="0" t="s">
        <v>21457</v>
      </c>
      <c r="B62645" s="0" t="str">
        <f aca="false">HYPERLINK("https://lindat.mff.cuni.cz/services/teitok/pdtc10/index.php?action=vallex&amp;frame=v-w8657f18", "vzít (v-w8657f18)")</f>
        <v>vzít (v-w8657f18)</v>
      </c>
    </row>
    <row r="62646" customFormat="false" ht="12.8" hidden="false" customHeight="false" outlineLevel="0" collapsed="false">
      <c r="B62646" s="0" t="s">
        <v>7</v>
      </c>
    </row>
    <row r="62647" customFormat="false" ht="12.8" hidden="false" customHeight="false" outlineLevel="0" collapsed="false">
      <c r="B62647" s="0" t="s">
        <v>21458</v>
      </c>
    </row>
    <row r="62649" customFormat="false" ht="12.8" hidden="false" customHeight="false" outlineLevel="0" collapsed="false">
      <c r="A62649" s="0" t="s">
        <v>21459</v>
      </c>
      <c r="B62649" s="0" t="str">
        <f aca="false">HYPERLINK("https://lindat.mff.cuni.cz/services/teitok/pdtc10/index.php?action=vallex&amp;frame=v-w8657hsa_1095", "vzít (v-w8657hsa_1095)")</f>
        <v>vzít (v-w8657hsa_1095)</v>
      </c>
    </row>
    <row r="62650" customFormat="false" ht="12.8" hidden="false" customHeight="false" outlineLevel="0" collapsed="false">
      <c r="B62650" s="0" t="s">
        <v>7</v>
      </c>
      <c r="C62650" s="0" t="s">
        <v>1263</v>
      </c>
    </row>
    <row r="62651" customFormat="false" ht="12.8" hidden="false" customHeight="false" outlineLevel="0" collapsed="false">
      <c r="B62651" s="0" t="s">
        <v>21460</v>
      </c>
      <c r="C62651" s="0" t="s">
        <v>7238</v>
      </c>
    </row>
    <row r="62653" customFormat="false" ht="12.8" hidden="false" customHeight="false" outlineLevel="0" collapsed="false">
      <c r="A62653" s="0" t="s">
        <v>21461</v>
      </c>
      <c r="B62653" s="0" t="str">
        <f aca="false">HYPERLINK("https://lindat.mff.cuni.cz/services/teitok/pdtc10/index.php?action=vallex&amp;frame=v-w8657f42_ZU", "vzít (v-w8657f42_ZU)")</f>
        <v>vzít (v-w8657f42_ZU)</v>
      </c>
    </row>
    <row r="62654" customFormat="false" ht="12.8" hidden="false" customHeight="false" outlineLevel="0" collapsed="false">
      <c r="B62654" s="0" t="s">
        <v>7</v>
      </c>
      <c r="C62654" s="0" t="s">
        <v>460</v>
      </c>
    </row>
    <row r="62655" customFormat="false" ht="12.8" hidden="false" customHeight="false" outlineLevel="0" collapsed="false">
      <c r="B62655" s="0" t="s">
        <v>21462</v>
      </c>
      <c r="C62655" s="0" t="s">
        <v>20353</v>
      </c>
    </row>
    <row r="62656" customFormat="false" ht="12.8" hidden="false" customHeight="false" outlineLevel="0" collapsed="false">
      <c r="B62656" s="0" t="s">
        <v>142</v>
      </c>
      <c r="C62656" s="0" t="s">
        <v>1588</v>
      </c>
    </row>
    <row r="62658" customFormat="false" ht="12.8" hidden="false" customHeight="false" outlineLevel="0" collapsed="false">
      <c r="A62658" s="0" t="s">
        <v>21461</v>
      </c>
      <c r="B62658" s="0" t="str">
        <f aca="false">HYPERLINK("https://lindat.mff.cuni.cz/services/teitok/pdtc10/index.php?action=vallex&amp;frame=v-w8657f41_ZU", "vzít (v-w8657f41_ZU) - substituted with v-w8657f42_ZU")</f>
        <v>vzít (v-w8657f41_ZU) - substituted with v-w8657f42_ZU</v>
      </c>
    </row>
    <row r="62659" customFormat="false" ht="12.8" hidden="false" customHeight="false" outlineLevel="0" collapsed="false">
      <c r="B62659" s="0" t="s">
        <v>7</v>
      </c>
    </row>
    <row r="62660" customFormat="false" ht="12.8" hidden="false" customHeight="false" outlineLevel="0" collapsed="false">
      <c r="B62660" s="0" t="s">
        <v>21462</v>
      </c>
    </row>
    <row r="62661" customFormat="false" ht="12.8" hidden="false" customHeight="false" outlineLevel="0" collapsed="false">
      <c r="B62661" s="0" t="s">
        <v>142</v>
      </c>
    </row>
    <row r="62663" customFormat="false" ht="12.8" hidden="false" customHeight="false" outlineLevel="0" collapsed="false">
      <c r="A62663" s="0" t="s">
        <v>21461</v>
      </c>
      <c r="B62663" s="0" t="str">
        <f aca="false">HYPERLINK("https://lindat.mff.cuni.cz/services/teitok/pdtc10/index.php?action=vallex&amp;frame=v-w8657hsa_1096", "vzít (v-w8657hsa_1096) - substituted with v-w8657f42_ZU")</f>
        <v>vzít (v-w8657hsa_1096) - substituted with v-w8657f42_ZU</v>
      </c>
    </row>
    <row r="62664" customFormat="false" ht="12.8" hidden="false" customHeight="false" outlineLevel="0" collapsed="false">
      <c r="B62664" s="0" t="s">
        <v>7</v>
      </c>
    </row>
    <row r="62665" customFormat="false" ht="12.8" hidden="false" customHeight="false" outlineLevel="0" collapsed="false">
      <c r="B62665" s="0" t="s">
        <v>21462</v>
      </c>
    </row>
    <row r="62666" customFormat="false" ht="12.8" hidden="false" customHeight="false" outlineLevel="0" collapsed="false">
      <c r="B62666" s="0" t="s">
        <v>142</v>
      </c>
    </row>
    <row r="62668" customFormat="false" ht="12.8" hidden="false" customHeight="false" outlineLevel="0" collapsed="false">
      <c r="A62668" s="0" t="s">
        <v>21463</v>
      </c>
      <c r="B62668" s="0" t="str">
        <f aca="false">HYPERLINK("https://lindat.mff.cuni.cz/services/teitok/pdtc10/index.php?action=vallex&amp;frame=v-w8657f43_ZU", "vzít (v-w8657f43_ZU)")</f>
        <v>vzít (v-w8657f43_ZU)</v>
      </c>
    </row>
    <row r="62669" customFormat="false" ht="12.8" hidden="false" customHeight="false" outlineLevel="0" collapsed="false">
      <c r="B62669" s="0" t="s">
        <v>7</v>
      </c>
    </row>
    <row r="62670" customFormat="false" ht="12.8" hidden="false" customHeight="false" outlineLevel="0" collapsed="false">
      <c r="B62670" s="0" t="s">
        <v>21464</v>
      </c>
    </row>
    <row r="62671" customFormat="false" ht="12.8" hidden="false" customHeight="false" outlineLevel="0" collapsed="false">
      <c r="B62671" s="0" t="s">
        <v>14</v>
      </c>
      <c r="C62671" s="0" t="s">
        <v>155</v>
      </c>
      <c r="D62671" s="0" t="s">
        <v>155</v>
      </c>
      <c r="E62671" s="0" t="s">
        <v>155</v>
      </c>
      <c r="F62671" s="0" t="s">
        <v>155</v>
      </c>
    </row>
    <row r="62673" customFormat="false" ht="12.8" hidden="false" customHeight="false" outlineLevel="0" collapsed="false">
      <c r="A62673" s="0" t="s">
        <v>21465</v>
      </c>
      <c r="B62673" s="0" t="str">
        <f aca="false">HYPERLINK("https://lindat.mff.cuni.cz/services/teitok/pdtc10/index.php?action=vallex&amp;frame=v-w8657f16", "vzít (v-w8657f16)")</f>
        <v>vzít (v-w8657f16)</v>
      </c>
    </row>
    <row r="62674" customFormat="false" ht="12.8" hidden="false" customHeight="false" outlineLevel="0" collapsed="false">
      <c r="B62674" s="0" t="s">
        <v>7</v>
      </c>
    </row>
    <row r="62675" customFormat="false" ht="12.8" hidden="false" customHeight="false" outlineLevel="0" collapsed="false">
      <c r="B62675" s="0" t="s">
        <v>505</v>
      </c>
    </row>
    <row r="62676" customFormat="false" ht="12.8" hidden="false" customHeight="false" outlineLevel="0" collapsed="false">
      <c r="B62676" s="0" t="s">
        <v>14</v>
      </c>
    </row>
    <row r="62678" customFormat="false" ht="12.8" hidden="false" customHeight="false" outlineLevel="0" collapsed="false">
      <c r="A62678" s="0" t="s">
        <v>21466</v>
      </c>
      <c r="B62678" s="0" t="str">
        <f aca="false">HYPERLINK("https://lindat.mff.cuni.cz/services/teitok/pdtc10/index.php?action=vallex&amp;frame=v-w8657f45_ZU", "vzít (v-w8657f45_ZU)")</f>
        <v>vzít (v-w8657f45_ZU)</v>
      </c>
    </row>
    <row r="62679" customFormat="false" ht="12.8" hidden="false" customHeight="false" outlineLevel="0" collapsed="false">
      <c r="B62679" s="0" t="s">
        <v>7</v>
      </c>
    </row>
    <row r="62680" customFormat="false" ht="12.8" hidden="false" customHeight="false" outlineLevel="0" collapsed="false">
      <c r="B62680" s="0" t="s">
        <v>14</v>
      </c>
    </row>
    <row r="62682" customFormat="false" ht="12.8" hidden="false" customHeight="false" outlineLevel="0" collapsed="false">
      <c r="A62682" s="0" t="s">
        <v>21467</v>
      </c>
      <c r="B62682" s="0" t="str">
        <f aca="false">HYPERLINK("https://lindat.mff.cuni.cz/services/teitok/pdtc10/index.php?action=vallex&amp;frame=v-w8657f46_ZU", "vzít (v-w8657f46_ZU)")</f>
        <v>vzít (v-w8657f46_ZU)</v>
      </c>
    </row>
    <row r="62683" customFormat="false" ht="12.8" hidden="false" customHeight="false" outlineLevel="0" collapsed="false">
      <c r="B62683" s="0" t="s">
        <v>7</v>
      </c>
    </row>
    <row r="62684" customFormat="false" ht="12.8" hidden="false" customHeight="false" outlineLevel="0" collapsed="false">
      <c r="B62684" s="0" t="s">
        <v>14</v>
      </c>
    </row>
    <row r="62686" customFormat="false" ht="12.8" hidden="false" customHeight="false" outlineLevel="0" collapsed="false">
      <c r="A62686" s="0" t="s">
        <v>21468</v>
      </c>
      <c r="B62686" s="0" t="str">
        <f aca="false">HYPERLINK("https://lindat.mff.cuni.cz/services/teitok/pdtc10/index.php?action=vallex&amp;frame=v-w8657f47_ZU", "vzít (v-w8657f47_ZU)")</f>
        <v>vzít (v-w8657f47_ZU)</v>
      </c>
    </row>
    <row r="62687" customFormat="false" ht="12.8" hidden="false" customHeight="false" outlineLevel="0" collapsed="false">
      <c r="B62687" s="0" t="s">
        <v>7</v>
      </c>
    </row>
    <row r="62688" customFormat="false" ht="12.8" hidden="false" customHeight="false" outlineLevel="0" collapsed="false">
      <c r="B62688" s="0" t="s">
        <v>21469</v>
      </c>
    </row>
    <row r="62690" customFormat="false" ht="12.8" hidden="false" customHeight="false" outlineLevel="0" collapsed="false">
      <c r="A62690" s="0" t="s">
        <v>21470</v>
      </c>
      <c r="B62690" s="0" t="str">
        <f aca="false">HYPERLINK("https://lindat.mff.cuni.cz/services/teitok/pdtc10/index.php?action=vallex&amp;frame=v-w8657f48_ZU", "vzít (v-w8657f48_ZU)")</f>
        <v>vzít (v-w8657f48_ZU)</v>
      </c>
    </row>
    <row r="62691" customFormat="false" ht="12.8" hidden="false" customHeight="false" outlineLevel="0" collapsed="false">
      <c r="B62691" s="0" t="s">
        <v>7</v>
      </c>
    </row>
    <row r="62692" customFormat="false" ht="12.8" hidden="false" customHeight="false" outlineLevel="0" collapsed="false">
      <c r="B62692" s="0" t="s">
        <v>21471</v>
      </c>
    </row>
    <row r="62693" customFormat="false" ht="12.8" hidden="false" customHeight="false" outlineLevel="0" collapsed="false">
      <c r="B62693" s="0" t="s">
        <v>14</v>
      </c>
    </row>
    <row r="62695" customFormat="false" ht="12.8" hidden="false" customHeight="false" outlineLevel="0" collapsed="false">
      <c r="A62695" s="0" t="s">
        <v>21472</v>
      </c>
      <c r="B62695" s="0" t="str">
        <f aca="false">HYPERLINK("https://lindat.mff.cuni.cz/services/teitok/pdtc10/index.php?action=vallex&amp;frame=v-w8657f49_ZU", "vzít (v-w8657f49_ZU)")</f>
        <v>vzít (v-w8657f49_ZU)</v>
      </c>
    </row>
    <row r="62696" customFormat="false" ht="12.8" hidden="false" customHeight="false" outlineLevel="0" collapsed="false">
      <c r="B62696" s="0" t="s">
        <v>7</v>
      </c>
    </row>
    <row r="62697" customFormat="false" ht="12.8" hidden="false" customHeight="false" outlineLevel="0" collapsed="false">
      <c r="B62697" s="0" t="s">
        <v>14</v>
      </c>
    </row>
    <row r="62699" customFormat="false" ht="12.8" hidden="false" customHeight="false" outlineLevel="0" collapsed="false">
      <c r="A62699" s="0" t="s">
        <v>21473</v>
      </c>
      <c r="B62699" s="0" t="str">
        <f aca="false">HYPERLINK("https://lindat.mff.cuni.cz/services/teitok/pdtc10/index.php?action=vallex&amp;frame=v-w8657f50_MM", "vzít (v-w8657f50_MM)")</f>
        <v>vzít (v-w8657f50_MM)</v>
      </c>
    </row>
    <row r="62700" customFormat="false" ht="12.8" hidden="false" customHeight="false" outlineLevel="0" collapsed="false">
      <c r="B62700" s="0" t="s">
        <v>7</v>
      </c>
    </row>
    <row r="62701" customFormat="false" ht="12.8" hidden="false" customHeight="false" outlineLevel="0" collapsed="false">
      <c r="B62701" s="0" t="s">
        <v>21474</v>
      </c>
    </row>
    <row r="62702" customFormat="false" ht="12.8" hidden="false" customHeight="false" outlineLevel="0" collapsed="false">
      <c r="B62702" s="0" t="s">
        <v>14</v>
      </c>
    </row>
    <row r="62704" customFormat="false" ht="12.8" hidden="false" customHeight="false" outlineLevel="0" collapsed="false">
      <c r="A62704" s="0" t="s">
        <v>21475</v>
      </c>
      <c r="B62704" s="0" t="str">
        <f aca="false">HYPERLINK("https://lindat.mff.cuni.cz/services/teitok/pdtc10/index.php?action=vallex&amp;frame=v-w8657hsa_942", "vzít (v-w8657hsa_942)")</f>
        <v>vzít (v-w8657hsa_942)</v>
      </c>
    </row>
    <row r="62705" customFormat="false" ht="12.8" hidden="false" customHeight="false" outlineLevel="0" collapsed="false">
      <c r="B62705" s="0" t="s">
        <v>7</v>
      </c>
    </row>
    <row r="62707" customFormat="false" ht="12.8" hidden="false" customHeight="false" outlineLevel="0" collapsed="false">
      <c r="A62707" s="0" t="s">
        <v>21476</v>
      </c>
      <c r="B62707" s="0" t="str">
        <f aca="false">HYPERLINK("https://lindat.mff.cuni.cz/services/teitok/pdtc10/index.php?action=vallex&amp;frame=v-w8657hsa_943", "vzít (v-w8657hsa_943)")</f>
        <v>vzít (v-w8657hsa_943)</v>
      </c>
    </row>
    <row r="62708" customFormat="false" ht="12.8" hidden="false" customHeight="false" outlineLevel="0" collapsed="false">
      <c r="B62708" s="0" t="s">
        <v>7</v>
      </c>
    </row>
    <row r="62709" customFormat="false" ht="12.8" hidden="false" customHeight="false" outlineLevel="0" collapsed="false">
      <c r="B62709" s="0" t="s">
        <v>14</v>
      </c>
    </row>
    <row r="62711" customFormat="false" ht="12.8" hidden="false" customHeight="false" outlineLevel="0" collapsed="false">
      <c r="A62711" s="0" t="s">
        <v>21477</v>
      </c>
      <c r="B62711" s="0" t="str">
        <f aca="false">HYPERLINK("https://lindat.mff.cuni.cz/services/teitok/pdtc10/index.php?action=vallex&amp;frame=v-w8657hsa_944", "vzít (v-w8657hsa_944)")</f>
        <v>vzít (v-w8657hsa_944)</v>
      </c>
    </row>
    <row r="62712" customFormat="false" ht="12.8" hidden="false" customHeight="false" outlineLevel="0" collapsed="false">
      <c r="B62712" s="0" t="s">
        <v>7</v>
      </c>
    </row>
    <row r="62713" customFormat="false" ht="12.8" hidden="false" customHeight="false" outlineLevel="0" collapsed="false">
      <c r="B62713" s="0" t="s">
        <v>14</v>
      </c>
    </row>
    <row r="62715" customFormat="false" ht="12.8" hidden="false" customHeight="false" outlineLevel="0" collapsed="false">
      <c r="A62715" s="0" t="s">
        <v>21478</v>
      </c>
      <c r="B62715" s="0" t="str">
        <f aca="false">HYPERLINK("https://lindat.mff.cuni.cz/services/teitok/pdtc10/index.php?action=vallex&amp;frame=v-w8657hsa_945", "vzít (v-w8657hsa_945)")</f>
        <v>vzít (v-w8657hsa_945)</v>
      </c>
    </row>
    <row r="62716" customFormat="false" ht="12.8" hidden="false" customHeight="false" outlineLevel="0" collapsed="false">
      <c r="B62716" s="0" t="s">
        <v>7</v>
      </c>
    </row>
    <row r="62717" customFormat="false" ht="12.8" hidden="false" customHeight="false" outlineLevel="0" collapsed="false">
      <c r="B62717" s="0" t="s">
        <v>14</v>
      </c>
    </row>
    <row r="62718" customFormat="false" ht="12.8" hidden="false" customHeight="false" outlineLevel="0" collapsed="false">
      <c r="B62718" s="0" t="s">
        <v>459</v>
      </c>
    </row>
    <row r="62720" customFormat="false" ht="12.8" hidden="false" customHeight="false" outlineLevel="0" collapsed="false">
      <c r="A62720" s="0" t="s">
        <v>21479</v>
      </c>
      <c r="B62720" s="0" t="str">
        <f aca="false">HYPERLINK("https://lindat.mff.cuni.cz/services/teitok/pdtc10/index.php?action=vallex&amp;frame=v-w8657hsa_946", "vzít (v-w8657hsa_946)")</f>
        <v>vzít (v-w8657hsa_946)</v>
      </c>
    </row>
    <row r="62721" customFormat="false" ht="12.8" hidden="false" customHeight="false" outlineLevel="0" collapsed="false">
      <c r="B62721" s="0" t="s">
        <v>7</v>
      </c>
    </row>
    <row r="62722" customFormat="false" ht="12.8" hidden="false" customHeight="false" outlineLevel="0" collapsed="false">
      <c r="B62722" s="0" t="s">
        <v>14</v>
      </c>
    </row>
    <row r="62723" customFormat="false" ht="12.8" hidden="false" customHeight="false" outlineLevel="0" collapsed="false">
      <c r="B62723" s="0" t="s">
        <v>662</v>
      </c>
    </row>
    <row r="62725" customFormat="false" ht="12.8" hidden="false" customHeight="false" outlineLevel="0" collapsed="false">
      <c r="A62725" s="0" t="s">
        <v>21480</v>
      </c>
      <c r="B62725" s="0" t="str">
        <f aca="false">HYPERLINK("https://lindat.mff.cuni.cz/services/teitok/pdtc10/index.php?action=vallex&amp;frame=v-w8658f3", "vzít se (v-w8658f3)")</f>
        <v>vzít se (v-w8658f3)</v>
      </c>
    </row>
    <row r="62726" customFormat="false" ht="12.8" hidden="false" customHeight="false" outlineLevel="0" collapsed="false">
      <c r="B62726" s="0" t="s">
        <v>7</v>
      </c>
      <c r="F62726" s="0" t="s">
        <v>543</v>
      </c>
    </row>
    <row r="62727" customFormat="false" ht="12.8" hidden="false" customHeight="false" outlineLevel="0" collapsed="false">
      <c r="B62727" s="0" t="s">
        <v>544</v>
      </c>
      <c r="F62727" s="0" t="s">
        <v>545</v>
      </c>
    </row>
    <row r="62729" customFormat="false" ht="12.8" hidden="false" customHeight="false" outlineLevel="0" collapsed="false">
      <c r="A62729" s="0" t="s">
        <v>21481</v>
      </c>
      <c r="B62729" s="0" t="str">
        <f aca="false">HYPERLINK("https://lindat.mff.cuni.cz/services/teitok/pdtc10/index.php?action=vallex&amp;frame=v-w8658f2", "vzít se (v-w8658f2)")</f>
        <v>vzít se (v-w8658f2)</v>
      </c>
    </row>
    <row r="62730" customFormat="false" ht="12.8" hidden="false" customHeight="false" outlineLevel="0" collapsed="false">
      <c r="B62730" s="0" t="s">
        <v>7</v>
      </c>
    </row>
    <row r="62731" customFormat="false" ht="12.8" hidden="false" customHeight="false" outlineLevel="0" collapsed="false">
      <c r="B62731" s="0" t="s">
        <v>2871</v>
      </c>
    </row>
    <row r="62733" customFormat="false" ht="12.8" hidden="false" customHeight="false" outlineLevel="0" collapsed="false">
      <c r="A62733" s="0" t="s">
        <v>21482</v>
      </c>
      <c r="B62733" s="0" t="str">
        <f aca="false">HYPERLINK("https://lindat.mff.cuni.cz/services/teitok/pdtc10/index.php?action=vallex&amp;frame=v-w8658f1", "vzít se (v-w8658f1)")</f>
        <v>vzít se (v-w8658f1)</v>
      </c>
    </row>
    <row r="62734" customFormat="false" ht="12.8" hidden="false" customHeight="false" outlineLevel="0" collapsed="false">
      <c r="B62734" s="0" t="s">
        <v>7</v>
      </c>
    </row>
    <row r="62735" customFormat="false" ht="12.8" hidden="false" customHeight="false" outlineLevel="0" collapsed="false">
      <c r="B62735" s="0" t="s">
        <v>11</v>
      </c>
    </row>
    <row r="62737" customFormat="false" ht="12.8" hidden="false" customHeight="false" outlineLevel="0" collapsed="false">
      <c r="A62737" s="0" t="s">
        <v>21483</v>
      </c>
      <c r="B62737" s="0" t="str">
        <f aca="false">HYPERLINK("https://lindat.mff.cuni.cz/services/teitok/pdtc10/index.php?action=vallex&amp;frame=v-w8658hsa_799", "vzít se (v-w8658hsa_799)")</f>
        <v>vzít se (v-w8658hsa_799)</v>
      </c>
    </row>
    <row r="62738" customFormat="false" ht="12.8" hidden="false" customHeight="false" outlineLevel="0" collapsed="false">
      <c r="B62738" s="0" t="s">
        <v>7</v>
      </c>
      <c r="C62738" s="0" t="s">
        <v>13537</v>
      </c>
      <c r="D62738" s="0" t="s">
        <v>9823</v>
      </c>
      <c r="E62738" s="0" t="s">
        <v>9823</v>
      </c>
      <c r="F62738" s="0" t="s">
        <v>9823</v>
      </c>
    </row>
    <row r="62739" customFormat="false" ht="12.8" hidden="false" customHeight="false" outlineLevel="0" collapsed="false">
      <c r="B62739" s="0" t="s">
        <v>459</v>
      </c>
    </row>
    <row r="62741" customFormat="false" ht="12.8" hidden="false" customHeight="false" outlineLevel="0" collapsed="false">
      <c r="A62741" s="0" t="s">
        <v>21484</v>
      </c>
      <c r="B62741" s="0" t="str">
        <f aca="false">HYPERLINK("https://lindat.mff.cuni.cz/services/teitok/pdtc10/index.php?action=vallex&amp;frame=v-w8658f4_MM", "vzít se (v-w8658f4_MM)")</f>
        <v>vzít se (v-w8658f4_MM)</v>
      </c>
    </row>
    <row r="62742" customFormat="false" ht="12.8" hidden="false" customHeight="false" outlineLevel="0" collapsed="false">
      <c r="B62742" s="0" t="s">
        <v>7</v>
      </c>
    </row>
    <row r="62743" customFormat="false" ht="12.8" hidden="false" customHeight="false" outlineLevel="0" collapsed="false">
      <c r="B62743" s="0" t="s">
        <v>21485</v>
      </c>
    </row>
    <row r="62745" customFormat="false" ht="12.8" hidden="false" customHeight="false" outlineLevel="0" collapsed="false">
      <c r="A62745" s="0" t="s">
        <v>21486</v>
      </c>
      <c r="B62745" s="0" t="str">
        <f aca="false">HYPERLINK("https://lindat.mff.cuni.cz/services/teitok/pdtc10/index.php?action=vallex&amp;frame=v-w8659f1", "vzít si (v-w8659f1)")</f>
        <v>vzít si (v-w8659f1)</v>
      </c>
    </row>
    <row r="62746" customFormat="false" ht="12.8" hidden="false" customHeight="false" outlineLevel="0" collapsed="false">
      <c r="B62746" s="0" t="s">
        <v>7</v>
      </c>
      <c r="C62746" s="0" t="s">
        <v>21487</v>
      </c>
      <c r="D62746" s="0" t="s">
        <v>11408</v>
      </c>
      <c r="E62746" s="0" t="s">
        <v>11408</v>
      </c>
      <c r="F62746" s="0" t="s">
        <v>11408</v>
      </c>
    </row>
    <row r="62747" customFormat="false" ht="12.8" hidden="false" customHeight="false" outlineLevel="0" collapsed="false">
      <c r="B62747" s="0" t="s">
        <v>14</v>
      </c>
      <c r="C62747" s="0" t="s">
        <v>21488</v>
      </c>
      <c r="D62747" s="0" t="s">
        <v>21396</v>
      </c>
      <c r="E62747" s="0" t="s">
        <v>21396</v>
      </c>
      <c r="F62747" s="0" t="s">
        <v>21396</v>
      </c>
    </row>
    <row r="62748" customFormat="false" ht="12.8" hidden="false" customHeight="false" outlineLevel="0" collapsed="false">
      <c r="B62748" s="0" t="s">
        <v>441</v>
      </c>
      <c r="C62748" s="0" t="s">
        <v>12567</v>
      </c>
      <c r="D62748" s="0" t="s">
        <v>446</v>
      </c>
      <c r="E62748" s="0" t="s">
        <v>446</v>
      </c>
      <c r="F62748" s="0" t="s">
        <v>446</v>
      </c>
    </row>
    <row r="62749" customFormat="false" ht="12.8" hidden="false" customHeight="false" outlineLevel="0" collapsed="false">
      <c r="B62749" s="0" t="s">
        <v>550</v>
      </c>
      <c r="D62749" s="0" t="s">
        <v>21489</v>
      </c>
      <c r="E62749" s="0" t="s">
        <v>21489</v>
      </c>
      <c r="F62749" s="0" t="s">
        <v>21489</v>
      </c>
    </row>
    <row r="62751" customFormat="false" ht="12.8" hidden="false" customHeight="false" outlineLevel="0" collapsed="false">
      <c r="A62751" s="0" t="s">
        <v>21490</v>
      </c>
      <c r="B62751" s="0" t="str">
        <f aca="false">HYPERLINK("https://lindat.mff.cuni.cz/services/teitok/pdtc10/index.php?action=vallex&amp;frame=v-w8659f3", "vzít si (v-w8659f3)")</f>
        <v>vzít si (v-w8659f3)</v>
      </c>
    </row>
    <row r="62752" customFormat="false" ht="12.8" hidden="false" customHeight="false" outlineLevel="0" collapsed="false">
      <c r="B62752" s="0" t="s">
        <v>7</v>
      </c>
    </row>
    <row r="62753" customFormat="false" ht="12.8" hidden="false" customHeight="false" outlineLevel="0" collapsed="false">
      <c r="B62753" s="0" t="s">
        <v>14</v>
      </c>
    </row>
    <row r="62754" customFormat="false" ht="12.8" hidden="false" customHeight="false" outlineLevel="0" collapsed="false">
      <c r="B62754" s="0" t="s">
        <v>550</v>
      </c>
    </row>
    <row r="62756" customFormat="false" ht="12.8" hidden="false" customHeight="false" outlineLevel="0" collapsed="false">
      <c r="A62756" s="0" t="s">
        <v>21491</v>
      </c>
      <c r="B62756" s="0" t="str">
        <f aca="false">HYPERLINK("https://lindat.mff.cuni.cz/services/teitok/pdtc10/index.php?action=vallex&amp;frame=v-w8659f15_ZU", "vzít si (v-w8659f15_ZU)")</f>
        <v>vzít si (v-w8659f15_ZU)</v>
      </c>
    </row>
    <row r="62757" customFormat="false" ht="12.8" hidden="false" customHeight="false" outlineLevel="0" collapsed="false">
      <c r="B62757" s="0" t="s">
        <v>7</v>
      </c>
    </row>
    <row r="62758" customFormat="false" ht="12.8" hidden="false" customHeight="false" outlineLevel="0" collapsed="false">
      <c r="B62758" s="0" t="s">
        <v>172</v>
      </c>
    </row>
    <row r="62760" customFormat="false" ht="12.8" hidden="false" customHeight="false" outlineLevel="0" collapsed="false">
      <c r="A62760" s="0" t="s">
        <v>21491</v>
      </c>
      <c r="B62760" s="0" t="str">
        <f aca="false">HYPERLINK("https://lindat.mff.cuni.cz/services/teitok/pdtc10/index.php?action=vallex&amp;frame=v-w8659f4", "vzít si (v-w8659f4) - substituted with v-w8659f15_ZU")</f>
        <v>vzít si (v-w8659f4) - substituted with v-w8659f15_ZU</v>
      </c>
    </row>
    <row r="62761" customFormat="false" ht="12.8" hidden="false" customHeight="false" outlineLevel="0" collapsed="false">
      <c r="B62761" s="0" t="s">
        <v>7</v>
      </c>
      <c r="C62761" s="0" t="s">
        <v>2131</v>
      </c>
      <c r="D62761" s="0" t="s">
        <v>515</v>
      </c>
      <c r="E62761" s="0" t="s">
        <v>515</v>
      </c>
      <c r="F62761" s="0" t="s">
        <v>515</v>
      </c>
    </row>
    <row r="62762" customFormat="false" ht="12.8" hidden="false" customHeight="false" outlineLevel="0" collapsed="false">
      <c r="B62762" s="0" t="s">
        <v>172</v>
      </c>
      <c r="C62762" s="0" t="s">
        <v>1432</v>
      </c>
      <c r="D62762" s="0" t="s">
        <v>519</v>
      </c>
      <c r="E62762" s="0" t="s">
        <v>519</v>
      </c>
      <c r="F62762" s="0" t="s">
        <v>519</v>
      </c>
    </row>
    <row r="62764" customFormat="false" ht="12.8" hidden="false" customHeight="false" outlineLevel="0" collapsed="false">
      <c r="A62764" s="0" t="s">
        <v>21492</v>
      </c>
      <c r="B62764" s="0" t="str">
        <f aca="false">HYPERLINK("https://lindat.mff.cuni.cz/services/teitok/pdtc10/index.php?action=vallex&amp;frame=v-w8659f2", "vzít si (v-w8659f2)")</f>
        <v>vzít si (v-w8659f2)</v>
      </c>
    </row>
    <row r="62765" customFormat="false" ht="12.8" hidden="false" customHeight="false" outlineLevel="0" collapsed="false">
      <c r="B62765" s="0" t="s">
        <v>7</v>
      </c>
      <c r="C62765" s="0" t="s">
        <v>9355</v>
      </c>
    </row>
    <row r="62766" customFormat="false" ht="12.8" hidden="false" customHeight="false" outlineLevel="0" collapsed="false">
      <c r="B62766" s="0" t="s">
        <v>14</v>
      </c>
      <c r="C62766" s="0" t="s">
        <v>7264</v>
      </c>
    </row>
    <row r="62768" customFormat="false" ht="12.8" hidden="false" customHeight="false" outlineLevel="0" collapsed="false">
      <c r="A62768" s="0" t="s">
        <v>21493</v>
      </c>
      <c r="B62768" s="0" t="str">
        <f aca="false">HYPERLINK("https://lindat.mff.cuni.cz/services/teitok/pdtc10/index.php?action=vallex&amp;frame=v-w8659f8", "vzít si (v-w8659f8)")</f>
        <v>vzít si (v-w8659f8)</v>
      </c>
    </row>
    <row r="62769" customFormat="false" ht="12.8" hidden="false" customHeight="false" outlineLevel="0" collapsed="false">
      <c r="B62769" s="0" t="s">
        <v>7</v>
      </c>
    </row>
    <row r="62770" customFormat="false" ht="12.8" hidden="false" customHeight="false" outlineLevel="0" collapsed="false">
      <c r="B62770" s="0" t="s">
        <v>14</v>
      </c>
    </row>
    <row r="62771" customFormat="false" ht="12.8" hidden="false" customHeight="false" outlineLevel="0" collapsed="false">
      <c r="B62771" s="0" t="s">
        <v>552</v>
      </c>
    </row>
    <row r="62772" customFormat="false" ht="12.8" hidden="false" customHeight="false" outlineLevel="0" collapsed="false">
      <c r="B62772" s="0" t="s">
        <v>474</v>
      </c>
    </row>
    <row r="62773" customFormat="false" ht="12.8" hidden="false" customHeight="false" outlineLevel="0" collapsed="false">
      <c r="B62773" s="0" t="s">
        <v>477</v>
      </c>
    </row>
    <row r="62774" customFormat="false" ht="12.8" hidden="false" customHeight="false" outlineLevel="0" collapsed="false">
      <c r="B62774" s="0" t="s">
        <v>479</v>
      </c>
    </row>
    <row r="62775" customFormat="false" ht="12.8" hidden="false" customHeight="false" outlineLevel="0" collapsed="false">
      <c r="B62775" s="0" t="s">
        <v>481</v>
      </c>
    </row>
    <row r="62776" customFormat="false" ht="12.8" hidden="false" customHeight="false" outlineLevel="0" collapsed="false">
      <c r="B62776" s="0" t="s">
        <v>483</v>
      </c>
    </row>
    <row r="62778" customFormat="false" ht="12.8" hidden="false" customHeight="false" outlineLevel="0" collapsed="false">
      <c r="A62778" s="0" t="s">
        <v>21494</v>
      </c>
      <c r="B62778" s="0" t="str">
        <f aca="false">HYPERLINK("https://lindat.mff.cuni.cz/services/teitok/pdtc10/index.php?action=vallex&amp;frame=v-w8659f11_ZU", "vzít si (v-w8659f11_ZU)")</f>
        <v>vzít si (v-w8659f11_ZU)</v>
      </c>
    </row>
    <row r="62779" customFormat="false" ht="12.8" hidden="false" customHeight="false" outlineLevel="0" collapsed="false">
      <c r="B62779" s="0" t="s">
        <v>7</v>
      </c>
    </row>
    <row r="62780" customFormat="false" ht="12.8" hidden="false" customHeight="false" outlineLevel="0" collapsed="false">
      <c r="B62780" s="0" t="s">
        <v>14</v>
      </c>
    </row>
    <row r="62782" customFormat="false" ht="12.8" hidden="false" customHeight="false" outlineLevel="0" collapsed="false">
      <c r="A62782" s="0" t="s">
        <v>21495</v>
      </c>
      <c r="B62782" s="0" t="str">
        <f aca="false">HYPERLINK("https://lindat.mff.cuni.cz/services/teitok/pdtc10/index.php?action=vallex&amp;frame=v-w8659f5", "vzít si (v-w8659f5)")</f>
        <v>vzít si (v-w8659f5)</v>
      </c>
    </row>
    <row r="62783" customFormat="false" ht="12.8" hidden="false" customHeight="false" outlineLevel="0" collapsed="false">
      <c r="B62783" s="0" t="s">
        <v>7</v>
      </c>
      <c r="C62783" s="0" t="s">
        <v>1287</v>
      </c>
    </row>
    <row r="62784" customFormat="false" ht="12.8" hidden="false" customHeight="false" outlineLevel="0" collapsed="false">
      <c r="B62784" s="0" t="s">
        <v>21496</v>
      </c>
      <c r="C62784" s="0" t="s">
        <v>7798</v>
      </c>
    </row>
    <row r="62785" customFormat="false" ht="12.8" hidden="false" customHeight="false" outlineLevel="0" collapsed="false">
      <c r="B62785" s="0" t="s">
        <v>14</v>
      </c>
      <c r="C62785" s="0" t="s">
        <v>466</v>
      </c>
    </row>
    <row r="62787" customFormat="false" ht="12.8" hidden="false" customHeight="false" outlineLevel="0" collapsed="false">
      <c r="A62787" s="0" t="s">
        <v>21497</v>
      </c>
      <c r="B62787" s="0" t="str">
        <f aca="false">HYPERLINK("https://lindat.mff.cuni.cz/services/teitok/pdtc10/index.php?action=vallex&amp;frame=v-w8659f10", "vzít si (v-w8659f10)")</f>
        <v>vzít si (v-w8659f10)</v>
      </c>
    </row>
    <row r="62788" customFormat="false" ht="12.8" hidden="false" customHeight="false" outlineLevel="0" collapsed="false">
      <c r="B62788" s="0" t="s">
        <v>7</v>
      </c>
      <c r="C62788" s="0" t="s">
        <v>442</v>
      </c>
    </row>
    <row r="62789" customFormat="false" ht="12.8" hidden="false" customHeight="false" outlineLevel="0" collapsed="false">
      <c r="B62789" s="0" t="s">
        <v>555</v>
      </c>
      <c r="C62789" s="0" t="s">
        <v>3094</v>
      </c>
    </row>
    <row r="62790" customFormat="false" ht="12.8" hidden="false" customHeight="false" outlineLevel="0" collapsed="false">
      <c r="B62790" s="0" t="s">
        <v>14</v>
      </c>
      <c r="C62790" s="0" t="s">
        <v>444</v>
      </c>
    </row>
    <row r="62792" customFormat="false" ht="12.8" hidden="false" customHeight="false" outlineLevel="0" collapsed="false">
      <c r="A62792" s="0" t="s">
        <v>21498</v>
      </c>
      <c r="B62792" s="0" t="str">
        <f aca="false">HYPERLINK("https://lindat.mff.cuni.cz/services/teitok/pdtc10/index.php?action=vallex&amp;frame=v-w8659f9", "vzít si (v-w8659f9)")</f>
        <v>vzít si (v-w8659f9)</v>
      </c>
    </row>
    <row r="62793" customFormat="false" ht="12.8" hidden="false" customHeight="false" outlineLevel="0" collapsed="false">
      <c r="B62793" s="0" t="s">
        <v>7</v>
      </c>
    </row>
    <row r="62794" customFormat="false" ht="12.8" hidden="false" customHeight="false" outlineLevel="0" collapsed="false">
      <c r="B62794" s="0" t="s">
        <v>3083</v>
      </c>
    </row>
    <row r="62795" customFormat="false" ht="12.8" hidden="false" customHeight="false" outlineLevel="0" collapsed="false">
      <c r="B62795" s="0" t="s">
        <v>14</v>
      </c>
    </row>
    <row r="62797" customFormat="false" ht="12.8" hidden="false" customHeight="false" outlineLevel="0" collapsed="false">
      <c r="A62797" s="0" t="s">
        <v>21499</v>
      </c>
      <c r="B62797" s="0" t="str">
        <f aca="false">HYPERLINK("https://lindat.mff.cuni.cz/services/teitok/pdtc10/index.php?action=vallex&amp;frame=v-w8659f7", "vzít si (v-w8659f7)")</f>
        <v>vzít si (v-w8659f7)</v>
      </c>
    </row>
    <row r="62798" customFormat="false" ht="12.8" hidden="false" customHeight="false" outlineLevel="0" collapsed="false">
      <c r="B62798" s="0" t="s">
        <v>7</v>
      </c>
    </row>
    <row r="62799" customFormat="false" ht="12.8" hidden="false" customHeight="false" outlineLevel="0" collapsed="false">
      <c r="B62799" s="0" t="s">
        <v>5972</v>
      </c>
    </row>
    <row r="62800" customFormat="false" ht="12.8" hidden="false" customHeight="false" outlineLevel="0" collapsed="false">
      <c r="B62800" s="0" t="s">
        <v>333</v>
      </c>
    </row>
    <row r="62802" customFormat="false" ht="12.8" hidden="false" customHeight="false" outlineLevel="0" collapsed="false">
      <c r="A62802" s="0" t="s">
        <v>21500</v>
      </c>
      <c r="B62802" s="0" t="str">
        <f aca="false">HYPERLINK("https://lindat.mff.cuni.cz/services/teitok/pdtc10/index.php?action=vallex&amp;frame=v-w8659f6", "vzít si (v-w8659f6)")</f>
        <v>vzít si (v-w8659f6)</v>
      </c>
    </row>
    <row r="62803" customFormat="false" ht="12.8" hidden="false" customHeight="false" outlineLevel="0" collapsed="false">
      <c r="B62803" s="0" t="s">
        <v>7</v>
      </c>
    </row>
    <row r="62804" customFormat="false" ht="12.8" hidden="false" customHeight="false" outlineLevel="0" collapsed="false">
      <c r="B62804" s="0" t="s">
        <v>10439</v>
      </c>
    </row>
    <row r="62806" customFormat="false" ht="12.8" hidden="false" customHeight="false" outlineLevel="0" collapsed="false">
      <c r="A62806" s="0" t="s">
        <v>21501</v>
      </c>
      <c r="B62806" s="0" t="str">
        <f aca="false">HYPERLINK("https://lindat.mff.cuni.cz/services/teitok/pdtc10/index.php?action=vallex&amp;frame=v-w8659f14_ZU", "vzít si (v-w8659f14_ZU)")</f>
        <v>vzít si (v-w8659f14_ZU)</v>
      </c>
    </row>
    <row r="62807" customFormat="false" ht="12.8" hidden="false" customHeight="false" outlineLevel="0" collapsed="false">
      <c r="B62807" s="0" t="s">
        <v>7</v>
      </c>
    </row>
    <row r="62808" customFormat="false" ht="12.8" hidden="false" customHeight="false" outlineLevel="0" collapsed="false">
      <c r="B62808" s="0" t="s">
        <v>13539</v>
      </c>
    </row>
    <row r="62810" customFormat="false" ht="12.8" hidden="false" customHeight="false" outlineLevel="0" collapsed="false">
      <c r="A62810" s="0" t="s">
        <v>21502</v>
      </c>
      <c r="B62810" s="0" t="str">
        <f aca="false">HYPERLINK("https://lindat.mff.cuni.cz/services/teitok/pdtc10/index.php?action=vallex&amp;frame=v-w8659f16_ZU", "vzít si (v-w8659f16_ZU)")</f>
        <v>vzít si (v-w8659f16_ZU)</v>
      </c>
    </row>
    <row r="62811" customFormat="false" ht="12.8" hidden="false" customHeight="false" outlineLevel="0" collapsed="false">
      <c r="B62811" s="0" t="s">
        <v>7</v>
      </c>
    </row>
    <row r="62812" customFormat="false" ht="12.8" hidden="false" customHeight="false" outlineLevel="0" collapsed="false">
      <c r="B62812" s="0" t="s">
        <v>21503</v>
      </c>
    </row>
    <row r="62813" customFormat="false" ht="12.8" hidden="false" customHeight="false" outlineLevel="0" collapsed="false">
      <c r="B62813" s="0" t="s">
        <v>14</v>
      </c>
    </row>
    <row r="62815" customFormat="false" ht="12.8" hidden="false" customHeight="false" outlineLevel="0" collapsed="false">
      <c r="A62815" s="0" t="s">
        <v>21504</v>
      </c>
      <c r="B62815" s="0" t="str">
        <f aca="false">HYPERLINK("https://lindat.mff.cuni.cz/services/teitok/pdtc10/index.php?action=vallex&amp;frame=v-w8659f17_ZU", "vzít si (v-w8659f17_ZU)")</f>
        <v>vzít si (v-w8659f17_ZU)</v>
      </c>
    </row>
    <row r="62816" customFormat="false" ht="12.8" hidden="false" customHeight="false" outlineLevel="0" collapsed="false">
      <c r="B62816" s="0" t="s">
        <v>7</v>
      </c>
    </row>
    <row r="62817" customFormat="false" ht="12.8" hidden="false" customHeight="false" outlineLevel="0" collapsed="false">
      <c r="B62817" s="0" t="s">
        <v>18916</v>
      </c>
    </row>
    <row r="62818" customFormat="false" ht="12.8" hidden="false" customHeight="false" outlineLevel="0" collapsed="false">
      <c r="B62818" s="0" t="s">
        <v>54</v>
      </c>
    </row>
    <row r="62820" customFormat="false" ht="12.8" hidden="false" customHeight="false" outlineLevel="0" collapsed="false">
      <c r="A62820" s="0" t="s">
        <v>21505</v>
      </c>
      <c r="B62820" s="0" t="str">
        <f aca="false">HYPERLINK("https://lindat.mff.cuni.cz/services/teitok/pdtc10/index.php?action=vallex&amp;frame=v-w8659f18_MM", "vzít si (v-w8659f18_MM)")</f>
        <v>vzít si (v-w8659f18_MM)</v>
      </c>
    </row>
    <row r="62821" customFormat="false" ht="12.8" hidden="false" customHeight="false" outlineLevel="0" collapsed="false">
      <c r="B62821" s="0" t="s">
        <v>7</v>
      </c>
    </row>
    <row r="62822" customFormat="false" ht="12.8" hidden="false" customHeight="false" outlineLevel="0" collapsed="false">
      <c r="B62822" s="0" t="s">
        <v>21506</v>
      </c>
    </row>
    <row r="62823" customFormat="false" ht="12.8" hidden="false" customHeight="false" outlineLevel="0" collapsed="false">
      <c r="B62823" s="0" t="s">
        <v>14</v>
      </c>
    </row>
    <row r="62825" customFormat="false" ht="12.8" hidden="false" customHeight="false" outlineLevel="0" collapsed="false">
      <c r="A62825" s="0" t="s">
        <v>21505</v>
      </c>
      <c r="B62825" s="0" t="str">
        <f aca="false">HYPERLINK("https://lindat.mff.cuni.cz/services/teitok/pdtc10/index.php?action=vallex&amp;frame=v-w8659f12_ZU", "vzít si (v-w8659f12_ZU) - substituted with v-w8659f18_MM")</f>
        <v>vzít si (v-w8659f12_ZU) - substituted with v-w8659f18_MM</v>
      </c>
    </row>
    <row r="62826" customFormat="false" ht="12.8" hidden="false" customHeight="false" outlineLevel="0" collapsed="false">
      <c r="B62826" s="0" t="s">
        <v>7</v>
      </c>
    </row>
    <row r="62827" customFormat="false" ht="12.8" hidden="false" customHeight="false" outlineLevel="0" collapsed="false">
      <c r="B62827" s="0" t="s">
        <v>21506</v>
      </c>
    </row>
    <row r="62828" customFormat="false" ht="12.8" hidden="false" customHeight="false" outlineLevel="0" collapsed="false">
      <c r="B62828" s="0" t="s">
        <v>14</v>
      </c>
    </row>
    <row r="62830" customFormat="false" ht="12.8" hidden="false" customHeight="false" outlineLevel="0" collapsed="false">
      <c r="A62830" s="0" t="s">
        <v>21505</v>
      </c>
      <c r="B62830" s="0" t="str">
        <f aca="false">HYPERLINK("https://lindat.mff.cuni.cz/services/teitok/pdtc10/index.php?action=vallex&amp;frame=v-w8659f13_ZU", "vzít si (v-w8659f13_ZU) - substituted with v-w8659f18_MM")</f>
        <v>vzít si (v-w8659f13_ZU) - substituted with v-w8659f18_MM</v>
      </c>
    </row>
    <row r="62831" customFormat="false" ht="12.8" hidden="false" customHeight="false" outlineLevel="0" collapsed="false">
      <c r="B62831" s="0" t="s">
        <v>7</v>
      </c>
    </row>
    <row r="62832" customFormat="false" ht="12.8" hidden="false" customHeight="false" outlineLevel="0" collapsed="false">
      <c r="B62832" s="0" t="s">
        <v>21506</v>
      </c>
    </row>
    <row r="62833" customFormat="false" ht="12.8" hidden="false" customHeight="false" outlineLevel="0" collapsed="false">
      <c r="B62833" s="0" t="s">
        <v>14</v>
      </c>
    </row>
    <row r="62835" customFormat="false" ht="12.8" hidden="false" customHeight="false" outlineLevel="0" collapsed="false">
      <c r="A62835" s="0" t="s">
        <v>21505</v>
      </c>
      <c r="B62835" s="0" t="str">
        <f aca="false">HYPERLINK("https://lindat.mff.cuni.cz/services/teitok/pdtc10/index.php?action=vallex&amp;frame=v-w8659hsa_1141", "vzít si (v-w8659hsa_1141) - substituted with v-w8659f18_MM")</f>
        <v>vzít si (v-w8659hsa_1141) - substituted with v-w8659f18_MM</v>
      </c>
    </row>
    <row r="62836" customFormat="false" ht="12.8" hidden="false" customHeight="false" outlineLevel="0" collapsed="false">
      <c r="B62836" s="0" t="s">
        <v>7</v>
      </c>
    </row>
    <row r="62837" customFormat="false" ht="12.8" hidden="false" customHeight="false" outlineLevel="0" collapsed="false">
      <c r="B62837" s="0" t="s">
        <v>21506</v>
      </c>
    </row>
    <row r="62838" customFormat="false" ht="12.8" hidden="false" customHeight="false" outlineLevel="0" collapsed="false">
      <c r="B62838" s="0" t="s">
        <v>14</v>
      </c>
    </row>
    <row r="62840" customFormat="false" ht="12.8" hidden="false" customHeight="false" outlineLevel="0" collapsed="false">
      <c r="A62840" s="0" t="s">
        <v>21507</v>
      </c>
      <c r="B62840" s="0" t="str">
        <f aca="false">HYPERLINK("https://lindat.mff.cuni.cz/services/teitok/pdtc10/index.php?action=vallex&amp;frame=v-w8659hsa_1140", "vzít si (v-w8659hsa_1140)")</f>
        <v>vzít si (v-w8659hsa_1140)</v>
      </c>
    </row>
    <row r="62841" customFormat="false" ht="12.8" hidden="false" customHeight="false" outlineLevel="0" collapsed="false">
      <c r="B62841" s="0" t="s">
        <v>7</v>
      </c>
    </row>
    <row r="62842" customFormat="false" ht="12.8" hidden="false" customHeight="false" outlineLevel="0" collapsed="false">
      <c r="B62842" s="0" t="s">
        <v>14</v>
      </c>
    </row>
    <row r="62844" customFormat="false" ht="12.8" hidden="false" customHeight="false" outlineLevel="0" collapsed="false">
      <c r="A62844" s="0" t="s">
        <v>21508</v>
      </c>
      <c r="B62844" s="0" t="str">
        <f aca="false">HYPERLINK("https://lindat.mff.cuni.cz/services/teitok/pdtc10/index.php?action=vallex&amp;frame=v-w10247f2", "vzývat (v-w10247f2)")</f>
        <v>vzývat (v-w10247f2)</v>
      </c>
    </row>
    <row r="62845" customFormat="false" ht="12.8" hidden="false" customHeight="false" outlineLevel="0" collapsed="false">
      <c r="B62845" s="0" t="s">
        <v>7</v>
      </c>
    </row>
    <row r="62846" customFormat="false" ht="12.8" hidden="false" customHeight="false" outlineLevel="0" collapsed="false">
      <c r="B62846" s="0" t="s">
        <v>14</v>
      </c>
    </row>
    <row r="62848" customFormat="false" ht="12.8" hidden="false" customHeight="false" outlineLevel="0" collapsed="false">
      <c r="A62848" s="0" t="s">
        <v>21509</v>
      </c>
      <c r="B62848" s="0" t="str">
        <f aca="false">HYPERLINK("https://lindat.mff.cuni.cz/services/teitok/pdtc10/index.php?action=vallex&amp;frame=v-w10861f2", "vábit (v-w10861f2)")</f>
        <v>vábit (v-w10861f2)</v>
      </c>
    </row>
    <row r="62849" customFormat="false" ht="12.8" hidden="false" customHeight="false" outlineLevel="0" collapsed="false">
      <c r="B62849" s="0" t="s">
        <v>7</v>
      </c>
      <c r="D62849" s="0" t="s">
        <v>5251</v>
      </c>
      <c r="E62849" s="0" t="s">
        <v>5251</v>
      </c>
      <c r="F62849" s="0" t="s">
        <v>5251</v>
      </c>
    </row>
    <row r="62850" customFormat="false" ht="12.8" hidden="false" customHeight="false" outlineLevel="0" collapsed="false">
      <c r="B62850" s="0" t="s">
        <v>14</v>
      </c>
      <c r="D62850" s="0" t="s">
        <v>18902</v>
      </c>
      <c r="E62850" s="0" t="s">
        <v>18902</v>
      </c>
      <c r="F62850" s="0" t="s">
        <v>18902</v>
      </c>
    </row>
    <row r="62852" customFormat="false" ht="12.8" hidden="false" customHeight="false" outlineLevel="0" collapsed="false">
      <c r="A62852" s="0" t="s">
        <v>21510</v>
      </c>
      <c r="B62852" s="0" t="str">
        <f aca="false">HYPERLINK("https://lindat.mff.cuni.cz/services/teitok/pdtc10/index.php?action=vallex&amp;frame=v-w7506hsa_149", "váhat (v-w7506hsa_149)")</f>
        <v>váhat (v-w7506hsa_149)</v>
      </c>
    </row>
    <row r="62853" customFormat="false" ht="12.8" hidden="false" customHeight="false" outlineLevel="0" collapsed="false">
      <c r="B62853" s="0" t="s">
        <v>7</v>
      </c>
      <c r="C62853" s="0" t="s">
        <v>498</v>
      </c>
      <c r="F62853" s="0" t="s">
        <v>21511</v>
      </c>
    </row>
    <row r="62854" customFormat="false" ht="12.8" hidden="false" customHeight="false" outlineLevel="0" collapsed="false">
      <c r="B62854" s="0" t="s">
        <v>21512</v>
      </c>
      <c r="F62854" s="0" t="s">
        <v>2641</v>
      </c>
    </row>
    <row r="62856" customFormat="false" ht="12.8" hidden="false" customHeight="false" outlineLevel="0" collapsed="false">
      <c r="A62856" s="0" t="s">
        <v>21510</v>
      </c>
      <c r="B62856" s="0" t="str">
        <f aca="false">HYPERLINK("https://lindat.mff.cuni.cz/services/teitok/pdtc10/index.php?action=vallex&amp;frame=v-w7506f1", "váhat (v-w7506f1) - substituted with v-w7506hsa_149")</f>
        <v>váhat (v-w7506f1) - substituted with v-w7506hsa_149</v>
      </c>
    </row>
    <row r="62857" customFormat="false" ht="12.8" hidden="false" customHeight="false" outlineLevel="0" collapsed="false">
      <c r="B62857" s="0" t="s">
        <v>7</v>
      </c>
      <c r="C62857" s="0" t="s">
        <v>21513</v>
      </c>
    </row>
    <row r="62858" customFormat="false" ht="12.8" hidden="false" customHeight="false" outlineLevel="0" collapsed="false">
      <c r="B62858" s="0" t="s">
        <v>21512</v>
      </c>
      <c r="C62858" s="0" t="s">
        <v>1170</v>
      </c>
    </row>
    <row r="62860" customFormat="false" ht="12.8" hidden="false" customHeight="false" outlineLevel="0" collapsed="false">
      <c r="A62860" s="0" t="s">
        <v>21514</v>
      </c>
      <c r="B62860" s="0" t="str">
        <f aca="false">HYPERLINK("https://lindat.mff.cuni.cz/services/teitok/pdtc10/index.php?action=vallex&amp;frame=v-w12232_ZUf1_ZU", "válet (v-w12232_ZUf1_ZU)")</f>
        <v>válet (v-w12232_ZUf1_ZU)</v>
      </c>
    </row>
    <row r="62861" customFormat="false" ht="12.8" hidden="false" customHeight="false" outlineLevel="0" collapsed="false">
      <c r="B62861" s="0" t="s">
        <v>7</v>
      </c>
    </row>
    <row r="62862" customFormat="false" ht="12.8" hidden="false" customHeight="false" outlineLevel="0" collapsed="false">
      <c r="B62862" s="0" t="s">
        <v>14</v>
      </c>
    </row>
    <row r="62864" customFormat="false" ht="12.8" hidden="false" customHeight="false" outlineLevel="0" collapsed="false">
      <c r="A62864" s="0" t="s">
        <v>21515</v>
      </c>
      <c r="B62864" s="0" t="str">
        <f aca="false">HYPERLINK("https://lindat.mff.cuni.cz/services/teitok/pdtc10/index.php?action=vallex&amp;frame=v-whsa_1042hsa_1043", "válet se (v-whsa_1042hsa_1043)")</f>
        <v>válet se (v-whsa_1042hsa_1043)</v>
      </c>
    </row>
    <row r="62865" customFormat="false" ht="12.8" hidden="false" customHeight="false" outlineLevel="0" collapsed="false">
      <c r="B62865" s="0" t="s">
        <v>7</v>
      </c>
    </row>
    <row r="62867" customFormat="false" ht="12.8" hidden="false" customHeight="false" outlineLevel="0" collapsed="false">
      <c r="A62867" s="0" t="s">
        <v>21516</v>
      </c>
      <c r="B62867" s="0" t="str">
        <f aca="false">HYPERLINK("https://lindat.mff.cuni.cz/services/teitok/pdtc10/index.php?action=vallex&amp;frame=v-whsa_1042hsa_1044", "válet se (v-whsa_1042hsa_1044)")</f>
        <v>válet se (v-whsa_1042hsa_1044)</v>
      </c>
    </row>
    <row r="62868" customFormat="false" ht="12.8" hidden="false" customHeight="false" outlineLevel="0" collapsed="false">
      <c r="B62868" s="0" t="s">
        <v>7</v>
      </c>
    </row>
    <row r="62870" customFormat="false" ht="12.8" hidden="false" customHeight="false" outlineLevel="0" collapsed="false">
      <c r="A62870" s="0" t="s">
        <v>21517</v>
      </c>
      <c r="B62870" s="0" t="str">
        <f aca="false">HYPERLINK("https://lindat.mff.cuni.cz/services/teitok/pdtc10/index.php?action=vallex&amp;frame=v-w7509f2", "válčit (v-w7509f2)")</f>
        <v>válčit (v-w7509f2)</v>
      </c>
    </row>
    <row r="62871" customFormat="false" ht="12.8" hidden="false" customHeight="false" outlineLevel="0" collapsed="false">
      <c r="B62871" s="0" t="s">
        <v>7</v>
      </c>
    </row>
    <row r="62872" customFormat="false" ht="12.8" hidden="false" customHeight="false" outlineLevel="0" collapsed="false">
      <c r="B62872" s="0" t="s">
        <v>311</v>
      </c>
    </row>
    <row r="62874" customFormat="false" ht="12.8" hidden="false" customHeight="false" outlineLevel="0" collapsed="false">
      <c r="A62874" s="0" t="s">
        <v>21518</v>
      </c>
      <c r="B62874" s="0" t="str">
        <f aca="false">HYPERLINK("https://lindat.mff.cuni.cz/services/teitok/pdtc10/index.php?action=vallex&amp;frame=v-w7509f3", "válčit (v-w7509f3)")</f>
        <v>válčit (v-w7509f3)</v>
      </c>
    </row>
    <row r="62875" customFormat="false" ht="12.8" hidden="false" customHeight="false" outlineLevel="0" collapsed="false">
      <c r="B62875" s="0" t="s">
        <v>7</v>
      </c>
    </row>
    <row r="62876" customFormat="false" ht="12.8" hidden="false" customHeight="false" outlineLevel="0" collapsed="false">
      <c r="B62876" s="0" t="s">
        <v>300</v>
      </c>
    </row>
    <row r="62878" customFormat="false" ht="12.8" hidden="false" customHeight="false" outlineLevel="0" collapsed="false">
      <c r="A62878" s="0" t="s">
        <v>21519</v>
      </c>
      <c r="B62878" s="0" t="str">
        <f aca="false">HYPERLINK("https://lindat.mff.cuni.cz/services/teitok/pdtc10/index.php?action=vallex&amp;frame=v-w7509f1", "válčit (v-w7509f1)")</f>
        <v>válčit (v-w7509f1)</v>
      </c>
    </row>
    <row r="62879" customFormat="false" ht="12.8" hidden="false" customHeight="false" outlineLevel="0" collapsed="false">
      <c r="B62879" s="0" t="s">
        <v>7</v>
      </c>
    </row>
    <row r="62880" customFormat="false" ht="12.8" hidden="false" customHeight="false" outlineLevel="0" collapsed="false">
      <c r="B62880" s="0" t="s">
        <v>16097</v>
      </c>
    </row>
    <row r="62881" customFormat="false" ht="12.8" hidden="false" customHeight="false" outlineLevel="0" collapsed="false">
      <c r="B62881" s="0" t="s">
        <v>21520</v>
      </c>
    </row>
    <row r="62883" customFormat="false" ht="12.8" hidden="false" customHeight="false" outlineLevel="0" collapsed="false">
      <c r="A62883" s="0" t="s">
        <v>21521</v>
      </c>
      <c r="B62883" s="0" t="str">
        <f aca="false">HYPERLINK("https://lindat.mff.cuni.cz/services/teitok/pdtc10/index.php?action=vallex&amp;frame=v-w7525f1", "vát (v-w7525f1)")</f>
        <v>vát (v-w7525f1)</v>
      </c>
    </row>
    <row r="62884" customFormat="false" ht="12.8" hidden="false" customHeight="false" outlineLevel="0" collapsed="false">
      <c r="B62884" s="0" t="s">
        <v>7</v>
      </c>
    </row>
    <row r="62886" customFormat="false" ht="12.8" hidden="false" customHeight="false" outlineLevel="0" collapsed="false">
      <c r="A62886" s="0" t="s">
        <v>21522</v>
      </c>
      <c r="B62886" s="0" t="str">
        <f aca="false">HYPERLINK("https://lindat.mff.cuni.cz/services/teitok/pdtc10/index.php?action=vallex&amp;frame=v-w7528f7", "vázat (v-w7528f7)")</f>
        <v>vázat (v-w7528f7)</v>
      </c>
    </row>
    <row r="62887" customFormat="false" ht="12.8" hidden="false" customHeight="false" outlineLevel="0" collapsed="false">
      <c r="B62887" s="0" t="s">
        <v>7</v>
      </c>
    </row>
    <row r="62888" customFormat="false" ht="12.8" hidden="false" customHeight="false" outlineLevel="0" collapsed="false">
      <c r="B62888" s="0" t="s">
        <v>14</v>
      </c>
    </row>
    <row r="62889" customFormat="false" ht="12.8" hidden="false" customHeight="false" outlineLevel="0" collapsed="false">
      <c r="B62889" s="0" t="s">
        <v>35</v>
      </c>
    </row>
    <row r="62890" customFormat="false" ht="12.8" hidden="false" customHeight="false" outlineLevel="0" collapsed="false">
      <c r="B62890" s="0" t="s">
        <v>181</v>
      </c>
    </row>
    <row r="62892" customFormat="false" ht="12.8" hidden="false" customHeight="false" outlineLevel="0" collapsed="false">
      <c r="A62892" s="0" t="s">
        <v>21523</v>
      </c>
      <c r="B62892" s="0" t="str">
        <f aca="false">HYPERLINK("https://lindat.mff.cuni.cz/services/teitok/pdtc10/index.php?action=vallex&amp;frame=v-w7528f1", "vázat (v-w7528f1)")</f>
        <v>vázat (v-w7528f1)</v>
      </c>
    </row>
    <row r="62893" customFormat="false" ht="12.8" hidden="false" customHeight="false" outlineLevel="0" collapsed="false">
      <c r="B62893" s="0" t="s">
        <v>7</v>
      </c>
      <c r="C62893" s="0" t="s">
        <v>31</v>
      </c>
    </row>
    <row r="62894" customFormat="false" ht="12.8" hidden="false" customHeight="false" outlineLevel="0" collapsed="false">
      <c r="B62894" s="0" t="s">
        <v>14</v>
      </c>
      <c r="C62894" s="0" t="s">
        <v>1146</v>
      </c>
    </row>
    <row r="62895" customFormat="false" ht="12.8" hidden="false" customHeight="false" outlineLevel="0" collapsed="false">
      <c r="B62895" s="0" t="s">
        <v>1755</v>
      </c>
      <c r="C62895" s="0" t="s">
        <v>21524</v>
      </c>
    </row>
    <row r="62897" customFormat="false" ht="12.8" hidden="false" customHeight="false" outlineLevel="0" collapsed="false">
      <c r="A62897" s="0" t="s">
        <v>21525</v>
      </c>
      <c r="B62897" s="0" t="str">
        <f aca="false">HYPERLINK("https://lindat.mff.cuni.cz/services/teitok/pdtc10/index.php?action=vallex&amp;frame=v-w7528f2", "vázat (v-w7528f2)")</f>
        <v>vázat (v-w7528f2)</v>
      </c>
    </row>
    <row r="62898" customFormat="false" ht="12.8" hidden="false" customHeight="false" outlineLevel="0" collapsed="false">
      <c r="B62898" s="0" t="s">
        <v>7</v>
      </c>
    </row>
    <row r="62899" customFormat="false" ht="12.8" hidden="false" customHeight="false" outlineLevel="0" collapsed="false">
      <c r="B62899" s="0" t="s">
        <v>14</v>
      </c>
    </row>
    <row r="62901" customFormat="false" ht="12.8" hidden="false" customHeight="false" outlineLevel="0" collapsed="false">
      <c r="A62901" s="0" t="s">
        <v>21526</v>
      </c>
      <c r="B62901" s="0" t="str">
        <f aca="false">HYPERLINK("https://lindat.mff.cuni.cz/services/teitok/pdtc10/index.php?action=vallex&amp;frame=v-w7528f3", "vázat (v-w7528f3)")</f>
        <v>vázat (v-w7528f3)</v>
      </c>
    </row>
    <row r="62902" customFormat="false" ht="12.8" hidden="false" customHeight="false" outlineLevel="0" collapsed="false">
      <c r="B62902" s="0" t="s">
        <v>7</v>
      </c>
      <c r="C62902" s="0" t="s">
        <v>21527</v>
      </c>
      <c r="D62902" s="0" t="s">
        <v>247</v>
      </c>
      <c r="E62902" s="0" t="s">
        <v>247</v>
      </c>
      <c r="F62902" s="0" t="s">
        <v>247</v>
      </c>
    </row>
    <row r="62903" customFormat="false" ht="12.8" hidden="false" customHeight="false" outlineLevel="0" collapsed="false">
      <c r="B62903" s="0" t="s">
        <v>14</v>
      </c>
      <c r="C62903" s="0" t="s">
        <v>21528</v>
      </c>
      <c r="D62903" s="0" t="s">
        <v>9221</v>
      </c>
      <c r="E62903" s="0" t="s">
        <v>9221</v>
      </c>
      <c r="F62903" s="0" t="s">
        <v>9221</v>
      </c>
    </row>
    <row r="62905" customFormat="false" ht="12.8" hidden="false" customHeight="false" outlineLevel="0" collapsed="false">
      <c r="A62905" s="0" t="s">
        <v>21529</v>
      </c>
      <c r="B62905" s="0" t="str">
        <f aca="false">HYPERLINK("https://lindat.mff.cuni.cz/services/teitok/pdtc10/index.php?action=vallex&amp;frame=v-w7528f5", "vázat (v-w7528f5)")</f>
        <v>vázat (v-w7528f5)</v>
      </c>
    </row>
    <row r="62906" customFormat="false" ht="12.8" hidden="false" customHeight="false" outlineLevel="0" collapsed="false">
      <c r="B62906" s="0" t="s">
        <v>7</v>
      </c>
      <c r="D62906" s="0" t="s">
        <v>46</v>
      </c>
      <c r="E62906" s="0" t="s">
        <v>46</v>
      </c>
      <c r="F62906" s="0" t="s">
        <v>46</v>
      </c>
    </row>
    <row r="62907" customFormat="false" ht="12.8" hidden="false" customHeight="false" outlineLevel="0" collapsed="false">
      <c r="B62907" s="0" t="s">
        <v>14</v>
      </c>
      <c r="C62907" s="0" t="s">
        <v>155</v>
      </c>
      <c r="D62907" s="0" t="s">
        <v>115</v>
      </c>
      <c r="E62907" s="0" t="s">
        <v>115</v>
      </c>
      <c r="F62907" s="0" t="s">
        <v>115</v>
      </c>
    </row>
    <row r="62909" customFormat="false" ht="12.8" hidden="false" customHeight="false" outlineLevel="0" collapsed="false">
      <c r="A62909" s="0" t="s">
        <v>21530</v>
      </c>
      <c r="B62909" s="0" t="str">
        <f aca="false">HYPERLINK("https://lindat.mff.cuni.cz/services/teitok/pdtc10/index.php?action=vallex&amp;frame=v-w7528f6", "vázat (v-w7528f6)")</f>
        <v>vázat (v-w7528f6)</v>
      </c>
    </row>
    <row r="62910" customFormat="false" ht="12.8" hidden="false" customHeight="false" outlineLevel="0" collapsed="false">
      <c r="B62910" s="0" t="s">
        <v>7</v>
      </c>
    </row>
    <row r="62911" customFormat="false" ht="12.8" hidden="false" customHeight="false" outlineLevel="0" collapsed="false">
      <c r="B62911" s="0" t="s">
        <v>14</v>
      </c>
    </row>
    <row r="62913" customFormat="false" ht="12.8" hidden="false" customHeight="false" outlineLevel="0" collapsed="false">
      <c r="A62913" s="0" t="s">
        <v>21531</v>
      </c>
      <c r="B62913" s="0" t="str">
        <f aca="false">HYPERLINK("https://lindat.mff.cuni.cz/services/teitok/pdtc10/index.php?action=vallex&amp;frame=v-w7528f4", "vázat (v-w7528f4)")</f>
        <v>vázat (v-w7528f4)</v>
      </c>
    </row>
    <row r="62914" customFormat="false" ht="12.8" hidden="false" customHeight="false" outlineLevel="0" collapsed="false">
      <c r="B62914" s="0" t="s">
        <v>7</v>
      </c>
    </row>
    <row r="62915" customFormat="false" ht="12.8" hidden="false" customHeight="false" outlineLevel="0" collapsed="false">
      <c r="B62915" s="0" t="s">
        <v>81</v>
      </c>
    </row>
    <row r="62916" customFormat="false" ht="12.8" hidden="false" customHeight="false" outlineLevel="0" collapsed="false">
      <c r="B62916" s="0" t="s">
        <v>21532</v>
      </c>
    </row>
    <row r="62918" customFormat="false" ht="12.8" hidden="false" customHeight="false" outlineLevel="0" collapsed="false">
      <c r="A62918" s="0" t="s">
        <v>21533</v>
      </c>
      <c r="B62918" s="0" t="str">
        <f aca="false">HYPERLINK("https://lindat.mff.cuni.cz/services/teitok/pdtc10/index.php?action=vallex&amp;frame=v-w7528hsa_1603", "vázat (v-w7528hsa_1603)")</f>
        <v>vázat (v-w7528hsa_1603)</v>
      </c>
    </row>
    <row r="62919" customFormat="false" ht="12.8" hidden="false" customHeight="false" outlineLevel="0" collapsed="false">
      <c r="B62919" s="0" t="s">
        <v>7</v>
      </c>
    </row>
    <row r="62920" customFormat="false" ht="12.8" hidden="false" customHeight="false" outlineLevel="0" collapsed="false">
      <c r="B62920" s="0" t="s">
        <v>14</v>
      </c>
    </row>
    <row r="62921" customFormat="false" ht="12.8" hidden="false" customHeight="false" outlineLevel="0" collapsed="false">
      <c r="B62921" s="0" t="s">
        <v>181</v>
      </c>
    </row>
    <row r="62923" customFormat="false" ht="12.8" hidden="false" customHeight="false" outlineLevel="0" collapsed="false">
      <c r="A62923" s="0" t="s">
        <v>21534</v>
      </c>
      <c r="B62923" s="0" t="str">
        <f aca="false">HYPERLINK("https://lindat.mff.cuni.cz/services/teitok/pdtc10/index.php?action=vallex&amp;frame=v-w7529f2", "vázat se (v-w7529f2)")</f>
        <v>vázat se (v-w7529f2)</v>
      </c>
    </row>
    <row r="62924" customFormat="false" ht="12.8" hidden="false" customHeight="false" outlineLevel="0" collapsed="false">
      <c r="B62924" s="0" t="s">
        <v>7</v>
      </c>
    </row>
    <row r="62925" customFormat="false" ht="12.8" hidden="false" customHeight="false" outlineLevel="0" collapsed="false">
      <c r="B62925" s="0" t="s">
        <v>548</v>
      </c>
    </row>
    <row r="62926" customFormat="false" ht="12.8" hidden="false" customHeight="false" outlineLevel="0" collapsed="false">
      <c r="B62926" s="0" t="s">
        <v>2571</v>
      </c>
    </row>
    <row r="62928" customFormat="false" ht="12.8" hidden="false" customHeight="false" outlineLevel="0" collapsed="false">
      <c r="A62928" s="0" t="s">
        <v>21535</v>
      </c>
      <c r="B62928" s="0" t="str">
        <f aca="false">HYPERLINK("https://lindat.mff.cuni.cz/services/teitok/pdtc10/index.php?action=vallex&amp;frame=v-w7529f1", "vázat se (v-w7529f1)")</f>
        <v>vázat se (v-w7529f1)</v>
      </c>
    </row>
    <row r="62929" customFormat="false" ht="12.8" hidden="false" customHeight="false" outlineLevel="0" collapsed="false">
      <c r="B62929" s="0" t="s">
        <v>7</v>
      </c>
      <c r="C62929" s="0" t="s">
        <v>11843</v>
      </c>
    </row>
    <row r="62930" customFormat="false" ht="12.8" hidden="false" customHeight="false" outlineLevel="0" collapsed="false">
      <c r="B62930" s="0" t="s">
        <v>5029</v>
      </c>
      <c r="C62930" s="0" t="s">
        <v>21536</v>
      </c>
    </row>
    <row r="62932" customFormat="false" ht="12.8" hidden="false" customHeight="false" outlineLevel="0" collapsed="false">
      <c r="A62932" s="0" t="s">
        <v>21537</v>
      </c>
      <c r="B62932" s="0" t="str">
        <f aca="false">HYPERLINK("https://lindat.mff.cuni.cz/services/teitok/pdtc10/index.php?action=vallex&amp;frame=v-w7529f3", "vázat se (v-w7529f3)")</f>
        <v>vázat se (v-w7529f3)</v>
      </c>
    </row>
    <row r="62933" customFormat="false" ht="12.8" hidden="false" customHeight="false" outlineLevel="0" collapsed="false">
      <c r="B62933" s="0" t="s">
        <v>7</v>
      </c>
    </row>
    <row r="62934" customFormat="false" ht="12.8" hidden="false" customHeight="false" outlineLevel="0" collapsed="false">
      <c r="B62934" s="0" t="s">
        <v>5029</v>
      </c>
    </row>
    <row r="62936" customFormat="false" ht="12.8" hidden="false" customHeight="false" outlineLevel="0" collapsed="false">
      <c r="A62936" s="0" t="s">
        <v>21538</v>
      </c>
      <c r="B62936" s="0" t="str">
        <f aca="false">HYPERLINK("https://lindat.mff.cuni.cz/services/teitok/pdtc10/index.php?action=vallex&amp;frame=v-w7531f1", "váznout (v-w7531f1)")</f>
        <v>váznout (v-w7531f1)</v>
      </c>
    </row>
    <row r="62937" customFormat="false" ht="12.8" hidden="false" customHeight="false" outlineLevel="0" collapsed="false">
      <c r="B62937" s="0" t="s">
        <v>7</v>
      </c>
      <c r="D62937" s="0" t="s">
        <v>21539</v>
      </c>
      <c r="E62937" s="0" t="s">
        <v>21539</v>
      </c>
      <c r="F62937" s="0" t="s">
        <v>21539</v>
      </c>
    </row>
    <row r="62938" customFormat="false" ht="12.8" hidden="false" customHeight="false" outlineLevel="0" collapsed="false">
      <c r="B62938" s="0" t="s">
        <v>3200</v>
      </c>
      <c r="D62938" s="0" t="s">
        <v>21540</v>
      </c>
      <c r="E62938" s="0" t="s">
        <v>21540</v>
      </c>
      <c r="F62938" s="0" t="s">
        <v>21540</v>
      </c>
    </row>
    <row r="62940" customFormat="false" ht="12.8" hidden="false" customHeight="false" outlineLevel="0" collapsed="false">
      <c r="A62940" s="0" t="s">
        <v>21541</v>
      </c>
      <c r="B62940" s="0" t="str">
        <f aca="false">HYPERLINK("https://lindat.mff.cuni.cz/services/teitok/pdtc10/index.php?action=vallex&amp;frame=v-w7531f2", "váznout (v-w7531f2)")</f>
        <v>váznout (v-w7531f2)</v>
      </c>
    </row>
    <row r="62941" customFormat="false" ht="12.8" hidden="false" customHeight="false" outlineLevel="0" collapsed="false">
      <c r="B62941" s="0" t="s">
        <v>7</v>
      </c>
    </row>
    <row r="62942" customFormat="false" ht="12.8" hidden="false" customHeight="false" outlineLevel="0" collapsed="false">
      <c r="B62942" s="0" t="s">
        <v>11</v>
      </c>
    </row>
    <row r="62944" customFormat="false" ht="12.8" hidden="false" customHeight="false" outlineLevel="0" collapsed="false">
      <c r="A62944" s="0" t="s">
        <v>21542</v>
      </c>
      <c r="B62944" s="0" t="str">
        <f aca="false">HYPERLINK("https://lindat.mff.cuni.cz/services/teitok/pdtc10/index.php?action=vallex&amp;frame=v-w7533f4", "vážit (v-w7533f4)")</f>
        <v>vážit (v-w7533f4)</v>
      </c>
    </row>
    <row r="62945" customFormat="false" ht="12.8" hidden="false" customHeight="false" outlineLevel="0" collapsed="false">
      <c r="B62945" s="0" t="s">
        <v>7</v>
      </c>
    </row>
    <row r="62946" customFormat="false" ht="12.8" hidden="false" customHeight="false" outlineLevel="0" collapsed="false">
      <c r="B62946" s="0" t="s">
        <v>2030</v>
      </c>
      <c r="C62946" s="0" t="s">
        <v>567</v>
      </c>
    </row>
    <row r="62948" customFormat="false" ht="12.8" hidden="false" customHeight="false" outlineLevel="0" collapsed="false">
      <c r="A62948" s="0" t="s">
        <v>21543</v>
      </c>
      <c r="B62948" s="0" t="str">
        <f aca="false">HYPERLINK("https://lindat.mff.cuni.cz/services/teitok/pdtc10/index.php?action=vallex&amp;frame=v-w7533f2", "vážit (v-w7533f2)")</f>
        <v>vážit (v-w7533f2)</v>
      </c>
    </row>
    <row r="62949" customFormat="false" ht="12.8" hidden="false" customHeight="false" outlineLevel="0" collapsed="false">
      <c r="B62949" s="0" t="s">
        <v>7</v>
      </c>
    </row>
    <row r="62950" customFormat="false" ht="12.8" hidden="false" customHeight="false" outlineLevel="0" collapsed="false">
      <c r="B62950" s="0" t="s">
        <v>14</v>
      </c>
    </row>
    <row r="62952" customFormat="false" ht="12.8" hidden="false" customHeight="false" outlineLevel="0" collapsed="false">
      <c r="A62952" s="0" t="s">
        <v>21544</v>
      </c>
      <c r="B62952" s="0" t="str">
        <f aca="false">HYPERLINK("https://lindat.mff.cuni.cz/services/teitok/pdtc10/index.php?action=vallex&amp;frame=v-w7533f3", "vážit (v-w7533f3)")</f>
        <v>vážit (v-w7533f3)</v>
      </c>
    </row>
    <row r="62953" customFormat="false" ht="12.8" hidden="false" customHeight="false" outlineLevel="0" collapsed="false">
      <c r="B62953" s="0" t="s">
        <v>7</v>
      </c>
    </row>
    <row r="62954" customFormat="false" ht="12.8" hidden="false" customHeight="false" outlineLevel="0" collapsed="false">
      <c r="B62954" s="0" t="s">
        <v>14</v>
      </c>
    </row>
    <row r="62956" customFormat="false" ht="12.8" hidden="false" customHeight="false" outlineLevel="0" collapsed="false">
      <c r="A62956" s="0" t="s">
        <v>21545</v>
      </c>
      <c r="B62956" s="0" t="str">
        <f aca="false">HYPERLINK("https://lindat.mff.cuni.cz/services/teitok/pdtc10/index.php?action=vallex&amp;frame=v-w7533f1", "vážit (v-w7533f1)")</f>
        <v>vážit (v-w7533f1)</v>
      </c>
    </row>
    <row r="62957" customFormat="false" ht="12.8" hidden="false" customHeight="false" outlineLevel="0" collapsed="false">
      <c r="B62957" s="0" t="s">
        <v>7</v>
      </c>
      <c r="C62957" s="0" t="s">
        <v>4651</v>
      </c>
      <c r="D62957" s="0" t="s">
        <v>5375</v>
      </c>
      <c r="E62957" s="0" t="s">
        <v>5375</v>
      </c>
      <c r="F62957" s="0" t="s">
        <v>5375</v>
      </c>
    </row>
    <row r="62958" customFormat="false" ht="12.8" hidden="false" customHeight="false" outlineLevel="0" collapsed="false">
      <c r="B62958" s="0" t="s">
        <v>679</v>
      </c>
      <c r="C62958" s="0" t="s">
        <v>21546</v>
      </c>
      <c r="D62958" s="0" t="s">
        <v>21547</v>
      </c>
      <c r="E62958" s="0" t="s">
        <v>21547</v>
      </c>
      <c r="F62958" s="0" t="s">
        <v>21547</v>
      </c>
    </row>
    <row r="62960" customFormat="false" ht="12.8" hidden="false" customHeight="false" outlineLevel="0" collapsed="false">
      <c r="A62960" s="0" t="s">
        <v>21548</v>
      </c>
      <c r="B62960" s="0" t="str">
        <f aca="false">HYPERLINK("https://lindat.mff.cuni.cz/services/teitok/pdtc10/index.php?action=vallex&amp;frame=v-w7534f1", "vážit si (v-w7534f1)")</f>
        <v>vážit si (v-w7534f1)</v>
      </c>
    </row>
    <row r="62961" customFormat="false" ht="12.8" hidden="false" customHeight="false" outlineLevel="0" collapsed="false">
      <c r="B62961" s="0" t="s">
        <v>7</v>
      </c>
      <c r="C62961" s="0" t="s">
        <v>21</v>
      </c>
    </row>
    <row r="62962" customFormat="false" ht="12.8" hidden="false" customHeight="false" outlineLevel="0" collapsed="false">
      <c r="B62962" s="0" t="s">
        <v>4034</v>
      </c>
      <c r="C62962" s="0" t="s">
        <v>152</v>
      </c>
    </row>
    <row r="62964" customFormat="false" ht="12.8" hidden="false" customHeight="false" outlineLevel="0" collapsed="false">
      <c r="A62964" s="0" t="s">
        <v>21549</v>
      </c>
      <c r="B62964" s="0" t="str">
        <f aca="false">HYPERLINK("https://lindat.mff.cuni.cz/services/teitok/pdtc10/index.php?action=vallex&amp;frame=v-w7583f1", "vést (v-w7583f1)")</f>
        <v>vést (v-w7583f1)</v>
      </c>
    </row>
    <row r="62965" customFormat="false" ht="12.8" hidden="false" customHeight="false" outlineLevel="0" collapsed="false">
      <c r="B62965" s="0" t="s">
        <v>641</v>
      </c>
      <c r="C62965" s="0" t="s">
        <v>21550</v>
      </c>
      <c r="D62965" s="0" t="s">
        <v>2041</v>
      </c>
      <c r="E62965" s="0" t="s">
        <v>2041</v>
      </c>
      <c r="F62965" s="0" t="s">
        <v>2041</v>
      </c>
    </row>
    <row r="62966" customFormat="false" ht="12.8" hidden="false" customHeight="false" outlineLevel="0" collapsed="false">
      <c r="B62966" s="0" t="s">
        <v>237</v>
      </c>
      <c r="C62966" s="0" t="s">
        <v>21551</v>
      </c>
      <c r="D62966" s="0" t="s">
        <v>2043</v>
      </c>
      <c r="E62966" s="0" t="s">
        <v>2043</v>
      </c>
      <c r="F62966" s="0" t="s">
        <v>2043</v>
      </c>
    </row>
    <row r="62967" customFormat="false" ht="12.8" hidden="false" customHeight="false" outlineLevel="0" collapsed="false">
      <c r="B62967" s="0" t="s">
        <v>2617</v>
      </c>
      <c r="C62967" s="0" t="s">
        <v>21552</v>
      </c>
      <c r="D62967" s="0" t="s">
        <v>2045</v>
      </c>
      <c r="E62967" s="0" t="s">
        <v>2045</v>
      </c>
      <c r="F62967" s="0" t="s">
        <v>2045</v>
      </c>
    </row>
    <row r="62969" customFormat="false" ht="12.8" hidden="false" customHeight="false" outlineLevel="0" collapsed="false">
      <c r="A62969" s="0" t="s">
        <v>21553</v>
      </c>
      <c r="B62969" s="0" t="str">
        <f aca="false">HYPERLINK("https://lindat.mff.cuni.cz/services/teitok/pdtc10/index.php?action=vallex&amp;frame=v-w7583f3", "vést (v-w7583f3)")</f>
        <v>vést (v-w7583f3)</v>
      </c>
    </row>
    <row r="62970" customFormat="false" ht="12.8" hidden="false" customHeight="false" outlineLevel="0" collapsed="false">
      <c r="B62970" s="0" t="s">
        <v>7</v>
      </c>
      <c r="C62970" s="0" t="s">
        <v>3410</v>
      </c>
    </row>
    <row r="62971" customFormat="false" ht="12.8" hidden="false" customHeight="false" outlineLevel="0" collapsed="false">
      <c r="B62971" s="0" t="s">
        <v>11750</v>
      </c>
      <c r="C62971" s="0" t="s">
        <v>152</v>
      </c>
    </row>
    <row r="62972" customFormat="false" ht="12.8" hidden="false" customHeight="false" outlineLevel="0" collapsed="false">
      <c r="B62972" s="0" t="s">
        <v>21554</v>
      </c>
    </row>
    <row r="62974" customFormat="false" ht="12.8" hidden="false" customHeight="false" outlineLevel="0" collapsed="false">
      <c r="A62974" s="0" t="s">
        <v>21555</v>
      </c>
      <c r="B62974" s="0" t="str">
        <f aca="false">HYPERLINK("https://lindat.mff.cuni.cz/services/teitok/pdtc10/index.php?action=vallex&amp;frame=v-w7583f15", "vést (v-w7583f15)")</f>
        <v>vést (v-w7583f15)</v>
      </c>
    </row>
    <row r="62975" customFormat="false" ht="12.8" hidden="false" customHeight="false" outlineLevel="0" collapsed="false">
      <c r="B62975" s="0" t="s">
        <v>7</v>
      </c>
    </row>
    <row r="62976" customFormat="false" ht="12.8" hidden="false" customHeight="false" outlineLevel="0" collapsed="false">
      <c r="B62976" s="0" t="s">
        <v>14</v>
      </c>
    </row>
    <row r="62977" customFormat="false" ht="12.8" hidden="false" customHeight="false" outlineLevel="0" collapsed="false">
      <c r="B62977" s="0" t="s">
        <v>259</v>
      </c>
    </row>
    <row r="62979" customFormat="false" ht="12.8" hidden="false" customHeight="false" outlineLevel="0" collapsed="false">
      <c r="A62979" s="0" t="s">
        <v>21556</v>
      </c>
      <c r="B62979" s="0" t="str">
        <f aca="false">HYPERLINK("https://lindat.mff.cuni.cz/services/teitok/pdtc10/index.php?action=vallex&amp;frame=v-w7583f9", "vést (v-w7583f9)")</f>
        <v>vést (v-w7583f9)</v>
      </c>
    </row>
    <row r="62980" customFormat="false" ht="12.8" hidden="false" customHeight="false" outlineLevel="0" collapsed="false">
      <c r="B62980" s="0" t="s">
        <v>7</v>
      </c>
      <c r="C62980" s="0" t="s">
        <v>108</v>
      </c>
      <c r="D62980" s="0" t="s">
        <v>21557</v>
      </c>
      <c r="E62980" s="0" t="s">
        <v>2675</v>
      </c>
      <c r="F62980" s="0" t="s">
        <v>2675</v>
      </c>
    </row>
    <row r="62981" customFormat="false" ht="12.8" hidden="false" customHeight="false" outlineLevel="0" collapsed="false">
      <c r="B62981" s="0" t="s">
        <v>14</v>
      </c>
      <c r="C62981" s="0" t="s">
        <v>1209</v>
      </c>
      <c r="D62981" s="0" t="s">
        <v>21558</v>
      </c>
      <c r="E62981" s="0" t="s">
        <v>2677</v>
      </c>
      <c r="F62981" s="0" t="s">
        <v>2677</v>
      </c>
    </row>
    <row r="62982" customFormat="false" ht="12.8" hidden="false" customHeight="false" outlineLevel="0" collapsed="false">
      <c r="B62982" s="0" t="s">
        <v>124</v>
      </c>
      <c r="D62982" s="0" t="s">
        <v>1761</v>
      </c>
      <c r="E62982" s="0" t="s">
        <v>1761</v>
      </c>
      <c r="F62982" s="0" t="s">
        <v>1761</v>
      </c>
    </row>
    <row r="62984" customFormat="false" ht="12.8" hidden="false" customHeight="false" outlineLevel="0" collapsed="false">
      <c r="A62984" s="0" t="s">
        <v>21559</v>
      </c>
      <c r="B62984" s="0" t="str">
        <f aca="false">HYPERLINK("https://lindat.mff.cuni.cz/services/teitok/pdtc10/index.php?action=vallex&amp;frame=v-w7583f4", "vést (v-w7583f4)")</f>
        <v>vést (v-w7583f4)</v>
      </c>
    </row>
    <row r="62985" customFormat="false" ht="12.8" hidden="false" customHeight="false" outlineLevel="0" collapsed="false">
      <c r="B62985" s="0" t="s">
        <v>7</v>
      </c>
      <c r="C62985" s="0" t="s">
        <v>9885</v>
      </c>
      <c r="D62985" s="0" t="s">
        <v>23</v>
      </c>
      <c r="E62985" s="0" t="s">
        <v>23</v>
      </c>
      <c r="F62985" s="0" t="s">
        <v>23</v>
      </c>
    </row>
    <row r="62986" customFormat="false" ht="12.8" hidden="false" customHeight="false" outlineLevel="0" collapsed="false">
      <c r="B62986" s="0" t="s">
        <v>14</v>
      </c>
      <c r="C62986" s="0" t="s">
        <v>21560</v>
      </c>
      <c r="D62986" s="0" t="s">
        <v>4205</v>
      </c>
      <c r="E62986" s="0" t="s">
        <v>4205</v>
      </c>
      <c r="F62986" s="0" t="s">
        <v>4205</v>
      </c>
    </row>
    <row r="62988" customFormat="false" ht="12.8" hidden="false" customHeight="false" outlineLevel="0" collapsed="false">
      <c r="A62988" s="0" t="s">
        <v>21561</v>
      </c>
      <c r="B62988" s="0" t="str">
        <f aca="false">HYPERLINK("https://lindat.mff.cuni.cz/services/teitok/pdtc10/index.php?action=vallex&amp;frame=v-w7583f5", "vést (v-w7583f5)")</f>
        <v>vést (v-w7583f5)</v>
      </c>
    </row>
    <row r="62989" customFormat="false" ht="12.8" hidden="false" customHeight="false" outlineLevel="0" collapsed="false">
      <c r="B62989" s="0" t="s">
        <v>7</v>
      </c>
      <c r="C62989" s="0" t="s">
        <v>21562</v>
      </c>
      <c r="D62989" s="0" t="s">
        <v>1604</v>
      </c>
      <c r="E62989" s="0" t="s">
        <v>1604</v>
      </c>
      <c r="F62989" s="0" t="s">
        <v>1604</v>
      </c>
    </row>
    <row r="62990" customFormat="false" ht="12.8" hidden="false" customHeight="false" outlineLevel="0" collapsed="false">
      <c r="B62990" s="0" t="s">
        <v>14</v>
      </c>
      <c r="C62990" s="0" t="s">
        <v>21563</v>
      </c>
      <c r="D62990" s="0" t="s">
        <v>1606</v>
      </c>
      <c r="E62990" s="0" t="s">
        <v>1606</v>
      </c>
      <c r="F62990" s="0" t="s">
        <v>1606</v>
      </c>
    </row>
    <row r="62992" customFormat="false" ht="12.8" hidden="false" customHeight="false" outlineLevel="0" collapsed="false">
      <c r="A62992" s="0" t="s">
        <v>21564</v>
      </c>
      <c r="B62992" s="0" t="str">
        <f aca="false">HYPERLINK("https://lindat.mff.cuni.cz/services/teitok/pdtc10/index.php?action=vallex&amp;frame=v-w7583f8", "vést (v-w7583f8)")</f>
        <v>vést (v-w7583f8)</v>
      </c>
    </row>
    <row r="62993" customFormat="false" ht="12.8" hidden="false" customHeight="false" outlineLevel="0" collapsed="false">
      <c r="B62993" s="0" t="s">
        <v>7</v>
      </c>
      <c r="C62993" s="0" t="s">
        <v>132</v>
      </c>
      <c r="D62993" s="0" t="s">
        <v>10527</v>
      </c>
      <c r="E62993" s="0" t="s">
        <v>10527</v>
      </c>
      <c r="F62993" s="0" t="s">
        <v>10527</v>
      </c>
    </row>
    <row r="62994" customFormat="false" ht="12.8" hidden="false" customHeight="false" outlineLevel="0" collapsed="false">
      <c r="B62994" s="0" t="s">
        <v>14</v>
      </c>
      <c r="C62994" s="0" t="s">
        <v>3816</v>
      </c>
      <c r="D62994" s="0" t="s">
        <v>25</v>
      </c>
      <c r="E62994" s="0" t="s">
        <v>25</v>
      </c>
      <c r="F62994" s="0" t="s">
        <v>25</v>
      </c>
    </row>
    <row r="62996" customFormat="false" ht="12.8" hidden="false" customHeight="false" outlineLevel="0" collapsed="false">
      <c r="A62996" s="0" t="s">
        <v>21565</v>
      </c>
      <c r="B62996" s="0" t="str">
        <f aca="false">HYPERLINK("https://lindat.mff.cuni.cz/services/teitok/pdtc10/index.php?action=vallex&amp;frame=v-w7583f10", "vést (v-w7583f10)")</f>
        <v>vést (v-w7583f10)</v>
      </c>
    </row>
    <row r="62997" customFormat="false" ht="12.8" hidden="false" customHeight="false" outlineLevel="0" collapsed="false">
      <c r="B62997" s="0" t="s">
        <v>7</v>
      </c>
      <c r="C62997" s="0" t="s">
        <v>10431</v>
      </c>
    </row>
    <row r="62998" customFormat="false" ht="12.8" hidden="false" customHeight="false" outlineLevel="0" collapsed="false">
      <c r="B62998" s="0" t="s">
        <v>14</v>
      </c>
      <c r="C62998" s="0" t="s">
        <v>152</v>
      </c>
    </row>
    <row r="63000" customFormat="false" ht="12.8" hidden="false" customHeight="false" outlineLevel="0" collapsed="false">
      <c r="A63000" s="0" t="s">
        <v>21566</v>
      </c>
      <c r="B63000" s="0" t="str">
        <f aca="false">HYPERLINK("https://lindat.mff.cuni.cz/services/teitok/pdtc10/index.php?action=vallex&amp;frame=v-w7583f14", "vést (v-w7583f14)")</f>
        <v>vést (v-w7583f14)</v>
      </c>
    </row>
    <row r="63001" customFormat="false" ht="12.8" hidden="false" customHeight="false" outlineLevel="0" collapsed="false">
      <c r="B63001" s="0" t="s">
        <v>7</v>
      </c>
      <c r="C63001" s="0" t="s">
        <v>3918</v>
      </c>
      <c r="D63001" s="0" t="s">
        <v>460</v>
      </c>
      <c r="E63001" s="0" t="s">
        <v>460</v>
      </c>
      <c r="F63001" s="0" t="s">
        <v>460</v>
      </c>
    </row>
    <row r="63002" customFormat="false" ht="12.8" hidden="false" customHeight="false" outlineLevel="0" collapsed="false">
      <c r="B63002" s="0" t="s">
        <v>14</v>
      </c>
      <c r="C63002" s="0" t="s">
        <v>5444</v>
      </c>
      <c r="D63002" s="0" t="s">
        <v>1315</v>
      </c>
      <c r="E63002" s="0" t="s">
        <v>1315</v>
      </c>
      <c r="F63002" s="0" t="s">
        <v>1315</v>
      </c>
    </row>
    <row r="63004" customFormat="false" ht="12.8" hidden="false" customHeight="false" outlineLevel="0" collapsed="false">
      <c r="A63004" s="0" t="s">
        <v>21567</v>
      </c>
      <c r="B63004" s="0" t="str">
        <f aca="false">HYPERLINK("https://lindat.mff.cuni.cz/services/teitok/pdtc10/index.php?action=vallex&amp;frame=v-w7583f23_ZU", "vést (v-w7583f23_ZU)")</f>
        <v>vést (v-w7583f23_ZU)</v>
      </c>
    </row>
    <row r="63005" customFormat="false" ht="12.8" hidden="false" customHeight="false" outlineLevel="0" collapsed="false">
      <c r="B63005" s="0" t="s">
        <v>7</v>
      </c>
      <c r="C63005" s="0" t="s">
        <v>354</v>
      </c>
      <c r="D63005" s="0" t="s">
        <v>354</v>
      </c>
      <c r="E63005" s="0" t="s">
        <v>354</v>
      </c>
      <c r="F63005" s="0" t="s">
        <v>354</v>
      </c>
    </row>
    <row r="63006" customFormat="false" ht="12.8" hidden="false" customHeight="false" outlineLevel="0" collapsed="false">
      <c r="B63006" s="0" t="s">
        <v>237</v>
      </c>
      <c r="C63006" s="0" t="s">
        <v>21077</v>
      </c>
      <c r="D63006" s="0" t="s">
        <v>21077</v>
      </c>
      <c r="E63006" s="0" t="s">
        <v>21077</v>
      </c>
      <c r="F63006" s="0" t="s">
        <v>21077</v>
      </c>
    </row>
    <row r="63008" customFormat="false" ht="12.8" hidden="false" customHeight="false" outlineLevel="0" collapsed="false">
      <c r="A63008" s="0" t="s">
        <v>21567</v>
      </c>
      <c r="B63008" s="0" t="str">
        <f aca="false">HYPERLINK("https://lindat.mff.cuni.cz/services/teitok/pdtc10/index.php?action=vallex&amp;frame=v-w7583f11", "vést (v-w7583f11) - substituted with v-w7583f23_ZU")</f>
        <v>vést (v-w7583f11) - substituted with v-w7583f23_ZU</v>
      </c>
    </row>
    <row r="63009" customFormat="false" ht="12.8" hidden="false" customHeight="false" outlineLevel="0" collapsed="false">
      <c r="B63009" s="0" t="s">
        <v>7</v>
      </c>
      <c r="C63009" s="0" t="s">
        <v>21568</v>
      </c>
    </row>
    <row r="63010" customFormat="false" ht="12.8" hidden="false" customHeight="false" outlineLevel="0" collapsed="false">
      <c r="B63010" s="0" t="s">
        <v>237</v>
      </c>
      <c r="C63010" s="0" t="s">
        <v>21569</v>
      </c>
    </row>
    <row r="63012" customFormat="false" ht="12.8" hidden="false" customHeight="false" outlineLevel="0" collapsed="false">
      <c r="A63012" s="0" t="s">
        <v>21570</v>
      </c>
      <c r="B63012" s="0" t="str">
        <f aca="false">HYPERLINK("https://lindat.mff.cuni.cz/services/teitok/pdtc10/index.php?action=vallex&amp;frame=v-w7583f7", "vést (v-w7583f7)")</f>
        <v>vést (v-w7583f7)</v>
      </c>
    </row>
    <row r="63013" customFormat="false" ht="12.8" hidden="false" customHeight="false" outlineLevel="0" collapsed="false">
      <c r="B63013" s="0" t="s">
        <v>7</v>
      </c>
    </row>
    <row r="63014" customFormat="false" ht="12.8" hidden="false" customHeight="false" outlineLevel="0" collapsed="false">
      <c r="B63014" s="0" t="s">
        <v>259</v>
      </c>
    </row>
    <row r="63016" customFormat="false" ht="12.8" hidden="false" customHeight="false" outlineLevel="0" collapsed="false">
      <c r="A63016" s="0" t="s">
        <v>21571</v>
      </c>
      <c r="B63016" s="0" t="str">
        <f aca="false">HYPERLINK("https://lindat.mff.cuni.cz/services/teitok/pdtc10/index.php?action=vallex&amp;frame=v-w7583f6", "vést (v-w7583f6)")</f>
        <v>vést (v-w7583f6)</v>
      </c>
    </row>
    <row r="63017" customFormat="false" ht="12.8" hidden="false" customHeight="false" outlineLevel="0" collapsed="false">
      <c r="B63017" s="0" t="s">
        <v>7</v>
      </c>
      <c r="C63017" s="0" t="s">
        <v>21572</v>
      </c>
      <c r="D63017" s="0" t="s">
        <v>5366</v>
      </c>
      <c r="E63017" s="0" t="s">
        <v>5366</v>
      </c>
      <c r="F63017" s="0" t="s">
        <v>5366</v>
      </c>
    </row>
    <row r="63018" customFormat="false" ht="12.8" hidden="false" customHeight="false" outlineLevel="0" collapsed="false">
      <c r="B63018" s="0" t="s">
        <v>124</v>
      </c>
      <c r="C63018" s="0" t="s">
        <v>21573</v>
      </c>
      <c r="D63018" s="0" t="s">
        <v>2238</v>
      </c>
      <c r="E63018" s="0" t="s">
        <v>2238</v>
      </c>
      <c r="F63018" s="0" t="s">
        <v>2238</v>
      </c>
    </row>
    <row r="63020" customFormat="false" ht="12.8" hidden="false" customHeight="false" outlineLevel="0" collapsed="false">
      <c r="A63020" s="0" t="s">
        <v>21574</v>
      </c>
      <c r="B63020" s="0" t="str">
        <f aca="false">HYPERLINK("https://lindat.mff.cuni.cz/services/teitok/pdtc10/index.php?action=vallex&amp;frame=v-w7583f28_ZU", "vést (v-w7583f28_ZU)")</f>
        <v>vést (v-w7583f28_ZU)</v>
      </c>
    </row>
    <row r="63021" customFormat="false" ht="12.8" hidden="false" customHeight="false" outlineLevel="0" collapsed="false">
      <c r="B63021" s="0" t="s">
        <v>7</v>
      </c>
    </row>
    <row r="63022" customFormat="false" ht="12.8" hidden="false" customHeight="false" outlineLevel="0" collapsed="false">
      <c r="B63022" s="0" t="s">
        <v>21575</v>
      </c>
    </row>
    <row r="63024" customFormat="false" ht="12.8" hidden="false" customHeight="false" outlineLevel="0" collapsed="false">
      <c r="A63024" s="0" t="s">
        <v>21574</v>
      </c>
      <c r="B63024" s="0" t="str">
        <f aca="false">HYPERLINK("https://lindat.mff.cuni.cz/services/teitok/pdtc10/index.php?action=vallex&amp;frame=v-w7583f19_ZU", "vést (v-w7583f19_ZU) - substituted with v-w7583f28_ZU")</f>
        <v>vést (v-w7583f19_ZU) - substituted with v-w7583f28_ZU</v>
      </c>
    </row>
    <row r="63025" customFormat="false" ht="12.8" hidden="false" customHeight="false" outlineLevel="0" collapsed="false">
      <c r="B63025" s="0" t="s">
        <v>7</v>
      </c>
    </row>
    <row r="63026" customFormat="false" ht="12.8" hidden="false" customHeight="false" outlineLevel="0" collapsed="false">
      <c r="B63026" s="0" t="s">
        <v>21575</v>
      </c>
    </row>
    <row r="63028" customFormat="false" ht="12.8" hidden="false" customHeight="false" outlineLevel="0" collapsed="false">
      <c r="A63028" s="0" t="s">
        <v>21574</v>
      </c>
      <c r="B63028" s="0" t="str">
        <f aca="false">HYPERLINK("https://lindat.mff.cuni.cz/services/teitok/pdtc10/index.php?action=vallex&amp;frame=v-w7583f2", "vést (v-w7583f2) - substituted with v-w7583f28_ZU")</f>
        <v>vést (v-w7583f2) - substituted with v-w7583f28_ZU</v>
      </c>
    </row>
    <row r="63029" customFormat="false" ht="12.8" hidden="false" customHeight="false" outlineLevel="0" collapsed="false">
      <c r="B63029" s="0" t="s">
        <v>7</v>
      </c>
      <c r="C63029" s="0" t="s">
        <v>21576</v>
      </c>
    </row>
    <row r="63030" customFormat="false" ht="12.8" hidden="false" customHeight="false" outlineLevel="0" collapsed="false">
      <c r="B63030" s="0" t="s">
        <v>21575</v>
      </c>
      <c r="C63030" s="0" t="s">
        <v>21577</v>
      </c>
    </row>
    <row r="63032" customFormat="false" ht="12.8" hidden="false" customHeight="false" outlineLevel="0" collapsed="false">
      <c r="A63032" s="0" t="s">
        <v>21574</v>
      </c>
      <c r="B63032" s="0" t="str">
        <f aca="false">HYPERLINK("https://lindat.mff.cuni.cz/services/teitok/pdtc10/index.php?action=vallex&amp;frame=v-w7583f20_ZU", "vést (v-w7583f20_ZU) - substituted with v-w7583f28_ZU")</f>
        <v>vést (v-w7583f20_ZU) - substituted with v-w7583f28_ZU</v>
      </c>
    </row>
    <row r="63033" customFormat="false" ht="12.8" hidden="false" customHeight="false" outlineLevel="0" collapsed="false">
      <c r="B63033" s="0" t="s">
        <v>7</v>
      </c>
      <c r="C63033" s="0" t="s">
        <v>21578</v>
      </c>
    </row>
    <row r="63034" customFormat="false" ht="12.8" hidden="false" customHeight="false" outlineLevel="0" collapsed="false">
      <c r="B63034" s="0" t="s">
        <v>21575</v>
      </c>
      <c r="C63034" s="0" t="s">
        <v>21579</v>
      </c>
    </row>
    <row r="63036" customFormat="false" ht="12.8" hidden="false" customHeight="false" outlineLevel="0" collapsed="false">
      <c r="A63036" s="0" t="s">
        <v>21574</v>
      </c>
      <c r="B63036" s="0" t="str">
        <f aca="false">HYPERLINK("https://lindat.mff.cuni.cz/services/teitok/pdtc10/index.php?action=vallex&amp;frame=v-w7583f24_ZU", "vést (v-w7583f24_ZU) - substituted with v-w7583f28_ZU")</f>
        <v>vést (v-w7583f24_ZU) - substituted with v-w7583f28_ZU</v>
      </c>
    </row>
    <row r="63037" customFormat="false" ht="12.8" hidden="false" customHeight="false" outlineLevel="0" collapsed="false">
      <c r="B63037" s="0" t="s">
        <v>7</v>
      </c>
      <c r="C63037" s="0" t="s">
        <v>10431</v>
      </c>
    </row>
    <row r="63038" customFormat="false" ht="12.8" hidden="false" customHeight="false" outlineLevel="0" collapsed="false">
      <c r="B63038" s="0" t="s">
        <v>21575</v>
      </c>
      <c r="C63038" s="0" t="s">
        <v>21580</v>
      </c>
    </row>
    <row r="63040" customFormat="false" ht="12.8" hidden="false" customHeight="false" outlineLevel="0" collapsed="false">
      <c r="A63040" s="0" t="s">
        <v>21574</v>
      </c>
      <c r="B63040" s="0" t="str">
        <f aca="false">HYPERLINK("https://lindat.mff.cuni.cz/services/teitok/pdtc10/index.php?action=vallex&amp;frame=v-w7583f27_ZU", "vést (v-w7583f27_ZU) - substituted with v-w7583f28_ZU")</f>
        <v>vést (v-w7583f27_ZU) - substituted with v-w7583f28_ZU</v>
      </c>
    </row>
    <row r="63041" customFormat="false" ht="12.8" hidden="false" customHeight="false" outlineLevel="0" collapsed="false">
      <c r="B63041" s="0" t="s">
        <v>7</v>
      </c>
    </row>
    <row r="63042" customFormat="false" ht="12.8" hidden="false" customHeight="false" outlineLevel="0" collapsed="false">
      <c r="B63042" s="0" t="s">
        <v>21575</v>
      </c>
    </row>
    <row r="63044" customFormat="false" ht="12.8" hidden="false" customHeight="false" outlineLevel="0" collapsed="false">
      <c r="A63044" s="0" t="s">
        <v>21581</v>
      </c>
      <c r="B63044" s="0" t="str">
        <f aca="false">HYPERLINK("https://lindat.mff.cuni.cz/services/teitok/pdtc10/index.php?action=vallex&amp;frame=v-w7583f18_ZU", "vést (v-w7583f18_ZU)")</f>
        <v>vést (v-w7583f18_ZU)</v>
      </c>
    </row>
    <row r="63045" customFormat="false" ht="12.8" hidden="false" customHeight="false" outlineLevel="0" collapsed="false">
      <c r="B63045" s="0" t="s">
        <v>7</v>
      </c>
    </row>
    <row r="63046" customFormat="false" ht="12.8" hidden="false" customHeight="false" outlineLevel="0" collapsed="false">
      <c r="B63046" s="0" t="s">
        <v>21582</v>
      </c>
    </row>
    <row r="63048" customFormat="false" ht="12.8" hidden="false" customHeight="false" outlineLevel="0" collapsed="false">
      <c r="A63048" s="0" t="s">
        <v>21581</v>
      </c>
      <c r="B63048" s="0" t="str">
        <f aca="false">HYPERLINK("https://lindat.mff.cuni.cz/services/teitok/pdtc10/index.php?action=vallex&amp;frame=v-w7583f13", "vést (v-w7583f13) - substituted with v-w7583f18_ZU")</f>
        <v>vést (v-w7583f13) - substituted with v-w7583f18_ZU</v>
      </c>
    </row>
    <row r="63049" customFormat="false" ht="12.8" hidden="false" customHeight="false" outlineLevel="0" collapsed="false">
      <c r="B63049" s="0" t="s">
        <v>7</v>
      </c>
    </row>
    <row r="63050" customFormat="false" ht="12.8" hidden="false" customHeight="false" outlineLevel="0" collapsed="false">
      <c r="B63050" s="0" t="s">
        <v>21582</v>
      </c>
    </row>
    <row r="63052" customFormat="false" ht="12.8" hidden="false" customHeight="false" outlineLevel="0" collapsed="false">
      <c r="A63052" s="0" t="s">
        <v>21583</v>
      </c>
      <c r="B63052" s="0" t="str">
        <f aca="false">HYPERLINK("https://lindat.mff.cuni.cz/services/teitok/pdtc10/index.php?action=vallex&amp;frame=v-w7583f21_ZU", "vést (v-w7583f21_ZU)")</f>
        <v>vést (v-w7583f21_ZU)</v>
      </c>
    </row>
    <row r="63053" customFormat="false" ht="12.8" hidden="false" customHeight="false" outlineLevel="0" collapsed="false">
      <c r="B63053" s="0" t="s">
        <v>7</v>
      </c>
    </row>
    <row r="63054" customFormat="false" ht="12.8" hidden="false" customHeight="false" outlineLevel="0" collapsed="false">
      <c r="B63054" s="0" t="s">
        <v>21584</v>
      </c>
    </row>
    <row r="63055" customFormat="false" ht="12.8" hidden="false" customHeight="false" outlineLevel="0" collapsed="false">
      <c r="B63055" s="0" t="s">
        <v>363</v>
      </c>
    </row>
    <row r="63056" customFormat="false" ht="12.8" hidden="false" customHeight="false" outlineLevel="0" collapsed="false">
      <c r="B63056" s="0" t="s">
        <v>3546</v>
      </c>
    </row>
    <row r="63058" customFormat="false" ht="12.8" hidden="false" customHeight="false" outlineLevel="0" collapsed="false">
      <c r="A63058" s="0" t="s">
        <v>21583</v>
      </c>
      <c r="B63058" s="0" t="str">
        <f aca="false">HYPERLINK("https://lindat.mff.cuni.cz/services/teitok/pdtc10/index.php?action=vallex&amp;frame=v-w7583f16", "vést (v-w7583f16) - substituted with v-w7583f21_ZU")</f>
        <v>vést (v-w7583f16) - substituted with v-w7583f21_ZU</v>
      </c>
    </row>
    <row r="63059" customFormat="false" ht="12.8" hidden="false" customHeight="false" outlineLevel="0" collapsed="false">
      <c r="B63059" s="0" t="s">
        <v>7</v>
      </c>
    </row>
    <row r="63060" customFormat="false" ht="12.8" hidden="false" customHeight="false" outlineLevel="0" collapsed="false">
      <c r="B63060" s="0" t="s">
        <v>21584</v>
      </c>
    </row>
    <row r="63061" customFormat="false" ht="12.8" hidden="false" customHeight="false" outlineLevel="0" collapsed="false">
      <c r="B63061" s="0" t="s">
        <v>363</v>
      </c>
    </row>
    <row r="63062" customFormat="false" ht="12.8" hidden="false" customHeight="false" outlineLevel="0" collapsed="false">
      <c r="B63062" s="0" t="s">
        <v>3546</v>
      </c>
    </row>
    <row r="63064" customFormat="false" ht="12.8" hidden="false" customHeight="false" outlineLevel="0" collapsed="false">
      <c r="A63064" s="0" t="s">
        <v>21585</v>
      </c>
      <c r="B63064" s="0" t="str">
        <f aca="false">HYPERLINK("https://lindat.mff.cuni.cz/services/teitok/pdtc10/index.php?action=vallex&amp;frame=v-w7583f17", "vést (v-w7583f17)")</f>
        <v>vést (v-w7583f17)</v>
      </c>
    </row>
    <row r="63065" customFormat="false" ht="12.8" hidden="false" customHeight="false" outlineLevel="0" collapsed="false">
      <c r="B63065" s="0" t="s">
        <v>7</v>
      </c>
    </row>
    <row r="63066" customFormat="false" ht="12.8" hidden="false" customHeight="false" outlineLevel="0" collapsed="false">
      <c r="B63066" s="0" t="s">
        <v>21586</v>
      </c>
    </row>
    <row r="63068" customFormat="false" ht="12.8" hidden="false" customHeight="false" outlineLevel="0" collapsed="false">
      <c r="A63068" s="0" t="s">
        <v>21587</v>
      </c>
      <c r="B63068" s="0" t="str">
        <f aca="false">HYPERLINK("https://lindat.mff.cuni.cz/services/teitok/pdtc10/index.php?action=vallex&amp;frame=v-w7583f12", "vést (v-w7583f12)")</f>
        <v>vést (v-w7583f12)</v>
      </c>
    </row>
    <row r="63069" customFormat="false" ht="12.8" hidden="false" customHeight="false" outlineLevel="0" collapsed="false">
      <c r="B63069" s="0" t="s">
        <v>7</v>
      </c>
    </row>
    <row r="63070" customFormat="false" ht="12.8" hidden="false" customHeight="false" outlineLevel="0" collapsed="false">
      <c r="B63070" s="0" t="s">
        <v>10439</v>
      </c>
    </row>
    <row r="63072" customFormat="false" ht="12.8" hidden="false" customHeight="false" outlineLevel="0" collapsed="false">
      <c r="A63072" s="0" t="s">
        <v>21588</v>
      </c>
      <c r="B63072" s="0" t="str">
        <f aca="false">HYPERLINK("https://lindat.mff.cuni.cz/services/teitok/pdtc10/index.php?action=vallex&amp;frame=v-w7583hsa_155", "vést (v-w7583hsa_155)")</f>
        <v>vést (v-w7583hsa_155)</v>
      </c>
    </row>
    <row r="63073" customFormat="false" ht="12.8" hidden="false" customHeight="false" outlineLevel="0" collapsed="false">
      <c r="B63073" s="0" t="s">
        <v>7</v>
      </c>
      <c r="C63073" s="0" t="s">
        <v>21589</v>
      </c>
    </row>
    <row r="63074" customFormat="false" ht="12.8" hidden="false" customHeight="false" outlineLevel="0" collapsed="false">
      <c r="B63074" s="0" t="s">
        <v>124</v>
      </c>
      <c r="C63074" s="0" t="s">
        <v>21573</v>
      </c>
    </row>
    <row r="63076" customFormat="false" ht="12.8" hidden="false" customHeight="false" outlineLevel="0" collapsed="false">
      <c r="A63076" s="0" t="s">
        <v>21590</v>
      </c>
      <c r="B63076" s="0" t="str">
        <f aca="false">HYPERLINK("https://lindat.mff.cuni.cz/services/teitok/pdtc10/index.php?action=vallex&amp;frame=v-w7583f22_ZU", "vést (v-w7583f22_ZU)")</f>
        <v>vést (v-w7583f22_ZU)</v>
      </c>
    </row>
    <row r="63077" customFormat="false" ht="12.8" hidden="false" customHeight="false" outlineLevel="0" collapsed="false">
      <c r="B63077" s="0" t="s">
        <v>7</v>
      </c>
    </row>
    <row r="63078" customFormat="false" ht="12.8" hidden="false" customHeight="false" outlineLevel="0" collapsed="false">
      <c r="B63078" s="0" t="s">
        <v>21591</v>
      </c>
      <c r="C63078" s="0" t="s">
        <v>532</v>
      </c>
    </row>
    <row r="63080" customFormat="false" ht="12.8" hidden="false" customHeight="false" outlineLevel="0" collapsed="false">
      <c r="A63080" s="0" t="s">
        <v>21590</v>
      </c>
      <c r="B63080" s="0" t="str">
        <f aca="false">HYPERLINK("https://lindat.mff.cuni.cz/services/teitok/pdtc10/index.php?action=vallex&amp;frame=v-w7583hsa_156", "vést (v-w7583hsa_156) - substituted with v-w7583f22_ZU")</f>
        <v>vést (v-w7583hsa_156) - substituted with v-w7583f22_ZU</v>
      </c>
    </row>
    <row r="63081" customFormat="false" ht="12.8" hidden="false" customHeight="false" outlineLevel="0" collapsed="false">
      <c r="B63081" s="0" t="s">
        <v>7</v>
      </c>
    </row>
    <row r="63082" customFormat="false" ht="12.8" hidden="false" customHeight="false" outlineLevel="0" collapsed="false">
      <c r="B63082" s="0" t="s">
        <v>21591</v>
      </c>
    </row>
    <row r="63084" customFormat="false" ht="12.8" hidden="false" customHeight="false" outlineLevel="0" collapsed="false">
      <c r="A63084" s="0" t="s">
        <v>21592</v>
      </c>
      <c r="B63084" s="0" t="str">
        <f aca="false">HYPERLINK("https://lindat.mff.cuni.cz/services/teitok/pdtc10/index.php?action=vallex&amp;frame=v-w7583f25_ZU", "vést (v-w7583f25_ZU)")</f>
        <v>vést (v-w7583f25_ZU)</v>
      </c>
    </row>
    <row r="63085" customFormat="false" ht="12.8" hidden="false" customHeight="false" outlineLevel="0" collapsed="false">
      <c r="B63085" s="0" t="s">
        <v>7</v>
      </c>
    </row>
    <row r="63086" customFormat="false" ht="12.8" hidden="false" customHeight="false" outlineLevel="0" collapsed="false">
      <c r="B63086" s="0" t="s">
        <v>1925</v>
      </c>
    </row>
    <row r="63087" customFormat="false" ht="12.8" hidden="false" customHeight="false" outlineLevel="0" collapsed="false">
      <c r="B63087" s="0" t="s">
        <v>363</v>
      </c>
    </row>
    <row r="63089" customFormat="false" ht="12.8" hidden="false" customHeight="false" outlineLevel="0" collapsed="false">
      <c r="A63089" s="0" t="s">
        <v>21592</v>
      </c>
      <c r="B63089" s="0" t="str">
        <f aca="false">HYPERLINK("https://lindat.mff.cuni.cz/services/teitok/pdtc10/index.php?action=vallex&amp;frame=v-w7583hsa_1222", "vést (v-w7583hsa_1222) - substituted with v-w7583f25_ZU")</f>
        <v>vést (v-w7583hsa_1222) - substituted with v-w7583f25_ZU</v>
      </c>
    </row>
    <row r="63090" customFormat="false" ht="12.8" hidden="false" customHeight="false" outlineLevel="0" collapsed="false">
      <c r="B63090" s="0" t="s">
        <v>7</v>
      </c>
    </row>
    <row r="63091" customFormat="false" ht="12.8" hidden="false" customHeight="false" outlineLevel="0" collapsed="false">
      <c r="B63091" s="0" t="s">
        <v>1925</v>
      </c>
    </row>
    <row r="63092" customFormat="false" ht="12.8" hidden="false" customHeight="false" outlineLevel="0" collapsed="false">
      <c r="B63092" s="0" t="s">
        <v>363</v>
      </c>
    </row>
    <row r="63094" customFormat="false" ht="12.8" hidden="false" customHeight="false" outlineLevel="0" collapsed="false">
      <c r="A63094" s="0" t="s">
        <v>21593</v>
      </c>
      <c r="B63094" s="0" t="str">
        <f aca="false">HYPERLINK("https://lindat.mff.cuni.cz/services/teitok/pdtc10/index.php?action=vallex&amp;frame=v-w7583f26_ZU", "vést (v-w7583f26_ZU)")</f>
        <v>vést (v-w7583f26_ZU)</v>
      </c>
    </row>
    <row r="63095" customFormat="false" ht="12.8" hidden="false" customHeight="false" outlineLevel="0" collapsed="false">
      <c r="B63095" s="0" t="s">
        <v>7</v>
      </c>
    </row>
    <row r="63096" customFormat="false" ht="12.8" hidden="false" customHeight="false" outlineLevel="0" collapsed="false">
      <c r="B63096" s="0" t="s">
        <v>21594</v>
      </c>
    </row>
    <row r="63098" customFormat="false" ht="12.8" hidden="false" customHeight="false" outlineLevel="0" collapsed="false">
      <c r="A63098" s="0" t="s">
        <v>21593</v>
      </c>
      <c r="B63098" s="0" t="str">
        <f aca="false">HYPERLINK("https://lindat.mff.cuni.cz/services/teitok/pdtc10/index.php?action=vallex&amp;frame=v-w7583hsa_1225", "vést (v-w7583hsa_1225) - substituted with v-w7583f26_ZU")</f>
        <v>vést (v-w7583hsa_1225) - substituted with v-w7583f26_ZU</v>
      </c>
    </row>
    <row r="63099" customFormat="false" ht="12.8" hidden="false" customHeight="false" outlineLevel="0" collapsed="false">
      <c r="B63099" s="0" t="s">
        <v>7</v>
      </c>
    </row>
    <row r="63100" customFormat="false" ht="12.8" hidden="false" customHeight="false" outlineLevel="0" collapsed="false">
      <c r="B63100" s="0" t="s">
        <v>21594</v>
      </c>
    </row>
    <row r="63102" customFormat="false" ht="12.8" hidden="false" customHeight="false" outlineLevel="0" collapsed="false">
      <c r="A63102" s="0" t="s">
        <v>21595</v>
      </c>
      <c r="B63102" s="0" t="str">
        <f aca="false">HYPERLINK("https://lindat.mff.cuni.cz/services/teitok/pdtc10/index.php?action=vallex&amp;frame=v-w7583hsa_1221", "vést (v-w7583hsa_1221)")</f>
        <v>vést (v-w7583hsa_1221)</v>
      </c>
    </row>
    <row r="63103" customFormat="false" ht="12.8" hidden="false" customHeight="false" outlineLevel="0" collapsed="false">
      <c r="B63103" s="0" t="s">
        <v>7</v>
      </c>
    </row>
    <row r="63104" customFormat="false" ht="12.8" hidden="false" customHeight="false" outlineLevel="0" collapsed="false">
      <c r="B63104" s="0" t="s">
        <v>14</v>
      </c>
    </row>
    <row r="63105" customFormat="false" ht="12.8" hidden="false" customHeight="false" outlineLevel="0" collapsed="false">
      <c r="B63105" s="0" t="s">
        <v>2767</v>
      </c>
    </row>
    <row r="63107" customFormat="false" ht="12.8" hidden="false" customHeight="false" outlineLevel="0" collapsed="false">
      <c r="A63107" s="0" t="s">
        <v>21596</v>
      </c>
      <c r="B63107" s="0" t="str">
        <f aca="false">HYPERLINK("https://lindat.mff.cuni.cz/services/teitok/pdtc10/index.php?action=vallex&amp;frame=v-w7583hsa_1223", "vést (v-w7583hsa_1223)")</f>
        <v>vést (v-w7583hsa_1223)</v>
      </c>
    </row>
    <row r="63108" customFormat="false" ht="12.8" hidden="false" customHeight="false" outlineLevel="0" collapsed="false">
      <c r="B63108" s="0" t="s">
        <v>7</v>
      </c>
    </row>
    <row r="63109" customFormat="false" ht="12.8" hidden="false" customHeight="false" outlineLevel="0" collapsed="false">
      <c r="B63109" s="0" t="s">
        <v>13295</v>
      </c>
    </row>
    <row r="63111" customFormat="false" ht="12.8" hidden="false" customHeight="false" outlineLevel="0" collapsed="false">
      <c r="A63111" s="0" t="s">
        <v>21597</v>
      </c>
      <c r="B63111" s="0" t="str">
        <f aca="false">HYPERLINK("https://lindat.mff.cuni.cz/services/teitok/pdtc10/index.php?action=vallex&amp;frame=v-w7583hsa_1224", "vést (v-w7583hsa_1224)")</f>
        <v>vést (v-w7583hsa_1224)</v>
      </c>
    </row>
    <row r="63112" customFormat="false" ht="12.8" hidden="false" customHeight="false" outlineLevel="0" collapsed="false">
      <c r="B63112" s="0" t="s">
        <v>7</v>
      </c>
    </row>
    <row r="63113" customFormat="false" ht="12.8" hidden="false" customHeight="false" outlineLevel="0" collapsed="false">
      <c r="B63113" s="0" t="s">
        <v>14</v>
      </c>
    </row>
    <row r="63114" customFormat="false" ht="12.8" hidden="false" customHeight="false" outlineLevel="0" collapsed="false">
      <c r="B63114" s="0" t="s">
        <v>11160</v>
      </c>
    </row>
    <row r="63116" customFormat="false" ht="12.8" hidden="false" customHeight="false" outlineLevel="0" collapsed="false">
      <c r="A63116" s="0" t="s">
        <v>21598</v>
      </c>
      <c r="B63116" s="0" t="str">
        <f aca="false">HYPERLINK("https://lindat.mff.cuni.cz/services/teitok/pdtc10/index.php?action=vallex&amp;frame=v-w7585f1", "vést se (v-w7585f1)")</f>
        <v>vést se (v-w7585f1)</v>
      </c>
    </row>
    <row r="63117" customFormat="false" ht="12.8" hidden="false" customHeight="false" outlineLevel="0" collapsed="false">
      <c r="B63117" s="0" t="s">
        <v>603</v>
      </c>
      <c r="C63117" s="0" t="s">
        <v>21599</v>
      </c>
      <c r="D63117" s="0" t="s">
        <v>749</v>
      </c>
      <c r="E63117" s="0" t="s">
        <v>749</v>
      </c>
      <c r="F63117" s="0" t="s">
        <v>749</v>
      </c>
    </row>
    <row r="63118" customFormat="false" ht="12.8" hidden="false" customHeight="false" outlineLevel="0" collapsed="false">
      <c r="B63118" s="0" t="s">
        <v>474</v>
      </c>
      <c r="C63118" s="0" t="s">
        <v>21600</v>
      </c>
      <c r="D63118" s="0" t="s">
        <v>752</v>
      </c>
      <c r="E63118" s="0" t="s">
        <v>752</v>
      </c>
      <c r="F63118" s="0" t="s">
        <v>752</v>
      </c>
    </row>
    <row r="63119" customFormat="false" ht="12.8" hidden="false" customHeight="false" outlineLevel="0" collapsed="false">
      <c r="B63119" s="0" t="s">
        <v>1502</v>
      </c>
      <c r="D63119" s="0" t="s">
        <v>1503</v>
      </c>
      <c r="E63119" s="0" t="s">
        <v>1503</v>
      </c>
      <c r="F63119" s="0" t="s">
        <v>1503</v>
      </c>
    </row>
    <row r="63121" customFormat="false" ht="12.8" hidden="false" customHeight="false" outlineLevel="0" collapsed="false">
      <c r="A63121" s="0" t="s">
        <v>21601</v>
      </c>
      <c r="B63121" s="0" t="str">
        <f aca="false">HYPERLINK("https://lindat.mff.cuni.cz/services/teitok/pdtc10/index.php?action=vallex&amp;frame=v-w7585hsa_2033", "vést se (v-w7585hsa_2033)")</f>
        <v>vést se (v-w7585hsa_2033)</v>
      </c>
    </row>
    <row r="63122" customFormat="false" ht="12.8" hidden="false" customHeight="false" outlineLevel="0" collapsed="false">
      <c r="B63122" s="0" t="s">
        <v>603</v>
      </c>
    </row>
    <row r="63123" customFormat="false" ht="12.8" hidden="false" customHeight="false" outlineLevel="0" collapsed="false">
      <c r="B63123" s="0" t="s">
        <v>3108</v>
      </c>
    </row>
    <row r="63125" customFormat="false" ht="12.8" hidden="false" customHeight="false" outlineLevel="0" collapsed="false">
      <c r="A63125" s="0" t="s">
        <v>21602</v>
      </c>
      <c r="B63125" s="0" t="str">
        <f aca="false">HYPERLINK("https://lindat.mff.cuni.cz/services/teitok/pdtc10/index.php?action=vallex&amp;frame=v-w7586f3_ZU", "vést si (v-w7586f3_ZU)")</f>
        <v>vést si (v-w7586f3_ZU)</v>
      </c>
    </row>
    <row r="63126" customFormat="false" ht="12.8" hidden="false" customHeight="false" outlineLevel="0" collapsed="false">
      <c r="B63126" s="0" t="s">
        <v>7</v>
      </c>
      <c r="C63126" s="0" t="s">
        <v>410</v>
      </c>
      <c r="D63126" s="0" t="s">
        <v>749</v>
      </c>
      <c r="E63126" s="0" t="s">
        <v>749</v>
      </c>
      <c r="F63126" s="0" t="s">
        <v>749</v>
      </c>
    </row>
    <row r="63127" customFormat="false" ht="12.8" hidden="false" customHeight="false" outlineLevel="0" collapsed="false">
      <c r="B63127" s="0" t="s">
        <v>552</v>
      </c>
      <c r="D63127" s="0" t="s">
        <v>11433</v>
      </c>
      <c r="E63127" s="0" t="s">
        <v>11433</v>
      </c>
      <c r="F63127" s="0" t="s">
        <v>11433</v>
      </c>
    </row>
    <row r="63128" customFormat="false" ht="12.8" hidden="false" customHeight="false" outlineLevel="0" collapsed="false">
      <c r="B63128" s="0" t="s">
        <v>474</v>
      </c>
      <c r="C63128" s="0" t="s">
        <v>3452</v>
      </c>
      <c r="D63128" s="0" t="s">
        <v>752</v>
      </c>
      <c r="E63128" s="0" t="s">
        <v>752</v>
      </c>
      <c r="F63128" s="0" t="s">
        <v>752</v>
      </c>
    </row>
    <row r="63129" customFormat="false" ht="12.8" hidden="false" customHeight="false" outlineLevel="0" collapsed="false">
      <c r="B63129" s="0" t="s">
        <v>479</v>
      </c>
      <c r="D63129" s="0" t="s">
        <v>11435</v>
      </c>
      <c r="E63129" s="0" t="s">
        <v>11435</v>
      </c>
      <c r="F63129" s="0" t="s">
        <v>11435</v>
      </c>
    </row>
    <row r="63130" customFormat="false" ht="12.8" hidden="false" customHeight="false" outlineLevel="0" collapsed="false">
      <c r="B63130" s="0" t="s">
        <v>481</v>
      </c>
      <c r="D63130" s="0" t="s">
        <v>11436</v>
      </c>
      <c r="E63130" s="0" t="s">
        <v>11436</v>
      </c>
      <c r="F63130" s="0" t="s">
        <v>11436</v>
      </c>
    </row>
    <row r="63131" customFormat="false" ht="12.8" hidden="false" customHeight="false" outlineLevel="0" collapsed="false">
      <c r="B63131" s="0" t="s">
        <v>483</v>
      </c>
      <c r="D63131" s="0" t="s">
        <v>11437</v>
      </c>
      <c r="E63131" s="0" t="s">
        <v>11437</v>
      </c>
      <c r="F63131" s="0" t="s">
        <v>11437</v>
      </c>
    </row>
    <row r="63133" customFormat="false" ht="12.8" hidden="false" customHeight="false" outlineLevel="0" collapsed="false">
      <c r="A63133" s="0" t="s">
        <v>21602</v>
      </c>
      <c r="B63133" s="0" t="str">
        <f aca="false">HYPERLINK("https://lindat.mff.cuni.cz/services/teitok/pdtc10/index.php?action=vallex&amp;frame=v-w7586f1", "vést si (v-w7586f1) - substituted with v-w7586f3_ZU")</f>
        <v>vést si (v-w7586f1) - substituted with v-w7586f3_ZU</v>
      </c>
    </row>
    <row r="63134" customFormat="false" ht="12.8" hidden="false" customHeight="false" outlineLevel="0" collapsed="false">
      <c r="B63134" s="0" t="s">
        <v>7</v>
      </c>
      <c r="C63134" s="0" t="s">
        <v>21603</v>
      </c>
    </row>
    <row r="63135" customFormat="false" ht="12.8" hidden="false" customHeight="false" outlineLevel="0" collapsed="false">
      <c r="B63135" s="0" t="s">
        <v>552</v>
      </c>
    </row>
    <row r="63136" customFormat="false" ht="12.8" hidden="false" customHeight="false" outlineLevel="0" collapsed="false">
      <c r="B63136" s="0" t="s">
        <v>474</v>
      </c>
      <c r="C63136" s="0" t="s">
        <v>21604</v>
      </c>
    </row>
    <row r="63137" customFormat="false" ht="12.8" hidden="false" customHeight="false" outlineLevel="0" collapsed="false">
      <c r="B63137" s="0" t="s">
        <v>479</v>
      </c>
      <c r="C63137" s="0" t="s">
        <v>21605</v>
      </c>
    </row>
    <row r="63138" customFormat="false" ht="12.8" hidden="false" customHeight="false" outlineLevel="0" collapsed="false">
      <c r="B63138" s="0" t="s">
        <v>481</v>
      </c>
    </row>
    <row r="63139" customFormat="false" ht="12.8" hidden="false" customHeight="false" outlineLevel="0" collapsed="false">
      <c r="B63139" s="0" t="s">
        <v>483</v>
      </c>
    </row>
    <row r="63141" customFormat="false" ht="12.8" hidden="false" customHeight="false" outlineLevel="0" collapsed="false">
      <c r="A63141" s="0" t="s">
        <v>21606</v>
      </c>
      <c r="B63141" s="0" t="str">
        <f aca="false">HYPERLINK("https://lindat.mff.cuni.cz/services/teitok/pdtc10/index.php?action=vallex&amp;frame=v-w7586f2", "vést si (v-w7586f2)")</f>
        <v>vést si (v-w7586f2)</v>
      </c>
    </row>
    <row r="63142" customFormat="false" ht="12.8" hidden="false" customHeight="false" outlineLevel="0" collapsed="false">
      <c r="B63142" s="0" t="s">
        <v>7</v>
      </c>
    </row>
    <row r="63143" customFormat="false" ht="12.8" hidden="false" customHeight="false" outlineLevel="0" collapsed="false">
      <c r="B63143" s="0" t="s">
        <v>12142</v>
      </c>
    </row>
    <row r="63145" customFormat="false" ht="12.8" hidden="false" customHeight="false" outlineLevel="0" collapsed="false">
      <c r="A63145" s="0" t="s">
        <v>21607</v>
      </c>
      <c r="B63145" s="0" t="str">
        <f aca="false">HYPERLINK("https://lindat.mff.cuni.cz/services/teitok/pdtc10/index.php?action=vallex&amp;frame=v-w7598f1", "vévodit (v-w7598f1)")</f>
        <v>vévodit (v-w7598f1)</v>
      </c>
    </row>
    <row r="63146" customFormat="false" ht="12.8" hidden="false" customHeight="false" outlineLevel="0" collapsed="false">
      <c r="B63146" s="0" t="s">
        <v>7</v>
      </c>
      <c r="C63146" s="0" t="s">
        <v>1154</v>
      </c>
      <c r="D63146" s="0" t="s">
        <v>1999</v>
      </c>
      <c r="E63146" s="0" t="s">
        <v>1999</v>
      </c>
      <c r="F63146" s="0" t="s">
        <v>1999</v>
      </c>
    </row>
    <row r="63147" customFormat="false" ht="12.8" hidden="false" customHeight="false" outlineLevel="0" collapsed="false">
      <c r="B63147" s="0" t="s">
        <v>2000</v>
      </c>
      <c r="C63147" s="0" t="s">
        <v>195</v>
      </c>
      <c r="D63147" s="0" t="s">
        <v>1278</v>
      </c>
      <c r="E63147" s="0" t="s">
        <v>1278</v>
      </c>
      <c r="F63147" s="0" t="s">
        <v>1278</v>
      </c>
    </row>
    <row r="63149" customFormat="false" ht="12.8" hidden="false" customHeight="false" outlineLevel="0" collapsed="false">
      <c r="A63149" s="0" t="s">
        <v>21608</v>
      </c>
      <c r="B63149" s="0" t="str">
        <f aca="false">HYPERLINK("https://lindat.mff.cuni.cz/services/teitok/pdtc10/index.php?action=vallex&amp;frame=v-w7602f1", "vézt (v-w7602f1)")</f>
        <v>vézt (v-w7602f1)</v>
      </c>
    </row>
    <row r="63150" customFormat="false" ht="12.8" hidden="false" customHeight="false" outlineLevel="0" collapsed="false">
      <c r="B63150" s="0" t="s">
        <v>7</v>
      </c>
      <c r="C63150" s="0" t="s">
        <v>504</v>
      </c>
      <c r="D63150" s="0" t="s">
        <v>8678</v>
      </c>
      <c r="E63150" s="0" t="s">
        <v>8678</v>
      </c>
      <c r="F63150" s="0" t="s">
        <v>8678</v>
      </c>
    </row>
    <row r="63151" customFormat="false" ht="12.8" hidden="false" customHeight="false" outlineLevel="0" collapsed="false">
      <c r="B63151" s="0" t="s">
        <v>14</v>
      </c>
      <c r="C63151" s="0" t="s">
        <v>152</v>
      </c>
      <c r="D63151" s="0" t="s">
        <v>8679</v>
      </c>
      <c r="E63151" s="0" t="s">
        <v>8679</v>
      </c>
      <c r="F63151" s="0" t="s">
        <v>8679</v>
      </c>
    </row>
    <row r="63153" customFormat="false" ht="12.8" hidden="false" customHeight="false" outlineLevel="0" collapsed="false">
      <c r="A63153" s="0" t="s">
        <v>21609</v>
      </c>
      <c r="B63153" s="0" t="str">
        <f aca="false">HYPERLINK("https://lindat.mff.cuni.cz/services/teitok/pdtc10/index.php?action=vallex&amp;frame=v-w7603f1", "vézt se (v-w7603f1)")</f>
        <v>vézt se (v-w7603f1)</v>
      </c>
    </row>
    <row r="63154" customFormat="false" ht="12.8" hidden="false" customHeight="false" outlineLevel="0" collapsed="false">
      <c r="B63154" s="0" t="s">
        <v>7</v>
      </c>
    </row>
    <row r="63156" customFormat="false" ht="12.8" hidden="false" customHeight="false" outlineLevel="0" collapsed="false">
      <c r="A63156" s="0" t="s">
        <v>21610</v>
      </c>
      <c r="B63156" s="0" t="str">
        <f aca="false">HYPERLINK("https://lindat.mff.cuni.cz/services/teitok/pdtc10/index.php?action=vallex&amp;frame=v-w7603f2", "vézt se (v-w7603f2)")</f>
        <v>vézt se (v-w7603f2)</v>
      </c>
    </row>
    <row r="63157" customFormat="false" ht="12.8" hidden="false" customHeight="false" outlineLevel="0" collapsed="false">
      <c r="B63157" s="0" t="s">
        <v>7</v>
      </c>
      <c r="C63157" s="0" t="s">
        <v>569</v>
      </c>
    </row>
    <row r="63159" customFormat="false" ht="12.8" hidden="false" customHeight="false" outlineLevel="0" collapsed="false">
      <c r="A63159" s="0" t="s">
        <v>21611</v>
      </c>
      <c r="B63159" s="0" t="str">
        <f aca="false">HYPERLINK("https://lindat.mff.cuni.cz/services/teitok/pdtc10/index.php?action=vallex&amp;frame=v-w7610f1", "vídat (v-w7610f1)")</f>
        <v>vídat (v-w7610f1)</v>
      </c>
    </row>
    <row r="63160" customFormat="false" ht="12.8" hidden="false" customHeight="false" outlineLevel="0" collapsed="false">
      <c r="B63160" s="0" t="s">
        <v>7</v>
      </c>
      <c r="C63160" s="0" t="s">
        <v>845</v>
      </c>
      <c r="D63160" s="0" t="s">
        <v>16156</v>
      </c>
      <c r="E63160" s="0" t="s">
        <v>16156</v>
      </c>
      <c r="F63160" s="0" t="s">
        <v>16156</v>
      </c>
    </row>
    <row r="63161" customFormat="false" ht="12.8" hidden="false" customHeight="false" outlineLevel="0" collapsed="false">
      <c r="B63161" s="0" t="s">
        <v>14</v>
      </c>
      <c r="C63161" s="0" t="s">
        <v>2726</v>
      </c>
      <c r="D63161" s="0" t="s">
        <v>16158</v>
      </c>
      <c r="E63161" s="0" t="s">
        <v>16158</v>
      </c>
      <c r="F63161" s="0" t="s">
        <v>16158</v>
      </c>
    </row>
    <row r="63163" customFormat="false" ht="12.8" hidden="false" customHeight="false" outlineLevel="0" collapsed="false">
      <c r="A63163" s="0" t="s">
        <v>21612</v>
      </c>
      <c r="B63163" s="0" t="str">
        <f aca="false">HYPERLINK("https://lindat.mff.cuni.cz/services/teitok/pdtc10/index.php?action=vallex&amp;frame=v-whsa_119hsa_120", "vídat se (v-whsa_119hsa_120)")</f>
        <v>vídat se (v-whsa_119hsa_120)</v>
      </c>
    </row>
    <row r="63164" customFormat="false" ht="12.8" hidden="false" customHeight="false" outlineLevel="0" collapsed="false">
      <c r="B63164" s="0" t="s">
        <v>7</v>
      </c>
    </row>
    <row r="63165" customFormat="false" ht="12.8" hidden="false" customHeight="false" outlineLevel="0" collapsed="false">
      <c r="B63165" s="0" t="s">
        <v>548</v>
      </c>
    </row>
    <row r="63167" customFormat="false" ht="12.8" hidden="false" customHeight="false" outlineLevel="0" collapsed="false">
      <c r="A63167" s="0" t="s">
        <v>21613</v>
      </c>
      <c r="B63167" s="0" t="str">
        <f aca="false">HYPERLINK("https://lindat.mff.cuni.cz/services/teitok/pdtc10/index.php?action=vallex&amp;frame=v-w12284_ZUf1_ZU", "vídávat (v-w12284_ZUf1_ZU)")</f>
        <v>vídávat (v-w12284_ZUf1_ZU)</v>
      </c>
    </row>
    <row r="63168" customFormat="false" ht="12.8" hidden="false" customHeight="false" outlineLevel="0" collapsed="false">
      <c r="B63168" s="0" t="s">
        <v>7</v>
      </c>
    </row>
    <row r="63169" customFormat="false" ht="12.8" hidden="false" customHeight="false" outlineLevel="0" collapsed="false">
      <c r="B63169" s="0" t="s">
        <v>14</v>
      </c>
    </row>
    <row r="63171" customFormat="false" ht="12.8" hidden="false" customHeight="false" outlineLevel="0" collapsed="false">
      <c r="A63171" s="0" t="s">
        <v>21614</v>
      </c>
      <c r="B63171" s="0" t="str">
        <f aca="false">HYPERLINK("https://lindat.mff.cuni.cz/services/teitok/pdtc10/index.php?action=vallex&amp;frame=v-whsa_1207hsa_1208", "vídávat se (v-whsa_1207hsa_1208)")</f>
        <v>vídávat se (v-whsa_1207hsa_1208)</v>
      </c>
    </row>
    <row r="63172" customFormat="false" ht="12.8" hidden="false" customHeight="false" outlineLevel="0" collapsed="false">
      <c r="B63172" s="0" t="s">
        <v>7</v>
      </c>
    </row>
    <row r="63173" customFormat="false" ht="12.8" hidden="false" customHeight="false" outlineLevel="0" collapsed="false">
      <c r="B63173" s="0" t="s">
        <v>548</v>
      </c>
    </row>
    <row r="63175" customFormat="false" ht="12.8" hidden="false" customHeight="false" outlineLevel="0" collapsed="false">
      <c r="A63175" s="0" t="s">
        <v>21615</v>
      </c>
      <c r="B63175" s="0" t="str">
        <f aca="false">HYPERLINK("https://lindat.mff.cuni.cz/services/teitok/pdtc10/index.php?action=vallex&amp;frame=v-w7623f4", "vítat (v-w7623f4)")</f>
        <v>vítat (v-w7623f4)</v>
      </c>
    </row>
    <row r="63176" customFormat="false" ht="12.8" hidden="false" customHeight="false" outlineLevel="0" collapsed="false">
      <c r="B63176" s="0" t="s">
        <v>7</v>
      </c>
    </row>
    <row r="63177" customFormat="false" ht="12.8" hidden="false" customHeight="false" outlineLevel="0" collapsed="false">
      <c r="B63177" s="0" t="s">
        <v>548</v>
      </c>
    </row>
    <row r="63178" customFormat="false" ht="12.8" hidden="false" customHeight="false" outlineLevel="0" collapsed="false">
      <c r="B63178" s="0" t="s">
        <v>1252</v>
      </c>
    </row>
    <row r="63180" customFormat="false" ht="12.8" hidden="false" customHeight="false" outlineLevel="0" collapsed="false">
      <c r="A63180" s="0" t="s">
        <v>21616</v>
      </c>
      <c r="B63180" s="0" t="str">
        <f aca="false">HYPERLINK("https://lindat.mff.cuni.cz/services/teitok/pdtc10/index.php?action=vallex&amp;frame=v-w7623f3", "vítat (v-w7623f3)")</f>
        <v>vítat (v-w7623f3)</v>
      </c>
    </row>
    <row r="63181" customFormat="false" ht="12.8" hidden="false" customHeight="false" outlineLevel="0" collapsed="false">
      <c r="B63181" s="0" t="s">
        <v>7</v>
      </c>
      <c r="C63181" s="0" t="s">
        <v>8111</v>
      </c>
    </row>
    <row r="63182" customFormat="false" ht="12.8" hidden="false" customHeight="false" outlineLevel="0" collapsed="false">
      <c r="B63182" s="0" t="s">
        <v>54</v>
      </c>
      <c r="C63182" s="0" t="s">
        <v>452</v>
      </c>
    </row>
    <row r="63184" customFormat="false" ht="12.8" hidden="false" customHeight="false" outlineLevel="0" collapsed="false">
      <c r="A63184" s="0" t="s">
        <v>21617</v>
      </c>
      <c r="B63184" s="0" t="str">
        <f aca="false">HYPERLINK("https://lindat.mff.cuni.cz/services/teitok/pdtc10/index.php?action=vallex&amp;frame=v-w7623f1", "vítat (v-w7623f1)")</f>
        <v>vítat (v-w7623f1)</v>
      </c>
    </row>
    <row r="63185" customFormat="false" ht="12.8" hidden="false" customHeight="false" outlineLevel="0" collapsed="false">
      <c r="B63185" s="0" t="s">
        <v>7</v>
      </c>
      <c r="C63185" s="0" t="s">
        <v>3051</v>
      </c>
      <c r="D63185" s="0" t="s">
        <v>1874</v>
      </c>
      <c r="E63185" s="0" t="s">
        <v>1874</v>
      </c>
      <c r="F63185" s="0" t="s">
        <v>1874</v>
      </c>
    </row>
    <row r="63186" customFormat="false" ht="12.8" hidden="false" customHeight="false" outlineLevel="0" collapsed="false">
      <c r="B63186" s="0" t="s">
        <v>14</v>
      </c>
      <c r="C63186" s="0" t="s">
        <v>1278</v>
      </c>
      <c r="D63186" s="0" t="s">
        <v>2641</v>
      </c>
      <c r="E63186" s="0" t="s">
        <v>2641</v>
      </c>
      <c r="F63186" s="0" t="s">
        <v>2641</v>
      </c>
    </row>
    <row r="63188" customFormat="false" ht="12.8" hidden="false" customHeight="false" outlineLevel="0" collapsed="false">
      <c r="A63188" s="0" t="s">
        <v>21618</v>
      </c>
      <c r="B63188" s="0" t="str">
        <f aca="false">HYPERLINK("https://lindat.mff.cuni.cz/services/teitok/pdtc10/index.php?action=vallex&amp;frame=v-w7623f2", "vítat (v-w7623f2)")</f>
        <v>vítat (v-w7623f2)</v>
      </c>
    </row>
    <row r="63189" customFormat="false" ht="12.8" hidden="false" customHeight="false" outlineLevel="0" collapsed="false">
      <c r="B63189" s="0" t="s">
        <v>7</v>
      </c>
      <c r="D63189" s="0" t="s">
        <v>1874</v>
      </c>
      <c r="E63189" s="0" t="s">
        <v>1874</v>
      </c>
      <c r="F63189" s="0" t="s">
        <v>1874</v>
      </c>
    </row>
    <row r="63191" customFormat="false" ht="12.8" hidden="false" customHeight="false" outlineLevel="0" collapsed="false">
      <c r="A63191" s="0" t="s">
        <v>21619</v>
      </c>
      <c r="B63191" s="0" t="str">
        <f aca="false">HYPERLINK("https://lindat.mff.cuni.cz/services/teitok/pdtc10/index.php?action=vallex&amp;frame=v-w7625f1", "vítězit (v-w7625f1)")</f>
        <v>vítězit (v-w7625f1)</v>
      </c>
    </row>
    <row r="63192" customFormat="false" ht="12.8" hidden="false" customHeight="false" outlineLevel="0" collapsed="false">
      <c r="B63192" s="0" t="s">
        <v>7</v>
      </c>
      <c r="C63192" s="0" t="s">
        <v>2530</v>
      </c>
      <c r="D63192" s="0" t="s">
        <v>91</v>
      </c>
      <c r="E63192" s="0" t="s">
        <v>91</v>
      </c>
      <c r="F63192" s="0" t="s">
        <v>91</v>
      </c>
    </row>
    <row r="63193" customFormat="false" ht="12.8" hidden="false" customHeight="false" outlineLevel="0" collapsed="false">
      <c r="B63193" s="0" t="s">
        <v>706</v>
      </c>
      <c r="C63193" s="0" t="s">
        <v>1210</v>
      </c>
      <c r="D63193" s="0" t="s">
        <v>6697</v>
      </c>
      <c r="E63193" s="0" t="s">
        <v>6697</v>
      </c>
      <c r="F63193" s="0" t="s">
        <v>6697</v>
      </c>
    </row>
    <row r="63194" customFormat="false" ht="12.8" hidden="false" customHeight="false" outlineLevel="0" collapsed="false">
      <c r="B63194" s="0" t="s">
        <v>21620</v>
      </c>
    </row>
    <row r="63196" customFormat="false" ht="12.8" hidden="false" customHeight="false" outlineLevel="0" collapsed="false">
      <c r="A63196" s="0" t="s">
        <v>21621</v>
      </c>
      <c r="B63196" s="0" t="str">
        <f aca="false">HYPERLINK("https://lindat.mff.cuni.cz/services/teitok/pdtc10/index.php?action=vallex&amp;frame=v-w10080f3", "vířit (v-w10080f3)")</f>
        <v>vířit (v-w10080f3)</v>
      </c>
    </row>
    <row r="63197" customFormat="false" ht="12.8" hidden="false" customHeight="false" outlineLevel="0" collapsed="false">
      <c r="B63197" s="0" t="s">
        <v>7</v>
      </c>
      <c r="C63197" s="0" t="s">
        <v>184</v>
      </c>
      <c r="D63197" s="0" t="s">
        <v>335</v>
      </c>
      <c r="E63197" s="0" t="s">
        <v>335</v>
      </c>
      <c r="F63197" s="0" t="s">
        <v>335</v>
      </c>
    </row>
    <row r="63198" customFormat="false" ht="12.8" hidden="false" customHeight="false" outlineLevel="0" collapsed="false">
      <c r="B63198" s="0" t="s">
        <v>14</v>
      </c>
      <c r="C63198" s="0" t="s">
        <v>384</v>
      </c>
      <c r="D63198" s="0" t="s">
        <v>78</v>
      </c>
      <c r="E63198" s="0" t="s">
        <v>78</v>
      </c>
      <c r="F63198" s="0" t="s">
        <v>78</v>
      </c>
    </row>
    <row r="63200" customFormat="false" ht="12.8" hidden="false" customHeight="false" outlineLevel="0" collapsed="false">
      <c r="A63200" s="0" t="s">
        <v>21622</v>
      </c>
      <c r="B63200" s="0" t="str">
        <f aca="false">HYPERLINK("https://lindat.mff.cuni.cz/services/teitok/pdtc10/index.php?action=vallex&amp;frame=v-w8452f1", "výt (v-w8452f1)")</f>
        <v>výt (v-w8452f1)</v>
      </c>
    </row>
    <row r="63201" customFormat="false" ht="12.8" hidden="false" customHeight="false" outlineLevel="0" collapsed="false">
      <c r="B63201" s="0" t="s">
        <v>7</v>
      </c>
    </row>
    <row r="63203" customFormat="false" ht="12.8" hidden="false" customHeight="false" outlineLevel="0" collapsed="false">
      <c r="A63203" s="0" t="s">
        <v>21623</v>
      </c>
      <c r="B63203" s="0" t="str">
        <f aca="false">HYPERLINK("https://lindat.mff.cuni.cz/services/teitok/pdtc10/index.php?action=vallex&amp;frame=v-whsa_545hsa_546", "včelařit (v-whsa_545hsa_546)")</f>
        <v>včelařit (v-whsa_545hsa_546)</v>
      </c>
    </row>
    <row r="63204" customFormat="false" ht="12.8" hidden="false" customHeight="false" outlineLevel="0" collapsed="false">
      <c r="B63204" s="0" t="s">
        <v>7</v>
      </c>
    </row>
    <row r="63206" customFormat="false" ht="12.8" hidden="false" customHeight="false" outlineLevel="0" collapsed="false">
      <c r="A63206" s="0" t="s">
        <v>21624</v>
      </c>
      <c r="B63206" s="0" t="str">
        <f aca="false">HYPERLINK("https://lindat.mff.cuni.cz/services/teitok/pdtc10/index.php?action=vallex&amp;frame=v-w11036f2", "včlenit (v-w11036f2)")</f>
        <v>včlenit (v-w11036f2)</v>
      </c>
    </row>
    <row r="63207" customFormat="false" ht="12.8" hidden="false" customHeight="false" outlineLevel="0" collapsed="false">
      <c r="B63207" s="0" t="s">
        <v>7</v>
      </c>
      <c r="C63207" s="0" t="s">
        <v>21625</v>
      </c>
      <c r="D63207" s="0" t="s">
        <v>21626</v>
      </c>
      <c r="E63207" s="0" t="s">
        <v>21626</v>
      </c>
      <c r="F63207" s="0" t="s">
        <v>21626</v>
      </c>
    </row>
    <row r="63208" customFormat="false" ht="12.8" hidden="false" customHeight="false" outlineLevel="0" collapsed="false">
      <c r="B63208" s="0" t="s">
        <v>14</v>
      </c>
      <c r="C63208" s="0" t="s">
        <v>21627</v>
      </c>
      <c r="D63208" s="0" t="s">
        <v>21628</v>
      </c>
      <c r="E63208" s="0" t="s">
        <v>21628</v>
      </c>
      <c r="F63208" s="0" t="s">
        <v>21628</v>
      </c>
    </row>
    <row r="63209" customFormat="false" ht="12.8" hidden="false" customHeight="false" outlineLevel="0" collapsed="false">
      <c r="B63209" s="0" t="s">
        <v>124</v>
      </c>
      <c r="C63209" s="0" t="s">
        <v>13210</v>
      </c>
      <c r="D63209" s="0" t="s">
        <v>21629</v>
      </c>
      <c r="E63209" s="0" t="s">
        <v>21629</v>
      </c>
      <c r="F63209" s="0" t="s">
        <v>21629</v>
      </c>
    </row>
    <row r="63211" customFormat="false" ht="12.8" hidden="false" customHeight="false" outlineLevel="0" collapsed="false">
      <c r="A63211" s="0" t="s">
        <v>21630</v>
      </c>
      <c r="B63211" s="0" t="str">
        <f aca="false">HYPERLINK("https://lindat.mff.cuni.cz/services/teitok/pdtc10/index.php?action=vallex&amp;frame=v-w11447f1", "včlenit se (v-w11447f1)")</f>
        <v>včlenit se (v-w11447f1)</v>
      </c>
    </row>
    <row r="63212" customFormat="false" ht="12.8" hidden="false" customHeight="false" outlineLevel="0" collapsed="false">
      <c r="B63212" s="0" t="s">
        <v>7</v>
      </c>
    </row>
    <row r="63213" customFormat="false" ht="12.8" hidden="false" customHeight="false" outlineLevel="0" collapsed="false">
      <c r="B63213" s="0" t="s">
        <v>124</v>
      </c>
    </row>
    <row r="63215" customFormat="false" ht="12.8" hidden="false" customHeight="false" outlineLevel="0" collapsed="false">
      <c r="A63215" s="0" t="s">
        <v>21631</v>
      </c>
      <c r="B63215" s="0" t="str">
        <f aca="false">HYPERLINK("https://lindat.mff.cuni.cz/services/teitok/pdtc10/index.php?action=vallex&amp;frame=v-w7538f1", "včleňovat (v-w7538f1)")</f>
        <v>včleňovat (v-w7538f1)</v>
      </c>
    </row>
    <row r="63216" customFormat="false" ht="12.8" hidden="false" customHeight="false" outlineLevel="0" collapsed="false">
      <c r="B63216" s="0" t="s">
        <v>7</v>
      </c>
      <c r="D63216" s="0" t="s">
        <v>2235</v>
      </c>
      <c r="E63216" s="0" t="s">
        <v>2235</v>
      </c>
      <c r="F63216" s="0" t="s">
        <v>2235</v>
      </c>
    </row>
    <row r="63217" customFormat="false" ht="12.8" hidden="false" customHeight="false" outlineLevel="0" collapsed="false">
      <c r="B63217" s="0" t="s">
        <v>14</v>
      </c>
      <c r="D63217" s="0" t="s">
        <v>2237</v>
      </c>
      <c r="E63217" s="0" t="s">
        <v>2237</v>
      </c>
      <c r="F63217" s="0" t="s">
        <v>2237</v>
      </c>
    </row>
    <row r="63218" customFormat="false" ht="12.8" hidden="false" customHeight="false" outlineLevel="0" collapsed="false">
      <c r="B63218" s="0" t="s">
        <v>124</v>
      </c>
      <c r="D63218" s="0" t="s">
        <v>2238</v>
      </c>
      <c r="E63218" s="0" t="s">
        <v>2238</v>
      </c>
      <c r="F63218" s="0" t="s">
        <v>2238</v>
      </c>
    </row>
    <row r="63220" customFormat="false" ht="12.8" hidden="false" customHeight="false" outlineLevel="0" collapsed="false">
      <c r="A63220" s="0" t="s">
        <v>21632</v>
      </c>
      <c r="B63220" s="0" t="str">
        <f aca="false">HYPERLINK("https://lindat.mff.cuni.cz/services/teitok/pdtc10/index.php?action=vallex&amp;frame=v-w11425f1", "včleňovat se (v-w11425f1)")</f>
        <v>včleňovat se (v-w11425f1)</v>
      </c>
    </row>
    <row r="63221" customFormat="false" ht="12.8" hidden="false" customHeight="false" outlineLevel="0" collapsed="false">
      <c r="B63221" s="0" t="s">
        <v>7</v>
      </c>
    </row>
    <row r="63222" customFormat="false" ht="12.8" hidden="false" customHeight="false" outlineLevel="0" collapsed="false">
      <c r="B63222" s="0" t="s">
        <v>124</v>
      </c>
    </row>
    <row r="63224" customFormat="false" ht="12.8" hidden="false" customHeight="false" outlineLevel="0" collapsed="false">
      <c r="A63224" s="0" t="s">
        <v>21633</v>
      </c>
      <c r="B63224" s="0" t="str">
        <f aca="false">HYPERLINK("https://lindat.mff.cuni.cz/services/teitok/pdtc10/index.php?action=vallex&amp;frame=v-w7548f1", "vědět (v-w7548f1)")</f>
        <v>vědět (v-w7548f1)</v>
      </c>
    </row>
    <row r="63225" customFormat="false" ht="12.8" hidden="false" customHeight="false" outlineLevel="0" collapsed="false">
      <c r="B63225" s="0" t="s">
        <v>7</v>
      </c>
      <c r="C63225" s="0" t="s">
        <v>21634</v>
      </c>
      <c r="D63225" s="0" t="s">
        <v>2256</v>
      </c>
      <c r="E63225" s="0" t="s">
        <v>2256</v>
      </c>
      <c r="F63225" s="0" t="s">
        <v>2256</v>
      </c>
    </row>
    <row r="63226" customFormat="false" ht="12.8" hidden="false" customHeight="false" outlineLevel="0" collapsed="false">
      <c r="B63226" s="0" t="s">
        <v>21635</v>
      </c>
      <c r="C63226" s="0" t="s">
        <v>21636</v>
      </c>
      <c r="D63226" s="0" t="s">
        <v>2259</v>
      </c>
      <c r="E63226" s="0" t="s">
        <v>2259</v>
      </c>
      <c r="F63226" s="0" t="s">
        <v>2259</v>
      </c>
    </row>
    <row r="63227" customFormat="false" ht="12.8" hidden="false" customHeight="false" outlineLevel="0" collapsed="false">
      <c r="B63227" s="0" t="s">
        <v>2254</v>
      </c>
      <c r="D63227" s="0" t="s">
        <v>2260</v>
      </c>
      <c r="E63227" s="0" t="s">
        <v>2260</v>
      </c>
      <c r="F63227" s="0" t="s">
        <v>2260</v>
      </c>
    </row>
    <row r="63229" customFormat="false" ht="12.8" hidden="false" customHeight="false" outlineLevel="0" collapsed="false">
      <c r="A63229" s="0" t="s">
        <v>21637</v>
      </c>
      <c r="B63229" s="0" t="str">
        <f aca="false">HYPERLINK("https://lindat.mff.cuni.cz/services/teitok/pdtc10/index.php?action=vallex&amp;frame=v-w7548f4", "vědět (v-w7548f4)")</f>
        <v>vědět (v-w7548f4)</v>
      </c>
    </row>
    <row r="63230" customFormat="false" ht="12.8" hidden="false" customHeight="false" outlineLevel="0" collapsed="false">
      <c r="B63230" s="0" t="s">
        <v>7</v>
      </c>
    </row>
    <row r="63231" customFormat="false" ht="12.8" hidden="false" customHeight="false" outlineLevel="0" collapsed="false">
      <c r="B63231" s="0" t="s">
        <v>41</v>
      </c>
    </row>
    <row r="63232" customFormat="false" ht="12.8" hidden="false" customHeight="false" outlineLevel="0" collapsed="false">
      <c r="B63232" s="0" t="s">
        <v>1925</v>
      </c>
    </row>
    <row r="63233" customFormat="false" ht="12.8" hidden="false" customHeight="false" outlineLevel="0" collapsed="false">
      <c r="B63233" s="0" t="s">
        <v>1349</v>
      </c>
    </row>
    <row r="63235" customFormat="false" ht="12.8" hidden="false" customHeight="false" outlineLevel="0" collapsed="false">
      <c r="A63235" s="0" t="s">
        <v>21638</v>
      </c>
      <c r="B63235" s="0" t="str">
        <f aca="false">HYPERLINK("https://lindat.mff.cuni.cz/services/teitok/pdtc10/index.php?action=vallex&amp;frame=v-w7548f5", "vědět (v-w7548f5)")</f>
        <v>vědět (v-w7548f5)</v>
      </c>
    </row>
    <row r="63236" customFormat="false" ht="12.8" hidden="false" customHeight="false" outlineLevel="0" collapsed="false">
      <c r="B63236" s="0" t="s">
        <v>7</v>
      </c>
      <c r="C63236" s="0" t="s">
        <v>21639</v>
      </c>
    </row>
    <row r="63237" customFormat="false" ht="12.8" hidden="false" customHeight="false" outlineLevel="0" collapsed="false">
      <c r="B63237" s="0" t="s">
        <v>14</v>
      </c>
      <c r="C63237" s="0" t="s">
        <v>9513</v>
      </c>
    </row>
    <row r="63239" customFormat="false" ht="12.8" hidden="false" customHeight="false" outlineLevel="0" collapsed="false">
      <c r="A63239" s="0" t="s">
        <v>21640</v>
      </c>
      <c r="B63239" s="0" t="str">
        <f aca="false">HYPERLINK("https://lindat.mff.cuni.cz/services/teitok/pdtc10/index.php?action=vallex&amp;frame=v-w7548f2", "vědět (v-w7548f2)")</f>
        <v>vědět (v-w7548f2)</v>
      </c>
    </row>
    <row r="63240" customFormat="false" ht="12.8" hidden="false" customHeight="false" outlineLevel="0" collapsed="false">
      <c r="B63240" s="0" t="s">
        <v>7</v>
      </c>
      <c r="C63240" s="0" t="s">
        <v>21641</v>
      </c>
      <c r="D63240" s="0" t="s">
        <v>2256</v>
      </c>
      <c r="E63240" s="0" t="s">
        <v>2256</v>
      </c>
      <c r="F63240" s="0" t="s">
        <v>2256</v>
      </c>
    </row>
    <row r="63241" customFormat="false" ht="12.8" hidden="false" customHeight="false" outlineLevel="0" collapsed="false">
      <c r="B63241" s="0" t="s">
        <v>21642</v>
      </c>
      <c r="C63241" s="0" t="s">
        <v>21643</v>
      </c>
      <c r="D63241" s="0" t="s">
        <v>2258</v>
      </c>
      <c r="E63241" s="0" t="s">
        <v>2258</v>
      </c>
      <c r="F63241" s="0" t="s">
        <v>2258</v>
      </c>
    </row>
    <row r="63242" customFormat="false" ht="12.8" hidden="false" customHeight="false" outlineLevel="0" collapsed="false">
      <c r="B63242" s="0" t="s">
        <v>363</v>
      </c>
      <c r="C63242" s="0" t="s">
        <v>21644</v>
      </c>
      <c r="D63242" s="0" t="s">
        <v>2259</v>
      </c>
      <c r="E63242" s="0" t="s">
        <v>2259</v>
      </c>
      <c r="F63242" s="0" t="s">
        <v>2259</v>
      </c>
    </row>
    <row r="63243" customFormat="false" ht="12.8" hidden="false" customHeight="false" outlineLevel="0" collapsed="false">
      <c r="B63243" s="0" t="s">
        <v>2254</v>
      </c>
      <c r="D63243" s="0" t="s">
        <v>2260</v>
      </c>
      <c r="E63243" s="0" t="s">
        <v>2260</v>
      </c>
      <c r="F63243" s="0" t="s">
        <v>2260</v>
      </c>
    </row>
    <row r="63245" customFormat="false" ht="12.8" hidden="false" customHeight="false" outlineLevel="0" collapsed="false">
      <c r="A63245" s="0" t="s">
        <v>21645</v>
      </c>
      <c r="B63245" s="0" t="str">
        <f aca="false">HYPERLINK("https://lindat.mff.cuni.cz/services/teitok/pdtc10/index.php?action=vallex&amp;frame=v-w7548f3", "vědět (v-w7548f3)")</f>
        <v>vědět (v-w7548f3)</v>
      </c>
    </row>
    <row r="63246" customFormat="false" ht="12.8" hidden="false" customHeight="false" outlineLevel="0" collapsed="false">
      <c r="B63246" s="0" t="s">
        <v>7</v>
      </c>
    </row>
    <row r="63247" customFormat="false" ht="12.8" hidden="false" customHeight="false" outlineLevel="0" collapsed="false">
      <c r="B63247" s="0" t="s">
        <v>21646</v>
      </c>
    </row>
    <row r="63248" customFormat="false" ht="12.8" hidden="false" customHeight="false" outlineLevel="0" collapsed="false">
      <c r="B63248" s="0" t="s">
        <v>244</v>
      </c>
    </row>
    <row r="63250" customFormat="false" ht="12.8" hidden="false" customHeight="false" outlineLevel="0" collapsed="false">
      <c r="A63250" s="0" t="s">
        <v>21647</v>
      </c>
      <c r="B63250" s="0" t="str">
        <f aca="false">HYPERLINK("https://lindat.mff.cuni.cz/services/teitok/pdtc10/index.php?action=vallex&amp;frame=v-w7548f6_ZU", "vědět (v-w7548f6_ZU)")</f>
        <v>vědět (v-w7548f6_ZU)</v>
      </c>
    </row>
    <row r="63251" customFormat="false" ht="12.8" hidden="false" customHeight="false" outlineLevel="0" collapsed="false">
      <c r="B63251" s="0" t="s">
        <v>7</v>
      </c>
    </row>
    <row r="63252" customFormat="false" ht="12.8" hidden="false" customHeight="false" outlineLevel="0" collapsed="false">
      <c r="B63252" s="0" t="s">
        <v>21648</v>
      </c>
    </row>
    <row r="63253" customFormat="false" ht="12.8" hidden="false" customHeight="false" outlineLevel="0" collapsed="false">
      <c r="B63253" s="0" t="s">
        <v>2933</v>
      </c>
    </row>
    <row r="63255" customFormat="false" ht="12.8" hidden="false" customHeight="false" outlineLevel="0" collapsed="false">
      <c r="A63255" s="0" t="s">
        <v>21647</v>
      </c>
      <c r="B63255" s="0" t="str">
        <f aca="false">HYPERLINK("https://lindat.mff.cuni.cz/services/teitok/pdtc10/index.php?action=vallex&amp;frame=v-w7548hsa_1957", "vědět (v-w7548hsa_1957) - substituted with v-w7548f6_ZU")</f>
        <v>vědět (v-w7548hsa_1957) - substituted with v-w7548f6_ZU</v>
      </c>
    </row>
    <row r="63256" customFormat="false" ht="12.8" hidden="false" customHeight="false" outlineLevel="0" collapsed="false">
      <c r="B63256" s="0" t="s">
        <v>7</v>
      </c>
    </row>
    <row r="63257" customFormat="false" ht="12.8" hidden="false" customHeight="false" outlineLevel="0" collapsed="false">
      <c r="B63257" s="0" t="s">
        <v>21648</v>
      </c>
    </row>
    <row r="63258" customFormat="false" ht="12.8" hidden="false" customHeight="false" outlineLevel="0" collapsed="false">
      <c r="B63258" s="0" t="s">
        <v>2933</v>
      </c>
    </row>
    <row r="63260" customFormat="false" ht="12.8" hidden="false" customHeight="false" outlineLevel="0" collapsed="false">
      <c r="A63260" s="0" t="s">
        <v>21649</v>
      </c>
      <c r="B63260" s="0" t="str">
        <f aca="false">HYPERLINK("https://lindat.mff.cuni.cz/services/teitok/pdtc10/index.php?action=vallex&amp;frame=v-w7549f1", "vědět si (v-w7549f1)")</f>
        <v>vědět si (v-w7549f1)</v>
      </c>
    </row>
    <row r="63261" customFormat="false" ht="12.8" hidden="false" customHeight="false" outlineLevel="0" collapsed="false">
      <c r="B63261" s="0" t="s">
        <v>7</v>
      </c>
    </row>
    <row r="63262" customFormat="false" ht="12.8" hidden="false" customHeight="false" outlineLevel="0" collapsed="false">
      <c r="B63262" s="0" t="s">
        <v>21650</v>
      </c>
    </row>
    <row r="63263" customFormat="false" ht="12.8" hidden="false" customHeight="false" outlineLevel="0" collapsed="false">
      <c r="B63263" s="0" t="s">
        <v>2871</v>
      </c>
    </row>
    <row r="63265" customFormat="false" ht="12.8" hidden="false" customHeight="false" outlineLevel="0" collapsed="false">
      <c r="A63265" s="0" t="s">
        <v>21651</v>
      </c>
      <c r="B63265" s="0" t="str">
        <f aca="false">HYPERLINK("https://lindat.mff.cuni.cz/services/teitok/pdtc10/index.php?action=vallex&amp;frame=v-w7568f1", "věnovat (v-w7568f1)")</f>
        <v>věnovat (v-w7568f1)</v>
      </c>
    </row>
    <row r="63266" customFormat="false" ht="12.8" hidden="false" customHeight="false" outlineLevel="0" collapsed="false">
      <c r="B63266" s="0" t="s">
        <v>7</v>
      </c>
      <c r="C63266" s="0" t="s">
        <v>21652</v>
      </c>
      <c r="D63266" s="0" t="s">
        <v>19568</v>
      </c>
      <c r="E63266" s="0" t="s">
        <v>21653</v>
      </c>
      <c r="F63266" s="0" t="s">
        <v>21653</v>
      </c>
    </row>
    <row r="63267" customFormat="false" ht="12.8" hidden="false" customHeight="false" outlineLevel="0" collapsed="false">
      <c r="B63267" s="0" t="s">
        <v>14</v>
      </c>
      <c r="C63267" s="0" t="s">
        <v>21654</v>
      </c>
      <c r="D63267" s="0" t="s">
        <v>21655</v>
      </c>
      <c r="E63267" s="0" t="s">
        <v>21656</v>
      </c>
      <c r="F63267" s="0" t="s">
        <v>21656</v>
      </c>
    </row>
    <row r="63268" customFormat="false" ht="12.8" hidden="false" customHeight="false" outlineLevel="0" collapsed="false">
      <c r="B63268" s="0" t="s">
        <v>48</v>
      </c>
      <c r="C63268" s="0" t="s">
        <v>21657</v>
      </c>
      <c r="D63268" s="0" t="s">
        <v>21658</v>
      </c>
      <c r="E63268" s="0" t="s">
        <v>21659</v>
      </c>
      <c r="F63268" s="0" t="s">
        <v>21659</v>
      </c>
    </row>
    <row r="63270" customFormat="false" ht="12.8" hidden="false" customHeight="false" outlineLevel="0" collapsed="false">
      <c r="A63270" s="0" t="s">
        <v>21660</v>
      </c>
      <c r="B63270" s="0" t="str">
        <f aca="false">HYPERLINK("https://lindat.mff.cuni.cz/services/teitok/pdtc10/index.php?action=vallex&amp;frame=v-w7568f3", "věnovat (v-w7568f3)")</f>
        <v>věnovat (v-w7568f3)</v>
      </c>
    </row>
    <row r="63271" customFormat="false" ht="12.8" hidden="false" customHeight="false" outlineLevel="0" collapsed="false">
      <c r="B63271" s="0" t="s">
        <v>7</v>
      </c>
      <c r="C63271" s="0" t="s">
        <v>157</v>
      </c>
    </row>
    <row r="63272" customFormat="false" ht="12.8" hidden="false" customHeight="false" outlineLevel="0" collapsed="false">
      <c r="B63272" s="0" t="s">
        <v>14</v>
      </c>
      <c r="C63272" s="0" t="s">
        <v>21661</v>
      </c>
    </row>
    <row r="63273" customFormat="false" ht="12.8" hidden="false" customHeight="false" outlineLevel="0" collapsed="false">
      <c r="B63273" s="0" t="s">
        <v>48</v>
      </c>
      <c r="C63273" s="0" t="s">
        <v>21662</v>
      </c>
    </row>
    <row r="63275" customFormat="false" ht="12.8" hidden="false" customHeight="false" outlineLevel="0" collapsed="false">
      <c r="A63275" s="0" t="s">
        <v>21663</v>
      </c>
      <c r="B63275" s="0" t="str">
        <f aca="false">HYPERLINK("https://lindat.mff.cuni.cz/services/teitok/pdtc10/index.php?action=vallex&amp;frame=v-w7568hsa_453", "věnovat (v-w7568hsa_453)")</f>
        <v>věnovat (v-w7568hsa_453)</v>
      </c>
    </row>
    <row r="63276" customFormat="false" ht="12.8" hidden="false" customHeight="false" outlineLevel="0" collapsed="false">
      <c r="B63276" s="0" t="s">
        <v>7</v>
      </c>
      <c r="C63276" s="0" t="s">
        <v>21664</v>
      </c>
      <c r="D63276" s="0" t="s">
        <v>21665</v>
      </c>
      <c r="E63276" s="0" t="s">
        <v>21665</v>
      </c>
      <c r="F63276" s="0" t="s">
        <v>21665</v>
      </c>
    </row>
    <row r="63277" customFormat="false" ht="12.8" hidden="false" customHeight="false" outlineLevel="0" collapsed="false">
      <c r="B63277" s="0" t="s">
        <v>21666</v>
      </c>
      <c r="C63277" s="0" t="s">
        <v>21667</v>
      </c>
    </row>
    <row r="63278" customFormat="false" ht="12.8" hidden="false" customHeight="false" outlineLevel="0" collapsed="false">
      <c r="B63278" s="0" t="s">
        <v>10938</v>
      </c>
      <c r="C63278" s="0" t="s">
        <v>21668</v>
      </c>
      <c r="D63278" s="0" t="s">
        <v>15103</v>
      </c>
      <c r="E63278" s="0" t="s">
        <v>15103</v>
      </c>
      <c r="F63278" s="0" t="s">
        <v>15103</v>
      </c>
    </row>
    <row r="63280" customFormat="false" ht="12.8" hidden="false" customHeight="false" outlineLevel="0" collapsed="false">
      <c r="A63280" s="0" t="s">
        <v>21663</v>
      </c>
      <c r="B63280" s="0" t="str">
        <f aca="false">HYPERLINK("https://lindat.mff.cuni.cz/services/teitok/pdtc10/index.php?action=vallex&amp;frame=v-w7568f2", "věnovat (v-w7568f2) - substituted with v-w7568hsa_453")</f>
        <v>věnovat (v-w7568f2) - substituted with v-w7568hsa_453</v>
      </c>
    </row>
    <row r="63281" customFormat="false" ht="12.8" hidden="false" customHeight="false" outlineLevel="0" collapsed="false">
      <c r="B63281" s="0" t="s">
        <v>7</v>
      </c>
      <c r="C63281" s="0" t="s">
        <v>21669</v>
      </c>
    </row>
    <row r="63282" customFormat="false" ht="12.8" hidden="false" customHeight="false" outlineLevel="0" collapsed="false">
      <c r="B63282" s="0" t="s">
        <v>21666</v>
      </c>
      <c r="C63282" s="0" t="s">
        <v>21670</v>
      </c>
    </row>
    <row r="63283" customFormat="false" ht="12.8" hidden="false" customHeight="false" outlineLevel="0" collapsed="false">
      <c r="B63283" s="0" t="s">
        <v>10938</v>
      </c>
      <c r="C63283" s="0" t="s">
        <v>21671</v>
      </c>
    </row>
    <row r="63285" customFormat="false" ht="12.8" hidden="false" customHeight="false" outlineLevel="0" collapsed="false">
      <c r="A63285" s="0" t="s">
        <v>21663</v>
      </c>
      <c r="B63285" s="0" t="str">
        <f aca="false">HYPERLINK("https://lindat.mff.cuni.cz/services/teitok/pdtc10/index.php?action=vallex&amp;frame=v-w7568f4_ZU", "věnovat (v-w7568f4_ZU) - substituted with v-w7568hsa_453")</f>
        <v>věnovat (v-w7568f4_ZU) - substituted with v-w7568hsa_453</v>
      </c>
    </row>
    <row r="63286" customFormat="false" ht="12.8" hidden="false" customHeight="false" outlineLevel="0" collapsed="false">
      <c r="B63286" s="0" t="s">
        <v>7</v>
      </c>
      <c r="C63286" s="0" t="s">
        <v>21672</v>
      </c>
    </row>
    <row r="63287" customFormat="false" ht="12.8" hidden="false" customHeight="false" outlineLevel="0" collapsed="false">
      <c r="B63287" s="0" t="s">
        <v>21666</v>
      </c>
      <c r="C63287" s="0" t="s">
        <v>21673</v>
      </c>
    </row>
    <row r="63288" customFormat="false" ht="12.8" hidden="false" customHeight="false" outlineLevel="0" collapsed="false">
      <c r="B63288" s="0" t="s">
        <v>10938</v>
      </c>
      <c r="C63288" s="0" t="s">
        <v>21674</v>
      </c>
    </row>
    <row r="63290" customFormat="false" ht="12.8" hidden="false" customHeight="false" outlineLevel="0" collapsed="false">
      <c r="A63290" s="0" t="s">
        <v>21675</v>
      </c>
      <c r="B63290" s="0" t="str">
        <f aca="false">HYPERLINK("https://lindat.mff.cuni.cz/services/teitok/pdtc10/index.php?action=vallex&amp;frame=v-w7569f1", "věnovat se (v-w7569f1)")</f>
        <v>věnovat se (v-w7569f1)</v>
      </c>
    </row>
    <row r="63291" customFormat="false" ht="12.8" hidden="false" customHeight="false" outlineLevel="0" collapsed="false">
      <c r="B63291" s="0" t="s">
        <v>7</v>
      </c>
      <c r="C63291" s="0" t="s">
        <v>21676</v>
      </c>
      <c r="D63291" s="0" t="s">
        <v>215</v>
      </c>
      <c r="E63291" s="0" t="s">
        <v>215</v>
      </c>
      <c r="F63291" s="0" t="s">
        <v>215</v>
      </c>
    </row>
    <row r="63292" customFormat="false" ht="12.8" hidden="false" customHeight="false" outlineLevel="0" collapsed="false">
      <c r="B63292" s="0" t="s">
        <v>142</v>
      </c>
      <c r="C63292" s="0" t="s">
        <v>21677</v>
      </c>
      <c r="D63292" s="0" t="s">
        <v>217</v>
      </c>
      <c r="E63292" s="0" t="s">
        <v>217</v>
      </c>
      <c r="F63292" s="0" t="s">
        <v>217</v>
      </c>
    </row>
    <row r="63294" customFormat="false" ht="12.8" hidden="false" customHeight="false" outlineLevel="0" collapsed="false">
      <c r="A63294" s="0" t="s">
        <v>21678</v>
      </c>
      <c r="B63294" s="0" t="str">
        <f aca="false">HYPERLINK("https://lindat.mff.cuni.cz/services/teitok/pdtc10/index.php?action=vallex&amp;frame=v-w10602f2", "věstit (v-w10602f2)")</f>
        <v>věstit (v-w10602f2)</v>
      </c>
    </row>
    <row r="63295" customFormat="false" ht="12.8" hidden="false" customHeight="false" outlineLevel="0" collapsed="false">
      <c r="B63295" s="0" t="s">
        <v>7</v>
      </c>
    </row>
    <row r="63296" customFormat="false" ht="12.8" hidden="false" customHeight="false" outlineLevel="0" collapsed="false">
      <c r="B63296" s="0" t="s">
        <v>1520</v>
      </c>
    </row>
    <row r="63298" customFormat="false" ht="12.8" hidden="false" customHeight="false" outlineLevel="0" collapsed="false">
      <c r="A63298" s="0" t="s">
        <v>21679</v>
      </c>
      <c r="B63298" s="0" t="str">
        <f aca="false">HYPERLINK("https://lindat.mff.cuni.cz/services/teitok/pdtc10/index.php?action=vallex&amp;frame=v-w10602f5", "věstit (v-w10602f5)")</f>
        <v>věstit (v-w10602f5)</v>
      </c>
    </row>
    <row r="63299" customFormat="false" ht="12.8" hidden="false" customHeight="false" outlineLevel="0" collapsed="false">
      <c r="B63299" s="0" t="s">
        <v>7</v>
      </c>
      <c r="C63299" s="0" t="s">
        <v>335</v>
      </c>
      <c r="D63299" s="0" t="s">
        <v>2266</v>
      </c>
      <c r="E63299" s="0" t="s">
        <v>2266</v>
      </c>
      <c r="F63299" s="0" t="s">
        <v>2266</v>
      </c>
    </row>
    <row r="63300" customFormat="false" ht="12.8" hidden="false" customHeight="false" outlineLevel="0" collapsed="false">
      <c r="B63300" s="0" t="s">
        <v>21680</v>
      </c>
      <c r="C63300" s="0" t="s">
        <v>1321</v>
      </c>
      <c r="D63300" s="0" t="s">
        <v>21681</v>
      </c>
      <c r="E63300" s="0" t="s">
        <v>21681</v>
      </c>
      <c r="F63300" s="0" t="s">
        <v>21681</v>
      </c>
    </row>
    <row r="63301" customFormat="false" ht="12.8" hidden="false" customHeight="false" outlineLevel="0" collapsed="false">
      <c r="B63301" s="0" t="s">
        <v>666</v>
      </c>
    </row>
    <row r="63303" customFormat="false" ht="12.8" hidden="false" customHeight="false" outlineLevel="0" collapsed="false">
      <c r="A63303" s="0" t="s">
        <v>21682</v>
      </c>
      <c r="B63303" s="0" t="str">
        <f aca="false">HYPERLINK("https://lindat.mff.cuni.cz/services/teitok/pdtc10/index.php?action=vallex&amp;frame=v-w7594f1", "větrat (v-w7594f1)")</f>
        <v>větrat (v-w7594f1)</v>
      </c>
    </row>
    <row r="63304" customFormat="false" ht="12.8" hidden="false" customHeight="false" outlineLevel="0" collapsed="false">
      <c r="B63304" s="0" t="s">
        <v>7</v>
      </c>
    </row>
    <row r="63305" customFormat="false" ht="12.8" hidden="false" customHeight="false" outlineLevel="0" collapsed="false">
      <c r="B63305" s="0" t="s">
        <v>297</v>
      </c>
    </row>
    <row r="63307" customFormat="false" ht="12.8" hidden="false" customHeight="false" outlineLevel="0" collapsed="false">
      <c r="A63307" s="0" t="s">
        <v>21683</v>
      </c>
      <c r="B63307" s="0" t="str">
        <f aca="false">HYPERLINK("https://lindat.mff.cuni.cz/services/teitok/pdtc10/index.php?action=vallex&amp;frame=v-w7594f2", "větrat (v-w7594f2)")</f>
        <v>větrat (v-w7594f2)</v>
      </c>
    </row>
    <row r="63308" customFormat="false" ht="12.8" hidden="false" customHeight="false" outlineLevel="0" collapsed="false">
      <c r="B63308" s="0" t="s">
        <v>7</v>
      </c>
    </row>
    <row r="63310" customFormat="false" ht="12.8" hidden="false" customHeight="false" outlineLevel="0" collapsed="false">
      <c r="A63310" s="0" t="s">
        <v>21684</v>
      </c>
      <c r="B63310" s="0" t="str">
        <f aca="false">HYPERLINK("https://lindat.mff.cuni.cz/services/teitok/pdtc10/index.php?action=vallex&amp;frame=v-w10603f3", "větřit (v-w10603f3)")</f>
        <v>větřit (v-w10603f3)</v>
      </c>
    </row>
    <row r="63311" customFormat="false" ht="12.8" hidden="false" customHeight="false" outlineLevel="0" collapsed="false">
      <c r="B63311" s="0" t="s">
        <v>7</v>
      </c>
    </row>
    <row r="63312" customFormat="false" ht="12.8" hidden="false" customHeight="false" outlineLevel="0" collapsed="false">
      <c r="B63312" s="0" t="s">
        <v>14</v>
      </c>
    </row>
    <row r="63314" customFormat="false" ht="12.8" hidden="false" customHeight="false" outlineLevel="0" collapsed="false">
      <c r="A63314" s="0" t="s">
        <v>21685</v>
      </c>
      <c r="B63314" s="0" t="str">
        <f aca="false">HYPERLINK("https://lindat.mff.cuni.cz/services/teitok/pdtc10/index.php?action=vallex&amp;frame=v-w7599f1", "vězet (v-w7599f1)")</f>
        <v>vězet (v-w7599f1)</v>
      </c>
    </row>
    <row r="63315" customFormat="false" ht="12.8" hidden="false" customHeight="false" outlineLevel="0" collapsed="false">
      <c r="B63315" s="0" t="s">
        <v>7</v>
      </c>
      <c r="E63315" s="0" t="s">
        <v>1715</v>
      </c>
      <c r="F63315" s="0" t="s">
        <v>1715</v>
      </c>
    </row>
    <row r="63316" customFormat="false" ht="12.8" hidden="false" customHeight="false" outlineLevel="0" collapsed="false">
      <c r="B63316" s="0" t="s">
        <v>387</v>
      </c>
      <c r="E63316" s="0" t="s">
        <v>5150</v>
      </c>
      <c r="F63316" s="0" t="s">
        <v>5150</v>
      </c>
    </row>
    <row r="63318" customFormat="false" ht="12.8" hidden="false" customHeight="false" outlineLevel="0" collapsed="false">
      <c r="A63318" s="0" t="s">
        <v>21686</v>
      </c>
      <c r="B63318" s="0" t="str">
        <f aca="false">HYPERLINK("https://lindat.mff.cuni.cz/services/teitok/pdtc10/index.php?action=vallex&amp;frame=v-w7599f2", "vězet (v-w7599f2)")</f>
        <v>vězet (v-w7599f2)</v>
      </c>
    </row>
    <row r="63319" customFormat="false" ht="12.8" hidden="false" customHeight="false" outlineLevel="0" collapsed="false">
      <c r="B63319" s="0" t="s">
        <v>7</v>
      </c>
      <c r="E63319" s="0" t="s">
        <v>1715</v>
      </c>
      <c r="F63319" s="0" t="s">
        <v>1715</v>
      </c>
    </row>
    <row r="63320" customFormat="false" ht="12.8" hidden="false" customHeight="false" outlineLevel="0" collapsed="false">
      <c r="B63320" s="0" t="s">
        <v>11</v>
      </c>
      <c r="E63320" s="0" t="s">
        <v>21687</v>
      </c>
      <c r="F63320" s="0" t="s">
        <v>21687</v>
      </c>
    </row>
    <row r="63322" customFormat="false" ht="12.8" hidden="false" customHeight="false" outlineLevel="0" collapsed="false">
      <c r="A63322" s="0" t="s">
        <v>21688</v>
      </c>
      <c r="B63322" s="0" t="str">
        <f aca="false">HYPERLINK("https://lindat.mff.cuni.cz/services/teitok/pdtc10/index.php?action=vallex&amp;frame=v-w7601f1", "věznit (v-w7601f1)")</f>
        <v>věznit (v-w7601f1)</v>
      </c>
    </row>
    <row r="63323" customFormat="false" ht="12.8" hidden="false" customHeight="false" outlineLevel="0" collapsed="false">
      <c r="B63323" s="0" t="s">
        <v>7</v>
      </c>
      <c r="C63323" s="0" t="s">
        <v>46</v>
      </c>
      <c r="D63323" s="0" t="s">
        <v>2736</v>
      </c>
      <c r="E63323" s="0" t="s">
        <v>2736</v>
      </c>
      <c r="F63323" s="0" t="s">
        <v>2736</v>
      </c>
    </row>
    <row r="63324" customFormat="false" ht="12.8" hidden="false" customHeight="false" outlineLevel="0" collapsed="false">
      <c r="B63324" s="0" t="s">
        <v>14</v>
      </c>
      <c r="C63324" s="0" t="s">
        <v>74</v>
      </c>
      <c r="D63324" s="0" t="s">
        <v>1571</v>
      </c>
      <c r="E63324" s="0" t="s">
        <v>1571</v>
      </c>
      <c r="F63324" s="0" t="s">
        <v>1571</v>
      </c>
    </row>
    <row r="63326" customFormat="false" ht="12.8" hidden="false" customHeight="false" outlineLevel="0" collapsed="false">
      <c r="A63326" s="0" t="s">
        <v>21689</v>
      </c>
      <c r="B63326" s="0" t="str">
        <f aca="false">HYPERLINK("https://lindat.mff.cuni.cz/services/teitok/pdtc10/index.php?action=vallex&amp;frame=v-w7581f1", "věřit (v-w7581f1)")</f>
        <v>věřit (v-w7581f1)</v>
      </c>
    </row>
    <row r="63327" customFormat="false" ht="12.8" hidden="false" customHeight="false" outlineLevel="0" collapsed="false">
      <c r="B63327" s="0" t="s">
        <v>7</v>
      </c>
      <c r="C63327" s="0" t="s">
        <v>21690</v>
      </c>
      <c r="D63327" s="0" t="s">
        <v>2016</v>
      </c>
      <c r="E63327" s="0" t="s">
        <v>2016</v>
      </c>
      <c r="F63327" s="0" t="s">
        <v>2016</v>
      </c>
    </row>
    <row r="63328" customFormat="false" ht="12.8" hidden="false" customHeight="false" outlineLevel="0" collapsed="false">
      <c r="B63328" s="0" t="s">
        <v>21691</v>
      </c>
      <c r="C63328" s="0" t="s">
        <v>8282</v>
      </c>
      <c r="D63328" s="0" t="s">
        <v>2019</v>
      </c>
      <c r="E63328" s="0" t="s">
        <v>2019</v>
      </c>
      <c r="F63328" s="0" t="s">
        <v>2019</v>
      </c>
    </row>
    <row r="63330" customFormat="false" ht="12.8" hidden="false" customHeight="false" outlineLevel="0" collapsed="false">
      <c r="A63330" s="0" t="s">
        <v>21692</v>
      </c>
      <c r="B63330" s="0" t="str">
        <f aca="false">HYPERLINK("https://lindat.mff.cuni.cz/services/teitok/pdtc10/index.php?action=vallex&amp;frame=v-w7581f6_ZU", "věřit (v-w7581f6_ZU)")</f>
        <v>věřit (v-w7581f6_ZU)</v>
      </c>
    </row>
    <row r="63331" customFormat="false" ht="12.8" hidden="false" customHeight="false" outlineLevel="0" collapsed="false">
      <c r="B63331" s="0" t="s">
        <v>7</v>
      </c>
    </row>
    <row r="63332" customFormat="false" ht="12.8" hidden="false" customHeight="false" outlineLevel="0" collapsed="false">
      <c r="B63332" s="0" t="s">
        <v>13252</v>
      </c>
    </row>
    <row r="63333" customFormat="false" ht="12.8" hidden="false" customHeight="false" outlineLevel="0" collapsed="false">
      <c r="B63333" s="0" t="s">
        <v>3546</v>
      </c>
    </row>
    <row r="63335" customFormat="false" ht="12.8" hidden="false" customHeight="false" outlineLevel="0" collapsed="false">
      <c r="A63335" s="0" t="s">
        <v>21692</v>
      </c>
      <c r="B63335" s="0" t="str">
        <f aca="false">HYPERLINK("https://lindat.mff.cuni.cz/services/teitok/pdtc10/index.php?action=vallex&amp;frame=v-w7581f2", "věřit (v-w7581f2) - substituted with v-w7581f6_ZU")</f>
        <v>věřit (v-w7581f2) - substituted with v-w7581f6_ZU</v>
      </c>
    </row>
    <row r="63336" customFormat="false" ht="12.8" hidden="false" customHeight="false" outlineLevel="0" collapsed="false">
      <c r="B63336" s="0" t="s">
        <v>7</v>
      </c>
      <c r="C63336" s="0" t="s">
        <v>194</v>
      </c>
    </row>
    <row r="63337" customFormat="false" ht="12.8" hidden="false" customHeight="false" outlineLevel="0" collapsed="false">
      <c r="B63337" s="0" t="s">
        <v>13252</v>
      </c>
      <c r="C63337" s="0" t="s">
        <v>2666</v>
      </c>
    </row>
    <row r="63338" customFormat="false" ht="12.8" hidden="false" customHeight="false" outlineLevel="0" collapsed="false">
      <c r="B63338" s="0" t="s">
        <v>3546</v>
      </c>
    </row>
    <row r="63340" customFormat="false" ht="12.8" hidden="false" customHeight="false" outlineLevel="0" collapsed="false">
      <c r="A63340" s="0" t="s">
        <v>21693</v>
      </c>
      <c r="B63340" s="0" t="str">
        <f aca="false">HYPERLINK("https://lindat.mff.cuni.cz/services/teitok/pdtc10/index.php?action=vallex&amp;frame=v-w7581f4", "věřit (v-w7581f4)")</f>
        <v>věřit (v-w7581f4)</v>
      </c>
    </row>
    <row r="63341" customFormat="false" ht="12.8" hidden="false" customHeight="false" outlineLevel="0" collapsed="false">
      <c r="B63341" s="0" t="s">
        <v>7</v>
      </c>
      <c r="C63341" s="0" t="s">
        <v>21694</v>
      </c>
    </row>
    <row r="63342" customFormat="false" ht="12.8" hidden="false" customHeight="false" outlineLevel="0" collapsed="false">
      <c r="B63342" s="0" t="s">
        <v>2275</v>
      </c>
      <c r="C63342" s="0" t="s">
        <v>21695</v>
      </c>
    </row>
    <row r="63344" customFormat="false" ht="12.8" hidden="false" customHeight="false" outlineLevel="0" collapsed="false">
      <c r="A63344" s="0" t="s">
        <v>21696</v>
      </c>
      <c r="B63344" s="0" t="str">
        <f aca="false">HYPERLINK("https://lindat.mff.cuni.cz/services/teitok/pdtc10/index.php?action=vallex&amp;frame=v-w7581f3", "věřit (v-w7581f3)")</f>
        <v>věřit (v-w7581f3)</v>
      </c>
    </row>
    <row r="63345" customFormat="false" ht="12.8" hidden="false" customHeight="false" outlineLevel="0" collapsed="false">
      <c r="B63345" s="0" t="s">
        <v>7</v>
      </c>
      <c r="C63345" s="0" t="s">
        <v>3918</v>
      </c>
      <c r="D63345" s="0" t="s">
        <v>1999</v>
      </c>
      <c r="E63345" s="0" t="s">
        <v>1999</v>
      </c>
      <c r="F63345" s="0" t="s">
        <v>1999</v>
      </c>
    </row>
    <row r="63346" customFormat="false" ht="12.8" hidden="false" customHeight="false" outlineLevel="0" collapsed="false">
      <c r="B63346" s="0" t="s">
        <v>48</v>
      </c>
      <c r="C63346" s="0" t="s">
        <v>14057</v>
      </c>
      <c r="D63346" s="0" t="s">
        <v>1843</v>
      </c>
      <c r="E63346" s="0" t="s">
        <v>1843</v>
      </c>
      <c r="F63346" s="0" t="s">
        <v>1843</v>
      </c>
    </row>
    <row r="63347" customFormat="false" ht="12.8" hidden="false" customHeight="false" outlineLevel="0" collapsed="false">
      <c r="B63347" s="0" t="s">
        <v>21697</v>
      </c>
      <c r="D63347" s="0" t="s">
        <v>155</v>
      </c>
      <c r="E63347" s="0" t="s">
        <v>155</v>
      </c>
      <c r="F63347" s="0" t="s">
        <v>155</v>
      </c>
    </row>
    <row r="63349" customFormat="false" ht="12.8" hidden="false" customHeight="false" outlineLevel="0" collapsed="false">
      <c r="A63349" s="0" t="s">
        <v>21698</v>
      </c>
      <c r="B63349" s="0" t="str">
        <f aca="false">HYPERLINK("https://lindat.mff.cuni.cz/services/teitok/pdtc10/index.php?action=vallex&amp;frame=v-w7581f5", "věřit (v-w7581f5)")</f>
        <v>věřit (v-w7581f5)</v>
      </c>
    </row>
    <row r="63350" customFormat="false" ht="12.8" hidden="false" customHeight="false" outlineLevel="0" collapsed="false">
      <c r="B63350" s="0" t="s">
        <v>7</v>
      </c>
      <c r="C63350" s="0" t="s">
        <v>21699</v>
      </c>
      <c r="D63350" s="0" t="s">
        <v>2022</v>
      </c>
      <c r="E63350" s="0" t="s">
        <v>2022</v>
      </c>
      <c r="F63350" s="0" t="s">
        <v>2022</v>
      </c>
    </row>
    <row r="63351" customFormat="false" ht="12.8" hidden="false" customHeight="false" outlineLevel="0" collapsed="false">
      <c r="B63351" s="0" t="s">
        <v>1925</v>
      </c>
      <c r="C63351" s="0" t="s">
        <v>21700</v>
      </c>
      <c r="D63351" s="0" t="s">
        <v>2025</v>
      </c>
      <c r="E63351" s="0" t="s">
        <v>2025</v>
      </c>
      <c r="F63351" s="0" t="s">
        <v>2025</v>
      </c>
    </row>
    <row r="63352" customFormat="false" ht="12.8" hidden="false" customHeight="false" outlineLevel="0" collapsed="false">
      <c r="B63352" s="0" t="s">
        <v>363</v>
      </c>
      <c r="D63352" s="0" t="s">
        <v>2027</v>
      </c>
      <c r="E63352" s="0" t="s">
        <v>2027</v>
      </c>
      <c r="F63352" s="0" t="s">
        <v>2027</v>
      </c>
    </row>
    <row r="63354" customFormat="false" ht="12.8" hidden="false" customHeight="false" outlineLevel="0" collapsed="false">
      <c r="A63354" s="0" t="s">
        <v>21701</v>
      </c>
      <c r="B63354" s="0" t="str">
        <f aca="false">HYPERLINK("https://lindat.mff.cuni.cz/services/teitok/pdtc10/index.php?action=vallex&amp;frame=v-w10045f2", "věšet (v-w10045f2)")</f>
        <v>věšet (v-w10045f2)</v>
      </c>
    </row>
    <row r="63355" customFormat="false" ht="12.8" hidden="false" customHeight="false" outlineLevel="0" collapsed="false">
      <c r="B63355" s="0" t="s">
        <v>7</v>
      </c>
      <c r="C63355" s="0" t="s">
        <v>191</v>
      </c>
      <c r="D63355" s="0" t="s">
        <v>2235</v>
      </c>
      <c r="E63355" s="0" t="s">
        <v>2235</v>
      </c>
      <c r="F63355" s="0" t="s">
        <v>2235</v>
      </c>
    </row>
    <row r="63356" customFormat="false" ht="12.8" hidden="false" customHeight="false" outlineLevel="0" collapsed="false">
      <c r="B63356" s="0" t="s">
        <v>14</v>
      </c>
      <c r="C63356" s="0" t="s">
        <v>47</v>
      </c>
      <c r="D63356" s="0" t="s">
        <v>2237</v>
      </c>
      <c r="E63356" s="0" t="s">
        <v>2237</v>
      </c>
      <c r="F63356" s="0" t="s">
        <v>2237</v>
      </c>
    </row>
    <row r="63358" customFormat="false" ht="12.8" hidden="false" customHeight="false" outlineLevel="0" collapsed="false">
      <c r="A63358" s="0" t="s">
        <v>21702</v>
      </c>
      <c r="B63358" s="0" t="str">
        <f aca="false">HYPERLINK("https://lindat.mff.cuni.cz/services/teitok/pdtc10/index.php?action=vallex&amp;frame=v-w7587f1", "věštit (v-w7587f1)")</f>
        <v>věštit (v-w7587f1)</v>
      </c>
    </row>
    <row r="63359" customFormat="false" ht="12.8" hidden="false" customHeight="false" outlineLevel="0" collapsed="false">
      <c r="B63359" s="0" t="s">
        <v>7</v>
      </c>
    </row>
    <row r="63360" customFormat="false" ht="12.8" hidden="false" customHeight="false" outlineLevel="0" collapsed="false">
      <c r="B63360" s="0" t="s">
        <v>1520</v>
      </c>
    </row>
    <row r="63362" customFormat="false" ht="12.8" hidden="false" customHeight="false" outlineLevel="0" collapsed="false">
      <c r="A63362" s="0" t="s">
        <v>21703</v>
      </c>
      <c r="B63362" s="0" t="str">
        <f aca="false">HYPERLINK("https://lindat.mff.cuni.cz/services/teitok/pdtc10/index.php?action=vallex&amp;frame=v-w10556f2", "vřeštět (v-w10556f2)")</f>
        <v>vřeštět (v-w10556f2)</v>
      </c>
    </row>
    <row r="63363" customFormat="false" ht="12.8" hidden="false" customHeight="false" outlineLevel="0" collapsed="false">
      <c r="B63363" s="0" t="s">
        <v>7</v>
      </c>
    </row>
    <row r="63364" customFormat="false" ht="12.8" hidden="false" customHeight="false" outlineLevel="0" collapsed="false">
      <c r="B63364" s="0" t="s">
        <v>4335</v>
      </c>
    </row>
    <row r="63365" customFormat="false" ht="12.8" hidden="false" customHeight="false" outlineLevel="0" collapsed="false">
      <c r="B63365" s="0" t="s">
        <v>4101</v>
      </c>
    </row>
    <row r="63367" customFormat="false" ht="12.8" hidden="false" customHeight="false" outlineLevel="0" collapsed="false">
      <c r="A63367" s="0" t="s">
        <v>21704</v>
      </c>
      <c r="B63367" s="0" t="str">
        <f aca="false">HYPERLINK("https://lindat.mff.cuni.cz/services/teitok/pdtc10/index.php?action=vallex&amp;frame=v-w7726f1", "vřít (v-w7726f1)")</f>
        <v>vřít (v-w7726f1)</v>
      </c>
    </row>
    <row r="63368" customFormat="false" ht="12.8" hidden="false" customHeight="false" outlineLevel="0" collapsed="false">
      <c r="B63368" s="0" t="s">
        <v>7</v>
      </c>
      <c r="C63368" s="0" t="s">
        <v>4651</v>
      </c>
    </row>
    <row r="63370" customFormat="false" ht="12.8" hidden="false" customHeight="false" outlineLevel="0" collapsed="false">
      <c r="A63370" s="0" t="s">
        <v>21705</v>
      </c>
      <c r="B63370" s="0" t="str">
        <f aca="false">HYPERLINK("https://lindat.mff.cuni.cz/services/teitok/pdtc10/index.php?action=vallex&amp;frame=v-w7726f2", "vřít (v-w7726f2)")</f>
        <v>vřít (v-w7726f2)</v>
      </c>
    </row>
    <row r="63371" customFormat="false" ht="12.8" hidden="false" customHeight="false" outlineLevel="0" collapsed="false">
      <c r="B63371" s="0" t="s">
        <v>7</v>
      </c>
      <c r="C63371" s="0" t="s">
        <v>12125</v>
      </c>
      <c r="D63371" s="0" t="s">
        <v>2612</v>
      </c>
      <c r="E63371" s="0" t="s">
        <v>2612</v>
      </c>
      <c r="F63371" s="0" t="s">
        <v>2612</v>
      </c>
    </row>
    <row r="63373" customFormat="false" ht="12.8" hidden="false" customHeight="false" outlineLevel="0" collapsed="false">
      <c r="A63373" s="0" t="s">
        <v>21706</v>
      </c>
      <c r="B63373" s="0" t="str">
        <f aca="false">HYPERLINK("https://lindat.mff.cuni.cz/services/teitok/pdtc10/index.php?action=vallex&amp;frame=v-w7726f3", "vřít (v-w7726f3)")</f>
        <v>vřít (v-w7726f3)</v>
      </c>
    </row>
    <row r="63374" customFormat="false" ht="12.8" hidden="false" customHeight="false" outlineLevel="0" collapsed="false">
      <c r="B63374" s="0" t="s">
        <v>11</v>
      </c>
    </row>
    <row r="63376" customFormat="false" ht="12.8" hidden="false" customHeight="false" outlineLevel="0" collapsed="false">
      <c r="A63376" s="0" t="s">
        <v>21707</v>
      </c>
      <c r="B63376" s="0" t="str">
        <f aca="false">HYPERLINK("https://lindat.mff.cuni.cz/services/teitok/pdtc10/index.php?action=vallex&amp;frame=v-w7727f1", "vřítit se (v-w7727f1)")</f>
        <v>vřítit se (v-w7727f1)</v>
      </c>
    </row>
    <row r="63377" customFormat="false" ht="12.8" hidden="false" customHeight="false" outlineLevel="0" collapsed="false">
      <c r="B63377" s="0" t="s">
        <v>7</v>
      </c>
      <c r="C63377" s="0" t="s">
        <v>184</v>
      </c>
      <c r="D63377" s="0" t="s">
        <v>113</v>
      </c>
      <c r="E63377" s="0" t="s">
        <v>113</v>
      </c>
      <c r="F63377" s="0" t="s">
        <v>113</v>
      </c>
    </row>
    <row r="63378" customFormat="false" ht="12.8" hidden="false" customHeight="false" outlineLevel="0" collapsed="false">
      <c r="B63378" s="0" t="s">
        <v>124</v>
      </c>
      <c r="D63378" s="0" t="s">
        <v>2162</v>
      </c>
      <c r="E63378" s="0" t="s">
        <v>2162</v>
      </c>
      <c r="F63378" s="0" t="s">
        <v>2162</v>
      </c>
    </row>
    <row r="63380" customFormat="false" ht="12.8" hidden="false" customHeight="false" outlineLevel="0" collapsed="false">
      <c r="A63380" s="0" t="s">
        <v>21708</v>
      </c>
      <c r="B63380" s="0" t="str">
        <f aca="false">HYPERLINK("https://lindat.mff.cuni.cz/services/teitok/pdtc10/index.php?action=vallex&amp;frame=v-w7744f1", "všimnout si (v-w7744f1)")</f>
        <v>všimnout si (v-w7744f1)</v>
      </c>
    </row>
    <row r="63381" customFormat="false" ht="12.8" hidden="false" customHeight="false" outlineLevel="0" collapsed="false">
      <c r="B63381" s="0" t="s">
        <v>7</v>
      </c>
      <c r="C63381" s="0" t="s">
        <v>21709</v>
      </c>
      <c r="D63381" s="0" t="s">
        <v>11354</v>
      </c>
      <c r="E63381" s="0" t="s">
        <v>11354</v>
      </c>
      <c r="F63381" s="0" t="s">
        <v>11354</v>
      </c>
    </row>
    <row r="63382" customFormat="false" ht="12.8" hidden="false" customHeight="false" outlineLevel="0" collapsed="false">
      <c r="B63382" s="0" t="s">
        <v>11279</v>
      </c>
      <c r="C63382" s="0" t="s">
        <v>21710</v>
      </c>
      <c r="D63382" s="0" t="s">
        <v>11355</v>
      </c>
      <c r="E63382" s="0" t="s">
        <v>11355</v>
      </c>
      <c r="F63382" s="0" t="s">
        <v>11355</v>
      </c>
    </row>
    <row r="63384" customFormat="false" ht="12.8" hidden="false" customHeight="false" outlineLevel="0" collapsed="false">
      <c r="A63384" s="0" t="s">
        <v>21711</v>
      </c>
      <c r="B63384" s="0" t="str">
        <f aca="false">HYPERLINK("https://lindat.mff.cuni.cz/services/teitok/pdtc10/index.php?action=vallex&amp;frame=v-w7744f2_ZU", "všimnout si (v-w7744f2_ZU)")</f>
        <v>všimnout si (v-w7744f2_ZU)</v>
      </c>
    </row>
    <row r="63385" customFormat="false" ht="12.8" hidden="false" customHeight="false" outlineLevel="0" collapsed="false">
      <c r="B63385" s="0" t="s">
        <v>7</v>
      </c>
    </row>
    <row r="63386" customFormat="false" ht="12.8" hidden="false" customHeight="false" outlineLevel="0" collapsed="false">
      <c r="B63386" s="0" t="s">
        <v>14</v>
      </c>
    </row>
    <row r="63387" customFormat="false" ht="12.8" hidden="false" customHeight="false" outlineLevel="0" collapsed="false">
      <c r="B63387" s="0" t="s">
        <v>21712</v>
      </c>
    </row>
    <row r="63389" customFormat="false" ht="12.8" hidden="false" customHeight="false" outlineLevel="0" collapsed="false">
      <c r="A63389" s="0" t="s">
        <v>21711</v>
      </c>
      <c r="B63389" s="0" t="str">
        <f aca="false">HYPERLINK("https://lindat.mff.cuni.cz/services/teitok/pdtc10/index.php?action=vallex&amp;frame=v-w7744hsa_797", "všimnout si (v-w7744hsa_797) - substituted with v-w7744f2_ZU")</f>
        <v>všimnout si (v-w7744hsa_797) - substituted with v-w7744f2_ZU</v>
      </c>
    </row>
    <row r="63390" customFormat="false" ht="12.8" hidden="false" customHeight="false" outlineLevel="0" collapsed="false">
      <c r="B63390" s="0" t="s">
        <v>7</v>
      </c>
    </row>
    <row r="63391" customFormat="false" ht="12.8" hidden="false" customHeight="false" outlineLevel="0" collapsed="false">
      <c r="B63391" s="0" t="s">
        <v>14</v>
      </c>
    </row>
    <row r="63392" customFormat="false" ht="12.8" hidden="false" customHeight="false" outlineLevel="0" collapsed="false">
      <c r="B63392" s="0" t="s">
        <v>21712</v>
      </c>
    </row>
    <row r="63394" customFormat="false" ht="12.8" hidden="false" customHeight="false" outlineLevel="0" collapsed="false">
      <c r="A63394" s="0" t="s">
        <v>21713</v>
      </c>
      <c r="B63394" s="0" t="str">
        <f aca="false">HYPERLINK("https://lindat.mff.cuni.cz/services/teitok/pdtc10/index.php?action=vallex&amp;frame=v-w7746f1", "vštípit (v-w7746f1)")</f>
        <v>vštípit (v-w7746f1)</v>
      </c>
    </row>
    <row r="63395" customFormat="false" ht="12.8" hidden="false" customHeight="false" outlineLevel="0" collapsed="false">
      <c r="B63395" s="0" t="s">
        <v>7</v>
      </c>
    </row>
    <row r="63396" customFormat="false" ht="12.8" hidden="false" customHeight="false" outlineLevel="0" collapsed="false">
      <c r="B63396" s="0" t="s">
        <v>2313</v>
      </c>
    </row>
    <row r="63397" customFormat="false" ht="12.8" hidden="false" customHeight="false" outlineLevel="0" collapsed="false">
      <c r="B63397" s="0" t="s">
        <v>48</v>
      </c>
    </row>
    <row r="63399" customFormat="false" ht="12.8" hidden="false" customHeight="false" outlineLevel="0" collapsed="false">
      <c r="A63399" s="0" t="s">
        <v>21714</v>
      </c>
      <c r="B63399" s="0" t="str">
        <f aca="false">HYPERLINK("https://lindat.mff.cuni.cz/services/teitok/pdtc10/index.php?action=vallex&amp;frame=v-w7745f1", "vštěpovat (v-w7745f1)")</f>
        <v>vštěpovat (v-w7745f1)</v>
      </c>
    </row>
    <row r="63400" customFormat="false" ht="12.8" hidden="false" customHeight="false" outlineLevel="0" collapsed="false">
      <c r="B63400" s="0" t="s">
        <v>7</v>
      </c>
      <c r="D63400" s="0" t="s">
        <v>46</v>
      </c>
      <c r="E63400" s="0" t="s">
        <v>46</v>
      </c>
      <c r="F63400" s="0" t="s">
        <v>46</v>
      </c>
    </row>
    <row r="63401" customFormat="false" ht="12.8" hidden="false" customHeight="false" outlineLevel="0" collapsed="false">
      <c r="B63401" s="0" t="s">
        <v>2313</v>
      </c>
      <c r="D63401" s="0" t="s">
        <v>384</v>
      </c>
      <c r="E63401" s="0" t="s">
        <v>384</v>
      </c>
      <c r="F63401" s="0" t="s">
        <v>384</v>
      </c>
    </row>
    <row r="63402" customFormat="false" ht="12.8" hidden="false" customHeight="false" outlineLevel="0" collapsed="false">
      <c r="B63402" s="0" t="s">
        <v>48</v>
      </c>
    </row>
    <row r="63404" customFormat="false" ht="12.8" hidden="false" customHeight="false" outlineLevel="0" collapsed="false">
      <c r="A63404" s="0" t="s">
        <v>21715</v>
      </c>
      <c r="B63404" s="0" t="str">
        <f aca="false">HYPERLINK("https://lindat.mff.cuni.cz/services/teitok/pdtc10/index.php?action=vallex&amp;frame=v-w7743f1", "všímat si (v-w7743f1)")</f>
        <v>všímat si (v-w7743f1)</v>
      </c>
    </row>
    <row r="63405" customFormat="false" ht="12.8" hidden="false" customHeight="false" outlineLevel="0" collapsed="false">
      <c r="B63405" s="0" t="s">
        <v>7</v>
      </c>
      <c r="C63405" s="0" t="s">
        <v>358</v>
      </c>
      <c r="D63405" s="0" t="s">
        <v>21716</v>
      </c>
      <c r="E63405" s="0" t="s">
        <v>21716</v>
      </c>
      <c r="F63405" s="0" t="s">
        <v>21716</v>
      </c>
    </row>
    <row r="63406" customFormat="false" ht="12.8" hidden="false" customHeight="false" outlineLevel="0" collapsed="false">
      <c r="B63406" s="0" t="s">
        <v>11279</v>
      </c>
      <c r="C63406" s="0" t="s">
        <v>2642</v>
      </c>
      <c r="D63406" s="0" t="s">
        <v>59</v>
      </c>
      <c r="E63406" s="0" t="s">
        <v>59</v>
      </c>
      <c r="F63406" s="0" t="s">
        <v>59</v>
      </c>
    </row>
    <row r="63408" customFormat="false" ht="12.8" hidden="false" customHeight="false" outlineLevel="0" collapsed="false">
      <c r="A63408" s="0" t="s">
        <v>21717</v>
      </c>
      <c r="B63408" s="0" t="str">
        <f aca="false">HYPERLINK("https://lindat.mff.cuni.cz/services/teitok/pdtc10/index.php?action=vallex&amp;frame=v-w8702f3_ZU", "vžít se (v-w8702f3_ZU)")</f>
        <v>vžít se (v-w8702f3_ZU)</v>
      </c>
    </row>
    <row r="63409" customFormat="false" ht="12.8" hidden="false" customHeight="false" outlineLevel="0" collapsed="false">
      <c r="B63409" s="0" t="s">
        <v>7</v>
      </c>
    </row>
    <row r="63410" customFormat="false" ht="12.8" hidden="false" customHeight="false" outlineLevel="0" collapsed="false">
      <c r="B63410" s="0" t="s">
        <v>985</v>
      </c>
    </row>
    <row r="63412" customFormat="false" ht="12.8" hidden="false" customHeight="false" outlineLevel="0" collapsed="false">
      <c r="A63412" s="0" t="s">
        <v>21717</v>
      </c>
      <c r="B63412" s="0" t="str">
        <f aca="false">HYPERLINK("https://lindat.mff.cuni.cz/services/teitok/pdtc10/index.php?action=vallex&amp;frame=v-w8702f1", "vžít se (v-w8702f1) - substituted with v-w8702f3_ZU")</f>
        <v>vžít se (v-w8702f1) - substituted with v-w8702f3_ZU</v>
      </c>
    </row>
    <row r="63413" customFormat="false" ht="12.8" hidden="false" customHeight="false" outlineLevel="0" collapsed="false">
      <c r="B63413" s="0" t="s">
        <v>7</v>
      </c>
    </row>
    <row r="63414" customFormat="false" ht="12.8" hidden="false" customHeight="false" outlineLevel="0" collapsed="false">
      <c r="B63414" s="0" t="s">
        <v>985</v>
      </c>
    </row>
    <row r="63416" customFormat="false" ht="12.8" hidden="false" customHeight="false" outlineLevel="0" collapsed="false">
      <c r="A63416" s="0" t="s">
        <v>21718</v>
      </c>
      <c r="B63416" s="0" t="str">
        <f aca="false">HYPERLINK("https://lindat.mff.cuni.cz/services/teitok/pdtc10/index.php?action=vallex&amp;frame=v-w8702f2", "vžít se (v-w8702f2)")</f>
        <v>vžít se (v-w8702f2)</v>
      </c>
    </row>
    <row r="63417" customFormat="false" ht="12.8" hidden="false" customHeight="false" outlineLevel="0" collapsed="false">
      <c r="B63417" s="0" t="s">
        <v>7</v>
      </c>
      <c r="F63417" s="0" t="s">
        <v>396</v>
      </c>
    </row>
    <row r="63419" customFormat="false" ht="12.8" hidden="false" customHeight="false" outlineLevel="0" collapsed="false">
      <c r="A63419" s="0" t="s">
        <v>21719</v>
      </c>
      <c r="B63419" s="0" t="str">
        <f aca="false">HYPERLINK("https://lindat.mff.cuni.cz/services/teitok/pdtc10/index.php?action=vallex&amp;frame=v-w8703f3_ZU", "zabalit (v-w8703f3_ZU)")</f>
        <v>zabalit (v-w8703f3_ZU)</v>
      </c>
    </row>
    <row r="63420" customFormat="false" ht="12.8" hidden="false" customHeight="false" outlineLevel="0" collapsed="false">
      <c r="B63420" s="0" t="s">
        <v>7</v>
      </c>
    </row>
    <row r="63421" customFormat="false" ht="12.8" hidden="false" customHeight="false" outlineLevel="0" collapsed="false">
      <c r="B63421" s="0" t="s">
        <v>14</v>
      </c>
    </row>
    <row r="63422" customFormat="false" ht="12.8" hidden="false" customHeight="false" outlineLevel="0" collapsed="false">
      <c r="B63422" s="0" t="s">
        <v>181</v>
      </c>
    </row>
    <row r="63424" customFormat="false" ht="12.8" hidden="false" customHeight="false" outlineLevel="0" collapsed="false">
      <c r="A63424" s="0" t="s">
        <v>21719</v>
      </c>
      <c r="B63424" s="0" t="str">
        <f aca="false">HYPERLINK("https://lindat.mff.cuni.cz/services/teitok/pdtc10/index.php?action=vallex&amp;frame=v-w8703f2", "zabalit (v-w8703f2) - substituted with v-w8703f3_ZU")</f>
        <v>zabalit (v-w8703f2) - substituted with v-w8703f3_ZU</v>
      </c>
    </row>
    <row r="63425" customFormat="false" ht="12.8" hidden="false" customHeight="false" outlineLevel="0" collapsed="false">
      <c r="B63425" s="0" t="s">
        <v>7</v>
      </c>
      <c r="C63425" s="0" t="s">
        <v>335</v>
      </c>
      <c r="D63425" s="0" t="s">
        <v>108</v>
      </c>
      <c r="E63425" s="0" t="s">
        <v>108</v>
      </c>
      <c r="F63425" s="0" t="s">
        <v>108</v>
      </c>
    </row>
    <row r="63426" customFormat="false" ht="12.8" hidden="false" customHeight="false" outlineLevel="0" collapsed="false">
      <c r="B63426" s="0" t="s">
        <v>14</v>
      </c>
      <c r="C63426" s="0" t="s">
        <v>6903</v>
      </c>
      <c r="D63426" s="0" t="s">
        <v>180</v>
      </c>
      <c r="E63426" s="0" t="s">
        <v>180</v>
      </c>
      <c r="F63426" s="0" t="s">
        <v>180</v>
      </c>
    </row>
    <row r="63427" customFormat="false" ht="12.8" hidden="false" customHeight="false" outlineLevel="0" collapsed="false">
      <c r="B63427" s="0" t="s">
        <v>181</v>
      </c>
      <c r="C63427" s="0" t="s">
        <v>1527</v>
      </c>
    </row>
    <row r="63429" customFormat="false" ht="12.8" hidden="false" customHeight="false" outlineLevel="0" collapsed="false">
      <c r="A63429" s="0" t="s">
        <v>21720</v>
      </c>
      <c r="B63429" s="0" t="str">
        <f aca="false">HYPERLINK("https://lindat.mff.cuni.cz/services/teitok/pdtc10/index.php?action=vallex&amp;frame=v-w8703f1", "zabalit (v-w8703f1)")</f>
        <v>zabalit (v-w8703f1)</v>
      </c>
    </row>
    <row r="63430" customFormat="false" ht="12.8" hidden="false" customHeight="false" outlineLevel="0" collapsed="false">
      <c r="B63430" s="0" t="s">
        <v>7</v>
      </c>
    </row>
    <row r="63431" customFormat="false" ht="12.8" hidden="false" customHeight="false" outlineLevel="0" collapsed="false">
      <c r="B63431" s="0" t="s">
        <v>14</v>
      </c>
    </row>
    <row r="63433" customFormat="false" ht="12.8" hidden="false" customHeight="false" outlineLevel="0" collapsed="false">
      <c r="A63433" s="0" t="s">
        <v>21721</v>
      </c>
      <c r="B63433" s="0" t="str">
        <f aca="false">HYPERLINK("https://lindat.mff.cuni.cz/services/teitok/pdtc10/index.php?action=vallex&amp;frame=v-w8704f1", "zabarikádovat (v-w8704f1)")</f>
        <v>zabarikádovat (v-w8704f1)</v>
      </c>
    </row>
    <row r="63434" customFormat="false" ht="12.8" hidden="false" customHeight="false" outlineLevel="0" collapsed="false">
      <c r="B63434" s="0" t="s">
        <v>7</v>
      </c>
    </row>
    <row r="63435" customFormat="false" ht="12.8" hidden="false" customHeight="false" outlineLevel="0" collapsed="false">
      <c r="B63435" s="0" t="s">
        <v>3742</v>
      </c>
    </row>
    <row r="63436" customFormat="false" ht="12.8" hidden="false" customHeight="false" outlineLevel="0" collapsed="false">
      <c r="B63436" s="0" t="s">
        <v>3743</v>
      </c>
    </row>
    <row r="63438" customFormat="false" ht="12.8" hidden="false" customHeight="false" outlineLevel="0" collapsed="false">
      <c r="A63438" s="0" t="s">
        <v>21722</v>
      </c>
      <c r="B63438" s="0" t="str">
        <f aca="false">HYPERLINK("https://lindat.mff.cuni.cz/services/teitok/pdtc10/index.php?action=vallex&amp;frame=v-w8706f1", "zabarvit (v-w8706f1)")</f>
        <v>zabarvit (v-w8706f1)</v>
      </c>
    </row>
    <row r="63439" customFormat="false" ht="12.8" hidden="false" customHeight="false" outlineLevel="0" collapsed="false">
      <c r="B63439" s="0" t="s">
        <v>7</v>
      </c>
      <c r="C63439" s="0" t="s">
        <v>46</v>
      </c>
    </row>
    <row r="63440" customFormat="false" ht="12.8" hidden="false" customHeight="false" outlineLevel="0" collapsed="false">
      <c r="B63440" s="0" t="s">
        <v>14</v>
      </c>
      <c r="C63440" s="0" t="s">
        <v>47</v>
      </c>
    </row>
    <row r="63441" customFormat="false" ht="12.8" hidden="false" customHeight="false" outlineLevel="0" collapsed="false">
      <c r="B63441" s="0" t="s">
        <v>662</v>
      </c>
    </row>
    <row r="63443" customFormat="false" ht="12.8" hidden="false" customHeight="false" outlineLevel="0" collapsed="false">
      <c r="A63443" s="0" t="s">
        <v>21723</v>
      </c>
      <c r="B63443" s="0" t="str">
        <f aca="false">HYPERLINK("https://lindat.mff.cuni.cz/services/teitok/pdtc10/index.php?action=vallex&amp;frame=v-w8706f2", "zabarvit (v-w8706f2)")</f>
        <v>zabarvit (v-w8706f2)</v>
      </c>
    </row>
    <row r="63444" customFormat="false" ht="12.8" hidden="false" customHeight="false" outlineLevel="0" collapsed="false">
      <c r="B63444" s="0" t="s">
        <v>7</v>
      </c>
    </row>
    <row r="63445" customFormat="false" ht="12.8" hidden="false" customHeight="false" outlineLevel="0" collapsed="false">
      <c r="B63445" s="0" t="s">
        <v>14</v>
      </c>
    </row>
    <row r="63447" customFormat="false" ht="12.8" hidden="false" customHeight="false" outlineLevel="0" collapsed="false">
      <c r="A63447" s="0" t="s">
        <v>21724</v>
      </c>
      <c r="B63447" s="0" t="str">
        <f aca="false">HYPERLINK("https://lindat.mff.cuni.cz/services/teitok/pdtc10/index.php?action=vallex&amp;frame=v-w8708f1", "zabavit (v-w8708f1)")</f>
        <v>zabavit (v-w8708f1)</v>
      </c>
    </row>
    <row r="63448" customFormat="false" ht="12.8" hidden="false" customHeight="false" outlineLevel="0" collapsed="false">
      <c r="B63448" s="0" t="s">
        <v>7</v>
      </c>
      <c r="C63448" s="0" t="s">
        <v>2170</v>
      </c>
      <c r="D63448" s="0" t="s">
        <v>3051</v>
      </c>
      <c r="E63448" s="0" t="s">
        <v>3051</v>
      </c>
      <c r="F63448" s="0" t="s">
        <v>3051</v>
      </c>
    </row>
    <row r="63449" customFormat="false" ht="12.8" hidden="false" customHeight="false" outlineLevel="0" collapsed="false">
      <c r="B63449" s="0" t="s">
        <v>14</v>
      </c>
      <c r="C63449" s="0" t="s">
        <v>26</v>
      </c>
      <c r="D63449" s="0" t="s">
        <v>2394</v>
      </c>
      <c r="E63449" s="0" t="s">
        <v>2394</v>
      </c>
      <c r="F63449" s="0" t="s">
        <v>2394</v>
      </c>
    </row>
    <row r="63450" customFormat="false" ht="12.8" hidden="false" customHeight="false" outlineLevel="0" collapsed="false">
      <c r="B63450" s="0" t="s">
        <v>4778</v>
      </c>
      <c r="C63450" s="0" t="s">
        <v>6692</v>
      </c>
      <c r="D63450" s="0" t="s">
        <v>4779</v>
      </c>
      <c r="E63450" s="0" t="s">
        <v>4779</v>
      </c>
      <c r="F63450" s="0" t="s">
        <v>4779</v>
      </c>
    </row>
    <row r="63452" customFormat="false" ht="12.8" hidden="false" customHeight="false" outlineLevel="0" collapsed="false">
      <c r="A63452" s="0" t="s">
        <v>21725</v>
      </c>
      <c r="B63452" s="0" t="str">
        <f aca="false">HYPERLINK("https://lindat.mff.cuni.cz/services/teitok/pdtc10/index.php?action=vallex&amp;frame=v-w8708f2_ZU", "zabavit (v-w8708f2_ZU)")</f>
        <v>zabavit (v-w8708f2_ZU)</v>
      </c>
    </row>
    <row r="63453" customFormat="false" ht="12.8" hidden="false" customHeight="false" outlineLevel="0" collapsed="false">
      <c r="B63453" s="0" t="s">
        <v>7</v>
      </c>
    </row>
    <row r="63454" customFormat="false" ht="12.8" hidden="false" customHeight="false" outlineLevel="0" collapsed="false">
      <c r="B63454" s="0" t="s">
        <v>14</v>
      </c>
    </row>
    <row r="63456" customFormat="false" ht="12.8" hidden="false" customHeight="false" outlineLevel="0" collapsed="false">
      <c r="A63456" s="0" t="s">
        <v>21726</v>
      </c>
      <c r="B63456" s="0" t="str">
        <f aca="false">HYPERLINK("https://lindat.mff.cuni.cz/services/teitok/pdtc10/index.php?action=vallex&amp;frame=v-whsa_1808hsa_1809", "zabavit se (v-whsa_1808hsa_1809)")</f>
        <v>zabavit se (v-whsa_1808hsa_1809)</v>
      </c>
    </row>
    <row r="63457" customFormat="false" ht="12.8" hidden="false" customHeight="false" outlineLevel="0" collapsed="false">
      <c r="B63457" s="0" t="s">
        <v>7</v>
      </c>
    </row>
    <row r="63459" customFormat="false" ht="12.8" hidden="false" customHeight="false" outlineLevel="0" collapsed="false">
      <c r="A63459" s="0" t="s">
        <v>21727</v>
      </c>
      <c r="B63459" s="0" t="str">
        <f aca="false">HYPERLINK("https://lindat.mff.cuni.cz/services/teitok/pdtc10/index.php?action=vallex&amp;frame=v-w8709f1", "zabavovat (v-w8709f1)")</f>
        <v>zabavovat (v-w8709f1)</v>
      </c>
    </row>
    <row r="63460" customFormat="false" ht="12.8" hidden="false" customHeight="false" outlineLevel="0" collapsed="false">
      <c r="B63460" s="0" t="s">
        <v>7</v>
      </c>
      <c r="C63460" s="0" t="s">
        <v>1263</v>
      </c>
      <c r="D63460" s="0" t="s">
        <v>3051</v>
      </c>
      <c r="E63460" s="0" t="s">
        <v>3051</v>
      </c>
      <c r="F63460" s="0" t="s">
        <v>3051</v>
      </c>
    </row>
    <row r="63461" customFormat="false" ht="12.8" hidden="false" customHeight="false" outlineLevel="0" collapsed="false">
      <c r="B63461" s="0" t="s">
        <v>14</v>
      </c>
      <c r="C63461" s="0" t="s">
        <v>12750</v>
      </c>
      <c r="D63461" s="0" t="s">
        <v>2394</v>
      </c>
      <c r="E63461" s="0" t="s">
        <v>2394</v>
      </c>
      <c r="F63461" s="0" t="s">
        <v>2394</v>
      </c>
    </row>
    <row r="63463" customFormat="false" ht="12.8" hidden="false" customHeight="false" outlineLevel="0" collapsed="false">
      <c r="A63463" s="0" t="s">
        <v>21728</v>
      </c>
      <c r="B63463" s="0" t="str">
        <f aca="false">HYPERLINK("https://lindat.mff.cuni.cz/services/teitok/pdtc10/index.php?action=vallex&amp;frame=v-w11702_ZUf1_ZU", "zabavovat se (v-w11702_ZUf1_ZU)")</f>
        <v>zabavovat se (v-w11702_ZUf1_ZU)</v>
      </c>
    </row>
    <row r="63464" customFormat="false" ht="12.8" hidden="false" customHeight="false" outlineLevel="0" collapsed="false">
      <c r="B63464" s="0" t="s">
        <v>7</v>
      </c>
    </row>
    <row r="63466" customFormat="false" ht="12.8" hidden="false" customHeight="false" outlineLevel="0" collapsed="false">
      <c r="A63466" s="0" t="s">
        <v>21729</v>
      </c>
      <c r="B63466" s="0" t="str">
        <f aca="false">HYPERLINK("https://lindat.mff.cuni.cz/services/teitok/pdtc10/index.php?action=vallex&amp;frame=v-w11867_ZUf1_ZU", "zabednit (v-w11867_ZUf1_ZU)")</f>
        <v>zabednit (v-w11867_ZUf1_ZU)</v>
      </c>
    </row>
    <row r="63467" customFormat="false" ht="12.8" hidden="false" customHeight="false" outlineLevel="0" collapsed="false">
      <c r="B63467" s="0" t="s">
        <v>7</v>
      </c>
    </row>
    <row r="63468" customFormat="false" ht="12.8" hidden="false" customHeight="false" outlineLevel="0" collapsed="false">
      <c r="B63468" s="0" t="s">
        <v>14</v>
      </c>
    </row>
    <row r="63470" customFormat="false" ht="12.8" hidden="false" customHeight="false" outlineLevel="0" collapsed="false">
      <c r="A63470" s="0" t="s">
        <v>21730</v>
      </c>
      <c r="B63470" s="0" t="str">
        <f aca="false">HYPERLINK("https://lindat.mff.cuni.cz/services/teitok/pdtc10/index.php?action=vallex&amp;frame=v-w8713f1", "zabetonovat (v-w8713f1)")</f>
        <v>zabetonovat (v-w8713f1)</v>
      </c>
    </row>
    <row r="63471" customFormat="false" ht="12.8" hidden="false" customHeight="false" outlineLevel="0" collapsed="false">
      <c r="B63471" s="0" t="s">
        <v>7</v>
      </c>
    </row>
    <row r="63472" customFormat="false" ht="12.8" hidden="false" customHeight="false" outlineLevel="0" collapsed="false">
      <c r="B63472" s="0" t="s">
        <v>14</v>
      </c>
    </row>
    <row r="63474" customFormat="false" ht="12.8" hidden="false" customHeight="false" outlineLevel="0" collapsed="false">
      <c r="A63474" s="0" t="s">
        <v>21731</v>
      </c>
      <c r="B63474" s="0" t="str">
        <f aca="false">HYPERLINK("https://lindat.mff.cuni.cz/services/teitok/pdtc10/index.php?action=vallex&amp;frame=v-w8713f2", "zabetonovat (v-w8713f2)")</f>
        <v>zabetonovat (v-w8713f2)</v>
      </c>
    </row>
    <row r="63475" customFormat="false" ht="12.8" hidden="false" customHeight="false" outlineLevel="0" collapsed="false">
      <c r="B63475" s="0" t="s">
        <v>7</v>
      </c>
    </row>
    <row r="63476" customFormat="false" ht="12.8" hidden="false" customHeight="false" outlineLevel="0" collapsed="false">
      <c r="B63476" s="0" t="s">
        <v>14</v>
      </c>
    </row>
    <row r="63478" customFormat="false" ht="12.8" hidden="false" customHeight="false" outlineLevel="0" collapsed="false">
      <c r="A63478" s="0" t="s">
        <v>21732</v>
      </c>
      <c r="B63478" s="0" t="str">
        <f aca="false">HYPERLINK("https://lindat.mff.cuni.cz/services/teitok/pdtc10/index.php?action=vallex&amp;frame=v-w8713f3", "zabetonovat (v-w8713f3)")</f>
        <v>zabetonovat (v-w8713f3)</v>
      </c>
    </row>
    <row r="63479" customFormat="false" ht="12.8" hidden="false" customHeight="false" outlineLevel="0" collapsed="false">
      <c r="B63479" s="0" t="s">
        <v>7</v>
      </c>
    </row>
    <row r="63480" customFormat="false" ht="12.8" hidden="false" customHeight="false" outlineLevel="0" collapsed="false">
      <c r="B63480" s="0" t="s">
        <v>14</v>
      </c>
    </row>
    <row r="63482" customFormat="false" ht="12.8" hidden="false" customHeight="false" outlineLevel="0" collapsed="false">
      <c r="A63482" s="0" t="s">
        <v>21733</v>
      </c>
      <c r="B63482" s="0" t="str">
        <f aca="false">HYPERLINK("https://lindat.mff.cuni.cz/services/teitok/pdtc10/index.php?action=vallex&amp;frame=v-w8715f3_ZU", "zabezpečit (v-w8715f3_ZU)")</f>
        <v>zabezpečit (v-w8715f3_ZU)</v>
      </c>
    </row>
    <row r="63483" customFormat="false" ht="12.8" hidden="false" customHeight="false" outlineLevel="0" collapsed="false">
      <c r="B63483" s="0" t="s">
        <v>7</v>
      </c>
    </row>
    <row r="63484" customFormat="false" ht="12.8" hidden="false" customHeight="false" outlineLevel="0" collapsed="false">
      <c r="B63484" s="0" t="s">
        <v>14</v>
      </c>
    </row>
    <row r="63485" customFormat="false" ht="12.8" hidden="false" customHeight="false" outlineLevel="0" collapsed="false">
      <c r="B63485" s="0" t="s">
        <v>416</v>
      </c>
    </row>
    <row r="63487" customFormat="false" ht="12.8" hidden="false" customHeight="false" outlineLevel="0" collapsed="false">
      <c r="A63487" s="0" t="s">
        <v>21733</v>
      </c>
      <c r="B63487" s="0" t="str">
        <f aca="false">HYPERLINK("https://lindat.mff.cuni.cz/services/teitok/pdtc10/index.php?action=vallex&amp;frame=v-w8715f2", "zabezpečit (v-w8715f2) - substituted with v-w8715f3_ZU")</f>
        <v>zabezpečit (v-w8715f2) - substituted with v-w8715f3_ZU</v>
      </c>
    </row>
    <row r="63488" customFormat="false" ht="12.8" hidden="false" customHeight="false" outlineLevel="0" collapsed="false">
      <c r="B63488" s="0" t="s">
        <v>7</v>
      </c>
    </row>
    <row r="63489" customFormat="false" ht="12.8" hidden="false" customHeight="false" outlineLevel="0" collapsed="false">
      <c r="B63489" s="0" t="s">
        <v>14</v>
      </c>
      <c r="C63489" s="0" t="s">
        <v>7506</v>
      </c>
    </row>
    <row r="63490" customFormat="false" ht="12.8" hidden="false" customHeight="false" outlineLevel="0" collapsed="false">
      <c r="B63490" s="0" t="s">
        <v>416</v>
      </c>
    </row>
    <row r="63492" customFormat="false" ht="12.8" hidden="false" customHeight="false" outlineLevel="0" collapsed="false">
      <c r="A63492" s="0" t="s">
        <v>21734</v>
      </c>
      <c r="B63492" s="0" t="str">
        <f aca="false">HYPERLINK("https://lindat.mff.cuni.cz/services/teitok/pdtc10/index.php?action=vallex&amp;frame=v-w8715f1", "zabezpečit (v-w8715f1)")</f>
        <v>zabezpečit (v-w8715f1)</v>
      </c>
    </row>
    <row r="63493" customFormat="false" ht="12.8" hidden="false" customHeight="false" outlineLevel="0" collapsed="false">
      <c r="B63493" s="0" t="s">
        <v>7</v>
      </c>
      <c r="C63493" s="0" t="s">
        <v>1380</v>
      </c>
      <c r="D63493" s="0" t="s">
        <v>3610</v>
      </c>
      <c r="E63493" s="0" t="s">
        <v>3610</v>
      </c>
      <c r="F63493" s="0" t="s">
        <v>3610</v>
      </c>
    </row>
    <row r="63494" customFormat="false" ht="12.8" hidden="false" customHeight="false" outlineLevel="0" collapsed="false">
      <c r="B63494" s="0" t="s">
        <v>6839</v>
      </c>
      <c r="C63494" s="0" t="s">
        <v>47</v>
      </c>
      <c r="D63494" s="0" t="s">
        <v>7844</v>
      </c>
      <c r="E63494" s="0" t="s">
        <v>7844</v>
      </c>
      <c r="F63494" s="0" t="s">
        <v>7844</v>
      </c>
    </row>
    <row r="63496" customFormat="false" ht="12.8" hidden="false" customHeight="false" outlineLevel="0" collapsed="false">
      <c r="A63496" s="0" t="s">
        <v>21735</v>
      </c>
      <c r="B63496" s="0" t="str">
        <f aca="false">HYPERLINK("https://lindat.mff.cuni.cz/services/teitok/pdtc10/index.php?action=vallex&amp;frame=v-w8717f2", "zabezpečovat (v-w8717f2)")</f>
        <v>zabezpečovat (v-w8717f2)</v>
      </c>
    </row>
    <row r="63497" customFormat="false" ht="12.8" hidden="false" customHeight="false" outlineLevel="0" collapsed="false">
      <c r="B63497" s="0" t="s">
        <v>7</v>
      </c>
    </row>
    <row r="63498" customFormat="false" ht="12.8" hidden="false" customHeight="false" outlineLevel="0" collapsed="false">
      <c r="B63498" s="0" t="s">
        <v>14</v>
      </c>
    </row>
    <row r="63499" customFormat="false" ht="12.8" hidden="false" customHeight="false" outlineLevel="0" collapsed="false">
      <c r="B63499" s="0" t="s">
        <v>416</v>
      </c>
    </row>
    <row r="63501" customFormat="false" ht="12.8" hidden="false" customHeight="false" outlineLevel="0" collapsed="false">
      <c r="A63501" s="0" t="s">
        <v>21736</v>
      </c>
      <c r="B63501" s="0" t="str">
        <f aca="false">HYPERLINK("https://lindat.mff.cuni.cz/services/teitok/pdtc10/index.php?action=vallex&amp;frame=v-w8717f1", "zabezpečovat (v-w8717f1)")</f>
        <v>zabezpečovat (v-w8717f1)</v>
      </c>
    </row>
    <row r="63502" customFormat="false" ht="12.8" hidden="false" customHeight="false" outlineLevel="0" collapsed="false">
      <c r="B63502" s="0" t="s">
        <v>7</v>
      </c>
      <c r="D63502" s="0" t="s">
        <v>3610</v>
      </c>
      <c r="E63502" s="0" t="s">
        <v>3610</v>
      </c>
      <c r="F63502" s="0" t="s">
        <v>3610</v>
      </c>
    </row>
    <row r="63503" customFormat="false" ht="12.8" hidden="false" customHeight="false" outlineLevel="0" collapsed="false">
      <c r="B63503" s="0" t="s">
        <v>54</v>
      </c>
      <c r="D63503" s="0" t="s">
        <v>7844</v>
      </c>
      <c r="E63503" s="0" t="s">
        <v>7844</v>
      </c>
      <c r="F63503" s="0" t="s">
        <v>7844</v>
      </c>
    </row>
    <row r="63505" customFormat="false" ht="12.8" hidden="false" customHeight="false" outlineLevel="0" collapsed="false">
      <c r="A63505" s="0" t="s">
        <v>21737</v>
      </c>
      <c r="B63505" s="0" t="str">
        <f aca="false">HYPERLINK("https://lindat.mff.cuni.cz/services/teitok/pdtc10/index.php?action=vallex&amp;frame=v-w8727f1", "zablokovat (v-w8727f1)")</f>
        <v>zablokovat (v-w8727f1)</v>
      </c>
    </row>
    <row r="63506" customFormat="false" ht="12.8" hidden="false" customHeight="false" outlineLevel="0" collapsed="false">
      <c r="B63506" s="0" t="s">
        <v>7</v>
      </c>
      <c r="C63506" s="0" t="s">
        <v>21738</v>
      </c>
      <c r="D63506" s="0" t="s">
        <v>184</v>
      </c>
      <c r="E63506" s="0" t="s">
        <v>184</v>
      </c>
      <c r="F63506" s="0" t="s">
        <v>184</v>
      </c>
    </row>
    <row r="63507" customFormat="false" ht="12.8" hidden="false" customHeight="false" outlineLevel="0" collapsed="false">
      <c r="B63507" s="0" t="s">
        <v>14</v>
      </c>
      <c r="C63507" s="0" t="s">
        <v>21739</v>
      </c>
      <c r="D63507" s="0" t="s">
        <v>47</v>
      </c>
      <c r="E63507" s="0" t="s">
        <v>47</v>
      </c>
      <c r="F63507" s="0" t="s">
        <v>47</v>
      </c>
    </row>
    <row r="63509" customFormat="false" ht="12.8" hidden="false" customHeight="false" outlineLevel="0" collapsed="false">
      <c r="A63509" s="0" t="s">
        <v>21740</v>
      </c>
      <c r="B63509" s="0" t="str">
        <f aca="false">HYPERLINK("https://lindat.mff.cuni.cz/services/teitok/pdtc10/index.php?action=vallex&amp;frame=v-w8727hsa_935", "zablokovat (v-w8727hsa_935)")</f>
        <v>zablokovat (v-w8727hsa_935)</v>
      </c>
    </row>
    <row r="63510" customFormat="false" ht="12.8" hidden="false" customHeight="false" outlineLevel="0" collapsed="false">
      <c r="B63510" s="0" t="s">
        <v>7</v>
      </c>
      <c r="C63510" s="0" t="s">
        <v>21741</v>
      </c>
      <c r="D63510" s="0" t="s">
        <v>252</v>
      </c>
      <c r="E63510" s="0" t="s">
        <v>253</v>
      </c>
      <c r="F63510" s="0" t="s">
        <v>253</v>
      </c>
    </row>
    <row r="63511" customFormat="false" ht="12.8" hidden="false" customHeight="false" outlineLevel="0" collapsed="false">
      <c r="B63511" s="0" t="s">
        <v>14</v>
      </c>
      <c r="C63511" s="0" t="s">
        <v>254</v>
      </c>
      <c r="D63511" s="0" t="s">
        <v>255</v>
      </c>
      <c r="E63511" s="0" t="s">
        <v>256</v>
      </c>
      <c r="F63511" s="0" t="s">
        <v>256</v>
      </c>
    </row>
    <row r="63513" customFormat="false" ht="12.8" hidden="false" customHeight="false" outlineLevel="0" collapsed="false">
      <c r="A63513" s="0" t="s">
        <v>21742</v>
      </c>
      <c r="B63513" s="0" t="str">
        <f aca="false">HYPERLINK("https://lindat.mff.cuni.cz/services/teitok/pdtc10/index.php?action=vallex&amp;frame=v-w8728f1", "zablokovat se (v-w8728f1)")</f>
        <v>zablokovat se (v-w8728f1)</v>
      </c>
    </row>
    <row r="63514" customFormat="false" ht="12.8" hidden="false" customHeight="false" outlineLevel="0" collapsed="false">
      <c r="B63514" s="0" t="s">
        <v>7</v>
      </c>
    </row>
    <row r="63516" customFormat="false" ht="12.8" hidden="false" customHeight="false" outlineLevel="0" collapsed="false">
      <c r="A63516" s="0" t="s">
        <v>21743</v>
      </c>
      <c r="B63516" s="0" t="str">
        <f aca="false">HYPERLINK("https://lindat.mff.cuni.cz/services/teitok/pdtc10/index.php?action=vallex&amp;frame=v-w8729f1", "zabloudit (v-w8729f1)")</f>
        <v>zabloudit (v-w8729f1)</v>
      </c>
    </row>
    <row r="63517" customFormat="false" ht="12.8" hidden="false" customHeight="false" outlineLevel="0" collapsed="false">
      <c r="B63517" s="0" t="s">
        <v>7</v>
      </c>
    </row>
    <row r="63519" customFormat="false" ht="12.8" hidden="false" customHeight="false" outlineLevel="0" collapsed="false">
      <c r="A63519" s="0" t="s">
        <v>21744</v>
      </c>
      <c r="B63519" s="0" t="str">
        <f aca="false">HYPERLINK("https://lindat.mff.cuni.cz/services/teitok/pdtc10/index.php?action=vallex&amp;frame=v-w8725f1", "zablátit (v-w8725f1)")</f>
        <v>zablátit (v-w8725f1)</v>
      </c>
    </row>
    <row r="63520" customFormat="false" ht="12.8" hidden="false" customHeight="false" outlineLevel="0" collapsed="false">
      <c r="B63520" s="0" t="s">
        <v>7</v>
      </c>
    </row>
    <row r="63521" customFormat="false" ht="12.8" hidden="false" customHeight="false" outlineLevel="0" collapsed="false">
      <c r="B63521" s="0" t="s">
        <v>14</v>
      </c>
    </row>
    <row r="63523" customFormat="false" ht="12.8" hidden="false" customHeight="false" outlineLevel="0" collapsed="false">
      <c r="A63523" s="0" t="s">
        <v>21745</v>
      </c>
      <c r="B63523" s="0" t="str">
        <f aca="false">HYPERLINK("https://lindat.mff.cuni.cz/services/teitok/pdtc10/index.php?action=vallex&amp;frame=v-w10089f2", "zablýskat (v-w10089f2)")</f>
        <v>zablýskat (v-w10089f2)</v>
      </c>
    </row>
    <row r="63524" customFormat="false" ht="12.8" hidden="false" customHeight="false" outlineLevel="0" collapsed="false">
      <c r="B63524" s="0" t="s">
        <v>7</v>
      </c>
      <c r="C63524" s="0" t="s">
        <v>191</v>
      </c>
    </row>
    <row r="63525" customFormat="false" ht="12.8" hidden="false" customHeight="false" outlineLevel="0" collapsed="false">
      <c r="B63525" s="0" t="s">
        <v>216</v>
      </c>
      <c r="C63525" s="0" t="s">
        <v>155</v>
      </c>
    </row>
    <row r="63527" customFormat="false" ht="12.8" hidden="false" customHeight="false" outlineLevel="0" collapsed="false">
      <c r="A63527" s="0" t="s">
        <v>21746</v>
      </c>
      <c r="B63527" s="0" t="str">
        <f aca="false">HYPERLINK("https://lindat.mff.cuni.cz/services/teitok/pdtc10/index.php?action=vallex&amp;frame=v-w8730f1", "zabodnout (v-w8730f1)")</f>
        <v>zabodnout (v-w8730f1)</v>
      </c>
    </row>
    <row r="63528" customFormat="false" ht="12.8" hidden="false" customHeight="false" outlineLevel="0" collapsed="false">
      <c r="B63528" s="0" t="s">
        <v>7</v>
      </c>
    </row>
    <row r="63529" customFormat="false" ht="12.8" hidden="false" customHeight="false" outlineLevel="0" collapsed="false">
      <c r="B63529" s="0" t="s">
        <v>14</v>
      </c>
    </row>
    <row r="63530" customFormat="false" ht="12.8" hidden="false" customHeight="false" outlineLevel="0" collapsed="false">
      <c r="B63530" s="0" t="s">
        <v>11</v>
      </c>
    </row>
    <row r="63532" customFormat="false" ht="12.8" hidden="false" customHeight="false" outlineLevel="0" collapsed="false">
      <c r="A63532" s="0" t="s">
        <v>21747</v>
      </c>
      <c r="B63532" s="0" t="str">
        <f aca="false">HYPERLINK("https://lindat.mff.cuni.cz/services/teitok/pdtc10/index.php?action=vallex&amp;frame=v-w8730f2", "zabodnout (v-w8730f2)")</f>
        <v>zabodnout (v-w8730f2)</v>
      </c>
    </row>
    <row r="63533" customFormat="false" ht="12.8" hidden="false" customHeight="false" outlineLevel="0" collapsed="false">
      <c r="B63533" s="0" t="s">
        <v>7</v>
      </c>
    </row>
    <row r="63534" customFormat="false" ht="12.8" hidden="false" customHeight="false" outlineLevel="0" collapsed="false">
      <c r="B63534" s="0" t="s">
        <v>14</v>
      </c>
    </row>
    <row r="63535" customFormat="false" ht="12.8" hidden="false" customHeight="false" outlineLevel="0" collapsed="false">
      <c r="B63535" s="0" t="s">
        <v>124</v>
      </c>
    </row>
    <row r="63537" customFormat="false" ht="12.8" hidden="false" customHeight="false" outlineLevel="0" collapsed="false">
      <c r="A63537" s="0" t="s">
        <v>21748</v>
      </c>
      <c r="B63537" s="0" t="str">
        <f aca="false">HYPERLINK("https://lindat.mff.cuni.cz/services/teitok/pdtc10/index.php?action=vallex&amp;frame=v-w8731f1", "zabodovat (v-w8731f1)")</f>
        <v>zabodovat (v-w8731f1)</v>
      </c>
    </row>
    <row r="63538" customFormat="false" ht="12.8" hidden="false" customHeight="false" outlineLevel="0" collapsed="false">
      <c r="B63538" s="0" t="s">
        <v>7</v>
      </c>
    </row>
    <row r="63539" customFormat="false" ht="12.8" hidden="false" customHeight="false" outlineLevel="0" collapsed="false">
      <c r="B63539" s="0" t="s">
        <v>300</v>
      </c>
    </row>
    <row r="63541" customFormat="false" ht="12.8" hidden="false" customHeight="false" outlineLevel="0" collapsed="false">
      <c r="A63541" s="0" t="s">
        <v>21749</v>
      </c>
      <c r="B63541" s="0" t="str">
        <f aca="false">HYPERLINK("https://lindat.mff.cuni.cz/services/teitok/pdtc10/index.php?action=vallex&amp;frame=v-w11796_ZUf1_ZU", "zabolet (v-w11796_ZUf1_ZU)")</f>
        <v>zabolet (v-w11796_ZUf1_ZU)</v>
      </c>
    </row>
    <row r="63542" customFormat="false" ht="12.8" hidden="false" customHeight="false" outlineLevel="0" collapsed="false">
      <c r="B63542" s="0" t="s">
        <v>199</v>
      </c>
    </row>
    <row r="63543" customFormat="false" ht="12.8" hidden="false" customHeight="false" outlineLevel="0" collapsed="false">
      <c r="B63543" s="0" t="s">
        <v>3553</v>
      </c>
    </row>
    <row r="63545" customFormat="false" ht="12.8" hidden="false" customHeight="false" outlineLevel="0" collapsed="false">
      <c r="A63545" s="0" t="s">
        <v>21750</v>
      </c>
      <c r="B63545" s="0" t="str">
        <f aca="false">HYPERLINK("https://lindat.mff.cuni.cz/services/teitok/pdtc10/index.php?action=vallex&amp;frame=v-w12002_ZUf2_ZU", "zabouchat (v-w12002_ZUf2_ZU)")</f>
        <v>zabouchat (v-w12002_ZUf2_ZU)</v>
      </c>
    </row>
    <row r="63546" customFormat="false" ht="12.8" hidden="false" customHeight="false" outlineLevel="0" collapsed="false">
      <c r="B63546" s="0" t="s">
        <v>7</v>
      </c>
    </row>
    <row r="63547" customFormat="false" ht="12.8" hidden="false" customHeight="false" outlineLevel="0" collapsed="false">
      <c r="B63547" s="0" t="s">
        <v>338</v>
      </c>
    </row>
    <row r="63549" customFormat="false" ht="12.8" hidden="false" customHeight="false" outlineLevel="0" collapsed="false">
      <c r="A63549" s="0" t="s">
        <v>21750</v>
      </c>
      <c r="B63549" s="0" t="str">
        <f aca="false">HYPERLINK("https://lindat.mff.cuni.cz/services/teitok/pdtc10/index.php?action=vallex&amp;frame=v-w12002_ZUf1_ZU", "zabouchat (v-w12002_ZUf1_ZU) - substituted with v-w12002_ZUf2_ZU")</f>
        <v>zabouchat (v-w12002_ZUf1_ZU) - substituted with v-w12002_ZUf2_ZU</v>
      </c>
    </row>
    <row r="63550" customFormat="false" ht="12.8" hidden="false" customHeight="false" outlineLevel="0" collapsed="false">
      <c r="B63550" s="0" t="s">
        <v>7</v>
      </c>
    </row>
    <row r="63551" customFormat="false" ht="12.8" hidden="false" customHeight="false" outlineLevel="0" collapsed="false">
      <c r="B63551" s="0" t="s">
        <v>338</v>
      </c>
    </row>
    <row r="63553" customFormat="false" ht="12.8" hidden="false" customHeight="false" outlineLevel="0" collapsed="false">
      <c r="A63553" s="0" t="s">
        <v>21751</v>
      </c>
      <c r="B63553" s="0" t="str">
        <f aca="false">HYPERLINK("https://lindat.mff.cuni.cz/services/teitok/pdtc10/index.php?action=vallex&amp;frame=v-w8734f1", "zabouchnout (v-w8734f1)")</f>
        <v>zabouchnout (v-w8734f1)</v>
      </c>
    </row>
    <row r="63554" customFormat="false" ht="12.8" hidden="false" customHeight="false" outlineLevel="0" collapsed="false">
      <c r="B63554" s="0" t="s">
        <v>7</v>
      </c>
    </row>
    <row r="63555" customFormat="false" ht="12.8" hidden="false" customHeight="false" outlineLevel="0" collapsed="false">
      <c r="B63555" s="0" t="s">
        <v>14</v>
      </c>
    </row>
    <row r="63557" customFormat="false" ht="12.8" hidden="false" customHeight="false" outlineLevel="0" collapsed="false">
      <c r="A63557" s="0" t="s">
        <v>21752</v>
      </c>
      <c r="B63557" s="0" t="str">
        <f aca="false">HYPERLINK("https://lindat.mff.cuni.cz/services/teitok/pdtc10/index.php?action=vallex&amp;frame=v-w11302f1", "zabouchnout se (v-w11302f1)")</f>
        <v>zabouchnout se (v-w11302f1)</v>
      </c>
    </row>
    <row r="63558" customFormat="false" ht="12.8" hidden="false" customHeight="false" outlineLevel="0" collapsed="false">
      <c r="B63558" s="0" t="s">
        <v>7</v>
      </c>
    </row>
    <row r="63560" customFormat="false" ht="12.8" hidden="false" customHeight="false" outlineLevel="0" collapsed="false">
      <c r="A63560" s="0" t="s">
        <v>21753</v>
      </c>
      <c r="B63560" s="0" t="str">
        <f aca="false">HYPERLINK("https://lindat.mff.cuni.cz/services/teitok/pdtc10/index.php?action=vallex&amp;frame=v-w8733f1", "zabořit (v-w8733f1)")</f>
        <v>zabořit (v-w8733f1)</v>
      </c>
    </row>
    <row r="63561" customFormat="false" ht="12.8" hidden="false" customHeight="false" outlineLevel="0" collapsed="false">
      <c r="B63561" s="0" t="s">
        <v>7</v>
      </c>
    </row>
    <row r="63562" customFormat="false" ht="12.8" hidden="false" customHeight="false" outlineLevel="0" collapsed="false">
      <c r="B63562" s="0" t="s">
        <v>14</v>
      </c>
    </row>
    <row r="63563" customFormat="false" ht="12.8" hidden="false" customHeight="false" outlineLevel="0" collapsed="false">
      <c r="B63563" s="0" t="s">
        <v>124</v>
      </c>
    </row>
    <row r="63565" customFormat="false" ht="12.8" hidden="false" customHeight="false" outlineLevel="0" collapsed="false">
      <c r="A63565" s="0" t="s">
        <v>21754</v>
      </c>
      <c r="B63565" s="0" t="str">
        <f aca="false">HYPERLINK("https://lindat.mff.cuni.cz/services/teitok/pdtc10/index.php?action=vallex&amp;frame=v-w8738f1", "zabrat (v-w8738f1)")</f>
        <v>zabrat (v-w8738f1)</v>
      </c>
    </row>
    <row r="63566" customFormat="false" ht="12.8" hidden="false" customHeight="false" outlineLevel="0" collapsed="false">
      <c r="B63566" s="0" t="s">
        <v>7</v>
      </c>
      <c r="C63566" s="0" t="s">
        <v>21755</v>
      </c>
    </row>
    <row r="63567" customFormat="false" ht="12.8" hidden="false" customHeight="false" outlineLevel="0" collapsed="false">
      <c r="B63567" s="0" t="s">
        <v>14</v>
      </c>
      <c r="C63567" s="0" t="s">
        <v>6860</v>
      </c>
    </row>
    <row r="63568" customFormat="false" ht="12.8" hidden="false" customHeight="false" outlineLevel="0" collapsed="false">
      <c r="B63568" s="0" t="s">
        <v>4778</v>
      </c>
    </row>
    <row r="63570" customFormat="false" ht="12.8" hidden="false" customHeight="false" outlineLevel="0" collapsed="false">
      <c r="A63570" s="0" t="s">
        <v>21756</v>
      </c>
      <c r="B63570" s="0" t="str">
        <f aca="false">HYPERLINK("https://lindat.mff.cuni.cz/services/teitok/pdtc10/index.php?action=vallex&amp;frame=v-w8738hsa_46", "zabrat (v-w8738hsa_46)")</f>
        <v>zabrat (v-w8738hsa_46)</v>
      </c>
    </row>
    <row r="63571" customFormat="false" ht="12.8" hidden="false" customHeight="false" outlineLevel="0" collapsed="false">
      <c r="B63571" s="0" t="s">
        <v>21757</v>
      </c>
      <c r="C63571" s="0" t="s">
        <v>21758</v>
      </c>
      <c r="D63571" s="0" t="s">
        <v>17205</v>
      </c>
      <c r="E63571" s="0" t="s">
        <v>17205</v>
      </c>
      <c r="F63571" s="0" t="s">
        <v>17205</v>
      </c>
    </row>
    <row r="63572" customFormat="false" ht="12.8" hidden="false" customHeight="false" outlineLevel="0" collapsed="false">
      <c r="B63572" s="0" t="s">
        <v>14</v>
      </c>
      <c r="C63572" s="0" t="s">
        <v>1205</v>
      </c>
      <c r="D63572" s="0" t="s">
        <v>8765</v>
      </c>
      <c r="E63572" s="0" t="s">
        <v>8765</v>
      </c>
      <c r="F63572" s="0" t="s">
        <v>8765</v>
      </c>
    </row>
    <row r="63574" customFormat="false" ht="12.8" hidden="false" customHeight="false" outlineLevel="0" collapsed="false">
      <c r="A63574" s="0" t="s">
        <v>21756</v>
      </c>
      <c r="B63574" s="0" t="str">
        <f aca="false">HYPERLINK("https://lindat.mff.cuni.cz/services/teitok/pdtc10/index.php?action=vallex&amp;frame=v-w8738f4", "zabrat (v-w8738f4) - substituted with v-w8738hsa_46")</f>
        <v>zabrat (v-w8738f4) - substituted with v-w8738hsa_46</v>
      </c>
    </row>
    <row r="63575" customFormat="false" ht="12.8" hidden="false" customHeight="false" outlineLevel="0" collapsed="false">
      <c r="B63575" s="0" t="s">
        <v>21757</v>
      </c>
      <c r="C63575" s="0" t="s">
        <v>21759</v>
      </c>
    </row>
    <row r="63576" customFormat="false" ht="12.8" hidden="false" customHeight="false" outlineLevel="0" collapsed="false">
      <c r="B63576" s="0" t="s">
        <v>14</v>
      </c>
      <c r="C63576" s="0" t="s">
        <v>21760</v>
      </c>
    </row>
    <row r="63578" customFormat="false" ht="12.8" hidden="false" customHeight="false" outlineLevel="0" collapsed="false">
      <c r="A63578" s="0" t="s">
        <v>21761</v>
      </c>
      <c r="B63578" s="0" t="str">
        <f aca="false">HYPERLINK("https://lindat.mff.cuni.cz/services/teitok/pdtc10/index.php?action=vallex&amp;frame=v-w8738f7", "zabrat (v-w8738f7)")</f>
        <v>zabrat (v-w8738f7)</v>
      </c>
    </row>
    <row r="63579" customFormat="false" ht="12.8" hidden="false" customHeight="false" outlineLevel="0" collapsed="false">
      <c r="B63579" s="0" t="s">
        <v>7</v>
      </c>
    </row>
    <row r="63580" customFormat="false" ht="12.8" hidden="false" customHeight="false" outlineLevel="0" collapsed="false">
      <c r="B63580" s="0" t="s">
        <v>14</v>
      </c>
    </row>
    <row r="63582" customFormat="false" ht="12.8" hidden="false" customHeight="false" outlineLevel="0" collapsed="false">
      <c r="A63582" s="0" t="s">
        <v>21762</v>
      </c>
      <c r="B63582" s="0" t="str">
        <f aca="false">HYPERLINK("https://lindat.mff.cuni.cz/services/teitok/pdtc10/index.php?action=vallex&amp;frame=v-w8738f3", "zabrat (v-w8738f3)")</f>
        <v>zabrat (v-w8738f3)</v>
      </c>
    </row>
    <row r="63583" customFormat="false" ht="12.8" hidden="false" customHeight="false" outlineLevel="0" collapsed="false">
      <c r="B63583" s="0" t="s">
        <v>7</v>
      </c>
    </row>
    <row r="63584" customFormat="false" ht="12.8" hidden="false" customHeight="false" outlineLevel="0" collapsed="false">
      <c r="B63584" s="0" t="s">
        <v>41</v>
      </c>
    </row>
    <row r="63586" customFormat="false" ht="12.8" hidden="false" customHeight="false" outlineLevel="0" collapsed="false">
      <c r="A63586" s="0" t="s">
        <v>21763</v>
      </c>
      <c r="B63586" s="0" t="str">
        <f aca="false">HYPERLINK("https://lindat.mff.cuni.cz/services/teitok/pdtc10/index.php?action=vallex&amp;frame=v-w8738f8_ZU", "zabrat (v-w8738f8_ZU)")</f>
        <v>zabrat (v-w8738f8_ZU)</v>
      </c>
    </row>
    <row r="63587" customFormat="false" ht="12.8" hidden="false" customHeight="false" outlineLevel="0" collapsed="false">
      <c r="B63587" s="0" t="s">
        <v>7</v>
      </c>
      <c r="C63587" s="0" t="s">
        <v>20315</v>
      </c>
    </row>
    <row r="63588" customFormat="false" ht="12.8" hidden="false" customHeight="false" outlineLevel="0" collapsed="false">
      <c r="B63588" s="0" t="s">
        <v>14</v>
      </c>
      <c r="C63588" s="0" t="s">
        <v>1315</v>
      </c>
    </row>
    <row r="63590" customFormat="false" ht="12.8" hidden="false" customHeight="false" outlineLevel="0" collapsed="false">
      <c r="A63590" s="0" t="s">
        <v>21764</v>
      </c>
      <c r="B63590" s="0" t="str">
        <f aca="false">HYPERLINK("https://lindat.mff.cuni.cz/services/teitok/pdtc10/index.php?action=vallex&amp;frame=v-w8738f2", "zabrat (v-w8738f2)")</f>
        <v>zabrat (v-w8738f2)</v>
      </c>
    </row>
    <row r="63591" customFormat="false" ht="12.8" hidden="false" customHeight="false" outlineLevel="0" collapsed="false">
      <c r="B63591" s="0" t="s">
        <v>7</v>
      </c>
    </row>
    <row r="63593" customFormat="false" ht="12.8" hidden="false" customHeight="false" outlineLevel="0" collapsed="false">
      <c r="A63593" s="0" t="s">
        <v>21765</v>
      </c>
      <c r="B63593" s="0" t="str">
        <f aca="false">HYPERLINK("https://lindat.mff.cuni.cz/services/teitok/pdtc10/index.php?action=vallex&amp;frame=v-w8738f5", "zabrat (v-w8738f5)")</f>
        <v>zabrat (v-w8738f5)</v>
      </c>
    </row>
    <row r="63594" customFormat="false" ht="12.8" hidden="false" customHeight="false" outlineLevel="0" collapsed="false">
      <c r="B63594" s="0" t="s">
        <v>7</v>
      </c>
      <c r="C63594" s="0" t="s">
        <v>21766</v>
      </c>
      <c r="D63594" s="0" t="s">
        <v>868</v>
      </c>
      <c r="E63594" s="0" t="s">
        <v>868</v>
      </c>
      <c r="F63594" s="0" t="s">
        <v>868</v>
      </c>
    </row>
    <row r="63596" customFormat="false" ht="12.8" hidden="false" customHeight="false" outlineLevel="0" collapsed="false">
      <c r="A63596" s="0" t="s">
        <v>21767</v>
      </c>
      <c r="B63596" s="0" t="str">
        <f aca="false">HYPERLINK("https://lindat.mff.cuni.cz/services/teitok/pdtc10/index.php?action=vallex&amp;frame=v-w8738f6", "zabrat (v-w8738f6)")</f>
        <v>zabrat (v-w8738f6)</v>
      </c>
    </row>
    <row r="63597" customFormat="false" ht="12.8" hidden="false" customHeight="false" outlineLevel="0" collapsed="false">
      <c r="B63597" s="0" t="s">
        <v>7</v>
      </c>
    </row>
    <row r="63599" customFormat="false" ht="12.8" hidden="false" customHeight="false" outlineLevel="0" collapsed="false">
      <c r="A63599" s="0" t="s">
        <v>21768</v>
      </c>
      <c r="B63599" s="0" t="str">
        <f aca="false">HYPERLINK("https://lindat.mff.cuni.cz/services/teitok/pdtc10/index.php?action=vallex&amp;frame=v-w8738f9_ZU", "zabrat (v-w8738f9_ZU)")</f>
        <v>zabrat (v-w8738f9_ZU)</v>
      </c>
    </row>
    <row r="63600" customFormat="false" ht="12.8" hidden="false" customHeight="false" outlineLevel="0" collapsed="false">
      <c r="B63600" s="0" t="s">
        <v>7</v>
      </c>
    </row>
    <row r="63601" customFormat="false" ht="12.8" hidden="false" customHeight="false" outlineLevel="0" collapsed="false">
      <c r="B63601" s="0" t="s">
        <v>14</v>
      </c>
    </row>
    <row r="63603" customFormat="false" ht="12.8" hidden="false" customHeight="false" outlineLevel="0" collapsed="false">
      <c r="A63603" s="0" t="s">
        <v>21769</v>
      </c>
      <c r="B63603" s="0" t="str">
        <f aca="false">HYPERLINK("https://lindat.mff.cuni.cz/services/teitok/pdtc10/index.php?action=vallex&amp;frame=v-w8738hsa_43", "zabrat (v-w8738hsa_43)")</f>
        <v>zabrat (v-w8738hsa_43)</v>
      </c>
    </row>
    <row r="63604" customFormat="false" ht="12.8" hidden="false" customHeight="false" outlineLevel="0" collapsed="false">
      <c r="B63604" s="0" t="s">
        <v>7</v>
      </c>
    </row>
    <row r="63605" customFormat="false" ht="12.8" hidden="false" customHeight="false" outlineLevel="0" collapsed="false">
      <c r="B63605" s="0" t="s">
        <v>14</v>
      </c>
    </row>
    <row r="63607" customFormat="false" ht="12.8" hidden="false" customHeight="false" outlineLevel="0" collapsed="false">
      <c r="A63607" s="0" t="s">
        <v>21770</v>
      </c>
      <c r="B63607" s="0" t="str">
        <f aca="false">HYPERLINK("https://lindat.mff.cuni.cz/services/teitok/pdtc10/index.php?action=vallex&amp;frame=v-w12071_ZUf1_ZU", "zabrat se (v-w12071_ZUf1_ZU)")</f>
        <v>zabrat se (v-w12071_ZUf1_ZU)</v>
      </c>
    </row>
    <row r="63608" customFormat="false" ht="12.8" hidden="false" customHeight="false" outlineLevel="0" collapsed="false">
      <c r="B63608" s="0" t="s">
        <v>7</v>
      </c>
    </row>
    <row r="63609" customFormat="false" ht="12.8" hidden="false" customHeight="false" outlineLevel="0" collapsed="false">
      <c r="B63609" s="0" t="s">
        <v>985</v>
      </c>
    </row>
    <row r="63611" customFormat="false" ht="12.8" hidden="false" customHeight="false" outlineLevel="0" collapsed="false">
      <c r="A63611" s="0" t="s">
        <v>21771</v>
      </c>
      <c r="B63611" s="0" t="str">
        <f aca="false">HYPERLINK("https://lindat.mff.cuni.cz/services/teitok/pdtc10/index.php?action=vallex&amp;frame=v-w8737f2", "zabraňovat (v-w8737f2)")</f>
        <v>zabraňovat (v-w8737f2)</v>
      </c>
    </row>
    <row r="63612" customFormat="false" ht="12.8" hidden="false" customHeight="false" outlineLevel="0" collapsed="false">
      <c r="B63612" s="0" t="s">
        <v>7</v>
      </c>
      <c r="C63612" s="0" t="s">
        <v>21772</v>
      </c>
      <c r="D63612" s="0" t="s">
        <v>403</v>
      </c>
      <c r="E63612" s="0" t="s">
        <v>403</v>
      </c>
      <c r="F63612" s="0" t="s">
        <v>403</v>
      </c>
    </row>
    <row r="63613" customFormat="false" ht="12.8" hidden="false" customHeight="false" outlineLevel="0" collapsed="false">
      <c r="B63613" s="0" t="s">
        <v>21773</v>
      </c>
      <c r="C63613" s="0" t="s">
        <v>21774</v>
      </c>
      <c r="D63613" s="0" t="s">
        <v>406</v>
      </c>
      <c r="E63613" s="0" t="s">
        <v>406</v>
      </c>
      <c r="F63613" s="0" t="s">
        <v>406</v>
      </c>
    </row>
    <row r="63614" customFormat="false" ht="12.8" hidden="false" customHeight="false" outlineLevel="0" collapsed="false">
      <c r="B63614" s="0" t="s">
        <v>48</v>
      </c>
      <c r="C63614" s="0" t="s">
        <v>21775</v>
      </c>
      <c r="D63614" s="0" t="s">
        <v>408</v>
      </c>
      <c r="E63614" s="0" t="s">
        <v>408</v>
      </c>
      <c r="F63614" s="0" t="s">
        <v>408</v>
      </c>
    </row>
    <row r="63616" customFormat="false" ht="12.8" hidden="false" customHeight="false" outlineLevel="0" collapsed="false">
      <c r="A63616" s="0" t="s">
        <v>21776</v>
      </c>
      <c r="B63616" s="0" t="str">
        <f aca="false">HYPERLINK("https://lindat.mff.cuni.cz/services/teitok/pdtc10/index.php?action=vallex&amp;frame=v-w8737f1", "zabraňovat (v-w8737f1)")</f>
        <v>zabraňovat (v-w8737f1)</v>
      </c>
    </row>
    <row r="63617" customFormat="false" ht="12.8" hidden="false" customHeight="false" outlineLevel="0" collapsed="false">
      <c r="B63617" s="0" t="s">
        <v>7</v>
      </c>
      <c r="C63617" s="0" t="s">
        <v>21777</v>
      </c>
      <c r="D63617" s="0" t="s">
        <v>252</v>
      </c>
      <c r="E63617" s="0" t="s">
        <v>253</v>
      </c>
      <c r="F63617" s="0" t="s">
        <v>253</v>
      </c>
    </row>
    <row r="63618" customFormat="false" ht="12.8" hidden="false" customHeight="false" outlineLevel="0" collapsed="false">
      <c r="B63618" s="0" t="s">
        <v>142</v>
      </c>
      <c r="C63618" s="0" t="s">
        <v>21778</v>
      </c>
      <c r="D63618" s="0" t="s">
        <v>255</v>
      </c>
      <c r="E63618" s="0" t="s">
        <v>256</v>
      </c>
      <c r="F63618" s="0" t="s">
        <v>256</v>
      </c>
    </row>
    <row r="63620" customFormat="false" ht="12.8" hidden="false" customHeight="false" outlineLevel="0" collapsed="false">
      <c r="A63620" s="0" t="s">
        <v>21779</v>
      </c>
      <c r="B63620" s="0" t="str">
        <f aca="false">HYPERLINK("https://lindat.mff.cuni.cz/services/teitok/pdtc10/index.php?action=vallex&amp;frame=v-w8739f2", "zabrnkat (v-w8739f2)")</f>
        <v>zabrnkat (v-w8739f2)</v>
      </c>
    </row>
    <row r="63621" customFormat="false" ht="12.8" hidden="false" customHeight="false" outlineLevel="0" collapsed="false">
      <c r="B63621" s="0" t="s">
        <v>7</v>
      </c>
    </row>
    <row r="63622" customFormat="false" ht="12.8" hidden="false" customHeight="false" outlineLevel="0" collapsed="false">
      <c r="B63622" s="0" t="s">
        <v>14</v>
      </c>
    </row>
    <row r="63624" customFormat="false" ht="12.8" hidden="false" customHeight="false" outlineLevel="0" collapsed="false">
      <c r="A63624" s="0" t="s">
        <v>21780</v>
      </c>
      <c r="B63624" s="0" t="str">
        <f aca="false">HYPERLINK("https://lindat.mff.cuni.cz/services/teitok/pdtc10/index.php?action=vallex&amp;frame=v-w8739f1", "zabrnkat (v-w8739f1)")</f>
        <v>zabrnkat (v-w8739f1)</v>
      </c>
    </row>
    <row r="63625" customFormat="false" ht="12.8" hidden="false" customHeight="false" outlineLevel="0" collapsed="false">
      <c r="B63625" s="0" t="s">
        <v>7</v>
      </c>
    </row>
    <row r="63626" customFormat="false" ht="12.8" hidden="false" customHeight="false" outlineLevel="0" collapsed="false">
      <c r="B63626" s="0" t="s">
        <v>41</v>
      </c>
    </row>
    <row r="63628" customFormat="false" ht="12.8" hidden="false" customHeight="false" outlineLevel="0" collapsed="false">
      <c r="A63628" s="0" t="s">
        <v>21781</v>
      </c>
      <c r="B63628" s="0" t="str">
        <f aca="false">HYPERLINK("https://lindat.mff.cuni.cz/services/teitok/pdtc10/index.php?action=vallex&amp;frame=v-w10523f3", "zabrousit (v-w10523f3)")</f>
        <v>zabrousit (v-w10523f3)</v>
      </c>
    </row>
    <row r="63629" customFormat="false" ht="12.8" hidden="false" customHeight="false" outlineLevel="0" collapsed="false">
      <c r="B63629" s="0" t="s">
        <v>7</v>
      </c>
    </row>
    <row r="63630" customFormat="false" ht="12.8" hidden="false" customHeight="false" outlineLevel="0" collapsed="false">
      <c r="B63630" s="0" t="s">
        <v>124</v>
      </c>
    </row>
    <row r="63632" customFormat="false" ht="12.8" hidden="false" customHeight="false" outlineLevel="0" collapsed="false">
      <c r="A63632" s="0" t="s">
        <v>21782</v>
      </c>
      <c r="B63632" s="0" t="str">
        <f aca="false">HYPERLINK("https://lindat.mff.cuni.cz/services/teitok/pdtc10/index.php?action=vallex&amp;frame=v-w11673_ZUf1_ZU", "zabručet (v-w11673_ZUf1_ZU)")</f>
        <v>zabručet (v-w11673_ZUf1_ZU)</v>
      </c>
    </row>
    <row r="63633" customFormat="false" ht="12.8" hidden="false" customHeight="false" outlineLevel="0" collapsed="false">
      <c r="B63633" s="0" t="s">
        <v>7</v>
      </c>
      <c r="D63633" s="0" t="s">
        <v>184</v>
      </c>
      <c r="E63633" s="0" t="s">
        <v>184</v>
      </c>
      <c r="F63633" s="0" t="s">
        <v>184</v>
      </c>
    </row>
    <row r="63634" customFormat="false" ht="12.8" hidden="false" customHeight="false" outlineLevel="0" collapsed="false">
      <c r="B63634" s="0" t="s">
        <v>4101</v>
      </c>
    </row>
    <row r="63635" customFormat="false" ht="12.8" hidden="false" customHeight="false" outlineLevel="0" collapsed="false">
      <c r="B63635" s="0" t="s">
        <v>21783</v>
      </c>
      <c r="D63635" s="0" t="s">
        <v>47</v>
      </c>
      <c r="E63635" s="0" t="s">
        <v>47</v>
      </c>
      <c r="F63635" s="0" t="s">
        <v>47</v>
      </c>
    </row>
    <row r="63637" customFormat="false" ht="12.8" hidden="false" customHeight="false" outlineLevel="0" collapsed="false">
      <c r="A63637" s="0" t="s">
        <v>21784</v>
      </c>
      <c r="B63637" s="0" t="str">
        <f aca="false">HYPERLINK("https://lindat.mff.cuni.cz/services/teitok/pdtc10/index.php?action=vallex&amp;frame=v-w8740f1", "zabrzdit (v-w8740f1)")</f>
        <v>zabrzdit (v-w8740f1)</v>
      </c>
    </row>
    <row r="63638" customFormat="false" ht="12.8" hidden="false" customHeight="false" outlineLevel="0" collapsed="false">
      <c r="B63638" s="0" t="s">
        <v>7</v>
      </c>
    </row>
    <row r="63639" customFormat="false" ht="12.8" hidden="false" customHeight="false" outlineLevel="0" collapsed="false">
      <c r="B63639" s="0" t="s">
        <v>14</v>
      </c>
    </row>
    <row r="63641" customFormat="false" ht="12.8" hidden="false" customHeight="false" outlineLevel="0" collapsed="false">
      <c r="A63641" s="0" t="s">
        <v>21785</v>
      </c>
      <c r="B63641" s="0" t="str">
        <f aca="false">HYPERLINK("https://lindat.mff.cuni.cz/services/teitok/pdtc10/index.php?action=vallex&amp;frame=v-w8740f2", "zabrzdit (v-w8740f2)")</f>
        <v>zabrzdit (v-w8740f2)</v>
      </c>
    </row>
    <row r="63642" customFormat="false" ht="12.8" hidden="false" customHeight="false" outlineLevel="0" collapsed="false">
      <c r="B63642" s="0" t="s">
        <v>7</v>
      </c>
    </row>
    <row r="63643" customFormat="false" ht="12.8" hidden="false" customHeight="false" outlineLevel="0" collapsed="false">
      <c r="B63643" s="0" t="s">
        <v>14</v>
      </c>
      <c r="C63643" s="0" t="s">
        <v>567</v>
      </c>
    </row>
    <row r="63645" customFormat="false" ht="12.8" hidden="false" customHeight="false" outlineLevel="0" collapsed="false">
      <c r="A63645" s="0" t="s">
        <v>21786</v>
      </c>
      <c r="B63645" s="0" t="str">
        <f aca="false">HYPERLINK("https://lindat.mff.cuni.cz/services/teitok/pdtc10/index.php?action=vallex&amp;frame=v-w8735f2", "zabránit (v-w8735f2)")</f>
        <v>zabránit (v-w8735f2)</v>
      </c>
    </row>
    <row r="63646" customFormat="false" ht="12.8" hidden="false" customHeight="false" outlineLevel="0" collapsed="false">
      <c r="B63646" s="0" t="s">
        <v>7</v>
      </c>
      <c r="C63646" s="0" t="s">
        <v>21787</v>
      </c>
      <c r="D63646" s="0" t="s">
        <v>403</v>
      </c>
      <c r="E63646" s="0" t="s">
        <v>403</v>
      </c>
      <c r="F63646" s="0" t="s">
        <v>403</v>
      </c>
    </row>
    <row r="63647" customFormat="false" ht="12.8" hidden="false" customHeight="false" outlineLevel="0" collapsed="false">
      <c r="B63647" s="0" t="s">
        <v>21788</v>
      </c>
      <c r="C63647" s="0" t="s">
        <v>21789</v>
      </c>
      <c r="D63647" s="0" t="s">
        <v>406</v>
      </c>
      <c r="E63647" s="0" t="s">
        <v>406</v>
      </c>
      <c r="F63647" s="0" t="s">
        <v>406</v>
      </c>
    </row>
    <row r="63648" customFormat="false" ht="12.8" hidden="false" customHeight="false" outlineLevel="0" collapsed="false">
      <c r="B63648" s="0" t="s">
        <v>48</v>
      </c>
      <c r="C63648" s="0" t="s">
        <v>21790</v>
      </c>
      <c r="D63648" s="0" t="s">
        <v>408</v>
      </c>
      <c r="E63648" s="0" t="s">
        <v>408</v>
      </c>
      <c r="F63648" s="0" t="s">
        <v>408</v>
      </c>
    </row>
    <row r="63650" customFormat="false" ht="12.8" hidden="false" customHeight="false" outlineLevel="0" collapsed="false">
      <c r="A63650" s="0" t="s">
        <v>21791</v>
      </c>
      <c r="B63650" s="0" t="str">
        <f aca="false">HYPERLINK("https://lindat.mff.cuni.cz/services/teitok/pdtc10/index.php?action=vallex&amp;frame=v-w8735f3_ZU", "zabránit (v-w8735f3_ZU)")</f>
        <v>zabránit (v-w8735f3_ZU)</v>
      </c>
    </row>
    <row r="63651" customFormat="false" ht="12.8" hidden="false" customHeight="false" outlineLevel="0" collapsed="false">
      <c r="B63651" s="0" t="s">
        <v>7</v>
      </c>
      <c r="C63651" s="0" t="s">
        <v>21792</v>
      </c>
      <c r="D63651" s="0" t="s">
        <v>252</v>
      </c>
      <c r="E63651" s="0" t="s">
        <v>253</v>
      </c>
      <c r="F63651" s="0" t="s">
        <v>253</v>
      </c>
    </row>
    <row r="63652" customFormat="false" ht="12.8" hidden="false" customHeight="false" outlineLevel="0" collapsed="false">
      <c r="B63652" s="0" t="s">
        <v>8312</v>
      </c>
      <c r="C63652" s="0" t="s">
        <v>21793</v>
      </c>
      <c r="D63652" s="0" t="s">
        <v>255</v>
      </c>
      <c r="E63652" s="0" t="s">
        <v>256</v>
      </c>
      <c r="F63652" s="0" t="s">
        <v>256</v>
      </c>
    </row>
    <row r="63654" customFormat="false" ht="12.8" hidden="false" customHeight="false" outlineLevel="0" collapsed="false">
      <c r="A63654" s="0" t="s">
        <v>21791</v>
      </c>
      <c r="B63654" s="0" t="str">
        <f aca="false">HYPERLINK("https://lindat.mff.cuni.cz/services/teitok/pdtc10/index.php?action=vallex&amp;frame=v-w8735f1", "zabránit (v-w8735f1) - substituted with v-w8735f3_ZU")</f>
        <v>zabránit (v-w8735f1) - substituted with v-w8735f3_ZU</v>
      </c>
    </row>
    <row r="63655" customFormat="false" ht="12.8" hidden="false" customHeight="false" outlineLevel="0" collapsed="false">
      <c r="B63655" s="0" t="s">
        <v>7</v>
      </c>
      <c r="C63655" s="0" t="s">
        <v>21794</v>
      </c>
    </row>
    <row r="63656" customFormat="false" ht="12.8" hidden="false" customHeight="false" outlineLevel="0" collapsed="false">
      <c r="B63656" s="0" t="s">
        <v>8312</v>
      </c>
      <c r="C63656" s="0" t="s">
        <v>21795</v>
      </c>
    </row>
    <row r="63658" customFormat="false" ht="12.8" hidden="false" customHeight="false" outlineLevel="0" collapsed="false">
      <c r="A63658" s="0" t="s">
        <v>21796</v>
      </c>
      <c r="B63658" s="0" t="str">
        <f aca="false">HYPERLINK("https://lindat.mff.cuni.cz/services/teitok/pdtc10/index.php?action=vallex&amp;frame=v-w8742f2", "zabudovat (v-w8742f2)")</f>
        <v>zabudovat (v-w8742f2)</v>
      </c>
    </row>
    <row r="63659" customFormat="false" ht="12.8" hidden="false" customHeight="false" outlineLevel="0" collapsed="false">
      <c r="B63659" s="0" t="s">
        <v>7</v>
      </c>
    </row>
    <row r="63660" customFormat="false" ht="12.8" hidden="false" customHeight="false" outlineLevel="0" collapsed="false">
      <c r="B63660" s="0" t="s">
        <v>14</v>
      </c>
    </row>
    <row r="63661" customFormat="false" ht="12.8" hidden="false" customHeight="false" outlineLevel="0" collapsed="false">
      <c r="B63661" s="0" t="s">
        <v>11</v>
      </c>
    </row>
    <row r="63663" customFormat="false" ht="12.8" hidden="false" customHeight="false" outlineLevel="0" collapsed="false">
      <c r="A63663" s="0" t="s">
        <v>21797</v>
      </c>
      <c r="B63663" s="0" t="str">
        <f aca="false">HYPERLINK("https://lindat.mff.cuni.cz/services/teitok/pdtc10/index.php?action=vallex&amp;frame=v-w8742f1", "zabudovat (v-w8742f1)")</f>
        <v>zabudovat (v-w8742f1)</v>
      </c>
    </row>
    <row r="63664" customFormat="false" ht="12.8" hidden="false" customHeight="false" outlineLevel="0" collapsed="false">
      <c r="B63664" s="0" t="s">
        <v>7</v>
      </c>
      <c r="C63664" s="0" t="s">
        <v>191</v>
      </c>
      <c r="D63664" s="0" t="s">
        <v>46</v>
      </c>
      <c r="E63664" s="0" t="s">
        <v>46</v>
      </c>
      <c r="F63664" s="0" t="s">
        <v>46</v>
      </c>
    </row>
    <row r="63665" customFormat="false" ht="12.8" hidden="false" customHeight="false" outlineLevel="0" collapsed="false">
      <c r="B63665" s="0" t="s">
        <v>14</v>
      </c>
      <c r="C63665" s="0" t="s">
        <v>115</v>
      </c>
      <c r="D63665" s="0" t="s">
        <v>1170</v>
      </c>
      <c r="E63665" s="0" t="s">
        <v>1170</v>
      </c>
      <c r="F63665" s="0" t="s">
        <v>1170</v>
      </c>
    </row>
    <row r="63666" customFormat="false" ht="12.8" hidden="false" customHeight="false" outlineLevel="0" collapsed="false">
      <c r="B63666" s="0" t="s">
        <v>124</v>
      </c>
    </row>
    <row r="63668" customFormat="false" ht="12.8" hidden="false" customHeight="false" outlineLevel="0" collapsed="false">
      <c r="A63668" s="0" t="s">
        <v>21798</v>
      </c>
      <c r="B63668" s="0" t="str">
        <f aca="false">HYPERLINK("https://lindat.mff.cuni.cz/services/teitok/pdtc10/index.php?action=vallex&amp;frame=v-w10843f2", "zabušit (v-w10843f2)")</f>
        <v>zabušit (v-w10843f2)</v>
      </c>
    </row>
    <row r="63669" customFormat="false" ht="12.8" hidden="false" customHeight="false" outlineLevel="0" collapsed="false">
      <c r="B63669" s="0" t="s">
        <v>7</v>
      </c>
    </row>
    <row r="63670" customFormat="false" ht="12.8" hidden="false" customHeight="false" outlineLevel="0" collapsed="false">
      <c r="B63670" s="0" t="s">
        <v>124</v>
      </c>
    </row>
    <row r="63672" customFormat="false" ht="12.8" hidden="false" customHeight="false" outlineLevel="0" collapsed="false">
      <c r="A63672" s="0" t="s">
        <v>21799</v>
      </c>
      <c r="B63672" s="0" t="str">
        <f aca="false">HYPERLINK("https://lindat.mff.cuni.cz/services/teitok/pdtc10/index.php?action=vallex&amp;frame=v-w8744f1", "zabydlet se (v-w8744f1)")</f>
        <v>zabydlet se (v-w8744f1)</v>
      </c>
    </row>
    <row r="63673" customFormat="false" ht="12.8" hidden="false" customHeight="false" outlineLevel="0" collapsed="false">
      <c r="B63673" s="0" t="s">
        <v>7</v>
      </c>
    </row>
    <row r="63675" customFormat="false" ht="12.8" hidden="false" customHeight="false" outlineLevel="0" collapsed="false">
      <c r="A63675" s="0" t="s">
        <v>21800</v>
      </c>
      <c r="B63675" s="0" t="str">
        <f aca="false">HYPERLINK("https://lindat.mff.cuni.cz/services/teitok/pdtc10/index.php?action=vallex&amp;frame=v-w12124_ZUf1_ZU", "zabydlovat se (v-w12124_ZUf1_ZU)")</f>
        <v>zabydlovat se (v-w12124_ZUf1_ZU)</v>
      </c>
    </row>
    <row r="63676" customFormat="false" ht="12.8" hidden="false" customHeight="false" outlineLevel="0" collapsed="false">
      <c r="B63676" s="0" t="s">
        <v>7</v>
      </c>
    </row>
    <row r="63678" customFormat="false" ht="12.8" hidden="false" customHeight="false" outlineLevel="0" collapsed="false">
      <c r="A63678" s="0" t="s">
        <v>21801</v>
      </c>
      <c r="B63678" s="0" t="str">
        <f aca="false">HYPERLINK("https://lindat.mff.cuni.cz/services/teitok/pdtc10/index.php?action=vallex&amp;frame=v-w11633_ZUf1_ZU", "zabíhat (v-w11633_ZUf1_ZU)")</f>
        <v>zabíhat (v-w11633_ZUf1_ZU)</v>
      </c>
    </row>
    <row r="63679" customFormat="false" ht="12.8" hidden="false" customHeight="false" outlineLevel="0" collapsed="false">
      <c r="B63679" s="0" t="s">
        <v>7</v>
      </c>
      <c r="C63679" s="0" t="s">
        <v>46</v>
      </c>
    </row>
    <row r="63680" customFormat="false" ht="12.8" hidden="false" customHeight="false" outlineLevel="0" collapsed="false">
      <c r="B63680" s="0" t="s">
        <v>338</v>
      </c>
    </row>
    <row r="63682" customFormat="false" ht="12.8" hidden="false" customHeight="false" outlineLevel="0" collapsed="false">
      <c r="A63682" s="0" t="s">
        <v>21802</v>
      </c>
      <c r="B63682" s="0" t="str">
        <f aca="false">HYPERLINK("https://lindat.mff.cuni.cz/services/teitok/pdtc10/index.php?action=vallex&amp;frame=v-w11633_ZUhsa_962", "zabíhat (v-w11633_ZUhsa_962)")</f>
        <v>zabíhat (v-w11633_ZUhsa_962)</v>
      </c>
    </row>
    <row r="63683" customFormat="false" ht="12.8" hidden="false" customHeight="false" outlineLevel="0" collapsed="false">
      <c r="B63683" s="0" t="s">
        <v>7</v>
      </c>
      <c r="C63683" s="0" t="s">
        <v>2498</v>
      </c>
    </row>
    <row r="63684" customFormat="false" ht="12.8" hidden="false" customHeight="false" outlineLevel="0" collapsed="false">
      <c r="B63684" s="0" t="s">
        <v>279</v>
      </c>
    </row>
    <row r="63686" customFormat="false" ht="12.8" hidden="false" customHeight="false" outlineLevel="0" collapsed="false">
      <c r="A63686" s="0" t="s">
        <v>21803</v>
      </c>
      <c r="B63686" s="0" t="str">
        <f aca="false">HYPERLINK("https://lindat.mff.cuni.cz/services/teitok/pdtc10/index.php?action=vallex&amp;frame=v-w8719f1", "zabíjet (v-w8719f1)")</f>
        <v>zabíjet (v-w8719f1)</v>
      </c>
    </row>
    <row r="63687" customFormat="false" ht="12.8" hidden="false" customHeight="false" outlineLevel="0" collapsed="false">
      <c r="B63687" s="0" t="s">
        <v>7</v>
      </c>
      <c r="C63687" s="0" t="s">
        <v>1226</v>
      </c>
      <c r="D63687" s="0" t="s">
        <v>5057</v>
      </c>
      <c r="E63687" s="0" t="s">
        <v>5057</v>
      </c>
      <c r="F63687" s="0" t="s">
        <v>5057</v>
      </c>
    </row>
    <row r="63688" customFormat="false" ht="12.8" hidden="false" customHeight="false" outlineLevel="0" collapsed="false">
      <c r="B63688" s="0" t="s">
        <v>14</v>
      </c>
      <c r="C63688" s="0" t="s">
        <v>75</v>
      </c>
      <c r="D63688" s="0" t="s">
        <v>8042</v>
      </c>
      <c r="E63688" s="0" t="s">
        <v>8042</v>
      </c>
      <c r="F63688" s="0" t="s">
        <v>8042</v>
      </c>
    </row>
    <row r="63690" customFormat="false" ht="12.8" hidden="false" customHeight="false" outlineLevel="0" collapsed="false">
      <c r="A63690" s="0" t="s">
        <v>21804</v>
      </c>
      <c r="B63690" s="0" t="str">
        <f aca="false">HYPERLINK("https://lindat.mff.cuni.cz/services/teitok/pdtc10/index.php?action=vallex&amp;frame=v-w8720f1", "zabíjet se (v-w8720f1)")</f>
        <v>zabíjet se (v-w8720f1)</v>
      </c>
    </row>
    <row r="63691" customFormat="false" ht="12.8" hidden="false" customHeight="false" outlineLevel="0" collapsed="false">
      <c r="B63691" s="0" t="s">
        <v>7</v>
      </c>
      <c r="D63691" s="0" t="s">
        <v>21805</v>
      </c>
      <c r="E63691" s="0" t="s">
        <v>21805</v>
      </c>
      <c r="F63691" s="0" t="s">
        <v>21805</v>
      </c>
    </row>
    <row r="63693" customFormat="false" ht="12.8" hidden="false" customHeight="false" outlineLevel="0" collapsed="false">
      <c r="A63693" s="0" t="s">
        <v>21806</v>
      </c>
      <c r="B63693" s="0" t="str">
        <f aca="false">HYPERLINK("https://lindat.mff.cuni.cz/services/teitok/pdtc10/index.php?action=vallex&amp;frame=v-w8721f7_ZU", "zabírat (v-w8721f7_ZU)")</f>
        <v>zabírat (v-w8721f7_ZU)</v>
      </c>
    </row>
    <row r="63694" customFormat="false" ht="12.8" hidden="false" customHeight="false" outlineLevel="0" collapsed="false">
      <c r="B63694" s="0" t="s">
        <v>7</v>
      </c>
    </row>
    <row r="63695" customFormat="false" ht="12.8" hidden="false" customHeight="false" outlineLevel="0" collapsed="false">
      <c r="B63695" s="0" t="s">
        <v>14</v>
      </c>
    </row>
    <row r="63696" customFormat="false" ht="12.8" hidden="false" customHeight="false" outlineLevel="0" collapsed="false">
      <c r="B63696" s="0" t="s">
        <v>4778</v>
      </c>
    </row>
    <row r="63698" customFormat="false" ht="12.8" hidden="false" customHeight="false" outlineLevel="0" collapsed="false">
      <c r="A63698" s="0" t="s">
        <v>21806</v>
      </c>
      <c r="B63698" s="0" t="str">
        <f aca="false">HYPERLINK("https://lindat.mff.cuni.cz/services/teitok/pdtc10/index.php?action=vallex&amp;frame=v-w8721f6", "zabírat (v-w8721f6) - substituted with v-w8721f7_ZU")</f>
        <v>zabírat (v-w8721f6) - substituted with v-w8721f7_ZU</v>
      </c>
    </row>
    <row r="63699" customFormat="false" ht="12.8" hidden="false" customHeight="false" outlineLevel="0" collapsed="false">
      <c r="B63699" s="0" t="s">
        <v>7</v>
      </c>
      <c r="C63699" s="0" t="s">
        <v>2736</v>
      </c>
    </row>
    <row r="63700" customFormat="false" ht="12.8" hidden="false" customHeight="false" outlineLevel="0" collapsed="false">
      <c r="B63700" s="0" t="s">
        <v>14</v>
      </c>
      <c r="C63700" s="0" t="s">
        <v>493</v>
      </c>
    </row>
    <row r="63701" customFormat="false" ht="12.8" hidden="false" customHeight="false" outlineLevel="0" collapsed="false">
      <c r="B63701" s="0" t="s">
        <v>4778</v>
      </c>
    </row>
    <row r="63703" customFormat="false" ht="12.8" hidden="false" customHeight="false" outlineLevel="0" collapsed="false">
      <c r="A63703" s="0" t="s">
        <v>21807</v>
      </c>
      <c r="B63703" s="0" t="str">
        <f aca="false">HYPERLINK("https://lindat.mff.cuni.cz/services/teitok/pdtc10/index.php?action=vallex&amp;frame=v-w8721f5", "zabírat (v-w8721f5)")</f>
        <v>zabírat (v-w8721f5)</v>
      </c>
    </row>
    <row r="63704" customFormat="false" ht="12.8" hidden="false" customHeight="false" outlineLevel="0" collapsed="false">
      <c r="B63704" s="0" t="s">
        <v>7</v>
      </c>
    </row>
    <row r="63705" customFormat="false" ht="12.8" hidden="false" customHeight="false" outlineLevel="0" collapsed="false">
      <c r="B63705" s="0" t="s">
        <v>14</v>
      </c>
    </row>
    <row r="63707" customFormat="false" ht="12.8" hidden="false" customHeight="false" outlineLevel="0" collapsed="false">
      <c r="A63707" s="0" t="s">
        <v>21808</v>
      </c>
      <c r="B63707" s="0" t="str">
        <f aca="false">HYPERLINK("https://lindat.mff.cuni.cz/services/teitok/pdtc10/index.php?action=vallex&amp;frame=v-w8721f4", "zabírat (v-w8721f4)")</f>
        <v>zabírat (v-w8721f4)</v>
      </c>
    </row>
    <row r="63708" customFormat="false" ht="12.8" hidden="false" customHeight="false" outlineLevel="0" collapsed="false">
      <c r="B63708" s="0" t="s">
        <v>7</v>
      </c>
    </row>
    <row r="63709" customFormat="false" ht="12.8" hidden="false" customHeight="false" outlineLevel="0" collapsed="false">
      <c r="B63709" s="0" t="s">
        <v>14</v>
      </c>
    </row>
    <row r="63711" customFormat="false" ht="12.8" hidden="false" customHeight="false" outlineLevel="0" collapsed="false">
      <c r="A63711" s="0" t="s">
        <v>21809</v>
      </c>
      <c r="B63711" s="0" t="str">
        <f aca="false">HYPERLINK("https://lindat.mff.cuni.cz/services/teitok/pdtc10/index.php?action=vallex&amp;frame=v-w8721f2", "zabírat (v-w8721f2)")</f>
        <v>zabírat (v-w8721f2)</v>
      </c>
    </row>
    <row r="63712" customFormat="false" ht="12.8" hidden="false" customHeight="false" outlineLevel="0" collapsed="false">
      <c r="B63712" s="0" t="s">
        <v>7</v>
      </c>
      <c r="C63712" s="0" t="s">
        <v>2523</v>
      </c>
    </row>
    <row r="63713" customFormat="false" ht="12.8" hidden="false" customHeight="false" outlineLevel="0" collapsed="false">
      <c r="B63713" s="0" t="s">
        <v>14</v>
      </c>
      <c r="C63713" s="0" t="s">
        <v>33</v>
      </c>
    </row>
    <row r="63715" customFormat="false" ht="12.8" hidden="false" customHeight="false" outlineLevel="0" collapsed="false">
      <c r="A63715" s="0" t="s">
        <v>21810</v>
      </c>
      <c r="B63715" s="0" t="str">
        <f aca="false">HYPERLINK("https://lindat.mff.cuni.cz/services/teitok/pdtc10/index.php?action=vallex&amp;frame=v-w8721f1", "zabírat (v-w8721f1)")</f>
        <v>zabírat (v-w8721f1)</v>
      </c>
    </row>
    <row r="63716" customFormat="false" ht="12.8" hidden="false" customHeight="false" outlineLevel="0" collapsed="false">
      <c r="B63716" s="0" t="s">
        <v>7</v>
      </c>
      <c r="C63716" s="0" t="s">
        <v>2523</v>
      </c>
    </row>
    <row r="63717" customFormat="false" ht="12.8" hidden="false" customHeight="false" outlineLevel="0" collapsed="false">
      <c r="B63717" s="0" t="s">
        <v>679</v>
      </c>
      <c r="C63717" s="0" t="s">
        <v>21811</v>
      </c>
    </row>
    <row r="63719" customFormat="false" ht="12.8" hidden="false" customHeight="false" outlineLevel="0" collapsed="false">
      <c r="A63719" s="0" t="s">
        <v>21812</v>
      </c>
      <c r="B63719" s="0" t="str">
        <f aca="false">HYPERLINK("https://lindat.mff.cuni.cz/services/teitok/pdtc10/index.php?action=vallex&amp;frame=v-w8721f3", "zabírat (v-w8721f3)")</f>
        <v>zabírat (v-w8721f3)</v>
      </c>
    </row>
    <row r="63720" customFormat="false" ht="12.8" hidden="false" customHeight="false" outlineLevel="0" collapsed="false">
      <c r="B63720" s="0" t="s">
        <v>7</v>
      </c>
      <c r="D63720" s="0" t="s">
        <v>868</v>
      </c>
      <c r="E63720" s="0" t="s">
        <v>868</v>
      </c>
      <c r="F63720" s="0" t="s">
        <v>868</v>
      </c>
    </row>
    <row r="63722" customFormat="false" ht="12.8" hidden="false" customHeight="false" outlineLevel="0" collapsed="false">
      <c r="A63722" s="0" t="s">
        <v>21813</v>
      </c>
      <c r="B63722" s="0" t="str">
        <f aca="false">HYPERLINK("https://lindat.mff.cuni.cz/services/teitok/pdtc10/index.php?action=vallex&amp;frame=v-w8721f8_MM", "zabírat (v-w8721f8_MM)")</f>
        <v>zabírat (v-w8721f8_MM)</v>
      </c>
    </row>
    <row r="63723" customFormat="false" ht="12.8" hidden="false" customHeight="false" outlineLevel="0" collapsed="false">
      <c r="B63723" s="0" t="s">
        <v>7</v>
      </c>
    </row>
    <row r="63724" customFormat="false" ht="12.8" hidden="false" customHeight="false" outlineLevel="0" collapsed="false">
      <c r="B63724" s="0" t="s">
        <v>985</v>
      </c>
    </row>
    <row r="63726" customFormat="false" ht="12.8" hidden="false" customHeight="false" outlineLevel="0" collapsed="false">
      <c r="A63726" s="0" t="s">
        <v>21814</v>
      </c>
      <c r="B63726" s="0" t="str">
        <f aca="false">HYPERLINK("https://lindat.mff.cuni.cz/services/teitok/pdtc10/index.php?action=vallex&amp;frame=v-w8722f1", "zabít (v-w8722f1)")</f>
        <v>zabít (v-w8722f1)</v>
      </c>
    </row>
    <row r="63727" customFormat="false" ht="12.8" hidden="false" customHeight="false" outlineLevel="0" collapsed="false">
      <c r="B63727" s="0" t="s">
        <v>7</v>
      </c>
      <c r="C63727" s="0" t="s">
        <v>1261</v>
      </c>
      <c r="D63727" s="0" t="s">
        <v>5057</v>
      </c>
      <c r="E63727" s="0" t="s">
        <v>5057</v>
      </c>
      <c r="F63727" s="0" t="s">
        <v>5057</v>
      </c>
    </row>
    <row r="63728" customFormat="false" ht="12.8" hidden="false" customHeight="false" outlineLevel="0" collapsed="false">
      <c r="B63728" s="0" t="s">
        <v>14</v>
      </c>
      <c r="C63728" s="0" t="s">
        <v>94</v>
      </c>
      <c r="D63728" s="0" t="s">
        <v>8042</v>
      </c>
      <c r="E63728" s="0" t="s">
        <v>8042</v>
      </c>
      <c r="F63728" s="0" t="s">
        <v>8042</v>
      </c>
    </row>
    <row r="63730" customFormat="false" ht="12.8" hidden="false" customHeight="false" outlineLevel="0" collapsed="false">
      <c r="A63730" s="0" t="s">
        <v>21815</v>
      </c>
      <c r="B63730" s="0" t="str">
        <f aca="false">HYPERLINK("https://lindat.mff.cuni.cz/services/teitok/pdtc10/index.php?action=vallex&amp;frame=v-w8722f2_ZU", "zabít (v-w8722f2_ZU)")</f>
        <v>zabít (v-w8722f2_ZU)</v>
      </c>
    </row>
    <row r="63731" customFormat="false" ht="12.8" hidden="false" customHeight="false" outlineLevel="0" collapsed="false">
      <c r="B63731" s="0" t="s">
        <v>7</v>
      </c>
    </row>
    <row r="63732" customFormat="false" ht="12.8" hidden="false" customHeight="false" outlineLevel="0" collapsed="false">
      <c r="B63732" s="0" t="s">
        <v>21816</v>
      </c>
    </row>
    <row r="63734" customFormat="false" ht="12.8" hidden="false" customHeight="false" outlineLevel="0" collapsed="false">
      <c r="A63734" s="0" t="s">
        <v>21815</v>
      </c>
      <c r="B63734" s="0" t="str">
        <f aca="false">HYPERLINK("https://lindat.mff.cuni.cz/services/teitok/pdtc10/index.php?action=vallex&amp;frame=v-w8722hsa_1889", "zabít (v-w8722hsa_1889) - substituted with v-w8722f2_ZU")</f>
        <v>zabít (v-w8722hsa_1889) - substituted with v-w8722f2_ZU</v>
      </c>
    </row>
    <row r="63735" customFormat="false" ht="12.8" hidden="false" customHeight="false" outlineLevel="0" collapsed="false">
      <c r="B63735" s="0" t="s">
        <v>7</v>
      </c>
    </row>
    <row r="63736" customFormat="false" ht="12.8" hidden="false" customHeight="false" outlineLevel="0" collapsed="false">
      <c r="B63736" s="0" t="s">
        <v>21816</v>
      </c>
    </row>
    <row r="63738" customFormat="false" ht="12.8" hidden="false" customHeight="false" outlineLevel="0" collapsed="false">
      <c r="A63738" s="0" t="s">
        <v>21817</v>
      </c>
      <c r="B63738" s="0" t="str">
        <f aca="false">HYPERLINK("https://lindat.mff.cuni.cz/services/teitok/pdtc10/index.php?action=vallex&amp;frame=v-whsa_1726hsa_1727", "zabít se (v-whsa_1726hsa_1727)")</f>
        <v>zabít se (v-whsa_1726hsa_1727)</v>
      </c>
    </row>
    <row r="63739" customFormat="false" ht="12.8" hidden="false" customHeight="false" outlineLevel="0" collapsed="false">
      <c r="B63739" s="0" t="s">
        <v>7</v>
      </c>
    </row>
    <row r="63741" customFormat="false" ht="12.8" hidden="false" customHeight="false" outlineLevel="0" collapsed="false">
      <c r="A63741" s="0" t="s">
        <v>21818</v>
      </c>
      <c r="B63741" s="0" t="str">
        <f aca="false">HYPERLINK("https://lindat.mff.cuni.cz/services/teitok/pdtc10/index.php?action=vallex&amp;frame=v-w8746f2", "zabývat se (v-w8746f2)")</f>
        <v>zabývat se (v-w8746f2)</v>
      </c>
    </row>
    <row r="63742" customFormat="false" ht="12.8" hidden="false" customHeight="false" outlineLevel="0" collapsed="false">
      <c r="B63742" s="0" t="s">
        <v>7</v>
      </c>
      <c r="C63742" s="0" t="s">
        <v>21819</v>
      </c>
      <c r="D63742" s="0" t="s">
        <v>104</v>
      </c>
      <c r="E63742" s="0" t="s">
        <v>104</v>
      </c>
      <c r="F63742" s="0" t="s">
        <v>104</v>
      </c>
    </row>
    <row r="63743" customFormat="false" ht="12.8" hidden="false" customHeight="false" outlineLevel="0" collapsed="false">
      <c r="B63743" s="0" t="s">
        <v>216</v>
      </c>
      <c r="C63743" s="0" t="s">
        <v>21820</v>
      </c>
      <c r="D63743" s="0" t="s">
        <v>21821</v>
      </c>
      <c r="E63743" s="0" t="s">
        <v>21821</v>
      </c>
      <c r="F63743" s="0" t="s">
        <v>21821</v>
      </c>
    </row>
    <row r="63745" customFormat="false" ht="12.8" hidden="false" customHeight="false" outlineLevel="0" collapsed="false">
      <c r="A63745" s="0" t="s">
        <v>21818</v>
      </c>
      <c r="B63745" s="0" t="str">
        <f aca="false">HYPERLINK("https://lindat.mff.cuni.cz/services/teitok/pdtc10/index.php?action=vallex&amp;frame=v-w8746f1", "zabývat se (v-w8746f1) - substituted with v-w8746f2")</f>
        <v>zabývat se (v-w8746f1) - substituted with v-w8746f2</v>
      </c>
    </row>
    <row r="63746" customFormat="false" ht="12.8" hidden="false" customHeight="false" outlineLevel="0" collapsed="false">
      <c r="B63746" s="0" t="s">
        <v>7</v>
      </c>
      <c r="C63746" s="0" t="s">
        <v>21822</v>
      </c>
    </row>
    <row r="63747" customFormat="false" ht="12.8" hidden="false" customHeight="false" outlineLevel="0" collapsed="false">
      <c r="B63747" s="0" t="s">
        <v>216</v>
      </c>
      <c r="C63747" s="0" t="s">
        <v>21823</v>
      </c>
    </row>
    <row r="63749" customFormat="false" ht="12.8" hidden="false" customHeight="false" outlineLevel="0" collapsed="false">
      <c r="A63749" s="0" t="s">
        <v>21824</v>
      </c>
      <c r="B63749" s="0" t="str">
        <f aca="false">HYPERLINK("https://lindat.mff.cuni.cz/services/teitok/pdtc10/index.php?action=vallex&amp;frame=v-w8710f1", "zaběhnout (v-w8710f1)")</f>
        <v>zaběhnout (v-w8710f1)</v>
      </c>
    </row>
    <row r="63750" customFormat="false" ht="12.8" hidden="false" customHeight="false" outlineLevel="0" collapsed="false">
      <c r="B63750" s="0" t="s">
        <v>7</v>
      </c>
    </row>
    <row r="63751" customFormat="false" ht="12.8" hidden="false" customHeight="false" outlineLevel="0" collapsed="false">
      <c r="B63751" s="0" t="s">
        <v>14</v>
      </c>
    </row>
    <row r="63753" customFormat="false" ht="12.8" hidden="false" customHeight="false" outlineLevel="0" collapsed="false">
      <c r="A63753" s="0" t="s">
        <v>21825</v>
      </c>
      <c r="B63753" s="0" t="str">
        <f aca="false">HYPERLINK("https://lindat.mff.cuni.cz/services/teitok/pdtc10/index.php?action=vallex&amp;frame=v-w8710f2", "zaběhnout (v-w8710f2)")</f>
        <v>zaběhnout (v-w8710f2)</v>
      </c>
    </row>
    <row r="63754" customFormat="false" ht="12.8" hidden="false" customHeight="false" outlineLevel="0" collapsed="false">
      <c r="B63754" s="0" t="s">
        <v>7</v>
      </c>
    </row>
    <row r="63755" customFormat="false" ht="12.8" hidden="false" customHeight="false" outlineLevel="0" collapsed="false">
      <c r="B63755" s="0" t="s">
        <v>124</v>
      </c>
    </row>
    <row r="63757" customFormat="false" ht="12.8" hidden="false" customHeight="false" outlineLevel="0" collapsed="false">
      <c r="A63757" s="0" t="s">
        <v>21826</v>
      </c>
      <c r="B63757" s="0" t="str">
        <f aca="false">HYPERLINK("https://lindat.mff.cuni.cz/services/teitok/pdtc10/index.php?action=vallex&amp;frame=v-w8710hsa_829", "zaběhnout (v-w8710hsa_829)")</f>
        <v>zaběhnout (v-w8710hsa_829)</v>
      </c>
    </row>
    <row r="63758" customFormat="false" ht="12.8" hidden="false" customHeight="false" outlineLevel="0" collapsed="false">
      <c r="B63758" s="0" t="s">
        <v>7</v>
      </c>
    </row>
    <row r="63759" customFormat="false" ht="12.8" hidden="false" customHeight="false" outlineLevel="0" collapsed="false">
      <c r="B63759" s="0" t="s">
        <v>14</v>
      </c>
    </row>
    <row r="63761" customFormat="false" ht="12.8" hidden="false" customHeight="false" outlineLevel="0" collapsed="false">
      <c r="A63761" s="0" t="s">
        <v>21827</v>
      </c>
      <c r="B63761" s="0" t="str">
        <f aca="false">HYPERLINK("https://lindat.mff.cuni.cz/services/teitok/pdtc10/index.php?action=vallex&amp;frame=v-whsa_635hsa_636", "zaběhávat (v-whsa_635hsa_636)")</f>
        <v>zaběhávat (v-whsa_635hsa_636)</v>
      </c>
    </row>
    <row r="63762" customFormat="false" ht="12.8" hidden="false" customHeight="false" outlineLevel="0" collapsed="false">
      <c r="B63762" s="0" t="s">
        <v>7</v>
      </c>
    </row>
    <row r="63763" customFormat="false" ht="12.8" hidden="false" customHeight="false" outlineLevel="0" collapsed="false">
      <c r="B63763" s="0" t="s">
        <v>14</v>
      </c>
    </row>
    <row r="63765" customFormat="false" ht="12.8" hidden="false" customHeight="false" outlineLevel="0" collapsed="false">
      <c r="A63765" s="0" t="s">
        <v>21828</v>
      </c>
      <c r="B63765" s="0" t="str">
        <f aca="false">HYPERLINK("https://lindat.mff.cuni.cz/services/teitok/pdtc10/index.php?action=vallex&amp;frame=v-whsa_346hsa_347", "zabřednout (v-whsa_346hsa_347)")</f>
        <v>zabřednout (v-whsa_346hsa_347)</v>
      </c>
    </row>
    <row r="63766" customFormat="false" ht="12.8" hidden="false" customHeight="false" outlineLevel="0" collapsed="false">
      <c r="B63766" s="0" t="s">
        <v>7</v>
      </c>
      <c r="C63766" s="0" t="s">
        <v>5063</v>
      </c>
      <c r="D63766" s="0" t="s">
        <v>272</v>
      </c>
      <c r="E63766" s="0" t="s">
        <v>272</v>
      </c>
      <c r="F63766" s="0" t="s">
        <v>272</v>
      </c>
    </row>
    <row r="63767" customFormat="false" ht="12.8" hidden="false" customHeight="false" outlineLevel="0" collapsed="false">
      <c r="B63767" s="0" t="s">
        <v>985</v>
      </c>
      <c r="C63767" s="0" t="s">
        <v>33</v>
      </c>
      <c r="D63767" s="0" t="s">
        <v>3427</v>
      </c>
      <c r="E63767" s="0" t="s">
        <v>3427</v>
      </c>
      <c r="F63767" s="0" t="s">
        <v>3427</v>
      </c>
    </row>
    <row r="63769" customFormat="false" ht="12.8" hidden="false" customHeight="false" outlineLevel="0" collapsed="false">
      <c r="A63769" s="0" t="s">
        <v>21829</v>
      </c>
      <c r="B63769" s="0" t="str">
        <f aca="false">HYPERLINK("https://lindat.mff.cuni.cz/services/teitok/pdtc10/index.php?action=vallex&amp;frame=v-w11401f2", "zacelit (v-w11401f2)")</f>
        <v>zacelit (v-w11401f2)</v>
      </c>
    </row>
    <row r="63770" customFormat="false" ht="12.8" hidden="false" customHeight="false" outlineLevel="0" collapsed="false">
      <c r="B63770" s="0" t="s">
        <v>7</v>
      </c>
      <c r="C63770" s="0" t="s">
        <v>191</v>
      </c>
    </row>
    <row r="63771" customFormat="false" ht="12.8" hidden="false" customHeight="false" outlineLevel="0" collapsed="false">
      <c r="B63771" s="0" t="s">
        <v>14</v>
      </c>
      <c r="C63771" s="0" t="s">
        <v>384</v>
      </c>
    </row>
    <row r="63773" customFormat="false" ht="12.8" hidden="false" customHeight="false" outlineLevel="0" collapsed="false">
      <c r="A63773" s="0" t="s">
        <v>21830</v>
      </c>
      <c r="B63773" s="0" t="str">
        <f aca="false">HYPERLINK("https://lindat.mff.cuni.cz/services/teitok/pdtc10/index.php?action=vallex&amp;frame=v-w8748f1", "zacelit se (v-w8748f1)")</f>
        <v>zacelit se (v-w8748f1)</v>
      </c>
    </row>
    <row r="63774" customFormat="false" ht="12.8" hidden="false" customHeight="false" outlineLevel="0" collapsed="false">
      <c r="B63774" s="0" t="s">
        <v>7</v>
      </c>
      <c r="C63774" s="0" t="s">
        <v>247</v>
      </c>
      <c r="D63774" s="0" t="s">
        <v>247</v>
      </c>
      <c r="E63774" s="0" t="s">
        <v>247</v>
      </c>
      <c r="F63774" s="0" t="s">
        <v>247</v>
      </c>
    </row>
    <row r="63776" customFormat="false" ht="12.8" hidden="false" customHeight="false" outlineLevel="0" collapsed="false">
      <c r="A63776" s="0" t="s">
        <v>21831</v>
      </c>
      <c r="B63776" s="0" t="str">
        <f aca="false">HYPERLINK("https://lindat.mff.cuni.cz/services/teitok/pdtc10/index.php?action=vallex&amp;frame=v-w8749f1", "zacelovat (v-w8749f1)")</f>
        <v>zacelovat (v-w8749f1)</v>
      </c>
    </row>
    <row r="63777" customFormat="false" ht="12.8" hidden="false" customHeight="false" outlineLevel="0" collapsed="false">
      <c r="B63777" s="0" t="s">
        <v>7</v>
      </c>
    </row>
    <row r="63778" customFormat="false" ht="12.8" hidden="false" customHeight="false" outlineLevel="0" collapsed="false">
      <c r="B63778" s="0" t="s">
        <v>14</v>
      </c>
    </row>
    <row r="63780" customFormat="false" ht="12.8" hidden="false" customHeight="false" outlineLevel="0" collapsed="false">
      <c r="A63780" s="0" t="s">
        <v>21832</v>
      </c>
      <c r="B63780" s="0" t="str">
        <f aca="false">HYPERLINK("https://lindat.mff.cuni.cz/services/teitok/pdtc10/index.php?action=vallex&amp;frame=v-w8749f2", "zacelovat (v-w8749f2)")</f>
        <v>zacelovat (v-w8749f2)</v>
      </c>
    </row>
    <row r="63781" customFormat="false" ht="12.8" hidden="false" customHeight="false" outlineLevel="0" collapsed="false">
      <c r="B63781" s="0" t="s">
        <v>7</v>
      </c>
    </row>
    <row r="63782" customFormat="false" ht="12.8" hidden="false" customHeight="false" outlineLevel="0" collapsed="false">
      <c r="B63782" s="0" t="s">
        <v>14</v>
      </c>
    </row>
    <row r="63784" customFormat="false" ht="12.8" hidden="false" customHeight="false" outlineLevel="0" collapsed="false">
      <c r="A63784" s="0" t="s">
        <v>21833</v>
      </c>
      <c r="B63784" s="0" t="str">
        <f aca="false">HYPERLINK("https://lindat.mff.cuni.cz/services/teitok/pdtc10/index.php?action=vallex&amp;frame=v-w8815f5", "zachovat (v-w8815f5)")</f>
        <v>zachovat (v-w8815f5)</v>
      </c>
    </row>
    <row r="63785" customFormat="false" ht="12.8" hidden="false" customHeight="false" outlineLevel="0" collapsed="false">
      <c r="B63785" s="0" t="s">
        <v>7</v>
      </c>
    </row>
    <row r="63786" customFormat="false" ht="12.8" hidden="false" customHeight="false" outlineLevel="0" collapsed="false">
      <c r="B63786" s="0" t="s">
        <v>14</v>
      </c>
    </row>
    <row r="63787" customFormat="false" ht="12.8" hidden="false" customHeight="false" outlineLevel="0" collapsed="false">
      <c r="B63787" s="0" t="s">
        <v>48</v>
      </c>
    </row>
    <row r="63789" customFormat="false" ht="12.8" hidden="false" customHeight="false" outlineLevel="0" collapsed="false">
      <c r="A63789" s="0" t="s">
        <v>21834</v>
      </c>
      <c r="B63789" s="0" t="str">
        <f aca="false">HYPERLINK("https://lindat.mff.cuni.cz/services/teitok/pdtc10/index.php?action=vallex&amp;frame=v-w8815f3", "zachovat (v-w8815f3)")</f>
        <v>zachovat (v-w8815f3)</v>
      </c>
    </row>
    <row r="63790" customFormat="false" ht="12.8" hidden="false" customHeight="false" outlineLevel="0" collapsed="false">
      <c r="B63790" s="0" t="s">
        <v>7</v>
      </c>
    </row>
    <row r="63791" customFormat="false" ht="12.8" hidden="false" customHeight="false" outlineLevel="0" collapsed="false">
      <c r="B63791" s="0" t="s">
        <v>14</v>
      </c>
    </row>
    <row r="63792" customFormat="false" ht="12.8" hidden="false" customHeight="false" outlineLevel="0" collapsed="false">
      <c r="B63792" s="0" t="s">
        <v>17487</v>
      </c>
    </row>
    <row r="63794" customFormat="false" ht="12.8" hidden="false" customHeight="false" outlineLevel="0" collapsed="false">
      <c r="A63794" s="0" t="s">
        <v>21835</v>
      </c>
      <c r="B63794" s="0" t="str">
        <f aca="false">HYPERLINK("https://lindat.mff.cuni.cz/services/teitok/pdtc10/index.php?action=vallex&amp;frame=v-w8815f1", "zachovat (v-w8815f1)")</f>
        <v>zachovat (v-w8815f1)</v>
      </c>
    </row>
    <row r="63795" customFormat="false" ht="12.8" hidden="false" customHeight="false" outlineLevel="0" collapsed="false">
      <c r="B63795" s="0" t="s">
        <v>7</v>
      </c>
      <c r="C63795" s="0" t="s">
        <v>21836</v>
      </c>
      <c r="D63795" s="0" t="s">
        <v>10066</v>
      </c>
      <c r="E63795" s="0" t="s">
        <v>10066</v>
      </c>
      <c r="F63795" s="0" t="s">
        <v>10066</v>
      </c>
    </row>
    <row r="63796" customFormat="false" ht="12.8" hidden="false" customHeight="false" outlineLevel="0" collapsed="false">
      <c r="B63796" s="0" t="s">
        <v>14</v>
      </c>
      <c r="C63796" s="0" t="s">
        <v>21837</v>
      </c>
      <c r="D63796" s="0" t="s">
        <v>10068</v>
      </c>
      <c r="E63796" s="0" t="s">
        <v>10068</v>
      </c>
      <c r="F63796" s="0" t="s">
        <v>10068</v>
      </c>
    </row>
    <row r="63798" customFormat="false" ht="12.8" hidden="false" customHeight="false" outlineLevel="0" collapsed="false">
      <c r="A63798" s="0" t="s">
        <v>21838</v>
      </c>
      <c r="B63798" s="0" t="str">
        <f aca="false">HYPERLINK("https://lindat.mff.cuni.cz/services/teitok/pdtc10/index.php?action=vallex&amp;frame=v-w8815f2", "zachovat (v-w8815f2)")</f>
        <v>zachovat (v-w8815f2)</v>
      </c>
    </row>
    <row r="63799" customFormat="false" ht="12.8" hidden="false" customHeight="false" outlineLevel="0" collapsed="false">
      <c r="B63799" s="0" t="s">
        <v>7</v>
      </c>
      <c r="C63799" s="0" t="s">
        <v>9515</v>
      </c>
      <c r="D63799" s="0" t="s">
        <v>21839</v>
      </c>
      <c r="E63799" s="0" t="s">
        <v>21839</v>
      </c>
      <c r="F63799" s="0" t="s">
        <v>21839</v>
      </c>
    </row>
    <row r="63800" customFormat="false" ht="12.8" hidden="false" customHeight="false" outlineLevel="0" collapsed="false">
      <c r="B63800" s="0" t="s">
        <v>14</v>
      </c>
      <c r="C63800" s="0" t="s">
        <v>7206</v>
      </c>
      <c r="D63800" s="0" t="s">
        <v>21840</v>
      </c>
      <c r="E63800" s="0" t="s">
        <v>21840</v>
      </c>
      <c r="F63800" s="0" t="s">
        <v>21840</v>
      </c>
    </row>
    <row r="63802" customFormat="false" ht="12.8" hidden="false" customHeight="false" outlineLevel="0" collapsed="false">
      <c r="A63802" s="0" t="s">
        <v>21841</v>
      </c>
      <c r="B63802" s="0" t="str">
        <f aca="false">HYPERLINK("https://lindat.mff.cuni.cz/services/teitok/pdtc10/index.php?action=vallex&amp;frame=v-w8815f4", "zachovat (v-w8815f4)")</f>
        <v>zachovat (v-w8815f4)</v>
      </c>
    </row>
    <row r="63803" customFormat="false" ht="12.8" hidden="false" customHeight="false" outlineLevel="0" collapsed="false">
      <c r="B63803" s="0" t="s">
        <v>7</v>
      </c>
    </row>
    <row r="63804" customFormat="false" ht="12.8" hidden="false" customHeight="false" outlineLevel="0" collapsed="false">
      <c r="B63804" s="0" t="s">
        <v>2833</v>
      </c>
    </row>
    <row r="63805" customFormat="false" ht="12.8" hidden="false" customHeight="false" outlineLevel="0" collapsed="false">
      <c r="B63805" s="0" t="s">
        <v>14</v>
      </c>
    </row>
    <row r="63807" customFormat="false" ht="12.8" hidden="false" customHeight="false" outlineLevel="0" collapsed="false">
      <c r="A63807" s="0" t="s">
        <v>21842</v>
      </c>
      <c r="B63807" s="0" t="str">
        <f aca="false">HYPERLINK("https://lindat.mff.cuni.cz/services/teitok/pdtc10/index.php?action=vallex&amp;frame=v-w8815f6_ZU", "zachovat (v-w8815f6_ZU)")</f>
        <v>zachovat (v-w8815f6_ZU)</v>
      </c>
    </row>
    <row r="63808" customFormat="false" ht="12.8" hidden="false" customHeight="false" outlineLevel="0" collapsed="false">
      <c r="B63808" s="0" t="s">
        <v>7</v>
      </c>
    </row>
    <row r="63809" customFormat="false" ht="12.8" hidden="false" customHeight="false" outlineLevel="0" collapsed="false">
      <c r="B63809" s="0" t="s">
        <v>21843</v>
      </c>
    </row>
    <row r="63811" customFormat="false" ht="12.8" hidden="false" customHeight="false" outlineLevel="0" collapsed="false">
      <c r="A63811" s="0" t="s">
        <v>21842</v>
      </c>
      <c r="B63811" s="0" t="str">
        <f aca="false">HYPERLINK("https://lindat.mff.cuni.cz/services/teitok/pdtc10/index.php?action=vallex&amp;frame=v-w8815hsa_869", "zachovat (v-w8815hsa_869) - substituted with v-w8815f6_ZU")</f>
        <v>zachovat (v-w8815hsa_869) - substituted with v-w8815f6_ZU</v>
      </c>
    </row>
    <row r="63812" customFormat="false" ht="12.8" hidden="false" customHeight="false" outlineLevel="0" collapsed="false">
      <c r="B63812" s="0" t="s">
        <v>7</v>
      </c>
    </row>
    <row r="63813" customFormat="false" ht="12.8" hidden="false" customHeight="false" outlineLevel="0" collapsed="false">
      <c r="B63813" s="0" t="s">
        <v>21843</v>
      </c>
    </row>
    <row r="63815" customFormat="false" ht="12.8" hidden="false" customHeight="false" outlineLevel="0" collapsed="false">
      <c r="A63815" s="0" t="s">
        <v>21844</v>
      </c>
      <c r="B63815" s="0" t="str">
        <f aca="false">HYPERLINK("https://lindat.mff.cuni.cz/services/teitok/pdtc10/index.php?action=vallex&amp;frame=v-w8816f1", "zachovat se (v-w8816f1)")</f>
        <v>zachovat se (v-w8816f1)</v>
      </c>
    </row>
    <row r="63816" customFormat="false" ht="12.8" hidden="false" customHeight="false" outlineLevel="0" collapsed="false">
      <c r="B63816" s="0" t="s">
        <v>7</v>
      </c>
      <c r="C63816" s="0" t="s">
        <v>46</v>
      </c>
    </row>
    <row r="63817" customFormat="false" ht="12.8" hidden="false" customHeight="false" outlineLevel="0" collapsed="false">
      <c r="B63817" s="0" t="s">
        <v>552</v>
      </c>
    </row>
    <row r="63818" customFormat="false" ht="12.8" hidden="false" customHeight="false" outlineLevel="0" collapsed="false">
      <c r="B63818" s="0" t="s">
        <v>474</v>
      </c>
    </row>
    <row r="63819" customFormat="false" ht="12.8" hidden="false" customHeight="false" outlineLevel="0" collapsed="false">
      <c r="B63819" s="0" t="s">
        <v>479</v>
      </c>
    </row>
    <row r="63820" customFormat="false" ht="12.8" hidden="false" customHeight="false" outlineLevel="0" collapsed="false">
      <c r="B63820" s="0" t="s">
        <v>481</v>
      </c>
    </row>
    <row r="63821" customFormat="false" ht="12.8" hidden="false" customHeight="false" outlineLevel="0" collapsed="false">
      <c r="B63821" s="0" t="s">
        <v>483</v>
      </c>
    </row>
    <row r="63823" customFormat="false" ht="12.8" hidden="false" customHeight="false" outlineLevel="0" collapsed="false">
      <c r="A63823" s="0" t="s">
        <v>21845</v>
      </c>
      <c r="B63823" s="0" t="str">
        <f aca="false">HYPERLINK("https://lindat.mff.cuni.cz/services/teitok/pdtc10/index.php?action=vallex&amp;frame=v-w8816f2", "zachovat se (v-w8816f2)")</f>
        <v>zachovat se (v-w8816f2)</v>
      </c>
    </row>
    <row r="63824" customFormat="false" ht="12.8" hidden="false" customHeight="false" outlineLevel="0" collapsed="false">
      <c r="B63824" s="0" t="s">
        <v>7</v>
      </c>
      <c r="C63824" s="0" t="s">
        <v>21846</v>
      </c>
    </row>
    <row r="63826" customFormat="false" ht="12.8" hidden="false" customHeight="false" outlineLevel="0" collapsed="false">
      <c r="A63826" s="0" t="s">
        <v>21847</v>
      </c>
      <c r="B63826" s="0" t="str">
        <f aca="false">HYPERLINK("https://lindat.mff.cuni.cz/services/teitok/pdtc10/index.php?action=vallex&amp;frame=v-w8817f1", "zachovat si (v-w8817f1)")</f>
        <v>zachovat si (v-w8817f1)</v>
      </c>
    </row>
    <row r="63827" customFormat="false" ht="12.8" hidden="false" customHeight="false" outlineLevel="0" collapsed="false">
      <c r="B63827" s="0" t="s">
        <v>7</v>
      </c>
      <c r="C63827" s="0" t="s">
        <v>10520</v>
      </c>
      <c r="D63827" s="0" t="s">
        <v>21839</v>
      </c>
      <c r="E63827" s="0" t="s">
        <v>21839</v>
      </c>
      <c r="F63827" s="0" t="s">
        <v>21839</v>
      </c>
    </row>
    <row r="63828" customFormat="false" ht="12.8" hidden="false" customHeight="false" outlineLevel="0" collapsed="false">
      <c r="B63828" s="0" t="s">
        <v>14</v>
      </c>
      <c r="C63828" s="0" t="s">
        <v>10883</v>
      </c>
      <c r="D63828" s="0" t="s">
        <v>21840</v>
      </c>
      <c r="E63828" s="0" t="s">
        <v>21840</v>
      </c>
      <c r="F63828" s="0" t="s">
        <v>21840</v>
      </c>
    </row>
    <row r="63830" customFormat="false" ht="12.8" hidden="false" customHeight="false" outlineLevel="0" collapsed="false">
      <c r="A63830" s="0" t="s">
        <v>21848</v>
      </c>
      <c r="B63830" s="0" t="str">
        <f aca="false">HYPERLINK("https://lindat.mff.cuni.cz/services/teitok/pdtc10/index.php?action=vallex&amp;frame=v-w8818f3", "zachovávat (v-w8818f3)")</f>
        <v>zachovávat (v-w8818f3)</v>
      </c>
    </row>
    <row r="63831" customFormat="false" ht="12.8" hidden="false" customHeight="false" outlineLevel="0" collapsed="false">
      <c r="B63831" s="0" t="s">
        <v>7</v>
      </c>
    </row>
    <row r="63832" customFormat="false" ht="12.8" hidden="false" customHeight="false" outlineLevel="0" collapsed="false">
      <c r="B63832" s="0" t="s">
        <v>14</v>
      </c>
    </row>
    <row r="63833" customFormat="false" ht="12.8" hidden="false" customHeight="false" outlineLevel="0" collapsed="false">
      <c r="B63833" s="0" t="s">
        <v>17487</v>
      </c>
    </row>
    <row r="63835" customFormat="false" ht="12.8" hidden="false" customHeight="false" outlineLevel="0" collapsed="false">
      <c r="A63835" s="0" t="s">
        <v>21849</v>
      </c>
      <c r="B63835" s="0" t="str">
        <f aca="false">HYPERLINK("https://lindat.mff.cuni.cz/services/teitok/pdtc10/index.php?action=vallex&amp;frame=v-w8818f1", "zachovávat (v-w8818f1)")</f>
        <v>zachovávat (v-w8818f1)</v>
      </c>
    </row>
    <row r="63836" customFormat="false" ht="12.8" hidden="false" customHeight="false" outlineLevel="0" collapsed="false">
      <c r="B63836" s="0" t="s">
        <v>7</v>
      </c>
      <c r="C63836" s="0" t="s">
        <v>2523</v>
      </c>
      <c r="D63836" s="0" t="s">
        <v>21850</v>
      </c>
      <c r="E63836" s="0" t="s">
        <v>21850</v>
      </c>
      <c r="F63836" s="0" t="s">
        <v>21850</v>
      </c>
    </row>
    <row r="63837" customFormat="false" ht="12.8" hidden="false" customHeight="false" outlineLevel="0" collapsed="false">
      <c r="B63837" s="0" t="s">
        <v>14</v>
      </c>
      <c r="C63837" s="0" t="s">
        <v>1146</v>
      </c>
      <c r="D63837" s="0" t="s">
        <v>21851</v>
      </c>
      <c r="E63837" s="0" t="s">
        <v>21851</v>
      </c>
      <c r="F63837" s="0" t="s">
        <v>21851</v>
      </c>
    </row>
    <row r="63839" customFormat="false" ht="12.8" hidden="false" customHeight="false" outlineLevel="0" collapsed="false">
      <c r="A63839" s="0" t="s">
        <v>21852</v>
      </c>
      <c r="B63839" s="0" t="str">
        <f aca="false">HYPERLINK("https://lindat.mff.cuni.cz/services/teitok/pdtc10/index.php?action=vallex&amp;frame=v-w8818f2", "zachovávat (v-w8818f2)")</f>
        <v>zachovávat (v-w8818f2)</v>
      </c>
    </row>
    <row r="63840" customFormat="false" ht="12.8" hidden="false" customHeight="false" outlineLevel="0" collapsed="false">
      <c r="B63840" s="0" t="s">
        <v>7</v>
      </c>
      <c r="C63840" s="0" t="s">
        <v>1154</v>
      </c>
      <c r="D63840" s="0" t="s">
        <v>21853</v>
      </c>
      <c r="E63840" s="0" t="s">
        <v>21853</v>
      </c>
      <c r="F63840" s="0" t="s">
        <v>21853</v>
      </c>
    </row>
    <row r="63841" customFormat="false" ht="12.8" hidden="false" customHeight="false" outlineLevel="0" collapsed="false">
      <c r="B63841" s="0" t="s">
        <v>14</v>
      </c>
      <c r="C63841" s="0" t="s">
        <v>8765</v>
      </c>
      <c r="D63841" s="0" t="s">
        <v>21854</v>
      </c>
      <c r="E63841" s="0" t="s">
        <v>21854</v>
      </c>
      <c r="F63841" s="0" t="s">
        <v>21854</v>
      </c>
    </row>
    <row r="63843" customFormat="false" ht="12.8" hidden="false" customHeight="false" outlineLevel="0" collapsed="false">
      <c r="A63843" s="0" t="s">
        <v>21855</v>
      </c>
      <c r="B63843" s="0" t="str">
        <f aca="false">HYPERLINK("https://lindat.mff.cuni.cz/services/teitok/pdtc10/index.php?action=vallex&amp;frame=v-w8822f1", "zachraňovat (v-w8822f1)")</f>
        <v>zachraňovat (v-w8822f1)</v>
      </c>
    </row>
    <row r="63844" customFormat="false" ht="12.8" hidden="false" customHeight="false" outlineLevel="0" collapsed="false">
      <c r="B63844" s="0" t="s">
        <v>7</v>
      </c>
      <c r="C63844" s="0" t="s">
        <v>118</v>
      </c>
      <c r="D63844" s="0" t="s">
        <v>4256</v>
      </c>
      <c r="E63844" s="0" t="s">
        <v>4256</v>
      </c>
      <c r="F63844" s="0" t="s">
        <v>4256</v>
      </c>
    </row>
    <row r="63845" customFormat="false" ht="12.8" hidden="false" customHeight="false" outlineLevel="0" collapsed="false">
      <c r="B63845" s="0" t="s">
        <v>14</v>
      </c>
      <c r="C63845" s="0" t="s">
        <v>110</v>
      </c>
      <c r="D63845" s="0" t="s">
        <v>4257</v>
      </c>
      <c r="E63845" s="0" t="s">
        <v>4257</v>
      </c>
      <c r="F63845" s="0" t="s">
        <v>4257</v>
      </c>
    </row>
    <row r="63846" customFormat="false" ht="12.8" hidden="false" customHeight="false" outlineLevel="0" collapsed="false">
      <c r="B63846" s="0" t="s">
        <v>8558</v>
      </c>
      <c r="C63846" s="0" t="s">
        <v>12871</v>
      </c>
      <c r="D63846" s="0" t="s">
        <v>16152</v>
      </c>
      <c r="E63846" s="0" t="s">
        <v>16152</v>
      </c>
      <c r="F63846" s="0" t="s">
        <v>16152</v>
      </c>
    </row>
    <row r="63848" customFormat="false" ht="12.8" hidden="false" customHeight="false" outlineLevel="0" collapsed="false">
      <c r="A63848" s="0" t="s">
        <v>21856</v>
      </c>
      <c r="B63848" s="0" t="str">
        <f aca="false">HYPERLINK("https://lindat.mff.cuni.cz/services/teitok/pdtc10/index.php?action=vallex&amp;frame=v-w8820f1", "zachránit (v-w8820f1)")</f>
        <v>zachránit (v-w8820f1)</v>
      </c>
    </row>
    <row r="63849" customFormat="false" ht="12.8" hidden="false" customHeight="false" outlineLevel="0" collapsed="false">
      <c r="B63849" s="0" t="s">
        <v>7</v>
      </c>
      <c r="C63849" s="0" t="s">
        <v>309</v>
      </c>
      <c r="D63849" s="0" t="s">
        <v>4256</v>
      </c>
      <c r="E63849" s="0" t="s">
        <v>4256</v>
      </c>
      <c r="F63849" s="0" t="s">
        <v>4256</v>
      </c>
    </row>
    <row r="63850" customFormat="false" ht="12.8" hidden="false" customHeight="false" outlineLevel="0" collapsed="false">
      <c r="B63850" s="0" t="s">
        <v>14</v>
      </c>
      <c r="C63850" s="0" t="s">
        <v>21857</v>
      </c>
      <c r="D63850" s="0" t="s">
        <v>4257</v>
      </c>
      <c r="E63850" s="0" t="s">
        <v>4257</v>
      </c>
      <c r="F63850" s="0" t="s">
        <v>4257</v>
      </c>
    </row>
    <row r="63851" customFormat="false" ht="12.8" hidden="false" customHeight="false" outlineLevel="0" collapsed="false">
      <c r="B63851" s="0" t="s">
        <v>21858</v>
      </c>
      <c r="C63851" s="0" t="s">
        <v>21859</v>
      </c>
      <c r="D63851" s="0" t="s">
        <v>16152</v>
      </c>
      <c r="E63851" s="0" t="s">
        <v>16152</v>
      </c>
      <c r="F63851" s="0" t="s">
        <v>16152</v>
      </c>
    </row>
    <row r="63853" customFormat="false" ht="12.8" hidden="false" customHeight="false" outlineLevel="0" collapsed="false">
      <c r="A63853" s="0" t="s">
        <v>21860</v>
      </c>
      <c r="B63853" s="0" t="str">
        <f aca="false">HYPERLINK("https://lindat.mff.cuni.cz/services/teitok/pdtc10/index.php?action=vallex&amp;frame=v-w8820f2", "zachránit (v-w8820f2)")</f>
        <v>zachránit (v-w8820f2)</v>
      </c>
    </row>
    <row r="63854" customFormat="false" ht="12.8" hidden="false" customHeight="false" outlineLevel="0" collapsed="false">
      <c r="B63854" s="0" t="s">
        <v>7</v>
      </c>
      <c r="C63854" s="0" t="s">
        <v>21861</v>
      </c>
    </row>
    <row r="63855" customFormat="false" ht="12.8" hidden="false" customHeight="false" outlineLevel="0" collapsed="false">
      <c r="B63855" s="0" t="s">
        <v>14</v>
      </c>
      <c r="C63855" s="0" t="s">
        <v>21862</v>
      </c>
    </row>
    <row r="63857" customFormat="false" ht="12.8" hidden="false" customHeight="false" outlineLevel="0" collapsed="false">
      <c r="A63857" s="0" t="s">
        <v>21863</v>
      </c>
      <c r="B63857" s="0" t="str">
        <f aca="false">HYPERLINK("https://lindat.mff.cuni.cz/services/teitok/pdtc10/index.php?action=vallex&amp;frame=v-w8821f1", "zachránit se (v-w8821f1)")</f>
        <v>zachránit se (v-w8821f1)</v>
      </c>
    </row>
    <row r="63858" customFormat="false" ht="12.8" hidden="false" customHeight="false" outlineLevel="0" collapsed="false">
      <c r="B63858" s="0" t="s">
        <v>7</v>
      </c>
      <c r="C63858" s="0" t="s">
        <v>272</v>
      </c>
      <c r="D63858" s="0" t="s">
        <v>423</v>
      </c>
      <c r="E63858" s="0" t="s">
        <v>423</v>
      </c>
      <c r="F63858" s="0" t="s">
        <v>423</v>
      </c>
    </row>
    <row r="63859" customFormat="false" ht="12.8" hidden="false" customHeight="false" outlineLevel="0" collapsed="false">
      <c r="B63859" s="0" t="s">
        <v>1404</v>
      </c>
      <c r="C63859" s="0" t="s">
        <v>400</v>
      </c>
      <c r="D63859" s="0" t="s">
        <v>426</v>
      </c>
      <c r="E63859" s="0" t="s">
        <v>426</v>
      </c>
      <c r="F63859" s="0" t="s">
        <v>426</v>
      </c>
    </row>
    <row r="63861" customFormat="false" ht="12.8" hidden="false" customHeight="false" outlineLevel="0" collapsed="false">
      <c r="A63861" s="0" t="s">
        <v>21864</v>
      </c>
      <c r="B63861" s="0" t="str">
        <f aca="false">HYPERLINK("https://lindat.mff.cuni.cz/services/teitok/pdtc10/index.php?action=vallex&amp;frame=v-whsb_1299f1_ZU", "zachtít se (v-whsb_1299f1_ZU)")</f>
        <v>zachtít se (v-whsb_1299f1_ZU)</v>
      </c>
    </row>
    <row r="63862" customFormat="false" ht="12.8" hidden="false" customHeight="false" outlineLevel="0" collapsed="false">
      <c r="B63862" s="0" t="s">
        <v>603</v>
      </c>
    </row>
    <row r="63863" customFormat="false" ht="12.8" hidden="false" customHeight="false" outlineLevel="0" collapsed="false">
      <c r="B63863" s="0" t="s">
        <v>21865</v>
      </c>
    </row>
    <row r="63865" customFormat="false" ht="12.8" hidden="false" customHeight="false" outlineLevel="0" collapsed="false">
      <c r="A63865" s="0" t="s">
        <v>21864</v>
      </c>
      <c r="B63865" s="0" t="str">
        <f aca="false">HYPERLINK("https://lindat.mff.cuni.cz/services/teitok/pdtc10/index.php?action=vallex&amp;frame=v-whsb_1299hsa_1300", "zachtít se (v-whsb_1299hsa_1300) - substituted with v-whsb_1299f1_ZU")</f>
        <v>zachtít se (v-whsb_1299hsa_1300) - substituted with v-whsb_1299f1_ZU</v>
      </c>
    </row>
    <row r="63866" customFormat="false" ht="12.8" hidden="false" customHeight="false" outlineLevel="0" collapsed="false">
      <c r="B63866" s="0" t="s">
        <v>603</v>
      </c>
    </row>
    <row r="63867" customFormat="false" ht="12.8" hidden="false" customHeight="false" outlineLevel="0" collapsed="false">
      <c r="B63867" s="0" t="s">
        <v>21865</v>
      </c>
    </row>
    <row r="63869" customFormat="false" ht="12.8" hidden="false" customHeight="false" outlineLevel="0" collapsed="false">
      <c r="A63869" s="0" t="s">
        <v>21866</v>
      </c>
      <c r="B63869" s="0" t="str">
        <f aca="false">HYPERLINK("https://lindat.mff.cuni.cz/services/teitok/pdtc10/index.php?action=vallex&amp;frame=v-w12056_ZUf1_ZU", "zachutnat (v-w12056_ZUf1_ZU)")</f>
        <v>zachutnat (v-w12056_ZUf1_ZU)</v>
      </c>
    </row>
    <row r="63870" customFormat="false" ht="12.8" hidden="false" customHeight="false" outlineLevel="0" collapsed="false">
      <c r="B63870" s="0" t="s">
        <v>603</v>
      </c>
    </row>
    <row r="63871" customFormat="false" ht="12.8" hidden="false" customHeight="false" outlineLevel="0" collapsed="false">
      <c r="B63871" s="0" t="s">
        <v>328</v>
      </c>
    </row>
    <row r="63873" customFormat="false" ht="12.8" hidden="false" customHeight="false" outlineLevel="0" collapsed="false">
      <c r="A63873" s="0" t="s">
        <v>21867</v>
      </c>
      <c r="B63873" s="0" t="str">
        <f aca="false">HYPERLINK("https://lindat.mff.cuni.cz/services/teitok/pdtc10/index.php?action=vallex&amp;frame=v-w11227f2", "zachvacovat (v-w11227f2)")</f>
        <v>zachvacovat (v-w11227f2)</v>
      </c>
    </row>
    <row r="63874" customFormat="false" ht="12.8" hidden="false" customHeight="false" outlineLevel="0" collapsed="false">
      <c r="B63874" s="0" t="s">
        <v>7</v>
      </c>
    </row>
    <row r="63875" customFormat="false" ht="12.8" hidden="false" customHeight="false" outlineLevel="0" collapsed="false">
      <c r="B63875" s="0" t="s">
        <v>14</v>
      </c>
    </row>
    <row r="63877" customFormat="false" ht="12.8" hidden="false" customHeight="false" outlineLevel="0" collapsed="false">
      <c r="A63877" s="0" t="s">
        <v>21868</v>
      </c>
      <c r="B63877" s="0" t="str">
        <f aca="false">HYPERLINK("https://lindat.mff.cuni.cz/services/teitok/pdtc10/index.php?action=vallex&amp;frame=v-w8824f1", "zachvátit (v-w8824f1)")</f>
        <v>zachvátit (v-w8824f1)</v>
      </c>
    </row>
    <row r="63878" customFormat="false" ht="12.8" hidden="false" customHeight="false" outlineLevel="0" collapsed="false">
      <c r="B63878" s="0" t="s">
        <v>7</v>
      </c>
      <c r="C63878" s="0" t="s">
        <v>7092</v>
      </c>
      <c r="D63878" s="0" t="s">
        <v>2062</v>
      </c>
      <c r="E63878" s="0" t="s">
        <v>2062</v>
      </c>
      <c r="F63878" s="0" t="s">
        <v>2062</v>
      </c>
    </row>
    <row r="63879" customFormat="false" ht="12.8" hidden="false" customHeight="false" outlineLevel="0" collapsed="false">
      <c r="B63879" s="0" t="s">
        <v>14</v>
      </c>
      <c r="C63879" s="0" t="s">
        <v>21869</v>
      </c>
      <c r="D63879" s="0" t="s">
        <v>2065</v>
      </c>
      <c r="E63879" s="0" t="s">
        <v>2065</v>
      </c>
      <c r="F63879" s="0" t="s">
        <v>2065</v>
      </c>
    </row>
    <row r="63881" customFormat="false" ht="12.8" hidden="false" customHeight="false" outlineLevel="0" collapsed="false">
      <c r="A63881" s="0" t="s">
        <v>21870</v>
      </c>
      <c r="B63881" s="0" t="str">
        <f aca="false">HYPERLINK("https://lindat.mff.cuni.cz/services/teitok/pdtc10/index.php?action=vallex&amp;frame=v-w11410f1", "zachvět se (v-w11410f1)")</f>
        <v>zachvět se (v-w11410f1)</v>
      </c>
    </row>
    <row r="63882" customFormat="false" ht="12.8" hidden="false" customHeight="false" outlineLevel="0" collapsed="false">
      <c r="B63882" s="0" t="s">
        <v>7</v>
      </c>
      <c r="C63882" s="0" t="s">
        <v>13404</v>
      </c>
      <c r="D63882" s="0" t="s">
        <v>9332</v>
      </c>
      <c r="E63882" s="0" t="s">
        <v>9332</v>
      </c>
      <c r="F63882" s="0" t="s">
        <v>9332</v>
      </c>
    </row>
    <row r="63884" customFormat="false" ht="12.8" hidden="false" customHeight="false" outlineLevel="0" collapsed="false">
      <c r="A63884" s="0" t="s">
        <v>21871</v>
      </c>
      <c r="B63884" s="0" t="str">
        <f aca="false">HYPERLINK("https://lindat.mff.cuni.cz/services/teitok/pdtc10/index.php?action=vallex&amp;frame=v-w8827f1", "zachycovat (v-w8827f1)")</f>
        <v>zachycovat (v-w8827f1)</v>
      </c>
    </row>
    <row r="63885" customFormat="false" ht="12.8" hidden="false" customHeight="false" outlineLevel="0" collapsed="false">
      <c r="B63885" s="0" t="s">
        <v>7</v>
      </c>
      <c r="C63885" s="0" t="s">
        <v>8436</v>
      </c>
      <c r="D63885" s="0" t="s">
        <v>1960</v>
      </c>
      <c r="E63885" s="0" t="s">
        <v>1960</v>
      </c>
      <c r="F63885" s="0" t="s">
        <v>1960</v>
      </c>
    </row>
    <row r="63886" customFormat="false" ht="12.8" hidden="false" customHeight="false" outlineLevel="0" collapsed="false">
      <c r="B63886" s="0" t="s">
        <v>14</v>
      </c>
      <c r="C63886" s="0" t="s">
        <v>8437</v>
      </c>
      <c r="D63886" s="0" t="s">
        <v>1962</v>
      </c>
      <c r="E63886" s="0" t="s">
        <v>1962</v>
      </c>
      <c r="F63886" s="0" t="s">
        <v>1962</v>
      </c>
    </row>
    <row r="63888" customFormat="false" ht="12.8" hidden="false" customHeight="false" outlineLevel="0" collapsed="false">
      <c r="A63888" s="0" t="s">
        <v>21872</v>
      </c>
      <c r="B63888" s="0" t="str">
        <f aca="false">HYPERLINK("https://lindat.mff.cuni.cz/services/teitok/pdtc10/index.php?action=vallex&amp;frame=v-w8827f2", "zachycovat (v-w8827f2)")</f>
        <v>zachycovat (v-w8827f2)</v>
      </c>
    </row>
    <row r="63889" customFormat="false" ht="12.8" hidden="false" customHeight="false" outlineLevel="0" collapsed="false">
      <c r="B63889" s="0" t="s">
        <v>7</v>
      </c>
      <c r="D63889" s="0" t="s">
        <v>1960</v>
      </c>
      <c r="E63889" s="0" t="s">
        <v>1960</v>
      </c>
      <c r="F63889" s="0" t="s">
        <v>1960</v>
      </c>
    </row>
    <row r="63890" customFormat="false" ht="12.8" hidden="false" customHeight="false" outlineLevel="0" collapsed="false">
      <c r="B63890" s="0" t="s">
        <v>14</v>
      </c>
      <c r="D63890" s="0" t="s">
        <v>1962</v>
      </c>
      <c r="E63890" s="0" t="s">
        <v>1962</v>
      </c>
      <c r="F63890" s="0" t="s">
        <v>1962</v>
      </c>
    </row>
    <row r="63892" customFormat="false" ht="12.8" hidden="false" customHeight="false" outlineLevel="0" collapsed="false">
      <c r="A63892" s="0" t="s">
        <v>21873</v>
      </c>
      <c r="B63892" s="0" t="str">
        <f aca="false">HYPERLINK("https://lindat.mff.cuni.cz/services/teitok/pdtc10/index.php?action=vallex&amp;frame=v-w8827hsa_876", "zachycovat (v-w8827hsa_876)")</f>
        <v>zachycovat (v-w8827hsa_876)</v>
      </c>
    </row>
    <row r="63893" customFormat="false" ht="12.8" hidden="false" customHeight="false" outlineLevel="0" collapsed="false">
      <c r="B63893" s="0" t="s">
        <v>7</v>
      </c>
      <c r="C63893" s="0" t="s">
        <v>113</v>
      </c>
      <c r="D63893" s="0" t="s">
        <v>1505</v>
      </c>
      <c r="E63893" s="0" t="s">
        <v>1505</v>
      </c>
      <c r="F63893" s="0" t="s">
        <v>1505</v>
      </c>
    </row>
    <row r="63894" customFormat="false" ht="12.8" hidden="false" customHeight="false" outlineLevel="0" collapsed="false">
      <c r="B63894" s="0" t="s">
        <v>14</v>
      </c>
      <c r="C63894" s="0" t="s">
        <v>1170</v>
      </c>
      <c r="D63894" s="0" t="s">
        <v>14524</v>
      </c>
      <c r="E63894" s="0" t="s">
        <v>14524</v>
      </c>
      <c r="F63894" s="0" t="s">
        <v>14524</v>
      </c>
    </row>
    <row r="63896" customFormat="false" ht="12.8" hidden="false" customHeight="false" outlineLevel="0" collapsed="false">
      <c r="A63896" s="0" t="s">
        <v>21874</v>
      </c>
      <c r="B63896" s="0" t="str">
        <f aca="false">HYPERLINK("https://lindat.mff.cuni.cz/services/teitok/pdtc10/index.php?action=vallex&amp;frame=v-whsa_2007f2_ZU", "zachytat si (v-whsa_2007f2_ZU)")</f>
        <v>zachytat si (v-whsa_2007f2_ZU)</v>
      </c>
    </row>
    <row r="63897" customFormat="false" ht="12.8" hidden="false" customHeight="false" outlineLevel="0" collapsed="false">
      <c r="B63897" s="0" t="s">
        <v>7</v>
      </c>
    </row>
    <row r="63898" customFormat="false" ht="12.8" hidden="false" customHeight="false" outlineLevel="0" collapsed="false">
      <c r="B63898" s="0" t="s">
        <v>14</v>
      </c>
    </row>
    <row r="63900" customFormat="false" ht="12.8" hidden="false" customHeight="false" outlineLevel="0" collapsed="false">
      <c r="A63900" s="0" t="s">
        <v>21874</v>
      </c>
      <c r="B63900" s="0" t="str">
        <f aca="false">HYPERLINK("https://lindat.mff.cuni.cz/services/teitok/pdtc10/index.php?action=vallex&amp;frame=v-whsa_2007f1_ZU", "zachytat si (v-whsa_2007f1_ZU) - substituted with v-whsa_2007f2_ZU")</f>
        <v>zachytat si (v-whsa_2007f1_ZU) - substituted with v-whsa_2007f2_ZU</v>
      </c>
    </row>
    <row r="63901" customFormat="false" ht="12.8" hidden="false" customHeight="false" outlineLevel="0" collapsed="false">
      <c r="B63901" s="0" t="s">
        <v>7</v>
      </c>
    </row>
    <row r="63902" customFormat="false" ht="12.8" hidden="false" customHeight="false" outlineLevel="0" collapsed="false">
      <c r="B63902" s="0" t="s">
        <v>14</v>
      </c>
    </row>
    <row r="63904" customFormat="false" ht="12.8" hidden="false" customHeight="false" outlineLevel="0" collapsed="false">
      <c r="A63904" s="0" t="s">
        <v>21874</v>
      </c>
      <c r="B63904" s="0" t="str">
        <f aca="false">HYPERLINK("https://lindat.mff.cuni.cz/services/teitok/pdtc10/index.php?action=vallex&amp;frame=v-whsa_2007hsa_2008", "zachytat si (v-whsa_2007hsa_2008) - substituted with v-whsa_2007f2_ZU")</f>
        <v>zachytat si (v-whsa_2007hsa_2008) - substituted with v-whsa_2007f2_ZU</v>
      </c>
    </row>
    <row r="63905" customFormat="false" ht="12.8" hidden="false" customHeight="false" outlineLevel="0" collapsed="false">
      <c r="B63905" s="0" t="s">
        <v>7</v>
      </c>
    </row>
    <row r="63906" customFormat="false" ht="12.8" hidden="false" customHeight="false" outlineLevel="0" collapsed="false">
      <c r="B63906" s="0" t="s">
        <v>14</v>
      </c>
    </row>
    <row r="63908" customFormat="false" ht="12.8" hidden="false" customHeight="false" outlineLevel="0" collapsed="false">
      <c r="A63908" s="0" t="s">
        <v>21875</v>
      </c>
      <c r="B63908" s="0" t="str">
        <f aca="false">HYPERLINK("https://lindat.mff.cuni.cz/services/teitok/pdtc10/index.php?action=vallex&amp;frame=v-w8829f2", "zachytit (v-w8829f2)")</f>
        <v>zachytit (v-w8829f2)</v>
      </c>
    </row>
    <row r="63909" customFormat="false" ht="12.8" hidden="false" customHeight="false" outlineLevel="0" collapsed="false">
      <c r="B63909" s="0" t="s">
        <v>7</v>
      </c>
      <c r="C63909" s="0" t="s">
        <v>9429</v>
      </c>
    </row>
    <row r="63910" customFormat="false" ht="12.8" hidden="false" customHeight="false" outlineLevel="0" collapsed="false">
      <c r="B63910" s="0" t="s">
        <v>14</v>
      </c>
      <c r="C63910" s="0" t="s">
        <v>115</v>
      </c>
    </row>
    <row r="63911" customFormat="false" ht="12.8" hidden="false" customHeight="false" outlineLevel="0" collapsed="false">
      <c r="B63911" s="0" t="s">
        <v>124</v>
      </c>
    </row>
    <row r="63913" customFormat="false" ht="12.8" hidden="false" customHeight="false" outlineLevel="0" collapsed="false">
      <c r="A63913" s="0" t="s">
        <v>21876</v>
      </c>
      <c r="B63913" s="0" t="str">
        <f aca="false">HYPERLINK("https://lindat.mff.cuni.cz/services/teitok/pdtc10/index.php?action=vallex&amp;frame=v-w8829f1", "zachytit (v-w8829f1)")</f>
        <v>zachytit (v-w8829f1)</v>
      </c>
    </row>
    <row r="63914" customFormat="false" ht="12.8" hidden="false" customHeight="false" outlineLevel="0" collapsed="false">
      <c r="B63914" s="0" t="s">
        <v>7</v>
      </c>
      <c r="C63914" s="0" t="s">
        <v>191</v>
      </c>
    </row>
    <row r="63915" customFormat="false" ht="12.8" hidden="false" customHeight="false" outlineLevel="0" collapsed="false">
      <c r="B63915" s="0" t="s">
        <v>14</v>
      </c>
      <c r="C63915" s="0" t="s">
        <v>74</v>
      </c>
    </row>
    <row r="63917" customFormat="false" ht="12.8" hidden="false" customHeight="false" outlineLevel="0" collapsed="false">
      <c r="A63917" s="0" t="s">
        <v>21877</v>
      </c>
      <c r="B63917" s="0" t="str">
        <f aca="false">HYPERLINK("https://lindat.mff.cuni.cz/services/teitok/pdtc10/index.php?action=vallex&amp;frame=v-w8829f3", "zachytit (v-w8829f3)")</f>
        <v>zachytit (v-w8829f3)</v>
      </c>
    </row>
    <row r="63918" customFormat="false" ht="12.8" hidden="false" customHeight="false" outlineLevel="0" collapsed="false">
      <c r="B63918" s="0" t="s">
        <v>7</v>
      </c>
      <c r="C63918" s="0" t="s">
        <v>184</v>
      </c>
      <c r="D63918" s="0" t="s">
        <v>184</v>
      </c>
      <c r="E63918" s="0" t="s">
        <v>184</v>
      </c>
      <c r="F63918" s="0" t="s">
        <v>184</v>
      </c>
    </row>
    <row r="63919" customFormat="false" ht="12.8" hidden="false" customHeight="false" outlineLevel="0" collapsed="false">
      <c r="B63919" s="0" t="s">
        <v>14</v>
      </c>
      <c r="C63919" s="0" t="s">
        <v>567</v>
      </c>
      <c r="D63919" s="0" t="s">
        <v>567</v>
      </c>
      <c r="E63919" s="0" t="s">
        <v>567</v>
      </c>
      <c r="F63919" s="0" t="s">
        <v>567</v>
      </c>
    </row>
    <row r="63921" customFormat="false" ht="12.8" hidden="false" customHeight="false" outlineLevel="0" collapsed="false">
      <c r="A63921" s="0" t="s">
        <v>21878</v>
      </c>
      <c r="B63921" s="0" t="str">
        <f aca="false">HYPERLINK("https://lindat.mff.cuni.cz/services/teitok/pdtc10/index.php?action=vallex&amp;frame=v-w8829f4", "zachytit (v-w8829f4)")</f>
        <v>zachytit (v-w8829f4)</v>
      </c>
    </row>
    <row r="63922" customFormat="false" ht="12.8" hidden="false" customHeight="false" outlineLevel="0" collapsed="false">
      <c r="B63922" s="0" t="s">
        <v>7</v>
      </c>
      <c r="C63922" s="0" t="s">
        <v>118</v>
      </c>
      <c r="D63922" s="0" t="s">
        <v>1960</v>
      </c>
      <c r="E63922" s="0" t="s">
        <v>1960</v>
      </c>
      <c r="F63922" s="0" t="s">
        <v>1960</v>
      </c>
    </row>
    <row r="63923" customFormat="false" ht="12.8" hidden="false" customHeight="false" outlineLevel="0" collapsed="false">
      <c r="B63923" s="0" t="s">
        <v>14</v>
      </c>
      <c r="C63923" s="0" t="s">
        <v>151</v>
      </c>
      <c r="D63923" s="0" t="s">
        <v>1962</v>
      </c>
      <c r="E63923" s="0" t="s">
        <v>1962</v>
      </c>
      <c r="F63923" s="0" t="s">
        <v>1962</v>
      </c>
    </row>
    <row r="63925" customFormat="false" ht="12.8" hidden="false" customHeight="false" outlineLevel="0" collapsed="false">
      <c r="A63925" s="0" t="s">
        <v>21879</v>
      </c>
      <c r="B63925" s="0" t="str">
        <f aca="false">HYPERLINK("https://lindat.mff.cuni.cz/services/teitok/pdtc10/index.php?action=vallex&amp;frame=v-w8829f5", "zachytit (v-w8829f5)")</f>
        <v>zachytit (v-w8829f5)</v>
      </c>
    </row>
    <row r="63926" customFormat="false" ht="12.8" hidden="false" customHeight="false" outlineLevel="0" collapsed="false">
      <c r="B63926" s="0" t="s">
        <v>7</v>
      </c>
    </row>
    <row r="63927" customFormat="false" ht="12.8" hidden="false" customHeight="false" outlineLevel="0" collapsed="false">
      <c r="B63927" s="0" t="s">
        <v>615</v>
      </c>
    </row>
    <row r="63929" customFormat="false" ht="12.8" hidden="false" customHeight="false" outlineLevel="0" collapsed="false">
      <c r="A63929" s="0" t="s">
        <v>21880</v>
      </c>
      <c r="B63929" s="0" t="str">
        <f aca="false">HYPERLINK("https://lindat.mff.cuni.cz/services/teitok/pdtc10/index.php?action=vallex&amp;frame=v-w8829f6_ZU", "zachytit (v-w8829f6_ZU)")</f>
        <v>zachytit (v-w8829f6_ZU)</v>
      </c>
    </row>
    <row r="63930" customFormat="false" ht="12.8" hidden="false" customHeight="false" outlineLevel="0" collapsed="false">
      <c r="B63930" s="0" t="s">
        <v>7</v>
      </c>
    </row>
    <row r="63931" customFormat="false" ht="12.8" hidden="false" customHeight="false" outlineLevel="0" collapsed="false">
      <c r="B63931" s="0" t="s">
        <v>14</v>
      </c>
    </row>
    <row r="63933" customFormat="false" ht="12.8" hidden="false" customHeight="false" outlineLevel="0" collapsed="false">
      <c r="A63933" s="0" t="s">
        <v>21881</v>
      </c>
      <c r="B63933" s="0" t="str">
        <f aca="false">HYPERLINK("https://lindat.mff.cuni.cz/services/teitok/pdtc10/index.php?action=vallex&amp;frame=v-w8830f1", "zachytit se (v-w8830f1)")</f>
        <v>zachytit se (v-w8830f1)</v>
      </c>
    </row>
    <row r="63934" customFormat="false" ht="12.8" hidden="false" customHeight="false" outlineLevel="0" collapsed="false">
      <c r="B63934" s="0" t="s">
        <v>7</v>
      </c>
    </row>
    <row r="63935" customFormat="false" ht="12.8" hidden="false" customHeight="false" outlineLevel="0" collapsed="false">
      <c r="B63935" s="0" t="s">
        <v>1087</v>
      </c>
    </row>
    <row r="63937" customFormat="false" ht="12.8" hidden="false" customHeight="false" outlineLevel="0" collapsed="false">
      <c r="A63937" s="0" t="s">
        <v>21882</v>
      </c>
      <c r="B63937" s="0" t="str">
        <f aca="false">HYPERLINK("https://lindat.mff.cuni.cz/services/teitok/pdtc10/index.php?action=vallex&amp;frame=v-w11216f2", "zachytávat (v-w11216f2)")</f>
        <v>zachytávat (v-w11216f2)</v>
      </c>
    </row>
    <row r="63938" customFormat="false" ht="12.8" hidden="false" customHeight="false" outlineLevel="0" collapsed="false">
      <c r="B63938" s="0" t="s">
        <v>7</v>
      </c>
    </row>
    <row r="63939" customFormat="false" ht="12.8" hidden="false" customHeight="false" outlineLevel="0" collapsed="false">
      <c r="B63939" s="0" t="s">
        <v>14</v>
      </c>
    </row>
    <row r="63941" customFormat="false" ht="12.8" hidden="false" customHeight="false" outlineLevel="0" collapsed="false">
      <c r="A63941" s="0" t="s">
        <v>21883</v>
      </c>
      <c r="B63941" s="0" t="str">
        <f aca="false">HYPERLINK("https://lindat.mff.cuni.cz/services/teitok/pdtc10/index.php?action=vallex&amp;frame=v-w8813f1", "zacházet (v-w8813f1)")</f>
        <v>zacházet (v-w8813f1)</v>
      </c>
    </row>
    <row r="63942" customFormat="false" ht="12.8" hidden="false" customHeight="false" outlineLevel="0" collapsed="false">
      <c r="B63942" s="0" t="s">
        <v>7</v>
      </c>
      <c r="C63942" s="0" t="s">
        <v>309</v>
      </c>
      <c r="D63942" s="0" t="s">
        <v>309</v>
      </c>
      <c r="E63942" s="0" t="s">
        <v>309</v>
      </c>
      <c r="F63942" s="0" t="s">
        <v>309</v>
      </c>
    </row>
    <row r="63943" customFormat="false" ht="12.8" hidden="false" customHeight="false" outlineLevel="0" collapsed="false">
      <c r="B63943" s="0" t="s">
        <v>548</v>
      </c>
      <c r="C63943" s="0" t="s">
        <v>21884</v>
      </c>
      <c r="D63943" s="0" t="s">
        <v>1277</v>
      </c>
      <c r="E63943" s="0" t="s">
        <v>1277</v>
      </c>
      <c r="F63943" s="0" t="s">
        <v>1277</v>
      </c>
    </row>
    <row r="63944" customFormat="false" ht="12.8" hidden="false" customHeight="false" outlineLevel="0" collapsed="false">
      <c r="B63944" s="0" t="s">
        <v>474</v>
      </c>
      <c r="C63944" s="0" t="s">
        <v>21885</v>
      </c>
      <c r="D63944" s="0" t="s">
        <v>1221</v>
      </c>
      <c r="E63944" s="0" t="s">
        <v>1221</v>
      </c>
      <c r="F63944" s="0" t="s">
        <v>1221</v>
      </c>
    </row>
    <row r="63945" customFormat="false" ht="12.8" hidden="false" customHeight="false" outlineLevel="0" collapsed="false">
      <c r="B63945" s="0" t="s">
        <v>479</v>
      </c>
      <c r="D63945" s="0" t="s">
        <v>14192</v>
      </c>
      <c r="E63945" s="0" t="s">
        <v>14192</v>
      </c>
      <c r="F63945" s="0" t="s">
        <v>14192</v>
      </c>
    </row>
    <row r="63946" customFormat="false" ht="12.8" hidden="false" customHeight="false" outlineLevel="0" collapsed="false">
      <c r="B63946" s="0" t="s">
        <v>481</v>
      </c>
      <c r="D63946" s="0" t="s">
        <v>14193</v>
      </c>
      <c r="E63946" s="0" t="s">
        <v>14193</v>
      </c>
      <c r="F63946" s="0" t="s">
        <v>14193</v>
      </c>
    </row>
    <row r="63947" customFormat="false" ht="12.8" hidden="false" customHeight="false" outlineLevel="0" collapsed="false">
      <c r="B63947" s="0" t="s">
        <v>483</v>
      </c>
      <c r="D63947" s="0" t="s">
        <v>14194</v>
      </c>
      <c r="E63947" s="0" t="s">
        <v>14194</v>
      </c>
      <c r="F63947" s="0" t="s">
        <v>14194</v>
      </c>
    </row>
    <row r="63949" customFormat="false" ht="12.8" hidden="false" customHeight="false" outlineLevel="0" collapsed="false">
      <c r="A63949" s="0" t="s">
        <v>21886</v>
      </c>
      <c r="B63949" s="0" t="str">
        <f aca="false">HYPERLINK("https://lindat.mff.cuni.cz/services/teitok/pdtc10/index.php?action=vallex&amp;frame=v-w8813f2", "zacházet (v-w8813f2)")</f>
        <v>zacházet (v-w8813f2)</v>
      </c>
    </row>
    <row r="63950" customFormat="false" ht="12.8" hidden="false" customHeight="false" outlineLevel="0" collapsed="false">
      <c r="B63950" s="0" t="s">
        <v>7</v>
      </c>
      <c r="C63950" s="0" t="s">
        <v>4431</v>
      </c>
      <c r="D63950" s="0" t="s">
        <v>8943</v>
      </c>
      <c r="E63950" s="0" t="s">
        <v>8943</v>
      </c>
      <c r="F63950" s="0" t="s">
        <v>8943</v>
      </c>
    </row>
    <row r="63951" customFormat="false" ht="12.8" hidden="false" customHeight="false" outlineLevel="0" collapsed="false">
      <c r="B63951" s="0" t="s">
        <v>548</v>
      </c>
      <c r="C63951" s="0" t="s">
        <v>6738</v>
      </c>
      <c r="D63951" s="0" t="s">
        <v>8944</v>
      </c>
      <c r="E63951" s="0" t="s">
        <v>8944</v>
      </c>
      <c r="F63951" s="0" t="s">
        <v>8944</v>
      </c>
    </row>
    <row r="63953" customFormat="false" ht="12.8" hidden="false" customHeight="false" outlineLevel="0" collapsed="false">
      <c r="A63953" s="0" t="s">
        <v>21887</v>
      </c>
      <c r="B63953" s="0" t="str">
        <f aca="false">HYPERLINK("https://lindat.mff.cuni.cz/services/teitok/pdtc10/index.php?action=vallex&amp;frame=v-w8813f8_ZU", "zacházet (v-w8813f8_ZU)")</f>
        <v>zacházet (v-w8813f8_ZU)</v>
      </c>
    </row>
    <row r="63954" customFormat="false" ht="12.8" hidden="false" customHeight="false" outlineLevel="0" collapsed="false">
      <c r="B63954" s="0" t="s">
        <v>7</v>
      </c>
    </row>
    <row r="63955" customFormat="false" ht="12.8" hidden="false" customHeight="false" outlineLevel="0" collapsed="false">
      <c r="B63955" s="0" t="s">
        <v>21888</v>
      </c>
    </row>
    <row r="63957" customFormat="false" ht="12.8" hidden="false" customHeight="false" outlineLevel="0" collapsed="false">
      <c r="A63957" s="0" t="s">
        <v>21887</v>
      </c>
      <c r="B63957" s="0" t="str">
        <f aca="false">HYPERLINK("https://lindat.mff.cuni.cz/services/teitok/pdtc10/index.php?action=vallex&amp;frame=v-w8813f3", "zacházet (v-w8813f3) - substituted with v-w8813f8_ZU")</f>
        <v>zacházet (v-w8813f3) - substituted with v-w8813f8_ZU</v>
      </c>
    </row>
    <row r="63958" customFormat="false" ht="12.8" hidden="false" customHeight="false" outlineLevel="0" collapsed="false">
      <c r="B63958" s="0" t="s">
        <v>7</v>
      </c>
    </row>
    <row r="63959" customFormat="false" ht="12.8" hidden="false" customHeight="false" outlineLevel="0" collapsed="false">
      <c r="B63959" s="0" t="s">
        <v>21888</v>
      </c>
    </row>
    <row r="63961" customFormat="false" ht="12.8" hidden="false" customHeight="false" outlineLevel="0" collapsed="false">
      <c r="A63961" s="0" t="s">
        <v>21887</v>
      </c>
      <c r="B63961" s="0" t="str">
        <f aca="false">HYPERLINK("https://lindat.mff.cuni.cz/services/teitok/pdtc10/index.php?action=vallex&amp;frame=v-w8813f4_ZU", "zacházet (v-w8813f4_ZU) - substituted with v-w8813f8_ZU")</f>
        <v>zacházet (v-w8813f4_ZU) - substituted with v-w8813f8_ZU</v>
      </c>
    </row>
    <row r="63962" customFormat="false" ht="12.8" hidden="false" customHeight="false" outlineLevel="0" collapsed="false">
      <c r="B63962" s="0" t="s">
        <v>7</v>
      </c>
    </row>
    <row r="63963" customFormat="false" ht="12.8" hidden="false" customHeight="false" outlineLevel="0" collapsed="false">
      <c r="B63963" s="0" t="s">
        <v>21888</v>
      </c>
    </row>
    <row r="63965" customFormat="false" ht="12.8" hidden="false" customHeight="false" outlineLevel="0" collapsed="false">
      <c r="A63965" s="0" t="s">
        <v>21887</v>
      </c>
      <c r="B63965" s="0" t="str">
        <f aca="false">HYPERLINK("https://lindat.mff.cuni.cz/services/teitok/pdtc10/index.php?action=vallex&amp;frame=v-w8813f7_ZU", "zacházet (v-w8813f7_ZU) - substituted with v-w8813f8_ZU")</f>
        <v>zacházet (v-w8813f7_ZU) - substituted with v-w8813f8_ZU</v>
      </c>
    </row>
    <row r="63966" customFormat="false" ht="12.8" hidden="false" customHeight="false" outlineLevel="0" collapsed="false">
      <c r="B63966" s="0" t="s">
        <v>7</v>
      </c>
    </row>
    <row r="63967" customFormat="false" ht="12.8" hidden="false" customHeight="false" outlineLevel="0" collapsed="false">
      <c r="B63967" s="0" t="s">
        <v>21888</v>
      </c>
    </row>
    <row r="63969" customFormat="false" ht="12.8" hidden="false" customHeight="false" outlineLevel="0" collapsed="false">
      <c r="A63969" s="0" t="s">
        <v>21889</v>
      </c>
      <c r="B63969" s="0" t="str">
        <f aca="false">HYPERLINK("https://lindat.mff.cuni.cz/services/teitok/pdtc10/index.php?action=vallex&amp;frame=v-w8813f6_ZU", "zacházet (v-w8813f6_ZU)")</f>
        <v>zacházet (v-w8813f6_ZU)</v>
      </c>
    </row>
    <row r="63970" customFormat="false" ht="12.8" hidden="false" customHeight="false" outlineLevel="0" collapsed="false">
      <c r="B63970" s="0" t="s">
        <v>7</v>
      </c>
      <c r="D63970" s="0" t="s">
        <v>1705</v>
      </c>
      <c r="E63970" s="0" t="s">
        <v>1706</v>
      </c>
      <c r="F63970" s="0" t="s">
        <v>1706</v>
      </c>
    </row>
    <row r="63971" customFormat="false" ht="12.8" hidden="false" customHeight="false" outlineLevel="0" collapsed="false">
      <c r="B63971" s="0" t="s">
        <v>338</v>
      </c>
      <c r="D63971" s="0" t="s">
        <v>1707</v>
      </c>
      <c r="E63971" s="0" t="s">
        <v>1707</v>
      </c>
      <c r="F63971" s="0" t="s">
        <v>1707</v>
      </c>
    </row>
    <row r="63973" customFormat="false" ht="12.8" hidden="false" customHeight="false" outlineLevel="0" collapsed="false">
      <c r="A63973" s="0" t="s">
        <v>21889</v>
      </c>
      <c r="B63973" s="0" t="str">
        <f aca="false">HYPERLINK("https://lindat.mff.cuni.cz/services/teitok/pdtc10/index.php?action=vallex&amp;frame=v-w8813f5_ZU", "zacházet (v-w8813f5_ZU) - substituted with v-w8813f6_ZU")</f>
        <v>zacházet (v-w8813f5_ZU) - substituted with v-w8813f6_ZU</v>
      </c>
    </row>
    <row r="63974" customFormat="false" ht="12.8" hidden="false" customHeight="false" outlineLevel="0" collapsed="false">
      <c r="B63974" s="0" t="s">
        <v>7</v>
      </c>
    </row>
    <row r="63975" customFormat="false" ht="12.8" hidden="false" customHeight="false" outlineLevel="0" collapsed="false">
      <c r="B63975" s="0" t="s">
        <v>338</v>
      </c>
    </row>
    <row r="63977" customFormat="false" ht="12.8" hidden="false" customHeight="false" outlineLevel="0" collapsed="false">
      <c r="A63977" s="0" t="s">
        <v>21890</v>
      </c>
      <c r="B63977" s="0" t="str">
        <f aca="false">HYPERLINK("https://lindat.mff.cuni.cz/services/teitok/pdtc10/index.php?action=vallex&amp;frame=v-w8813f9_ZU", "zacházet (v-w8813f9_ZU)")</f>
        <v>zacházet (v-w8813f9_ZU)</v>
      </c>
    </row>
    <row r="63978" customFormat="false" ht="12.8" hidden="false" customHeight="false" outlineLevel="0" collapsed="false">
      <c r="B63978" s="0" t="s">
        <v>7</v>
      </c>
    </row>
    <row r="63979" customFormat="false" ht="12.8" hidden="false" customHeight="false" outlineLevel="0" collapsed="false">
      <c r="B63979" s="0" t="s">
        <v>21891</v>
      </c>
    </row>
    <row r="63981" customFormat="false" ht="12.8" hidden="false" customHeight="false" outlineLevel="0" collapsed="false">
      <c r="A63981" s="0" t="s">
        <v>21892</v>
      </c>
      <c r="B63981" s="0" t="str">
        <f aca="false">HYPERLINK("https://lindat.mff.cuni.cz/services/teitok/pdtc10/index.php?action=vallex&amp;frame=v-w8813f11_ZU", "zacházet (v-w8813f11_ZU)")</f>
        <v>zacházet (v-w8813f11_ZU)</v>
      </c>
    </row>
    <row r="63982" customFormat="false" ht="12.8" hidden="false" customHeight="false" outlineLevel="0" collapsed="false">
      <c r="B63982" s="0" t="s">
        <v>7</v>
      </c>
      <c r="C63982" s="0" t="s">
        <v>21893</v>
      </c>
    </row>
    <row r="63983" customFormat="false" ht="12.8" hidden="false" customHeight="false" outlineLevel="0" collapsed="false">
      <c r="B63983" s="0" t="s">
        <v>1906</v>
      </c>
    </row>
    <row r="63985" customFormat="false" ht="12.8" hidden="false" customHeight="false" outlineLevel="0" collapsed="false">
      <c r="A63985" s="0" t="s">
        <v>21892</v>
      </c>
      <c r="B63985" s="0" t="str">
        <f aca="false">HYPERLINK("https://lindat.mff.cuni.cz/services/teitok/pdtc10/index.php?action=vallex&amp;frame=v-w8813f10_ZU", "zacházet (v-w8813f10_ZU) - substituted with v-w8813f11_ZU")</f>
        <v>zacházet (v-w8813f10_ZU) - substituted with v-w8813f11_ZU</v>
      </c>
    </row>
    <row r="63986" customFormat="false" ht="12.8" hidden="false" customHeight="false" outlineLevel="0" collapsed="false">
      <c r="B63986" s="0" t="s">
        <v>7</v>
      </c>
    </row>
    <row r="63987" customFormat="false" ht="12.8" hidden="false" customHeight="false" outlineLevel="0" collapsed="false">
      <c r="B63987" s="0" t="s">
        <v>1906</v>
      </c>
    </row>
    <row r="63989" customFormat="false" ht="12.8" hidden="false" customHeight="false" outlineLevel="0" collapsed="false">
      <c r="A63989" s="0" t="s">
        <v>21894</v>
      </c>
      <c r="B63989" s="0" t="str">
        <f aca="false">HYPERLINK("https://lindat.mff.cuni.cz/services/teitok/pdtc10/index.php?action=vallex&amp;frame=v-w8813f12_ZU", "zacházet (v-w8813f12_ZU)")</f>
        <v>zacházet (v-w8813f12_ZU)</v>
      </c>
    </row>
    <row r="63990" customFormat="false" ht="12.8" hidden="false" customHeight="false" outlineLevel="0" collapsed="false">
      <c r="B63990" s="0" t="s">
        <v>7</v>
      </c>
    </row>
    <row r="63991" customFormat="false" ht="12.8" hidden="false" customHeight="false" outlineLevel="0" collapsed="false">
      <c r="B63991" s="0" t="s">
        <v>338</v>
      </c>
    </row>
    <row r="63993" customFormat="false" ht="12.8" hidden="false" customHeight="false" outlineLevel="0" collapsed="false">
      <c r="A63993" s="0" t="s">
        <v>21895</v>
      </c>
      <c r="B63993" s="0" t="str">
        <f aca="false">HYPERLINK("https://lindat.mff.cuni.cz/services/teitok/pdtc10/index.php?action=vallex&amp;frame=v-whsa_1327hsa_1328", "zaclonit (v-whsa_1327hsa_1328)")</f>
        <v>zaclonit (v-whsa_1327hsa_1328)</v>
      </c>
    </row>
    <row r="63994" customFormat="false" ht="12.8" hidden="false" customHeight="false" outlineLevel="0" collapsed="false">
      <c r="B63994" s="0" t="s">
        <v>7</v>
      </c>
      <c r="C63994" s="0" t="s">
        <v>184</v>
      </c>
      <c r="D63994" s="0" t="s">
        <v>4256</v>
      </c>
      <c r="E63994" s="0" t="s">
        <v>1232</v>
      </c>
      <c r="F63994" s="0" t="s">
        <v>1232</v>
      </c>
    </row>
    <row r="63995" customFormat="false" ht="12.8" hidden="false" customHeight="false" outlineLevel="0" collapsed="false">
      <c r="B63995" s="0" t="s">
        <v>14</v>
      </c>
      <c r="C63995" s="0" t="s">
        <v>1170</v>
      </c>
      <c r="D63995" s="0" t="s">
        <v>4257</v>
      </c>
      <c r="E63995" s="0" t="s">
        <v>1233</v>
      </c>
      <c r="F63995" s="0" t="s">
        <v>1233</v>
      </c>
    </row>
    <row r="63996" customFormat="false" ht="12.8" hidden="false" customHeight="false" outlineLevel="0" collapsed="false">
      <c r="B63996" s="0" t="s">
        <v>3743</v>
      </c>
      <c r="C63996" s="0" t="s">
        <v>7276</v>
      </c>
      <c r="D63996" s="0" t="s">
        <v>21896</v>
      </c>
      <c r="E63996" s="0" t="s">
        <v>21897</v>
      </c>
      <c r="F63996" s="0" t="s">
        <v>21897</v>
      </c>
    </row>
    <row r="63998" customFormat="false" ht="12.8" hidden="false" customHeight="false" outlineLevel="0" collapsed="false">
      <c r="A63998" s="0" t="s">
        <v>21898</v>
      </c>
      <c r="B63998" s="0" t="str">
        <f aca="false">HYPERLINK("https://lindat.mff.cuni.cz/services/teitok/pdtc10/index.php?action=vallex&amp;frame=v-whsa_1781hsa_1782", "zacpat (v-whsa_1781hsa_1782)")</f>
        <v>zacpat (v-whsa_1781hsa_1782)</v>
      </c>
    </row>
    <row r="63999" customFormat="false" ht="12.8" hidden="false" customHeight="false" outlineLevel="0" collapsed="false">
      <c r="B63999" s="0" t="s">
        <v>7</v>
      </c>
    </row>
    <row r="64000" customFormat="false" ht="12.8" hidden="false" customHeight="false" outlineLevel="0" collapsed="false">
      <c r="B64000" s="0" t="s">
        <v>14</v>
      </c>
    </row>
    <row r="64002" customFormat="false" ht="12.8" hidden="false" customHeight="false" outlineLevel="0" collapsed="false">
      <c r="A64002" s="0" t="s">
        <v>21899</v>
      </c>
      <c r="B64002" s="0" t="str">
        <f aca="false">HYPERLINK("https://lindat.mff.cuni.cz/services/teitok/pdtc10/index.php?action=vallex&amp;frame=v-whsa_898hsa_899", "zacvaknout (v-whsa_898hsa_899)")</f>
        <v>zacvaknout (v-whsa_898hsa_899)</v>
      </c>
    </row>
    <row r="64003" customFormat="false" ht="12.8" hidden="false" customHeight="false" outlineLevel="0" collapsed="false">
      <c r="B64003" s="0" t="s">
        <v>7</v>
      </c>
    </row>
    <row r="64004" customFormat="false" ht="12.8" hidden="false" customHeight="false" outlineLevel="0" collapsed="false">
      <c r="B64004" s="0" t="s">
        <v>14</v>
      </c>
    </row>
    <row r="64005" customFormat="false" ht="12.8" hidden="false" customHeight="false" outlineLevel="0" collapsed="false">
      <c r="B64005" s="0" t="s">
        <v>181</v>
      </c>
    </row>
    <row r="64007" customFormat="false" ht="12.8" hidden="false" customHeight="false" outlineLevel="0" collapsed="false">
      <c r="A64007" s="0" t="s">
        <v>21900</v>
      </c>
      <c r="B64007" s="0" t="str">
        <f aca="false">HYPERLINK("https://lindat.mff.cuni.cz/services/teitok/pdtc10/index.php?action=vallex&amp;frame=v-whsa_1083hsa_1084", "zacvičit (v-whsa_1083hsa_1084)")</f>
        <v>zacvičit (v-whsa_1083hsa_1084)</v>
      </c>
    </row>
    <row r="64008" customFormat="false" ht="12.8" hidden="false" customHeight="false" outlineLevel="0" collapsed="false">
      <c r="B64008" s="0" t="s">
        <v>7</v>
      </c>
    </row>
    <row r="64009" customFormat="false" ht="12.8" hidden="false" customHeight="false" outlineLevel="0" collapsed="false">
      <c r="B64009" s="0" t="s">
        <v>14</v>
      </c>
    </row>
    <row r="64011" customFormat="false" ht="12.8" hidden="false" customHeight="false" outlineLevel="0" collapsed="false">
      <c r="A64011" s="0" t="s">
        <v>21901</v>
      </c>
      <c r="B64011" s="0" t="str">
        <f aca="false">HYPERLINK("https://lindat.mff.cuni.cz/services/teitok/pdtc10/index.php?action=vallex&amp;frame=v-whsa_1083f1_ZU", "zacvičit (v-whsa_1083f1_ZU)")</f>
        <v>zacvičit (v-whsa_1083f1_ZU)</v>
      </c>
    </row>
    <row r="64012" customFormat="false" ht="12.8" hidden="false" customHeight="false" outlineLevel="0" collapsed="false">
      <c r="B64012" s="0" t="s">
        <v>7</v>
      </c>
    </row>
    <row r="64013" customFormat="false" ht="12.8" hidden="false" customHeight="false" outlineLevel="0" collapsed="false">
      <c r="B64013" s="0" t="s">
        <v>297</v>
      </c>
    </row>
    <row r="64015" customFormat="false" ht="12.8" hidden="false" customHeight="false" outlineLevel="0" collapsed="false">
      <c r="A64015" s="0" t="s">
        <v>21902</v>
      </c>
      <c r="B64015" s="0" t="str">
        <f aca="false">HYPERLINK("https://lindat.mff.cuni.cz/services/teitok/pdtc10/index.php?action=vallex&amp;frame=v-w11493f1", "zacvičit si (v-w11493f1)")</f>
        <v>zacvičit si (v-w11493f1)</v>
      </c>
    </row>
    <row r="64016" customFormat="false" ht="12.8" hidden="false" customHeight="false" outlineLevel="0" collapsed="false">
      <c r="B64016" s="0" t="s">
        <v>7</v>
      </c>
      <c r="D64016" s="0" t="s">
        <v>113</v>
      </c>
      <c r="E64016" s="0" t="s">
        <v>113</v>
      </c>
      <c r="F64016" s="0" t="s">
        <v>113</v>
      </c>
    </row>
    <row r="64018" customFormat="false" ht="12.8" hidden="false" customHeight="false" outlineLevel="0" collapsed="false">
      <c r="A64018" s="0" t="s">
        <v>21903</v>
      </c>
      <c r="B64018" s="0" t="str">
        <f aca="false">HYPERLINK("https://lindat.mff.cuni.cz/services/teitok/pdtc10/index.php?action=vallex&amp;frame=v-whsa_466hsa_467", "zacvičovat (v-whsa_466hsa_467)")</f>
        <v>zacvičovat (v-whsa_466hsa_467)</v>
      </c>
    </row>
    <row r="64019" customFormat="false" ht="12.8" hidden="false" customHeight="false" outlineLevel="0" collapsed="false">
      <c r="B64019" s="0" t="s">
        <v>7</v>
      </c>
    </row>
    <row r="64020" customFormat="false" ht="12.8" hidden="false" customHeight="false" outlineLevel="0" collapsed="false">
      <c r="B64020" s="0" t="s">
        <v>14</v>
      </c>
    </row>
    <row r="64022" customFormat="false" ht="12.8" hidden="false" customHeight="false" outlineLevel="0" collapsed="false">
      <c r="A64022" s="0" t="s">
        <v>21904</v>
      </c>
      <c r="B64022" s="0" t="str">
        <f aca="false">HYPERLINK("https://lindat.mff.cuni.cz/services/teitok/pdtc10/index.php?action=vallex&amp;frame=v-w10267f3_ZU", "zacílit (v-w10267f3_ZU)")</f>
        <v>zacílit (v-w10267f3_ZU)</v>
      </c>
    </row>
    <row r="64023" customFormat="false" ht="12.8" hidden="false" customHeight="false" outlineLevel="0" collapsed="false">
      <c r="B64023" s="0" t="s">
        <v>7</v>
      </c>
    </row>
    <row r="64024" customFormat="false" ht="12.8" hidden="false" customHeight="false" outlineLevel="0" collapsed="false">
      <c r="B64024" s="0" t="s">
        <v>14</v>
      </c>
    </row>
    <row r="64025" customFormat="false" ht="12.8" hidden="false" customHeight="false" outlineLevel="0" collapsed="false">
      <c r="B64025" s="0" t="s">
        <v>124</v>
      </c>
    </row>
    <row r="64027" customFormat="false" ht="12.8" hidden="false" customHeight="false" outlineLevel="0" collapsed="false">
      <c r="A64027" s="0" t="s">
        <v>21905</v>
      </c>
      <c r="B64027" s="0" t="str">
        <f aca="false">HYPERLINK("https://lindat.mff.cuni.cz/services/teitok/pdtc10/index.php?action=vallex&amp;frame=v-w10267f2", "zacílit (v-w10267f2)")</f>
        <v>zacílit (v-w10267f2)</v>
      </c>
    </row>
    <row r="64028" customFormat="false" ht="12.8" hidden="false" customHeight="false" outlineLevel="0" collapsed="false">
      <c r="B64028" s="0" t="s">
        <v>7</v>
      </c>
    </row>
    <row r="64029" customFormat="false" ht="12.8" hidden="false" customHeight="false" outlineLevel="0" collapsed="false">
      <c r="B64029" s="0" t="s">
        <v>124</v>
      </c>
    </row>
    <row r="64031" customFormat="false" ht="12.8" hidden="false" customHeight="false" outlineLevel="0" collapsed="false">
      <c r="A64031" s="0" t="s">
        <v>21906</v>
      </c>
      <c r="B64031" s="0" t="str">
        <f aca="false">HYPERLINK("https://lindat.mff.cuni.cz/services/teitok/pdtc10/index.php?action=vallex&amp;frame=v-w12196_ZUf1_ZU", "zadaptovat (v-w12196_ZUf1_ZU)")</f>
        <v>zadaptovat (v-w12196_ZUf1_ZU)</v>
      </c>
    </row>
    <row r="64032" customFormat="false" ht="12.8" hidden="false" customHeight="false" outlineLevel="0" collapsed="false">
      <c r="B64032" s="0" t="s">
        <v>7</v>
      </c>
    </row>
    <row r="64033" customFormat="false" ht="12.8" hidden="false" customHeight="false" outlineLevel="0" collapsed="false">
      <c r="B64033" s="0" t="s">
        <v>14</v>
      </c>
    </row>
    <row r="64035" customFormat="false" ht="12.8" hidden="false" customHeight="false" outlineLevel="0" collapsed="false">
      <c r="A64035" s="0" t="s">
        <v>21907</v>
      </c>
      <c r="B64035" s="0" t="str">
        <f aca="false">HYPERLINK("https://lindat.mff.cuni.cz/services/teitok/pdtc10/index.php?action=vallex&amp;frame=v-w8763f1", "zadat (v-w8763f1)")</f>
        <v>zadat (v-w8763f1)</v>
      </c>
    </row>
    <row r="64036" customFormat="false" ht="12.8" hidden="false" customHeight="false" outlineLevel="0" collapsed="false">
      <c r="B64036" s="0" t="s">
        <v>7</v>
      </c>
      <c r="C64036" s="0" t="s">
        <v>21908</v>
      </c>
      <c r="D64036" s="0" t="s">
        <v>4171</v>
      </c>
      <c r="E64036" s="0" t="s">
        <v>4171</v>
      </c>
      <c r="F64036" s="0" t="s">
        <v>4171</v>
      </c>
    </row>
    <row r="64037" customFormat="false" ht="12.8" hidden="false" customHeight="false" outlineLevel="0" collapsed="false">
      <c r="B64037" s="0" t="s">
        <v>14</v>
      </c>
      <c r="C64037" s="0" t="s">
        <v>21909</v>
      </c>
      <c r="D64037" s="0" t="s">
        <v>1631</v>
      </c>
      <c r="E64037" s="0" t="s">
        <v>1631</v>
      </c>
      <c r="F64037" s="0" t="s">
        <v>1631</v>
      </c>
    </row>
    <row r="64038" customFormat="false" ht="12.8" hidden="false" customHeight="false" outlineLevel="0" collapsed="false">
      <c r="B64038" s="0" t="s">
        <v>48</v>
      </c>
      <c r="C64038" s="0" t="s">
        <v>21910</v>
      </c>
      <c r="D64038" s="0" t="s">
        <v>11275</v>
      </c>
      <c r="E64038" s="0" t="s">
        <v>11275</v>
      </c>
      <c r="F64038" s="0" t="s">
        <v>11275</v>
      </c>
    </row>
    <row r="64040" customFormat="false" ht="12.8" hidden="false" customHeight="false" outlineLevel="0" collapsed="false">
      <c r="A64040" s="0" t="s">
        <v>21911</v>
      </c>
      <c r="B64040" s="0" t="str">
        <f aca="false">HYPERLINK("https://lindat.mff.cuni.cz/services/teitok/pdtc10/index.php?action=vallex&amp;frame=v-w8763f3_ZU", "zadat (v-w8763f3_ZU)")</f>
        <v>zadat (v-w8763f3_ZU)</v>
      </c>
    </row>
    <row r="64041" customFormat="false" ht="12.8" hidden="false" customHeight="false" outlineLevel="0" collapsed="false">
      <c r="B64041" s="0" t="s">
        <v>7</v>
      </c>
      <c r="C64041" s="0" t="s">
        <v>7871</v>
      </c>
    </row>
    <row r="64042" customFormat="false" ht="12.8" hidden="false" customHeight="false" outlineLevel="0" collapsed="false">
      <c r="B64042" s="0" t="s">
        <v>21912</v>
      </c>
      <c r="C64042" s="0" t="s">
        <v>11800</v>
      </c>
    </row>
    <row r="64043" customFormat="false" ht="12.8" hidden="false" customHeight="false" outlineLevel="0" collapsed="false">
      <c r="B64043" s="0" t="s">
        <v>48</v>
      </c>
    </row>
    <row r="64045" customFormat="false" ht="12.8" hidden="false" customHeight="false" outlineLevel="0" collapsed="false">
      <c r="A64045" s="0" t="s">
        <v>21911</v>
      </c>
      <c r="B64045" s="0" t="str">
        <f aca="false">HYPERLINK("https://lindat.mff.cuni.cz/services/teitok/pdtc10/index.php?action=vallex&amp;frame=v-w8763hsa_771", "zadat (v-w8763hsa_771) - substituted with v-w8763f3_ZU")</f>
        <v>zadat (v-w8763hsa_771) - substituted with v-w8763f3_ZU</v>
      </c>
    </row>
    <row r="64046" customFormat="false" ht="12.8" hidden="false" customHeight="false" outlineLevel="0" collapsed="false">
      <c r="B64046" s="0" t="s">
        <v>7</v>
      </c>
    </row>
    <row r="64047" customFormat="false" ht="12.8" hidden="false" customHeight="false" outlineLevel="0" collapsed="false">
      <c r="B64047" s="0" t="s">
        <v>21912</v>
      </c>
    </row>
    <row r="64048" customFormat="false" ht="12.8" hidden="false" customHeight="false" outlineLevel="0" collapsed="false">
      <c r="B64048" s="0" t="s">
        <v>48</v>
      </c>
    </row>
    <row r="64050" customFormat="false" ht="12.8" hidden="false" customHeight="false" outlineLevel="0" collapsed="false">
      <c r="A64050" s="0" t="s">
        <v>21913</v>
      </c>
      <c r="B64050" s="0" t="str">
        <f aca="false">HYPERLINK("https://lindat.mff.cuni.cz/services/teitok/pdtc10/index.php?action=vallex&amp;frame=v-w8763f2_ZU", "zadat (v-w8763f2_ZU)")</f>
        <v>zadat (v-w8763f2_ZU)</v>
      </c>
    </row>
    <row r="64051" customFormat="false" ht="12.8" hidden="false" customHeight="false" outlineLevel="0" collapsed="false">
      <c r="B64051" s="0" t="s">
        <v>7</v>
      </c>
      <c r="C64051" s="0" t="s">
        <v>2797</v>
      </c>
      <c r="D64051" s="0" t="s">
        <v>2998</v>
      </c>
      <c r="E64051" s="0" t="s">
        <v>2998</v>
      </c>
      <c r="F64051" s="0" t="s">
        <v>2998</v>
      </c>
    </row>
    <row r="64052" customFormat="false" ht="12.8" hidden="false" customHeight="false" outlineLevel="0" collapsed="false">
      <c r="B64052" s="0" t="s">
        <v>14</v>
      </c>
      <c r="C64052" s="0" t="s">
        <v>324</v>
      </c>
      <c r="D64052" s="0" t="s">
        <v>3001</v>
      </c>
      <c r="E64052" s="0" t="s">
        <v>3001</v>
      </c>
      <c r="F64052" s="0" t="s">
        <v>3001</v>
      </c>
    </row>
    <row r="64054" customFormat="false" ht="12.8" hidden="false" customHeight="false" outlineLevel="0" collapsed="false">
      <c r="A64054" s="0" t="s">
        <v>21913</v>
      </c>
      <c r="B64054" s="0" t="str">
        <f aca="false">HYPERLINK("https://lindat.mff.cuni.cz/services/teitok/pdtc10/index.php?action=vallex&amp;frame=v-w8763hsa_772", "zadat (v-w8763hsa_772) - substituted with v-w8763f2_ZU")</f>
        <v>zadat (v-w8763hsa_772) - substituted with v-w8763f2_ZU</v>
      </c>
    </row>
    <row r="64055" customFormat="false" ht="12.8" hidden="false" customHeight="false" outlineLevel="0" collapsed="false">
      <c r="B64055" s="0" t="s">
        <v>7</v>
      </c>
      <c r="C64055" s="0" t="s">
        <v>2736</v>
      </c>
    </row>
    <row r="64056" customFormat="false" ht="12.8" hidden="false" customHeight="false" outlineLevel="0" collapsed="false">
      <c r="B64056" s="0" t="s">
        <v>14</v>
      </c>
      <c r="C64056" s="0" t="s">
        <v>1405</v>
      </c>
    </row>
    <row r="64058" customFormat="false" ht="12.8" hidden="false" customHeight="false" outlineLevel="0" collapsed="false">
      <c r="A64058" s="0" t="s">
        <v>21914</v>
      </c>
      <c r="B64058" s="0" t="str">
        <f aca="false">HYPERLINK("https://lindat.mff.cuni.cz/services/teitok/pdtc10/index.php?action=vallex&amp;frame=v-w8763hsa_1721", "zadat (v-w8763hsa_1721)")</f>
        <v>zadat (v-w8763hsa_1721)</v>
      </c>
    </row>
    <row r="64059" customFormat="false" ht="12.8" hidden="false" customHeight="false" outlineLevel="0" collapsed="false">
      <c r="B64059" s="0" t="s">
        <v>7</v>
      </c>
    </row>
    <row r="64060" customFormat="false" ht="12.8" hidden="false" customHeight="false" outlineLevel="0" collapsed="false">
      <c r="B64060" s="0" t="s">
        <v>14</v>
      </c>
    </row>
    <row r="64061" customFormat="false" ht="12.8" hidden="false" customHeight="false" outlineLevel="0" collapsed="false">
      <c r="B64061" s="0" t="s">
        <v>124</v>
      </c>
    </row>
    <row r="64063" customFormat="false" ht="12.8" hidden="false" customHeight="false" outlineLevel="0" collapsed="false">
      <c r="A64063" s="0" t="s">
        <v>21915</v>
      </c>
      <c r="B64063" s="0" t="str">
        <f aca="false">HYPERLINK("https://lindat.mff.cuni.cz/services/teitok/pdtc10/index.php?action=vallex&amp;frame=v-w8764f2_ZU", "zadat si (v-w8764f2_ZU)")</f>
        <v>zadat si (v-w8764f2_ZU)</v>
      </c>
    </row>
    <row r="64064" customFormat="false" ht="12.8" hidden="false" customHeight="false" outlineLevel="0" collapsed="false">
      <c r="B64064" s="0" t="s">
        <v>7</v>
      </c>
    </row>
    <row r="64065" customFormat="false" ht="12.8" hidden="false" customHeight="false" outlineLevel="0" collapsed="false">
      <c r="B64065" s="0" t="s">
        <v>21916</v>
      </c>
    </row>
    <row r="64067" customFormat="false" ht="12.8" hidden="false" customHeight="false" outlineLevel="0" collapsed="false">
      <c r="A64067" s="0" t="s">
        <v>21915</v>
      </c>
      <c r="B64067" s="0" t="str">
        <f aca="false">HYPERLINK("https://lindat.mff.cuni.cz/services/teitok/pdtc10/index.php?action=vallex&amp;frame=v-w8764f1", "zadat si (v-w8764f1) - substituted with v-w8764f2_ZU")</f>
        <v>zadat si (v-w8764f1) - substituted with v-w8764f2_ZU</v>
      </c>
    </row>
    <row r="64068" customFormat="false" ht="12.8" hidden="false" customHeight="false" outlineLevel="0" collapsed="false">
      <c r="B64068" s="0" t="s">
        <v>7</v>
      </c>
    </row>
    <row r="64069" customFormat="false" ht="12.8" hidden="false" customHeight="false" outlineLevel="0" collapsed="false">
      <c r="B64069" s="0" t="s">
        <v>21916</v>
      </c>
    </row>
    <row r="64071" customFormat="false" ht="12.8" hidden="false" customHeight="false" outlineLevel="0" collapsed="false">
      <c r="A64071" s="0" t="s">
        <v>21917</v>
      </c>
      <c r="B64071" s="0" t="str">
        <f aca="false">HYPERLINK("https://lindat.mff.cuni.cz/services/teitok/pdtc10/index.php?action=vallex&amp;frame=v-w8770f1", "zadlužit (v-w8770f1)")</f>
        <v>zadlužit (v-w8770f1)</v>
      </c>
    </row>
    <row r="64072" customFormat="false" ht="12.8" hidden="false" customHeight="false" outlineLevel="0" collapsed="false">
      <c r="B64072" s="0" t="s">
        <v>7</v>
      </c>
    </row>
    <row r="64073" customFormat="false" ht="12.8" hidden="false" customHeight="false" outlineLevel="0" collapsed="false">
      <c r="B64073" s="0" t="s">
        <v>14</v>
      </c>
    </row>
    <row r="64075" customFormat="false" ht="12.8" hidden="false" customHeight="false" outlineLevel="0" collapsed="false">
      <c r="A64075" s="0" t="s">
        <v>21918</v>
      </c>
      <c r="B64075" s="0" t="str">
        <f aca="false">HYPERLINK("https://lindat.mff.cuni.cz/services/teitok/pdtc10/index.php?action=vallex&amp;frame=v-w8771f1", "zadlužit se (v-w8771f1)")</f>
        <v>zadlužit se (v-w8771f1)</v>
      </c>
    </row>
    <row r="64076" customFormat="false" ht="12.8" hidden="false" customHeight="false" outlineLevel="0" collapsed="false">
      <c r="B64076" s="0" t="s">
        <v>7</v>
      </c>
    </row>
    <row r="64078" customFormat="false" ht="12.8" hidden="false" customHeight="false" outlineLevel="0" collapsed="false">
      <c r="A64078" s="0" t="s">
        <v>21919</v>
      </c>
      <c r="B64078" s="0" t="str">
        <f aca="false">HYPERLINK("https://lindat.mff.cuni.cz/services/teitok/pdtc10/index.php?action=vallex&amp;frame=v-w8773f1", "zadlužovat (v-w8773f1)")</f>
        <v>zadlužovat (v-w8773f1)</v>
      </c>
    </row>
    <row r="64079" customFormat="false" ht="12.8" hidden="false" customHeight="false" outlineLevel="0" collapsed="false">
      <c r="B64079" s="0" t="s">
        <v>7</v>
      </c>
    </row>
    <row r="64080" customFormat="false" ht="12.8" hidden="false" customHeight="false" outlineLevel="0" collapsed="false">
      <c r="B64080" s="0" t="s">
        <v>14</v>
      </c>
    </row>
    <row r="64082" customFormat="false" ht="12.8" hidden="false" customHeight="false" outlineLevel="0" collapsed="false">
      <c r="A64082" s="0" t="s">
        <v>21920</v>
      </c>
      <c r="B64082" s="0" t="str">
        <f aca="false">HYPERLINK("https://lindat.mff.cuni.cz/services/teitok/pdtc10/index.php?action=vallex&amp;frame=v-w8774f1", "zadministrovat (v-w8774f1)")</f>
        <v>zadministrovat (v-w8774f1)</v>
      </c>
    </row>
    <row r="64083" customFormat="false" ht="12.8" hidden="false" customHeight="false" outlineLevel="0" collapsed="false">
      <c r="B64083" s="0" t="s">
        <v>7</v>
      </c>
    </row>
    <row r="64084" customFormat="false" ht="12.8" hidden="false" customHeight="false" outlineLevel="0" collapsed="false">
      <c r="B64084" s="0" t="s">
        <v>14</v>
      </c>
    </row>
    <row r="64086" customFormat="false" ht="12.8" hidden="false" customHeight="false" outlineLevel="0" collapsed="false">
      <c r="A64086" s="0" t="s">
        <v>21921</v>
      </c>
      <c r="B64086" s="0" t="str">
        <f aca="false">HYPERLINK("https://lindat.mff.cuni.cz/services/teitok/pdtc10/index.php?action=vallex&amp;frame=v-w8776f2", "zadrhnout se (v-w8776f2)")</f>
        <v>zadrhnout se (v-w8776f2)</v>
      </c>
    </row>
    <row r="64087" customFormat="false" ht="12.8" hidden="false" customHeight="false" outlineLevel="0" collapsed="false">
      <c r="B64087" s="0" t="s">
        <v>7</v>
      </c>
      <c r="C64087" s="0" t="s">
        <v>21922</v>
      </c>
      <c r="D64087" s="0" t="s">
        <v>21923</v>
      </c>
      <c r="E64087" s="0" t="s">
        <v>21923</v>
      </c>
      <c r="F64087" s="0" t="s">
        <v>21923</v>
      </c>
    </row>
    <row r="64089" customFormat="false" ht="12.8" hidden="false" customHeight="false" outlineLevel="0" collapsed="false">
      <c r="A64089" s="0" t="s">
        <v>21921</v>
      </c>
      <c r="B64089" s="0" t="str">
        <f aca="false">HYPERLINK("https://lindat.mff.cuni.cz/services/teitok/pdtc10/index.php?action=vallex&amp;frame=v-w8776f1", "zadrhnout se (v-w8776f1) - substituted with v-w8776f2")</f>
        <v>zadrhnout se (v-w8776f1) - substituted with v-w8776f2</v>
      </c>
    </row>
    <row r="64090" customFormat="false" ht="12.8" hidden="false" customHeight="false" outlineLevel="0" collapsed="false">
      <c r="B64090" s="0" t="s">
        <v>7</v>
      </c>
    </row>
    <row r="64092" customFormat="false" ht="12.8" hidden="false" customHeight="false" outlineLevel="0" collapsed="false">
      <c r="A64092" s="0" t="s">
        <v>21924</v>
      </c>
      <c r="B64092" s="0" t="str">
        <f aca="false">HYPERLINK("https://lindat.mff.cuni.cz/services/teitok/pdtc10/index.php?action=vallex&amp;frame=v-whsa_116hsa_117", "zadrhávat se (v-whsa_116hsa_117)")</f>
        <v>zadrhávat se (v-whsa_116hsa_117)</v>
      </c>
    </row>
    <row r="64093" customFormat="false" ht="12.8" hidden="false" customHeight="false" outlineLevel="0" collapsed="false">
      <c r="B64093" s="0" t="s">
        <v>7</v>
      </c>
      <c r="C64093" s="0" t="s">
        <v>248</v>
      </c>
      <c r="D64093" s="0" t="s">
        <v>21923</v>
      </c>
      <c r="E64093" s="0" t="s">
        <v>21923</v>
      </c>
      <c r="F64093" s="0" t="s">
        <v>21923</v>
      </c>
    </row>
    <row r="64094" customFormat="false" ht="12.8" hidden="false" customHeight="false" outlineLevel="0" collapsed="false">
      <c r="B64094" s="0" t="s">
        <v>220</v>
      </c>
      <c r="C64094" s="0" t="s">
        <v>155</v>
      </c>
      <c r="D64094" s="0" t="s">
        <v>21925</v>
      </c>
      <c r="E64094" s="0" t="s">
        <v>21925</v>
      </c>
      <c r="F64094" s="0" t="s">
        <v>21925</v>
      </c>
    </row>
    <row r="64096" customFormat="false" ht="12.8" hidden="false" customHeight="false" outlineLevel="0" collapsed="false">
      <c r="A64096" s="0" t="s">
        <v>21926</v>
      </c>
      <c r="B64096" s="0" t="str">
        <f aca="false">HYPERLINK("https://lindat.mff.cuni.cz/services/teitok/pdtc10/index.php?action=vallex&amp;frame=v-w8778f2", "zadržet (v-w8778f2)")</f>
        <v>zadržet (v-w8778f2)</v>
      </c>
    </row>
    <row r="64097" customFormat="false" ht="12.8" hidden="false" customHeight="false" outlineLevel="0" collapsed="false">
      <c r="B64097" s="0" t="s">
        <v>7</v>
      </c>
      <c r="C64097" s="0" t="s">
        <v>113</v>
      </c>
    </row>
    <row r="64098" customFormat="false" ht="12.8" hidden="false" customHeight="false" outlineLevel="0" collapsed="false">
      <c r="B64098" s="0" t="s">
        <v>14</v>
      </c>
      <c r="C64098" s="0" t="s">
        <v>120</v>
      </c>
    </row>
    <row r="64099" customFormat="false" ht="12.8" hidden="false" customHeight="false" outlineLevel="0" collapsed="false">
      <c r="B64099" s="0" t="s">
        <v>106</v>
      </c>
    </row>
    <row r="64101" customFormat="false" ht="12.8" hidden="false" customHeight="false" outlineLevel="0" collapsed="false">
      <c r="A64101" s="0" t="s">
        <v>21927</v>
      </c>
      <c r="B64101" s="0" t="str">
        <f aca="false">HYPERLINK("https://lindat.mff.cuni.cz/services/teitok/pdtc10/index.php?action=vallex&amp;frame=v-w8778f1", "zadržet (v-w8778f1)")</f>
        <v>zadržet (v-w8778f1)</v>
      </c>
    </row>
    <row r="64102" customFormat="false" ht="12.8" hidden="false" customHeight="false" outlineLevel="0" collapsed="false">
      <c r="B64102" s="0" t="s">
        <v>7</v>
      </c>
      <c r="C64102" s="0" t="s">
        <v>108</v>
      </c>
      <c r="D64102" s="0" t="s">
        <v>391</v>
      </c>
      <c r="E64102" s="0" t="s">
        <v>391</v>
      </c>
      <c r="F64102" s="0" t="s">
        <v>391</v>
      </c>
    </row>
    <row r="64103" customFormat="false" ht="12.8" hidden="false" customHeight="false" outlineLevel="0" collapsed="false">
      <c r="B64103" s="0" t="s">
        <v>14</v>
      </c>
      <c r="C64103" s="0" t="s">
        <v>24</v>
      </c>
      <c r="D64103" s="0" t="s">
        <v>1093</v>
      </c>
      <c r="E64103" s="0" t="s">
        <v>1093</v>
      </c>
      <c r="F64103" s="0" t="s">
        <v>1093</v>
      </c>
    </row>
    <row r="64105" customFormat="false" ht="12.8" hidden="false" customHeight="false" outlineLevel="0" collapsed="false">
      <c r="A64105" s="0" t="s">
        <v>21928</v>
      </c>
      <c r="B64105" s="0" t="str">
        <f aca="false">HYPERLINK("https://lindat.mff.cuni.cz/services/teitok/pdtc10/index.php?action=vallex&amp;frame=v-w8778f3_ZU", "zadržet (v-w8778f3_ZU)")</f>
        <v>zadržet (v-w8778f3_ZU)</v>
      </c>
    </row>
    <row r="64106" customFormat="false" ht="12.8" hidden="false" customHeight="false" outlineLevel="0" collapsed="false">
      <c r="B64106" s="0" t="s">
        <v>7</v>
      </c>
      <c r="C64106" s="0" t="s">
        <v>21929</v>
      </c>
      <c r="D64106" s="0" t="s">
        <v>391</v>
      </c>
      <c r="E64106" s="0" t="s">
        <v>391</v>
      </c>
      <c r="F64106" s="0" t="s">
        <v>391</v>
      </c>
    </row>
    <row r="64107" customFormat="false" ht="12.8" hidden="false" customHeight="false" outlineLevel="0" collapsed="false">
      <c r="B64107" s="0" t="s">
        <v>14</v>
      </c>
      <c r="C64107" s="0" t="s">
        <v>4800</v>
      </c>
      <c r="D64107" s="0" t="s">
        <v>1093</v>
      </c>
      <c r="E64107" s="0" t="s">
        <v>1093</v>
      </c>
      <c r="F64107" s="0" t="s">
        <v>1093</v>
      </c>
    </row>
    <row r="64109" customFormat="false" ht="12.8" hidden="false" customHeight="false" outlineLevel="0" collapsed="false">
      <c r="A64109" s="0" t="s">
        <v>21930</v>
      </c>
      <c r="B64109" s="0" t="str">
        <f aca="false">HYPERLINK("https://lindat.mff.cuni.cz/services/teitok/pdtc10/index.php?action=vallex&amp;frame=v-w8780f1", "zadržovat (v-w8780f1)")</f>
        <v>zadržovat (v-w8780f1)</v>
      </c>
    </row>
    <row r="64110" customFormat="false" ht="12.8" hidden="false" customHeight="false" outlineLevel="0" collapsed="false">
      <c r="B64110" s="0" t="s">
        <v>7</v>
      </c>
      <c r="C64110" s="0" t="s">
        <v>2736</v>
      </c>
      <c r="D64110" s="0" t="s">
        <v>184</v>
      </c>
      <c r="E64110" s="0" t="s">
        <v>184</v>
      </c>
      <c r="F64110" s="0" t="s">
        <v>184</v>
      </c>
    </row>
    <row r="64111" customFormat="false" ht="12.8" hidden="false" customHeight="false" outlineLevel="0" collapsed="false">
      <c r="B64111" s="0" t="s">
        <v>14</v>
      </c>
      <c r="C64111" s="0" t="s">
        <v>2788</v>
      </c>
      <c r="D64111" s="0" t="s">
        <v>1170</v>
      </c>
      <c r="E64111" s="0" t="s">
        <v>1170</v>
      </c>
      <c r="F64111" s="0" t="s">
        <v>1170</v>
      </c>
    </row>
    <row r="64113" customFormat="false" ht="12.8" hidden="false" customHeight="false" outlineLevel="0" collapsed="false">
      <c r="A64113" s="0" t="s">
        <v>21931</v>
      </c>
      <c r="B64113" s="0" t="str">
        <f aca="false">HYPERLINK("https://lindat.mff.cuni.cz/services/teitok/pdtc10/index.php?action=vallex&amp;frame=v-w8780hsa_473", "zadržovat (v-w8780hsa_473)")</f>
        <v>zadržovat (v-w8780hsa_473)</v>
      </c>
    </row>
    <row r="64114" customFormat="false" ht="12.8" hidden="false" customHeight="false" outlineLevel="0" collapsed="false">
      <c r="B64114" s="0" t="s">
        <v>7</v>
      </c>
      <c r="C64114" s="0" t="s">
        <v>88</v>
      </c>
      <c r="D64114" s="0" t="s">
        <v>88</v>
      </c>
      <c r="E64114" s="0" t="s">
        <v>88</v>
      </c>
      <c r="F64114" s="0" t="s">
        <v>88</v>
      </c>
    </row>
    <row r="64115" customFormat="false" ht="12.8" hidden="false" customHeight="false" outlineLevel="0" collapsed="false">
      <c r="B64115" s="0" t="s">
        <v>14</v>
      </c>
      <c r="C64115" s="0" t="s">
        <v>89</v>
      </c>
      <c r="D64115" s="0" t="s">
        <v>89</v>
      </c>
      <c r="E64115" s="0" t="s">
        <v>89</v>
      </c>
      <c r="F64115" s="0" t="s">
        <v>89</v>
      </c>
    </row>
    <row r="64117" customFormat="false" ht="12.8" hidden="false" customHeight="false" outlineLevel="0" collapsed="false">
      <c r="A64117" s="0" t="s">
        <v>21932</v>
      </c>
      <c r="B64117" s="0" t="str">
        <f aca="false">HYPERLINK("https://lindat.mff.cuni.cz/services/teitok/pdtc10/index.php?action=vallex&amp;frame=v-w10186f2", "zadusit (v-w10186f2)")</f>
        <v>zadusit (v-w10186f2)</v>
      </c>
    </row>
    <row r="64118" customFormat="false" ht="12.8" hidden="false" customHeight="false" outlineLevel="0" collapsed="false">
      <c r="B64118" s="0" t="s">
        <v>7</v>
      </c>
    </row>
    <row r="64119" customFormat="false" ht="12.8" hidden="false" customHeight="false" outlineLevel="0" collapsed="false">
      <c r="B64119" s="0" t="s">
        <v>14</v>
      </c>
    </row>
    <row r="64121" customFormat="false" ht="12.8" hidden="false" customHeight="false" outlineLevel="0" collapsed="false">
      <c r="A64121" s="0" t="s">
        <v>21933</v>
      </c>
      <c r="B64121" s="0" t="str">
        <f aca="false">HYPERLINK("https://lindat.mff.cuni.cz/services/teitok/pdtc10/index.php?action=vallex&amp;frame=v-w12143_ZUf1_ZU", "zadusit se (v-w12143_ZUf1_ZU)")</f>
        <v>zadusit se (v-w12143_ZUf1_ZU)</v>
      </c>
    </row>
    <row r="64122" customFormat="false" ht="12.8" hidden="false" customHeight="false" outlineLevel="0" collapsed="false">
      <c r="B64122" s="0" t="s">
        <v>7</v>
      </c>
    </row>
    <row r="64124" customFormat="false" ht="12.8" hidden="false" customHeight="false" outlineLevel="0" collapsed="false">
      <c r="A64124" s="0" t="s">
        <v>21934</v>
      </c>
      <c r="B64124" s="0" t="str">
        <f aca="false">HYPERLINK("https://lindat.mff.cuni.cz/services/teitok/pdtc10/index.php?action=vallex&amp;frame=v-w8766f1", "zadávat (v-w8766f1)")</f>
        <v>zadávat (v-w8766f1)</v>
      </c>
    </row>
    <row r="64125" customFormat="false" ht="12.8" hidden="false" customHeight="false" outlineLevel="0" collapsed="false">
      <c r="B64125" s="0" t="s">
        <v>7</v>
      </c>
      <c r="C64125" s="0" t="s">
        <v>10175</v>
      </c>
      <c r="D64125" s="0" t="s">
        <v>4171</v>
      </c>
      <c r="E64125" s="0" t="s">
        <v>4171</v>
      </c>
      <c r="F64125" s="0" t="s">
        <v>4171</v>
      </c>
    </row>
    <row r="64126" customFormat="false" ht="12.8" hidden="false" customHeight="false" outlineLevel="0" collapsed="false">
      <c r="B64126" s="0" t="s">
        <v>14</v>
      </c>
      <c r="C64126" s="0" t="s">
        <v>14935</v>
      </c>
      <c r="D64126" s="0" t="s">
        <v>1631</v>
      </c>
      <c r="E64126" s="0" t="s">
        <v>1631</v>
      </c>
      <c r="F64126" s="0" t="s">
        <v>1631</v>
      </c>
    </row>
    <row r="64127" customFormat="false" ht="12.8" hidden="false" customHeight="false" outlineLevel="0" collapsed="false">
      <c r="B64127" s="0" t="s">
        <v>48</v>
      </c>
      <c r="C64127" s="0" t="s">
        <v>21935</v>
      </c>
      <c r="D64127" s="0" t="s">
        <v>11275</v>
      </c>
      <c r="E64127" s="0" t="s">
        <v>11275</v>
      </c>
      <c r="F64127" s="0" t="s">
        <v>11275</v>
      </c>
    </row>
    <row r="64129" customFormat="false" ht="12.8" hidden="false" customHeight="false" outlineLevel="0" collapsed="false">
      <c r="A64129" s="0" t="s">
        <v>21936</v>
      </c>
      <c r="B64129" s="0" t="str">
        <f aca="false">HYPERLINK("https://lindat.mff.cuni.cz/services/teitok/pdtc10/index.php?action=vallex&amp;frame=v-w8766f2_ZU", "zadávat (v-w8766f2_ZU)")</f>
        <v>zadávat (v-w8766f2_ZU)</v>
      </c>
    </row>
    <row r="64130" customFormat="false" ht="12.8" hidden="false" customHeight="false" outlineLevel="0" collapsed="false">
      <c r="B64130" s="0" t="s">
        <v>7</v>
      </c>
      <c r="C64130" s="0" t="s">
        <v>2736</v>
      </c>
    </row>
    <row r="64131" customFormat="false" ht="12.8" hidden="false" customHeight="false" outlineLevel="0" collapsed="false">
      <c r="B64131" s="0" t="s">
        <v>21912</v>
      </c>
      <c r="C64131" s="0" t="s">
        <v>4674</v>
      </c>
    </row>
    <row r="64132" customFormat="false" ht="12.8" hidden="false" customHeight="false" outlineLevel="0" collapsed="false">
      <c r="B64132" s="0" t="s">
        <v>48</v>
      </c>
    </row>
    <row r="64134" customFormat="false" ht="12.8" hidden="false" customHeight="false" outlineLevel="0" collapsed="false">
      <c r="A64134" s="0" t="s">
        <v>21936</v>
      </c>
      <c r="B64134" s="0" t="str">
        <f aca="false">HYPERLINK("https://lindat.mff.cuni.cz/services/teitok/pdtc10/index.php?action=vallex&amp;frame=v-w8766hsa_363", "zadávat (v-w8766hsa_363) - substituted with v-w8766f2_ZU")</f>
        <v>zadávat (v-w8766hsa_363) - substituted with v-w8766f2_ZU</v>
      </c>
    </row>
    <row r="64135" customFormat="false" ht="12.8" hidden="false" customHeight="false" outlineLevel="0" collapsed="false">
      <c r="B64135" s="0" t="s">
        <v>7</v>
      </c>
    </row>
    <row r="64136" customFormat="false" ht="12.8" hidden="false" customHeight="false" outlineLevel="0" collapsed="false">
      <c r="B64136" s="0" t="s">
        <v>21912</v>
      </c>
    </row>
    <row r="64137" customFormat="false" ht="12.8" hidden="false" customHeight="false" outlineLevel="0" collapsed="false">
      <c r="B64137" s="0" t="s">
        <v>48</v>
      </c>
    </row>
    <row r="64139" customFormat="false" ht="12.8" hidden="false" customHeight="false" outlineLevel="0" collapsed="false">
      <c r="A64139" s="0" t="s">
        <v>21937</v>
      </c>
      <c r="B64139" s="0" t="str">
        <f aca="false">HYPERLINK("https://lindat.mff.cuni.cz/services/teitok/pdtc10/index.php?action=vallex&amp;frame=v-w8766f3_ZU", "zadávat (v-w8766f3_ZU)")</f>
        <v>zadávat (v-w8766f3_ZU)</v>
      </c>
    </row>
    <row r="64140" customFormat="false" ht="12.8" hidden="false" customHeight="false" outlineLevel="0" collapsed="false">
      <c r="B64140" s="0" t="s">
        <v>7</v>
      </c>
    </row>
    <row r="64141" customFormat="false" ht="12.8" hidden="false" customHeight="false" outlineLevel="0" collapsed="false">
      <c r="B64141" s="0" t="s">
        <v>4668</v>
      </c>
    </row>
    <row r="64142" customFormat="false" ht="12.8" hidden="false" customHeight="false" outlineLevel="0" collapsed="false">
      <c r="B64142" s="0" t="s">
        <v>48</v>
      </c>
    </row>
    <row r="64144" customFormat="false" ht="12.8" hidden="false" customHeight="false" outlineLevel="0" collapsed="false">
      <c r="A64144" s="0" t="s">
        <v>21937</v>
      </c>
      <c r="B64144" s="0" t="str">
        <f aca="false">HYPERLINK("https://lindat.mff.cuni.cz/services/teitok/pdtc10/index.php?action=vallex&amp;frame=v-w8766hsa_268", "zadávat (v-w8766hsa_268) - substituted with v-w8766f3_ZU")</f>
        <v>zadávat (v-w8766hsa_268) - substituted with v-w8766f3_ZU</v>
      </c>
    </row>
    <row r="64145" customFormat="false" ht="12.8" hidden="false" customHeight="false" outlineLevel="0" collapsed="false">
      <c r="B64145" s="0" t="s">
        <v>7</v>
      </c>
    </row>
    <row r="64146" customFormat="false" ht="12.8" hidden="false" customHeight="false" outlineLevel="0" collapsed="false">
      <c r="B64146" s="0" t="s">
        <v>4668</v>
      </c>
    </row>
    <row r="64147" customFormat="false" ht="12.8" hidden="false" customHeight="false" outlineLevel="0" collapsed="false">
      <c r="B64147" s="0" t="s">
        <v>48</v>
      </c>
    </row>
    <row r="64149" customFormat="false" ht="12.8" hidden="false" customHeight="false" outlineLevel="0" collapsed="false">
      <c r="A64149" s="0" t="s">
        <v>21938</v>
      </c>
      <c r="B64149" s="0" t="str">
        <f aca="false">HYPERLINK("https://lindat.mff.cuni.cz/services/teitok/pdtc10/index.php?action=vallex&amp;frame=v-w11967_ZUf1_ZU", "zadívat se (v-w11967_ZUf1_ZU)")</f>
        <v>zadívat se (v-w11967_ZUf1_ZU)</v>
      </c>
    </row>
    <row r="64150" customFormat="false" ht="12.8" hidden="false" customHeight="false" outlineLevel="0" collapsed="false">
      <c r="B64150" s="0" t="s">
        <v>7</v>
      </c>
    </row>
    <row r="64151" customFormat="false" ht="12.8" hidden="false" customHeight="false" outlineLevel="0" collapsed="false">
      <c r="B64151" s="0" t="s">
        <v>338</v>
      </c>
    </row>
    <row r="64153" customFormat="false" ht="12.8" hidden="false" customHeight="false" outlineLevel="0" collapsed="false">
      <c r="A64153" s="0" t="s">
        <v>21939</v>
      </c>
      <c r="B64153" s="0" t="str">
        <f aca="false">HYPERLINK("https://lindat.mff.cuni.cz/services/teitok/pdtc10/index.php?action=vallex&amp;frame=v-w11916_ZUf1_ZU", "zadýchávat se (v-w11916_ZUf1_ZU)")</f>
        <v>zadýchávat se (v-w11916_ZUf1_ZU)</v>
      </c>
    </row>
    <row r="64154" customFormat="false" ht="12.8" hidden="false" customHeight="false" outlineLevel="0" collapsed="false">
      <c r="B64154" s="0" t="s">
        <v>7</v>
      </c>
    </row>
    <row r="64156" customFormat="false" ht="12.8" hidden="false" customHeight="false" outlineLevel="0" collapsed="false">
      <c r="A64156" s="0" t="s">
        <v>21940</v>
      </c>
      <c r="B64156" s="0" t="str">
        <f aca="false">HYPERLINK("https://lindat.mff.cuni.cz/services/teitok/pdtc10/index.php?action=vallex&amp;frame=v-w10942f2", "zadělat (v-w10942f2)")</f>
        <v>zadělat (v-w10942f2)</v>
      </c>
    </row>
    <row r="64157" customFormat="false" ht="12.8" hidden="false" customHeight="false" outlineLevel="0" collapsed="false">
      <c r="B64157" s="0" t="s">
        <v>7</v>
      </c>
    </row>
    <row r="64158" customFormat="false" ht="12.8" hidden="false" customHeight="false" outlineLevel="0" collapsed="false">
      <c r="B64158" s="0" t="s">
        <v>41</v>
      </c>
    </row>
    <row r="64160" customFormat="false" ht="12.8" hidden="false" customHeight="false" outlineLevel="0" collapsed="false">
      <c r="A64160" s="0" t="s">
        <v>21941</v>
      </c>
      <c r="B64160" s="0" t="str">
        <f aca="false">HYPERLINK("https://lindat.mff.cuni.cz/services/teitok/pdtc10/index.php?action=vallex&amp;frame=v-w10331f2", "zaevidovat (v-w10331f2)")</f>
        <v>zaevidovat (v-w10331f2)</v>
      </c>
    </row>
    <row r="64161" customFormat="false" ht="12.8" hidden="false" customHeight="false" outlineLevel="0" collapsed="false">
      <c r="B64161" s="0" t="s">
        <v>7</v>
      </c>
      <c r="C64161" s="0" t="s">
        <v>3610</v>
      </c>
      <c r="D64161" s="0" t="s">
        <v>1505</v>
      </c>
      <c r="E64161" s="0" t="s">
        <v>1505</v>
      </c>
      <c r="F64161" s="0" t="s">
        <v>1505</v>
      </c>
    </row>
    <row r="64162" customFormat="false" ht="12.8" hidden="false" customHeight="false" outlineLevel="0" collapsed="false">
      <c r="B64162" s="0" t="s">
        <v>54</v>
      </c>
      <c r="C64162" s="0" t="s">
        <v>6202</v>
      </c>
      <c r="D64162" s="0" t="s">
        <v>14524</v>
      </c>
      <c r="E64162" s="0" t="s">
        <v>14524</v>
      </c>
      <c r="F64162" s="0" t="s">
        <v>14524</v>
      </c>
    </row>
    <row r="64164" customFormat="false" ht="12.8" hidden="false" customHeight="false" outlineLevel="0" collapsed="false">
      <c r="A64164" s="0" t="s">
        <v>21942</v>
      </c>
      <c r="B64164" s="0" t="str">
        <f aca="false">HYPERLINK("https://lindat.mff.cuni.cz/services/teitok/pdtc10/index.php?action=vallex&amp;frame=v-w10896f3", "zafixovat (v-w10896f3)")</f>
        <v>zafixovat (v-w10896f3)</v>
      </c>
    </row>
    <row r="64165" customFormat="false" ht="12.8" hidden="false" customHeight="false" outlineLevel="0" collapsed="false">
      <c r="B64165" s="0" t="s">
        <v>7</v>
      </c>
    </row>
    <row r="64166" customFormat="false" ht="12.8" hidden="false" customHeight="false" outlineLevel="0" collapsed="false">
      <c r="B64166" s="0" t="s">
        <v>14</v>
      </c>
    </row>
    <row r="64168" customFormat="false" ht="12.8" hidden="false" customHeight="false" outlineLevel="0" collapsed="false">
      <c r="A64168" s="0" t="s">
        <v>21943</v>
      </c>
      <c r="B64168" s="0" t="str">
        <f aca="false">HYPERLINK("https://lindat.mff.cuni.cz/services/teitok/pdtc10/index.php?action=vallex&amp;frame=v-w8781f1", "zafungovat (v-w8781f1)")</f>
        <v>zafungovat (v-w8781f1)</v>
      </c>
    </row>
    <row r="64169" customFormat="false" ht="12.8" hidden="false" customHeight="false" outlineLevel="0" collapsed="false">
      <c r="B64169" s="0" t="s">
        <v>7</v>
      </c>
      <c r="C64169" s="0" t="s">
        <v>1509</v>
      </c>
      <c r="D64169" s="0" t="s">
        <v>868</v>
      </c>
      <c r="E64169" s="0" t="s">
        <v>868</v>
      </c>
      <c r="F64169" s="0" t="s">
        <v>868</v>
      </c>
    </row>
    <row r="64171" customFormat="false" ht="12.8" hidden="false" customHeight="false" outlineLevel="0" collapsed="false">
      <c r="A64171" s="0" t="s">
        <v>21944</v>
      </c>
      <c r="B64171" s="0" t="str">
        <f aca="false">HYPERLINK("https://lindat.mff.cuni.cz/services/teitok/pdtc10/index.php?action=vallex&amp;frame=v-whsa_1389hsa_1390", "zagitovat (v-whsa_1389hsa_1390)")</f>
        <v>zagitovat (v-whsa_1389hsa_1390)</v>
      </c>
    </row>
    <row r="64172" customFormat="false" ht="12.8" hidden="false" customHeight="false" outlineLevel="0" collapsed="false">
      <c r="B64172" s="0" t="s">
        <v>7</v>
      </c>
    </row>
    <row r="64173" customFormat="false" ht="12.8" hidden="false" customHeight="false" outlineLevel="0" collapsed="false">
      <c r="B64173" s="0" t="s">
        <v>14</v>
      </c>
    </row>
    <row r="64175" customFormat="false" ht="12.8" hidden="false" customHeight="false" outlineLevel="0" collapsed="false">
      <c r="A64175" s="0" t="s">
        <v>21945</v>
      </c>
      <c r="B64175" s="0" t="str">
        <f aca="false">HYPERLINK("https://lindat.mff.cuni.cz/services/teitok/pdtc10/index.php?action=vallex&amp;frame=v-w8785f1", "zahajovat (v-w8785f1)")</f>
        <v>zahajovat (v-w8785f1)</v>
      </c>
    </row>
    <row r="64176" customFormat="false" ht="12.8" hidden="false" customHeight="false" outlineLevel="0" collapsed="false">
      <c r="B64176" s="0" t="s">
        <v>7</v>
      </c>
      <c r="C64176" s="0" t="s">
        <v>21946</v>
      </c>
      <c r="D64176" s="0" t="s">
        <v>69</v>
      </c>
      <c r="E64176" s="0" t="s">
        <v>69</v>
      </c>
      <c r="F64176" s="0" t="s">
        <v>12497</v>
      </c>
    </row>
    <row r="64177" customFormat="false" ht="12.8" hidden="false" customHeight="false" outlineLevel="0" collapsed="false">
      <c r="B64177" s="0" t="s">
        <v>14</v>
      </c>
      <c r="C64177" s="0" t="s">
        <v>21947</v>
      </c>
      <c r="D64177" s="0" t="s">
        <v>71</v>
      </c>
      <c r="E64177" s="0" t="s">
        <v>71</v>
      </c>
      <c r="F64177" s="0" t="s">
        <v>14178</v>
      </c>
    </row>
    <row r="64179" customFormat="false" ht="12.8" hidden="false" customHeight="false" outlineLevel="0" collapsed="false">
      <c r="A64179" s="0" t="s">
        <v>21948</v>
      </c>
      <c r="B64179" s="0" t="str">
        <f aca="false">HYPERLINK("https://lindat.mff.cuni.cz/services/teitok/pdtc10/index.php?action=vallex&amp;frame=v-w8785f2_ZU", "zahajovat (v-w8785f2_ZU)")</f>
        <v>zahajovat (v-w8785f2_ZU)</v>
      </c>
    </row>
    <row r="64180" customFormat="false" ht="12.8" hidden="false" customHeight="false" outlineLevel="0" collapsed="false">
      <c r="B64180" s="0" t="s">
        <v>7</v>
      </c>
      <c r="C64180" s="0" t="s">
        <v>9261</v>
      </c>
      <c r="D64180" s="0" t="s">
        <v>9210</v>
      </c>
      <c r="E64180" s="0" t="s">
        <v>9210</v>
      </c>
      <c r="F64180" s="0" t="s">
        <v>9210</v>
      </c>
    </row>
    <row r="64182" customFormat="false" ht="12.8" hidden="false" customHeight="false" outlineLevel="0" collapsed="false">
      <c r="A64182" s="0" t="s">
        <v>21949</v>
      </c>
      <c r="B64182" s="0" t="str">
        <f aca="false">HYPERLINK("https://lindat.mff.cuni.cz/services/teitok/pdtc10/index.php?action=vallex&amp;frame=v-w8785f3_ZU", "zahajovat (v-w8785f3_ZU)")</f>
        <v>zahajovat (v-w8785f3_ZU)</v>
      </c>
    </row>
    <row r="64183" customFormat="false" ht="12.8" hidden="false" customHeight="false" outlineLevel="0" collapsed="false">
      <c r="B64183" s="0" t="s">
        <v>7</v>
      </c>
      <c r="C64183" s="0" t="s">
        <v>8512</v>
      </c>
      <c r="D64183" s="0" t="s">
        <v>8512</v>
      </c>
      <c r="E64183" s="0" t="s">
        <v>8512</v>
      </c>
      <c r="F64183" s="0" t="s">
        <v>8512</v>
      </c>
    </row>
    <row r="64184" customFormat="false" ht="12.8" hidden="false" customHeight="false" outlineLevel="0" collapsed="false">
      <c r="B64184" s="0" t="s">
        <v>297</v>
      </c>
    </row>
    <row r="64185" customFormat="false" ht="12.8" hidden="false" customHeight="false" outlineLevel="0" collapsed="false">
      <c r="B64185" s="0" t="s">
        <v>11</v>
      </c>
      <c r="C64185" s="0" t="s">
        <v>9215</v>
      </c>
      <c r="D64185" s="0" t="s">
        <v>8513</v>
      </c>
      <c r="E64185" s="0" t="s">
        <v>8513</v>
      </c>
      <c r="F64185" s="0" t="s">
        <v>8513</v>
      </c>
    </row>
    <row r="64187" customFormat="false" ht="12.8" hidden="false" customHeight="false" outlineLevel="0" collapsed="false">
      <c r="A64187" s="0" t="s">
        <v>21949</v>
      </c>
      <c r="B64187" s="0" t="str">
        <f aca="false">HYPERLINK("https://lindat.mff.cuni.cz/services/teitok/pdtc10/index.php?action=vallex&amp;frame=v-w8785hsa_1062", "zahajovat (v-w8785hsa_1062) - substituted with v-w8785f3_ZU")</f>
        <v>zahajovat (v-w8785hsa_1062) - substituted with v-w8785f3_ZU</v>
      </c>
    </row>
    <row r="64188" customFormat="false" ht="12.8" hidden="false" customHeight="false" outlineLevel="0" collapsed="false">
      <c r="B64188" s="0" t="s">
        <v>7</v>
      </c>
    </row>
    <row r="64189" customFormat="false" ht="12.8" hidden="false" customHeight="false" outlineLevel="0" collapsed="false">
      <c r="B64189" s="0" t="s">
        <v>297</v>
      </c>
    </row>
    <row r="64190" customFormat="false" ht="12.8" hidden="false" customHeight="false" outlineLevel="0" collapsed="false">
      <c r="B64190" s="0" t="s">
        <v>11</v>
      </c>
    </row>
    <row r="64192" customFormat="false" ht="12.8" hidden="false" customHeight="false" outlineLevel="0" collapsed="false">
      <c r="A64192" s="0" t="s">
        <v>21950</v>
      </c>
      <c r="B64192" s="0" t="str">
        <f aca="false">HYPERLINK("https://lindat.mff.cuni.cz/services/teitok/pdtc10/index.php?action=vallex&amp;frame=v-w8785hsa_1063", "zahajovat (v-w8785hsa_1063)")</f>
        <v>zahajovat (v-w8785hsa_1063)</v>
      </c>
    </row>
    <row r="64193" customFormat="false" ht="12.8" hidden="false" customHeight="false" outlineLevel="0" collapsed="false">
      <c r="B64193" s="0" t="s">
        <v>7</v>
      </c>
    </row>
    <row r="64194" customFormat="false" ht="12.8" hidden="false" customHeight="false" outlineLevel="0" collapsed="false">
      <c r="B64194" s="0" t="s">
        <v>11</v>
      </c>
    </row>
    <row r="64196" customFormat="false" ht="12.8" hidden="false" customHeight="false" outlineLevel="0" collapsed="false">
      <c r="A64196" s="0" t="s">
        <v>21951</v>
      </c>
      <c r="B64196" s="0" t="str">
        <f aca="false">HYPERLINK("https://lindat.mff.cuni.cz/services/teitok/pdtc10/index.php?action=vallex&amp;frame=v-w8786f1", "zahalit (v-w8786f1)")</f>
        <v>zahalit (v-w8786f1)</v>
      </c>
    </row>
    <row r="64197" customFormat="false" ht="12.8" hidden="false" customHeight="false" outlineLevel="0" collapsed="false">
      <c r="B64197" s="0" t="s">
        <v>7</v>
      </c>
      <c r="C64197" s="0" t="s">
        <v>21952</v>
      </c>
      <c r="D64197" s="0" t="s">
        <v>3741</v>
      </c>
      <c r="E64197" s="0" t="s">
        <v>3741</v>
      </c>
      <c r="F64197" s="0" t="s">
        <v>3741</v>
      </c>
    </row>
    <row r="64198" customFormat="false" ht="12.8" hidden="false" customHeight="false" outlineLevel="0" collapsed="false">
      <c r="B64198" s="0" t="s">
        <v>3742</v>
      </c>
      <c r="C64198" s="0" t="s">
        <v>21953</v>
      </c>
      <c r="D64198" s="0" t="s">
        <v>384</v>
      </c>
      <c r="E64198" s="0" t="s">
        <v>384</v>
      </c>
      <c r="F64198" s="0" t="s">
        <v>384</v>
      </c>
    </row>
    <row r="64199" customFormat="false" ht="12.8" hidden="false" customHeight="false" outlineLevel="0" collapsed="false">
      <c r="B64199" s="0" t="s">
        <v>3743</v>
      </c>
    </row>
    <row r="64201" customFormat="false" ht="12.8" hidden="false" customHeight="false" outlineLevel="0" collapsed="false">
      <c r="A64201" s="0" t="s">
        <v>21954</v>
      </c>
      <c r="B64201" s="0" t="str">
        <f aca="false">HYPERLINK("https://lindat.mff.cuni.cz/services/teitok/pdtc10/index.php?action=vallex&amp;frame=v-w8787f1", "zahalovat (v-w8787f1)")</f>
        <v>zahalovat (v-w8787f1)</v>
      </c>
    </row>
    <row r="64202" customFormat="false" ht="12.8" hidden="false" customHeight="false" outlineLevel="0" collapsed="false">
      <c r="B64202" s="0" t="s">
        <v>7</v>
      </c>
      <c r="D64202" s="0" t="s">
        <v>3741</v>
      </c>
      <c r="E64202" s="0" t="s">
        <v>3741</v>
      </c>
      <c r="F64202" s="0" t="s">
        <v>3741</v>
      </c>
    </row>
    <row r="64203" customFormat="false" ht="12.8" hidden="false" customHeight="false" outlineLevel="0" collapsed="false">
      <c r="B64203" s="0" t="s">
        <v>3742</v>
      </c>
      <c r="D64203" s="0" t="s">
        <v>384</v>
      </c>
      <c r="E64203" s="0" t="s">
        <v>384</v>
      </c>
      <c r="F64203" s="0" t="s">
        <v>384</v>
      </c>
    </row>
    <row r="64204" customFormat="false" ht="12.8" hidden="false" customHeight="false" outlineLevel="0" collapsed="false">
      <c r="B64204" s="0" t="s">
        <v>3743</v>
      </c>
    </row>
    <row r="64206" customFormat="false" ht="12.8" hidden="false" customHeight="false" outlineLevel="0" collapsed="false">
      <c r="A64206" s="0" t="s">
        <v>21955</v>
      </c>
      <c r="B64206" s="0" t="str">
        <f aca="false">HYPERLINK("https://lindat.mff.cuni.cz/services/teitok/pdtc10/index.php?action=vallex&amp;frame=v-w8788f1", "zahanbit (v-w8788f1)")</f>
        <v>zahanbit (v-w8788f1)</v>
      </c>
    </row>
    <row r="64207" customFormat="false" ht="12.8" hidden="false" customHeight="false" outlineLevel="0" collapsed="false">
      <c r="B64207" s="0" t="s">
        <v>7</v>
      </c>
      <c r="D64207" s="0" t="s">
        <v>184</v>
      </c>
      <c r="E64207" s="0" t="s">
        <v>184</v>
      </c>
      <c r="F64207" s="0" t="s">
        <v>184</v>
      </c>
    </row>
    <row r="64208" customFormat="false" ht="12.8" hidden="false" customHeight="false" outlineLevel="0" collapsed="false">
      <c r="B64208" s="0" t="s">
        <v>14</v>
      </c>
      <c r="D64208" s="0" t="s">
        <v>1610</v>
      </c>
      <c r="E64208" s="0" t="s">
        <v>1610</v>
      </c>
      <c r="F64208" s="0" t="s">
        <v>1610</v>
      </c>
    </row>
    <row r="64209" customFormat="false" ht="12.8" hidden="false" customHeight="false" outlineLevel="0" collapsed="false">
      <c r="B64209" s="0" t="s">
        <v>8558</v>
      </c>
    </row>
    <row r="64211" customFormat="false" ht="12.8" hidden="false" customHeight="false" outlineLevel="0" collapsed="false">
      <c r="A64211" s="0" t="s">
        <v>21956</v>
      </c>
      <c r="B64211" s="0" t="str">
        <f aca="false">HYPERLINK("https://lindat.mff.cuni.cz/services/teitok/pdtc10/index.php?action=vallex&amp;frame=v-w8790f1", "zahaprovat (v-w8790f1)")</f>
        <v>zahaprovat (v-w8790f1)</v>
      </c>
    </row>
    <row r="64212" customFormat="false" ht="12.8" hidden="false" customHeight="false" outlineLevel="0" collapsed="false">
      <c r="B64212" s="0" t="s">
        <v>7</v>
      </c>
    </row>
    <row r="64214" customFormat="false" ht="12.8" hidden="false" customHeight="false" outlineLevel="0" collapsed="false">
      <c r="A64214" s="0" t="s">
        <v>21957</v>
      </c>
      <c r="B64214" s="0" t="str">
        <f aca="false">HYPERLINK("https://lindat.mff.cuni.cz/services/teitok/pdtc10/index.php?action=vallex&amp;frame=v-whsa_429f1_ZU", "zahazovat (v-whsa_429f1_ZU)")</f>
        <v>zahazovat (v-whsa_429f1_ZU)</v>
      </c>
    </row>
    <row r="64215" customFormat="false" ht="12.8" hidden="false" customHeight="false" outlineLevel="0" collapsed="false">
      <c r="B64215" s="0" t="s">
        <v>7</v>
      </c>
      <c r="C64215" s="0" t="s">
        <v>335</v>
      </c>
    </row>
    <row r="64216" customFormat="false" ht="12.8" hidden="false" customHeight="false" outlineLevel="0" collapsed="false">
      <c r="B64216" s="0" t="s">
        <v>14</v>
      </c>
      <c r="C64216" s="0" t="s">
        <v>1170</v>
      </c>
    </row>
    <row r="64218" customFormat="false" ht="12.8" hidden="false" customHeight="false" outlineLevel="0" collapsed="false">
      <c r="A64218" s="0" t="s">
        <v>21957</v>
      </c>
      <c r="B64218" s="0" t="str">
        <f aca="false">HYPERLINK("https://lindat.mff.cuni.cz/services/teitok/pdtc10/index.php?action=vallex&amp;frame=v-whsa_429hsa_430", "zahazovat (v-whsa_429hsa_430) - substituted with v-whsa_429f1_ZU")</f>
        <v>zahazovat (v-whsa_429hsa_430) - substituted with v-whsa_429f1_ZU</v>
      </c>
    </row>
    <row r="64219" customFormat="false" ht="12.8" hidden="false" customHeight="false" outlineLevel="0" collapsed="false">
      <c r="B64219" s="0" t="s">
        <v>7</v>
      </c>
    </row>
    <row r="64220" customFormat="false" ht="12.8" hidden="false" customHeight="false" outlineLevel="0" collapsed="false">
      <c r="B64220" s="0" t="s">
        <v>14</v>
      </c>
    </row>
    <row r="64222" customFormat="false" ht="12.8" hidden="false" customHeight="false" outlineLevel="0" collapsed="false">
      <c r="A64222" s="0" t="s">
        <v>21958</v>
      </c>
      <c r="B64222" s="0" t="str">
        <f aca="false">HYPERLINK("https://lindat.mff.cuni.cz/services/teitok/pdtc10/index.php?action=vallex&amp;frame=v-w8791f1", "zahladit (v-w8791f1)")</f>
        <v>zahladit (v-w8791f1)</v>
      </c>
    </row>
    <row r="64223" customFormat="false" ht="12.8" hidden="false" customHeight="false" outlineLevel="0" collapsed="false">
      <c r="B64223" s="0" t="s">
        <v>7</v>
      </c>
    </row>
    <row r="64224" customFormat="false" ht="12.8" hidden="false" customHeight="false" outlineLevel="0" collapsed="false">
      <c r="B64224" s="0" t="s">
        <v>172</v>
      </c>
    </row>
    <row r="64225" customFormat="false" ht="12.8" hidden="false" customHeight="false" outlineLevel="0" collapsed="false">
      <c r="B64225" s="0" t="s">
        <v>3743</v>
      </c>
    </row>
    <row r="64227" customFormat="false" ht="12.8" hidden="false" customHeight="false" outlineLevel="0" collapsed="false">
      <c r="A64227" s="0" t="s">
        <v>21959</v>
      </c>
      <c r="B64227" s="0" t="str">
        <f aca="false">HYPERLINK("https://lindat.mff.cuni.cz/services/teitok/pdtc10/index.php?action=vallex&amp;frame=v-w8792f1", "zahlazovat (v-w8792f1)")</f>
        <v>zahlazovat (v-w8792f1)</v>
      </c>
    </row>
    <row r="64228" customFormat="false" ht="12.8" hidden="false" customHeight="false" outlineLevel="0" collapsed="false">
      <c r="B64228" s="0" t="s">
        <v>7</v>
      </c>
    </row>
    <row r="64229" customFormat="false" ht="12.8" hidden="false" customHeight="false" outlineLevel="0" collapsed="false">
      <c r="B64229" s="0" t="s">
        <v>172</v>
      </c>
    </row>
    <row r="64230" customFormat="false" ht="12.8" hidden="false" customHeight="false" outlineLevel="0" collapsed="false">
      <c r="B64230" s="0" t="s">
        <v>3743</v>
      </c>
    </row>
    <row r="64232" customFormat="false" ht="12.8" hidden="false" customHeight="false" outlineLevel="0" collapsed="false">
      <c r="A64232" s="0" t="s">
        <v>21960</v>
      </c>
      <c r="B64232" s="0" t="str">
        <f aca="false">HYPERLINK("https://lindat.mff.cuni.cz/services/teitok/pdtc10/index.php?action=vallex&amp;frame=v-w8793f1", "zahledět se (v-w8793f1)")</f>
        <v>zahledět se (v-w8793f1)</v>
      </c>
    </row>
    <row r="64233" customFormat="false" ht="12.8" hidden="false" customHeight="false" outlineLevel="0" collapsed="false">
      <c r="B64233" s="0" t="s">
        <v>7</v>
      </c>
      <c r="E64233" s="0" t="s">
        <v>3410</v>
      </c>
      <c r="F64233" s="0" t="s">
        <v>3410</v>
      </c>
    </row>
    <row r="64234" customFormat="false" ht="12.8" hidden="false" customHeight="false" outlineLevel="0" collapsed="false">
      <c r="B64234" s="0" t="s">
        <v>124</v>
      </c>
      <c r="E64234" s="0" t="s">
        <v>3413</v>
      </c>
      <c r="F64234" s="0" t="s">
        <v>3413</v>
      </c>
    </row>
    <row r="64236" customFormat="false" ht="12.8" hidden="false" customHeight="false" outlineLevel="0" collapsed="false">
      <c r="A64236" s="0" t="s">
        <v>21961</v>
      </c>
      <c r="B64236" s="0" t="str">
        <f aca="false">HYPERLINK("https://lindat.mff.cuni.cz/services/teitok/pdtc10/index.php?action=vallex&amp;frame=v-w11635_ZUf2_ZU", "zahlodat (v-w11635_ZUf2_ZU)")</f>
        <v>zahlodat (v-w11635_ZUf2_ZU)</v>
      </c>
    </row>
    <row r="64237" customFormat="false" ht="12.8" hidden="false" customHeight="false" outlineLevel="0" collapsed="false">
      <c r="B64237" s="0" t="s">
        <v>21962</v>
      </c>
    </row>
    <row r="64238" customFormat="false" ht="12.8" hidden="false" customHeight="false" outlineLevel="0" collapsed="false">
      <c r="B64238" s="0" t="s">
        <v>21963</v>
      </c>
    </row>
    <row r="64239" customFormat="false" ht="12.8" hidden="false" customHeight="false" outlineLevel="0" collapsed="false">
      <c r="B64239" s="0" t="s">
        <v>21964</v>
      </c>
    </row>
    <row r="64241" customFormat="false" ht="12.8" hidden="false" customHeight="false" outlineLevel="0" collapsed="false">
      <c r="A64241" s="0" t="s">
        <v>21961</v>
      </c>
      <c r="B64241" s="0" t="str">
        <f aca="false">HYPERLINK("https://lindat.mff.cuni.cz/services/teitok/pdtc10/index.php?action=vallex&amp;frame=v-w11635_ZUf1_ZU", "zahlodat (v-w11635_ZUf1_ZU) - substituted with v-w11635_ZUf2_ZU")</f>
        <v>zahlodat (v-w11635_ZUf1_ZU) - substituted with v-w11635_ZUf2_ZU</v>
      </c>
    </row>
    <row r="64242" customFormat="false" ht="12.8" hidden="false" customHeight="false" outlineLevel="0" collapsed="false">
      <c r="B64242" s="0" t="s">
        <v>21962</v>
      </c>
    </row>
    <row r="64243" customFormat="false" ht="12.8" hidden="false" customHeight="false" outlineLevel="0" collapsed="false">
      <c r="B64243" s="0" t="s">
        <v>21963</v>
      </c>
    </row>
    <row r="64244" customFormat="false" ht="12.8" hidden="false" customHeight="false" outlineLevel="0" collapsed="false">
      <c r="B64244" s="0" t="s">
        <v>21964</v>
      </c>
    </row>
    <row r="64246" customFormat="false" ht="12.8" hidden="false" customHeight="false" outlineLevel="0" collapsed="false">
      <c r="A64246" s="0" t="s">
        <v>21965</v>
      </c>
      <c r="B64246" s="0" t="str">
        <f aca="false">HYPERLINK("https://lindat.mff.cuni.cz/services/teitok/pdtc10/index.php?action=vallex&amp;frame=v-w11384f2", "zahloubat se (v-w11384f2)")</f>
        <v>zahloubat se (v-w11384f2)</v>
      </c>
    </row>
    <row r="64247" customFormat="false" ht="12.8" hidden="false" customHeight="false" outlineLevel="0" collapsed="false">
      <c r="B64247" s="0" t="s">
        <v>7</v>
      </c>
    </row>
    <row r="64248" customFormat="false" ht="12.8" hidden="false" customHeight="false" outlineLevel="0" collapsed="false">
      <c r="B64248" s="0" t="s">
        <v>985</v>
      </c>
    </row>
    <row r="64250" customFormat="false" ht="12.8" hidden="false" customHeight="false" outlineLevel="0" collapsed="false">
      <c r="A64250" s="0" t="s">
        <v>21966</v>
      </c>
      <c r="B64250" s="0" t="str">
        <f aca="false">HYPERLINK("https://lindat.mff.cuni.cz/services/teitok/pdtc10/index.php?action=vallex&amp;frame=v-w11477f1", "zahltit (v-w11477f1)")</f>
        <v>zahltit (v-w11477f1)</v>
      </c>
    </row>
    <row r="64251" customFormat="false" ht="12.8" hidden="false" customHeight="false" outlineLevel="0" collapsed="false">
      <c r="B64251" s="0" t="s">
        <v>7</v>
      </c>
      <c r="C64251" s="0" t="s">
        <v>21967</v>
      </c>
      <c r="D64251" s="0" t="s">
        <v>21968</v>
      </c>
      <c r="E64251" s="0" t="s">
        <v>21969</v>
      </c>
      <c r="F64251" s="0" t="s">
        <v>21969</v>
      </c>
    </row>
    <row r="64252" customFormat="false" ht="12.8" hidden="false" customHeight="false" outlineLevel="0" collapsed="false">
      <c r="B64252" s="0" t="s">
        <v>14</v>
      </c>
      <c r="C64252" s="0" t="s">
        <v>89</v>
      </c>
      <c r="D64252" s="0" t="s">
        <v>21970</v>
      </c>
      <c r="E64252" s="0" t="s">
        <v>21971</v>
      </c>
      <c r="F64252" s="0" t="s">
        <v>21971</v>
      </c>
    </row>
    <row r="64254" customFormat="false" ht="12.8" hidden="false" customHeight="false" outlineLevel="0" collapsed="false">
      <c r="A64254" s="0" t="s">
        <v>21972</v>
      </c>
      <c r="B64254" s="0" t="str">
        <f aca="false">HYPERLINK("https://lindat.mff.cuni.cz/services/teitok/pdtc10/index.php?action=vallex&amp;frame=v-w8795f1", "zahltit se (v-w8795f1)")</f>
        <v>zahltit se (v-w8795f1)</v>
      </c>
    </row>
    <row r="64255" customFormat="false" ht="12.8" hidden="false" customHeight="false" outlineLevel="0" collapsed="false">
      <c r="B64255" s="0" t="s">
        <v>7</v>
      </c>
    </row>
    <row r="64256" customFormat="false" ht="12.8" hidden="false" customHeight="false" outlineLevel="0" collapsed="false">
      <c r="B64256" s="0" t="s">
        <v>3771</v>
      </c>
    </row>
    <row r="64258" customFormat="false" ht="12.8" hidden="false" customHeight="false" outlineLevel="0" collapsed="false">
      <c r="A64258" s="0" t="s">
        <v>21973</v>
      </c>
      <c r="B64258" s="0" t="str">
        <f aca="false">HYPERLINK("https://lindat.mff.cuni.cz/services/teitok/pdtc10/index.php?action=vallex&amp;frame=v-w8794f1", "zahlédnout (v-w8794f1)")</f>
        <v>zahlédnout (v-w8794f1)</v>
      </c>
    </row>
    <row r="64259" customFormat="false" ht="12.8" hidden="false" customHeight="false" outlineLevel="0" collapsed="false">
      <c r="B64259" s="0" t="s">
        <v>7</v>
      </c>
      <c r="C64259" s="0" t="s">
        <v>2736</v>
      </c>
      <c r="D64259" s="0" t="s">
        <v>16156</v>
      </c>
      <c r="E64259" s="0" t="s">
        <v>16156</v>
      </c>
      <c r="F64259" s="0" t="s">
        <v>16156</v>
      </c>
    </row>
    <row r="64260" customFormat="false" ht="12.8" hidden="false" customHeight="false" outlineLevel="0" collapsed="false">
      <c r="B64260" s="0" t="s">
        <v>1520</v>
      </c>
      <c r="C64260" s="0" t="s">
        <v>16157</v>
      </c>
      <c r="D64260" s="0" t="s">
        <v>16158</v>
      </c>
      <c r="E64260" s="0" t="s">
        <v>16158</v>
      </c>
      <c r="F64260" s="0" t="s">
        <v>16158</v>
      </c>
    </row>
    <row r="64262" customFormat="false" ht="12.8" hidden="false" customHeight="false" outlineLevel="0" collapsed="false">
      <c r="A64262" s="0" t="s">
        <v>21974</v>
      </c>
      <c r="B64262" s="0" t="str">
        <f aca="false">HYPERLINK("https://lindat.mff.cuni.cz/services/teitok/pdtc10/index.php?action=vallex&amp;frame=v-w8796f1", "zahnat (v-w8796f1)")</f>
        <v>zahnat (v-w8796f1)</v>
      </c>
    </row>
    <row r="64263" customFormat="false" ht="12.8" hidden="false" customHeight="false" outlineLevel="0" collapsed="false">
      <c r="B64263" s="0" t="s">
        <v>7</v>
      </c>
    </row>
    <row r="64264" customFormat="false" ht="12.8" hidden="false" customHeight="false" outlineLevel="0" collapsed="false">
      <c r="B64264" s="0" t="s">
        <v>14</v>
      </c>
    </row>
    <row r="64265" customFormat="false" ht="12.8" hidden="false" customHeight="false" outlineLevel="0" collapsed="false">
      <c r="B64265" s="0" t="s">
        <v>124</v>
      </c>
    </row>
    <row r="64267" customFormat="false" ht="12.8" hidden="false" customHeight="false" outlineLevel="0" collapsed="false">
      <c r="A64267" s="0" t="s">
        <v>21975</v>
      </c>
      <c r="B64267" s="0" t="str">
        <f aca="false">HYPERLINK("https://lindat.mff.cuni.cz/services/teitok/pdtc10/index.php?action=vallex&amp;frame=v-w8796f2", "zahnat (v-w8796f2)")</f>
        <v>zahnat (v-w8796f2)</v>
      </c>
    </row>
    <row r="64268" customFormat="false" ht="12.8" hidden="false" customHeight="false" outlineLevel="0" collapsed="false">
      <c r="B64268" s="0" t="s">
        <v>7</v>
      </c>
      <c r="C64268" s="0" t="s">
        <v>46</v>
      </c>
      <c r="D64268" s="0" t="s">
        <v>335</v>
      </c>
      <c r="E64268" s="0" t="s">
        <v>335</v>
      </c>
      <c r="F64268" s="0" t="s">
        <v>335</v>
      </c>
    </row>
    <row r="64269" customFormat="false" ht="12.8" hidden="false" customHeight="false" outlineLevel="0" collapsed="false">
      <c r="B64269" s="0" t="s">
        <v>14</v>
      </c>
      <c r="C64269" s="0" t="s">
        <v>1264</v>
      </c>
      <c r="D64269" s="0" t="s">
        <v>1289</v>
      </c>
      <c r="E64269" s="0" t="s">
        <v>1289</v>
      </c>
      <c r="F64269" s="0" t="s">
        <v>1289</v>
      </c>
    </row>
    <row r="64271" customFormat="false" ht="12.8" hidden="false" customHeight="false" outlineLevel="0" collapsed="false">
      <c r="A64271" s="0" t="s">
        <v>21976</v>
      </c>
      <c r="B64271" s="0" t="str">
        <f aca="false">HYPERLINK("https://lindat.mff.cuni.cz/services/teitok/pdtc10/index.php?action=vallex&amp;frame=v-w8796f6_ZU", "zahnat (v-w8796f6_ZU)")</f>
        <v>zahnat (v-w8796f6_ZU)</v>
      </c>
    </row>
    <row r="64272" customFormat="false" ht="12.8" hidden="false" customHeight="false" outlineLevel="0" collapsed="false">
      <c r="B64272" s="0" t="s">
        <v>7</v>
      </c>
    </row>
    <row r="64273" customFormat="false" ht="12.8" hidden="false" customHeight="false" outlineLevel="0" collapsed="false">
      <c r="B64273" s="0" t="s">
        <v>14</v>
      </c>
    </row>
    <row r="64275" customFormat="false" ht="12.8" hidden="false" customHeight="false" outlineLevel="0" collapsed="false">
      <c r="A64275" s="0" t="s">
        <v>21976</v>
      </c>
      <c r="B64275" s="0" t="str">
        <f aca="false">HYPERLINK("https://lindat.mff.cuni.cz/services/teitok/pdtc10/index.php?action=vallex&amp;frame=v-w8796f3", "zahnat (v-w8796f3) - substituted with v-w8796f6_ZU")</f>
        <v>zahnat (v-w8796f3) - substituted with v-w8796f6_ZU</v>
      </c>
    </row>
    <row r="64276" customFormat="false" ht="12.8" hidden="false" customHeight="false" outlineLevel="0" collapsed="false">
      <c r="B64276" s="0" t="s">
        <v>7</v>
      </c>
      <c r="D64276" s="0" t="s">
        <v>5572</v>
      </c>
      <c r="E64276" s="0" t="s">
        <v>5572</v>
      </c>
      <c r="F64276" s="0" t="s">
        <v>5572</v>
      </c>
    </row>
    <row r="64277" customFormat="false" ht="12.8" hidden="false" customHeight="false" outlineLevel="0" collapsed="false">
      <c r="B64277" s="0" t="s">
        <v>14</v>
      </c>
      <c r="C64277" s="0" t="s">
        <v>115</v>
      </c>
      <c r="D64277" s="0" t="s">
        <v>21977</v>
      </c>
      <c r="E64277" s="0" t="s">
        <v>21977</v>
      </c>
      <c r="F64277" s="0" t="s">
        <v>21977</v>
      </c>
    </row>
    <row r="64279" customFormat="false" ht="12.8" hidden="false" customHeight="false" outlineLevel="0" collapsed="false">
      <c r="A64279" s="0" t="s">
        <v>21978</v>
      </c>
      <c r="B64279" s="0" t="str">
        <f aca="false">HYPERLINK("https://lindat.mff.cuni.cz/services/teitok/pdtc10/index.php?action=vallex&amp;frame=v-w8796f4", "zahnat (v-w8796f4)")</f>
        <v>zahnat (v-w8796f4)</v>
      </c>
    </row>
    <row r="64280" customFormat="false" ht="12.8" hidden="false" customHeight="false" outlineLevel="0" collapsed="false">
      <c r="B64280" s="0" t="s">
        <v>7</v>
      </c>
    </row>
    <row r="64281" customFormat="false" ht="12.8" hidden="false" customHeight="false" outlineLevel="0" collapsed="false">
      <c r="B64281" s="0" t="s">
        <v>2425</v>
      </c>
    </row>
    <row r="64282" customFormat="false" ht="12.8" hidden="false" customHeight="false" outlineLevel="0" collapsed="false">
      <c r="B64282" s="0" t="s">
        <v>14</v>
      </c>
    </row>
    <row r="64284" customFormat="false" ht="12.8" hidden="false" customHeight="false" outlineLevel="0" collapsed="false">
      <c r="A64284" s="0" t="s">
        <v>21979</v>
      </c>
      <c r="B64284" s="0" t="str">
        <f aca="false">HYPERLINK("https://lindat.mff.cuni.cz/services/teitok/pdtc10/index.php?action=vallex&amp;frame=v-w8796f5_ZU", "zahnat (v-w8796f5_ZU)")</f>
        <v>zahnat (v-w8796f5_ZU)</v>
      </c>
    </row>
    <row r="64285" customFormat="false" ht="12.8" hidden="false" customHeight="false" outlineLevel="0" collapsed="false">
      <c r="B64285" s="0" t="s">
        <v>7</v>
      </c>
    </row>
    <row r="64286" customFormat="false" ht="12.8" hidden="false" customHeight="false" outlineLevel="0" collapsed="false">
      <c r="B64286" s="0" t="s">
        <v>21980</v>
      </c>
    </row>
    <row r="64287" customFormat="false" ht="12.8" hidden="false" customHeight="false" outlineLevel="0" collapsed="false">
      <c r="B64287" s="0" t="s">
        <v>14</v>
      </c>
    </row>
    <row r="64289" customFormat="false" ht="12.8" hidden="false" customHeight="false" outlineLevel="0" collapsed="false">
      <c r="A64289" s="0" t="s">
        <v>21981</v>
      </c>
      <c r="B64289" s="0" t="str">
        <f aca="false">HYPERLINK("https://lindat.mff.cuni.cz/services/teitok/pdtc10/index.php?action=vallex&amp;frame=v-w8797f2", "zahnout (v-w8797f2)")</f>
        <v>zahnout (v-w8797f2)</v>
      </c>
    </row>
    <row r="64290" customFormat="false" ht="12.8" hidden="false" customHeight="false" outlineLevel="0" collapsed="false">
      <c r="B64290" s="0" t="s">
        <v>7</v>
      </c>
    </row>
    <row r="64291" customFormat="false" ht="12.8" hidden="false" customHeight="false" outlineLevel="0" collapsed="false">
      <c r="B64291" s="0" t="s">
        <v>14</v>
      </c>
    </row>
    <row r="64293" customFormat="false" ht="12.8" hidden="false" customHeight="false" outlineLevel="0" collapsed="false">
      <c r="A64293" s="0" t="s">
        <v>21982</v>
      </c>
      <c r="B64293" s="0" t="str">
        <f aca="false">HYPERLINK("https://lindat.mff.cuni.cz/services/teitok/pdtc10/index.php?action=vallex&amp;frame=v-w8797f1", "zahnout (v-w8797f1)")</f>
        <v>zahnout (v-w8797f1)</v>
      </c>
    </row>
    <row r="64294" customFormat="false" ht="12.8" hidden="false" customHeight="false" outlineLevel="0" collapsed="false">
      <c r="B64294" s="0" t="s">
        <v>7</v>
      </c>
    </row>
    <row r="64295" customFormat="false" ht="12.8" hidden="false" customHeight="false" outlineLevel="0" collapsed="false">
      <c r="B64295" s="0" t="s">
        <v>124</v>
      </c>
    </row>
    <row r="64297" customFormat="false" ht="12.8" hidden="false" customHeight="false" outlineLevel="0" collapsed="false">
      <c r="A64297" s="0" t="s">
        <v>21983</v>
      </c>
      <c r="B64297" s="0" t="str">
        <f aca="false">HYPERLINK("https://lindat.mff.cuni.cz/services/teitok/pdtc10/index.php?action=vallex&amp;frame=v-w8798f1", "zahodit (v-w8798f1)")</f>
        <v>zahodit (v-w8798f1)</v>
      </c>
    </row>
    <row r="64298" customFormat="false" ht="12.8" hidden="false" customHeight="false" outlineLevel="0" collapsed="false">
      <c r="B64298" s="0" t="s">
        <v>7</v>
      </c>
      <c r="C64298" s="0" t="s">
        <v>1826</v>
      </c>
      <c r="D64298" s="0" t="s">
        <v>2560</v>
      </c>
      <c r="E64298" s="0" t="s">
        <v>2560</v>
      </c>
      <c r="F64298" s="0" t="s">
        <v>2560</v>
      </c>
    </row>
    <row r="64299" customFormat="false" ht="12.8" hidden="false" customHeight="false" outlineLevel="0" collapsed="false">
      <c r="B64299" s="0" t="s">
        <v>14</v>
      </c>
      <c r="C64299" s="0" t="s">
        <v>1277</v>
      </c>
      <c r="D64299" s="0" t="s">
        <v>3883</v>
      </c>
      <c r="E64299" s="0" t="s">
        <v>3883</v>
      </c>
      <c r="F64299" s="0" t="s">
        <v>3883</v>
      </c>
    </row>
    <row r="64301" customFormat="false" ht="12.8" hidden="false" customHeight="false" outlineLevel="0" collapsed="false">
      <c r="A64301" s="0" t="s">
        <v>21984</v>
      </c>
      <c r="B64301" s="0" t="str">
        <f aca="false">HYPERLINK("https://lindat.mff.cuni.cz/services/teitok/pdtc10/index.php?action=vallex&amp;frame=v-w8798hsa_854", "zahodit (v-w8798hsa_854)")</f>
        <v>zahodit (v-w8798hsa_854)</v>
      </c>
    </row>
    <row r="64302" customFormat="false" ht="12.8" hidden="false" customHeight="false" outlineLevel="0" collapsed="false">
      <c r="B64302" s="0" t="s">
        <v>7</v>
      </c>
      <c r="C64302" s="0" t="s">
        <v>335</v>
      </c>
      <c r="D64302" s="0" t="s">
        <v>2560</v>
      </c>
      <c r="E64302" s="0" t="s">
        <v>2560</v>
      </c>
      <c r="F64302" s="0" t="s">
        <v>2560</v>
      </c>
    </row>
    <row r="64303" customFormat="false" ht="12.8" hidden="false" customHeight="false" outlineLevel="0" collapsed="false">
      <c r="B64303" s="0" t="s">
        <v>14</v>
      </c>
      <c r="C64303" s="0" t="s">
        <v>1170</v>
      </c>
      <c r="D64303" s="0" t="s">
        <v>3883</v>
      </c>
      <c r="E64303" s="0" t="s">
        <v>3883</v>
      </c>
      <c r="F64303" s="0" t="s">
        <v>3883</v>
      </c>
    </row>
    <row r="64305" customFormat="false" ht="12.8" hidden="false" customHeight="false" outlineLevel="0" collapsed="false">
      <c r="A64305" s="0" t="s">
        <v>21985</v>
      </c>
      <c r="B64305" s="0" t="str">
        <f aca="false">HYPERLINK("https://lindat.mff.cuni.cz/services/teitok/pdtc10/index.php?action=vallex&amp;frame=v-w11370f1", "zahojit (v-w11370f1)")</f>
        <v>zahojit (v-w11370f1)</v>
      </c>
    </row>
    <row r="64306" customFormat="false" ht="12.8" hidden="false" customHeight="false" outlineLevel="0" collapsed="false">
      <c r="B64306" s="0" t="s">
        <v>7</v>
      </c>
    </row>
    <row r="64307" customFormat="false" ht="12.8" hidden="false" customHeight="false" outlineLevel="0" collapsed="false">
      <c r="B64307" s="0" t="s">
        <v>14</v>
      </c>
      <c r="C64307" s="0" t="s">
        <v>155</v>
      </c>
    </row>
    <row r="64309" customFormat="false" ht="12.8" hidden="false" customHeight="false" outlineLevel="0" collapsed="false">
      <c r="A64309" s="0" t="s">
        <v>21986</v>
      </c>
      <c r="B64309" s="0" t="str">
        <f aca="false">HYPERLINK("https://lindat.mff.cuni.cz/services/teitok/pdtc10/index.php?action=vallex&amp;frame=v-w8799f1", "zahojit se (v-w8799f1)")</f>
        <v>zahojit se (v-w8799f1)</v>
      </c>
    </row>
    <row r="64310" customFormat="false" ht="12.8" hidden="false" customHeight="false" outlineLevel="0" collapsed="false">
      <c r="B64310" s="0" t="s">
        <v>7</v>
      </c>
    </row>
    <row r="64311" customFormat="false" ht="12.8" hidden="false" customHeight="false" outlineLevel="0" collapsed="false">
      <c r="B64311" s="0" t="s">
        <v>220</v>
      </c>
    </row>
    <row r="64313" customFormat="false" ht="12.8" hidden="false" customHeight="false" outlineLevel="0" collapsed="false">
      <c r="A64313" s="0" t="s">
        <v>21987</v>
      </c>
      <c r="B64313" s="0" t="str">
        <f aca="false">HYPERLINK("https://lindat.mff.cuni.cz/services/teitok/pdtc10/index.php?action=vallex&amp;frame=v-w8799hsa_774", "zahojit se (v-w8799hsa_774)")</f>
        <v>zahojit se (v-w8799hsa_774)</v>
      </c>
    </row>
    <row r="64314" customFormat="false" ht="12.8" hidden="false" customHeight="false" outlineLevel="0" collapsed="false">
      <c r="B64314" s="0" t="s">
        <v>7</v>
      </c>
    </row>
    <row r="64316" customFormat="false" ht="12.8" hidden="false" customHeight="false" outlineLevel="0" collapsed="false">
      <c r="A64316" s="0" t="s">
        <v>21988</v>
      </c>
      <c r="B64316" s="0" t="str">
        <f aca="false">HYPERLINK("https://lindat.mff.cuni.cz/services/teitok/pdtc10/index.php?action=vallex&amp;frame=v-whsa_1002hsa_1003", "zahoukat (v-whsa_1002hsa_1003)")</f>
        <v>zahoukat (v-whsa_1002hsa_1003)</v>
      </c>
    </row>
    <row r="64317" customFormat="false" ht="12.8" hidden="false" customHeight="false" outlineLevel="0" collapsed="false">
      <c r="B64317" s="0" t="s">
        <v>7</v>
      </c>
    </row>
    <row r="64318" customFormat="false" ht="12.8" hidden="false" customHeight="false" outlineLevel="0" collapsed="false">
      <c r="B64318" s="0" t="s">
        <v>297</v>
      </c>
    </row>
    <row r="64320" customFormat="false" ht="12.8" hidden="false" customHeight="false" outlineLevel="0" collapsed="false">
      <c r="A64320" s="0" t="s">
        <v>21989</v>
      </c>
      <c r="B64320" s="0" t="str">
        <f aca="false">HYPERLINK("https://lindat.mff.cuni.cz/services/teitok/pdtc10/index.php?action=vallex&amp;frame=v-w11787_ZUf1_ZU", "zahrabat (v-w11787_ZUf1_ZU)")</f>
        <v>zahrabat (v-w11787_ZUf1_ZU)</v>
      </c>
    </row>
    <row r="64321" customFormat="false" ht="12.8" hidden="false" customHeight="false" outlineLevel="0" collapsed="false">
      <c r="B64321" s="0" t="s">
        <v>7</v>
      </c>
    </row>
    <row r="64322" customFormat="false" ht="12.8" hidden="false" customHeight="false" outlineLevel="0" collapsed="false">
      <c r="B64322" s="0" t="s">
        <v>14</v>
      </c>
    </row>
    <row r="64323" customFormat="false" ht="12.8" hidden="false" customHeight="false" outlineLevel="0" collapsed="false">
      <c r="B64323" s="0" t="s">
        <v>338</v>
      </c>
    </row>
    <row r="64325" customFormat="false" ht="12.8" hidden="false" customHeight="false" outlineLevel="0" collapsed="false">
      <c r="A64325" s="0" t="s">
        <v>21990</v>
      </c>
      <c r="B64325" s="0" t="str">
        <f aca="false">HYPERLINK("https://lindat.mff.cuni.cz/services/teitok/pdtc10/index.php?action=vallex&amp;frame=v-w11787_ZUf2_ZU", "zahrabat (v-w11787_ZUf2_ZU)")</f>
        <v>zahrabat (v-w11787_ZUf2_ZU)</v>
      </c>
    </row>
    <row r="64326" customFormat="false" ht="12.8" hidden="false" customHeight="false" outlineLevel="0" collapsed="false">
      <c r="B64326" s="0" t="s">
        <v>7</v>
      </c>
    </row>
    <row r="64327" customFormat="false" ht="12.8" hidden="false" customHeight="false" outlineLevel="0" collapsed="false">
      <c r="B64327" s="0" t="s">
        <v>14</v>
      </c>
    </row>
    <row r="64328" customFormat="false" ht="12.8" hidden="false" customHeight="false" outlineLevel="0" collapsed="false">
      <c r="B64328" s="0" t="s">
        <v>6292</v>
      </c>
    </row>
    <row r="64330" customFormat="false" ht="12.8" hidden="false" customHeight="false" outlineLevel="0" collapsed="false">
      <c r="A64330" s="0" t="s">
        <v>21991</v>
      </c>
      <c r="B64330" s="0" t="str">
        <f aca="false">HYPERLINK("https://lindat.mff.cuni.cz/services/teitok/pdtc10/index.php?action=vallex&amp;frame=v-w10397f2", "zahradit (v-w10397f2)")</f>
        <v>zahradit (v-w10397f2)</v>
      </c>
    </row>
    <row r="64331" customFormat="false" ht="12.8" hidden="false" customHeight="false" outlineLevel="0" collapsed="false">
      <c r="B64331" s="0" t="s">
        <v>7</v>
      </c>
      <c r="C64331" s="0" t="s">
        <v>21992</v>
      </c>
      <c r="D64331" s="0" t="s">
        <v>184</v>
      </c>
      <c r="E64331" s="0" t="s">
        <v>184</v>
      </c>
      <c r="F64331" s="0" t="s">
        <v>11610</v>
      </c>
    </row>
    <row r="64332" customFormat="false" ht="12.8" hidden="false" customHeight="false" outlineLevel="0" collapsed="false">
      <c r="B64332" s="0" t="s">
        <v>14</v>
      </c>
      <c r="C64332" s="0" t="s">
        <v>21993</v>
      </c>
      <c r="D64332" s="0" t="s">
        <v>47</v>
      </c>
      <c r="E64332" s="0" t="s">
        <v>47</v>
      </c>
      <c r="F64332" s="0" t="s">
        <v>21994</v>
      </c>
    </row>
    <row r="64333" customFormat="false" ht="12.8" hidden="false" customHeight="false" outlineLevel="0" collapsed="false">
      <c r="B64333" s="0" t="s">
        <v>106</v>
      </c>
    </row>
    <row r="64335" customFormat="false" ht="12.8" hidden="false" customHeight="false" outlineLevel="0" collapsed="false">
      <c r="A64335" s="0" t="s">
        <v>21995</v>
      </c>
      <c r="B64335" s="0" t="str">
        <f aca="false">HYPERLINK("https://lindat.mff.cuni.cz/services/teitok/pdtc10/index.php?action=vallex&amp;frame=v-w10397hsa_1792", "zahradit (v-w10397hsa_1792)")</f>
        <v>zahradit (v-w10397hsa_1792)</v>
      </c>
    </row>
    <row r="64336" customFormat="false" ht="12.8" hidden="false" customHeight="false" outlineLevel="0" collapsed="false">
      <c r="B64336" s="0" t="s">
        <v>7</v>
      </c>
    </row>
    <row r="64337" customFormat="false" ht="12.8" hidden="false" customHeight="false" outlineLevel="0" collapsed="false">
      <c r="B64337" s="0" t="s">
        <v>14</v>
      </c>
    </row>
    <row r="64339" customFormat="false" ht="12.8" hidden="false" customHeight="false" outlineLevel="0" collapsed="false">
      <c r="A64339" s="0" t="s">
        <v>21996</v>
      </c>
      <c r="B64339" s="0" t="str">
        <f aca="false">HYPERLINK("https://lindat.mff.cuni.cz/services/teitok/pdtc10/index.php?action=vallex&amp;frame=v-w11225f2", "zahradničit (v-w11225f2)")</f>
        <v>zahradničit (v-w11225f2)</v>
      </c>
    </row>
    <row r="64340" customFormat="false" ht="12.8" hidden="false" customHeight="false" outlineLevel="0" collapsed="false">
      <c r="B64340" s="0" t="s">
        <v>7</v>
      </c>
    </row>
    <row r="64342" customFormat="false" ht="12.8" hidden="false" customHeight="false" outlineLevel="0" collapsed="false">
      <c r="A64342" s="0" t="s">
        <v>21997</v>
      </c>
      <c r="B64342" s="0" t="str">
        <f aca="false">HYPERLINK("https://lindat.mff.cuni.cz/services/teitok/pdtc10/index.php?action=vallex&amp;frame=v-w8804f3", "zahrnout (v-w8804f3)")</f>
        <v>zahrnout (v-w8804f3)</v>
      </c>
    </row>
    <row r="64343" customFormat="false" ht="12.8" hidden="false" customHeight="false" outlineLevel="0" collapsed="false">
      <c r="B64343" s="0" t="s">
        <v>7</v>
      </c>
      <c r="C64343" s="0" t="s">
        <v>184</v>
      </c>
    </row>
    <row r="64344" customFormat="false" ht="12.8" hidden="false" customHeight="false" outlineLevel="0" collapsed="false">
      <c r="B64344" s="0" t="s">
        <v>216</v>
      </c>
      <c r="C64344" s="0" t="s">
        <v>33</v>
      </c>
    </row>
    <row r="64345" customFormat="false" ht="12.8" hidden="false" customHeight="false" outlineLevel="0" collapsed="false">
      <c r="B64345" s="0" t="s">
        <v>81</v>
      </c>
    </row>
    <row r="64347" customFormat="false" ht="12.8" hidden="false" customHeight="false" outlineLevel="0" collapsed="false">
      <c r="A64347" s="0" t="s">
        <v>21998</v>
      </c>
      <c r="B64347" s="0" t="str">
        <f aca="false">HYPERLINK("https://lindat.mff.cuni.cz/services/teitok/pdtc10/index.php?action=vallex&amp;frame=v-w8804f2", "zahrnout (v-w8804f2)")</f>
        <v>zahrnout (v-w8804f2)</v>
      </c>
    </row>
    <row r="64348" customFormat="false" ht="12.8" hidden="false" customHeight="false" outlineLevel="0" collapsed="false">
      <c r="B64348" s="0" t="s">
        <v>7</v>
      </c>
      <c r="C64348" s="0" t="s">
        <v>21999</v>
      </c>
    </row>
    <row r="64349" customFormat="false" ht="12.8" hidden="false" customHeight="false" outlineLevel="0" collapsed="false">
      <c r="B64349" s="0" t="s">
        <v>14</v>
      </c>
      <c r="C64349" s="0" t="s">
        <v>22000</v>
      </c>
    </row>
    <row r="64350" customFormat="false" ht="12.8" hidden="false" customHeight="false" outlineLevel="0" collapsed="false">
      <c r="B64350" s="0" t="s">
        <v>11</v>
      </c>
      <c r="C64350" s="0" t="s">
        <v>22001</v>
      </c>
    </row>
    <row r="64352" customFormat="false" ht="12.8" hidden="false" customHeight="false" outlineLevel="0" collapsed="false">
      <c r="A64352" s="0" t="s">
        <v>22002</v>
      </c>
      <c r="B64352" s="0" t="str">
        <f aca="false">HYPERLINK("https://lindat.mff.cuni.cz/services/teitok/pdtc10/index.php?action=vallex&amp;frame=v-w8804f1", "zahrnout (v-w8804f1)")</f>
        <v>zahrnout (v-w8804f1)</v>
      </c>
    </row>
    <row r="64353" customFormat="false" ht="12.8" hidden="false" customHeight="false" outlineLevel="0" collapsed="false">
      <c r="B64353" s="0" t="s">
        <v>7</v>
      </c>
      <c r="C64353" s="0" t="s">
        <v>22003</v>
      </c>
      <c r="D64353" s="0" t="s">
        <v>13551</v>
      </c>
      <c r="E64353" s="0" t="s">
        <v>13551</v>
      </c>
      <c r="F64353" s="0" t="s">
        <v>13551</v>
      </c>
    </row>
    <row r="64354" customFormat="false" ht="12.8" hidden="false" customHeight="false" outlineLevel="0" collapsed="false">
      <c r="B64354" s="0" t="s">
        <v>14</v>
      </c>
      <c r="C64354" s="0" t="s">
        <v>22004</v>
      </c>
      <c r="D64354" s="0" t="s">
        <v>13553</v>
      </c>
      <c r="E64354" s="0" t="s">
        <v>13553</v>
      </c>
      <c r="F64354" s="0" t="s">
        <v>13553</v>
      </c>
    </row>
    <row r="64355" customFormat="false" ht="12.8" hidden="false" customHeight="false" outlineLevel="0" collapsed="false">
      <c r="B64355" s="0" t="s">
        <v>124</v>
      </c>
      <c r="C64355" s="0" t="s">
        <v>22005</v>
      </c>
      <c r="D64355" s="0" t="s">
        <v>13555</v>
      </c>
      <c r="E64355" s="0" t="s">
        <v>13555</v>
      </c>
      <c r="F64355" s="0" t="s">
        <v>13555</v>
      </c>
    </row>
    <row r="64357" customFormat="false" ht="12.8" hidden="false" customHeight="false" outlineLevel="0" collapsed="false">
      <c r="A64357" s="0" t="s">
        <v>22006</v>
      </c>
      <c r="B64357" s="0" t="str">
        <f aca="false">HYPERLINK("https://lindat.mff.cuni.cz/services/teitok/pdtc10/index.php?action=vallex&amp;frame=v-w8804f4", "zahrnout (v-w8804f4)")</f>
        <v>zahrnout (v-w8804f4)</v>
      </c>
    </row>
    <row r="64358" customFormat="false" ht="12.8" hidden="false" customHeight="false" outlineLevel="0" collapsed="false">
      <c r="B64358" s="0" t="s">
        <v>7</v>
      </c>
      <c r="C64358" s="0" t="s">
        <v>22007</v>
      </c>
      <c r="D64358" s="0" t="s">
        <v>7828</v>
      </c>
      <c r="E64358" s="0" t="s">
        <v>7828</v>
      </c>
      <c r="F64358" s="0" t="s">
        <v>7828</v>
      </c>
    </row>
    <row r="64359" customFormat="false" ht="12.8" hidden="false" customHeight="false" outlineLevel="0" collapsed="false">
      <c r="B64359" s="0" t="s">
        <v>14</v>
      </c>
      <c r="C64359" s="0" t="s">
        <v>22008</v>
      </c>
      <c r="D64359" s="0" t="s">
        <v>7830</v>
      </c>
      <c r="E64359" s="0" t="s">
        <v>7830</v>
      </c>
      <c r="F64359" s="0" t="s">
        <v>7830</v>
      </c>
    </row>
    <row r="64361" customFormat="false" ht="12.8" hidden="false" customHeight="false" outlineLevel="0" collapsed="false">
      <c r="A64361" s="0" t="s">
        <v>22009</v>
      </c>
      <c r="B64361" s="0" t="str">
        <f aca="false">HYPERLINK("https://lindat.mff.cuni.cz/services/teitok/pdtc10/index.php?action=vallex&amp;frame=v-w8805f3", "zahrnovat (v-w8805f3)")</f>
        <v>zahrnovat (v-w8805f3)</v>
      </c>
    </row>
    <row r="64362" customFormat="false" ht="12.8" hidden="false" customHeight="false" outlineLevel="0" collapsed="false">
      <c r="B64362" s="0" t="s">
        <v>7</v>
      </c>
    </row>
    <row r="64363" customFormat="false" ht="12.8" hidden="false" customHeight="false" outlineLevel="0" collapsed="false">
      <c r="B64363" s="0" t="s">
        <v>216</v>
      </c>
    </row>
    <row r="64364" customFormat="false" ht="12.8" hidden="false" customHeight="false" outlineLevel="0" collapsed="false">
      <c r="B64364" s="0" t="s">
        <v>81</v>
      </c>
    </row>
    <row r="64366" customFormat="false" ht="12.8" hidden="false" customHeight="false" outlineLevel="0" collapsed="false">
      <c r="A64366" s="0" t="s">
        <v>22010</v>
      </c>
      <c r="B64366" s="0" t="str">
        <f aca="false">HYPERLINK("https://lindat.mff.cuni.cz/services/teitok/pdtc10/index.php?action=vallex&amp;frame=v-w8805f2", "zahrnovat (v-w8805f2)")</f>
        <v>zahrnovat (v-w8805f2)</v>
      </c>
    </row>
    <row r="64367" customFormat="false" ht="12.8" hidden="false" customHeight="false" outlineLevel="0" collapsed="false">
      <c r="B64367" s="0" t="s">
        <v>7</v>
      </c>
      <c r="C64367" s="0" t="s">
        <v>22011</v>
      </c>
      <c r="D64367" s="0" t="s">
        <v>13551</v>
      </c>
      <c r="E64367" s="0" t="s">
        <v>13551</v>
      </c>
      <c r="F64367" s="0" t="s">
        <v>13551</v>
      </c>
    </row>
    <row r="64368" customFormat="false" ht="12.8" hidden="false" customHeight="false" outlineLevel="0" collapsed="false">
      <c r="B64368" s="0" t="s">
        <v>14</v>
      </c>
      <c r="C64368" s="0" t="s">
        <v>22012</v>
      </c>
      <c r="D64368" s="0" t="s">
        <v>13553</v>
      </c>
      <c r="E64368" s="0" t="s">
        <v>13553</v>
      </c>
      <c r="F64368" s="0" t="s">
        <v>13553</v>
      </c>
    </row>
    <row r="64369" customFormat="false" ht="12.8" hidden="false" customHeight="false" outlineLevel="0" collapsed="false">
      <c r="B64369" s="0" t="s">
        <v>124</v>
      </c>
      <c r="D64369" s="0" t="s">
        <v>13555</v>
      </c>
      <c r="E64369" s="0" t="s">
        <v>13555</v>
      </c>
      <c r="F64369" s="0" t="s">
        <v>13555</v>
      </c>
    </row>
    <row r="64371" customFormat="false" ht="12.8" hidden="false" customHeight="false" outlineLevel="0" collapsed="false">
      <c r="A64371" s="0" t="s">
        <v>22013</v>
      </c>
      <c r="B64371" s="0" t="str">
        <f aca="false">HYPERLINK("https://lindat.mff.cuni.cz/services/teitok/pdtc10/index.php?action=vallex&amp;frame=v-w8805f1", "zahrnovat (v-w8805f1)")</f>
        <v>zahrnovat (v-w8805f1)</v>
      </c>
    </row>
    <row r="64372" customFormat="false" ht="12.8" hidden="false" customHeight="false" outlineLevel="0" collapsed="false">
      <c r="B64372" s="0" t="s">
        <v>7</v>
      </c>
      <c r="C64372" s="0" t="s">
        <v>22014</v>
      </c>
      <c r="D64372" s="0" t="s">
        <v>7828</v>
      </c>
      <c r="E64372" s="0" t="s">
        <v>7828</v>
      </c>
      <c r="F64372" s="0" t="s">
        <v>7828</v>
      </c>
    </row>
    <row r="64373" customFormat="false" ht="12.8" hidden="false" customHeight="false" outlineLevel="0" collapsed="false">
      <c r="B64373" s="0" t="s">
        <v>14</v>
      </c>
      <c r="C64373" s="0" t="s">
        <v>22015</v>
      </c>
      <c r="D64373" s="0" t="s">
        <v>7830</v>
      </c>
      <c r="E64373" s="0" t="s">
        <v>7830</v>
      </c>
      <c r="F64373" s="0" t="s">
        <v>7830</v>
      </c>
    </row>
    <row r="64375" customFormat="false" ht="12.8" hidden="false" customHeight="false" outlineLevel="0" collapsed="false">
      <c r="A64375" s="0" t="s">
        <v>22016</v>
      </c>
      <c r="B64375" s="0" t="str">
        <f aca="false">HYPERLINK("https://lindat.mff.cuni.cz/services/teitok/pdtc10/index.php?action=vallex&amp;frame=v-w8807f1", "zahrozit (v-w8807f1)")</f>
        <v>zahrozit (v-w8807f1)</v>
      </c>
    </row>
    <row r="64376" customFormat="false" ht="12.8" hidden="false" customHeight="false" outlineLevel="0" collapsed="false">
      <c r="B64376" s="0" t="s">
        <v>7</v>
      </c>
    </row>
    <row r="64377" customFormat="false" ht="12.8" hidden="false" customHeight="false" outlineLevel="0" collapsed="false">
      <c r="B64377" s="0" t="s">
        <v>4025</v>
      </c>
    </row>
    <row r="64378" customFormat="false" ht="12.8" hidden="false" customHeight="false" outlineLevel="0" collapsed="false">
      <c r="B64378" s="0" t="s">
        <v>48</v>
      </c>
    </row>
    <row r="64380" customFormat="false" ht="12.8" hidden="false" customHeight="false" outlineLevel="0" collapsed="false">
      <c r="A64380" s="0" t="s">
        <v>22017</v>
      </c>
      <c r="B64380" s="0" t="str">
        <f aca="false">HYPERLINK("https://lindat.mff.cuni.cz/services/teitok/pdtc10/index.php?action=vallex&amp;frame=v-w8800f1", "zahrát (v-w8800f1)")</f>
        <v>zahrát (v-w8800f1)</v>
      </c>
    </row>
    <row r="64381" customFormat="false" ht="12.8" hidden="false" customHeight="false" outlineLevel="0" collapsed="false">
      <c r="B64381" s="0" t="s">
        <v>7</v>
      </c>
      <c r="C64381" s="0" t="s">
        <v>22018</v>
      </c>
      <c r="D64381" s="0" t="s">
        <v>1514</v>
      </c>
      <c r="E64381" s="0" t="s">
        <v>1514</v>
      </c>
      <c r="F64381" s="0" t="s">
        <v>1514</v>
      </c>
    </row>
    <row r="64382" customFormat="false" ht="12.8" hidden="false" customHeight="false" outlineLevel="0" collapsed="false">
      <c r="B64382" s="0" t="s">
        <v>14</v>
      </c>
      <c r="C64382" s="0" t="s">
        <v>9367</v>
      </c>
      <c r="D64382" s="0" t="s">
        <v>3565</v>
      </c>
      <c r="E64382" s="0" t="s">
        <v>3565</v>
      </c>
      <c r="F64382" s="0" t="s">
        <v>3565</v>
      </c>
    </row>
    <row r="64384" customFormat="false" ht="12.8" hidden="false" customHeight="false" outlineLevel="0" collapsed="false">
      <c r="A64384" s="0" t="s">
        <v>22019</v>
      </c>
      <c r="B64384" s="0" t="str">
        <f aca="false">HYPERLINK("https://lindat.mff.cuni.cz/services/teitok/pdtc10/index.php?action=vallex&amp;frame=v-w8800f2", "zahrát (v-w8800f2)")</f>
        <v>zahrát (v-w8800f2)</v>
      </c>
    </row>
    <row r="64385" customFormat="false" ht="12.8" hidden="false" customHeight="false" outlineLevel="0" collapsed="false">
      <c r="B64385" s="0" t="s">
        <v>7</v>
      </c>
      <c r="C64385" s="0" t="s">
        <v>22020</v>
      </c>
    </row>
    <row r="64386" customFormat="false" ht="12.8" hidden="false" customHeight="false" outlineLevel="0" collapsed="false">
      <c r="B64386" s="0" t="s">
        <v>14</v>
      </c>
      <c r="C64386" s="0" t="s">
        <v>6843</v>
      </c>
    </row>
    <row r="64388" customFormat="false" ht="12.8" hidden="false" customHeight="false" outlineLevel="0" collapsed="false">
      <c r="A64388" s="0" t="s">
        <v>22021</v>
      </c>
      <c r="B64388" s="0" t="str">
        <f aca="false">HYPERLINK("https://lindat.mff.cuni.cz/services/teitok/pdtc10/index.php?action=vallex&amp;frame=v-w8800f3", "zahrát (v-w8800f3)")</f>
        <v>zahrát (v-w8800f3)</v>
      </c>
    </row>
    <row r="64389" customFormat="false" ht="12.8" hidden="false" customHeight="false" outlineLevel="0" collapsed="false">
      <c r="B64389" s="0" t="s">
        <v>7</v>
      </c>
    </row>
    <row r="64390" customFormat="false" ht="12.8" hidden="false" customHeight="false" outlineLevel="0" collapsed="false">
      <c r="B64390" s="0" t="s">
        <v>14</v>
      </c>
    </row>
    <row r="64392" customFormat="false" ht="12.8" hidden="false" customHeight="false" outlineLevel="0" collapsed="false">
      <c r="A64392" s="0" t="s">
        <v>22022</v>
      </c>
      <c r="B64392" s="0" t="str">
        <f aca="false">HYPERLINK("https://lindat.mff.cuni.cz/services/teitok/pdtc10/index.php?action=vallex&amp;frame=v-w8800f5_ZU", "zahrát (v-w8800f5_ZU)")</f>
        <v>zahrát (v-w8800f5_ZU)</v>
      </c>
    </row>
    <row r="64393" customFormat="false" ht="12.8" hidden="false" customHeight="false" outlineLevel="0" collapsed="false">
      <c r="B64393" s="0" t="s">
        <v>7</v>
      </c>
      <c r="C64393" s="0" t="s">
        <v>191</v>
      </c>
    </row>
    <row r="64394" customFormat="false" ht="12.8" hidden="false" customHeight="false" outlineLevel="0" collapsed="false">
      <c r="B64394" s="0" t="s">
        <v>22023</v>
      </c>
    </row>
    <row r="64395" customFormat="false" ht="12.8" hidden="false" customHeight="false" outlineLevel="0" collapsed="false">
      <c r="B64395" s="0" t="s">
        <v>142</v>
      </c>
    </row>
    <row r="64397" customFormat="false" ht="12.8" hidden="false" customHeight="false" outlineLevel="0" collapsed="false">
      <c r="A64397" s="0" t="s">
        <v>22022</v>
      </c>
      <c r="B64397" s="0" t="str">
        <f aca="false">HYPERLINK("https://lindat.mff.cuni.cz/services/teitok/pdtc10/index.php?action=vallex&amp;frame=v-w8800f4_ZU", "zahrát (v-w8800f4_ZU) - substituted with v-w8800f5_ZU")</f>
        <v>zahrát (v-w8800f4_ZU) - substituted with v-w8800f5_ZU</v>
      </c>
    </row>
    <row r="64398" customFormat="false" ht="12.8" hidden="false" customHeight="false" outlineLevel="0" collapsed="false">
      <c r="B64398" s="0" t="s">
        <v>7</v>
      </c>
    </row>
    <row r="64399" customFormat="false" ht="12.8" hidden="false" customHeight="false" outlineLevel="0" collapsed="false">
      <c r="B64399" s="0" t="s">
        <v>22023</v>
      </c>
    </row>
    <row r="64400" customFormat="false" ht="12.8" hidden="false" customHeight="false" outlineLevel="0" collapsed="false">
      <c r="B64400" s="0" t="s">
        <v>142</v>
      </c>
    </row>
    <row r="64402" customFormat="false" ht="12.8" hidden="false" customHeight="false" outlineLevel="0" collapsed="false">
      <c r="A64402" s="0" t="s">
        <v>22024</v>
      </c>
      <c r="B64402" s="0" t="str">
        <f aca="false">HYPERLINK("https://lindat.mff.cuni.cz/services/teitok/pdtc10/index.php?action=vallex&amp;frame=v-w8801f1", "zahrát si (v-w8801f1)")</f>
        <v>zahrát si (v-w8801f1)</v>
      </c>
    </row>
    <row r="64403" customFormat="false" ht="12.8" hidden="false" customHeight="false" outlineLevel="0" collapsed="false">
      <c r="B64403" s="0" t="s">
        <v>7</v>
      </c>
    </row>
    <row r="64404" customFormat="false" ht="12.8" hidden="false" customHeight="false" outlineLevel="0" collapsed="false">
      <c r="B64404" s="0" t="s">
        <v>2871</v>
      </c>
    </row>
    <row r="64406" customFormat="false" ht="12.8" hidden="false" customHeight="false" outlineLevel="0" collapsed="false">
      <c r="A64406" s="0" t="s">
        <v>22025</v>
      </c>
      <c r="B64406" s="0" t="str">
        <f aca="false">HYPERLINK("https://lindat.mff.cuni.cz/services/teitok/pdtc10/index.php?action=vallex&amp;frame=v-w8801hsa_944", "zahrát si (v-w8801hsa_944)")</f>
        <v>zahrát si (v-w8801hsa_944)</v>
      </c>
    </row>
    <row r="64407" customFormat="false" ht="12.8" hidden="false" customHeight="false" outlineLevel="0" collapsed="false">
      <c r="B64407" s="0" t="s">
        <v>7</v>
      </c>
      <c r="C64407" s="0" t="s">
        <v>22026</v>
      </c>
    </row>
    <row r="64408" customFormat="false" ht="12.8" hidden="false" customHeight="false" outlineLevel="0" collapsed="false">
      <c r="B64408" s="0" t="s">
        <v>22027</v>
      </c>
      <c r="C64408" s="0" t="s">
        <v>1168</v>
      </c>
    </row>
    <row r="64409" customFormat="false" ht="12.8" hidden="false" customHeight="false" outlineLevel="0" collapsed="false">
      <c r="B64409" s="0" t="s">
        <v>2767</v>
      </c>
    </row>
    <row r="64411" customFormat="false" ht="12.8" hidden="false" customHeight="false" outlineLevel="0" collapsed="false">
      <c r="A64411" s="0" t="s">
        <v>22028</v>
      </c>
      <c r="B64411" s="0" t="str">
        <f aca="false">HYPERLINK("https://lindat.mff.cuni.cz/services/teitok/pdtc10/index.php?action=vallex&amp;frame=v-w8802f1", "zahrávat (v-w8802f1)")</f>
        <v>zahrávat (v-w8802f1)</v>
      </c>
    </row>
    <row r="64412" customFormat="false" ht="12.8" hidden="false" customHeight="false" outlineLevel="0" collapsed="false">
      <c r="B64412" s="0" t="s">
        <v>7</v>
      </c>
    </row>
    <row r="64413" customFormat="false" ht="12.8" hidden="false" customHeight="false" outlineLevel="0" collapsed="false">
      <c r="B64413" s="0" t="s">
        <v>14</v>
      </c>
    </row>
    <row r="64415" customFormat="false" ht="12.8" hidden="false" customHeight="false" outlineLevel="0" collapsed="false">
      <c r="A64415" s="0" t="s">
        <v>22029</v>
      </c>
      <c r="B64415" s="0" t="str">
        <f aca="false">HYPERLINK("https://lindat.mff.cuni.cz/services/teitok/pdtc10/index.php?action=vallex&amp;frame=v-w8803f1", "zahrávat si (v-w8803f1)")</f>
        <v>zahrávat si (v-w8803f1)</v>
      </c>
    </row>
    <row r="64416" customFormat="false" ht="12.8" hidden="false" customHeight="false" outlineLevel="0" collapsed="false">
      <c r="B64416" s="0" t="s">
        <v>7</v>
      </c>
    </row>
    <row r="64417" customFormat="false" ht="12.8" hidden="false" customHeight="false" outlineLevel="0" collapsed="false">
      <c r="B64417" s="0" t="s">
        <v>2871</v>
      </c>
    </row>
    <row r="64419" customFormat="false" ht="12.8" hidden="false" customHeight="false" outlineLevel="0" collapsed="false">
      <c r="A64419" s="0" t="s">
        <v>22030</v>
      </c>
      <c r="B64419" s="0" t="str">
        <f aca="false">HYPERLINK("https://lindat.mff.cuni.cz/services/teitok/pdtc10/index.php?action=vallex&amp;frame=v-w8810f1", "zahubit (v-w8810f1)")</f>
        <v>zahubit (v-w8810f1)</v>
      </c>
    </row>
    <row r="64420" customFormat="false" ht="12.8" hidden="false" customHeight="false" outlineLevel="0" collapsed="false">
      <c r="B64420" s="0" t="s">
        <v>7</v>
      </c>
    </row>
    <row r="64421" customFormat="false" ht="12.8" hidden="false" customHeight="false" outlineLevel="0" collapsed="false">
      <c r="B64421" s="0" t="s">
        <v>14</v>
      </c>
    </row>
    <row r="64423" customFormat="false" ht="12.8" hidden="false" customHeight="false" outlineLevel="0" collapsed="false">
      <c r="A64423" s="0" t="s">
        <v>22031</v>
      </c>
      <c r="B64423" s="0" t="str">
        <f aca="false">HYPERLINK("https://lindat.mff.cuni.cz/services/teitok/pdtc10/index.php?action=vallex&amp;frame=v-w8810hsa_862", "zahubit (v-w8810hsa_862)")</f>
        <v>zahubit (v-w8810hsa_862)</v>
      </c>
    </row>
    <row r="64424" customFormat="false" ht="12.8" hidden="false" customHeight="false" outlineLevel="0" collapsed="false">
      <c r="B64424" s="0" t="s">
        <v>7</v>
      </c>
      <c r="C64424" s="0" t="s">
        <v>191</v>
      </c>
    </row>
    <row r="64425" customFormat="false" ht="12.8" hidden="false" customHeight="false" outlineLevel="0" collapsed="false">
      <c r="B64425" s="0" t="s">
        <v>14</v>
      </c>
      <c r="C64425" s="0" t="s">
        <v>47</v>
      </c>
    </row>
    <row r="64427" customFormat="false" ht="12.8" hidden="false" customHeight="false" outlineLevel="0" collapsed="false">
      <c r="A64427" s="0" t="s">
        <v>22032</v>
      </c>
      <c r="B64427" s="0" t="str">
        <f aca="false">HYPERLINK("https://lindat.mff.cuni.cz/services/teitok/pdtc10/index.php?action=vallex&amp;frame=v-w8811f1", "zahynout (v-w8811f1)")</f>
        <v>zahynout (v-w8811f1)</v>
      </c>
    </row>
    <row r="64428" customFormat="false" ht="12.8" hidden="false" customHeight="false" outlineLevel="0" collapsed="false">
      <c r="B64428" s="0" t="s">
        <v>7</v>
      </c>
      <c r="C64428" s="0" t="s">
        <v>3385</v>
      </c>
      <c r="D64428" s="0" t="s">
        <v>8602</v>
      </c>
      <c r="E64428" s="0" t="s">
        <v>8602</v>
      </c>
      <c r="F64428" s="0" t="s">
        <v>8602</v>
      </c>
    </row>
    <row r="64430" customFormat="false" ht="12.8" hidden="false" customHeight="false" outlineLevel="0" collapsed="false">
      <c r="A64430" s="0" t="s">
        <v>22033</v>
      </c>
      <c r="B64430" s="0" t="str">
        <f aca="false">HYPERLINK("https://lindat.mff.cuni.cz/services/teitok/pdtc10/index.php?action=vallex&amp;frame=v-w8784f1", "zahájit (v-w8784f1)")</f>
        <v>zahájit (v-w8784f1)</v>
      </c>
    </row>
    <row r="64431" customFormat="false" ht="12.8" hidden="false" customHeight="false" outlineLevel="0" collapsed="false">
      <c r="B64431" s="0" t="s">
        <v>7</v>
      </c>
      <c r="C64431" s="0" t="s">
        <v>22034</v>
      </c>
      <c r="D64431" s="0" t="s">
        <v>69</v>
      </c>
      <c r="E64431" s="0" t="s">
        <v>69</v>
      </c>
      <c r="F64431" s="0" t="s">
        <v>12497</v>
      </c>
    </row>
    <row r="64432" customFormat="false" ht="12.8" hidden="false" customHeight="false" outlineLevel="0" collapsed="false">
      <c r="B64432" s="0" t="s">
        <v>14</v>
      </c>
      <c r="C64432" s="0" t="s">
        <v>22035</v>
      </c>
      <c r="D64432" s="0" t="s">
        <v>71</v>
      </c>
      <c r="E64432" s="0" t="s">
        <v>71</v>
      </c>
      <c r="F64432" s="0" t="s">
        <v>14178</v>
      </c>
    </row>
    <row r="64434" customFormat="false" ht="12.8" hidden="false" customHeight="false" outlineLevel="0" collapsed="false">
      <c r="A64434" s="0" t="s">
        <v>22036</v>
      </c>
      <c r="B64434" s="0" t="str">
        <f aca="false">HYPERLINK("https://lindat.mff.cuni.cz/services/teitok/pdtc10/index.php?action=vallex&amp;frame=v-w8784f2", "zahájit (v-w8784f2)")</f>
        <v>zahájit (v-w8784f2)</v>
      </c>
    </row>
    <row r="64435" customFormat="false" ht="12.8" hidden="false" customHeight="false" outlineLevel="0" collapsed="false">
      <c r="B64435" s="0" t="s">
        <v>7</v>
      </c>
      <c r="C64435" s="0" t="s">
        <v>22037</v>
      </c>
      <c r="D64435" s="0" t="s">
        <v>9210</v>
      </c>
      <c r="E64435" s="0" t="s">
        <v>9210</v>
      </c>
      <c r="F64435" s="0" t="s">
        <v>9210</v>
      </c>
    </row>
    <row r="64437" customFormat="false" ht="12.8" hidden="false" customHeight="false" outlineLevel="0" collapsed="false">
      <c r="A64437" s="0" t="s">
        <v>22038</v>
      </c>
      <c r="B64437" s="0" t="str">
        <f aca="false">HYPERLINK("https://lindat.mff.cuni.cz/services/teitok/pdtc10/index.php?action=vallex&amp;frame=v-w8784f3_ZU", "zahájit (v-w8784f3_ZU)")</f>
        <v>zahájit (v-w8784f3_ZU)</v>
      </c>
    </row>
    <row r="64438" customFormat="false" ht="12.8" hidden="false" customHeight="false" outlineLevel="0" collapsed="false">
      <c r="B64438" s="0" t="s">
        <v>7</v>
      </c>
      <c r="C64438" s="0" t="s">
        <v>11395</v>
      </c>
      <c r="D64438" s="0" t="s">
        <v>8512</v>
      </c>
      <c r="E64438" s="0" t="s">
        <v>8512</v>
      </c>
      <c r="F64438" s="0" t="s">
        <v>8512</v>
      </c>
    </row>
    <row r="64439" customFormat="false" ht="12.8" hidden="false" customHeight="false" outlineLevel="0" collapsed="false">
      <c r="B64439" s="0" t="s">
        <v>11</v>
      </c>
      <c r="D64439" s="0" t="s">
        <v>8513</v>
      </c>
      <c r="E64439" s="0" t="s">
        <v>8513</v>
      </c>
      <c r="F64439" s="0" t="s">
        <v>8513</v>
      </c>
    </row>
    <row r="64440" customFormat="false" ht="12.8" hidden="false" customHeight="false" outlineLevel="0" collapsed="false">
      <c r="B64440" s="0" t="s">
        <v>297</v>
      </c>
      <c r="C64440" s="0" t="s">
        <v>11396</v>
      </c>
    </row>
    <row r="64442" customFormat="false" ht="12.8" hidden="false" customHeight="false" outlineLevel="0" collapsed="false">
      <c r="A64442" s="0" t="s">
        <v>22039</v>
      </c>
      <c r="B64442" s="0" t="str">
        <f aca="false">HYPERLINK("https://lindat.mff.cuni.cz/services/teitok/pdtc10/index.php?action=vallex&amp;frame=v-w12267_ZUf1_ZU", "zaháknout (v-w12267_ZUf1_ZU)")</f>
        <v>zaháknout (v-w12267_ZUf1_ZU)</v>
      </c>
    </row>
    <row r="64443" customFormat="false" ht="12.8" hidden="false" customHeight="false" outlineLevel="0" collapsed="false">
      <c r="B64443" s="0" t="s">
        <v>7</v>
      </c>
    </row>
    <row r="64444" customFormat="false" ht="12.8" hidden="false" customHeight="false" outlineLevel="0" collapsed="false">
      <c r="B64444" s="0" t="s">
        <v>14</v>
      </c>
    </row>
    <row r="64446" customFormat="false" ht="12.8" hidden="false" customHeight="false" outlineLevel="0" collapsed="false">
      <c r="A64446" s="0" t="s">
        <v>22040</v>
      </c>
      <c r="B64446" s="0" t="str">
        <f aca="false">HYPERLINK("https://lindat.mff.cuni.cz/services/teitok/pdtc10/index.php?action=vallex&amp;frame=v-w10797f2", "zahálet (v-w10797f2)")</f>
        <v>zahálet (v-w10797f2)</v>
      </c>
    </row>
    <row r="64447" customFormat="false" ht="12.8" hidden="false" customHeight="false" outlineLevel="0" collapsed="false">
      <c r="B64447" s="0" t="s">
        <v>7</v>
      </c>
    </row>
    <row r="64449" customFormat="false" ht="12.8" hidden="false" customHeight="false" outlineLevel="0" collapsed="false">
      <c r="A64449" s="0" t="s">
        <v>22041</v>
      </c>
      <c r="B64449" s="0" t="str">
        <f aca="false">HYPERLINK("https://lindat.mff.cuni.cz/services/teitok/pdtc10/index.php?action=vallex&amp;frame=v-w8789f1", "zahánět (v-w8789f1)")</f>
        <v>zahánět (v-w8789f1)</v>
      </c>
    </row>
    <row r="64450" customFormat="false" ht="12.8" hidden="false" customHeight="false" outlineLevel="0" collapsed="false">
      <c r="B64450" s="0" t="s">
        <v>7</v>
      </c>
    </row>
    <row r="64451" customFormat="false" ht="12.8" hidden="false" customHeight="false" outlineLevel="0" collapsed="false">
      <c r="B64451" s="0" t="s">
        <v>14</v>
      </c>
    </row>
    <row r="64452" customFormat="false" ht="12.8" hidden="false" customHeight="false" outlineLevel="0" collapsed="false">
      <c r="B64452" s="0" t="s">
        <v>124</v>
      </c>
    </row>
    <row r="64454" customFormat="false" ht="12.8" hidden="false" customHeight="false" outlineLevel="0" collapsed="false">
      <c r="A64454" s="0" t="s">
        <v>22042</v>
      </c>
      <c r="B64454" s="0" t="str">
        <f aca="false">HYPERLINK("https://lindat.mff.cuni.cz/services/teitok/pdtc10/index.php?action=vallex&amp;frame=v-w8789f2", "zahánět (v-w8789f2)")</f>
        <v>zahánět (v-w8789f2)</v>
      </c>
    </row>
    <row r="64455" customFormat="false" ht="12.8" hidden="false" customHeight="false" outlineLevel="0" collapsed="false">
      <c r="B64455" s="0" t="s">
        <v>7</v>
      </c>
      <c r="D64455" s="0" t="s">
        <v>335</v>
      </c>
      <c r="E64455" s="0" t="s">
        <v>335</v>
      </c>
      <c r="F64455" s="0" t="s">
        <v>335</v>
      </c>
    </row>
    <row r="64456" customFormat="false" ht="12.8" hidden="false" customHeight="false" outlineLevel="0" collapsed="false">
      <c r="B64456" s="0" t="s">
        <v>14</v>
      </c>
      <c r="D64456" s="0" t="s">
        <v>1289</v>
      </c>
      <c r="E64456" s="0" t="s">
        <v>1289</v>
      </c>
      <c r="F64456" s="0" t="s">
        <v>1289</v>
      </c>
    </row>
    <row r="64458" customFormat="false" ht="12.8" hidden="false" customHeight="false" outlineLevel="0" collapsed="false">
      <c r="A64458" s="0" t="s">
        <v>22043</v>
      </c>
      <c r="B64458" s="0" t="str">
        <f aca="false">HYPERLINK("https://lindat.mff.cuni.cz/services/teitok/pdtc10/index.php?action=vallex&amp;frame=v-w8789f3", "zahánět (v-w8789f3)")</f>
        <v>zahánět (v-w8789f3)</v>
      </c>
    </row>
    <row r="64459" customFormat="false" ht="12.8" hidden="false" customHeight="false" outlineLevel="0" collapsed="false">
      <c r="B64459" s="0" t="s">
        <v>7</v>
      </c>
      <c r="C64459" s="0" t="s">
        <v>309</v>
      </c>
    </row>
    <row r="64460" customFormat="false" ht="12.8" hidden="false" customHeight="false" outlineLevel="0" collapsed="false">
      <c r="B64460" s="0" t="s">
        <v>2425</v>
      </c>
      <c r="C64460" s="0" t="s">
        <v>22044</v>
      </c>
    </row>
    <row r="64461" customFormat="false" ht="12.8" hidden="false" customHeight="false" outlineLevel="0" collapsed="false">
      <c r="B64461" s="0" t="s">
        <v>14</v>
      </c>
    </row>
    <row r="64463" customFormat="false" ht="12.8" hidden="false" customHeight="false" outlineLevel="0" collapsed="false">
      <c r="A64463" s="0" t="s">
        <v>22045</v>
      </c>
      <c r="B64463" s="0" t="str">
        <f aca="false">HYPERLINK("https://lindat.mff.cuni.cz/services/teitok/pdtc10/index.php?action=vallex&amp;frame=v-w11752_ZUf1_ZU", "zaházet (v-w11752_ZUf1_ZU)")</f>
        <v>zaházet (v-w11752_ZUf1_ZU)</v>
      </c>
    </row>
    <row r="64464" customFormat="false" ht="12.8" hidden="false" customHeight="false" outlineLevel="0" collapsed="false">
      <c r="B64464" s="0" t="s">
        <v>7</v>
      </c>
    </row>
    <row r="64465" customFormat="false" ht="12.8" hidden="false" customHeight="false" outlineLevel="0" collapsed="false">
      <c r="B64465" s="0" t="s">
        <v>14</v>
      </c>
    </row>
    <row r="64467" customFormat="false" ht="12.8" hidden="false" customHeight="false" outlineLevel="0" collapsed="false">
      <c r="A64467" s="0" t="s">
        <v>22046</v>
      </c>
      <c r="B64467" s="0" t="str">
        <f aca="false">HYPERLINK("https://lindat.mff.cuni.cz/services/teitok/pdtc10/index.php?action=vallex&amp;frame=v-w11134f2", "zahýbat (v-w11134f2)")</f>
        <v>zahýbat (v-w11134f2)</v>
      </c>
    </row>
    <row r="64468" customFormat="false" ht="12.8" hidden="false" customHeight="false" outlineLevel="0" collapsed="false">
      <c r="B64468" s="0" t="s">
        <v>7</v>
      </c>
      <c r="C64468" s="0" t="s">
        <v>4136</v>
      </c>
    </row>
    <row r="64469" customFormat="false" ht="12.8" hidden="false" customHeight="false" outlineLevel="0" collapsed="false">
      <c r="B64469" s="0" t="s">
        <v>3760</v>
      </c>
      <c r="C64469" s="0" t="s">
        <v>469</v>
      </c>
    </row>
    <row r="64471" customFormat="false" ht="12.8" hidden="false" customHeight="false" outlineLevel="0" collapsed="false">
      <c r="A64471" s="0" t="s">
        <v>22047</v>
      </c>
      <c r="B64471" s="0" t="str">
        <f aca="false">HYPERLINK("https://lindat.mff.cuni.cz/services/teitok/pdtc10/index.php?action=vallex&amp;frame=v-w11134hsa_1968", "zahýbat (v-w11134hsa_1968)")</f>
        <v>zahýbat (v-w11134hsa_1968)</v>
      </c>
    </row>
    <row r="64472" customFormat="false" ht="12.8" hidden="false" customHeight="false" outlineLevel="0" collapsed="false">
      <c r="B64472" s="0" t="s">
        <v>7</v>
      </c>
    </row>
    <row r="64473" customFormat="false" ht="12.8" hidden="false" customHeight="false" outlineLevel="0" collapsed="false">
      <c r="B64473" s="0" t="s">
        <v>142</v>
      </c>
    </row>
    <row r="64475" customFormat="false" ht="12.8" hidden="false" customHeight="false" outlineLevel="0" collapsed="false">
      <c r="A64475" s="0" t="s">
        <v>22048</v>
      </c>
      <c r="B64475" s="0" t="str">
        <f aca="false">HYPERLINK("https://lindat.mff.cuni.cz/services/teitok/pdtc10/index.php?action=vallex&amp;frame=v-w12253_ZUf1_ZU", "zahýbat si (v-w12253_ZUf1_ZU)")</f>
        <v>zahýbat si (v-w12253_ZUf1_ZU)</v>
      </c>
    </row>
    <row r="64476" customFormat="false" ht="12.8" hidden="false" customHeight="false" outlineLevel="0" collapsed="false">
      <c r="B64476" s="0" t="s">
        <v>7</v>
      </c>
    </row>
    <row r="64477" customFormat="false" ht="12.8" hidden="false" customHeight="false" outlineLevel="0" collapsed="false">
      <c r="B64477" s="0" t="s">
        <v>22049</v>
      </c>
    </row>
    <row r="64479" customFormat="false" ht="12.8" hidden="false" customHeight="false" outlineLevel="0" collapsed="false">
      <c r="A64479" s="0" t="s">
        <v>22050</v>
      </c>
      <c r="B64479" s="0" t="str">
        <f aca="false">HYPERLINK("https://lindat.mff.cuni.cz/services/teitok/pdtc10/index.php?action=vallex&amp;frame=v-w8808f1", "zahřát (v-w8808f1)")</f>
        <v>zahřát (v-w8808f1)</v>
      </c>
    </row>
    <row r="64480" customFormat="false" ht="12.8" hidden="false" customHeight="false" outlineLevel="0" collapsed="false">
      <c r="B64480" s="0" t="s">
        <v>7</v>
      </c>
    </row>
    <row r="64481" customFormat="false" ht="12.8" hidden="false" customHeight="false" outlineLevel="0" collapsed="false">
      <c r="B64481" s="0" t="s">
        <v>14</v>
      </c>
      <c r="F64481" s="0" t="s">
        <v>155</v>
      </c>
    </row>
    <row r="64483" customFormat="false" ht="12.8" hidden="false" customHeight="false" outlineLevel="0" collapsed="false">
      <c r="A64483" s="0" t="s">
        <v>22051</v>
      </c>
      <c r="B64483" s="0" t="str">
        <f aca="false">HYPERLINK("https://lindat.mff.cuni.cz/services/teitok/pdtc10/index.php?action=vallex&amp;frame=v-w8808f2", "zahřát (v-w8808f2)")</f>
        <v>zahřát (v-w8808f2)</v>
      </c>
    </row>
    <row r="64484" customFormat="false" ht="12.8" hidden="false" customHeight="false" outlineLevel="0" collapsed="false">
      <c r="B64484" s="0" t="s">
        <v>199</v>
      </c>
    </row>
    <row r="64485" customFormat="false" ht="12.8" hidden="false" customHeight="false" outlineLevel="0" collapsed="false">
      <c r="B64485" s="0" t="s">
        <v>11</v>
      </c>
    </row>
    <row r="64487" customFormat="false" ht="12.8" hidden="false" customHeight="false" outlineLevel="0" collapsed="false">
      <c r="A64487" s="0" t="s">
        <v>22052</v>
      </c>
      <c r="B64487" s="0" t="str">
        <f aca="false">HYPERLINK("https://lindat.mff.cuni.cz/services/teitok/pdtc10/index.php?action=vallex&amp;frame=v-w8809f1", "zahřát se (v-w8809f1)")</f>
        <v>zahřát se (v-w8809f1)</v>
      </c>
    </row>
    <row r="64488" customFormat="false" ht="12.8" hidden="false" customHeight="false" outlineLevel="0" collapsed="false">
      <c r="B64488" s="0" t="s">
        <v>7</v>
      </c>
      <c r="C64488" s="0" t="s">
        <v>4651</v>
      </c>
      <c r="F64488" s="0" t="s">
        <v>1378</v>
      </c>
    </row>
    <row r="64490" customFormat="false" ht="12.8" hidden="false" customHeight="false" outlineLevel="0" collapsed="false">
      <c r="A64490" s="0" t="s">
        <v>22053</v>
      </c>
      <c r="B64490" s="0" t="str">
        <f aca="false">HYPERLINK("https://lindat.mff.cuni.cz/services/teitok/pdtc10/index.php?action=vallex&amp;frame=v-w10238f2", "zahřívat (v-w10238f2)")</f>
        <v>zahřívat (v-w10238f2)</v>
      </c>
    </row>
    <row r="64491" customFormat="false" ht="12.8" hidden="false" customHeight="false" outlineLevel="0" collapsed="false">
      <c r="B64491" s="0" t="s">
        <v>7</v>
      </c>
    </row>
    <row r="64492" customFormat="false" ht="12.8" hidden="false" customHeight="false" outlineLevel="0" collapsed="false">
      <c r="B64492" s="0" t="s">
        <v>14</v>
      </c>
      <c r="F64492" s="0" t="s">
        <v>155</v>
      </c>
    </row>
    <row r="64494" customFormat="false" ht="12.8" hidden="false" customHeight="false" outlineLevel="0" collapsed="false">
      <c r="A64494" s="0" t="s">
        <v>22054</v>
      </c>
      <c r="B64494" s="0" t="str">
        <f aca="false">HYPERLINK("https://lindat.mff.cuni.cz/services/teitok/pdtc10/index.php?action=vallex&amp;frame=v-w8833f1", "zainteresovat (v-w8833f1)")</f>
        <v>zainteresovat (v-w8833f1)</v>
      </c>
    </row>
    <row r="64495" customFormat="false" ht="12.8" hidden="false" customHeight="false" outlineLevel="0" collapsed="false">
      <c r="B64495" s="0" t="s">
        <v>7</v>
      </c>
    </row>
    <row r="64496" customFormat="false" ht="12.8" hidden="false" customHeight="false" outlineLevel="0" collapsed="false">
      <c r="B64496" s="0" t="s">
        <v>15509</v>
      </c>
      <c r="C64496" s="0" t="s">
        <v>10490</v>
      </c>
    </row>
    <row r="64497" customFormat="false" ht="12.8" hidden="false" customHeight="false" outlineLevel="0" collapsed="false">
      <c r="B64497" s="0" t="s">
        <v>81</v>
      </c>
      <c r="C64497" s="0" t="s">
        <v>22055</v>
      </c>
    </row>
    <row r="64499" customFormat="false" ht="12.8" hidden="false" customHeight="false" outlineLevel="0" collapsed="false">
      <c r="A64499" s="0" t="s">
        <v>22056</v>
      </c>
      <c r="B64499" s="0" t="str">
        <f aca="false">HYPERLINK("https://lindat.mff.cuni.cz/services/teitok/pdtc10/index.php?action=vallex&amp;frame=v-w10631f2", "zainvestovat (v-w10631f2)")</f>
        <v>zainvestovat (v-w10631f2)</v>
      </c>
    </row>
    <row r="64500" customFormat="false" ht="12.8" hidden="false" customHeight="false" outlineLevel="0" collapsed="false">
      <c r="B64500" s="0" t="s">
        <v>7</v>
      </c>
      <c r="C64500" s="0" t="s">
        <v>8623</v>
      </c>
    </row>
    <row r="64501" customFormat="false" ht="12.8" hidden="false" customHeight="false" outlineLevel="0" collapsed="false">
      <c r="B64501" s="0" t="s">
        <v>14</v>
      </c>
      <c r="C64501" s="0" t="s">
        <v>11764</v>
      </c>
    </row>
    <row r="64503" customFormat="false" ht="12.8" hidden="false" customHeight="false" outlineLevel="0" collapsed="false">
      <c r="A64503" s="0" t="s">
        <v>22057</v>
      </c>
      <c r="B64503" s="0" t="str">
        <f aca="false">HYPERLINK("https://lindat.mff.cuni.cz/services/teitok/pdtc10/index.php?action=vallex&amp;frame=v-w8837f1", "zajet (v-w8837f1)")</f>
        <v>zajet (v-w8837f1)</v>
      </c>
    </row>
    <row r="64504" customFormat="false" ht="12.8" hidden="false" customHeight="false" outlineLevel="0" collapsed="false">
      <c r="B64504" s="0" t="s">
        <v>7</v>
      </c>
    </row>
    <row r="64505" customFormat="false" ht="12.8" hidden="false" customHeight="false" outlineLevel="0" collapsed="false">
      <c r="B64505" s="0" t="s">
        <v>14</v>
      </c>
    </row>
    <row r="64507" customFormat="false" ht="12.8" hidden="false" customHeight="false" outlineLevel="0" collapsed="false">
      <c r="A64507" s="0" t="s">
        <v>22058</v>
      </c>
      <c r="B64507" s="0" t="str">
        <f aca="false">HYPERLINK("https://lindat.mff.cuni.cz/services/teitok/pdtc10/index.php?action=vallex&amp;frame=v-w8837f3", "zajet (v-w8837f3)")</f>
        <v>zajet (v-w8837f3)</v>
      </c>
    </row>
    <row r="64508" customFormat="false" ht="12.8" hidden="false" customHeight="false" outlineLevel="0" collapsed="false">
      <c r="B64508" s="0" t="s">
        <v>7</v>
      </c>
    </row>
    <row r="64509" customFormat="false" ht="12.8" hidden="false" customHeight="false" outlineLevel="0" collapsed="false">
      <c r="B64509" s="0" t="s">
        <v>14</v>
      </c>
    </row>
    <row r="64511" customFormat="false" ht="12.8" hidden="false" customHeight="false" outlineLevel="0" collapsed="false">
      <c r="A64511" s="0" t="s">
        <v>22059</v>
      </c>
      <c r="B64511" s="0" t="str">
        <f aca="false">HYPERLINK("https://lindat.mff.cuni.cz/services/teitok/pdtc10/index.php?action=vallex&amp;frame=v-w8837f2", "zajet (v-w8837f2)")</f>
        <v>zajet (v-w8837f2)</v>
      </c>
    </row>
    <row r="64512" customFormat="false" ht="12.8" hidden="false" customHeight="false" outlineLevel="0" collapsed="false">
      <c r="B64512" s="0" t="s">
        <v>7</v>
      </c>
    </row>
    <row r="64513" customFormat="false" ht="12.8" hidden="false" customHeight="false" outlineLevel="0" collapsed="false">
      <c r="B64513" s="0" t="s">
        <v>124</v>
      </c>
    </row>
    <row r="64515" customFormat="false" ht="12.8" hidden="false" customHeight="false" outlineLevel="0" collapsed="false">
      <c r="A64515" s="0" t="s">
        <v>22060</v>
      </c>
      <c r="B64515" s="0" t="str">
        <f aca="false">HYPERLINK("https://lindat.mff.cuni.cz/services/teitok/pdtc10/index.php?action=vallex&amp;frame=v-w8837hsa_765", "zajet (v-w8837hsa_765)")</f>
        <v>zajet (v-w8837hsa_765)</v>
      </c>
    </row>
    <row r="64516" customFormat="false" ht="12.8" hidden="false" customHeight="false" outlineLevel="0" collapsed="false">
      <c r="B64516" s="0" t="s">
        <v>7</v>
      </c>
    </row>
    <row r="64517" customFormat="false" ht="12.8" hidden="false" customHeight="false" outlineLevel="0" collapsed="false">
      <c r="B64517" s="0" t="s">
        <v>14</v>
      </c>
    </row>
    <row r="64519" customFormat="false" ht="12.8" hidden="false" customHeight="false" outlineLevel="0" collapsed="false">
      <c r="A64519" s="0" t="s">
        <v>22061</v>
      </c>
      <c r="B64519" s="0" t="str">
        <f aca="false">HYPERLINK("https://lindat.mff.cuni.cz/services/teitok/pdtc10/index.php?action=vallex&amp;frame=v-whsa_961hsa_962", "zajet si (v-whsa_961hsa_962)")</f>
        <v>zajet si (v-whsa_961hsa_962)</v>
      </c>
    </row>
    <row r="64520" customFormat="false" ht="12.8" hidden="false" customHeight="false" outlineLevel="0" collapsed="false">
      <c r="B64520" s="0" t="s">
        <v>7</v>
      </c>
    </row>
    <row r="64521" customFormat="false" ht="12.8" hidden="false" customHeight="false" outlineLevel="0" collapsed="false">
      <c r="B64521" s="0" t="s">
        <v>124</v>
      </c>
    </row>
    <row r="64523" customFormat="false" ht="12.8" hidden="false" customHeight="false" outlineLevel="0" collapsed="false">
      <c r="A64523" s="0" t="s">
        <v>22062</v>
      </c>
      <c r="B64523" s="0" t="str">
        <f aca="false">HYPERLINK("https://lindat.mff.cuni.cz/services/teitok/pdtc10/index.php?action=vallex&amp;frame=v-w12082_ZUf1_ZU", "zajezdit si (v-w12082_ZUf1_ZU)")</f>
        <v>zajezdit si (v-w12082_ZUf1_ZU)</v>
      </c>
    </row>
    <row r="64524" customFormat="false" ht="12.8" hidden="false" customHeight="false" outlineLevel="0" collapsed="false">
      <c r="B64524" s="0" t="s">
        <v>7</v>
      </c>
    </row>
    <row r="64526" customFormat="false" ht="12.8" hidden="false" customHeight="false" outlineLevel="0" collapsed="false">
      <c r="A64526" s="0" t="s">
        <v>22063</v>
      </c>
      <c r="B64526" s="0" t="str">
        <f aca="false">HYPERLINK("https://lindat.mff.cuni.cz/services/teitok/pdtc10/index.php?action=vallex&amp;frame=v-w8844f1", "zajiskřit (v-w8844f1)")</f>
        <v>zajiskřit (v-w8844f1)</v>
      </c>
    </row>
    <row r="64527" customFormat="false" ht="12.8" hidden="false" customHeight="false" outlineLevel="0" collapsed="false">
      <c r="B64527" s="0" t="s">
        <v>7</v>
      </c>
    </row>
    <row r="64529" customFormat="false" ht="12.8" hidden="false" customHeight="false" outlineLevel="0" collapsed="false">
      <c r="A64529" s="0" t="s">
        <v>22064</v>
      </c>
      <c r="B64529" s="0" t="str">
        <f aca="false">HYPERLINK("https://lindat.mff.cuni.cz/services/teitok/pdtc10/index.php?action=vallex&amp;frame=v-w8844f2", "zajiskřit (v-w8844f2)")</f>
        <v>zajiskřit (v-w8844f2)</v>
      </c>
    </row>
    <row r="64530" customFormat="false" ht="12.8" hidden="false" customHeight="false" outlineLevel="0" collapsed="false">
      <c r="B64530" s="0" t="s">
        <v>7</v>
      </c>
    </row>
    <row r="64532" customFormat="false" ht="12.8" hidden="false" customHeight="false" outlineLevel="0" collapsed="false">
      <c r="A64532" s="0" t="s">
        <v>22065</v>
      </c>
      <c r="B64532" s="0" t="str">
        <f aca="false">HYPERLINK("https://lindat.mff.cuni.cz/services/teitok/pdtc10/index.php?action=vallex&amp;frame=v-w8845f1", "zajistit (v-w8845f1)")</f>
        <v>zajistit (v-w8845f1)</v>
      </c>
    </row>
    <row r="64533" customFormat="false" ht="12.8" hidden="false" customHeight="false" outlineLevel="0" collapsed="false">
      <c r="B64533" s="0" t="s">
        <v>7</v>
      </c>
      <c r="C64533" s="0" t="s">
        <v>22066</v>
      </c>
      <c r="D64533" s="0" t="s">
        <v>3610</v>
      </c>
      <c r="E64533" s="0" t="s">
        <v>3610</v>
      </c>
      <c r="F64533" s="0" t="s">
        <v>7842</v>
      </c>
    </row>
    <row r="64534" customFormat="false" ht="12.8" hidden="false" customHeight="false" outlineLevel="0" collapsed="false">
      <c r="B64534" s="0" t="s">
        <v>6839</v>
      </c>
      <c r="C64534" s="0" t="s">
        <v>22067</v>
      </c>
      <c r="D64534" s="0" t="s">
        <v>7844</v>
      </c>
      <c r="E64534" s="0" t="s">
        <v>7844</v>
      </c>
      <c r="F64534" s="0" t="s">
        <v>7845</v>
      </c>
    </row>
    <row r="64535" customFormat="false" ht="12.8" hidden="false" customHeight="false" outlineLevel="0" collapsed="false">
      <c r="B64535" s="0" t="s">
        <v>1953</v>
      </c>
      <c r="C64535" s="0" t="s">
        <v>22068</v>
      </c>
      <c r="D64535" s="0" t="s">
        <v>12725</v>
      </c>
      <c r="E64535" s="0" t="s">
        <v>12725</v>
      </c>
      <c r="F64535" s="0" t="s">
        <v>22069</v>
      </c>
    </row>
    <row r="64537" customFormat="false" ht="12.8" hidden="false" customHeight="false" outlineLevel="0" collapsed="false">
      <c r="A64537" s="0" t="s">
        <v>22070</v>
      </c>
      <c r="B64537" s="0" t="str">
        <f aca="false">HYPERLINK("https://lindat.mff.cuni.cz/services/teitok/pdtc10/index.php?action=vallex&amp;frame=v-w8845f2", "zajistit (v-w8845f2)")</f>
        <v>zajistit (v-w8845f2)</v>
      </c>
    </row>
    <row r="64538" customFormat="false" ht="12.8" hidden="false" customHeight="false" outlineLevel="0" collapsed="false">
      <c r="B64538" s="0" t="s">
        <v>7</v>
      </c>
      <c r="C64538" s="0" t="s">
        <v>191</v>
      </c>
      <c r="D64538" s="0" t="s">
        <v>1232</v>
      </c>
      <c r="E64538" s="0" t="s">
        <v>1232</v>
      </c>
      <c r="F64538" s="0" t="s">
        <v>1232</v>
      </c>
    </row>
    <row r="64539" customFormat="false" ht="12.8" hidden="false" customHeight="false" outlineLevel="0" collapsed="false">
      <c r="B64539" s="0" t="s">
        <v>14</v>
      </c>
      <c r="C64539" s="0" t="s">
        <v>4180</v>
      </c>
      <c r="D64539" s="0" t="s">
        <v>1233</v>
      </c>
      <c r="E64539" s="0" t="s">
        <v>1233</v>
      </c>
      <c r="F64539" s="0" t="s">
        <v>1233</v>
      </c>
    </row>
    <row r="64540" customFormat="false" ht="12.8" hidden="false" customHeight="false" outlineLevel="0" collapsed="false">
      <c r="B64540" s="0" t="s">
        <v>416</v>
      </c>
      <c r="D64540" s="0" t="s">
        <v>1235</v>
      </c>
      <c r="E64540" s="0" t="s">
        <v>1235</v>
      </c>
      <c r="F64540" s="0" t="s">
        <v>1235</v>
      </c>
    </row>
    <row r="64542" customFormat="false" ht="12.8" hidden="false" customHeight="false" outlineLevel="0" collapsed="false">
      <c r="A64542" s="0" t="s">
        <v>22071</v>
      </c>
      <c r="B64542" s="0" t="str">
        <f aca="false">HYPERLINK("https://lindat.mff.cuni.cz/services/teitok/pdtc10/index.php?action=vallex&amp;frame=v-w8845f3", "zajistit (v-w8845f3)")</f>
        <v>zajistit (v-w8845f3)</v>
      </c>
    </row>
    <row r="64543" customFormat="false" ht="12.8" hidden="false" customHeight="false" outlineLevel="0" collapsed="false">
      <c r="B64543" s="0" t="s">
        <v>7</v>
      </c>
    </row>
    <row r="64544" customFormat="false" ht="12.8" hidden="false" customHeight="false" outlineLevel="0" collapsed="false">
      <c r="B64544" s="0" t="s">
        <v>14</v>
      </c>
    </row>
    <row r="64546" customFormat="false" ht="12.8" hidden="false" customHeight="false" outlineLevel="0" collapsed="false">
      <c r="A64546" s="0" t="s">
        <v>22072</v>
      </c>
      <c r="B64546" s="0" t="str">
        <f aca="false">HYPERLINK("https://lindat.mff.cuni.cz/services/teitok/pdtc10/index.php?action=vallex&amp;frame=v-w8845f4", "zajistit (v-w8845f4)")</f>
        <v>zajistit (v-w8845f4)</v>
      </c>
    </row>
    <row r="64547" customFormat="false" ht="12.8" hidden="false" customHeight="false" outlineLevel="0" collapsed="false">
      <c r="B64547" s="0" t="s">
        <v>7</v>
      </c>
      <c r="C64547" s="0" t="s">
        <v>460</v>
      </c>
      <c r="F64547" s="0" t="s">
        <v>2557</v>
      </c>
    </row>
    <row r="64548" customFormat="false" ht="12.8" hidden="false" customHeight="false" outlineLevel="0" collapsed="false">
      <c r="B64548" s="0" t="s">
        <v>14</v>
      </c>
      <c r="C64548" s="0" t="s">
        <v>1315</v>
      </c>
      <c r="F64548" s="0" t="s">
        <v>7533</v>
      </c>
    </row>
    <row r="64550" customFormat="false" ht="12.8" hidden="false" customHeight="false" outlineLevel="0" collapsed="false">
      <c r="A64550" s="0" t="s">
        <v>22073</v>
      </c>
      <c r="B64550" s="0" t="str">
        <f aca="false">HYPERLINK("https://lindat.mff.cuni.cz/services/teitok/pdtc10/index.php?action=vallex&amp;frame=v-w8849f1", "zajišťovat (v-w8849f1)")</f>
        <v>zajišťovat (v-w8849f1)</v>
      </c>
    </row>
    <row r="64551" customFormat="false" ht="12.8" hidden="false" customHeight="false" outlineLevel="0" collapsed="false">
      <c r="B64551" s="0" t="s">
        <v>7</v>
      </c>
      <c r="C64551" s="0" t="s">
        <v>22074</v>
      </c>
      <c r="D64551" s="0" t="s">
        <v>12386</v>
      </c>
      <c r="E64551" s="0" t="s">
        <v>12386</v>
      </c>
      <c r="F64551" s="0" t="s">
        <v>22075</v>
      </c>
    </row>
    <row r="64552" customFormat="false" ht="12.8" hidden="false" customHeight="false" outlineLevel="0" collapsed="false">
      <c r="B64552" s="0" t="s">
        <v>6839</v>
      </c>
      <c r="C64552" s="0" t="s">
        <v>22076</v>
      </c>
      <c r="D64552" s="0" t="s">
        <v>16275</v>
      </c>
      <c r="E64552" s="0" t="s">
        <v>16275</v>
      </c>
      <c r="F64552" s="0" t="s">
        <v>22077</v>
      </c>
    </row>
    <row r="64553" customFormat="false" ht="12.8" hidden="false" customHeight="false" outlineLevel="0" collapsed="false">
      <c r="B64553" s="0" t="s">
        <v>1953</v>
      </c>
      <c r="C64553" s="0" t="s">
        <v>22078</v>
      </c>
      <c r="D64553" s="0" t="s">
        <v>212</v>
      </c>
      <c r="E64553" s="0" t="s">
        <v>212</v>
      </c>
      <c r="F64553" s="0" t="s">
        <v>22079</v>
      </c>
    </row>
    <row r="64555" customFormat="false" ht="12.8" hidden="false" customHeight="false" outlineLevel="0" collapsed="false">
      <c r="A64555" s="0" t="s">
        <v>22080</v>
      </c>
      <c r="B64555" s="0" t="str">
        <f aca="false">HYPERLINK("https://lindat.mff.cuni.cz/services/teitok/pdtc10/index.php?action=vallex&amp;frame=v-w8849f2", "zajišťovat (v-w8849f2)")</f>
        <v>zajišťovat (v-w8849f2)</v>
      </c>
    </row>
    <row r="64556" customFormat="false" ht="12.8" hidden="false" customHeight="false" outlineLevel="0" collapsed="false">
      <c r="B64556" s="0" t="s">
        <v>7</v>
      </c>
      <c r="C64556" s="0" t="s">
        <v>22081</v>
      </c>
      <c r="D64556" s="0" t="s">
        <v>1232</v>
      </c>
      <c r="E64556" s="0" t="s">
        <v>1232</v>
      </c>
      <c r="F64556" s="0" t="s">
        <v>1232</v>
      </c>
    </row>
    <row r="64557" customFormat="false" ht="12.8" hidden="false" customHeight="false" outlineLevel="0" collapsed="false">
      <c r="B64557" s="0" t="s">
        <v>14</v>
      </c>
      <c r="C64557" s="0" t="s">
        <v>22082</v>
      </c>
      <c r="D64557" s="0" t="s">
        <v>1233</v>
      </c>
      <c r="E64557" s="0" t="s">
        <v>1233</v>
      </c>
      <c r="F64557" s="0" t="s">
        <v>1233</v>
      </c>
    </row>
    <row r="64558" customFormat="false" ht="12.8" hidden="false" customHeight="false" outlineLevel="0" collapsed="false">
      <c r="B64558" s="0" t="s">
        <v>416</v>
      </c>
      <c r="D64558" s="0" t="s">
        <v>1235</v>
      </c>
      <c r="E64558" s="0" t="s">
        <v>1235</v>
      </c>
      <c r="F64558" s="0" t="s">
        <v>1235</v>
      </c>
    </row>
    <row r="64560" customFormat="false" ht="12.8" hidden="false" customHeight="false" outlineLevel="0" collapsed="false">
      <c r="A64560" s="0" t="s">
        <v>22083</v>
      </c>
      <c r="B64560" s="0" t="str">
        <f aca="false">HYPERLINK("https://lindat.mff.cuni.cz/services/teitok/pdtc10/index.php?action=vallex&amp;frame=v-w8849f3_ZU", "zajišťovat (v-w8849f3_ZU)")</f>
        <v>zajišťovat (v-w8849f3_ZU)</v>
      </c>
    </row>
    <row r="64561" customFormat="false" ht="12.8" hidden="false" customHeight="false" outlineLevel="0" collapsed="false">
      <c r="B64561" s="0" t="s">
        <v>7</v>
      </c>
    </row>
    <row r="64562" customFormat="false" ht="12.8" hidden="false" customHeight="false" outlineLevel="0" collapsed="false">
      <c r="B64562" s="0" t="s">
        <v>14</v>
      </c>
    </row>
    <row r="64564" customFormat="false" ht="12.8" hidden="false" customHeight="false" outlineLevel="0" collapsed="false">
      <c r="A64564" s="0" t="s">
        <v>22083</v>
      </c>
      <c r="B64564" s="0" t="str">
        <f aca="false">HYPERLINK("https://lindat.mff.cuni.cz/services/teitok/pdtc10/index.php?action=vallex&amp;frame=v-w8849hsa_1520", "zajišťovat (v-w8849hsa_1520) - substituted with v-w8849f3_ZU")</f>
        <v>zajišťovat (v-w8849hsa_1520) - substituted with v-w8849f3_ZU</v>
      </c>
    </row>
    <row r="64565" customFormat="false" ht="12.8" hidden="false" customHeight="false" outlineLevel="0" collapsed="false">
      <c r="B64565" s="0" t="s">
        <v>7</v>
      </c>
    </row>
    <row r="64566" customFormat="false" ht="12.8" hidden="false" customHeight="false" outlineLevel="0" collapsed="false">
      <c r="B64566" s="0" t="s">
        <v>14</v>
      </c>
    </row>
    <row r="64568" customFormat="false" ht="12.8" hidden="false" customHeight="false" outlineLevel="0" collapsed="false">
      <c r="A64568" s="0" t="s">
        <v>22084</v>
      </c>
      <c r="B64568" s="0" t="str">
        <f aca="false">HYPERLINK("https://lindat.mff.cuni.cz/services/teitok/pdtc10/index.php?action=vallex&amp;frame=v-w8853f1", "zajmout (v-w8853f1)")</f>
        <v>zajmout (v-w8853f1)</v>
      </c>
    </row>
    <row r="64569" customFormat="false" ht="12.8" hidden="false" customHeight="false" outlineLevel="0" collapsed="false">
      <c r="B64569" s="0" t="s">
        <v>7</v>
      </c>
      <c r="C64569" s="0" t="s">
        <v>149</v>
      </c>
      <c r="D64569" s="0" t="s">
        <v>391</v>
      </c>
      <c r="E64569" s="0" t="s">
        <v>391</v>
      </c>
      <c r="F64569" s="0" t="s">
        <v>391</v>
      </c>
    </row>
    <row r="64570" customFormat="false" ht="12.8" hidden="false" customHeight="false" outlineLevel="0" collapsed="false">
      <c r="B64570" s="0" t="s">
        <v>14</v>
      </c>
      <c r="C64570" s="0" t="s">
        <v>2666</v>
      </c>
      <c r="D64570" s="0" t="s">
        <v>1093</v>
      </c>
      <c r="E64570" s="0" t="s">
        <v>1093</v>
      </c>
      <c r="F64570" s="0" t="s">
        <v>1093</v>
      </c>
    </row>
    <row r="64572" customFormat="false" ht="12.8" hidden="false" customHeight="false" outlineLevel="0" collapsed="false">
      <c r="A64572" s="0" t="s">
        <v>22085</v>
      </c>
      <c r="B64572" s="0" t="str">
        <f aca="false">HYPERLINK("https://lindat.mff.cuni.cz/services/teitok/pdtc10/index.php?action=vallex&amp;frame=v-w8834f1", "zajásat (v-w8834f1)")</f>
        <v>zajásat (v-w8834f1)</v>
      </c>
    </row>
    <row r="64573" customFormat="false" ht="12.8" hidden="false" customHeight="false" outlineLevel="0" collapsed="false">
      <c r="B64573" s="0" t="s">
        <v>7</v>
      </c>
      <c r="D64573" s="0" t="s">
        <v>46</v>
      </c>
      <c r="E64573" s="0" t="s">
        <v>46</v>
      </c>
      <c r="F64573" s="0" t="s">
        <v>46</v>
      </c>
    </row>
    <row r="64574" customFormat="false" ht="12.8" hidden="false" customHeight="false" outlineLevel="0" collapsed="false">
      <c r="B64574" s="0" t="s">
        <v>3620</v>
      </c>
      <c r="D64574" s="0" t="s">
        <v>567</v>
      </c>
      <c r="E64574" s="0" t="s">
        <v>567</v>
      </c>
      <c r="F64574" s="0" t="s">
        <v>567</v>
      </c>
    </row>
    <row r="64576" customFormat="false" ht="12.8" hidden="false" customHeight="false" outlineLevel="0" collapsed="false">
      <c r="A64576" s="0" t="s">
        <v>22086</v>
      </c>
      <c r="B64576" s="0" t="str">
        <f aca="false">HYPERLINK("https://lindat.mff.cuni.cz/services/teitok/pdtc10/index.php?action=vallex&amp;frame=v-w8841f2", "zajímat (v-w8841f2)")</f>
        <v>zajímat (v-w8841f2)</v>
      </c>
    </row>
    <row r="64577" customFormat="false" ht="12.8" hidden="false" customHeight="false" outlineLevel="0" collapsed="false">
      <c r="B64577" s="0" t="s">
        <v>7</v>
      </c>
      <c r="D64577" s="0" t="s">
        <v>391</v>
      </c>
      <c r="E64577" s="0" t="s">
        <v>391</v>
      </c>
      <c r="F64577" s="0" t="s">
        <v>391</v>
      </c>
    </row>
    <row r="64578" customFormat="false" ht="12.8" hidden="false" customHeight="false" outlineLevel="0" collapsed="false">
      <c r="B64578" s="0" t="s">
        <v>14</v>
      </c>
      <c r="D64578" s="0" t="s">
        <v>1093</v>
      </c>
      <c r="E64578" s="0" t="s">
        <v>1093</v>
      </c>
      <c r="F64578" s="0" t="s">
        <v>1093</v>
      </c>
    </row>
    <row r="64580" customFormat="false" ht="12.8" hidden="false" customHeight="false" outlineLevel="0" collapsed="false">
      <c r="A64580" s="0" t="s">
        <v>22087</v>
      </c>
      <c r="B64580" s="0" t="str">
        <f aca="false">HYPERLINK("https://lindat.mff.cuni.cz/services/teitok/pdtc10/index.php?action=vallex&amp;frame=v-w8841f1", "zajímat (v-w8841f1)")</f>
        <v>zajímat (v-w8841f1)</v>
      </c>
    </row>
    <row r="64581" customFormat="false" ht="12.8" hidden="false" customHeight="false" outlineLevel="0" collapsed="false">
      <c r="B64581" s="0" t="s">
        <v>199</v>
      </c>
      <c r="C64581" s="0" t="s">
        <v>22088</v>
      </c>
      <c r="D64581" s="0" t="s">
        <v>4414</v>
      </c>
      <c r="E64581" s="0" t="s">
        <v>4414</v>
      </c>
      <c r="F64581" s="0" t="s">
        <v>4414</v>
      </c>
    </row>
    <row r="64582" customFormat="false" ht="12.8" hidden="false" customHeight="false" outlineLevel="0" collapsed="false">
      <c r="B64582" s="0" t="s">
        <v>202</v>
      </c>
      <c r="C64582" s="0" t="s">
        <v>22089</v>
      </c>
      <c r="D64582" s="0" t="s">
        <v>2887</v>
      </c>
      <c r="E64582" s="0" t="s">
        <v>2887</v>
      </c>
      <c r="F64582" s="0" t="s">
        <v>2887</v>
      </c>
    </row>
    <row r="64584" customFormat="false" ht="12.8" hidden="false" customHeight="false" outlineLevel="0" collapsed="false">
      <c r="A64584" s="0" t="s">
        <v>22090</v>
      </c>
      <c r="B64584" s="0" t="str">
        <f aca="false">HYPERLINK("https://lindat.mff.cuni.cz/services/teitok/pdtc10/index.php?action=vallex&amp;frame=v-w8842f1", "zajímat se (v-w8842f1)")</f>
        <v>zajímat se (v-w8842f1)</v>
      </c>
    </row>
    <row r="64585" customFormat="false" ht="12.8" hidden="false" customHeight="false" outlineLevel="0" collapsed="false">
      <c r="B64585" s="0" t="s">
        <v>7</v>
      </c>
      <c r="C64585" s="0" t="s">
        <v>22091</v>
      </c>
      <c r="D64585" s="0" t="s">
        <v>4414</v>
      </c>
      <c r="E64585" s="0" t="s">
        <v>4414</v>
      </c>
      <c r="F64585" s="0" t="s">
        <v>4414</v>
      </c>
    </row>
    <row r="64586" customFormat="false" ht="12.8" hidden="false" customHeight="false" outlineLevel="0" collapsed="false">
      <c r="B64586" s="0" t="s">
        <v>22092</v>
      </c>
      <c r="C64586" s="0" t="s">
        <v>22093</v>
      </c>
      <c r="D64586" s="0" t="s">
        <v>2887</v>
      </c>
      <c r="E64586" s="0" t="s">
        <v>2887</v>
      </c>
      <c r="F64586" s="0" t="s">
        <v>2887</v>
      </c>
    </row>
    <row r="64588" customFormat="false" ht="12.8" hidden="false" customHeight="false" outlineLevel="0" collapsed="false">
      <c r="A64588" s="0" t="s">
        <v>22094</v>
      </c>
      <c r="B64588" s="0" t="str">
        <f aca="false">HYPERLINK("https://lindat.mff.cuni.cz/services/teitok/pdtc10/index.php?action=vallex&amp;frame=v-whsa_1568f1_ZU", "zajímkovat (v-whsa_1568f1_ZU)")</f>
        <v>zajímkovat (v-whsa_1568f1_ZU)</v>
      </c>
    </row>
    <row r="64589" customFormat="false" ht="12.8" hidden="false" customHeight="false" outlineLevel="0" collapsed="false">
      <c r="B64589" s="0" t="s">
        <v>7</v>
      </c>
    </row>
    <row r="64590" customFormat="false" ht="12.8" hidden="false" customHeight="false" outlineLevel="0" collapsed="false">
      <c r="B64590" s="0" t="s">
        <v>14</v>
      </c>
    </row>
    <row r="64592" customFormat="false" ht="12.8" hidden="false" customHeight="false" outlineLevel="0" collapsed="false">
      <c r="A64592" s="0" t="s">
        <v>22094</v>
      </c>
      <c r="B64592" s="0" t="str">
        <f aca="false">HYPERLINK("https://lindat.mff.cuni.cz/services/teitok/pdtc10/index.php?action=vallex&amp;frame=v-whsa_1568hsa_1569", "zajímkovat (v-whsa_1568hsa_1569) - substituted with v-whsa_1568f1_ZU")</f>
        <v>zajímkovat (v-whsa_1568hsa_1569) - substituted with v-whsa_1568f1_ZU</v>
      </c>
    </row>
    <row r="64593" customFormat="false" ht="12.8" hidden="false" customHeight="false" outlineLevel="0" collapsed="false">
      <c r="B64593" s="0" t="s">
        <v>7</v>
      </c>
    </row>
    <row r="64594" customFormat="false" ht="12.8" hidden="false" customHeight="false" outlineLevel="0" collapsed="false">
      <c r="B64594" s="0" t="s">
        <v>14</v>
      </c>
    </row>
    <row r="64596" customFormat="false" ht="12.8" hidden="false" customHeight="false" outlineLevel="0" collapsed="false">
      <c r="A64596" s="0" t="s">
        <v>22095</v>
      </c>
      <c r="B64596" s="0" t="str">
        <f aca="false">HYPERLINK("https://lindat.mff.cuni.cz/services/teitok/pdtc10/index.php?action=vallex&amp;frame=v-w8851f1", "zajít (v-w8851f1)")</f>
        <v>zajít (v-w8851f1)</v>
      </c>
    </row>
    <row r="64597" customFormat="false" ht="12.8" hidden="false" customHeight="false" outlineLevel="0" collapsed="false">
      <c r="B64597" s="0" t="s">
        <v>7</v>
      </c>
      <c r="C64597" s="0" t="s">
        <v>22096</v>
      </c>
      <c r="D64597" s="0" t="s">
        <v>1705</v>
      </c>
      <c r="E64597" s="0" t="s">
        <v>1706</v>
      </c>
      <c r="F64597" s="0" t="s">
        <v>1706</v>
      </c>
    </row>
    <row r="64598" customFormat="false" ht="12.8" hidden="false" customHeight="false" outlineLevel="0" collapsed="false">
      <c r="B64598" s="0" t="s">
        <v>124</v>
      </c>
      <c r="C64598" s="0" t="s">
        <v>4440</v>
      </c>
      <c r="D64598" s="0" t="s">
        <v>1707</v>
      </c>
      <c r="E64598" s="0" t="s">
        <v>1707</v>
      </c>
      <c r="F64598" s="0" t="s">
        <v>1707</v>
      </c>
    </row>
    <row r="64600" customFormat="false" ht="12.8" hidden="false" customHeight="false" outlineLevel="0" collapsed="false">
      <c r="A64600" s="0" t="s">
        <v>22097</v>
      </c>
      <c r="B64600" s="0" t="str">
        <f aca="false">HYPERLINK("https://lindat.mff.cuni.cz/services/teitok/pdtc10/index.php?action=vallex&amp;frame=v-w8851f2", "zajít (v-w8851f2)")</f>
        <v>zajít (v-w8851f2)</v>
      </c>
    </row>
    <row r="64601" customFormat="false" ht="12.8" hidden="false" customHeight="false" outlineLevel="0" collapsed="false">
      <c r="B64601" s="0" t="s">
        <v>7</v>
      </c>
    </row>
    <row r="64602" customFormat="false" ht="12.8" hidden="false" customHeight="false" outlineLevel="0" collapsed="false">
      <c r="B64602" s="0" t="s">
        <v>21888</v>
      </c>
    </row>
    <row r="64604" customFormat="false" ht="12.8" hidden="false" customHeight="false" outlineLevel="0" collapsed="false">
      <c r="A64604" s="0" t="s">
        <v>22098</v>
      </c>
      <c r="B64604" s="0" t="str">
        <f aca="false">HYPERLINK("https://lindat.mff.cuni.cz/services/teitok/pdtc10/index.php?action=vallex&amp;frame=v-w8851f3_ZU", "zajít (v-w8851f3_ZU)")</f>
        <v>zajít (v-w8851f3_ZU)</v>
      </c>
    </row>
    <row r="64605" customFormat="false" ht="12.8" hidden="false" customHeight="false" outlineLevel="0" collapsed="false">
      <c r="B64605" s="0" t="s">
        <v>7</v>
      </c>
      <c r="C64605" s="0" t="s">
        <v>4472</v>
      </c>
    </row>
    <row r="64606" customFormat="false" ht="12.8" hidden="false" customHeight="false" outlineLevel="0" collapsed="false">
      <c r="B64606" s="0" t="s">
        <v>1906</v>
      </c>
    </row>
    <row r="64608" customFormat="false" ht="12.8" hidden="false" customHeight="false" outlineLevel="0" collapsed="false">
      <c r="A64608" s="0" t="s">
        <v>22098</v>
      </c>
      <c r="B64608" s="0" t="str">
        <f aca="false">HYPERLINK("https://lindat.mff.cuni.cz/services/teitok/pdtc10/index.php?action=vallex&amp;frame=v-w8851hsa_994", "zajít (v-w8851hsa_994) - substituted with v-w8851f3_ZU")</f>
        <v>zajít (v-w8851hsa_994) - substituted with v-w8851f3_ZU</v>
      </c>
    </row>
    <row r="64609" customFormat="false" ht="12.8" hidden="false" customHeight="false" outlineLevel="0" collapsed="false">
      <c r="B64609" s="0" t="s">
        <v>7</v>
      </c>
    </row>
    <row r="64610" customFormat="false" ht="12.8" hidden="false" customHeight="false" outlineLevel="0" collapsed="false">
      <c r="B64610" s="0" t="s">
        <v>1906</v>
      </c>
    </row>
    <row r="64612" customFormat="false" ht="12.8" hidden="false" customHeight="false" outlineLevel="0" collapsed="false">
      <c r="A64612" s="0" t="s">
        <v>22099</v>
      </c>
      <c r="B64612" s="0" t="str">
        <f aca="false">HYPERLINK("https://lindat.mff.cuni.cz/services/teitok/pdtc10/index.php?action=vallex&amp;frame=v-w12246_ZUf1_ZU", "zajít si (v-w12246_ZUf1_ZU)")</f>
        <v>zajít si (v-w12246_ZUf1_ZU)</v>
      </c>
    </row>
    <row r="64613" customFormat="false" ht="12.8" hidden="false" customHeight="false" outlineLevel="0" collapsed="false">
      <c r="B64613" s="0" t="s">
        <v>7</v>
      </c>
    </row>
    <row r="64614" customFormat="false" ht="12.8" hidden="false" customHeight="false" outlineLevel="0" collapsed="false">
      <c r="B64614" s="0" t="s">
        <v>338</v>
      </c>
    </row>
    <row r="64616" customFormat="false" ht="12.8" hidden="false" customHeight="false" outlineLevel="0" collapsed="false">
      <c r="A64616" s="0" t="s">
        <v>22100</v>
      </c>
      <c r="B64616" s="0" t="str">
        <f aca="false">HYPERLINK("https://lindat.mff.cuni.cz/services/teitok/pdtc10/index.php?action=vallex&amp;frame=v-w8852f1", "zajíždět (v-w8852f1)")</f>
        <v>zajíždět (v-w8852f1)</v>
      </c>
    </row>
    <row r="64617" customFormat="false" ht="12.8" hidden="false" customHeight="false" outlineLevel="0" collapsed="false">
      <c r="B64617" s="0" t="s">
        <v>7</v>
      </c>
      <c r="C64617" s="0" t="s">
        <v>191</v>
      </c>
      <c r="D64617" s="0" t="s">
        <v>22101</v>
      </c>
      <c r="E64617" s="0" t="s">
        <v>22102</v>
      </c>
      <c r="F64617" s="0" t="s">
        <v>22102</v>
      </c>
    </row>
    <row r="64618" customFormat="false" ht="12.8" hidden="false" customHeight="false" outlineLevel="0" collapsed="false">
      <c r="B64618" s="0" t="s">
        <v>124</v>
      </c>
      <c r="D64618" s="0" t="s">
        <v>22103</v>
      </c>
      <c r="E64618" s="0" t="s">
        <v>22103</v>
      </c>
      <c r="F64618" s="0" t="s">
        <v>22103</v>
      </c>
    </row>
    <row r="64620" customFormat="false" ht="12.8" hidden="false" customHeight="false" outlineLevel="0" collapsed="false">
      <c r="A64620" s="0" t="s">
        <v>22104</v>
      </c>
      <c r="B64620" s="0" t="str">
        <f aca="false">HYPERLINK("https://lindat.mff.cuni.cz/services/teitok/pdtc10/index.php?action=vallex&amp;frame=v-w8854f2", "zakalkulovat (v-w8854f2)")</f>
        <v>zakalkulovat (v-w8854f2)</v>
      </c>
    </row>
    <row r="64621" customFormat="false" ht="12.8" hidden="false" customHeight="false" outlineLevel="0" collapsed="false">
      <c r="B64621" s="0" t="s">
        <v>7</v>
      </c>
    </row>
    <row r="64622" customFormat="false" ht="12.8" hidden="false" customHeight="false" outlineLevel="0" collapsed="false">
      <c r="B64622" s="0" t="s">
        <v>54</v>
      </c>
    </row>
    <row r="64623" customFormat="false" ht="12.8" hidden="false" customHeight="false" outlineLevel="0" collapsed="false">
      <c r="B64623" s="0" t="s">
        <v>124</v>
      </c>
    </row>
    <row r="64625" customFormat="false" ht="12.8" hidden="false" customHeight="false" outlineLevel="0" collapsed="false">
      <c r="A64625" s="0" t="s">
        <v>22105</v>
      </c>
      <c r="B64625" s="0" t="str">
        <f aca="false">HYPERLINK("https://lindat.mff.cuni.cz/services/teitok/pdtc10/index.php?action=vallex&amp;frame=v-w8854f1", "zakalkulovat (v-w8854f1)")</f>
        <v>zakalkulovat (v-w8854f1)</v>
      </c>
    </row>
    <row r="64626" customFormat="false" ht="12.8" hidden="false" customHeight="false" outlineLevel="0" collapsed="false">
      <c r="B64626" s="0" t="s">
        <v>7</v>
      </c>
    </row>
    <row r="64627" customFormat="false" ht="12.8" hidden="false" customHeight="false" outlineLevel="0" collapsed="false">
      <c r="B64627" s="0" t="s">
        <v>54</v>
      </c>
    </row>
    <row r="64629" customFormat="false" ht="12.8" hidden="false" customHeight="false" outlineLevel="0" collapsed="false">
      <c r="A64629" s="0" t="s">
        <v>22106</v>
      </c>
      <c r="B64629" s="0" t="str">
        <f aca="false">HYPERLINK("https://lindat.mff.cuni.cz/services/teitok/pdtc10/index.php?action=vallex&amp;frame=v-w8855f1", "zakalkulovávat (v-w8855f1)")</f>
        <v>zakalkulovávat (v-w8855f1)</v>
      </c>
    </row>
    <row r="64630" customFormat="false" ht="12.8" hidden="false" customHeight="false" outlineLevel="0" collapsed="false">
      <c r="B64630" s="0" t="s">
        <v>7</v>
      </c>
    </row>
    <row r="64631" customFormat="false" ht="12.8" hidden="false" customHeight="false" outlineLevel="0" collapsed="false">
      <c r="B64631" s="0" t="s">
        <v>14</v>
      </c>
    </row>
    <row r="64632" customFormat="false" ht="12.8" hidden="false" customHeight="false" outlineLevel="0" collapsed="false">
      <c r="B64632" s="0" t="s">
        <v>124</v>
      </c>
    </row>
    <row r="64634" customFormat="false" ht="12.8" hidden="false" customHeight="false" outlineLevel="0" collapsed="false">
      <c r="A64634" s="0" t="s">
        <v>22107</v>
      </c>
      <c r="B64634" s="0" t="str">
        <f aca="false">HYPERLINK("https://lindat.mff.cuni.cz/services/teitok/pdtc10/index.php?action=vallex&amp;frame=v-w8855f2", "zakalkulovávat (v-w8855f2)")</f>
        <v>zakalkulovávat (v-w8855f2)</v>
      </c>
    </row>
    <row r="64635" customFormat="false" ht="12.8" hidden="false" customHeight="false" outlineLevel="0" collapsed="false">
      <c r="B64635" s="0" t="s">
        <v>7</v>
      </c>
    </row>
    <row r="64636" customFormat="false" ht="12.8" hidden="false" customHeight="false" outlineLevel="0" collapsed="false">
      <c r="B64636" s="0" t="s">
        <v>54</v>
      </c>
    </row>
    <row r="64638" customFormat="false" ht="12.8" hidden="false" customHeight="false" outlineLevel="0" collapsed="false">
      <c r="A64638" s="0" t="s">
        <v>22108</v>
      </c>
      <c r="B64638" s="0" t="str">
        <f aca="false">HYPERLINK("https://lindat.mff.cuni.cz/services/teitok/pdtc10/index.php?action=vallex&amp;frame=v-w8859f1", "zakazovat (v-w8859f1)")</f>
        <v>zakazovat (v-w8859f1)</v>
      </c>
    </row>
    <row r="64639" customFormat="false" ht="12.8" hidden="false" customHeight="false" outlineLevel="0" collapsed="false">
      <c r="B64639" s="0" t="s">
        <v>7</v>
      </c>
      <c r="C64639" s="0" t="s">
        <v>22109</v>
      </c>
      <c r="D64639" s="0" t="s">
        <v>403</v>
      </c>
      <c r="E64639" s="0" t="s">
        <v>403</v>
      </c>
      <c r="F64639" s="0" t="s">
        <v>403</v>
      </c>
    </row>
    <row r="64640" customFormat="false" ht="12.8" hidden="false" customHeight="false" outlineLevel="0" collapsed="false">
      <c r="B64640" s="0" t="s">
        <v>1599</v>
      </c>
      <c r="C64640" s="0" t="s">
        <v>22110</v>
      </c>
      <c r="D64640" s="0" t="s">
        <v>406</v>
      </c>
      <c r="E64640" s="0" t="s">
        <v>406</v>
      </c>
      <c r="F64640" s="0" t="s">
        <v>406</v>
      </c>
    </row>
    <row r="64641" customFormat="false" ht="12.8" hidden="false" customHeight="false" outlineLevel="0" collapsed="false">
      <c r="B64641" s="0" t="s">
        <v>48</v>
      </c>
      <c r="C64641" s="0" t="s">
        <v>22111</v>
      </c>
      <c r="D64641" s="0" t="s">
        <v>408</v>
      </c>
      <c r="E64641" s="0" t="s">
        <v>408</v>
      </c>
      <c r="F64641" s="0" t="s">
        <v>408</v>
      </c>
    </row>
    <row r="64643" customFormat="false" ht="12.8" hidden="false" customHeight="false" outlineLevel="0" collapsed="false">
      <c r="A64643" s="0" t="s">
        <v>22112</v>
      </c>
      <c r="B64643" s="0" t="str">
        <f aca="false">HYPERLINK("https://lindat.mff.cuni.cz/services/teitok/pdtc10/index.php?action=vallex&amp;frame=v-whsa_1708hsa_1709", "zakleknout (v-whsa_1708hsa_1709)")</f>
        <v>zakleknout (v-whsa_1708hsa_1709)</v>
      </c>
    </row>
    <row r="64644" customFormat="false" ht="12.8" hidden="false" customHeight="false" outlineLevel="0" collapsed="false">
      <c r="B64644" s="0" t="s">
        <v>7</v>
      </c>
    </row>
    <row r="64646" customFormat="false" ht="12.8" hidden="false" customHeight="false" outlineLevel="0" collapsed="false">
      <c r="A64646" s="0" t="s">
        <v>22113</v>
      </c>
      <c r="B64646" s="0" t="str">
        <f aca="false">HYPERLINK("https://lindat.mff.cuni.cz/services/teitok/pdtc10/index.php?action=vallex&amp;frame=v-w8870f1", "zaklepat (v-w8870f1)")</f>
        <v>zaklepat (v-w8870f1)</v>
      </c>
    </row>
    <row r="64647" customFormat="false" ht="12.8" hidden="false" customHeight="false" outlineLevel="0" collapsed="false">
      <c r="B64647" s="0" t="s">
        <v>7</v>
      </c>
      <c r="C64647" s="0" t="s">
        <v>335</v>
      </c>
      <c r="D64647" s="0" t="s">
        <v>335</v>
      </c>
      <c r="E64647" s="0" t="s">
        <v>335</v>
      </c>
      <c r="F64647" s="0" t="s">
        <v>335</v>
      </c>
    </row>
    <row r="64649" customFormat="false" ht="12.8" hidden="false" customHeight="false" outlineLevel="0" collapsed="false">
      <c r="A64649" s="0" t="s">
        <v>22114</v>
      </c>
      <c r="B64649" s="0" t="str">
        <f aca="false">HYPERLINK("https://lindat.mff.cuni.cz/services/teitok/pdtc10/index.php?action=vallex&amp;frame=v-w8870f2_ZU", "zaklepat (v-w8870f2_ZU)")</f>
        <v>zaklepat (v-w8870f2_ZU)</v>
      </c>
    </row>
    <row r="64650" customFormat="false" ht="12.8" hidden="false" customHeight="false" outlineLevel="0" collapsed="false">
      <c r="B64650" s="0" t="s">
        <v>7</v>
      </c>
    </row>
    <row r="64651" customFormat="false" ht="12.8" hidden="false" customHeight="false" outlineLevel="0" collapsed="false">
      <c r="B64651" s="0" t="s">
        <v>22115</v>
      </c>
    </row>
    <row r="64653" customFormat="false" ht="12.8" hidden="false" customHeight="false" outlineLevel="0" collapsed="false">
      <c r="A64653" s="0" t="s">
        <v>22114</v>
      </c>
      <c r="B64653" s="0" t="str">
        <f aca="false">HYPERLINK("https://lindat.mff.cuni.cz/services/teitok/pdtc10/index.php?action=vallex&amp;frame=v-w8870hsa_1474", "zaklepat (v-w8870hsa_1474) - substituted with v-w8870f2_ZU")</f>
        <v>zaklepat (v-w8870hsa_1474) - substituted with v-w8870f2_ZU</v>
      </c>
    </row>
    <row r="64654" customFormat="false" ht="12.8" hidden="false" customHeight="false" outlineLevel="0" collapsed="false">
      <c r="B64654" s="0" t="s">
        <v>7</v>
      </c>
    </row>
    <row r="64655" customFormat="false" ht="12.8" hidden="false" customHeight="false" outlineLevel="0" collapsed="false">
      <c r="B64655" s="0" t="s">
        <v>22115</v>
      </c>
    </row>
    <row r="64657" customFormat="false" ht="12.8" hidden="false" customHeight="false" outlineLevel="0" collapsed="false">
      <c r="A64657" s="0" t="s">
        <v>22116</v>
      </c>
      <c r="B64657" s="0" t="str">
        <f aca="false">HYPERLINK("https://lindat.mff.cuni.cz/services/teitok/pdtc10/index.php?action=vallex&amp;frame=v-w8870f3_MM", "zaklepat (v-w8870f3_MM)")</f>
        <v>zaklepat (v-w8870f3_MM)</v>
      </c>
    </row>
    <row r="64658" customFormat="false" ht="12.8" hidden="false" customHeight="false" outlineLevel="0" collapsed="false">
      <c r="B64658" s="0" t="s">
        <v>7</v>
      </c>
    </row>
    <row r="64659" customFormat="false" ht="12.8" hidden="false" customHeight="false" outlineLevel="0" collapsed="false">
      <c r="B64659" s="0" t="s">
        <v>297</v>
      </c>
    </row>
    <row r="64661" customFormat="false" ht="12.8" hidden="false" customHeight="false" outlineLevel="0" collapsed="false">
      <c r="A64661" s="0" t="s">
        <v>22116</v>
      </c>
      <c r="B64661" s="0" t="str">
        <f aca="false">HYPERLINK("https://lindat.mff.cuni.cz/services/teitok/pdtc10/index.php?action=vallex&amp;frame=v-w8870hsa_1473", "zaklepat (v-w8870hsa_1473) - substituted with v-w8870f3_MM")</f>
        <v>zaklepat (v-w8870hsa_1473) - substituted with v-w8870f3_MM</v>
      </c>
    </row>
    <row r="64662" customFormat="false" ht="12.8" hidden="false" customHeight="false" outlineLevel="0" collapsed="false">
      <c r="B64662" s="0" t="s">
        <v>7</v>
      </c>
    </row>
    <row r="64663" customFormat="false" ht="12.8" hidden="false" customHeight="false" outlineLevel="0" collapsed="false">
      <c r="B64663" s="0" t="s">
        <v>297</v>
      </c>
    </row>
    <row r="64665" customFormat="false" ht="12.8" hidden="false" customHeight="false" outlineLevel="0" collapsed="false">
      <c r="A64665" s="0" t="s">
        <v>22117</v>
      </c>
      <c r="B64665" s="0" t="str">
        <f aca="false">HYPERLINK("https://lindat.mff.cuni.cz/services/teitok/pdtc10/index.php?action=vallex&amp;frame=v-w10936f2", "zaklesnout (v-w10936f2)")</f>
        <v>zaklesnout (v-w10936f2)</v>
      </c>
    </row>
    <row r="64666" customFormat="false" ht="12.8" hidden="false" customHeight="false" outlineLevel="0" collapsed="false">
      <c r="B64666" s="0" t="s">
        <v>7</v>
      </c>
    </row>
    <row r="64667" customFormat="false" ht="12.8" hidden="false" customHeight="false" outlineLevel="0" collapsed="false">
      <c r="B64667" s="0" t="s">
        <v>14</v>
      </c>
    </row>
    <row r="64668" customFormat="false" ht="12.8" hidden="false" customHeight="false" outlineLevel="0" collapsed="false">
      <c r="B64668" s="0" t="s">
        <v>124</v>
      </c>
    </row>
    <row r="64670" customFormat="false" ht="12.8" hidden="false" customHeight="false" outlineLevel="0" collapsed="false">
      <c r="A64670" s="0" t="s">
        <v>22118</v>
      </c>
      <c r="B64670" s="0" t="str">
        <f aca="false">HYPERLINK("https://lindat.mff.cuni.cz/services/teitok/pdtc10/index.php?action=vallex&amp;frame=v-whsa_1285hsa_1286", "zaklopýtnout (v-whsa_1285hsa_1286)")</f>
        <v>zaklopýtnout (v-whsa_1285hsa_1286)</v>
      </c>
    </row>
    <row r="64671" customFormat="false" ht="12.8" hidden="false" customHeight="false" outlineLevel="0" collapsed="false">
      <c r="B64671" s="0" t="s">
        <v>7</v>
      </c>
    </row>
    <row r="64672" customFormat="false" ht="12.8" hidden="false" customHeight="false" outlineLevel="0" collapsed="false">
      <c r="B64672" s="0" t="s">
        <v>615</v>
      </c>
    </row>
    <row r="64674" customFormat="false" ht="12.8" hidden="false" customHeight="false" outlineLevel="0" collapsed="false">
      <c r="A64674" s="0" t="s">
        <v>22119</v>
      </c>
      <c r="B64674" s="0" t="str">
        <f aca="false">HYPERLINK("https://lindat.mff.cuni.cz/services/teitok/pdtc10/index.php?action=vallex&amp;frame=v-w8864f1", "zakládat (v-w8864f1)")</f>
        <v>zakládat (v-w8864f1)</v>
      </c>
    </row>
    <row r="64675" customFormat="false" ht="12.8" hidden="false" customHeight="false" outlineLevel="0" collapsed="false">
      <c r="B64675" s="0" t="s">
        <v>7</v>
      </c>
      <c r="C64675" s="0" t="s">
        <v>22120</v>
      </c>
      <c r="D64675" s="0" t="s">
        <v>14491</v>
      </c>
      <c r="E64675" s="0" t="s">
        <v>14491</v>
      </c>
      <c r="F64675" s="0" t="s">
        <v>14491</v>
      </c>
    </row>
    <row r="64676" customFormat="false" ht="12.8" hidden="false" customHeight="false" outlineLevel="0" collapsed="false">
      <c r="B64676" s="0" t="s">
        <v>14</v>
      </c>
      <c r="C64676" s="0" t="s">
        <v>22121</v>
      </c>
      <c r="D64676" s="0" t="s">
        <v>14493</v>
      </c>
      <c r="E64676" s="0" t="s">
        <v>14493</v>
      </c>
      <c r="F64676" s="0" t="s">
        <v>14493</v>
      </c>
    </row>
    <row r="64677" customFormat="false" ht="12.8" hidden="false" customHeight="false" outlineLevel="0" collapsed="false">
      <c r="B64677" s="0" t="s">
        <v>16277</v>
      </c>
      <c r="C64677" s="0" t="s">
        <v>22122</v>
      </c>
      <c r="D64677" s="0" t="s">
        <v>8048</v>
      </c>
      <c r="E64677" s="0" t="s">
        <v>8048</v>
      </c>
      <c r="F64677" s="0" t="s">
        <v>8048</v>
      </c>
    </row>
    <row r="64679" customFormat="false" ht="12.8" hidden="false" customHeight="false" outlineLevel="0" collapsed="false">
      <c r="A64679" s="0" t="s">
        <v>22123</v>
      </c>
      <c r="B64679" s="0" t="str">
        <f aca="false">HYPERLINK("https://lindat.mff.cuni.cz/services/teitok/pdtc10/index.php?action=vallex&amp;frame=v-w8864f3", "zakládat (v-w8864f3)")</f>
        <v>zakládat (v-w8864f3)</v>
      </c>
    </row>
    <row r="64680" customFormat="false" ht="12.8" hidden="false" customHeight="false" outlineLevel="0" collapsed="false">
      <c r="B64680" s="0" t="s">
        <v>7</v>
      </c>
    </row>
    <row r="64681" customFormat="false" ht="12.8" hidden="false" customHeight="false" outlineLevel="0" collapsed="false">
      <c r="B64681" s="0" t="s">
        <v>14</v>
      </c>
    </row>
    <row r="64682" customFormat="false" ht="12.8" hidden="false" customHeight="false" outlineLevel="0" collapsed="false">
      <c r="B64682" s="0" t="s">
        <v>124</v>
      </c>
    </row>
    <row r="64684" customFormat="false" ht="12.8" hidden="false" customHeight="false" outlineLevel="0" collapsed="false">
      <c r="A64684" s="0" t="s">
        <v>22124</v>
      </c>
      <c r="B64684" s="0" t="str">
        <f aca="false">HYPERLINK("https://lindat.mff.cuni.cz/services/teitok/pdtc10/index.php?action=vallex&amp;frame=v-w8864f5", "zakládat (v-w8864f5)")</f>
        <v>zakládat (v-w8864f5)</v>
      </c>
    </row>
    <row r="64685" customFormat="false" ht="12.8" hidden="false" customHeight="false" outlineLevel="0" collapsed="false">
      <c r="B64685" s="0" t="s">
        <v>7</v>
      </c>
    </row>
    <row r="64686" customFormat="false" ht="12.8" hidden="false" customHeight="false" outlineLevel="0" collapsed="false">
      <c r="B64686" s="0" t="s">
        <v>14</v>
      </c>
    </row>
    <row r="64688" customFormat="false" ht="12.8" hidden="false" customHeight="false" outlineLevel="0" collapsed="false">
      <c r="A64688" s="0" t="s">
        <v>22125</v>
      </c>
      <c r="B64688" s="0" t="str">
        <f aca="false">HYPERLINK("https://lindat.mff.cuni.cz/services/teitok/pdtc10/index.php?action=vallex&amp;frame=v-w8864f4", "zakládat (v-w8864f4)")</f>
        <v>zakládat (v-w8864f4)</v>
      </c>
    </row>
    <row r="64689" customFormat="false" ht="12.8" hidden="false" customHeight="false" outlineLevel="0" collapsed="false">
      <c r="B64689" s="0" t="s">
        <v>7</v>
      </c>
    </row>
    <row r="64690" customFormat="false" ht="12.8" hidden="false" customHeight="false" outlineLevel="0" collapsed="false">
      <c r="B64690" s="0" t="s">
        <v>14</v>
      </c>
    </row>
    <row r="64692" customFormat="false" ht="12.8" hidden="false" customHeight="false" outlineLevel="0" collapsed="false">
      <c r="A64692" s="0" t="s">
        <v>22126</v>
      </c>
      <c r="B64692" s="0" t="str">
        <f aca="false">HYPERLINK("https://lindat.mff.cuni.cz/services/teitok/pdtc10/index.php?action=vallex&amp;frame=v-w8864f2", "zakládat (v-w8864f2)")</f>
        <v>zakládat (v-w8864f2)</v>
      </c>
    </row>
    <row r="64693" customFormat="false" ht="12.8" hidden="false" customHeight="false" outlineLevel="0" collapsed="false">
      <c r="B64693" s="0" t="s">
        <v>7</v>
      </c>
    </row>
    <row r="64694" customFormat="false" ht="12.8" hidden="false" customHeight="false" outlineLevel="0" collapsed="false">
      <c r="B64694" s="0" t="s">
        <v>41</v>
      </c>
    </row>
    <row r="64696" customFormat="false" ht="12.8" hidden="false" customHeight="false" outlineLevel="0" collapsed="false">
      <c r="A64696" s="0" t="s">
        <v>22127</v>
      </c>
      <c r="B64696" s="0" t="str">
        <f aca="false">HYPERLINK("https://lindat.mff.cuni.cz/services/teitok/pdtc10/index.php?action=vallex&amp;frame=v-w8867f1", "zakládat se (v-w8867f1)")</f>
        <v>zakládat se (v-w8867f1)</v>
      </c>
    </row>
    <row r="64697" customFormat="false" ht="12.8" hidden="false" customHeight="false" outlineLevel="0" collapsed="false">
      <c r="B64697" s="0" t="s">
        <v>7</v>
      </c>
      <c r="C64697" s="0" t="s">
        <v>22128</v>
      </c>
      <c r="D64697" s="0" t="s">
        <v>9818</v>
      </c>
      <c r="E64697" s="0" t="s">
        <v>9818</v>
      </c>
      <c r="F64697" s="0" t="s">
        <v>9818</v>
      </c>
    </row>
    <row r="64698" customFormat="false" ht="12.8" hidden="false" customHeight="false" outlineLevel="0" collapsed="false">
      <c r="B64698" s="0" t="s">
        <v>220</v>
      </c>
      <c r="C64698" s="0" t="s">
        <v>22129</v>
      </c>
      <c r="D64698" s="0" t="s">
        <v>9820</v>
      </c>
      <c r="E64698" s="0" t="s">
        <v>9820</v>
      </c>
      <c r="F64698" s="0" t="s">
        <v>9820</v>
      </c>
    </row>
    <row r="64700" customFormat="false" ht="12.8" hidden="false" customHeight="false" outlineLevel="0" collapsed="false">
      <c r="A64700" s="0" t="s">
        <v>22130</v>
      </c>
      <c r="B64700" s="0" t="str">
        <f aca="false">HYPERLINK("https://lindat.mff.cuni.cz/services/teitok/pdtc10/index.php?action=vallex&amp;frame=v-w8868hsa_1396", "zakládat si (v-w8868hsa_1396)")</f>
        <v>zakládat si (v-w8868hsa_1396)</v>
      </c>
    </row>
    <row r="64701" customFormat="false" ht="12.8" hidden="false" customHeight="false" outlineLevel="0" collapsed="false">
      <c r="B64701" s="0" t="s">
        <v>7</v>
      </c>
    </row>
    <row r="64702" customFormat="false" ht="12.8" hidden="false" customHeight="false" outlineLevel="0" collapsed="false">
      <c r="B64702" s="0" t="s">
        <v>22131</v>
      </c>
    </row>
    <row r="64704" customFormat="false" ht="12.8" hidden="false" customHeight="false" outlineLevel="0" collapsed="false">
      <c r="A64704" s="0" t="s">
        <v>22130</v>
      </c>
      <c r="B64704" s="0" t="str">
        <f aca="false">HYPERLINK("https://lindat.mff.cuni.cz/services/teitok/pdtc10/index.php?action=vallex&amp;frame=v-w8868f1", "zakládat si (v-w8868f1) - substituted with v-w8868hsa_1396")</f>
        <v>zakládat si (v-w8868f1) - substituted with v-w8868hsa_1396</v>
      </c>
    </row>
    <row r="64705" customFormat="false" ht="12.8" hidden="false" customHeight="false" outlineLevel="0" collapsed="false">
      <c r="B64705" s="0" t="s">
        <v>7</v>
      </c>
    </row>
    <row r="64706" customFormat="false" ht="12.8" hidden="false" customHeight="false" outlineLevel="0" collapsed="false">
      <c r="B64706" s="0" t="s">
        <v>22131</v>
      </c>
    </row>
    <row r="64708" customFormat="false" ht="12.8" hidden="false" customHeight="false" outlineLevel="0" collapsed="false">
      <c r="A64708" s="0" t="s">
        <v>22132</v>
      </c>
      <c r="B64708" s="0" t="str">
        <f aca="false">HYPERLINK("https://lindat.mff.cuni.cz/services/teitok/pdtc10/index.php?action=vallex&amp;frame=v-w10270f3", "zaklínit (v-w10270f3)")</f>
        <v>zaklínit (v-w10270f3)</v>
      </c>
    </row>
    <row r="64709" customFormat="false" ht="12.8" hidden="false" customHeight="false" outlineLevel="0" collapsed="false">
      <c r="B64709" s="0" t="s">
        <v>7</v>
      </c>
      <c r="D64709" s="0" t="s">
        <v>2235</v>
      </c>
      <c r="E64709" s="0" t="s">
        <v>2235</v>
      </c>
      <c r="F64709" s="0" t="s">
        <v>2235</v>
      </c>
    </row>
    <row r="64710" customFormat="false" ht="12.8" hidden="false" customHeight="false" outlineLevel="0" collapsed="false">
      <c r="B64710" s="0" t="s">
        <v>14</v>
      </c>
      <c r="C64710" s="0" t="s">
        <v>1544</v>
      </c>
      <c r="D64710" s="0" t="s">
        <v>2237</v>
      </c>
      <c r="E64710" s="0" t="s">
        <v>2237</v>
      </c>
      <c r="F64710" s="0" t="s">
        <v>2237</v>
      </c>
    </row>
    <row r="64711" customFormat="false" ht="12.8" hidden="false" customHeight="false" outlineLevel="0" collapsed="false">
      <c r="B64711" s="0" t="s">
        <v>11</v>
      </c>
      <c r="D64711" s="0" t="s">
        <v>5217</v>
      </c>
      <c r="E64711" s="0" t="s">
        <v>5217</v>
      </c>
      <c r="F64711" s="0" t="s">
        <v>5217</v>
      </c>
    </row>
    <row r="64713" customFormat="false" ht="12.8" hidden="false" customHeight="false" outlineLevel="0" collapsed="false">
      <c r="A64713" s="0" t="s">
        <v>22133</v>
      </c>
      <c r="B64713" s="0" t="str">
        <f aca="false">HYPERLINK("https://lindat.mff.cuni.cz/services/teitok/pdtc10/index.php?action=vallex&amp;frame=v-w10270f2", "zaklínit (v-w10270f2)")</f>
        <v>zaklínit (v-w10270f2)</v>
      </c>
    </row>
    <row r="64714" customFormat="false" ht="12.8" hidden="false" customHeight="false" outlineLevel="0" collapsed="false">
      <c r="B64714" s="0" t="s">
        <v>7</v>
      </c>
    </row>
    <row r="64715" customFormat="false" ht="12.8" hidden="false" customHeight="false" outlineLevel="0" collapsed="false">
      <c r="B64715" s="0" t="s">
        <v>14</v>
      </c>
    </row>
    <row r="64716" customFormat="false" ht="12.8" hidden="false" customHeight="false" outlineLevel="0" collapsed="false">
      <c r="B64716" s="0" t="s">
        <v>124</v>
      </c>
    </row>
    <row r="64718" customFormat="false" ht="12.8" hidden="false" customHeight="false" outlineLevel="0" collapsed="false">
      <c r="A64718" s="0" t="s">
        <v>22134</v>
      </c>
      <c r="B64718" s="0" t="str">
        <f aca="false">HYPERLINK("https://lindat.mff.cuni.cz/services/teitok/pdtc10/index.php?action=vallex&amp;frame=v-w8872f1", "zaklít (v-w8872f1)")</f>
        <v>zaklít (v-w8872f1)</v>
      </c>
    </row>
    <row r="64719" customFormat="false" ht="12.8" hidden="false" customHeight="false" outlineLevel="0" collapsed="false">
      <c r="B64719" s="0" t="s">
        <v>7</v>
      </c>
      <c r="F64719" s="0" t="s">
        <v>11401</v>
      </c>
    </row>
    <row r="64720" customFormat="false" ht="12.8" hidden="false" customHeight="false" outlineLevel="0" collapsed="false">
      <c r="B64720" s="0" t="s">
        <v>14</v>
      </c>
      <c r="F64720" s="0" t="s">
        <v>11985</v>
      </c>
    </row>
    <row r="64721" customFormat="false" ht="12.8" hidden="false" customHeight="false" outlineLevel="0" collapsed="false">
      <c r="B64721" s="0" t="s">
        <v>3691</v>
      </c>
      <c r="F64721" s="0" t="s">
        <v>11975</v>
      </c>
    </row>
    <row r="64723" customFormat="false" ht="12.8" hidden="false" customHeight="false" outlineLevel="0" collapsed="false">
      <c r="A64723" s="0" t="s">
        <v>22135</v>
      </c>
      <c r="B64723" s="0" t="str">
        <f aca="false">HYPERLINK("https://lindat.mff.cuni.cz/services/teitok/pdtc10/index.php?action=vallex&amp;frame=v-w10596f2", "zaknihovat (v-w10596f2)")</f>
        <v>zaknihovat (v-w10596f2)</v>
      </c>
    </row>
    <row r="64724" customFormat="false" ht="12.8" hidden="false" customHeight="false" outlineLevel="0" collapsed="false">
      <c r="B64724" s="0" t="s">
        <v>7</v>
      </c>
    </row>
    <row r="64725" customFormat="false" ht="12.8" hidden="false" customHeight="false" outlineLevel="0" collapsed="false">
      <c r="B64725" s="0" t="s">
        <v>14</v>
      </c>
    </row>
    <row r="64726" customFormat="false" ht="12.8" hidden="false" customHeight="false" outlineLevel="0" collapsed="false">
      <c r="B64726" s="0" t="s">
        <v>124</v>
      </c>
    </row>
    <row r="64728" customFormat="false" ht="12.8" hidden="false" customHeight="false" outlineLevel="0" collapsed="false">
      <c r="A64728" s="0" t="s">
        <v>22136</v>
      </c>
      <c r="B64728" s="0" t="str">
        <f aca="false">HYPERLINK("https://lindat.mff.cuni.cz/services/teitok/pdtc10/index.php?action=vallex&amp;frame=v-whsa_1828hsa_1829", "zakoktávat se (v-whsa_1828hsa_1829)")</f>
        <v>zakoktávat se (v-whsa_1828hsa_1829)</v>
      </c>
    </row>
    <row r="64729" customFormat="false" ht="12.8" hidden="false" customHeight="false" outlineLevel="0" collapsed="false">
      <c r="B64729" s="0" t="s">
        <v>7</v>
      </c>
    </row>
    <row r="64731" customFormat="false" ht="12.8" hidden="false" customHeight="false" outlineLevel="0" collapsed="false">
      <c r="A64731" s="0" t="s">
        <v>22137</v>
      </c>
      <c r="B64731" s="0" t="str">
        <f aca="false">HYPERLINK("https://lindat.mff.cuni.cz/services/teitok/pdtc10/index.php?action=vallex&amp;frame=v-w8874f1", "zakolísat (v-w8874f1)")</f>
        <v>zakolísat (v-w8874f1)</v>
      </c>
    </row>
    <row r="64732" customFormat="false" ht="12.8" hidden="false" customHeight="false" outlineLevel="0" collapsed="false">
      <c r="B64732" s="0" t="s">
        <v>7</v>
      </c>
      <c r="C64732" s="0" t="s">
        <v>191</v>
      </c>
      <c r="F64732" s="0" t="s">
        <v>21511</v>
      </c>
    </row>
    <row r="64733" customFormat="false" ht="12.8" hidden="false" customHeight="false" outlineLevel="0" collapsed="false">
      <c r="B64733" s="0" t="s">
        <v>22138</v>
      </c>
      <c r="F64733" s="0" t="s">
        <v>2641</v>
      </c>
    </row>
    <row r="64735" customFormat="false" ht="12.8" hidden="false" customHeight="false" outlineLevel="0" collapsed="false">
      <c r="A64735" s="0" t="s">
        <v>22139</v>
      </c>
      <c r="B64735" s="0" t="str">
        <f aca="false">HYPERLINK("https://lindat.mff.cuni.cz/services/teitok/pdtc10/index.php?action=vallex&amp;frame=v-w8874f2", "zakolísat (v-w8874f2)")</f>
        <v>zakolísat (v-w8874f2)</v>
      </c>
    </row>
    <row r="64736" customFormat="false" ht="12.8" hidden="false" customHeight="false" outlineLevel="0" collapsed="false">
      <c r="B64736" s="0" t="s">
        <v>7</v>
      </c>
    </row>
    <row r="64738" customFormat="false" ht="12.8" hidden="false" customHeight="false" outlineLevel="0" collapsed="false">
      <c r="A64738" s="0" t="s">
        <v>22140</v>
      </c>
      <c r="B64738" s="0" t="str">
        <f aca="false">HYPERLINK("https://lindat.mff.cuni.cz/services/teitok/pdtc10/index.php?action=vallex&amp;frame=v-w10249f3", "zakomponovat (v-w10249f3)")</f>
        <v>zakomponovat (v-w10249f3)</v>
      </c>
    </row>
    <row r="64739" customFormat="false" ht="12.8" hidden="false" customHeight="false" outlineLevel="0" collapsed="false">
      <c r="B64739" s="0" t="s">
        <v>7</v>
      </c>
      <c r="D64739" s="0" t="s">
        <v>22141</v>
      </c>
      <c r="E64739" s="0" t="s">
        <v>22141</v>
      </c>
      <c r="F64739" s="0" t="s">
        <v>22141</v>
      </c>
    </row>
    <row r="64740" customFormat="false" ht="12.8" hidden="false" customHeight="false" outlineLevel="0" collapsed="false">
      <c r="B64740" s="0" t="s">
        <v>14</v>
      </c>
      <c r="D64740" s="0" t="s">
        <v>22142</v>
      </c>
      <c r="E64740" s="0" t="s">
        <v>22142</v>
      </c>
      <c r="F64740" s="0" t="s">
        <v>22142</v>
      </c>
    </row>
    <row r="64741" customFormat="false" ht="12.8" hidden="false" customHeight="false" outlineLevel="0" collapsed="false">
      <c r="B64741" s="0" t="s">
        <v>11</v>
      </c>
      <c r="D64741" s="0" t="s">
        <v>22143</v>
      </c>
      <c r="E64741" s="0" t="s">
        <v>22143</v>
      </c>
      <c r="F64741" s="0" t="s">
        <v>22143</v>
      </c>
    </row>
    <row r="64743" customFormat="false" ht="12.8" hidden="false" customHeight="false" outlineLevel="0" collapsed="false">
      <c r="A64743" s="0" t="s">
        <v>22144</v>
      </c>
      <c r="B64743" s="0" t="str">
        <f aca="false">HYPERLINK("https://lindat.mff.cuni.cz/services/teitok/pdtc10/index.php?action=vallex&amp;frame=v-w10249f2", "zakomponovat (v-w10249f2)")</f>
        <v>zakomponovat (v-w10249f2)</v>
      </c>
    </row>
    <row r="64744" customFormat="false" ht="12.8" hidden="false" customHeight="false" outlineLevel="0" collapsed="false">
      <c r="B64744" s="0" t="s">
        <v>7</v>
      </c>
      <c r="C64744" s="0" t="s">
        <v>2199</v>
      </c>
      <c r="D64744" s="0" t="s">
        <v>22141</v>
      </c>
      <c r="E64744" s="0" t="s">
        <v>22141</v>
      </c>
      <c r="F64744" s="0" t="s">
        <v>22141</v>
      </c>
    </row>
    <row r="64745" customFormat="false" ht="12.8" hidden="false" customHeight="false" outlineLevel="0" collapsed="false">
      <c r="B64745" s="0" t="s">
        <v>14</v>
      </c>
      <c r="C64745" s="0" t="s">
        <v>26</v>
      </c>
      <c r="D64745" s="0" t="s">
        <v>22142</v>
      </c>
      <c r="E64745" s="0" t="s">
        <v>22142</v>
      </c>
      <c r="F64745" s="0" t="s">
        <v>22142</v>
      </c>
    </row>
    <row r="64746" customFormat="false" ht="12.8" hidden="false" customHeight="false" outlineLevel="0" collapsed="false">
      <c r="B64746" s="0" t="s">
        <v>124</v>
      </c>
      <c r="D64746" s="0" t="s">
        <v>22145</v>
      </c>
      <c r="E64746" s="0" t="s">
        <v>22145</v>
      </c>
      <c r="F64746" s="0" t="s">
        <v>22145</v>
      </c>
    </row>
    <row r="64748" customFormat="false" ht="12.8" hidden="false" customHeight="false" outlineLevel="0" collapsed="false">
      <c r="A64748" s="0" t="s">
        <v>22146</v>
      </c>
      <c r="B64748" s="0" t="str">
        <f aca="false">HYPERLINK("https://lindat.mff.cuni.cz/services/teitok/pdtc10/index.php?action=vallex&amp;frame=v-w8881f1", "zakonzervovat (v-w8881f1)")</f>
        <v>zakonzervovat (v-w8881f1)</v>
      </c>
    </row>
    <row r="64749" customFormat="false" ht="12.8" hidden="false" customHeight="false" outlineLevel="0" collapsed="false">
      <c r="B64749" s="0" t="s">
        <v>7</v>
      </c>
    </row>
    <row r="64750" customFormat="false" ht="12.8" hidden="false" customHeight="false" outlineLevel="0" collapsed="false">
      <c r="B64750" s="0" t="s">
        <v>14</v>
      </c>
    </row>
    <row r="64751" customFormat="false" ht="12.8" hidden="false" customHeight="false" outlineLevel="0" collapsed="false">
      <c r="B64751" s="0" t="s">
        <v>124</v>
      </c>
    </row>
    <row r="64753" customFormat="false" ht="12.8" hidden="false" customHeight="false" outlineLevel="0" collapsed="false">
      <c r="A64753" s="0" t="s">
        <v>22147</v>
      </c>
      <c r="B64753" s="0" t="str">
        <f aca="false">HYPERLINK("https://lindat.mff.cuni.cz/services/teitok/pdtc10/index.php?action=vallex&amp;frame=v-w8879f1", "zakončit (v-w8879f1)")</f>
        <v>zakončit (v-w8879f1)</v>
      </c>
    </row>
    <row r="64754" customFormat="false" ht="12.8" hidden="false" customHeight="false" outlineLevel="0" collapsed="false">
      <c r="B64754" s="0" t="s">
        <v>7</v>
      </c>
      <c r="C64754" s="0" t="s">
        <v>22148</v>
      </c>
      <c r="D64754" s="0" t="s">
        <v>1943</v>
      </c>
      <c r="E64754" s="0" t="s">
        <v>1944</v>
      </c>
      <c r="F64754" s="0" t="s">
        <v>1944</v>
      </c>
    </row>
    <row r="64755" customFormat="false" ht="12.8" hidden="false" customHeight="false" outlineLevel="0" collapsed="false">
      <c r="B64755" s="0" t="s">
        <v>14</v>
      </c>
      <c r="C64755" s="0" t="s">
        <v>22149</v>
      </c>
      <c r="D64755" s="0" t="s">
        <v>1946</v>
      </c>
      <c r="E64755" s="0" t="s">
        <v>1947</v>
      </c>
      <c r="F64755" s="0" t="s">
        <v>1947</v>
      </c>
    </row>
    <row r="64757" customFormat="false" ht="12.8" hidden="false" customHeight="false" outlineLevel="0" collapsed="false">
      <c r="A64757" s="0" t="s">
        <v>22150</v>
      </c>
      <c r="B64757" s="0" t="str">
        <f aca="false">HYPERLINK("https://lindat.mff.cuni.cz/services/teitok/pdtc10/index.php?action=vallex&amp;frame=v-w8879f5_ZU", "zakončit (v-w8879f5_ZU)")</f>
        <v>zakončit (v-w8879f5_ZU)</v>
      </c>
    </row>
    <row r="64758" customFormat="false" ht="12.8" hidden="false" customHeight="false" outlineLevel="0" collapsed="false">
      <c r="B64758" s="0" t="s">
        <v>7</v>
      </c>
      <c r="C64758" s="0" t="s">
        <v>22151</v>
      </c>
      <c r="D64758" s="0" t="s">
        <v>15733</v>
      </c>
      <c r="E64758" s="0" t="s">
        <v>15733</v>
      </c>
      <c r="F64758" s="0" t="s">
        <v>15733</v>
      </c>
    </row>
    <row r="64759" customFormat="false" ht="12.8" hidden="false" customHeight="false" outlineLevel="0" collapsed="false">
      <c r="B64759" s="0" t="s">
        <v>9236</v>
      </c>
      <c r="C64759" s="0" t="s">
        <v>22152</v>
      </c>
      <c r="D64759" s="0" t="s">
        <v>15735</v>
      </c>
      <c r="E64759" s="0" t="s">
        <v>15735</v>
      </c>
      <c r="F64759" s="0" t="s">
        <v>15735</v>
      </c>
    </row>
    <row r="64760" customFormat="false" ht="12.8" hidden="false" customHeight="false" outlineLevel="0" collapsed="false">
      <c r="B64760" s="0" t="s">
        <v>4069</v>
      </c>
      <c r="C64760" s="0" t="s">
        <v>22153</v>
      </c>
      <c r="D64760" s="0" t="s">
        <v>18558</v>
      </c>
      <c r="E64760" s="0" t="s">
        <v>18558</v>
      </c>
      <c r="F64760" s="0" t="s">
        <v>18558</v>
      </c>
    </row>
    <row r="64761" customFormat="false" ht="12.8" hidden="false" customHeight="false" outlineLevel="0" collapsed="false">
      <c r="B64761" s="0" t="s">
        <v>22154</v>
      </c>
      <c r="C64761" s="0" t="s">
        <v>22155</v>
      </c>
      <c r="D64761" s="0" t="s">
        <v>18559</v>
      </c>
      <c r="E64761" s="0" t="s">
        <v>18559</v>
      </c>
      <c r="F64761" s="0" t="s">
        <v>18559</v>
      </c>
    </row>
    <row r="64763" customFormat="false" ht="12.8" hidden="false" customHeight="false" outlineLevel="0" collapsed="false">
      <c r="A64763" s="0" t="s">
        <v>22150</v>
      </c>
      <c r="B64763" s="0" t="str">
        <f aca="false">HYPERLINK("https://lindat.mff.cuni.cz/services/teitok/pdtc10/index.php?action=vallex&amp;frame=v-w8879f2_ZU", "zakončit (v-w8879f2_ZU) - substituted with v-w8879f5_ZU")</f>
        <v>zakončit (v-w8879f2_ZU) - substituted with v-w8879f5_ZU</v>
      </c>
    </row>
    <row r="64764" customFormat="false" ht="12.8" hidden="false" customHeight="false" outlineLevel="0" collapsed="false">
      <c r="B64764" s="0" t="s">
        <v>7</v>
      </c>
      <c r="C64764" s="0" t="s">
        <v>13964</v>
      </c>
    </row>
    <row r="64765" customFormat="false" ht="12.8" hidden="false" customHeight="false" outlineLevel="0" collapsed="false">
      <c r="B64765" s="0" t="s">
        <v>9236</v>
      </c>
      <c r="C64765" s="0" t="s">
        <v>17745</v>
      </c>
    </row>
    <row r="64766" customFormat="false" ht="12.8" hidden="false" customHeight="false" outlineLevel="0" collapsed="false">
      <c r="B64766" s="0" t="s">
        <v>4069</v>
      </c>
    </row>
    <row r="64767" customFormat="false" ht="12.8" hidden="false" customHeight="false" outlineLevel="0" collapsed="false">
      <c r="B64767" s="0" t="s">
        <v>22154</v>
      </c>
    </row>
    <row r="64769" customFormat="false" ht="12.8" hidden="false" customHeight="false" outlineLevel="0" collapsed="false">
      <c r="A64769" s="0" t="s">
        <v>22150</v>
      </c>
      <c r="B64769" s="0" t="str">
        <f aca="false">HYPERLINK("https://lindat.mff.cuni.cz/services/teitok/pdtc10/index.php?action=vallex&amp;frame=v-w8879f3_ZU", "zakončit (v-w8879f3_ZU) - substituted with v-w8879f5_ZU")</f>
        <v>zakončit (v-w8879f3_ZU) - substituted with v-w8879f5_ZU</v>
      </c>
    </row>
    <row r="64770" customFormat="false" ht="12.8" hidden="false" customHeight="false" outlineLevel="0" collapsed="false">
      <c r="B64770" s="0" t="s">
        <v>7</v>
      </c>
      <c r="C64770" s="0" t="s">
        <v>17744</v>
      </c>
    </row>
    <row r="64771" customFormat="false" ht="12.8" hidden="false" customHeight="false" outlineLevel="0" collapsed="false">
      <c r="B64771" s="0" t="s">
        <v>9236</v>
      </c>
      <c r="C64771" s="0" t="s">
        <v>22156</v>
      </c>
    </row>
    <row r="64772" customFormat="false" ht="12.8" hidden="false" customHeight="false" outlineLevel="0" collapsed="false">
      <c r="B64772" s="0" t="s">
        <v>4069</v>
      </c>
    </row>
    <row r="64773" customFormat="false" ht="12.8" hidden="false" customHeight="false" outlineLevel="0" collapsed="false">
      <c r="B64773" s="0" t="s">
        <v>22154</v>
      </c>
    </row>
    <row r="64775" customFormat="false" ht="12.8" hidden="false" customHeight="false" outlineLevel="0" collapsed="false">
      <c r="A64775" s="0" t="s">
        <v>22150</v>
      </c>
      <c r="B64775" s="0" t="str">
        <f aca="false">HYPERLINK("https://lindat.mff.cuni.cz/services/teitok/pdtc10/index.php?action=vallex&amp;frame=v-w8879f4_ZU", "zakončit (v-w8879f4_ZU) - substituted with v-w8879f5_ZU")</f>
        <v>zakončit (v-w8879f4_ZU) - substituted with v-w8879f5_ZU</v>
      </c>
    </row>
    <row r="64776" customFormat="false" ht="12.8" hidden="false" customHeight="false" outlineLevel="0" collapsed="false">
      <c r="B64776" s="0" t="s">
        <v>7</v>
      </c>
      <c r="C64776" s="0" t="s">
        <v>15753</v>
      </c>
    </row>
    <row r="64777" customFormat="false" ht="12.8" hidden="false" customHeight="false" outlineLevel="0" collapsed="false">
      <c r="B64777" s="0" t="s">
        <v>9236</v>
      </c>
    </row>
    <row r="64778" customFormat="false" ht="12.8" hidden="false" customHeight="false" outlineLevel="0" collapsed="false">
      <c r="B64778" s="0" t="s">
        <v>4069</v>
      </c>
      <c r="C64778" s="0" t="s">
        <v>22157</v>
      </c>
    </row>
    <row r="64779" customFormat="false" ht="12.8" hidden="false" customHeight="false" outlineLevel="0" collapsed="false">
      <c r="B64779" s="0" t="s">
        <v>22154</v>
      </c>
    </row>
    <row r="64781" customFormat="false" ht="12.8" hidden="false" customHeight="false" outlineLevel="0" collapsed="false">
      <c r="A64781" s="0" t="s">
        <v>22158</v>
      </c>
      <c r="B64781" s="0" t="str">
        <f aca="false">HYPERLINK("https://lindat.mff.cuni.cz/services/teitok/pdtc10/index.php?action=vallex&amp;frame=v-w8882f1", "zakopat (v-w8882f1)")</f>
        <v>zakopat (v-w8882f1)</v>
      </c>
    </row>
    <row r="64782" customFormat="false" ht="12.8" hidden="false" customHeight="false" outlineLevel="0" collapsed="false">
      <c r="B64782" s="0" t="s">
        <v>7</v>
      </c>
    </row>
    <row r="64783" customFormat="false" ht="12.8" hidden="false" customHeight="false" outlineLevel="0" collapsed="false">
      <c r="B64783" s="0" t="s">
        <v>14</v>
      </c>
    </row>
    <row r="64784" customFormat="false" ht="12.8" hidden="false" customHeight="false" outlineLevel="0" collapsed="false">
      <c r="B64784" s="0" t="s">
        <v>3743</v>
      </c>
    </row>
    <row r="64786" customFormat="false" ht="12.8" hidden="false" customHeight="false" outlineLevel="0" collapsed="false">
      <c r="A64786" s="0" t="s">
        <v>22159</v>
      </c>
      <c r="B64786" s="0" t="str">
        <f aca="false">HYPERLINK("https://lindat.mff.cuni.cz/services/teitok/pdtc10/index.php?action=vallex&amp;frame=v-w8882f2", "zakopat (v-w8882f2)")</f>
        <v>zakopat (v-w8882f2)</v>
      </c>
    </row>
    <row r="64787" customFormat="false" ht="12.8" hidden="false" customHeight="false" outlineLevel="0" collapsed="false">
      <c r="B64787" s="0" t="s">
        <v>7</v>
      </c>
    </row>
    <row r="64788" customFormat="false" ht="12.8" hidden="false" customHeight="false" outlineLevel="0" collapsed="false">
      <c r="B64788" s="0" t="s">
        <v>14</v>
      </c>
    </row>
    <row r="64790" customFormat="false" ht="12.8" hidden="false" customHeight="false" outlineLevel="0" collapsed="false">
      <c r="A64790" s="0" t="s">
        <v>22160</v>
      </c>
      <c r="B64790" s="0" t="str">
        <f aca="false">HYPERLINK("https://lindat.mff.cuni.cz/services/teitok/pdtc10/index.php?action=vallex&amp;frame=v-w8882f3_ZU", "zakopat (v-w8882f3_ZU)")</f>
        <v>zakopat (v-w8882f3_ZU)</v>
      </c>
    </row>
    <row r="64791" customFormat="false" ht="12.8" hidden="false" customHeight="false" outlineLevel="0" collapsed="false">
      <c r="B64791" s="0" t="s">
        <v>7</v>
      </c>
      <c r="C64791" s="0" t="s">
        <v>46</v>
      </c>
    </row>
    <row r="64792" customFormat="false" ht="12.8" hidden="false" customHeight="false" outlineLevel="0" collapsed="false">
      <c r="B64792" s="0" t="s">
        <v>22161</v>
      </c>
      <c r="C64792" s="0" t="s">
        <v>13748</v>
      </c>
    </row>
    <row r="64794" customFormat="false" ht="12.8" hidden="false" customHeight="false" outlineLevel="0" collapsed="false">
      <c r="A64794" s="0" t="s">
        <v>22162</v>
      </c>
      <c r="B64794" s="0" t="str">
        <f aca="false">HYPERLINK("https://lindat.mff.cuni.cz/services/teitok/pdtc10/index.php?action=vallex&amp;frame=v-w8882f4_ZU", "zakopat (v-w8882f4_ZU)")</f>
        <v>zakopat (v-w8882f4_ZU)</v>
      </c>
    </row>
    <row r="64795" customFormat="false" ht="12.8" hidden="false" customHeight="false" outlineLevel="0" collapsed="false">
      <c r="B64795" s="0" t="s">
        <v>7</v>
      </c>
    </row>
    <row r="64796" customFormat="false" ht="12.8" hidden="false" customHeight="false" outlineLevel="0" collapsed="false">
      <c r="B64796" s="0" t="s">
        <v>14</v>
      </c>
    </row>
    <row r="64797" customFormat="false" ht="12.8" hidden="false" customHeight="false" outlineLevel="0" collapsed="false">
      <c r="B64797" s="0" t="s">
        <v>338</v>
      </c>
    </row>
    <row r="64799" customFormat="false" ht="12.8" hidden="false" customHeight="false" outlineLevel="0" collapsed="false">
      <c r="A64799" s="0" t="s">
        <v>22163</v>
      </c>
      <c r="B64799" s="0" t="str">
        <f aca="false">HYPERLINK("https://lindat.mff.cuni.cz/services/teitok/pdtc10/index.php?action=vallex&amp;frame=v-w8883f1", "zakopat se (v-w8883f1)")</f>
        <v>zakopat se (v-w8883f1)</v>
      </c>
    </row>
    <row r="64800" customFormat="false" ht="12.8" hidden="false" customHeight="false" outlineLevel="0" collapsed="false">
      <c r="B64800" s="0" t="s">
        <v>7</v>
      </c>
    </row>
    <row r="64802" customFormat="false" ht="12.8" hidden="false" customHeight="false" outlineLevel="0" collapsed="false">
      <c r="A64802" s="0" t="s">
        <v>22164</v>
      </c>
      <c r="B64802" s="0" t="str">
        <f aca="false">HYPERLINK("https://lindat.mff.cuni.cz/services/teitok/pdtc10/index.php?action=vallex&amp;frame=v-whsa_167hsa_168", "zakopnout (v-whsa_167hsa_168)")</f>
        <v>zakopnout (v-whsa_167hsa_168)</v>
      </c>
    </row>
    <row r="64803" customFormat="false" ht="12.8" hidden="false" customHeight="false" outlineLevel="0" collapsed="false">
      <c r="B64803" s="0" t="s">
        <v>7</v>
      </c>
    </row>
    <row r="64804" customFormat="false" ht="12.8" hidden="false" customHeight="false" outlineLevel="0" collapsed="false">
      <c r="B64804" s="0" t="s">
        <v>2721</v>
      </c>
    </row>
    <row r="64806" customFormat="false" ht="12.8" hidden="false" customHeight="false" outlineLevel="0" collapsed="false">
      <c r="A64806" s="0" t="s">
        <v>22165</v>
      </c>
      <c r="B64806" s="0" t="str">
        <f aca="false">HYPERLINK("https://lindat.mff.cuni.cz/services/teitok/pdtc10/index.php?action=vallex&amp;frame=v-w11008f3_ZU", "zakopávat (v-w11008f3_ZU)")</f>
        <v>zakopávat (v-w11008f3_ZU)</v>
      </c>
    </row>
    <row r="64807" customFormat="false" ht="12.8" hidden="false" customHeight="false" outlineLevel="0" collapsed="false">
      <c r="B64807" s="0" t="s">
        <v>7</v>
      </c>
      <c r="D64807" s="0" t="s">
        <v>569</v>
      </c>
      <c r="E64807" s="0" t="s">
        <v>569</v>
      </c>
      <c r="F64807" s="0" t="s">
        <v>569</v>
      </c>
    </row>
    <row r="64808" customFormat="false" ht="12.8" hidden="false" customHeight="false" outlineLevel="0" collapsed="false">
      <c r="B64808" s="0" t="s">
        <v>14</v>
      </c>
      <c r="C64808" s="0" t="s">
        <v>155</v>
      </c>
      <c r="D64808" s="0" t="s">
        <v>461</v>
      </c>
      <c r="E64808" s="0" t="s">
        <v>461</v>
      </c>
      <c r="F64808" s="0" t="s">
        <v>461</v>
      </c>
    </row>
    <row r="64809" customFormat="false" ht="12.8" hidden="false" customHeight="false" outlineLevel="0" collapsed="false">
      <c r="B64809" s="0" t="s">
        <v>338</v>
      </c>
    </row>
    <row r="64811" customFormat="false" ht="12.8" hidden="false" customHeight="false" outlineLevel="0" collapsed="false">
      <c r="A64811" s="0" t="s">
        <v>22166</v>
      </c>
      <c r="B64811" s="0" t="str">
        <f aca="false">HYPERLINK("https://lindat.mff.cuni.cz/services/teitok/pdtc10/index.php?action=vallex&amp;frame=v-w11008f2", "zakopávat (v-w11008f2)")</f>
        <v>zakopávat (v-w11008f2)</v>
      </c>
    </row>
    <row r="64812" customFormat="false" ht="12.8" hidden="false" customHeight="false" outlineLevel="0" collapsed="false">
      <c r="B64812" s="0" t="s">
        <v>7</v>
      </c>
    </row>
    <row r="64813" customFormat="false" ht="12.8" hidden="false" customHeight="false" outlineLevel="0" collapsed="false">
      <c r="B64813" s="0" t="s">
        <v>615</v>
      </c>
    </row>
    <row r="64815" customFormat="false" ht="12.8" hidden="false" customHeight="false" outlineLevel="0" collapsed="false">
      <c r="A64815" s="0" t="s">
        <v>22167</v>
      </c>
      <c r="B64815" s="0" t="str">
        <f aca="false">HYPERLINK("https://lindat.mff.cuni.cz/services/teitok/pdtc10/index.php?action=vallex&amp;frame=v-w11008f4_MM", "zakopávat (v-w11008f4_MM)")</f>
        <v>zakopávat (v-w11008f4_MM)</v>
      </c>
    </row>
    <row r="64816" customFormat="false" ht="12.8" hidden="false" customHeight="false" outlineLevel="0" collapsed="false">
      <c r="B64816" s="0" t="s">
        <v>7</v>
      </c>
    </row>
    <row r="64817" customFormat="false" ht="12.8" hidden="false" customHeight="false" outlineLevel="0" collapsed="false">
      <c r="B64817" s="0" t="s">
        <v>2721</v>
      </c>
    </row>
    <row r="64819" customFormat="false" ht="12.8" hidden="false" customHeight="false" outlineLevel="0" collapsed="false">
      <c r="A64819" s="0" t="s">
        <v>22168</v>
      </c>
      <c r="B64819" s="0" t="str">
        <f aca="false">HYPERLINK("https://lindat.mff.cuni.cz/services/teitok/pdtc10/index.php?action=vallex&amp;frame=v-w8885f1", "zakotvit (v-w8885f1)")</f>
        <v>zakotvit (v-w8885f1)</v>
      </c>
    </row>
    <row r="64820" customFormat="false" ht="12.8" hidden="false" customHeight="false" outlineLevel="0" collapsed="false">
      <c r="B64820" s="0" t="s">
        <v>7</v>
      </c>
      <c r="C64820" s="0" t="s">
        <v>1999</v>
      </c>
    </row>
    <row r="64821" customFormat="false" ht="12.8" hidden="false" customHeight="false" outlineLevel="0" collapsed="false">
      <c r="B64821" s="0" t="s">
        <v>14</v>
      </c>
      <c r="C64821" s="0" t="s">
        <v>22169</v>
      </c>
    </row>
    <row r="64822" customFormat="false" ht="12.8" hidden="false" customHeight="false" outlineLevel="0" collapsed="false">
      <c r="B64822" s="0" t="s">
        <v>11</v>
      </c>
      <c r="C64822" s="0" t="s">
        <v>10553</v>
      </c>
    </row>
    <row r="64824" customFormat="false" ht="12.8" hidden="false" customHeight="false" outlineLevel="0" collapsed="false">
      <c r="A64824" s="0" t="s">
        <v>22170</v>
      </c>
      <c r="B64824" s="0" t="str">
        <f aca="false">HYPERLINK("https://lindat.mff.cuni.cz/services/teitok/pdtc10/index.php?action=vallex&amp;frame=v-w8885f2", "zakotvit (v-w8885f2)")</f>
        <v>zakotvit (v-w8885f2)</v>
      </c>
    </row>
    <row r="64825" customFormat="false" ht="12.8" hidden="false" customHeight="false" outlineLevel="0" collapsed="false">
      <c r="B64825" s="0" t="s">
        <v>7</v>
      </c>
    </row>
    <row r="64826" customFormat="false" ht="12.8" hidden="false" customHeight="false" outlineLevel="0" collapsed="false">
      <c r="B64826" s="0" t="s">
        <v>54</v>
      </c>
    </row>
    <row r="64827" customFormat="false" ht="12.8" hidden="false" customHeight="false" outlineLevel="0" collapsed="false">
      <c r="B64827" s="0" t="s">
        <v>124</v>
      </c>
    </row>
    <row r="64829" customFormat="false" ht="12.8" hidden="false" customHeight="false" outlineLevel="0" collapsed="false">
      <c r="A64829" s="0" t="s">
        <v>22171</v>
      </c>
      <c r="B64829" s="0" t="str">
        <f aca="false">HYPERLINK("https://lindat.mff.cuni.cz/services/teitok/pdtc10/index.php?action=vallex&amp;frame=v-w8885f3", "zakotvit (v-w8885f3)")</f>
        <v>zakotvit (v-w8885f3)</v>
      </c>
    </row>
    <row r="64830" customFormat="false" ht="12.8" hidden="false" customHeight="false" outlineLevel="0" collapsed="false">
      <c r="B64830" s="0" t="s">
        <v>7</v>
      </c>
    </row>
    <row r="64831" customFormat="false" ht="12.8" hidden="false" customHeight="false" outlineLevel="0" collapsed="false">
      <c r="B64831" s="0" t="s">
        <v>11</v>
      </c>
    </row>
    <row r="64833" customFormat="false" ht="12.8" hidden="false" customHeight="false" outlineLevel="0" collapsed="false">
      <c r="A64833" s="0" t="s">
        <v>22172</v>
      </c>
      <c r="B64833" s="0" t="str">
        <f aca="false">HYPERLINK("https://lindat.mff.cuni.cz/services/teitok/pdtc10/index.php?action=vallex&amp;frame=v-w8886f1", "zakotvovat (v-w8886f1)")</f>
        <v>zakotvovat (v-w8886f1)</v>
      </c>
    </row>
    <row r="64834" customFormat="false" ht="12.8" hidden="false" customHeight="false" outlineLevel="0" collapsed="false">
      <c r="B64834" s="0" t="s">
        <v>7</v>
      </c>
    </row>
    <row r="64835" customFormat="false" ht="12.8" hidden="false" customHeight="false" outlineLevel="0" collapsed="false">
      <c r="B64835" s="0" t="s">
        <v>14</v>
      </c>
    </row>
    <row r="64836" customFormat="false" ht="12.8" hidden="false" customHeight="false" outlineLevel="0" collapsed="false">
      <c r="B64836" s="0" t="s">
        <v>11</v>
      </c>
    </row>
    <row r="64838" customFormat="false" ht="12.8" hidden="false" customHeight="false" outlineLevel="0" collapsed="false">
      <c r="A64838" s="0" t="s">
        <v>22173</v>
      </c>
      <c r="B64838" s="0" t="str">
        <f aca="false">HYPERLINK("https://lindat.mff.cuni.cz/services/teitok/pdtc10/index.php?action=vallex&amp;frame=v-w8886f2", "zakotvovat (v-w8886f2)")</f>
        <v>zakotvovat (v-w8886f2)</v>
      </c>
    </row>
    <row r="64839" customFormat="false" ht="12.8" hidden="false" customHeight="false" outlineLevel="0" collapsed="false">
      <c r="B64839" s="0" t="s">
        <v>7</v>
      </c>
    </row>
    <row r="64840" customFormat="false" ht="12.8" hidden="false" customHeight="false" outlineLevel="0" collapsed="false">
      <c r="B64840" s="0" t="s">
        <v>14</v>
      </c>
    </row>
    <row r="64841" customFormat="false" ht="12.8" hidden="false" customHeight="false" outlineLevel="0" collapsed="false">
      <c r="B64841" s="0" t="s">
        <v>124</v>
      </c>
    </row>
    <row r="64843" customFormat="false" ht="12.8" hidden="false" customHeight="false" outlineLevel="0" collapsed="false">
      <c r="A64843" s="0" t="s">
        <v>22174</v>
      </c>
      <c r="B64843" s="0" t="str">
        <f aca="false">HYPERLINK("https://lindat.mff.cuni.cz/services/teitok/pdtc10/index.php?action=vallex&amp;frame=v-w8886f3_ZU", "zakotvovat (v-w8886f3_ZU)")</f>
        <v>zakotvovat (v-w8886f3_ZU)</v>
      </c>
    </row>
    <row r="64844" customFormat="false" ht="12.8" hidden="false" customHeight="false" outlineLevel="0" collapsed="false">
      <c r="B64844" s="0" t="s">
        <v>7</v>
      </c>
      <c r="C64844" s="0" t="s">
        <v>396</v>
      </c>
    </row>
    <row r="64845" customFormat="false" ht="12.8" hidden="false" customHeight="false" outlineLevel="0" collapsed="false">
      <c r="B64845" s="0" t="s">
        <v>1059</v>
      </c>
      <c r="C64845" s="0" t="s">
        <v>22175</v>
      </c>
    </row>
    <row r="64847" customFormat="false" ht="12.8" hidden="false" customHeight="false" outlineLevel="0" collapsed="false">
      <c r="A64847" s="0" t="s">
        <v>22176</v>
      </c>
      <c r="B64847" s="0" t="str">
        <f aca="false">HYPERLINK("https://lindat.mff.cuni.cz/services/teitok/pdtc10/index.php?action=vallex&amp;frame=v-w8888f1", "zakoukat se (v-w8888f1)")</f>
        <v>zakoukat se (v-w8888f1)</v>
      </c>
    </row>
    <row r="64848" customFormat="false" ht="12.8" hidden="false" customHeight="false" outlineLevel="0" collapsed="false">
      <c r="B64848" s="0" t="s">
        <v>7</v>
      </c>
    </row>
    <row r="64849" customFormat="false" ht="12.8" hidden="false" customHeight="false" outlineLevel="0" collapsed="false">
      <c r="B64849" s="0" t="s">
        <v>985</v>
      </c>
    </row>
    <row r="64851" customFormat="false" ht="12.8" hidden="false" customHeight="false" outlineLevel="0" collapsed="false">
      <c r="A64851" s="0" t="s">
        <v>22177</v>
      </c>
      <c r="B64851" s="0" t="str">
        <f aca="false">HYPERLINK("https://lindat.mff.cuni.cz/services/teitok/pdtc10/index.php?action=vallex&amp;frame=v-w8888f2", "zakoukat se (v-w8888f2)")</f>
        <v>zakoukat se (v-w8888f2)</v>
      </c>
    </row>
    <row r="64852" customFormat="false" ht="12.8" hidden="false" customHeight="false" outlineLevel="0" collapsed="false">
      <c r="B64852" s="0" t="s">
        <v>7</v>
      </c>
    </row>
    <row r="64853" customFormat="false" ht="12.8" hidden="false" customHeight="false" outlineLevel="0" collapsed="false">
      <c r="B64853" s="0" t="s">
        <v>124</v>
      </c>
    </row>
    <row r="64855" customFormat="false" ht="12.8" hidden="false" customHeight="false" outlineLevel="0" collapsed="false">
      <c r="A64855" s="0" t="s">
        <v>22178</v>
      </c>
      <c r="B64855" s="0" t="str">
        <f aca="false">HYPERLINK("https://lindat.mff.cuni.cz/services/teitok/pdtc10/index.php?action=vallex&amp;frame=v-w8891f1", "zakoupit (v-w8891f1)")</f>
        <v>zakoupit (v-w8891f1)</v>
      </c>
    </row>
    <row r="64856" customFormat="false" ht="12.8" hidden="false" customHeight="false" outlineLevel="0" collapsed="false">
      <c r="B64856" s="0" t="s">
        <v>7</v>
      </c>
      <c r="C64856" s="0" t="s">
        <v>22179</v>
      </c>
      <c r="D64856" s="0" t="s">
        <v>4927</v>
      </c>
      <c r="E64856" s="0" t="s">
        <v>4927</v>
      </c>
      <c r="F64856" s="0" t="s">
        <v>4927</v>
      </c>
    </row>
    <row r="64857" customFormat="false" ht="12.8" hidden="false" customHeight="false" outlineLevel="0" collapsed="false">
      <c r="B64857" s="0" t="s">
        <v>14</v>
      </c>
      <c r="C64857" s="0" t="s">
        <v>22180</v>
      </c>
      <c r="D64857" s="0" t="s">
        <v>4929</v>
      </c>
      <c r="E64857" s="0" t="s">
        <v>4929</v>
      </c>
      <c r="F64857" s="0" t="s">
        <v>4929</v>
      </c>
    </row>
    <row r="64858" customFormat="false" ht="12.8" hidden="false" customHeight="false" outlineLevel="0" collapsed="false">
      <c r="B64858" s="0" t="s">
        <v>1953</v>
      </c>
      <c r="C64858" s="0" t="s">
        <v>4930</v>
      </c>
      <c r="D64858" s="0" t="s">
        <v>4930</v>
      </c>
      <c r="E64858" s="0" t="s">
        <v>4930</v>
      </c>
      <c r="F64858" s="0" t="s">
        <v>4930</v>
      </c>
    </row>
    <row r="64859" customFormat="false" ht="12.8" hidden="false" customHeight="false" outlineLevel="0" collapsed="false">
      <c r="B64859" s="0" t="s">
        <v>441</v>
      </c>
      <c r="C64859" s="0" t="s">
        <v>22181</v>
      </c>
      <c r="D64859" s="0" t="s">
        <v>4932</v>
      </c>
      <c r="E64859" s="0" t="s">
        <v>4932</v>
      </c>
      <c r="F64859" s="0" t="s">
        <v>4932</v>
      </c>
    </row>
    <row r="64861" customFormat="false" ht="12.8" hidden="false" customHeight="false" outlineLevel="0" collapsed="false">
      <c r="A64861" s="0" t="s">
        <v>22182</v>
      </c>
      <c r="B64861" s="0" t="str">
        <f aca="false">HYPERLINK("https://lindat.mff.cuni.cz/services/teitok/pdtc10/index.php?action=vallex&amp;frame=v-w11978_ZUf1_ZU", "zakousnout (v-w11978_ZUf1_ZU)")</f>
        <v>zakousnout (v-w11978_ZUf1_ZU)</v>
      </c>
    </row>
    <row r="64862" customFormat="false" ht="12.8" hidden="false" customHeight="false" outlineLevel="0" collapsed="false">
      <c r="B64862" s="0" t="s">
        <v>7</v>
      </c>
    </row>
    <row r="64863" customFormat="false" ht="12.8" hidden="false" customHeight="false" outlineLevel="0" collapsed="false">
      <c r="B64863" s="0" t="s">
        <v>14</v>
      </c>
    </row>
    <row r="64865" customFormat="false" ht="12.8" hidden="false" customHeight="false" outlineLevel="0" collapsed="false">
      <c r="A64865" s="0" t="s">
        <v>22183</v>
      </c>
      <c r="B64865" s="0" t="str">
        <f aca="false">HYPERLINK("https://lindat.mff.cuni.cz/services/teitok/pdtc10/index.php?action=vallex&amp;frame=v-w8892f1", "zakousnout se (v-w8892f1)")</f>
        <v>zakousnout se (v-w8892f1)</v>
      </c>
    </row>
    <row r="64866" customFormat="false" ht="12.8" hidden="false" customHeight="false" outlineLevel="0" collapsed="false">
      <c r="B64866" s="0" t="s">
        <v>7</v>
      </c>
    </row>
    <row r="64867" customFormat="false" ht="12.8" hidden="false" customHeight="false" outlineLevel="0" collapsed="false">
      <c r="B64867" s="0" t="s">
        <v>985</v>
      </c>
    </row>
    <row r="64869" customFormat="false" ht="12.8" hidden="false" customHeight="false" outlineLevel="0" collapsed="false">
      <c r="A64869" s="0" t="s">
        <v>22184</v>
      </c>
      <c r="B64869" s="0" t="str">
        <f aca="false">HYPERLINK("https://lindat.mff.cuni.cz/services/teitok/pdtc10/index.php?action=vallex&amp;frame=v-w8892f2", "zakousnout se (v-w8892f2)")</f>
        <v>zakousnout se (v-w8892f2)</v>
      </c>
    </row>
    <row r="64870" customFormat="false" ht="12.8" hidden="false" customHeight="false" outlineLevel="0" collapsed="false">
      <c r="B64870" s="0" t="s">
        <v>7</v>
      </c>
      <c r="C64870" s="0" t="s">
        <v>191</v>
      </c>
    </row>
    <row r="64871" customFormat="false" ht="12.8" hidden="false" customHeight="false" outlineLevel="0" collapsed="false">
      <c r="B64871" s="0" t="s">
        <v>124</v>
      </c>
      <c r="C64871" s="0" t="s">
        <v>4440</v>
      </c>
    </row>
    <row r="64873" customFormat="false" ht="12.8" hidden="false" customHeight="false" outlineLevel="0" collapsed="false">
      <c r="A64873" s="0" t="s">
        <v>22185</v>
      </c>
      <c r="B64873" s="0" t="str">
        <f aca="false">HYPERLINK("https://lindat.mff.cuni.cz/services/teitok/pdtc10/index.php?action=vallex&amp;frame=v-whsa_832hsa_833", "zakouřit si (v-whsa_832hsa_833)")</f>
        <v>zakouřit si (v-whsa_832hsa_833)</v>
      </c>
    </row>
    <row r="64874" customFormat="false" ht="12.8" hidden="false" customHeight="false" outlineLevel="0" collapsed="false">
      <c r="B64874" s="0" t="s">
        <v>7</v>
      </c>
      <c r="C64874" s="0" t="s">
        <v>1286</v>
      </c>
    </row>
    <row r="64875" customFormat="false" ht="12.8" hidden="false" customHeight="false" outlineLevel="0" collapsed="false">
      <c r="B64875" s="0" t="s">
        <v>14</v>
      </c>
      <c r="C64875" s="0" t="s">
        <v>1288</v>
      </c>
    </row>
    <row r="64877" customFormat="false" ht="12.8" hidden="false" customHeight="false" outlineLevel="0" collapsed="false">
      <c r="A64877" s="0" t="s">
        <v>22186</v>
      </c>
      <c r="B64877" s="0" t="str">
        <f aca="false">HYPERLINK("https://lindat.mff.cuni.cz/services/teitok/pdtc10/index.php?action=vallex&amp;frame=v-whsa_1639hsa_1640", "zakoušet (v-whsa_1639hsa_1640)")</f>
        <v>zakoušet (v-whsa_1639hsa_1640)</v>
      </c>
    </row>
    <row r="64878" customFormat="false" ht="12.8" hidden="false" customHeight="false" outlineLevel="0" collapsed="false">
      <c r="B64878" s="0" t="s">
        <v>7</v>
      </c>
    </row>
    <row r="64879" customFormat="false" ht="12.8" hidden="false" customHeight="false" outlineLevel="0" collapsed="false">
      <c r="B64879" s="0" t="s">
        <v>14</v>
      </c>
    </row>
    <row r="64881" customFormat="false" ht="12.8" hidden="false" customHeight="false" outlineLevel="0" collapsed="false">
      <c r="A64881" s="0" t="s">
        <v>22187</v>
      </c>
      <c r="B64881" s="0" t="str">
        <f aca="false">HYPERLINK("https://lindat.mff.cuni.cz/services/teitok/pdtc10/index.php?action=vallex&amp;frame=v-w10698f3", "zakořenit (v-w10698f3)")</f>
        <v>zakořenit (v-w10698f3)</v>
      </c>
    </row>
    <row r="64882" customFormat="false" ht="12.8" hidden="false" customHeight="false" outlineLevel="0" collapsed="false">
      <c r="B64882" s="0" t="s">
        <v>7</v>
      </c>
    </row>
    <row r="64883" customFormat="false" ht="12.8" hidden="false" customHeight="false" outlineLevel="0" collapsed="false">
      <c r="B64883" s="0" t="s">
        <v>11</v>
      </c>
    </row>
    <row r="64885" customFormat="false" ht="12.8" hidden="false" customHeight="false" outlineLevel="0" collapsed="false">
      <c r="A64885" s="0" t="s">
        <v>22188</v>
      </c>
      <c r="B64885" s="0" t="str">
        <f aca="false">HYPERLINK("https://lindat.mff.cuni.cz/services/teitok/pdtc10/index.php?action=vallex&amp;frame=v-w10222f2", "zakrajovat (v-w10222f2)")</f>
        <v>zakrajovat (v-w10222f2)</v>
      </c>
    </row>
    <row r="64886" customFormat="false" ht="12.8" hidden="false" customHeight="false" outlineLevel="0" collapsed="false">
      <c r="B64886" s="0" t="s">
        <v>7</v>
      </c>
    </row>
    <row r="64887" customFormat="false" ht="12.8" hidden="false" customHeight="false" outlineLevel="0" collapsed="false">
      <c r="B64887" s="0" t="s">
        <v>124</v>
      </c>
    </row>
    <row r="64889" customFormat="false" ht="12.8" hidden="false" customHeight="false" outlineLevel="0" collapsed="false">
      <c r="A64889" s="0" t="s">
        <v>22189</v>
      </c>
      <c r="B64889" s="0" t="str">
        <f aca="false">HYPERLINK("https://lindat.mff.cuni.cz/services/teitok/pdtc10/index.php?action=vallex&amp;frame=v-w12361_MMf1_MM", "zakreslit (v-w12361_MMf1_MM)")</f>
        <v>zakreslit (v-w12361_MMf1_MM)</v>
      </c>
    </row>
    <row r="64890" customFormat="false" ht="12.8" hidden="false" customHeight="false" outlineLevel="0" collapsed="false">
      <c r="B64890" s="0" t="s">
        <v>7</v>
      </c>
    </row>
    <row r="64891" customFormat="false" ht="12.8" hidden="false" customHeight="false" outlineLevel="0" collapsed="false">
      <c r="B64891" s="0" t="s">
        <v>14</v>
      </c>
    </row>
    <row r="64893" customFormat="false" ht="12.8" hidden="false" customHeight="false" outlineLevel="0" collapsed="false">
      <c r="A64893" s="0" t="s">
        <v>22190</v>
      </c>
      <c r="B64893" s="0" t="str">
        <f aca="false">HYPERLINK("https://lindat.mff.cuni.cz/services/teitok/pdtc10/index.php?action=vallex&amp;frame=v-whsa_893hsa_894", "zakreslovat (v-whsa_893hsa_894)")</f>
        <v>zakreslovat (v-whsa_893hsa_894)</v>
      </c>
    </row>
    <row r="64894" customFormat="false" ht="12.8" hidden="false" customHeight="false" outlineLevel="0" collapsed="false">
      <c r="B64894" s="0" t="s">
        <v>7</v>
      </c>
    </row>
    <row r="64895" customFormat="false" ht="12.8" hidden="false" customHeight="false" outlineLevel="0" collapsed="false">
      <c r="B64895" s="0" t="s">
        <v>14</v>
      </c>
    </row>
    <row r="64896" customFormat="false" ht="12.8" hidden="false" customHeight="false" outlineLevel="0" collapsed="false">
      <c r="B64896" s="0" t="s">
        <v>124</v>
      </c>
    </row>
    <row r="64898" customFormat="false" ht="12.8" hidden="false" customHeight="false" outlineLevel="0" collapsed="false">
      <c r="A64898" s="0" t="s">
        <v>22191</v>
      </c>
      <c r="B64898" s="0" t="str">
        <f aca="false">HYPERLINK("https://lindat.mff.cuni.cz/services/teitok/pdtc10/index.php?action=vallex&amp;frame=v-w8893f1", "zakrnět (v-w8893f1)")</f>
        <v>zakrnět (v-w8893f1)</v>
      </c>
    </row>
    <row r="64899" customFormat="false" ht="12.8" hidden="false" customHeight="false" outlineLevel="0" collapsed="false">
      <c r="B64899" s="0" t="s">
        <v>7</v>
      </c>
    </row>
    <row r="64901" customFormat="false" ht="12.8" hidden="false" customHeight="false" outlineLevel="0" collapsed="false">
      <c r="A64901" s="0" t="s">
        <v>22192</v>
      </c>
      <c r="B64901" s="0" t="str">
        <f aca="false">HYPERLINK("https://lindat.mff.cuni.cz/services/teitok/pdtc10/index.php?action=vallex&amp;frame=v-w12187_ZUf1_ZU", "zakroutit (v-w12187_ZUf1_ZU)")</f>
        <v>zakroutit (v-w12187_ZUf1_ZU)</v>
      </c>
    </row>
    <row r="64902" customFormat="false" ht="12.8" hidden="false" customHeight="false" outlineLevel="0" collapsed="false">
      <c r="B64902" s="0" t="s">
        <v>7</v>
      </c>
    </row>
    <row r="64903" customFormat="false" ht="12.8" hidden="false" customHeight="false" outlineLevel="0" collapsed="false">
      <c r="B64903" s="0" t="s">
        <v>11915</v>
      </c>
    </row>
    <row r="64904" customFormat="false" ht="12.8" hidden="false" customHeight="false" outlineLevel="0" collapsed="false">
      <c r="B64904" s="0" t="s">
        <v>223</v>
      </c>
    </row>
    <row r="64906" customFormat="false" ht="12.8" hidden="false" customHeight="false" outlineLevel="0" collapsed="false">
      <c r="A64906" s="0" t="s">
        <v>22193</v>
      </c>
      <c r="B64906" s="0" t="str">
        <f aca="false">HYPERLINK("https://lindat.mff.cuni.cz/services/teitok/pdtc10/index.php?action=vallex&amp;frame=v-w8894f1", "zakročit (v-w8894f1)")</f>
        <v>zakročit (v-w8894f1)</v>
      </c>
    </row>
    <row r="64907" customFormat="false" ht="12.8" hidden="false" customHeight="false" outlineLevel="0" collapsed="false">
      <c r="B64907" s="0" t="s">
        <v>7</v>
      </c>
      <c r="C64907" s="0" t="s">
        <v>22194</v>
      </c>
      <c r="D64907" s="0" t="s">
        <v>22195</v>
      </c>
      <c r="E64907" s="0" t="s">
        <v>22195</v>
      </c>
      <c r="F64907" s="0" t="s">
        <v>22195</v>
      </c>
    </row>
    <row r="64908" customFormat="false" ht="12.8" hidden="false" customHeight="false" outlineLevel="0" collapsed="false">
      <c r="B64908" s="0" t="s">
        <v>22196</v>
      </c>
      <c r="C64908" s="0" t="s">
        <v>22197</v>
      </c>
      <c r="D64908" s="0" t="s">
        <v>2641</v>
      </c>
      <c r="E64908" s="0" t="s">
        <v>2641</v>
      </c>
      <c r="F64908" s="0" t="s">
        <v>2641</v>
      </c>
    </row>
    <row r="64910" customFormat="false" ht="12.8" hidden="false" customHeight="false" outlineLevel="0" collapsed="false">
      <c r="A64910" s="0" t="s">
        <v>22198</v>
      </c>
      <c r="B64910" s="0" t="str">
        <f aca="false">HYPERLINK("https://lindat.mff.cuni.cz/services/teitok/pdtc10/index.php?action=vallex&amp;frame=v-w8895f1", "zakročovat (v-w8895f1)")</f>
        <v>zakročovat (v-w8895f1)</v>
      </c>
    </row>
    <row r="64911" customFormat="false" ht="12.8" hidden="false" customHeight="false" outlineLevel="0" collapsed="false">
      <c r="B64911" s="0" t="s">
        <v>7</v>
      </c>
      <c r="D64911" s="0" t="s">
        <v>22195</v>
      </c>
      <c r="E64911" s="0" t="s">
        <v>22195</v>
      </c>
      <c r="F64911" s="0" t="s">
        <v>22195</v>
      </c>
    </row>
    <row r="64912" customFormat="false" ht="12.8" hidden="false" customHeight="false" outlineLevel="0" collapsed="false">
      <c r="B64912" s="0" t="s">
        <v>22196</v>
      </c>
      <c r="D64912" s="0" t="s">
        <v>2641</v>
      </c>
      <c r="E64912" s="0" t="s">
        <v>2641</v>
      </c>
      <c r="F64912" s="0" t="s">
        <v>2641</v>
      </c>
    </row>
    <row r="64914" customFormat="false" ht="12.8" hidden="false" customHeight="false" outlineLevel="0" collapsed="false">
      <c r="A64914" s="0" t="s">
        <v>22199</v>
      </c>
      <c r="B64914" s="0" t="str">
        <f aca="false">HYPERLINK("https://lindat.mff.cuni.cz/services/teitok/pdtc10/index.php?action=vallex&amp;frame=v-w8897f1", "zakrýt (v-w8897f1)")</f>
        <v>zakrýt (v-w8897f1)</v>
      </c>
    </row>
    <row r="64915" customFormat="false" ht="12.8" hidden="false" customHeight="false" outlineLevel="0" collapsed="false">
      <c r="B64915" s="0" t="s">
        <v>7</v>
      </c>
      <c r="C64915" s="0" t="s">
        <v>22200</v>
      </c>
      <c r="D64915" s="0" t="s">
        <v>4999</v>
      </c>
      <c r="E64915" s="0" t="s">
        <v>4999</v>
      </c>
      <c r="F64915" s="0" t="s">
        <v>4999</v>
      </c>
    </row>
    <row r="64916" customFormat="false" ht="12.8" hidden="false" customHeight="false" outlineLevel="0" collapsed="false">
      <c r="B64916" s="0" t="s">
        <v>172</v>
      </c>
      <c r="C64916" s="0" t="s">
        <v>1315</v>
      </c>
      <c r="D64916" s="0" t="s">
        <v>5000</v>
      </c>
      <c r="E64916" s="0" t="s">
        <v>5000</v>
      </c>
      <c r="F64916" s="0" t="s">
        <v>5000</v>
      </c>
    </row>
    <row r="64917" customFormat="false" ht="12.8" hidden="false" customHeight="false" outlineLevel="0" collapsed="false">
      <c r="B64917" s="0" t="s">
        <v>293</v>
      </c>
      <c r="D64917" s="0" t="s">
        <v>5001</v>
      </c>
      <c r="E64917" s="0" t="s">
        <v>5001</v>
      </c>
      <c r="F64917" s="0" t="s">
        <v>5001</v>
      </c>
    </row>
    <row r="64919" customFormat="false" ht="12.8" hidden="false" customHeight="false" outlineLevel="0" collapsed="false">
      <c r="A64919" s="0" t="s">
        <v>22201</v>
      </c>
      <c r="B64919" s="0" t="str">
        <f aca="false">HYPERLINK("https://lindat.mff.cuni.cz/services/teitok/pdtc10/index.php?action=vallex&amp;frame=v-w8897f2_ZU", "zakrýt (v-w8897f2_ZU)")</f>
        <v>zakrýt (v-w8897f2_ZU)</v>
      </c>
    </row>
    <row r="64920" customFormat="false" ht="12.8" hidden="false" customHeight="false" outlineLevel="0" collapsed="false">
      <c r="B64920" s="0" t="s">
        <v>7</v>
      </c>
      <c r="C64920" s="0" t="s">
        <v>335</v>
      </c>
    </row>
    <row r="64921" customFormat="false" ht="12.8" hidden="false" customHeight="false" outlineLevel="0" collapsed="false">
      <c r="B64921" s="0" t="s">
        <v>14</v>
      </c>
      <c r="C64921" s="0" t="s">
        <v>567</v>
      </c>
    </row>
    <row r="64923" customFormat="false" ht="12.8" hidden="false" customHeight="false" outlineLevel="0" collapsed="false">
      <c r="A64923" s="0" t="s">
        <v>22201</v>
      </c>
      <c r="B64923" s="0" t="str">
        <f aca="false">HYPERLINK("https://lindat.mff.cuni.cz/services/teitok/pdtc10/index.php?action=vallex&amp;frame=v-w8897hsa_1312", "zakrýt (v-w8897hsa_1312) - substituted with v-w8897f2_ZU")</f>
        <v>zakrýt (v-w8897hsa_1312) - substituted with v-w8897f2_ZU</v>
      </c>
    </row>
    <row r="64924" customFormat="false" ht="12.8" hidden="false" customHeight="false" outlineLevel="0" collapsed="false">
      <c r="B64924" s="0" t="s">
        <v>7</v>
      </c>
    </row>
    <row r="64925" customFormat="false" ht="12.8" hidden="false" customHeight="false" outlineLevel="0" collapsed="false">
      <c r="B64925" s="0" t="s">
        <v>14</v>
      </c>
    </row>
    <row r="64927" customFormat="false" ht="12.8" hidden="false" customHeight="false" outlineLevel="0" collapsed="false">
      <c r="A64927" s="0" t="s">
        <v>22202</v>
      </c>
      <c r="B64927" s="0" t="str">
        <f aca="false">HYPERLINK("https://lindat.mff.cuni.cz/services/teitok/pdtc10/index.php?action=vallex&amp;frame=v-w8900f1", "zakrývat (v-w8900f1)")</f>
        <v>zakrývat (v-w8900f1)</v>
      </c>
    </row>
    <row r="64928" customFormat="false" ht="12.8" hidden="false" customHeight="false" outlineLevel="0" collapsed="false">
      <c r="B64928" s="0" t="s">
        <v>7</v>
      </c>
      <c r="C64928" s="0" t="s">
        <v>113</v>
      </c>
      <c r="D64928" s="0" t="s">
        <v>4999</v>
      </c>
      <c r="E64928" s="0" t="s">
        <v>4999</v>
      </c>
      <c r="F64928" s="0" t="s">
        <v>4999</v>
      </c>
    </row>
    <row r="64929" customFormat="false" ht="12.8" hidden="false" customHeight="false" outlineLevel="0" collapsed="false">
      <c r="B64929" s="0" t="s">
        <v>172</v>
      </c>
      <c r="C64929" s="0" t="s">
        <v>487</v>
      </c>
      <c r="D64929" s="0" t="s">
        <v>5000</v>
      </c>
      <c r="E64929" s="0" t="s">
        <v>5000</v>
      </c>
      <c r="F64929" s="0" t="s">
        <v>5000</v>
      </c>
    </row>
    <row r="64930" customFormat="false" ht="12.8" hidden="false" customHeight="false" outlineLevel="0" collapsed="false">
      <c r="B64930" s="0" t="s">
        <v>3743</v>
      </c>
      <c r="D64930" s="0" t="s">
        <v>5001</v>
      </c>
      <c r="E64930" s="0" t="s">
        <v>5001</v>
      </c>
      <c r="F64930" s="0" t="s">
        <v>5001</v>
      </c>
    </row>
    <row r="64932" customFormat="false" ht="12.8" hidden="false" customHeight="false" outlineLevel="0" collapsed="false">
      <c r="A64932" s="0" t="s">
        <v>22203</v>
      </c>
      <c r="B64932" s="0" t="str">
        <f aca="false">HYPERLINK("https://lindat.mff.cuni.cz/services/teitok/pdtc10/index.php?action=vallex&amp;frame=v-w8900f2_ZU", "zakrývat (v-w8900f2_ZU)")</f>
        <v>zakrývat (v-w8900f2_ZU)</v>
      </c>
    </row>
    <row r="64933" customFormat="false" ht="12.8" hidden="false" customHeight="false" outlineLevel="0" collapsed="false">
      <c r="B64933" s="0" t="s">
        <v>7</v>
      </c>
    </row>
    <row r="64934" customFormat="false" ht="12.8" hidden="false" customHeight="false" outlineLevel="0" collapsed="false">
      <c r="B64934" s="0" t="s">
        <v>14</v>
      </c>
    </row>
    <row r="64935" customFormat="false" ht="12.8" hidden="false" customHeight="false" outlineLevel="0" collapsed="false">
      <c r="B64935" s="0" t="s">
        <v>3743</v>
      </c>
    </row>
    <row r="64937" customFormat="false" ht="12.8" hidden="false" customHeight="false" outlineLevel="0" collapsed="false">
      <c r="A64937" s="0" t="s">
        <v>22204</v>
      </c>
      <c r="B64937" s="0" t="str">
        <f aca="false">HYPERLINK("https://lindat.mff.cuni.cz/services/teitok/pdtc10/index.php?action=vallex&amp;frame=v-w8903f1", "zaktivizovat (v-w8903f1)")</f>
        <v>zaktivizovat (v-w8903f1)</v>
      </c>
    </row>
    <row r="64938" customFormat="false" ht="12.8" hidden="false" customHeight="false" outlineLevel="0" collapsed="false">
      <c r="B64938" s="0" t="s">
        <v>7</v>
      </c>
    </row>
    <row r="64939" customFormat="false" ht="12.8" hidden="false" customHeight="false" outlineLevel="0" collapsed="false">
      <c r="B64939" s="0" t="s">
        <v>14</v>
      </c>
    </row>
    <row r="64941" customFormat="false" ht="12.8" hidden="false" customHeight="false" outlineLevel="0" collapsed="false">
      <c r="A64941" s="0" t="s">
        <v>22205</v>
      </c>
      <c r="B64941" s="0" t="str">
        <f aca="false">HYPERLINK("https://lindat.mff.cuni.cz/services/teitok/pdtc10/index.php?action=vallex&amp;frame=v-w11636_ZUf1_ZU", "zaktivovat (v-w11636_ZUf1_ZU)")</f>
        <v>zaktivovat (v-w11636_ZUf1_ZU)</v>
      </c>
    </row>
    <row r="64942" customFormat="false" ht="12.8" hidden="false" customHeight="false" outlineLevel="0" collapsed="false">
      <c r="B64942" s="0" t="s">
        <v>7</v>
      </c>
      <c r="C64942" s="0" t="s">
        <v>1263</v>
      </c>
    </row>
    <row r="64943" customFormat="false" ht="12.8" hidden="false" customHeight="false" outlineLevel="0" collapsed="false">
      <c r="B64943" s="0" t="s">
        <v>14</v>
      </c>
      <c r="C64943" s="0" t="s">
        <v>1289</v>
      </c>
    </row>
    <row r="64945" customFormat="false" ht="12.8" hidden="false" customHeight="false" outlineLevel="0" collapsed="false">
      <c r="A64945" s="0" t="s">
        <v>22206</v>
      </c>
      <c r="B64945" s="0" t="str">
        <f aca="false">HYPERLINK("https://lindat.mff.cuni.cz/services/teitok/pdtc10/index.php?action=vallex&amp;frame=v-w8905f1", "zaktualizovat (v-w8905f1)")</f>
        <v>zaktualizovat (v-w8905f1)</v>
      </c>
    </row>
    <row r="64946" customFormat="false" ht="12.8" hidden="false" customHeight="false" outlineLevel="0" collapsed="false">
      <c r="B64946" s="0" t="s">
        <v>7</v>
      </c>
    </row>
    <row r="64947" customFormat="false" ht="12.8" hidden="false" customHeight="false" outlineLevel="0" collapsed="false">
      <c r="B64947" s="0" t="s">
        <v>14</v>
      </c>
    </row>
    <row r="64949" customFormat="false" ht="12.8" hidden="false" customHeight="false" outlineLevel="0" collapsed="false">
      <c r="A64949" s="0" t="s">
        <v>22207</v>
      </c>
      <c r="B64949" s="0" t="str">
        <f aca="false">HYPERLINK("https://lindat.mff.cuni.cz/services/teitok/pdtc10/index.php?action=vallex&amp;frame=v-whsa_735hsa_736", "zakuplovat (v-whsa_735hsa_736)")</f>
        <v>zakuplovat (v-whsa_735hsa_736)</v>
      </c>
    </row>
    <row r="64950" customFormat="false" ht="12.8" hidden="false" customHeight="false" outlineLevel="0" collapsed="false">
      <c r="B64950" s="0" t="s">
        <v>7</v>
      </c>
    </row>
    <row r="64951" customFormat="false" ht="12.8" hidden="false" customHeight="false" outlineLevel="0" collapsed="false">
      <c r="B64951" s="0" t="s">
        <v>14</v>
      </c>
    </row>
    <row r="64953" customFormat="false" ht="12.8" hidden="false" customHeight="false" outlineLevel="0" collapsed="false">
      <c r="A64953" s="0" t="s">
        <v>22208</v>
      </c>
      <c r="B64953" s="0" t="str">
        <f aca="false">HYPERLINK("https://lindat.mff.cuni.cz/services/teitok/pdtc10/index.php?action=vallex&amp;frame=v-w10183f2", "zakusit (v-w10183f2)")</f>
        <v>zakusit (v-w10183f2)</v>
      </c>
    </row>
    <row r="64954" customFormat="false" ht="12.8" hidden="false" customHeight="false" outlineLevel="0" collapsed="false">
      <c r="B64954" s="0" t="s">
        <v>7</v>
      </c>
      <c r="C64954" s="0" t="s">
        <v>22209</v>
      </c>
      <c r="D64954" s="0" t="s">
        <v>10078</v>
      </c>
      <c r="E64954" s="0" t="s">
        <v>10078</v>
      </c>
      <c r="F64954" s="0" t="s">
        <v>10078</v>
      </c>
    </row>
    <row r="64955" customFormat="false" ht="12.8" hidden="false" customHeight="false" outlineLevel="0" collapsed="false">
      <c r="B64955" s="0" t="s">
        <v>6839</v>
      </c>
      <c r="C64955" s="0" t="s">
        <v>2182</v>
      </c>
      <c r="D64955" s="0" t="s">
        <v>10080</v>
      </c>
      <c r="E64955" s="0" t="s">
        <v>10080</v>
      </c>
      <c r="F64955" s="0" t="s">
        <v>10080</v>
      </c>
    </row>
    <row r="64957" customFormat="false" ht="12.8" hidden="false" customHeight="false" outlineLevel="0" collapsed="false">
      <c r="A64957" s="0" t="s">
        <v>22210</v>
      </c>
      <c r="B64957" s="0" t="str">
        <f aca="false">HYPERLINK("https://lindat.mff.cuni.cz/services/teitok/pdtc10/index.php?action=vallex&amp;frame=v-w8906f2", "zakusovat se (v-w8906f2)")</f>
        <v>zakusovat se (v-w8906f2)</v>
      </c>
    </row>
    <row r="64958" customFormat="false" ht="12.8" hidden="false" customHeight="false" outlineLevel="0" collapsed="false">
      <c r="B64958" s="0" t="s">
        <v>7</v>
      </c>
    </row>
    <row r="64959" customFormat="false" ht="12.8" hidden="false" customHeight="false" outlineLevel="0" collapsed="false">
      <c r="B64959" s="0" t="s">
        <v>985</v>
      </c>
    </row>
    <row r="64961" customFormat="false" ht="12.8" hidden="false" customHeight="false" outlineLevel="0" collapsed="false">
      <c r="A64961" s="0" t="s">
        <v>22211</v>
      </c>
      <c r="B64961" s="0" t="str">
        <f aca="false">HYPERLINK("https://lindat.mff.cuni.cz/services/teitok/pdtc10/index.php?action=vallex&amp;frame=v-w8906f1", "zakusovat se (v-w8906f1)")</f>
        <v>zakusovat se (v-w8906f1)</v>
      </c>
    </row>
    <row r="64962" customFormat="false" ht="12.8" hidden="false" customHeight="false" outlineLevel="0" collapsed="false">
      <c r="B64962" s="0" t="s">
        <v>7</v>
      </c>
    </row>
    <row r="64963" customFormat="false" ht="12.8" hidden="false" customHeight="false" outlineLevel="0" collapsed="false">
      <c r="B64963" s="0" t="s">
        <v>124</v>
      </c>
    </row>
    <row r="64965" customFormat="false" ht="12.8" hidden="false" customHeight="false" outlineLevel="0" collapsed="false">
      <c r="A64965" s="0" t="s">
        <v>22212</v>
      </c>
      <c r="B64965" s="0" t="str">
        <f aca="false">HYPERLINK("https://lindat.mff.cuni.cz/services/teitok/pdtc10/index.php?action=vallex&amp;frame=v-w8906hsa_439", "zakusovat se (v-w8906hsa_439)")</f>
        <v>zakusovat se (v-w8906hsa_439)</v>
      </c>
    </row>
    <row r="64966" customFormat="false" ht="12.8" hidden="false" customHeight="false" outlineLevel="0" collapsed="false">
      <c r="B64966" s="0" t="s">
        <v>7</v>
      </c>
    </row>
    <row r="64967" customFormat="false" ht="12.8" hidden="false" customHeight="false" outlineLevel="0" collapsed="false">
      <c r="B64967" s="0" t="s">
        <v>124</v>
      </c>
    </row>
    <row r="64969" customFormat="false" ht="12.8" hidden="false" customHeight="false" outlineLevel="0" collapsed="false">
      <c r="A64969" s="0" t="s">
        <v>22213</v>
      </c>
      <c r="B64969" s="0" t="str">
        <f aca="false">HYPERLINK("https://lindat.mff.cuni.cz/services/teitok/pdtc10/index.php?action=vallex&amp;frame=v-w8857f1", "zakázat (v-w8857f1)")</f>
        <v>zakázat (v-w8857f1)</v>
      </c>
    </row>
    <row r="64970" customFormat="false" ht="12.8" hidden="false" customHeight="false" outlineLevel="0" collapsed="false">
      <c r="B64970" s="0" t="s">
        <v>7</v>
      </c>
      <c r="C64970" s="0" t="s">
        <v>22214</v>
      </c>
      <c r="D64970" s="0" t="s">
        <v>403</v>
      </c>
      <c r="E64970" s="0" t="s">
        <v>403</v>
      </c>
      <c r="F64970" s="0" t="s">
        <v>403</v>
      </c>
    </row>
    <row r="64971" customFormat="false" ht="12.8" hidden="false" customHeight="false" outlineLevel="0" collapsed="false">
      <c r="B64971" s="0" t="s">
        <v>1599</v>
      </c>
      <c r="C64971" s="0" t="s">
        <v>22215</v>
      </c>
      <c r="D64971" s="0" t="s">
        <v>406</v>
      </c>
      <c r="E64971" s="0" t="s">
        <v>406</v>
      </c>
      <c r="F64971" s="0" t="s">
        <v>406</v>
      </c>
    </row>
    <row r="64972" customFormat="false" ht="12.8" hidden="false" customHeight="false" outlineLevel="0" collapsed="false">
      <c r="B64972" s="0" t="s">
        <v>48</v>
      </c>
      <c r="C64972" s="0" t="s">
        <v>16082</v>
      </c>
      <c r="D64972" s="0" t="s">
        <v>408</v>
      </c>
      <c r="E64972" s="0" t="s">
        <v>408</v>
      </c>
      <c r="F64972" s="0" t="s">
        <v>408</v>
      </c>
    </row>
    <row r="64974" customFormat="false" ht="12.8" hidden="false" customHeight="false" outlineLevel="0" collapsed="false">
      <c r="A64974" s="0" t="s">
        <v>22216</v>
      </c>
      <c r="B64974" s="0" t="str">
        <f aca="false">HYPERLINK("https://lindat.mff.cuni.cz/services/teitok/pdtc10/index.php?action=vallex&amp;frame=v-w8873f2", "zakódovat (v-w8873f2)")</f>
        <v>zakódovat (v-w8873f2)</v>
      </c>
    </row>
    <row r="64975" customFormat="false" ht="12.8" hidden="false" customHeight="false" outlineLevel="0" collapsed="false">
      <c r="B64975" s="0" t="s">
        <v>7</v>
      </c>
    </row>
    <row r="64976" customFormat="false" ht="12.8" hidden="false" customHeight="false" outlineLevel="0" collapsed="false">
      <c r="B64976" s="0" t="s">
        <v>14</v>
      </c>
    </row>
    <row r="64977" customFormat="false" ht="12.8" hidden="false" customHeight="false" outlineLevel="0" collapsed="false">
      <c r="B64977" s="0" t="s">
        <v>11</v>
      </c>
    </row>
    <row r="64979" customFormat="false" ht="12.8" hidden="false" customHeight="false" outlineLevel="0" collapsed="false">
      <c r="A64979" s="0" t="s">
        <v>22217</v>
      </c>
      <c r="B64979" s="0" t="str">
        <f aca="false">HYPERLINK("https://lindat.mff.cuni.cz/services/teitok/pdtc10/index.php?action=vallex&amp;frame=v-w8873f1", "zakódovat (v-w8873f1)")</f>
        <v>zakódovat (v-w8873f1)</v>
      </c>
    </row>
    <row r="64980" customFormat="false" ht="12.8" hidden="false" customHeight="false" outlineLevel="0" collapsed="false">
      <c r="B64980" s="0" t="s">
        <v>7</v>
      </c>
    </row>
    <row r="64981" customFormat="false" ht="12.8" hidden="false" customHeight="false" outlineLevel="0" collapsed="false">
      <c r="B64981" s="0" t="s">
        <v>14</v>
      </c>
    </row>
    <row r="64982" customFormat="false" ht="12.8" hidden="false" customHeight="false" outlineLevel="0" collapsed="false">
      <c r="B64982" s="0" t="s">
        <v>124</v>
      </c>
    </row>
    <row r="64984" customFormat="false" ht="12.8" hidden="false" customHeight="false" outlineLevel="0" collapsed="false">
      <c r="A64984" s="0" t="s">
        <v>22218</v>
      </c>
      <c r="B64984" s="0" t="str">
        <f aca="false">HYPERLINK("https://lindat.mff.cuni.cz/services/teitok/pdtc10/index.php?action=vallex&amp;frame=v-whsa_3f1_ZU", "zakřiknout (v-whsa_3f1_ZU)")</f>
        <v>zakřiknout (v-whsa_3f1_ZU)</v>
      </c>
    </row>
    <row r="64985" customFormat="false" ht="12.8" hidden="false" customHeight="false" outlineLevel="0" collapsed="false">
      <c r="B64985" s="0" t="s">
        <v>7</v>
      </c>
    </row>
    <row r="64986" customFormat="false" ht="12.8" hidden="false" customHeight="false" outlineLevel="0" collapsed="false">
      <c r="B64986" s="0" t="s">
        <v>14</v>
      </c>
    </row>
    <row r="64988" customFormat="false" ht="12.8" hidden="false" customHeight="false" outlineLevel="0" collapsed="false">
      <c r="A64988" s="0" t="s">
        <v>22219</v>
      </c>
      <c r="B64988" s="0" t="str">
        <f aca="false">HYPERLINK("https://lindat.mff.cuni.cz/services/teitok/pdtc10/index.php?action=vallex&amp;frame=v-whsa_3hsa_4", "zakřiknout (v-whsa_3hsa_4)")</f>
        <v>zakřiknout (v-whsa_3hsa_4)</v>
      </c>
    </row>
    <row r="64989" customFormat="false" ht="12.8" hidden="false" customHeight="false" outlineLevel="0" collapsed="false">
      <c r="B64989" s="0" t="s">
        <v>7</v>
      </c>
    </row>
    <row r="64990" customFormat="false" ht="12.8" hidden="false" customHeight="false" outlineLevel="0" collapsed="false">
      <c r="B64990" s="0" t="s">
        <v>6839</v>
      </c>
    </row>
    <row r="64991" customFormat="false" ht="12.8" hidden="false" customHeight="false" outlineLevel="0" collapsed="false">
      <c r="B64991" s="0" t="s">
        <v>4101</v>
      </c>
    </row>
    <row r="64993" customFormat="false" ht="12.8" hidden="false" customHeight="false" outlineLevel="0" collapsed="false">
      <c r="A64993" s="0" t="s">
        <v>22220</v>
      </c>
      <c r="B64993" s="0" t="str">
        <f aca="false">HYPERLINK("https://lindat.mff.cuni.cz/services/teitok/pdtc10/index.php?action=vallex&amp;frame=v-w8902f1", "zakřivovat (v-w8902f1)")</f>
        <v>zakřivovat (v-w8902f1)</v>
      </c>
    </row>
    <row r="64994" customFormat="false" ht="12.8" hidden="false" customHeight="false" outlineLevel="0" collapsed="false">
      <c r="B64994" s="0" t="s">
        <v>7</v>
      </c>
    </row>
    <row r="64995" customFormat="false" ht="12.8" hidden="false" customHeight="false" outlineLevel="0" collapsed="false">
      <c r="B64995" s="0" t="s">
        <v>14</v>
      </c>
    </row>
    <row r="64997" customFormat="false" ht="12.8" hidden="false" customHeight="false" outlineLevel="0" collapsed="false">
      <c r="A64997" s="0" t="s">
        <v>22221</v>
      </c>
      <c r="B64997" s="0" t="str">
        <f aca="false">HYPERLINK("https://lindat.mff.cuni.cz/services/teitok/pdtc10/index.php?action=vallex&amp;frame=v-w11365f1", "zakřičet (v-w11365f1)")</f>
        <v>zakřičet (v-w11365f1)</v>
      </c>
    </row>
    <row r="64998" customFormat="false" ht="12.8" hidden="false" customHeight="false" outlineLevel="0" collapsed="false">
      <c r="B64998" s="0" t="s">
        <v>7</v>
      </c>
      <c r="C64998" s="0" t="s">
        <v>31</v>
      </c>
      <c r="D64998" s="0" t="s">
        <v>3051</v>
      </c>
      <c r="E64998" s="0" t="s">
        <v>3051</v>
      </c>
      <c r="F64998" s="0" t="s">
        <v>3051</v>
      </c>
    </row>
    <row r="64999" customFormat="false" ht="12.8" hidden="false" customHeight="false" outlineLevel="0" collapsed="false">
      <c r="B64999" s="0" t="s">
        <v>4335</v>
      </c>
      <c r="C64999" s="0" t="s">
        <v>384</v>
      </c>
      <c r="D64999" s="0" t="s">
        <v>466</v>
      </c>
      <c r="E64999" s="0" t="s">
        <v>466</v>
      </c>
      <c r="F64999" s="0" t="s">
        <v>466</v>
      </c>
    </row>
    <row r="65000" customFormat="false" ht="12.8" hidden="false" customHeight="false" outlineLevel="0" collapsed="false">
      <c r="B65000" s="0" t="s">
        <v>4101</v>
      </c>
      <c r="C65000" s="0" t="s">
        <v>4154</v>
      </c>
      <c r="D65000" s="0" t="s">
        <v>4154</v>
      </c>
      <c r="E65000" s="0" t="s">
        <v>4154</v>
      </c>
      <c r="F65000" s="0" t="s">
        <v>4154</v>
      </c>
    </row>
    <row r="65002" customFormat="false" ht="12.8" hidden="false" customHeight="false" outlineLevel="0" collapsed="false">
      <c r="A65002" s="0" t="s">
        <v>22222</v>
      </c>
      <c r="B65002" s="0" t="str">
        <f aca="false">HYPERLINK("https://lindat.mff.cuni.cz/services/teitok/pdtc10/index.php?action=vallex&amp;frame=v-w8901f1", "zakřičet si (v-w8901f1)")</f>
        <v>zakřičet si (v-w8901f1)</v>
      </c>
    </row>
    <row r="65003" customFormat="false" ht="12.8" hidden="false" customHeight="false" outlineLevel="0" collapsed="false">
      <c r="B65003" s="0" t="s">
        <v>7</v>
      </c>
    </row>
    <row r="65004" customFormat="false" ht="12.8" hidden="false" customHeight="false" outlineLevel="0" collapsed="false">
      <c r="B65004" s="0" t="s">
        <v>4107</v>
      </c>
    </row>
    <row r="65005" customFormat="false" ht="12.8" hidden="false" customHeight="false" outlineLevel="0" collapsed="false">
      <c r="B65005" s="0" t="s">
        <v>4101</v>
      </c>
    </row>
    <row r="65007" customFormat="false" ht="12.8" hidden="false" customHeight="false" outlineLevel="0" collapsed="false">
      <c r="A65007" s="0" t="s">
        <v>22223</v>
      </c>
      <c r="B65007" s="0" t="str">
        <f aca="false">HYPERLINK("https://lindat.mff.cuni.cz/services/teitok/pdtc10/index.php?action=vallex&amp;frame=v-w11207f2", "zalapat (v-w11207f2)")</f>
        <v>zalapat (v-w11207f2)</v>
      </c>
    </row>
    <row r="65008" customFormat="false" ht="12.8" hidden="false" customHeight="false" outlineLevel="0" collapsed="false">
      <c r="B65008" s="0" t="s">
        <v>7</v>
      </c>
      <c r="C65008" s="0" t="s">
        <v>191</v>
      </c>
      <c r="D65008" s="0" t="s">
        <v>191</v>
      </c>
      <c r="E65008" s="0" t="s">
        <v>191</v>
      </c>
      <c r="F65008" s="0" t="s">
        <v>191</v>
      </c>
    </row>
    <row r="65009" customFormat="false" ht="12.8" hidden="false" customHeight="false" outlineLevel="0" collapsed="false">
      <c r="B65009" s="0" t="s">
        <v>5100</v>
      </c>
      <c r="C65009" s="0" t="s">
        <v>532</v>
      </c>
      <c r="D65009" s="0" t="s">
        <v>532</v>
      </c>
      <c r="E65009" s="0" t="s">
        <v>532</v>
      </c>
      <c r="F65009" s="0" t="s">
        <v>532</v>
      </c>
    </row>
    <row r="65011" customFormat="false" ht="12.8" hidden="false" customHeight="false" outlineLevel="0" collapsed="false">
      <c r="A65011" s="0" t="s">
        <v>22224</v>
      </c>
      <c r="B65011" s="0" t="str">
        <f aca="false">HYPERLINK("https://lindat.mff.cuni.cz/services/teitok/pdtc10/index.php?action=vallex&amp;frame=v-w11792_ZUf1_ZU", "zalehnout (v-w11792_ZUf1_ZU)")</f>
        <v>zalehnout (v-w11792_ZUf1_ZU)</v>
      </c>
    </row>
    <row r="65012" customFormat="false" ht="12.8" hidden="false" customHeight="false" outlineLevel="0" collapsed="false">
      <c r="B65012" s="0" t="s">
        <v>7</v>
      </c>
    </row>
    <row r="65013" customFormat="false" ht="12.8" hidden="false" customHeight="false" outlineLevel="0" collapsed="false">
      <c r="B65013" s="0" t="s">
        <v>338</v>
      </c>
    </row>
    <row r="65015" customFormat="false" ht="12.8" hidden="false" customHeight="false" outlineLevel="0" collapsed="false">
      <c r="A65015" s="0" t="s">
        <v>22225</v>
      </c>
      <c r="B65015" s="0" t="str">
        <f aca="false">HYPERLINK("https://lindat.mff.cuni.cz/services/teitok/pdtc10/index.php?action=vallex&amp;frame=v-w8907f1", "zaleknout se (v-w8907f1)")</f>
        <v>zaleknout se (v-w8907f1)</v>
      </c>
    </row>
    <row r="65016" customFormat="false" ht="12.8" hidden="false" customHeight="false" outlineLevel="0" collapsed="false">
      <c r="B65016" s="0" t="s">
        <v>7</v>
      </c>
    </row>
    <row r="65017" customFormat="false" ht="12.8" hidden="false" customHeight="false" outlineLevel="0" collapsed="false">
      <c r="B65017" s="0" t="s">
        <v>5120</v>
      </c>
    </row>
    <row r="65019" customFormat="false" ht="12.8" hidden="false" customHeight="false" outlineLevel="0" collapsed="false">
      <c r="A65019" s="0" t="s">
        <v>22226</v>
      </c>
      <c r="B65019" s="0" t="str">
        <f aca="false">HYPERLINK("https://lindat.mff.cuni.cz/services/teitok/pdtc10/index.php?action=vallex&amp;frame=v-w8908f1", "zalepit (v-w8908f1)")</f>
        <v>zalepit (v-w8908f1)</v>
      </c>
    </row>
    <row r="65020" customFormat="false" ht="12.8" hidden="false" customHeight="false" outlineLevel="0" collapsed="false">
      <c r="B65020" s="0" t="s">
        <v>7</v>
      </c>
    </row>
    <row r="65021" customFormat="false" ht="12.8" hidden="false" customHeight="false" outlineLevel="0" collapsed="false">
      <c r="B65021" s="0" t="s">
        <v>14</v>
      </c>
    </row>
    <row r="65023" customFormat="false" ht="12.8" hidden="false" customHeight="false" outlineLevel="0" collapsed="false">
      <c r="A65023" s="0" t="s">
        <v>22227</v>
      </c>
      <c r="B65023" s="0" t="str">
        <f aca="false">HYPERLINK("https://lindat.mff.cuni.cz/services/teitok/pdtc10/index.php?action=vallex&amp;frame=v-w8908f2", "zalepit (v-w8908f2)")</f>
        <v>zalepit (v-w8908f2)</v>
      </c>
    </row>
    <row r="65024" customFormat="false" ht="12.8" hidden="false" customHeight="false" outlineLevel="0" collapsed="false">
      <c r="B65024" s="0" t="s">
        <v>7</v>
      </c>
      <c r="C65024" s="0" t="s">
        <v>191</v>
      </c>
      <c r="D65024" s="0" t="s">
        <v>191</v>
      </c>
      <c r="E65024" s="0" t="s">
        <v>191</v>
      </c>
      <c r="F65024" s="0" t="s">
        <v>191</v>
      </c>
    </row>
    <row r="65025" customFormat="false" ht="12.8" hidden="false" customHeight="false" outlineLevel="0" collapsed="false">
      <c r="B65025" s="0" t="s">
        <v>14</v>
      </c>
      <c r="C65025" s="0" t="s">
        <v>115</v>
      </c>
      <c r="D65025" s="0" t="s">
        <v>115</v>
      </c>
      <c r="E65025" s="0" t="s">
        <v>115</v>
      </c>
      <c r="F65025" s="0" t="s">
        <v>115</v>
      </c>
    </row>
    <row r="65027" customFormat="false" ht="12.8" hidden="false" customHeight="false" outlineLevel="0" collapsed="false">
      <c r="A65027" s="0" t="s">
        <v>22228</v>
      </c>
      <c r="B65027" s="0" t="str">
        <f aca="false">HYPERLINK("https://lindat.mff.cuni.cz/services/teitok/pdtc10/index.php?action=vallex&amp;frame=v-w11850_ZUf1_ZU", "zalepovat (v-w11850_ZUf1_ZU)")</f>
        <v>zalepovat (v-w11850_ZUf1_ZU)</v>
      </c>
    </row>
    <row r="65028" customFormat="false" ht="12.8" hidden="false" customHeight="false" outlineLevel="0" collapsed="false">
      <c r="B65028" s="0" t="s">
        <v>7</v>
      </c>
    </row>
    <row r="65029" customFormat="false" ht="12.8" hidden="false" customHeight="false" outlineLevel="0" collapsed="false">
      <c r="B65029" s="0" t="s">
        <v>14</v>
      </c>
    </row>
    <row r="65031" customFormat="false" ht="12.8" hidden="false" customHeight="false" outlineLevel="0" collapsed="false">
      <c r="A65031" s="0" t="s">
        <v>22229</v>
      </c>
      <c r="B65031" s="0" t="str">
        <f aca="false">HYPERLINK("https://lindat.mff.cuni.cz/services/teitok/pdtc10/index.php?action=vallex&amp;frame=v-w12183_ZUf1_ZU", "zalesňovat (v-w12183_ZUf1_ZU)")</f>
        <v>zalesňovat (v-w12183_ZUf1_ZU)</v>
      </c>
    </row>
    <row r="65032" customFormat="false" ht="12.8" hidden="false" customHeight="false" outlineLevel="0" collapsed="false">
      <c r="B65032" s="0" t="s">
        <v>7</v>
      </c>
    </row>
    <row r="65033" customFormat="false" ht="12.8" hidden="false" customHeight="false" outlineLevel="0" collapsed="false">
      <c r="B65033" s="0" t="s">
        <v>14</v>
      </c>
    </row>
    <row r="65035" customFormat="false" ht="12.8" hidden="false" customHeight="false" outlineLevel="0" collapsed="false">
      <c r="A65035" s="0" t="s">
        <v>22230</v>
      </c>
      <c r="B65035" s="0" t="str">
        <f aca="false">HYPERLINK("https://lindat.mff.cuni.cz/services/teitok/pdtc10/index.php?action=vallex&amp;frame=v-w12114_ZUf1_ZU", "zalhat (v-w12114_ZUf1_ZU)")</f>
        <v>zalhat (v-w12114_ZUf1_ZU)</v>
      </c>
    </row>
    <row r="65036" customFormat="false" ht="12.8" hidden="false" customHeight="false" outlineLevel="0" collapsed="false">
      <c r="B65036" s="0" t="s">
        <v>7</v>
      </c>
    </row>
    <row r="65037" customFormat="false" ht="12.8" hidden="false" customHeight="false" outlineLevel="0" collapsed="false">
      <c r="B65037" s="0" t="s">
        <v>5172</v>
      </c>
    </row>
    <row r="65038" customFormat="false" ht="12.8" hidden="false" customHeight="false" outlineLevel="0" collapsed="false">
      <c r="B65038" s="0" t="s">
        <v>106</v>
      </c>
    </row>
    <row r="65040" customFormat="false" ht="12.8" hidden="false" customHeight="false" outlineLevel="0" collapsed="false">
      <c r="A65040" s="0" t="s">
        <v>22231</v>
      </c>
      <c r="B65040" s="0" t="str">
        <f aca="false">HYPERLINK("https://lindat.mff.cuni.cz/services/teitok/pdtc10/index.php?action=vallex&amp;frame=v-w8917f1", "zalichotit (v-w8917f1)")</f>
        <v>zalichotit (v-w8917f1)</v>
      </c>
    </row>
    <row r="65041" customFormat="false" ht="12.8" hidden="false" customHeight="false" outlineLevel="0" collapsed="false">
      <c r="B65041" s="0" t="s">
        <v>7</v>
      </c>
    </row>
    <row r="65042" customFormat="false" ht="12.8" hidden="false" customHeight="false" outlineLevel="0" collapsed="false">
      <c r="B65042" s="0" t="s">
        <v>142</v>
      </c>
    </row>
    <row r="65044" customFormat="false" ht="12.8" hidden="false" customHeight="false" outlineLevel="0" collapsed="false">
      <c r="A65044" s="0" t="s">
        <v>22232</v>
      </c>
      <c r="B65044" s="0" t="str">
        <f aca="false">HYPERLINK("https://lindat.mff.cuni.cz/services/teitok/pdtc10/index.php?action=vallex&amp;frame=v-w11074f2", "zalidnit (v-w11074f2)")</f>
        <v>zalidnit (v-w11074f2)</v>
      </c>
    </row>
    <row r="65045" customFormat="false" ht="12.8" hidden="false" customHeight="false" outlineLevel="0" collapsed="false">
      <c r="B65045" s="0" t="s">
        <v>7</v>
      </c>
      <c r="C65045" s="0" t="s">
        <v>1580</v>
      </c>
      <c r="D65045" s="0" t="s">
        <v>1580</v>
      </c>
      <c r="E65045" s="0" t="s">
        <v>1580</v>
      </c>
      <c r="F65045" s="0" t="s">
        <v>1580</v>
      </c>
    </row>
    <row r="65046" customFormat="false" ht="12.8" hidden="false" customHeight="false" outlineLevel="0" collapsed="false">
      <c r="B65046" s="0" t="s">
        <v>14</v>
      </c>
      <c r="C65046" s="0" t="s">
        <v>115</v>
      </c>
      <c r="D65046" s="0" t="s">
        <v>115</v>
      </c>
      <c r="E65046" s="0" t="s">
        <v>115</v>
      </c>
      <c r="F65046" s="0" t="s">
        <v>115</v>
      </c>
    </row>
    <row r="65048" customFormat="false" ht="12.8" hidden="false" customHeight="false" outlineLevel="0" collapsed="false">
      <c r="A65048" s="0" t="s">
        <v>22233</v>
      </c>
      <c r="B65048" s="0" t="str">
        <f aca="false">HYPERLINK("https://lindat.mff.cuni.cz/services/teitok/pdtc10/index.php?action=vallex&amp;frame=v-whsa_1283hsa_1284", "zalistovat (v-whsa_1283hsa_1284)")</f>
        <v>zalistovat (v-whsa_1283hsa_1284)</v>
      </c>
    </row>
    <row r="65049" customFormat="false" ht="12.8" hidden="false" customHeight="false" outlineLevel="0" collapsed="false">
      <c r="B65049" s="0" t="s">
        <v>7</v>
      </c>
    </row>
    <row r="65050" customFormat="false" ht="12.8" hidden="false" customHeight="false" outlineLevel="0" collapsed="false">
      <c r="B65050" s="0" t="s">
        <v>11</v>
      </c>
    </row>
    <row r="65052" customFormat="false" ht="12.8" hidden="false" customHeight="false" outlineLevel="0" collapsed="false">
      <c r="A65052" s="0" t="s">
        <v>22234</v>
      </c>
      <c r="B65052" s="0" t="str">
        <f aca="false">HYPERLINK("https://lindat.mff.cuni.cz/services/teitok/pdtc10/index.php?action=vallex&amp;frame=v-w8920f1", "zalitovat (v-w8920f1)")</f>
        <v>zalitovat (v-w8920f1)</v>
      </c>
    </row>
    <row r="65053" customFormat="false" ht="12.8" hidden="false" customHeight="false" outlineLevel="0" collapsed="false">
      <c r="B65053" s="0" t="s">
        <v>7</v>
      </c>
    </row>
    <row r="65054" customFormat="false" ht="12.8" hidden="false" customHeight="false" outlineLevel="0" collapsed="false">
      <c r="B65054" s="0" t="s">
        <v>2661</v>
      </c>
    </row>
    <row r="65056" customFormat="false" ht="12.8" hidden="false" customHeight="false" outlineLevel="0" collapsed="false">
      <c r="A65056" s="0" t="s">
        <v>22235</v>
      </c>
      <c r="B65056" s="0" t="str">
        <f aca="false">HYPERLINK("https://lindat.mff.cuni.cz/services/teitok/pdtc10/index.php?action=vallex&amp;frame=v-w8927f1", "založit (v-w8927f1)")</f>
        <v>založit (v-w8927f1)</v>
      </c>
    </row>
    <row r="65057" customFormat="false" ht="12.8" hidden="false" customHeight="false" outlineLevel="0" collapsed="false">
      <c r="B65057" s="0" t="s">
        <v>7</v>
      </c>
      <c r="C65057" s="0" t="s">
        <v>22236</v>
      </c>
      <c r="D65057" s="0" t="s">
        <v>14491</v>
      </c>
      <c r="E65057" s="0" t="s">
        <v>20774</v>
      </c>
      <c r="F65057" s="0" t="s">
        <v>20774</v>
      </c>
    </row>
    <row r="65058" customFormat="false" ht="12.8" hidden="false" customHeight="false" outlineLevel="0" collapsed="false">
      <c r="B65058" s="0" t="s">
        <v>14</v>
      </c>
      <c r="C65058" s="0" t="s">
        <v>22237</v>
      </c>
      <c r="D65058" s="0" t="s">
        <v>14493</v>
      </c>
      <c r="E65058" s="0" t="s">
        <v>20776</v>
      </c>
      <c r="F65058" s="0" t="s">
        <v>20776</v>
      </c>
    </row>
    <row r="65059" customFormat="false" ht="12.8" hidden="false" customHeight="false" outlineLevel="0" collapsed="false">
      <c r="B65059" s="0" t="s">
        <v>16277</v>
      </c>
      <c r="C65059" s="0" t="s">
        <v>22238</v>
      </c>
      <c r="D65059" s="0" t="s">
        <v>8048</v>
      </c>
      <c r="E65059" s="0" t="s">
        <v>20778</v>
      </c>
      <c r="F65059" s="0" t="s">
        <v>20778</v>
      </c>
    </row>
    <row r="65061" customFormat="false" ht="12.8" hidden="false" customHeight="false" outlineLevel="0" collapsed="false">
      <c r="A65061" s="0" t="s">
        <v>22239</v>
      </c>
      <c r="B65061" s="0" t="str">
        <f aca="false">HYPERLINK("https://lindat.mff.cuni.cz/services/teitok/pdtc10/index.php?action=vallex&amp;frame=v-w8927f2", "založit (v-w8927f2)")</f>
        <v>založit (v-w8927f2)</v>
      </c>
    </row>
    <row r="65062" customFormat="false" ht="12.8" hidden="false" customHeight="false" outlineLevel="0" collapsed="false">
      <c r="B65062" s="0" t="s">
        <v>7</v>
      </c>
    </row>
    <row r="65063" customFormat="false" ht="12.8" hidden="false" customHeight="false" outlineLevel="0" collapsed="false">
      <c r="B65063" s="0" t="s">
        <v>14</v>
      </c>
    </row>
    <row r="65064" customFormat="false" ht="12.8" hidden="false" customHeight="false" outlineLevel="0" collapsed="false">
      <c r="B65064" s="0" t="s">
        <v>124</v>
      </c>
    </row>
    <row r="65066" customFormat="false" ht="12.8" hidden="false" customHeight="false" outlineLevel="0" collapsed="false">
      <c r="A65066" s="0" t="s">
        <v>22240</v>
      </c>
      <c r="B65066" s="0" t="str">
        <f aca="false">HYPERLINK("https://lindat.mff.cuni.cz/services/teitok/pdtc10/index.php?action=vallex&amp;frame=v-w8927f3", "založit (v-w8927f3)")</f>
        <v>založit (v-w8927f3)</v>
      </c>
    </row>
    <row r="65067" customFormat="false" ht="12.8" hidden="false" customHeight="false" outlineLevel="0" collapsed="false">
      <c r="B65067" s="0" t="s">
        <v>7</v>
      </c>
    </row>
    <row r="65068" customFormat="false" ht="12.8" hidden="false" customHeight="false" outlineLevel="0" collapsed="false">
      <c r="B65068" s="0" t="s">
        <v>14</v>
      </c>
    </row>
    <row r="65070" customFormat="false" ht="12.8" hidden="false" customHeight="false" outlineLevel="0" collapsed="false">
      <c r="A65070" s="0" t="s">
        <v>22241</v>
      </c>
      <c r="B65070" s="0" t="str">
        <f aca="false">HYPERLINK("https://lindat.mff.cuni.cz/services/teitok/pdtc10/index.php?action=vallex&amp;frame=v-w8927f5", "založit (v-w8927f5)")</f>
        <v>založit (v-w8927f5)</v>
      </c>
    </row>
    <row r="65071" customFormat="false" ht="12.8" hidden="false" customHeight="false" outlineLevel="0" collapsed="false">
      <c r="B65071" s="0" t="s">
        <v>7</v>
      </c>
    </row>
    <row r="65072" customFormat="false" ht="12.8" hidden="false" customHeight="false" outlineLevel="0" collapsed="false">
      <c r="B65072" s="0" t="s">
        <v>14</v>
      </c>
    </row>
    <row r="65074" customFormat="false" ht="12.8" hidden="false" customHeight="false" outlineLevel="0" collapsed="false">
      <c r="A65074" s="0" t="s">
        <v>22242</v>
      </c>
      <c r="B65074" s="0" t="str">
        <f aca="false">HYPERLINK("https://lindat.mff.cuni.cz/services/teitok/pdtc10/index.php?action=vallex&amp;frame=v-w8927f4", "založit (v-w8927f4)")</f>
        <v>založit (v-w8927f4)</v>
      </c>
    </row>
    <row r="65075" customFormat="false" ht="12.8" hidden="false" customHeight="false" outlineLevel="0" collapsed="false">
      <c r="B65075" s="0" t="s">
        <v>7</v>
      </c>
    </row>
    <row r="65076" customFormat="false" ht="12.8" hidden="false" customHeight="false" outlineLevel="0" collapsed="false">
      <c r="B65076" s="0" t="s">
        <v>14</v>
      </c>
    </row>
    <row r="65078" customFormat="false" ht="12.8" hidden="false" customHeight="false" outlineLevel="0" collapsed="false">
      <c r="A65078" s="0" t="s">
        <v>22243</v>
      </c>
      <c r="B65078" s="0" t="str">
        <f aca="false">HYPERLINK("https://lindat.mff.cuni.cz/services/teitok/pdtc10/index.php?action=vallex&amp;frame=v-w11324f1", "zalykat se (v-w11324f1)")</f>
        <v>zalykat se (v-w11324f1)</v>
      </c>
    </row>
    <row r="65079" customFormat="false" ht="12.8" hidden="false" customHeight="false" outlineLevel="0" collapsed="false">
      <c r="B65079" s="0" t="s">
        <v>7</v>
      </c>
    </row>
    <row r="65081" customFormat="false" ht="12.8" hidden="false" customHeight="false" outlineLevel="0" collapsed="false">
      <c r="A65081" s="0" t="s">
        <v>22244</v>
      </c>
      <c r="B65081" s="0" t="str">
        <f aca="false">HYPERLINK("https://lindat.mff.cuni.cz/services/teitok/pdtc10/index.php?action=vallex&amp;frame=v-whsa_1348hsa_1349", "zalyžovat si (v-whsa_1348hsa_1349)")</f>
        <v>zalyžovat si (v-whsa_1348hsa_1349)</v>
      </c>
    </row>
    <row r="65082" customFormat="false" ht="12.8" hidden="false" customHeight="false" outlineLevel="0" collapsed="false">
      <c r="B65082" s="0" t="s">
        <v>7</v>
      </c>
    </row>
    <row r="65084" customFormat="false" ht="12.8" hidden="false" customHeight="false" outlineLevel="0" collapsed="false">
      <c r="A65084" s="0" t="s">
        <v>22245</v>
      </c>
      <c r="B65084" s="0" t="str">
        <f aca="false">HYPERLINK("https://lindat.mff.cuni.cz/services/teitok/pdtc10/index.php?action=vallex&amp;frame=v-w8911f1", "zalévat (v-w8911f1)")</f>
        <v>zalévat (v-w8911f1)</v>
      </c>
    </row>
    <row r="65085" customFormat="false" ht="12.8" hidden="false" customHeight="false" outlineLevel="0" collapsed="false">
      <c r="B65085" s="0" t="s">
        <v>7</v>
      </c>
    </row>
    <row r="65086" customFormat="false" ht="12.8" hidden="false" customHeight="false" outlineLevel="0" collapsed="false">
      <c r="B65086" s="0" t="s">
        <v>14</v>
      </c>
    </row>
    <row r="65088" customFormat="false" ht="12.8" hidden="false" customHeight="false" outlineLevel="0" collapsed="false">
      <c r="A65088" s="0" t="s">
        <v>22246</v>
      </c>
      <c r="B65088" s="0" t="str">
        <f aca="false">HYPERLINK("https://lindat.mff.cuni.cz/services/teitok/pdtc10/index.php?action=vallex&amp;frame=v-w12129_ZUf1_ZU", "zalézat (v-w12129_ZUf1_ZU)")</f>
        <v>zalézat (v-w12129_ZUf1_ZU)</v>
      </c>
    </row>
    <row r="65089" customFormat="false" ht="12.8" hidden="false" customHeight="false" outlineLevel="0" collapsed="false">
      <c r="B65089" s="0" t="s">
        <v>7</v>
      </c>
    </row>
    <row r="65090" customFormat="false" ht="12.8" hidden="false" customHeight="false" outlineLevel="0" collapsed="false">
      <c r="B65090" s="0" t="s">
        <v>338</v>
      </c>
    </row>
    <row r="65092" customFormat="false" ht="12.8" hidden="false" customHeight="false" outlineLevel="0" collapsed="false">
      <c r="A65092" s="0" t="s">
        <v>22247</v>
      </c>
      <c r="B65092" s="0" t="str">
        <f aca="false">HYPERLINK("https://lindat.mff.cuni.cz/services/teitok/pdtc10/index.php?action=vallex&amp;frame=v-w8912f1", "zalézt (v-w8912f1)")</f>
        <v>zalézt (v-w8912f1)</v>
      </c>
    </row>
    <row r="65093" customFormat="false" ht="12.8" hidden="false" customHeight="false" outlineLevel="0" collapsed="false">
      <c r="B65093" s="0" t="s">
        <v>7</v>
      </c>
      <c r="D65093" s="0" t="s">
        <v>1705</v>
      </c>
      <c r="E65093" s="0" t="s">
        <v>1706</v>
      </c>
      <c r="F65093" s="0" t="s">
        <v>1706</v>
      </c>
    </row>
    <row r="65094" customFormat="false" ht="12.8" hidden="false" customHeight="false" outlineLevel="0" collapsed="false">
      <c r="B65094" s="0" t="s">
        <v>124</v>
      </c>
      <c r="D65094" s="0" t="s">
        <v>1707</v>
      </c>
      <c r="E65094" s="0" t="s">
        <v>1707</v>
      </c>
      <c r="F65094" s="0" t="s">
        <v>1707</v>
      </c>
    </row>
    <row r="65096" customFormat="false" ht="12.8" hidden="false" customHeight="false" outlineLevel="0" collapsed="false">
      <c r="A65096" s="0" t="s">
        <v>22248</v>
      </c>
      <c r="B65096" s="0" t="str">
        <f aca="false">HYPERLINK("https://lindat.mff.cuni.cz/services/teitok/pdtc10/index.php?action=vallex&amp;frame=v-w8916f1", "zalíbit se (v-w8916f1)")</f>
        <v>zalíbit se (v-w8916f1)</v>
      </c>
    </row>
    <row r="65097" customFormat="false" ht="12.8" hidden="false" customHeight="false" outlineLevel="0" collapsed="false">
      <c r="B65097" s="0" t="s">
        <v>603</v>
      </c>
      <c r="C65097" s="0" t="s">
        <v>2894</v>
      </c>
      <c r="D65097" s="0" t="s">
        <v>9144</v>
      </c>
      <c r="E65097" s="0" t="s">
        <v>9144</v>
      </c>
      <c r="F65097" s="0" t="s">
        <v>9144</v>
      </c>
    </row>
    <row r="65098" customFormat="false" ht="12.8" hidden="false" customHeight="false" outlineLevel="0" collapsed="false">
      <c r="B65098" s="0" t="s">
        <v>5095</v>
      </c>
      <c r="D65098" s="0" t="s">
        <v>78</v>
      </c>
      <c r="E65098" s="0" t="s">
        <v>78</v>
      </c>
      <c r="F65098" s="0" t="s">
        <v>78</v>
      </c>
    </row>
    <row r="65100" customFormat="false" ht="12.8" hidden="false" customHeight="false" outlineLevel="0" collapsed="false">
      <c r="A65100" s="0" t="s">
        <v>22249</v>
      </c>
      <c r="B65100" s="0" t="str">
        <f aca="false">HYPERLINK("https://lindat.mff.cuni.cz/services/teitok/pdtc10/index.php?action=vallex&amp;frame=v-w8918f1", "zalít (v-w8918f1)")</f>
        <v>zalít (v-w8918f1)</v>
      </c>
    </row>
    <row r="65101" customFormat="false" ht="12.8" hidden="false" customHeight="false" outlineLevel="0" collapsed="false">
      <c r="B65101" s="0" t="s">
        <v>7</v>
      </c>
    </row>
    <row r="65102" customFormat="false" ht="12.8" hidden="false" customHeight="false" outlineLevel="0" collapsed="false">
      <c r="B65102" s="0" t="s">
        <v>14</v>
      </c>
    </row>
    <row r="65104" customFormat="false" ht="12.8" hidden="false" customHeight="false" outlineLevel="0" collapsed="false">
      <c r="A65104" s="0" t="s">
        <v>22250</v>
      </c>
      <c r="B65104" s="0" t="str">
        <f aca="false">HYPERLINK("https://lindat.mff.cuni.cz/services/teitok/pdtc10/index.php?action=vallex&amp;frame=v-w8918f2_ZU", "zalít (v-w8918f2_ZU)")</f>
        <v>zalít (v-w8918f2_ZU)</v>
      </c>
    </row>
    <row r="65105" customFormat="false" ht="12.8" hidden="false" customHeight="false" outlineLevel="0" collapsed="false">
      <c r="B65105" s="0" t="s">
        <v>7</v>
      </c>
    </row>
    <row r="65106" customFormat="false" ht="12.8" hidden="false" customHeight="false" outlineLevel="0" collapsed="false">
      <c r="B65106" s="0" t="s">
        <v>14</v>
      </c>
    </row>
    <row r="65107" customFormat="false" ht="12.8" hidden="false" customHeight="false" outlineLevel="0" collapsed="false">
      <c r="B65107" s="0" t="s">
        <v>6292</v>
      </c>
    </row>
    <row r="65109" customFormat="false" ht="12.8" hidden="false" customHeight="false" outlineLevel="0" collapsed="false">
      <c r="A65109" s="0" t="s">
        <v>22250</v>
      </c>
      <c r="B65109" s="0" t="str">
        <f aca="false">HYPERLINK("https://lindat.mff.cuni.cz/services/teitok/pdtc10/index.php?action=vallex&amp;frame=v-w8918hsa_230", "zalít (v-w8918hsa_230) - substituted with v-w8918f2_ZU")</f>
        <v>zalít (v-w8918hsa_230) - substituted with v-w8918f2_ZU</v>
      </c>
    </row>
    <row r="65110" customFormat="false" ht="12.8" hidden="false" customHeight="false" outlineLevel="0" collapsed="false">
      <c r="B65110" s="0" t="s">
        <v>7</v>
      </c>
    </row>
    <row r="65111" customFormat="false" ht="12.8" hidden="false" customHeight="false" outlineLevel="0" collapsed="false">
      <c r="B65111" s="0" t="s">
        <v>14</v>
      </c>
    </row>
    <row r="65112" customFormat="false" ht="12.8" hidden="false" customHeight="false" outlineLevel="0" collapsed="false">
      <c r="B65112" s="0" t="s">
        <v>6292</v>
      </c>
    </row>
    <row r="65114" customFormat="false" ht="12.8" hidden="false" customHeight="false" outlineLevel="0" collapsed="false">
      <c r="A65114" s="0" t="s">
        <v>22251</v>
      </c>
      <c r="B65114" s="0" t="str">
        <f aca="false">HYPERLINK("https://lindat.mff.cuni.cz/services/teitok/pdtc10/index.php?action=vallex&amp;frame=v-w8918f3_ZU", "zalít (v-w8918f3_ZU)")</f>
        <v>zalít (v-w8918f3_ZU)</v>
      </c>
    </row>
    <row r="65115" customFormat="false" ht="12.8" hidden="false" customHeight="false" outlineLevel="0" collapsed="false">
      <c r="B65115" s="0" t="s">
        <v>7</v>
      </c>
    </row>
    <row r="65116" customFormat="false" ht="12.8" hidden="false" customHeight="false" outlineLevel="0" collapsed="false">
      <c r="B65116" s="0" t="s">
        <v>14</v>
      </c>
    </row>
    <row r="65117" customFormat="false" ht="12.8" hidden="false" customHeight="false" outlineLevel="0" collapsed="false">
      <c r="B65117" s="0" t="s">
        <v>338</v>
      </c>
    </row>
    <row r="65119" customFormat="false" ht="12.8" hidden="false" customHeight="false" outlineLevel="0" collapsed="false">
      <c r="A65119" s="0" t="s">
        <v>22252</v>
      </c>
      <c r="B65119" s="0" t="str">
        <f aca="false">HYPERLINK("https://lindat.mff.cuni.cz/services/teitok/pdtc10/index.php?action=vallex&amp;frame=v-w8921f1", "zalít se (v-w8921f1)")</f>
        <v>zalít se (v-w8921f1)</v>
      </c>
    </row>
    <row r="65120" customFormat="false" ht="12.8" hidden="false" customHeight="false" outlineLevel="0" collapsed="false">
      <c r="B65120" s="0" t="s">
        <v>7</v>
      </c>
    </row>
    <row r="65121" customFormat="false" ht="12.8" hidden="false" customHeight="false" outlineLevel="0" collapsed="false">
      <c r="B65121" s="0" t="s">
        <v>216</v>
      </c>
    </row>
    <row r="65123" customFormat="false" ht="12.8" hidden="false" customHeight="false" outlineLevel="0" collapsed="false">
      <c r="A65123" s="0" t="s">
        <v>22253</v>
      </c>
      <c r="B65123" s="0" t="str">
        <f aca="false">HYPERLINK("https://lindat.mff.cuni.cz/services/teitok/pdtc10/index.php?action=vallex&amp;frame=v-w11771_ZUf1_ZU", "zalívat (v-w11771_ZUf1_ZU)")</f>
        <v>zalívat (v-w11771_ZUf1_ZU)</v>
      </c>
    </row>
    <row r="65124" customFormat="false" ht="12.8" hidden="false" customHeight="false" outlineLevel="0" collapsed="false">
      <c r="B65124" s="0" t="s">
        <v>7</v>
      </c>
    </row>
    <row r="65125" customFormat="false" ht="12.8" hidden="false" customHeight="false" outlineLevel="0" collapsed="false">
      <c r="B65125" s="0" t="s">
        <v>14</v>
      </c>
    </row>
    <row r="65127" customFormat="false" ht="12.8" hidden="false" customHeight="false" outlineLevel="0" collapsed="false">
      <c r="A65127" s="0" t="s">
        <v>22254</v>
      </c>
      <c r="B65127" s="0" t="str">
        <f aca="false">HYPERLINK("https://lindat.mff.cuni.cz/services/teitok/pdtc10/index.php?action=vallex&amp;frame=v-w8929f1", "zamanout si (v-w8929f1)")</f>
        <v>zamanout si (v-w8929f1)</v>
      </c>
    </row>
    <row r="65128" customFormat="false" ht="12.8" hidden="false" customHeight="false" outlineLevel="0" collapsed="false">
      <c r="B65128" s="0" t="s">
        <v>7</v>
      </c>
    </row>
    <row r="65129" customFormat="false" ht="12.8" hidden="false" customHeight="false" outlineLevel="0" collapsed="false">
      <c r="B65129" s="0" t="s">
        <v>17872</v>
      </c>
    </row>
    <row r="65131" customFormat="false" ht="12.8" hidden="false" customHeight="false" outlineLevel="0" collapsed="false">
      <c r="A65131" s="0" t="s">
        <v>22255</v>
      </c>
      <c r="B65131" s="0" t="str">
        <f aca="false">HYPERLINK("https://lindat.mff.cuni.cz/services/teitok/pdtc10/index.php?action=vallex&amp;frame=v-w10659f2", "zamaskovat (v-w10659f2)")</f>
        <v>zamaskovat (v-w10659f2)</v>
      </c>
    </row>
    <row r="65132" customFormat="false" ht="12.8" hidden="false" customHeight="false" outlineLevel="0" collapsed="false">
      <c r="B65132" s="0" t="s">
        <v>7</v>
      </c>
    </row>
    <row r="65133" customFormat="false" ht="12.8" hidden="false" customHeight="false" outlineLevel="0" collapsed="false">
      <c r="B65133" s="0" t="s">
        <v>172</v>
      </c>
    </row>
    <row r="65134" customFormat="false" ht="12.8" hidden="false" customHeight="false" outlineLevel="0" collapsed="false">
      <c r="B65134" s="0" t="s">
        <v>293</v>
      </c>
    </row>
    <row r="65136" customFormat="false" ht="12.8" hidden="false" customHeight="false" outlineLevel="0" collapsed="false">
      <c r="A65136" s="0" t="s">
        <v>22256</v>
      </c>
      <c r="B65136" s="0" t="str">
        <f aca="false">HYPERLINK("https://lindat.mff.cuni.cz/services/teitok/pdtc10/index.php?action=vallex&amp;frame=v-w10958f2", "zamerikanizovat (v-w10958f2)")</f>
        <v>zamerikanizovat (v-w10958f2)</v>
      </c>
    </row>
    <row r="65137" customFormat="false" ht="12.8" hidden="false" customHeight="false" outlineLevel="0" collapsed="false">
      <c r="B65137" s="0" t="s">
        <v>7</v>
      </c>
      <c r="C65137" s="0" t="s">
        <v>191</v>
      </c>
    </row>
    <row r="65138" customFormat="false" ht="12.8" hidden="false" customHeight="false" outlineLevel="0" collapsed="false">
      <c r="B65138" s="0" t="s">
        <v>14</v>
      </c>
      <c r="C65138" s="0" t="s">
        <v>155</v>
      </c>
    </row>
    <row r="65140" customFormat="false" ht="12.8" hidden="false" customHeight="false" outlineLevel="0" collapsed="false">
      <c r="A65140" s="0" t="s">
        <v>22257</v>
      </c>
      <c r="B65140" s="0" t="str">
        <f aca="false">HYPERLINK("https://lindat.mff.cuni.cz/services/teitok/pdtc10/index.php?action=vallex&amp;frame=v-whsa_1745hsa_1746", "zametat (v-whsa_1745hsa_1746)")</f>
        <v>zametat (v-whsa_1745hsa_1746)</v>
      </c>
    </row>
    <row r="65141" customFormat="false" ht="12.8" hidden="false" customHeight="false" outlineLevel="0" collapsed="false">
      <c r="B65141" s="0" t="s">
        <v>7</v>
      </c>
    </row>
    <row r="65142" customFormat="false" ht="12.8" hidden="false" customHeight="false" outlineLevel="0" collapsed="false">
      <c r="B65142" s="0" t="s">
        <v>14</v>
      </c>
    </row>
    <row r="65144" customFormat="false" ht="12.8" hidden="false" customHeight="false" outlineLevel="0" collapsed="false">
      <c r="A65144" s="0" t="s">
        <v>22258</v>
      </c>
      <c r="B65144" s="0" t="str">
        <f aca="false">HYPERLINK("https://lindat.mff.cuni.cz/services/teitok/pdtc10/index.php?action=vallex&amp;frame=v-w8950f2", "zamezit (v-w8950f2)")</f>
        <v>zamezit (v-w8950f2)</v>
      </c>
    </row>
    <row r="65145" customFormat="false" ht="12.8" hidden="false" customHeight="false" outlineLevel="0" collapsed="false">
      <c r="B65145" s="0" t="s">
        <v>7</v>
      </c>
      <c r="C65145" s="0" t="s">
        <v>22259</v>
      </c>
      <c r="D65145" s="0" t="s">
        <v>403</v>
      </c>
      <c r="E65145" s="0" t="s">
        <v>403</v>
      </c>
      <c r="F65145" s="0" t="s">
        <v>403</v>
      </c>
    </row>
    <row r="65146" customFormat="false" ht="12.8" hidden="false" customHeight="false" outlineLevel="0" collapsed="false">
      <c r="B65146" s="0" t="s">
        <v>22260</v>
      </c>
      <c r="C65146" s="0" t="s">
        <v>7579</v>
      </c>
      <c r="D65146" s="0" t="s">
        <v>406</v>
      </c>
      <c r="E65146" s="0" t="s">
        <v>406</v>
      </c>
      <c r="F65146" s="0" t="s">
        <v>406</v>
      </c>
    </row>
    <row r="65147" customFormat="false" ht="12.8" hidden="false" customHeight="false" outlineLevel="0" collapsed="false">
      <c r="B65147" s="0" t="s">
        <v>48</v>
      </c>
      <c r="C65147" s="0" t="s">
        <v>22261</v>
      </c>
      <c r="D65147" s="0" t="s">
        <v>408</v>
      </c>
      <c r="E65147" s="0" t="s">
        <v>408</v>
      </c>
      <c r="F65147" s="0" t="s">
        <v>408</v>
      </c>
    </row>
    <row r="65149" customFormat="false" ht="12.8" hidden="false" customHeight="false" outlineLevel="0" collapsed="false">
      <c r="A65149" s="0" t="s">
        <v>22262</v>
      </c>
      <c r="B65149" s="0" t="str">
        <f aca="false">HYPERLINK("https://lindat.mff.cuni.cz/services/teitok/pdtc10/index.php?action=vallex&amp;frame=v-w8950f1", "zamezit (v-w8950f1)")</f>
        <v>zamezit (v-w8950f1)</v>
      </c>
    </row>
    <row r="65150" customFormat="false" ht="12.8" hidden="false" customHeight="false" outlineLevel="0" collapsed="false">
      <c r="B65150" s="0" t="s">
        <v>7</v>
      </c>
      <c r="C65150" s="0" t="s">
        <v>22263</v>
      </c>
      <c r="D65150" s="0" t="s">
        <v>252</v>
      </c>
      <c r="E65150" s="0" t="s">
        <v>253</v>
      </c>
      <c r="F65150" s="0" t="s">
        <v>253</v>
      </c>
    </row>
    <row r="65151" customFormat="false" ht="12.8" hidden="false" customHeight="false" outlineLevel="0" collapsed="false">
      <c r="B65151" s="0" t="s">
        <v>12635</v>
      </c>
      <c r="C65151" s="0" t="s">
        <v>22264</v>
      </c>
      <c r="D65151" s="0" t="s">
        <v>255</v>
      </c>
      <c r="E65151" s="0" t="s">
        <v>256</v>
      </c>
      <c r="F65151" s="0" t="s">
        <v>256</v>
      </c>
    </row>
    <row r="65153" customFormat="false" ht="12.8" hidden="false" customHeight="false" outlineLevel="0" collapsed="false">
      <c r="A65153" s="0" t="s">
        <v>22265</v>
      </c>
      <c r="B65153" s="0" t="str">
        <f aca="false">HYPERLINK("https://lindat.mff.cuni.cz/services/teitok/pdtc10/index.php?action=vallex&amp;frame=v-w8951f2", "zamezovat (v-w8951f2)")</f>
        <v>zamezovat (v-w8951f2)</v>
      </c>
    </row>
    <row r="65154" customFormat="false" ht="12.8" hidden="false" customHeight="false" outlineLevel="0" collapsed="false">
      <c r="B65154" s="0" t="s">
        <v>7</v>
      </c>
      <c r="C65154" s="0" t="s">
        <v>22266</v>
      </c>
      <c r="D65154" s="0" t="s">
        <v>403</v>
      </c>
      <c r="E65154" s="0" t="s">
        <v>403</v>
      </c>
      <c r="F65154" s="0" t="s">
        <v>403</v>
      </c>
    </row>
    <row r="65155" customFormat="false" ht="12.8" hidden="false" customHeight="false" outlineLevel="0" collapsed="false">
      <c r="B65155" s="0" t="s">
        <v>22260</v>
      </c>
      <c r="C65155" s="0" t="s">
        <v>22267</v>
      </c>
      <c r="D65155" s="0" t="s">
        <v>406</v>
      </c>
      <c r="E65155" s="0" t="s">
        <v>406</v>
      </c>
      <c r="F65155" s="0" t="s">
        <v>406</v>
      </c>
    </row>
    <row r="65156" customFormat="false" ht="12.8" hidden="false" customHeight="false" outlineLevel="0" collapsed="false">
      <c r="B65156" s="0" t="s">
        <v>48</v>
      </c>
      <c r="C65156" s="0" t="s">
        <v>3268</v>
      </c>
      <c r="D65156" s="0" t="s">
        <v>408</v>
      </c>
      <c r="E65156" s="0" t="s">
        <v>408</v>
      </c>
      <c r="F65156" s="0" t="s">
        <v>408</v>
      </c>
    </row>
    <row r="65158" customFormat="false" ht="12.8" hidden="false" customHeight="false" outlineLevel="0" collapsed="false">
      <c r="A65158" s="0" t="s">
        <v>22268</v>
      </c>
      <c r="B65158" s="0" t="str">
        <f aca="false">HYPERLINK("https://lindat.mff.cuni.cz/services/teitok/pdtc10/index.php?action=vallex&amp;frame=v-w8951f3", "zamezovat (v-w8951f3)")</f>
        <v>zamezovat (v-w8951f3)</v>
      </c>
    </row>
    <row r="65159" customFormat="false" ht="12.8" hidden="false" customHeight="false" outlineLevel="0" collapsed="false">
      <c r="B65159" s="0" t="s">
        <v>7</v>
      </c>
      <c r="C65159" s="0" t="s">
        <v>22269</v>
      </c>
      <c r="D65159" s="0" t="s">
        <v>252</v>
      </c>
      <c r="E65159" s="0" t="s">
        <v>253</v>
      </c>
      <c r="F65159" s="0" t="s">
        <v>253</v>
      </c>
    </row>
    <row r="65160" customFormat="false" ht="12.8" hidden="false" customHeight="false" outlineLevel="0" collapsed="false">
      <c r="B65160" s="0" t="s">
        <v>22270</v>
      </c>
      <c r="C65160" s="0" t="s">
        <v>22271</v>
      </c>
      <c r="D65160" s="0" t="s">
        <v>255</v>
      </c>
      <c r="E65160" s="0" t="s">
        <v>256</v>
      </c>
      <c r="F65160" s="0" t="s">
        <v>256</v>
      </c>
    </row>
    <row r="65162" customFormat="false" ht="12.8" hidden="false" customHeight="false" outlineLevel="0" collapsed="false">
      <c r="A65162" s="0" t="s">
        <v>22268</v>
      </c>
      <c r="B65162" s="0" t="str">
        <f aca="false">HYPERLINK("https://lindat.mff.cuni.cz/services/teitok/pdtc10/index.php?action=vallex&amp;frame=v-w8951f1", "zamezovat (v-w8951f1) - substituted with v-w8951f3")</f>
        <v>zamezovat (v-w8951f1) - substituted with v-w8951f3</v>
      </c>
    </row>
    <row r="65163" customFormat="false" ht="12.8" hidden="false" customHeight="false" outlineLevel="0" collapsed="false">
      <c r="B65163" s="0" t="s">
        <v>7</v>
      </c>
    </row>
    <row r="65164" customFormat="false" ht="12.8" hidden="false" customHeight="false" outlineLevel="0" collapsed="false">
      <c r="B65164" s="0" t="s">
        <v>22270</v>
      </c>
    </row>
    <row r="65166" customFormat="false" ht="12.8" hidden="false" customHeight="false" outlineLevel="0" collapsed="false">
      <c r="A65166" s="0" t="s">
        <v>22272</v>
      </c>
      <c r="B65166" s="0" t="str">
        <f aca="false">HYPERLINK("https://lindat.mff.cuni.cz/services/teitok/pdtc10/index.php?action=vallex&amp;frame=v-w8948f1", "zameškat (v-w8948f1)")</f>
        <v>zameškat (v-w8948f1)</v>
      </c>
    </row>
    <row r="65167" customFormat="false" ht="12.8" hidden="false" customHeight="false" outlineLevel="0" collapsed="false">
      <c r="B65167" s="0" t="s">
        <v>7</v>
      </c>
      <c r="D65167" s="0" t="s">
        <v>16539</v>
      </c>
      <c r="E65167" s="0" t="s">
        <v>16539</v>
      </c>
      <c r="F65167" s="0" t="s">
        <v>16539</v>
      </c>
    </row>
    <row r="65168" customFormat="false" ht="12.8" hidden="false" customHeight="false" outlineLevel="0" collapsed="false">
      <c r="B65168" s="0" t="s">
        <v>14</v>
      </c>
      <c r="D65168" s="0" t="s">
        <v>16540</v>
      </c>
      <c r="E65168" s="0" t="s">
        <v>16540</v>
      </c>
      <c r="F65168" s="0" t="s">
        <v>16540</v>
      </c>
    </row>
    <row r="65170" customFormat="false" ht="12.8" hidden="false" customHeight="false" outlineLevel="0" collapsed="false">
      <c r="A65170" s="0" t="s">
        <v>22273</v>
      </c>
      <c r="B65170" s="0" t="str">
        <f aca="false">HYPERLINK("https://lindat.mff.cuni.cz/services/teitok/pdtc10/index.php?action=vallex&amp;frame=v-w11847_ZUf1_ZU", "zamhouřit (v-w11847_ZUf1_ZU)")</f>
        <v>zamhouřit (v-w11847_ZUf1_ZU)</v>
      </c>
    </row>
    <row r="65171" customFormat="false" ht="12.8" hidden="false" customHeight="false" outlineLevel="0" collapsed="false">
      <c r="B65171" s="0" t="s">
        <v>7</v>
      </c>
    </row>
    <row r="65172" customFormat="false" ht="12.8" hidden="false" customHeight="false" outlineLevel="0" collapsed="false">
      <c r="B65172" s="0" t="s">
        <v>14</v>
      </c>
    </row>
    <row r="65174" customFormat="false" ht="12.8" hidden="false" customHeight="false" outlineLevel="0" collapsed="false">
      <c r="A65174" s="0" t="s">
        <v>22274</v>
      </c>
      <c r="B65174" s="0" t="str">
        <f aca="false">HYPERLINK("https://lindat.mff.cuni.cz/services/teitok/pdtc10/index.php?action=vallex&amp;frame=v-w8953f1", "zamilovat se (v-w8953f1)")</f>
        <v>zamilovat se (v-w8953f1)</v>
      </c>
    </row>
    <row r="65175" customFormat="false" ht="12.8" hidden="false" customHeight="false" outlineLevel="0" collapsed="false">
      <c r="B65175" s="0" t="s">
        <v>7</v>
      </c>
      <c r="C65175" s="0" t="s">
        <v>16</v>
      </c>
      <c r="D65175" s="0" t="s">
        <v>1874</v>
      </c>
      <c r="E65175" s="0" t="s">
        <v>1874</v>
      </c>
      <c r="F65175" s="0" t="s">
        <v>1874</v>
      </c>
    </row>
    <row r="65176" customFormat="false" ht="12.8" hidden="false" customHeight="false" outlineLevel="0" collapsed="false">
      <c r="B65176" s="0" t="s">
        <v>3745</v>
      </c>
      <c r="C65176" s="0" t="s">
        <v>22275</v>
      </c>
      <c r="D65176" s="0" t="s">
        <v>173</v>
      </c>
      <c r="E65176" s="0" t="s">
        <v>173</v>
      </c>
      <c r="F65176" s="0" t="s">
        <v>173</v>
      </c>
    </row>
    <row r="65178" customFormat="false" ht="12.8" hidden="false" customHeight="false" outlineLevel="0" collapsed="false">
      <c r="A65178" s="0" t="s">
        <v>22276</v>
      </c>
      <c r="B65178" s="0" t="str">
        <f aca="false">HYPERLINK("https://lindat.mff.cuni.cz/services/teitok/pdtc10/index.php?action=vallex&amp;frame=v-w8954f1", "zamilovat si (v-w8954f1)")</f>
        <v>zamilovat si (v-w8954f1)</v>
      </c>
    </row>
    <row r="65179" customFormat="false" ht="12.8" hidden="false" customHeight="false" outlineLevel="0" collapsed="false">
      <c r="B65179" s="0" t="s">
        <v>7</v>
      </c>
      <c r="C65179" s="0" t="s">
        <v>1874</v>
      </c>
    </row>
    <row r="65180" customFormat="false" ht="12.8" hidden="false" customHeight="false" outlineLevel="0" collapsed="false">
      <c r="B65180" s="0" t="s">
        <v>14</v>
      </c>
      <c r="C65180" s="0" t="s">
        <v>173</v>
      </c>
    </row>
    <row r="65182" customFormat="false" ht="12.8" hidden="false" customHeight="false" outlineLevel="0" collapsed="false">
      <c r="A65182" s="0" t="s">
        <v>22277</v>
      </c>
      <c r="B65182" s="0" t="str">
        <f aca="false">HYPERLINK("https://lindat.mff.cuni.cz/services/teitok/pdtc10/index.php?action=vallex&amp;frame=v-whsa_1534hsa_1535", "zamilovávat se (v-whsa_1534hsa_1535)")</f>
        <v>zamilovávat se (v-whsa_1534hsa_1535)</v>
      </c>
    </row>
    <row r="65183" customFormat="false" ht="12.8" hidden="false" customHeight="false" outlineLevel="0" collapsed="false">
      <c r="B65183" s="0" t="s">
        <v>7</v>
      </c>
    </row>
    <row r="65184" customFormat="false" ht="12.8" hidden="false" customHeight="false" outlineLevel="0" collapsed="false">
      <c r="B65184" s="0" t="s">
        <v>3745</v>
      </c>
    </row>
    <row r="65186" customFormat="false" ht="12.8" hidden="false" customHeight="false" outlineLevel="0" collapsed="false">
      <c r="A65186" s="0" t="s">
        <v>22278</v>
      </c>
      <c r="B65186" s="0" t="str">
        <f aca="false">HYPERLINK("https://lindat.mff.cuni.cz/services/teitok/pdtc10/index.php?action=vallex&amp;frame=v-w8959f3_ZU", "zamknout (v-w8959f3_ZU)")</f>
        <v>zamknout (v-w8959f3_ZU)</v>
      </c>
    </row>
    <row r="65187" customFormat="false" ht="12.8" hidden="false" customHeight="false" outlineLevel="0" collapsed="false">
      <c r="B65187" s="0" t="s">
        <v>7</v>
      </c>
    </row>
    <row r="65188" customFormat="false" ht="12.8" hidden="false" customHeight="false" outlineLevel="0" collapsed="false">
      <c r="B65188" s="0" t="s">
        <v>14</v>
      </c>
    </row>
    <row r="65189" customFormat="false" ht="12.8" hidden="false" customHeight="false" outlineLevel="0" collapsed="false">
      <c r="B65189" s="0" t="s">
        <v>3743</v>
      </c>
    </row>
    <row r="65191" customFormat="false" ht="12.8" hidden="false" customHeight="false" outlineLevel="0" collapsed="false">
      <c r="A65191" s="0" t="s">
        <v>22278</v>
      </c>
      <c r="B65191" s="0" t="str">
        <f aca="false">HYPERLINK("https://lindat.mff.cuni.cz/services/teitok/pdtc10/index.php?action=vallex&amp;frame=v-w8959f1", "zamknout (v-w8959f1) - substituted with v-w8959f3_ZU")</f>
        <v>zamknout (v-w8959f1) - substituted with v-w8959f3_ZU</v>
      </c>
    </row>
    <row r="65192" customFormat="false" ht="12.8" hidden="false" customHeight="false" outlineLevel="0" collapsed="false">
      <c r="B65192" s="0" t="s">
        <v>7</v>
      </c>
      <c r="C65192" s="0" t="s">
        <v>191</v>
      </c>
      <c r="D65192" s="0" t="s">
        <v>18548</v>
      </c>
      <c r="E65192" s="0" t="s">
        <v>18548</v>
      </c>
      <c r="F65192" s="0" t="s">
        <v>18548</v>
      </c>
    </row>
    <row r="65193" customFormat="false" ht="12.8" hidden="false" customHeight="false" outlineLevel="0" collapsed="false">
      <c r="B65193" s="0" t="s">
        <v>14</v>
      </c>
      <c r="D65193" s="0" t="s">
        <v>4407</v>
      </c>
      <c r="E65193" s="0" t="s">
        <v>452</v>
      </c>
      <c r="F65193" s="0" t="s">
        <v>452</v>
      </c>
    </row>
    <row r="65194" customFormat="false" ht="12.8" hidden="false" customHeight="false" outlineLevel="0" collapsed="false">
      <c r="B65194" s="0" t="s">
        <v>3743</v>
      </c>
    </row>
    <row r="65196" customFormat="false" ht="12.8" hidden="false" customHeight="false" outlineLevel="0" collapsed="false">
      <c r="A65196" s="0" t="s">
        <v>22279</v>
      </c>
      <c r="B65196" s="0" t="str">
        <f aca="false">HYPERLINK("https://lindat.mff.cuni.cz/services/teitok/pdtc10/index.php?action=vallex&amp;frame=v-w8959f2_ZU", "zamknout (v-w8959f2_ZU)")</f>
        <v>zamknout (v-w8959f2_ZU)</v>
      </c>
    </row>
    <row r="65197" customFormat="false" ht="12.8" hidden="false" customHeight="false" outlineLevel="0" collapsed="false">
      <c r="B65197" s="0" t="s">
        <v>7</v>
      </c>
    </row>
    <row r="65198" customFormat="false" ht="12.8" hidden="false" customHeight="false" outlineLevel="0" collapsed="false">
      <c r="B65198" s="0" t="s">
        <v>14</v>
      </c>
    </row>
    <row r="65200" customFormat="false" ht="12.8" hidden="false" customHeight="false" outlineLevel="0" collapsed="false">
      <c r="A65200" s="0" t="s">
        <v>22279</v>
      </c>
      <c r="B65200" s="0" t="str">
        <f aca="false">HYPERLINK("https://lindat.mff.cuni.cz/services/teitok/pdtc10/index.php?action=vallex&amp;frame=v-w8959hsa_1336", "zamknout (v-w8959hsa_1336) - substituted with v-w8959f2_ZU")</f>
        <v>zamknout (v-w8959hsa_1336) - substituted with v-w8959f2_ZU</v>
      </c>
    </row>
    <row r="65201" customFormat="false" ht="12.8" hidden="false" customHeight="false" outlineLevel="0" collapsed="false">
      <c r="B65201" s="0" t="s">
        <v>7</v>
      </c>
    </row>
    <row r="65202" customFormat="false" ht="12.8" hidden="false" customHeight="false" outlineLevel="0" collapsed="false">
      <c r="B65202" s="0" t="s">
        <v>14</v>
      </c>
    </row>
    <row r="65204" customFormat="false" ht="12.8" hidden="false" customHeight="false" outlineLevel="0" collapsed="false">
      <c r="A65204" s="0" t="s">
        <v>22280</v>
      </c>
      <c r="B65204" s="0" t="str">
        <f aca="false">HYPERLINK("https://lindat.mff.cuni.cz/services/teitok/pdtc10/index.php?action=vallex&amp;frame=v-w8962f1", "zamlouvat se (v-w8962f1)")</f>
        <v>zamlouvat se (v-w8962f1)</v>
      </c>
    </row>
    <row r="65205" customFormat="false" ht="12.8" hidden="false" customHeight="false" outlineLevel="0" collapsed="false">
      <c r="B65205" s="0" t="s">
        <v>603</v>
      </c>
      <c r="C65205" s="0" t="s">
        <v>22281</v>
      </c>
      <c r="D65205" s="0" t="s">
        <v>5094</v>
      </c>
      <c r="E65205" s="0" t="s">
        <v>5094</v>
      </c>
      <c r="F65205" s="0" t="s">
        <v>5094</v>
      </c>
    </row>
    <row r="65206" customFormat="false" ht="12.8" hidden="false" customHeight="false" outlineLevel="0" collapsed="false">
      <c r="B65206" s="0" t="s">
        <v>5095</v>
      </c>
      <c r="C65206" s="0" t="s">
        <v>22282</v>
      </c>
      <c r="D65206" s="0" t="s">
        <v>5096</v>
      </c>
      <c r="E65206" s="0" t="s">
        <v>5096</v>
      </c>
      <c r="F65206" s="0" t="s">
        <v>5096</v>
      </c>
    </row>
    <row r="65208" customFormat="false" ht="12.8" hidden="false" customHeight="false" outlineLevel="0" collapsed="false">
      <c r="A65208" s="0" t="s">
        <v>22283</v>
      </c>
      <c r="B65208" s="0" t="str">
        <f aca="false">HYPERLINK("https://lindat.mff.cuni.cz/services/teitok/pdtc10/index.php?action=vallex&amp;frame=v-w8963f1", "zamluvit (v-w8963f1)")</f>
        <v>zamluvit (v-w8963f1)</v>
      </c>
    </row>
    <row r="65209" customFormat="false" ht="12.8" hidden="false" customHeight="false" outlineLevel="0" collapsed="false">
      <c r="B65209" s="0" t="s">
        <v>7</v>
      </c>
    </row>
    <row r="65210" customFormat="false" ht="12.8" hidden="false" customHeight="false" outlineLevel="0" collapsed="false">
      <c r="B65210" s="0" t="s">
        <v>3742</v>
      </c>
      <c r="C65210" s="0" t="s">
        <v>155</v>
      </c>
    </row>
    <row r="65211" customFormat="false" ht="12.8" hidden="false" customHeight="false" outlineLevel="0" collapsed="false">
      <c r="B65211" s="0" t="s">
        <v>293</v>
      </c>
    </row>
    <row r="65213" customFormat="false" ht="12.8" hidden="false" customHeight="false" outlineLevel="0" collapsed="false">
      <c r="A65213" s="0" t="s">
        <v>22284</v>
      </c>
      <c r="B65213" s="0" t="str">
        <f aca="false">HYPERLINK("https://lindat.mff.cuni.cz/services/teitok/pdtc10/index.php?action=vallex&amp;frame=v-w8963f2", "zamluvit (v-w8963f2)")</f>
        <v>zamluvit (v-w8963f2)</v>
      </c>
    </row>
    <row r="65214" customFormat="false" ht="12.8" hidden="false" customHeight="false" outlineLevel="0" collapsed="false">
      <c r="B65214" s="0" t="s">
        <v>7</v>
      </c>
      <c r="D65214" s="0" t="s">
        <v>3610</v>
      </c>
      <c r="E65214" s="0" t="s">
        <v>3610</v>
      </c>
      <c r="F65214" s="0" t="s">
        <v>3610</v>
      </c>
    </row>
    <row r="65215" customFormat="false" ht="12.8" hidden="false" customHeight="false" outlineLevel="0" collapsed="false">
      <c r="B65215" s="0" t="s">
        <v>14</v>
      </c>
      <c r="D65215" s="0" t="s">
        <v>7844</v>
      </c>
      <c r="E65215" s="0" t="s">
        <v>7844</v>
      </c>
      <c r="F65215" s="0" t="s">
        <v>7844</v>
      </c>
    </row>
    <row r="65217" customFormat="false" ht="12.8" hidden="false" customHeight="false" outlineLevel="0" collapsed="false">
      <c r="A65217" s="0" t="s">
        <v>22285</v>
      </c>
      <c r="B65217" s="0" t="str">
        <f aca="false">HYPERLINK("https://lindat.mff.cuni.cz/services/teitok/pdtc10/index.php?action=vallex&amp;frame=v-w8960f1", "zamlčet (v-w8960f1)")</f>
        <v>zamlčet (v-w8960f1)</v>
      </c>
    </row>
    <row r="65218" customFormat="false" ht="12.8" hidden="false" customHeight="false" outlineLevel="0" collapsed="false">
      <c r="B65218" s="0" t="s">
        <v>7</v>
      </c>
      <c r="C65218" s="0" t="s">
        <v>191</v>
      </c>
      <c r="D65218" s="0" t="s">
        <v>4999</v>
      </c>
      <c r="E65218" s="0" t="s">
        <v>4999</v>
      </c>
      <c r="F65218" s="0" t="s">
        <v>4999</v>
      </c>
    </row>
    <row r="65219" customFormat="false" ht="12.8" hidden="false" customHeight="false" outlineLevel="0" collapsed="false">
      <c r="B65219" s="0" t="s">
        <v>3742</v>
      </c>
      <c r="C65219" s="0" t="s">
        <v>120</v>
      </c>
      <c r="D65219" s="0" t="s">
        <v>5000</v>
      </c>
      <c r="E65219" s="0" t="s">
        <v>5000</v>
      </c>
      <c r="F65219" s="0" t="s">
        <v>5000</v>
      </c>
    </row>
    <row r="65220" customFormat="false" ht="12.8" hidden="false" customHeight="false" outlineLevel="0" collapsed="false">
      <c r="B65220" s="0" t="s">
        <v>293</v>
      </c>
      <c r="C65220" s="0" t="s">
        <v>1165</v>
      </c>
      <c r="D65220" s="0" t="s">
        <v>5001</v>
      </c>
      <c r="E65220" s="0" t="s">
        <v>5001</v>
      </c>
      <c r="F65220" s="0" t="s">
        <v>5001</v>
      </c>
    </row>
    <row r="65222" customFormat="false" ht="12.8" hidden="false" customHeight="false" outlineLevel="0" collapsed="false">
      <c r="A65222" s="0" t="s">
        <v>22286</v>
      </c>
      <c r="B65222" s="0" t="str">
        <f aca="false">HYPERLINK("https://lindat.mff.cuni.cz/services/teitok/pdtc10/index.php?action=vallex&amp;frame=v-w8961f1", "zamlčovat (v-w8961f1)")</f>
        <v>zamlčovat (v-w8961f1)</v>
      </c>
    </row>
    <row r="65223" customFormat="false" ht="12.8" hidden="false" customHeight="false" outlineLevel="0" collapsed="false">
      <c r="B65223" s="0" t="s">
        <v>7</v>
      </c>
      <c r="D65223" s="0" t="s">
        <v>4999</v>
      </c>
      <c r="E65223" s="0" t="s">
        <v>4999</v>
      </c>
      <c r="F65223" s="0" t="s">
        <v>4999</v>
      </c>
    </row>
    <row r="65224" customFormat="false" ht="12.8" hidden="false" customHeight="false" outlineLevel="0" collapsed="false">
      <c r="B65224" s="0" t="s">
        <v>3742</v>
      </c>
      <c r="D65224" s="0" t="s">
        <v>5000</v>
      </c>
      <c r="E65224" s="0" t="s">
        <v>5000</v>
      </c>
      <c r="F65224" s="0" t="s">
        <v>5000</v>
      </c>
    </row>
    <row r="65225" customFormat="false" ht="12.8" hidden="false" customHeight="false" outlineLevel="0" collapsed="false">
      <c r="B65225" s="0" t="s">
        <v>293</v>
      </c>
      <c r="D65225" s="0" t="s">
        <v>5001</v>
      </c>
      <c r="E65225" s="0" t="s">
        <v>5001</v>
      </c>
      <c r="F65225" s="0" t="s">
        <v>5001</v>
      </c>
    </row>
    <row r="65227" customFormat="false" ht="12.8" hidden="false" customHeight="false" outlineLevel="0" collapsed="false">
      <c r="A65227" s="0" t="s">
        <v>22287</v>
      </c>
      <c r="B65227" s="0" t="str">
        <f aca="false">HYPERLINK("https://lindat.mff.cuni.cz/services/teitok/pdtc10/index.php?action=vallex&amp;frame=v-w10368f2", "zamlžit (v-w10368f2)")</f>
        <v>zamlžit (v-w10368f2)</v>
      </c>
    </row>
    <row r="65228" customFormat="false" ht="12.8" hidden="false" customHeight="false" outlineLevel="0" collapsed="false">
      <c r="B65228" s="0" t="s">
        <v>7</v>
      </c>
      <c r="C65228" s="0" t="s">
        <v>31</v>
      </c>
      <c r="D65228" s="0" t="s">
        <v>623</v>
      </c>
      <c r="E65228" s="0" t="s">
        <v>623</v>
      </c>
      <c r="F65228" s="0" t="s">
        <v>623</v>
      </c>
    </row>
    <row r="65229" customFormat="false" ht="12.8" hidden="false" customHeight="false" outlineLevel="0" collapsed="false">
      <c r="B65229" s="0" t="s">
        <v>3742</v>
      </c>
      <c r="C65229" s="0" t="s">
        <v>461</v>
      </c>
      <c r="D65229" s="0" t="s">
        <v>487</v>
      </c>
      <c r="E65229" s="0" t="s">
        <v>487</v>
      </c>
      <c r="F65229" s="0" t="s">
        <v>487</v>
      </c>
    </row>
    <row r="65230" customFormat="false" ht="12.8" hidden="false" customHeight="false" outlineLevel="0" collapsed="false">
      <c r="B65230" s="0" t="s">
        <v>293</v>
      </c>
    </row>
    <row r="65232" customFormat="false" ht="12.8" hidden="false" customHeight="false" outlineLevel="0" collapsed="false">
      <c r="A65232" s="0" t="s">
        <v>22288</v>
      </c>
      <c r="B65232" s="0" t="str">
        <f aca="false">HYPERLINK("https://lindat.mff.cuni.cz/services/teitok/pdtc10/index.php?action=vallex&amp;frame=v-w8965f1", "zamlžovat (v-w8965f1)")</f>
        <v>zamlžovat (v-w8965f1)</v>
      </c>
    </row>
    <row r="65233" customFormat="false" ht="12.8" hidden="false" customHeight="false" outlineLevel="0" collapsed="false">
      <c r="B65233" s="0" t="s">
        <v>7</v>
      </c>
      <c r="D65233" s="0" t="s">
        <v>623</v>
      </c>
      <c r="E65233" s="0" t="s">
        <v>623</v>
      </c>
      <c r="F65233" s="0" t="s">
        <v>623</v>
      </c>
    </row>
    <row r="65234" customFormat="false" ht="12.8" hidden="false" customHeight="false" outlineLevel="0" collapsed="false">
      <c r="B65234" s="0" t="s">
        <v>3742</v>
      </c>
      <c r="C65234" s="0" t="s">
        <v>47</v>
      </c>
      <c r="D65234" s="0" t="s">
        <v>487</v>
      </c>
      <c r="E65234" s="0" t="s">
        <v>487</v>
      </c>
      <c r="F65234" s="0" t="s">
        <v>487</v>
      </c>
    </row>
    <row r="65235" customFormat="false" ht="12.8" hidden="false" customHeight="false" outlineLevel="0" collapsed="false">
      <c r="B65235" s="0" t="s">
        <v>293</v>
      </c>
    </row>
    <row r="65237" customFormat="false" ht="12.8" hidden="false" customHeight="false" outlineLevel="0" collapsed="false">
      <c r="A65237" s="0" t="s">
        <v>22289</v>
      </c>
      <c r="B65237" s="0" t="str">
        <f aca="false">HYPERLINK("https://lindat.mff.cuni.cz/services/teitok/pdtc10/index.php?action=vallex&amp;frame=v-w8966f1", "zamnout si (v-w8966f1)")</f>
        <v>zamnout si (v-w8966f1)</v>
      </c>
    </row>
    <row r="65238" customFormat="false" ht="12.8" hidden="false" customHeight="false" outlineLevel="0" collapsed="false">
      <c r="B65238" s="0" t="s">
        <v>7</v>
      </c>
    </row>
    <row r="65239" customFormat="false" ht="12.8" hidden="false" customHeight="false" outlineLevel="0" collapsed="false">
      <c r="B65239" s="0" t="s">
        <v>17891</v>
      </c>
    </row>
    <row r="65241" customFormat="false" ht="12.8" hidden="false" customHeight="false" outlineLevel="0" collapsed="false">
      <c r="A65241" s="0" t="s">
        <v>22290</v>
      </c>
      <c r="B65241" s="0" t="str">
        <f aca="false">HYPERLINK("https://lindat.mff.cuni.cz/services/teitok/pdtc10/index.php?action=vallex&amp;frame=v-w11058f2", "zamotat (v-w11058f2)")</f>
        <v>zamotat (v-w11058f2)</v>
      </c>
    </row>
    <row r="65242" customFormat="false" ht="12.8" hidden="false" customHeight="false" outlineLevel="0" collapsed="false">
      <c r="B65242" s="0" t="s">
        <v>7</v>
      </c>
    </row>
    <row r="65243" customFormat="false" ht="12.8" hidden="false" customHeight="false" outlineLevel="0" collapsed="false">
      <c r="B65243" s="0" t="s">
        <v>14</v>
      </c>
    </row>
    <row r="65245" customFormat="false" ht="12.8" hidden="false" customHeight="false" outlineLevel="0" collapsed="false">
      <c r="A65245" s="0" t="s">
        <v>22291</v>
      </c>
      <c r="B65245" s="0" t="str">
        <f aca="false">HYPERLINK("https://lindat.mff.cuni.cz/services/teitok/pdtc10/index.php?action=vallex&amp;frame=v-w11058hsa_1908", "zamotat (v-w11058hsa_1908)")</f>
        <v>zamotat (v-w11058hsa_1908)</v>
      </c>
    </row>
    <row r="65246" customFormat="false" ht="12.8" hidden="false" customHeight="false" outlineLevel="0" collapsed="false">
      <c r="B65246" s="0" t="s">
        <v>7</v>
      </c>
    </row>
    <row r="65247" customFormat="false" ht="12.8" hidden="false" customHeight="false" outlineLevel="0" collapsed="false">
      <c r="B65247" s="0" t="s">
        <v>14</v>
      </c>
    </row>
    <row r="65249" customFormat="false" ht="12.8" hidden="false" customHeight="false" outlineLevel="0" collapsed="false">
      <c r="A65249" s="0" t="s">
        <v>22292</v>
      </c>
      <c r="B65249" s="0" t="str">
        <f aca="false">HYPERLINK("https://lindat.mff.cuni.cz/services/teitok/pdtc10/index.php?action=vallex&amp;frame=v-w11452f1", "zamotat se (v-w11452f1)")</f>
        <v>zamotat se (v-w11452f1)</v>
      </c>
    </row>
    <row r="65250" customFormat="false" ht="12.8" hidden="false" customHeight="false" outlineLevel="0" collapsed="false">
      <c r="B65250" s="0" t="s">
        <v>7</v>
      </c>
    </row>
    <row r="65251" customFormat="false" ht="12.8" hidden="false" customHeight="false" outlineLevel="0" collapsed="false">
      <c r="B65251" s="0" t="s">
        <v>985</v>
      </c>
    </row>
    <row r="65253" customFormat="false" ht="12.8" hidden="false" customHeight="false" outlineLevel="0" collapsed="false">
      <c r="A65253" s="0" t="s">
        <v>22293</v>
      </c>
      <c r="B65253" s="0" t="str">
        <f aca="false">HYPERLINK("https://lindat.mff.cuni.cz/services/teitok/pdtc10/index.php?action=vallex&amp;frame=v-w11452f2", "zamotat se (v-w11452f2)")</f>
        <v>zamotat se (v-w11452f2)</v>
      </c>
    </row>
    <row r="65254" customFormat="false" ht="12.8" hidden="false" customHeight="false" outlineLevel="0" collapsed="false">
      <c r="B65254" s="0" t="s">
        <v>7</v>
      </c>
    </row>
    <row r="65255" customFormat="false" ht="12.8" hidden="false" customHeight="false" outlineLevel="0" collapsed="false">
      <c r="B65255" s="0" t="s">
        <v>124</v>
      </c>
    </row>
    <row r="65257" customFormat="false" ht="12.8" hidden="false" customHeight="false" outlineLevel="0" collapsed="false">
      <c r="A65257" s="0" t="s">
        <v>22294</v>
      </c>
      <c r="B65257" s="0" t="str">
        <f aca="false">HYPERLINK("https://lindat.mff.cuni.cz/services/teitok/pdtc10/index.php?action=vallex&amp;frame=v-w11452f3_ZU", "zamotat se (v-w11452f3_ZU)")</f>
        <v>zamotat se (v-w11452f3_ZU)</v>
      </c>
    </row>
    <row r="65258" customFormat="false" ht="12.8" hidden="false" customHeight="false" outlineLevel="0" collapsed="false">
      <c r="B65258" s="0" t="s">
        <v>7</v>
      </c>
    </row>
    <row r="65260" customFormat="false" ht="12.8" hidden="false" customHeight="false" outlineLevel="0" collapsed="false">
      <c r="A65260" s="0" t="s">
        <v>22295</v>
      </c>
      <c r="B65260" s="0" t="str">
        <f aca="false">HYPERLINK("https://lindat.mff.cuni.cz/services/teitok/pdtc10/index.php?action=vallex&amp;frame=v-w11452hsa_314", "zamotat se (v-w11452hsa_314)")</f>
        <v>zamotat se (v-w11452hsa_314)</v>
      </c>
    </row>
    <row r="65261" customFormat="false" ht="12.8" hidden="false" customHeight="false" outlineLevel="0" collapsed="false">
      <c r="B65261" s="0" t="s">
        <v>7</v>
      </c>
    </row>
    <row r="65263" customFormat="false" ht="12.8" hidden="false" customHeight="false" outlineLevel="0" collapsed="false">
      <c r="A65263" s="0" t="s">
        <v>22296</v>
      </c>
      <c r="B65263" s="0" t="str">
        <f aca="false">HYPERLINK("https://lindat.mff.cuni.cz/services/teitok/pdtc10/index.php?action=vallex&amp;frame=v-w11023f2", "zamotávat (v-w11023f2)")</f>
        <v>zamotávat (v-w11023f2)</v>
      </c>
    </row>
    <row r="65264" customFormat="false" ht="12.8" hidden="false" customHeight="false" outlineLevel="0" collapsed="false">
      <c r="B65264" s="0" t="s">
        <v>7</v>
      </c>
    </row>
    <row r="65265" customFormat="false" ht="12.8" hidden="false" customHeight="false" outlineLevel="0" collapsed="false">
      <c r="B65265" s="0" t="s">
        <v>14</v>
      </c>
    </row>
    <row r="65267" customFormat="false" ht="12.8" hidden="false" customHeight="false" outlineLevel="0" collapsed="false">
      <c r="A65267" s="0" t="s">
        <v>22297</v>
      </c>
      <c r="B65267" s="0" t="str">
        <f aca="false">HYPERLINK("https://lindat.mff.cuni.cz/services/teitok/pdtc10/index.php?action=vallex&amp;frame=v-w8969f1", "zamořit (v-w8969f1)")</f>
        <v>zamořit (v-w8969f1)</v>
      </c>
    </row>
    <row r="65268" customFormat="false" ht="12.8" hidden="false" customHeight="false" outlineLevel="0" collapsed="false">
      <c r="B65268" s="0" t="s">
        <v>7</v>
      </c>
      <c r="C65268" s="0" t="s">
        <v>1702</v>
      </c>
      <c r="D65268" s="0" t="s">
        <v>2062</v>
      </c>
      <c r="E65268" s="0" t="s">
        <v>2062</v>
      </c>
      <c r="F65268" s="0" t="s">
        <v>2062</v>
      </c>
    </row>
    <row r="65269" customFormat="false" ht="12.8" hidden="false" customHeight="false" outlineLevel="0" collapsed="false">
      <c r="B65269" s="0" t="s">
        <v>14</v>
      </c>
      <c r="C65269" s="0" t="s">
        <v>33</v>
      </c>
      <c r="D65269" s="0" t="s">
        <v>2065</v>
      </c>
      <c r="E65269" s="0" t="s">
        <v>2065</v>
      </c>
      <c r="F65269" s="0" t="s">
        <v>2065</v>
      </c>
    </row>
    <row r="65271" customFormat="false" ht="12.8" hidden="false" customHeight="false" outlineLevel="0" collapsed="false">
      <c r="A65271" s="0" t="s">
        <v>22298</v>
      </c>
      <c r="B65271" s="0" t="str">
        <f aca="false">HYPERLINK("https://lindat.mff.cuni.cz/services/teitok/pdtc10/index.php?action=vallex&amp;frame=v-w11926_ZUf1_ZU", "zamražovat (v-w11926_ZUf1_ZU)")</f>
        <v>zamražovat (v-w11926_ZUf1_ZU)</v>
      </c>
    </row>
    <row r="65272" customFormat="false" ht="12.8" hidden="false" customHeight="false" outlineLevel="0" collapsed="false">
      <c r="B65272" s="0" t="s">
        <v>7</v>
      </c>
    </row>
    <row r="65273" customFormat="false" ht="12.8" hidden="false" customHeight="false" outlineLevel="0" collapsed="false">
      <c r="B65273" s="0" t="s">
        <v>14</v>
      </c>
    </row>
    <row r="65275" customFormat="false" ht="12.8" hidden="false" customHeight="false" outlineLevel="0" collapsed="false">
      <c r="A65275" s="0" t="s">
        <v>22299</v>
      </c>
      <c r="B65275" s="0" t="str">
        <f aca="false">HYPERLINK("https://lindat.mff.cuni.cz/services/teitok/pdtc10/index.php?action=vallex&amp;frame=v-w8971f2", "zamručet (v-w8971f2)")</f>
        <v>zamručet (v-w8971f2)</v>
      </c>
    </row>
    <row r="65276" customFormat="false" ht="12.8" hidden="false" customHeight="false" outlineLevel="0" collapsed="false">
      <c r="B65276" s="0" t="s">
        <v>7</v>
      </c>
      <c r="D65276" s="0" t="s">
        <v>184</v>
      </c>
      <c r="E65276" s="0" t="s">
        <v>184</v>
      </c>
      <c r="F65276" s="0" t="s">
        <v>184</v>
      </c>
    </row>
    <row r="65277" customFormat="false" ht="12.8" hidden="false" customHeight="false" outlineLevel="0" collapsed="false">
      <c r="B65277" s="0" t="s">
        <v>22300</v>
      </c>
      <c r="D65277" s="0" t="s">
        <v>47</v>
      </c>
      <c r="E65277" s="0" t="s">
        <v>47</v>
      </c>
      <c r="F65277" s="0" t="s">
        <v>47</v>
      </c>
    </row>
    <row r="65279" customFormat="false" ht="12.8" hidden="false" customHeight="false" outlineLevel="0" collapsed="false">
      <c r="A65279" s="0" t="s">
        <v>22301</v>
      </c>
      <c r="B65279" s="0" t="str">
        <f aca="false">HYPERLINK("https://lindat.mff.cuni.cz/services/teitok/pdtc10/index.php?action=vallex&amp;frame=v-w8971f1", "zamručet (v-w8971f1)")</f>
        <v>zamručet (v-w8971f1)</v>
      </c>
    </row>
    <row r="65280" customFormat="false" ht="12.8" hidden="false" customHeight="false" outlineLevel="0" collapsed="false">
      <c r="B65280" s="0" t="s">
        <v>7</v>
      </c>
    </row>
    <row r="65282" customFormat="false" ht="12.8" hidden="false" customHeight="false" outlineLevel="0" collapsed="false">
      <c r="A65282" s="0" t="s">
        <v>22302</v>
      </c>
      <c r="B65282" s="0" t="str">
        <f aca="false">HYPERLINK("https://lindat.mff.cuni.cz/services/teitok/pdtc10/index.php?action=vallex&amp;frame=v-w12010_ZUf1_ZU", "zamrzet (v-w12010_ZUf1_ZU)")</f>
        <v>zamrzet (v-w12010_ZUf1_ZU)</v>
      </c>
    </row>
    <row r="65283" customFormat="false" ht="12.8" hidden="false" customHeight="false" outlineLevel="0" collapsed="false">
      <c r="B65283" s="0" t="s">
        <v>199</v>
      </c>
    </row>
    <row r="65284" customFormat="false" ht="12.8" hidden="false" customHeight="false" outlineLevel="0" collapsed="false">
      <c r="B65284" s="0" t="s">
        <v>328</v>
      </c>
    </row>
    <row r="65286" customFormat="false" ht="12.8" hidden="false" customHeight="false" outlineLevel="0" collapsed="false">
      <c r="A65286" s="0" t="s">
        <v>22303</v>
      </c>
      <c r="B65286" s="0" t="str">
        <f aca="false">HYPERLINK("https://lindat.mff.cuni.cz/services/teitok/pdtc10/index.php?action=vallex&amp;frame=v-whsa_1949hsa_1950", "zamrznout (v-whsa_1949hsa_1950)")</f>
        <v>zamrznout (v-whsa_1949hsa_1950)</v>
      </c>
    </row>
    <row r="65287" customFormat="false" ht="12.8" hidden="false" customHeight="false" outlineLevel="0" collapsed="false">
      <c r="B65287" s="0" t="s">
        <v>7</v>
      </c>
    </row>
    <row r="65289" customFormat="false" ht="12.8" hidden="false" customHeight="false" outlineLevel="0" collapsed="false">
      <c r="A65289" s="0" t="s">
        <v>22304</v>
      </c>
      <c r="B65289" s="0" t="str">
        <f aca="false">HYPERLINK("https://lindat.mff.cuni.cz/services/teitok/pdtc10/index.php?action=vallex&amp;frame=v-w8973f1", "zamykat (v-w8973f1)")</f>
        <v>zamykat (v-w8973f1)</v>
      </c>
    </row>
    <row r="65290" customFormat="false" ht="12.8" hidden="false" customHeight="false" outlineLevel="0" collapsed="false">
      <c r="B65290" s="0" t="s">
        <v>7</v>
      </c>
      <c r="D65290" s="0" t="s">
        <v>18548</v>
      </c>
      <c r="E65290" s="0" t="s">
        <v>18548</v>
      </c>
      <c r="F65290" s="0" t="s">
        <v>18548</v>
      </c>
    </row>
    <row r="65291" customFormat="false" ht="12.8" hidden="false" customHeight="false" outlineLevel="0" collapsed="false">
      <c r="B65291" s="0" t="s">
        <v>14</v>
      </c>
      <c r="D65291" s="0" t="s">
        <v>4407</v>
      </c>
      <c r="E65291" s="0" t="s">
        <v>452</v>
      </c>
      <c r="F65291" s="0" t="s">
        <v>452</v>
      </c>
    </row>
    <row r="65293" customFormat="false" ht="12.8" hidden="false" customHeight="false" outlineLevel="0" collapsed="false">
      <c r="A65293" s="0" t="s">
        <v>22305</v>
      </c>
      <c r="B65293" s="0" t="str">
        <f aca="false">HYPERLINK("https://lindat.mff.cuni.cz/services/teitok/pdtc10/index.php?action=vallex&amp;frame=v-w8974f1", "zamyslet se (v-w8974f1)")</f>
        <v>zamyslet se (v-w8974f1)</v>
      </c>
    </row>
    <row r="65294" customFormat="false" ht="12.8" hidden="false" customHeight="false" outlineLevel="0" collapsed="false">
      <c r="B65294" s="0" t="s">
        <v>7</v>
      </c>
      <c r="C65294" s="0" t="s">
        <v>2583</v>
      </c>
      <c r="D65294" s="0" t="s">
        <v>515</v>
      </c>
      <c r="E65294" s="0" t="s">
        <v>515</v>
      </c>
      <c r="F65294" s="0" t="s">
        <v>515</v>
      </c>
    </row>
    <row r="65295" customFormat="false" ht="12.8" hidden="false" customHeight="false" outlineLevel="0" collapsed="false">
      <c r="B65295" s="0" t="s">
        <v>22306</v>
      </c>
      <c r="C65295" s="0" t="s">
        <v>22307</v>
      </c>
      <c r="D65295" s="0" t="s">
        <v>519</v>
      </c>
      <c r="E65295" s="0" t="s">
        <v>519</v>
      </c>
      <c r="F65295" s="0" t="s">
        <v>519</v>
      </c>
    </row>
    <row r="65297" customFormat="false" ht="12.8" hidden="false" customHeight="false" outlineLevel="0" collapsed="false">
      <c r="A65297" s="0" t="s">
        <v>22308</v>
      </c>
      <c r="B65297" s="0" t="str">
        <f aca="false">HYPERLINK("https://lindat.mff.cuni.cz/services/teitok/pdtc10/index.php?action=vallex&amp;frame=v-w8975f1", "zamyslit se (v-w8975f1)")</f>
        <v>zamyslit se (v-w8975f1)</v>
      </c>
    </row>
    <row r="65298" customFormat="false" ht="12.8" hidden="false" customHeight="false" outlineLevel="0" collapsed="false">
      <c r="B65298" s="0" t="s">
        <v>7</v>
      </c>
    </row>
    <row r="65299" customFormat="false" ht="12.8" hidden="false" customHeight="false" outlineLevel="0" collapsed="false">
      <c r="B65299" s="0" t="s">
        <v>22306</v>
      </c>
    </row>
    <row r="65301" customFormat="false" ht="12.8" hidden="false" customHeight="false" outlineLevel="0" collapsed="false">
      <c r="A65301" s="0" t="s">
        <v>22309</v>
      </c>
      <c r="B65301" s="0" t="str">
        <f aca="false">HYPERLINK("https://lindat.mff.cuni.cz/services/teitok/pdtc10/index.php?action=vallex&amp;frame=v-w8930hsa_186", "zamávat (v-w8930hsa_186)")</f>
        <v>zamávat (v-w8930hsa_186)</v>
      </c>
    </row>
    <row r="65302" customFormat="false" ht="12.8" hidden="false" customHeight="false" outlineLevel="0" collapsed="false">
      <c r="B65302" s="0" t="s">
        <v>7</v>
      </c>
      <c r="C65302" s="0" t="s">
        <v>113</v>
      </c>
      <c r="D65302" s="0" t="s">
        <v>2736</v>
      </c>
      <c r="E65302" s="0" t="s">
        <v>31</v>
      </c>
      <c r="F65302" s="0" t="s">
        <v>31</v>
      </c>
    </row>
    <row r="65303" customFormat="false" ht="12.8" hidden="false" customHeight="false" outlineLevel="0" collapsed="false">
      <c r="B65303" s="0" t="s">
        <v>3771</v>
      </c>
      <c r="D65303" s="0" t="s">
        <v>487</v>
      </c>
      <c r="E65303" s="0" t="s">
        <v>33</v>
      </c>
      <c r="F65303" s="0" t="s">
        <v>33</v>
      </c>
    </row>
    <row r="65304" customFormat="false" ht="12.8" hidden="false" customHeight="false" outlineLevel="0" collapsed="false">
      <c r="B65304" s="0" t="s">
        <v>5541</v>
      </c>
      <c r="C65304" s="0" t="s">
        <v>5534</v>
      </c>
      <c r="D65304" s="0" t="s">
        <v>5534</v>
      </c>
      <c r="E65304" s="0" t="s">
        <v>5534</v>
      </c>
      <c r="F65304" s="0" t="s">
        <v>5534</v>
      </c>
    </row>
    <row r="65306" customFormat="false" ht="12.8" hidden="false" customHeight="false" outlineLevel="0" collapsed="false">
      <c r="A65306" s="0" t="s">
        <v>22309</v>
      </c>
      <c r="B65306" s="0" t="str">
        <f aca="false">HYPERLINK("https://lindat.mff.cuni.cz/services/teitok/pdtc10/index.php?action=vallex&amp;frame=v-w8930f2", "zamávat (v-w8930f2) - substituted with v-w8930hsa_186")</f>
        <v>zamávat (v-w8930f2) - substituted with v-w8930hsa_186</v>
      </c>
    </row>
    <row r="65307" customFormat="false" ht="12.8" hidden="false" customHeight="false" outlineLevel="0" collapsed="false">
      <c r="B65307" s="0" t="s">
        <v>7</v>
      </c>
    </row>
    <row r="65308" customFormat="false" ht="12.8" hidden="false" customHeight="false" outlineLevel="0" collapsed="false">
      <c r="B65308" s="0" t="s">
        <v>3771</v>
      </c>
    </row>
    <row r="65309" customFormat="false" ht="12.8" hidden="false" customHeight="false" outlineLevel="0" collapsed="false">
      <c r="B65309" s="0" t="s">
        <v>5541</v>
      </c>
    </row>
    <row r="65311" customFormat="false" ht="12.8" hidden="false" customHeight="false" outlineLevel="0" collapsed="false">
      <c r="A65311" s="0" t="s">
        <v>22310</v>
      </c>
      <c r="B65311" s="0" t="str">
        <f aca="false">HYPERLINK("https://lindat.mff.cuni.cz/services/teitok/pdtc10/index.php?action=vallex&amp;frame=v-w8930f1", "zamávat (v-w8930f1)")</f>
        <v>zamávat (v-w8930f1)</v>
      </c>
    </row>
    <row r="65312" customFormat="false" ht="12.8" hidden="false" customHeight="false" outlineLevel="0" collapsed="false">
      <c r="B65312" s="0" t="s">
        <v>7</v>
      </c>
      <c r="D65312" s="0" t="s">
        <v>31</v>
      </c>
      <c r="E65312" s="0" t="s">
        <v>31</v>
      </c>
      <c r="F65312" s="0" t="s">
        <v>31</v>
      </c>
    </row>
    <row r="65313" customFormat="false" ht="12.8" hidden="false" customHeight="false" outlineLevel="0" collapsed="false">
      <c r="B65313" s="0" t="s">
        <v>216</v>
      </c>
      <c r="D65313" s="0" t="s">
        <v>78</v>
      </c>
      <c r="E65313" s="0" t="s">
        <v>78</v>
      </c>
      <c r="F65313" s="0" t="s">
        <v>78</v>
      </c>
    </row>
    <row r="65315" customFormat="false" ht="12.8" hidden="false" customHeight="false" outlineLevel="0" collapsed="false">
      <c r="A65315" s="0" t="s">
        <v>22311</v>
      </c>
      <c r="B65315" s="0" t="str">
        <f aca="false">HYPERLINK("https://lindat.mff.cuni.cz/services/teitok/pdtc10/index.php?action=vallex&amp;frame=v-w8928f2", "zamáčknout (v-w8928f2)")</f>
        <v>zamáčknout (v-w8928f2)</v>
      </c>
    </row>
    <row r="65316" customFormat="false" ht="12.8" hidden="false" customHeight="false" outlineLevel="0" collapsed="false">
      <c r="B65316" s="0" t="s">
        <v>7</v>
      </c>
    </row>
    <row r="65317" customFormat="false" ht="12.8" hidden="false" customHeight="false" outlineLevel="0" collapsed="false">
      <c r="B65317" s="0" t="s">
        <v>14</v>
      </c>
    </row>
    <row r="65318" customFormat="false" ht="12.8" hidden="false" customHeight="false" outlineLevel="0" collapsed="false">
      <c r="B65318" s="0" t="s">
        <v>124</v>
      </c>
    </row>
    <row r="65320" customFormat="false" ht="12.8" hidden="false" customHeight="false" outlineLevel="0" collapsed="false">
      <c r="A65320" s="0" t="s">
        <v>22312</v>
      </c>
      <c r="B65320" s="0" t="str">
        <f aca="false">HYPERLINK("https://lindat.mff.cuni.cz/services/teitok/pdtc10/index.php?action=vallex&amp;frame=v-w8928f1", "zamáčknout (v-w8928f1)")</f>
        <v>zamáčknout (v-w8928f1)</v>
      </c>
    </row>
    <row r="65321" customFormat="false" ht="12.8" hidden="false" customHeight="false" outlineLevel="0" collapsed="false">
      <c r="B65321" s="0" t="s">
        <v>7</v>
      </c>
    </row>
    <row r="65322" customFormat="false" ht="12.8" hidden="false" customHeight="false" outlineLevel="0" collapsed="false">
      <c r="B65322" s="0" t="s">
        <v>14</v>
      </c>
    </row>
    <row r="65324" customFormat="false" ht="12.8" hidden="false" customHeight="false" outlineLevel="0" collapsed="false">
      <c r="A65324" s="0" t="s">
        <v>22313</v>
      </c>
      <c r="B65324" s="0" t="str">
        <f aca="false">HYPERLINK("https://lindat.mff.cuni.cz/services/teitok/pdtc10/index.php?action=vallex&amp;frame=v-w8942f3", "zamést (v-w8942f3)")</f>
        <v>zamést (v-w8942f3)</v>
      </c>
    </row>
    <row r="65325" customFormat="false" ht="12.8" hidden="false" customHeight="false" outlineLevel="0" collapsed="false">
      <c r="B65325" s="0" t="s">
        <v>7</v>
      </c>
    </row>
    <row r="65326" customFormat="false" ht="12.8" hidden="false" customHeight="false" outlineLevel="0" collapsed="false">
      <c r="B65326" s="0" t="s">
        <v>14</v>
      </c>
    </row>
    <row r="65328" customFormat="false" ht="12.8" hidden="false" customHeight="false" outlineLevel="0" collapsed="false">
      <c r="A65328" s="0" t="s">
        <v>22314</v>
      </c>
      <c r="B65328" s="0" t="str">
        <f aca="false">HYPERLINK("https://lindat.mff.cuni.cz/services/teitok/pdtc10/index.php?action=vallex&amp;frame=v-w8942f2", "zamést (v-w8942f2)")</f>
        <v>zamést (v-w8942f2)</v>
      </c>
    </row>
    <row r="65329" customFormat="false" ht="12.8" hidden="false" customHeight="false" outlineLevel="0" collapsed="false">
      <c r="B65329" s="0" t="s">
        <v>7</v>
      </c>
    </row>
    <row r="65330" customFormat="false" ht="12.8" hidden="false" customHeight="false" outlineLevel="0" collapsed="false">
      <c r="B65330" s="0" t="s">
        <v>548</v>
      </c>
    </row>
    <row r="65332" customFormat="false" ht="12.8" hidden="false" customHeight="false" outlineLevel="0" collapsed="false">
      <c r="A65332" s="0" t="s">
        <v>22315</v>
      </c>
      <c r="B65332" s="0" t="str">
        <f aca="false">HYPERLINK("https://lindat.mff.cuni.cz/services/teitok/pdtc10/index.php?action=vallex&amp;frame=v-w8942f4_ZU", "zamést (v-w8942f4_ZU)")</f>
        <v>zamést (v-w8942f4_ZU)</v>
      </c>
    </row>
    <row r="65333" customFormat="false" ht="12.8" hidden="false" customHeight="false" outlineLevel="0" collapsed="false">
      <c r="B65333" s="0" t="s">
        <v>7</v>
      </c>
      <c r="C65333" s="0" t="s">
        <v>46</v>
      </c>
      <c r="D65333" s="0" t="s">
        <v>2560</v>
      </c>
      <c r="E65333" s="0" t="s">
        <v>2560</v>
      </c>
      <c r="F65333" s="0" t="s">
        <v>2560</v>
      </c>
    </row>
    <row r="65334" customFormat="false" ht="12.8" hidden="false" customHeight="false" outlineLevel="0" collapsed="false">
      <c r="B65334" s="0" t="s">
        <v>17715</v>
      </c>
    </row>
    <row r="65335" customFormat="false" ht="12.8" hidden="false" customHeight="false" outlineLevel="0" collapsed="false">
      <c r="B65335" s="0" t="s">
        <v>14</v>
      </c>
      <c r="C65335" s="0" t="s">
        <v>567</v>
      </c>
      <c r="D65335" s="0" t="s">
        <v>3883</v>
      </c>
      <c r="E65335" s="0" t="s">
        <v>3883</v>
      </c>
      <c r="F65335" s="0" t="s">
        <v>3883</v>
      </c>
    </row>
    <row r="65337" customFormat="false" ht="12.8" hidden="false" customHeight="false" outlineLevel="0" collapsed="false">
      <c r="A65337" s="0" t="s">
        <v>22316</v>
      </c>
      <c r="B65337" s="0" t="str">
        <f aca="false">HYPERLINK("https://lindat.mff.cuni.cz/services/teitok/pdtc10/index.php?action=vallex&amp;frame=v-w8942f1", "zamést (v-w8942f1)")</f>
        <v>zamést (v-w8942f1)</v>
      </c>
    </row>
    <row r="65338" customFormat="false" ht="12.8" hidden="false" customHeight="false" outlineLevel="0" collapsed="false">
      <c r="B65338" s="0" t="s">
        <v>7</v>
      </c>
    </row>
    <row r="65339" customFormat="false" ht="12.8" hidden="false" customHeight="false" outlineLevel="0" collapsed="false">
      <c r="B65339" s="0" t="s">
        <v>22317</v>
      </c>
    </row>
    <row r="65341" customFormat="false" ht="12.8" hidden="false" customHeight="false" outlineLevel="0" collapsed="false">
      <c r="A65341" s="0" t="s">
        <v>22318</v>
      </c>
      <c r="B65341" s="0" t="str">
        <f aca="false">HYPERLINK("https://lindat.mff.cuni.cz/services/teitok/pdtc10/index.php?action=vallex&amp;frame=v-w8952f1", "zamíchat (v-w8952f1)")</f>
        <v>zamíchat (v-w8952f1)</v>
      </c>
    </row>
    <row r="65342" customFormat="false" ht="12.8" hidden="false" customHeight="false" outlineLevel="0" collapsed="false">
      <c r="B65342" s="0" t="s">
        <v>7</v>
      </c>
    </row>
    <row r="65343" customFormat="false" ht="12.8" hidden="false" customHeight="false" outlineLevel="0" collapsed="false">
      <c r="B65343" s="0" t="s">
        <v>22319</v>
      </c>
    </row>
    <row r="65345" customFormat="false" ht="12.8" hidden="false" customHeight="false" outlineLevel="0" collapsed="false">
      <c r="A65345" s="0" t="s">
        <v>22320</v>
      </c>
      <c r="B65345" s="0" t="str">
        <f aca="false">HYPERLINK("https://lindat.mff.cuni.cz/services/teitok/pdtc10/index.php?action=vallex&amp;frame=v-w10491f2", "zamítat (v-w10491f2)")</f>
        <v>zamítat (v-w10491f2)</v>
      </c>
    </row>
    <row r="65346" customFormat="false" ht="12.8" hidden="false" customHeight="false" outlineLevel="0" collapsed="false">
      <c r="B65346" s="0" t="s">
        <v>7</v>
      </c>
      <c r="C65346" s="0" t="s">
        <v>623</v>
      </c>
      <c r="D65346" s="0" t="s">
        <v>305</v>
      </c>
      <c r="E65346" s="0" t="s">
        <v>305</v>
      </c>
      <c r="F65346" s="0" t="s">
        <v>305</v>
      </c>
    </row>
    <row r="65347" customFormat="false" ht="12.8" hidden="false" customHeight="false" outlineLevel="0" collapsed="false">
      <c r="B65347" s="0" t="s">
        <v>14</v>
      </c>
      <c r="C65347" s="0" t="s">
        <v>74</v>
      </c>
      <c r="D65347" s="0" t="s">
        <v>307</v>
      </c>
      <c r="E65347" s="0" t="s">
        <v>307</v>
      </c>
      <c r="F65347" s="0" t="s">
        <v>307</v>
      </c>
    </row>
    <row r="65349" customFormat="false" ht="12.8" hidden="false" customHeight="false" outlineLevel="0" collapsed="false">
      <c r="A65349" s="0" t="s">
        <v>22321</v>
      </c>
      <c r="B65349" s="0" t="str">
        <f aca="false">HYPERLINK("https://lindat.mff.cuni.cz/services/teitok/pdtc10/index.php?action=vallex&amp;frame=v-w8957f1", "zamítnout (v-w8957f1)")</f>
        <v>zamítnout (v-w8957f1)</v>
      </c>
    </row>
    <row r="65350" customFormat="false" ht="12.8" hidden="false" customHeight="false" outlineLevel="0" collapsed="false">
      <c r="B65350" s="0" t="s">
        <v>7</v>
      </c>
      <c r="C65350" s="0" t="s">
        <v>22322</v>
      </c>
      <c r="D65350" s="0" t="s">
        <v>305</v>
      </c>
      <c r="E65350" s="0" t="s">
        <v>305</v>
      </c>
      <c r="F65350" s="0" t="s">
        <v>305</v>
      </c>
    </row>
    <row r="65351" customFormat="false" ht="12.8" hidden="false" customHeight="false" outlineLevel="0" collapsed="false">
      <c r="B65351" s="0" t="s">
        <v>14</v>
      </c>
      <c r="C65351" s="0" t="s">
        <v>14031</v>
      </c>
      <c r="D65351" s="0" t="s">
        <v>307</v>
      </c>
      <c r="E65351" s="0" t="s">
        <v>307</v>
      </c>
      <c r="F65351" s="0" t="s">
        <v>307</v>
      </c>
    </row>
    <row r="65353" customFormat="false" ht="12.8" hidden="false" customHeight="false" outlineLevel="0" collapsed="false">
      <c r="A65353" s="0" t="s">
        <v>22323</v>
      </c>
      <c r="B65353" s="0" t="str">
        <f aca="false">HYPERLINK("https://lindat.mff.cuni.cz/services/teitok/pdtc10/index.php?action=vallex&amp;frame=v-w8956f3", "zamířit (v-w8956f3)")</f>
        <v>zamířit (v-w8956f3)</v>
      </c>
    </row>
    <row r="65354" customFormat="false" ht="12.8" hidden="false" customHeight="false" outlineLevel="0" collapsed="false">
      <c r="B65354" s="0" t="s">
        <v>7</v>
      </c>
    </row>
    <row r="65355" customFormat="false" ht="12.8" hidden="false" customHeight="false" outlineLevel="0" collapsed="false">
      <c r="B65355" s="0" t="s">
        <v>14</v>
      </c>
    </row>
    <row r="65356" customFormat="false" ht="12.8" hidden="false" customHeight="false" outlineLevel="0" collapsed="false">
      <c r="B65356" s="0" t="s">
        <v>124</v>
      </c>
    </row>
    <row r="65358" customFormat="false" ht="12.8" hidden="false" customHeight="false" outlineLevel="0" collapsed="false">
      <c r="A65358" s="0" t="s">
        <v>22324</v>
      </c>
      <c r="B65358" s="0" t="str">
        <f aca="false">HYPERLINK("https://lindat.mff.cuni.cz/services/teitok/pdtc10/index.php?action=vallex&amp;frame=v-w8956f1", "zamířit (v-w8956f1)")</f>
        <v>zamířit (v-w8956f1)</v>
      </c>
    </row>
    <row r="65359" customFormat="false" ht="12.8" hidden="false" customHeight="false" outlineLevel="0" collapsed="false">
      <c r="B65359" s="0" t="s">
        <v>7</v>
      </c>
      <c r="C65359" s="0" t="s">
        <v>22325</v>
      </c>
      <c r="D65359" s="0" t="s">
        <v>5366</v>
      </c>
      <c r="E65359" s="0" t="s">
        <v>5366</v>
      </c>
      <c r="F65359" s="0" t="s">
        <v>5366</v>
      </c>
    </row>
    <row r="65360" customFormat="false" ht="12.8" hidden="false" customHeight="false" outlineLevel="0" collapsed="false">
      <c r="B65360" s="0" t="s">
        <v>124</v>
      </c>
      <c r="D65360" s="0" t="s">
        <v>2238</v>
      </c>
      <c r="E65360" s="0" t="s">
        <v>2238</v>
      </c>
      <c r="F65360" s="0" t="s">
        <v>2238</v>
      </c>
    </row>
    <row r="65362" customFormat="false" ht="12.8" hidden="false" customHeight="false" outlineLevel="0" collapsed="false">
      <c r="A65362" s="0" t="s">
        <v>22326</v>
      </c>
      <c r="B65362" s="0" t="str">
        <f aca="false">HYPERLINK("https://lindat.mff.cuni.cz/services/teitok/pdtc10/index.php?action=vallex&amp;frame=v-w8956f2", "zamířit (v-w8956f2)")</f>
        <v>zamířit (v-w8956f2)</v>
      </c>
    </row>
    <row r="65363" customFormat="false" ht="12.8" hidden="false" customHeight="false" outlineLevel="0" collapsed="false">
      <c r="B65363" s="0" t="s">
        <v>7</v>
      </c>
    </row>
    <row r="65364" customFormat="false" ht="12.8" hidden="false" customHeight="false" outlineLevel="0" collapsed="false">
      <c r="B65364" s="0" t="s">
        <v>124</v>
      </c>
    </row>
    <row r="65366" customFormat="false" ht="12.8" hidden="false" customHeight="false" outlineLevel="0" collapsed="false">
      <c r="A65366" s="0" t="s">
        <v>22327</v>
      </c>
      <c r="B65366" s="0" t="str">
        <f aca="false">HYPERLINK("https://lindat.mff.cuni.cz/services/teitok/pdtc10/index.php?action=vallex&amp;frame=v-w8977f2", "zamýšlet (v-w8977f2)")</f>
        <v>zamýšlet (v-w8977f2)</v>
      </c>
    </row>
    <row r="65367" customFormat="false" ht="12.8" hidden="false" customHeight="false" outlineLevel="0" collapsed="false">
      <c r="B65367" s="0" t="s">
        <v>7</v>
      </c>
      <c r="C65367" s="0" t="s">
        <v>3243</v>
      </c>
      <c r="D65367" s="0" t="s">
        <v>5572</v>
      </c>
      <c r="E65367" s="0" t="s">
        <v>5572</v>
      </c>
      <c r="F65367" s="0" t="s">
        <v>5572</v>
      </c>
    </row>
    <row r="65368" customFormat="false" ht="12.8" hidden="false" customHeight="false" outlineLevel="0" collapsed="false">
      <c r="B65368" s="0" t="s">
        <v>14</v>
      </c>
      <c r="C65368" s="0" t="s">
        <v>22328</v>
      </c>
      <c r="D65368" s="0" t="s">
        <v>5574</v>
      </c>
      <c r="E65368" s="0" t="s">
        <v>5574</v>
      </c>
      <c r="F65368" s="0" t="s">
        <v>5574</v>
      </c>
    </row>
    <row r="65369" customFormat="false" ht="12.8" hidden="false" customHeight="false" outlineLevel="0" collapsed="false">
      <c r="B65369" s="0" t="s">
        <v>1358</v>
      </c>
    </row>
    <row r="65371" customFormat="false" ht="12.8" hidden="false" customHeight="false" outlineLevel="0" collapsed="false">
      <c r="A65371" s="0" t="s">
        <v>22329</v>
      </c>
      <c r="B65371" s="0" t="str">
        <f aca="false">HYPERLINK("https://lindat.mff.cuni.cz/services/teitok/pdtc10/index.php?action=vallex&amp;frame=v-w8977f1", "zamýšlet (v-w8977f1)")</f>
        <v>zamýšlet (v-w8977f1)</v>
      </c>
    </row>
    <row r="65372" customFormat="false" ht="12.8" hidden="false" customHeight="false" outlineLevel="0" collapsed="false">
      <c r="B65372" s="0" t="s">
        <v>7</v>
      </c>
      <c r="C65372" s="0" t="s">
        <v>22330</v>
      </c>
      <c r="D65372" s="0" t="s">
        <v>5583</v>
      </c>
      <c r="E65372" s="0" t="s">
        <v>5583</v>
      </c>
      <c r="F65372" s="0" t="s">
        <v>5583</v>
      </c>
    </row>
    <row r="65373" customFormat="false" ht="12.8" hidden="false" customHeight="false" outlineLevel="0" collapsed="false">
      <c r="B65373" s="0" t="s">
        <v>712</v>
      </c>
      <c r="C65373" s="0" t="s">
        <v>22331</v>
      </c>
      <c r="D65373" s="0" t="s">
        <v>5585</v>
      </c>
      <c r="E65373" s="0" t="s">
        <v>5585</v>
      </c>
      <c r="F65373" s="0" t="s">
        <v>5585</v>
      </c>
    </row>
    <row r="65375" customFormat="false" ht="12.8" hidden="false" customHeight="false" outlineLevel="0" collapsed="false">
      <c r="A65375" s="0" t="s">
        <v>22332</v>
      </c>
      <c r="B65375" s="0" t="str">
        <f aca="false">HYPERLINK("https://lindat.mff.cuni.cz/services/teitok/pdtc10/index.php?action=vallex&amp;frame=v-w8978f1", "zamýšlet se (v-w8978f1)")</f>
        <v>zamýšlet se (v-w8978f1)</v>
      </c>
    </row>
    <row r="65376" customFormat="false" ht="12.8" hidden="false" customHeight="false" outlineLevel="0" collapsed="false">
      <c r="B65376" s="0" t="s">
        <v>7</v>
      </c>
    </row>
    <row r="65377" customFormat="false" ht="12.8" hidden="false" customHeight="false" outlineLevel="0" collapsed="false">
      <c r="B65377" s="0" t="s">
        <v>22306</v>
      </c>
    </row>
    <row r="65379" customFormat="false" ht="12.8" hidden="false" customHeight="false" outlineLevel="0" collapsed="false">
      <c r="A65379" s="0" t="s">
        <v>22333</v>
      </c>
      <c r="B65379" s="0" t="str">
        <f aca="false">HYPERLINK("https://lindat.mff.cuni.cz/services/teitok/pdtc10/index.php?action=vallex&amp;frame=v-w8932f1", "zaměnit (v-w8932f1)")</f>
        <v>zaměnit (v-w8932f1)</v>
      </c>
    </row>
    <row r="65380" customFormat="false" ht="12.8" hidden="false" customHeight="false" outlineLevel="0" collapsed="false">
      <c r="B65380" s="0" t="s">
        <v>7</v>
      </c>
      <c r="C65380" s="0" t="s">
        <v>460</v>
      </c>
      <c r="D65380" s="0" t="s">
        <v>200</v>
      </c>
      <c r="E65380" s="0" t="s">
        <v>200</v>
      </c>
      <c r="F65380" s="0" t="s">
        <v>200</v>
      </c>
    </row>
    <row r="65381" customFormat="false" ht="12.8" hidden="false" customHeight="false" outlineLevel="0" collapsed="false">
      <c r="B65381" s="0" t="s">
        <v>14</v>
      </c>
      <c r="C65381" s="0" t="s">
        <v>151</v>
      </c>
      <c r="D65381" s="0" t="s">
        <v>8609</v>
      </c>
      <c r="E65381" s="0" t="s">
        <v>8609</v>
      </c>
      <c r="F65381" s="0" t="s">
        <v>8609</v>
      </c>
    </row>
    <row r="65382" customFormat="false" ht="12.8" hidden="false" customHeight="false" outlineLevel="0" collapsed="false">
      <c r="B65382" s="0" t="s">
        <v>9733</v>
      </c>
      <c r="C65382" s="0" t="s">
        <v>22334</v>
      </c>
      <c r="D65382" s="0" t="s">
        <v>4597</v>
      </c>
      <c r="E65382" s="0" t="s">
        <v>4597</v>
      </c>
      <c r="F65382" s="0" t="s">
        <v>4597</v>
      </c>
    </row>
    <row r="65384" customFormat="false" ht="12.8" hidden="false" customHeight="false" outlineLevel="0" collapsed="false">
      <c r="A65384" s="0" t="s">
        <v>22335</v>
      </c>
      <c r="B65384" s="0" t="str">
        <f aca="false">HYPERLINK("https://lindat.mff.cuni.cz/services/teitok/pdtc10/index.php?action=vallex&amp;frame=v-w8943f1", "zaměstnat (v-w8943f1)")</f>
        <v>zaměstnat (v-w8943f1)</v>
      </c>
    </row>
    <row r="65385" customFormat="false" ht="12.8" hidden="false" customHeight="false" outlineLevel="0" collapsed="false">
      <c r="B65385" s="0" t="s">
        <v>7</v>
      </c>
      <c r="C65385" s="0" t="s">
        <v>140</v>
      </c>
      <c r="D65385" s="0" t="s">
        <v>132</v>
      </c>
      <c r="E65385" s="0" t="s">
        <v>132</v>
      </c>
      <c r="F65385" s="0" t="s">
        <v>132</v>
      </c>
    </row>
    <row r="65386" customFormat="false" ht="12.8" hidden="false" customHeight="false" outlineLevel="0" collapsed="false">
      <c r="B65386" s="0" t="s">
        <v>14</v>
      </c>
      <c r="C65386" s="0" t="s">
        <v>22336</v>
      </c>
      <c r="D65386" s="0" t="s">
        <v>6522</v>
      </c>
      <c r="E65386" s="0" t="s">
        <v>6522</v>
      </c>
      <c r="F65386" s="0" t="s">
        <v>6522</v>
      </c>
    </row>
    <row r="65387" customFormat="false" ht="12.8" hidden="false" customHeight="false" outlineLevel="0" collapsed="false">
      <c r="B65387" s="0" t="s">
        <v>98</v>
      </c>
      <c r="C65387" s="0" t="s">
        <v>13276</v>
      </c>
      <c r="D65387" s="0" t="s">
        <v>22337</v>
      </c>
      <c r="E65387" s="0" t="s">
        <v>22337</v>
      </c>
      <c r="F65387" s="0" t="s">
        <v>22337</v>
      </c>
    </row>
    <row r="65389" customFormat="false" ht="12.8" hidden="false" customHeight="false" outlineLevel="0" collapsed="false">
      <c r="A65389" s="0" t="s">
        <v>22338</v>
      </c>
      <c r="B65389" s="0" t="str">
        <f aca="false">HYPERLINK("https://lindat.mff.cuni.cz/services/teitok/pdtc10/index.php?action=vallex&amp;frame=v-w8943hsa_242", "zaměstnat (v-w8943hsa_242)")</f>
        <v>zaměstnat (v-w8943hsa_242)</v>
      </c>
    </row>
    <row r="65390" customFormat="false" ht="12.8" hidden="false" customHeight="false" outlineLevel="0" collapsed="false">
      <c r="B65390" s="0" t="s">
        <v>7</v>
      </c>
    </row>
    <row r="65391" customFormat="false" ht="12.8" hidden="false" customHeight="false" outlineLevel="0" collapsed="false">
      <c r="B65391" s="0" t="s">
        <v>14</v>
      </c>
      <c r="C65391" s="0" t="s">
        <v>721</v>
      </c>
    </row>
    <row r="65393" customFormat="false" ht="12.8" hidden="false" customHeight="false" outlineLevel="0" collapsed="false">
      <c r="A65393" s="0" t="s">
        <v>22339</v>
      </c>
      <c r="B65393" s="0" t="str">
        <f aca="false">HYPERLINK("https://lindat.mff.cuni.cz/services/teitok/pdtc10/index.php?action=vallex&amp;frame=v-w8946f1", "zaměstnávat (v-w8946f1)")</f>
        <v>zaměstnávat (v-w8946f1)</v>
      </c>
    </row>
    <row r="65394" customFormat="false" ht="12.8" hidden="false" customHeight="false" outlineLevel="0" collapsed="false">
      <c r="B65394" s="0" t="s">
        <v>7</v>
      </c>
      <c r="C65394" s="0" t="s">
        <v>22340</v>
      </c>
      <c r="D65394" s="0" t="s">
        <v>132</v>
      </c>
      <c r="E65394" s="0" t="s">
        <v>132</v>
      </c>
      <c r="F65394" s="0" t="s">
        <v>132</v>
      </c>
    </row>
    <row r="65395" customFormat="false" ht="12.8" hidden="false" customHeight="false" outlineLevel="0" collapsed="false">
      <c r="B65395" s="0" t="s">
        <v>14</v>
      </c>
      <c r="C65395" s="0" t="s">
        <v>22341</v>
      </c>
      <c r="D65395" s="0" t="s">
        <v>6522</v>
      </c>
      <c r="E65395" s="0" t="s">
        <v>6522</v>
      </c>
      <c r="F65395" s="0" t="s">
        <v>6522</v>
      </c>
    </row>
    <row r="65396" customFormat="false" ht="12.8" hidden="false" customHeight="false" outlineLevel="0" collapsed="false">
      <c r="B65396" s="0" t="s">
        <v>98</v>
      </c>
      <c r="C65396" s="0" t="s">
        <v>18215</v>
      </c>
      <c r="D65396" s="0" t="s">
        <v>22337</v>
      </c>
      <c r="E65396" s="0" t="s">
        <v>22337</v>
      </c>
      <c r="F65396" s="0" t="s">
        <v>22337</v>
      </c>
    </row>
    <row r="65398" customFormat="false" ht="12.8" hidden="false" customHeight="false" outlineLevel="0" collapsed="false">
      <c r="A65398" s="0" t="s">
        <v>22342</v>
      </c>
      <c r="B65398" s="0" t="str">
        <f aca="false">HYPERLINK("https://lindat.mff.cuni.cz/services/teitok/pdtc10/index.php?action=vallex&amp;frame=v-w8946f2_ZU", "zaměstnávat (v-w8946f2_ZU)")</f>
        <v>zaměstnávat (v-w8946f2_ZU)</v>
      </c>
    </row>
    <row r="65399" customFormat="false" ht="12.8" hidden="false" customHeight="false" outlineLevel="0" collapsed="false">
      <c r="B65399" s="0" t="s">
        <v>7</v>
      </c>
    </row>
    <row r="65400" customFormat="false" ht="12.8" hidden="false" customHeight="false" outlineLevel="0" collapsed="false">
      <c r="B65400" s="0" t="s">
        <v>14</v>
      </c>
    </row>
    <row r="65402" customFormat="false" ht="12.8" hidden="false" customHeight="false" outlineLevel="0" collapsed="false">
      <c r="A65402" s="0" t="s">
        <v>22343</v>
      </c>
      <c r="B65402" s="0" t="str">
        <f aca="false">HYPERLINK("https://lindat.mff.cuni.cz/services/teitok/pdtc10/index.php?action=vallex&amp;frame=v-whsa_710hsa_711", "zaměstnávat se (v-whsa_710hsa_711)")</f>
        <v>zaměstnávat se (v-whsa_710hsa_711)</v>
      </c>
    </row>
    <row r="65403" customFormat="false" ht="12.8" hidden="false" customHeight="false" outlineLevel="0" collapsed="false">
      <c r="B65403" s="0" t="s">
        <v>7</v>
      </c>
      <c r="D65403" s="0" t="s">
        <v>11491</v>
      </c>
      <c r="E65403" s="0" t="s">
        <v>11491</v>
      </c>
      <c r="F65403" s="0" t="s">
        <v>11491</v>
      </c>
    </row>
    <row r="65404" customFormat="false" ht="12.8" hidden="false" customHeight="false" outlineLevel="0" collapsed="false">
      <c r="B65404" s="0" t="s">
        <v>216</v>
      </c>
      <c r="D65404" s="0" t="s">
        <v>11493</v>
      </c>
      <c r="E65404" s="0" t="s">
        <v>11493</v>
      </c>
      <c r="F65404" s="0" t="s">
        <v>11493</v>
      </c>
    </row>
    <row r="65406" customFormat="false" ht="12.8" hidden="false" customHeight="false" outlineLevel="0" collapsed="false">
      <c r="A65406" s="0" t="s">
        <v>22344</v>
      </c>
      <c r="B65406" s="0" t="str">
        <f aca="false">HYPERLINK("https://lindat.mff.cuni.cz/services/teitok/pdtc10/index.php?action=vallex&amp;frame=v-w8934f1", "zaměňovat (v-w8934f1)")</f>
        <v>zaměňovat (v-w8934f1)</v>
      </c>
    </row>
    <row r="65407" customFormat="false" ht="12.8" hidden="false" customHeight="false" outlineLevel="0" collapsed="false">
      <c r="B65407" s="0" t="s">
        <v>7</v>
      </c>
      <c r="C65407" s="0" t="s">
        <v>200</v>
      </c>
      <c r="D65407" s="0" t="s">
        <v>200</v>
      </c>
      <c r="E65407" s="0" t="s">
        <v>200</v>
      </c>
      <c r="F65407" s="0" t="s">
        <v>200</v>
      </c>
    </row>
    <row r="65408" customFormat="false" ht="12.8" hidden="false" customHeight="false" outlineLevel="0" collapsed="false">
      <c r="B65408" s="0" t="s">
        <v>14</v>
      </c>
      <c r="C65408" s="0" t="s">
        <v>8609</v>
      </c>
      <c r="D65408" s="0" t="s">
        <v>8609</v>
      </c>
      <c r="E65408" s="0" t="s">
        <v>8609</v>
      </c>
      <c r="F65408" s="0" t="s">
        <v>8609</v>
      </c>
    </row>
    <row r="65409" customFormat="false" ht="12.8" hidden="false" customHeight="false" outlineLevel="0" collapsed="false">
      <c r="B65409" s="0" t="s">
        <v>3086</v>
      </c>
      <c r="C65409" s="0" t="s">
        <v>4597</v>
      </c>
      <c r="D65409" s="0" t="s">
        <v>4597</v>
      </c>
      <c r="E65409" s="0" t="s">
        <v>4597</v>
      </c>
      <c r="F65409" s="0" t="s">
        <v>4597</v>
      </c>
    </row>
    <row r="65411" customFormat="false" ht="12.8" hidden="false" customHeight="false" outlineLevel="0" collapsed="false">
      <c r="A65411" s="0" t="s">
        <v>22345</v>
      </c>
      <c r="B65411" s="0" t="str">
        <f aca="false">HYPERLINK("https://lindat.mff.cuni.cz/services/teitok/pdtc10/index.php?action=vallex&amp;frame=v-w8938f3_MM", "zaměřit (v-w8938f3_MM)")</f>
        <v>zaměřit (v-w8938f3_MM)</v>
      </c>
    </row>
    <row r="65412" customFormat="false" ht="12.8" hidden="false" customHeight="false" outlineLevel="0" collapsed="false">
      <c r="B65412" s="0" t="s">
        <v>7</v>
      </c>
    </row>
    <row r="65413" customFormat="false" ht="12.8" hidden="false" customHeight="false" outlineLevel="0" collapsed="false">
      <c r="B65413" s="0" t="s">
        <v>14</v>
      </c>
    </row>
    <row r="65414" customFormat="false" ht="12.8" hidden="false" customHeight="false" outlineLevel="0" collapsed="false">
      <c r="B65414" s="0" t="s">
        <v>22346</v>
      </c>
    </row>
    <row r="65415" customFormat="false" ht="12.8" hidden="false" customHeight="false" outlineLevel="0" collapsed="false">
      <c r="B65415" s="0" t="s">
        <v>474</v>
      </c>
    </row>
    <row r="65417" customFormat="false" ht="12.8" hidden="false" customHeight="false" outlineLevel="0" collapsed="false">
      <c r="A65417" s="0" t="s">
        <v>22345</v>
      </c>
      <c r="B65417" s="0" t="str">
        <f aca="false">HYPERLINK("https://lindat.mff.cuni.cz/services/teitok/pdtc10/index.php?action=vallex&amp;frame=v-w8938f1", "zaměřit (v-w8938f1) - substituted with v-w8938f3_MM")</f>
        <v>zaměřit (v-w8938f1) - substituted with v-w8938f3_MM</v>
      </c>
    </row>
    <row r="65418" customFormat="false" ht="12.8" hidden="false" customHeight="false" outlineLevel="0" collapsed="false">
      <c r="B65418" s="0" t="s">
        <v>7</v>
      </c>
      <c r="C65418" s="0" t="s">
        <v>22347</v>
      </c>
      <c r="D65418" s="0" t="s">
        <v>1435</v>
      </c>
      <c r="E65418" s="0" t="s">
        <v>1435</v>
      </c>
      <c r="F65418" s="0" t="s">
        <v>1435</v>
      </c>
    </row>
    <row r="65419" customFormat="false" ht="12.8" hidden="false" customHeight="false" outlineLevel="0" collapsed="false">
      <c r="B65419" s="0" t="s">
        <v>14</v>
      </c>
      <c r="C65419" s="0" t="s">
        <v>22348</v>
      </c>
      <c r="D65419" s="0" t="s">
        <v>1437</v>
      </c>
      <c r="E65419" s="0" t="s">
        <v>1437</v>
      </c>
      <c r="F65419" s="0" t="s">
        <v>1437</v>
      </c>
    </row>
    <row r="65420" customFormat="false" ht="12.8" hidden="false" customHeight="false" outlineLevel="0" collapsed="false">
      <c r="B65420" s="0" t="s">
        <v>22346</v>
      </c>
      <c r="C65420" s="0" t="s">
        <v>22349</v>
      </c>
      <c r="D65420" s="0" t="s">
        <v>7001</v>
      </c>
      <c r="E65420" s="0" t="s">
        <v>7001</v>
      </c>
      <c r="F65420" s="0" t="s">
        <v>7001</v>
      </c>
    </row>
    <row r="65421" customFormat="false" ht="12.8" hidden="false" customHeight="false" outlineLevel="0" collapsed="false">
      <c r="B65421" s="0" t="s">
        <v>474</v>
      </c>
    </row>
    <row r="65423" customFormat="false" ht="12.8" hidden="false" customHeight="false" outlineLevel="0" collapsed="false">
      <c r="A65423" s="0" t="s">
        <v>22350</v>
      </c>
      <c r="B65423" s="0" t="str">
        <f aca="false">HYPERLINK("https://lindat.mff.cuni.cz/services/teitok/pdtc10/index.php?action=vallex&amp;frame=v-w8938f2_ZU", "zaměřit (v-w8938f2_ZU)")</f>
        <v>zaměřit (v-w8938f2_ZU)</v>
      </c>
    </row>
    <row r="65424" customFormat="false" ht="12.8" hidden="false" customHeight="false" outlineLevel="0" collapsed="false">
      <c r="B65424" s="0" t="s">
        <v>7</v>
      </c>
      <c r="C65424" s="0" t="s">
        <v>358</v>
      </c>
      <c r="D65424" s="0" t="s">
        <v>2170</v>
      </c>
      <c r="E65424" s="0" t="s">
        <v>2170</v>
      </c>
      <c r="F65424" s="0" t="s">
        <v>2170</v>
      </c>
    </row>
    <row r="65425" customFormat="false" ht="12.8" hidden="false" customHeight="false" outlineLevel="0" collapsed="false">
      <c r="B65425" s="0" t="s">
        <v>14</v>
      </c>
      <c r="C65425" s="0" t="s">
        <v>4785</v>
      </c>
      <c r="D65425" s="0" t="s">
        <v>4785</v>
      </c>
      <c r="E65425" s="0" t="s">
        <v>4785</v>
      </c>
      <c r="F65425" s="0" t="s">
        <v>4785</v>
      </c>
    </row>
    <row r="65427" customFormat="false" ht="12.8" hidden="false" customHeight="false" outlineLevel="0" collapsed="false">
      <c r="A65427" s="0" t="s">
        <v>22351</v>
      </c>
      <c r="B65427" s="0" t="str">
        <f aca="false">HYPERLINK("https://lindat.mff.cuni.cz/services/teitok/pdtc10/index.php?action=vallex&amp;frame=v-w8939f1", "zaměřit se (v-w8939f1)")</f>
        <v>zaměřit se (v-w8939f1)</v>
      </c>
    </row>
    <row r="65428" customFormat="false" ht="12.8" hidden="false" customHeight="false" outlineLevel="0" collapsed="false">
      <c r="B65428" s="0" t="s">
        <v>7</v>
      </c>
      <c r="C65428" s="0" t="s">
        <v>22352</v>
      </c>
      <c r="D65428" s="0" t="s">
        <v>22353</v>
      </c>
      <c r="E65428" s="0" t="s">
        <v>22353</v>
      </c>
      <c r="F65428" s="0" t="s">
        <v>22353</v>
      </c>
    </row>
    <row r="65429" customFormat="false" ht="12.8" hidden="false" customHeight="false" outlineLevel="0" collapsed="false">
      <c r="B65429" s="0" t="s">
        <v>41</v>
      </c>
      <c r="C65429" s="0" t="s">
        <v>22354</v>
      </c>
      <c r="D65429" s="0" t="s">
        <v>22355</v>
      </c>
      <c r="E65429" s="0" t="s">
        <v>22355</v>
      </c>
      <c r="F65429" s="0" t="s">
        <v>22355</v>
      </c>
    </row>
    <row r="65431" customFormat="false" ht="12.8" hidden="false" customHeight="false" outlineLevel="0" collapsed="false">
      <c r="A65431" s="0" t="s">
        <v>22356</v>
      </c>
      <c r="B65431" s="0" t="str">
        <f aca="false">HYPERLINK("https://lindat.mff.cuni.cz/services/teitok/pdtc10/index.php?action=vallex&amp;frame=v-w8939f2_ZU", "zaměřit se (v-w8939f2_ZU)")</f>
        <v>zaměřit se (v-w8939f2_ZU)</v>
      </c>
    </row>
    <row r="65432" customFormat="false" ht="12.8" hidden="false" customHeight="false" outlineLevel="0" collapsed="false">
      <c r="B65432" s="0" t="s">
        <v>7</v>
      </c>
    </row>
    <row r="65433" customFormat="false" ht="12.8" hidden="false" customHeight="false" outlineLevel="0" collapsed="false">
      <c r="B65433" s="0" t="s">
        <v>662</v>
      </c>
    </row>
    <row r="65435" customFormat="false" ht="12.8" hidden="false" customHeight="false" outlineLevel="0" collapsed="false">
      <c r="A65435" s="0" t="s">
        <v>22356</v>
      </c>
      <c r="B65435" s="0" t="str">
        <f aca="false">HYPERLINK("https://lindat.mff.cuni.cz/services/teitok/pdtc10/index.php?action=vallex&amp;frame=v-w8939hsa_546", "zaměřit se (v-w8939hsa_546) - substituted with v-w8939f2_ZU")</f>
        <v>zaměřit se (v-w8939hsa_546) - substituted with v-w8939f2_ZU</v>
      </c>
    </row>
    <row r="65436" customFormat="false" ht="12.8" hidden="false" customHeight="false" outlineLevel="0" collapsed="false">
      <c r="B65436" s="0" t="s">
        <v>7</v>
      </c>
    </row>
    <row r="65437" customFormat="false" ht="12.8" hidden="false" customHeight="false" outlineLevel="0" collapsed="false">
      <c r="B65437" s="0" t="s">
        <v>662</v>
      </c>
    </row>
    <row r="65439" customFormat="false" ht="12.8" hidden="false" customHeight="false" outlineLevel="0" collapsed="false">
      <c r="A65439" s="0" t="s">
        <v>22357</v>
      </c>
      <c r="B65439" s="0" t="str">
        <f aca="false">HYPERLINK("https://lindat.mff.cuni.cz/services/teitok/pdtc10/index.php?action=vallex&amp;frame=v-w8940f2_ZU", "zaměřovat (v-w8940f2_ZU)")</f>
        <v>zaměřovat (v-w8940f2_ZU)</v>
      </c>
    </row>
    <row r="65440" customFormat="false" ht="12.8" hidden="false" customHeight="false" outlineLevel="0" collapsed="false">
      <c r="B65440" s="0" t="s">
        <v>7</v>
      </c>
      <c r="D65440" s="0" t="s">
        <v>1435</v>
      </c>
      <c r="E65440" s="0" t="s">
        <v>1435</v>
      </c>
      <c r="F65440" s="0" t="s">
        <v>1435</v>
      </c>
    </row>
    <row r="65441" customFormat="false" ht="12.8" hidden="false" customHeight="false" outlineLevel="0" collapsed="false">
      <c r="B65441" s="0" t="s">
        <v>14</v>
      </c>
      <c r="D65441" s="0" t="s">
        <v>1437</v>
      </c>
      <c r="E65441" s="0" t="s">
        <v>1437</v>
      </c>
      <c r="F65441" s="0" t="s">
        <v>1437</v>
      </c>
    </row>
    <row r="65442" customFormat="false" ht="12.8" hidden="false" customHeight="false" outlineLevel="0" collapsed="false">
      <c r="B65442" s="0" t="s">
        <v>124</v>
      </c>
      <c r="D65442" s="0" t="s">
        <v>7001</v>
      </c>
      <c r="E65442" s="0" t="s">
        <v>7001</v>
      </c>
      <c r="F65442" s="0" t="s">
        <v>7001</v>
      </c>
    </row>
    <row r="65444" customFormat="false" ht="12.8" hidden="false" customHeight="false" outlineLevel="0" collapsed="false">
      <c r="A65444" s="0" t="s">
        <v>22357</v>
      </c>
      <c r="B65444" s="0" t="str">
        <f aca="false">HYPERLINK("https://lindat.mff.cuni.cz/services/teitok/pdtc10/index.php?action=vallex&amp;frame=v-w8940f1", "zaměřovat (v-w8940f1) - substituted with v-w8940f2_ZU")</f>
        <v>zaměřovat (v-w8940f1) - substituted with v-w8940f2_ZU</v>
      </c>
    </row>
    <row r="65445" customFormat="false" ht="12.8" hidden="false" customHeight="false" outlineLevel="0" collapsed="false">
      <c r="B65445" s="0" t="s">
        <v>7</v>
      </c>
      <c r="C65445" s="0" t="s">
        <v>31</v>
      </c>
    </row>
    <row r="65446" customFormat="false" ht="12.8" hidden="false" customHeight="false" outlineLevel="0" collapsed="false">
      <c r="B65446" s="0" t="s">
        <v>14</v>
      </c>
      <c r="C65446" s="0" t="s">
        <v>22358</v>
      </c>
    </row>
    <row r="65447" customFormat="false" ht="12.8" hidden="false" customHeight="false" outlineLevel="0" collapsed="false">
      <c r="B65447" s="0" t="s">
        <v>124</v>
      </c>
    </row>
    <row r="65449" customFormat="false" ht="12.8" hidden="false" customHeight="false" outlineLevel="0" collapsed="false">
      <c r="A65449" s="0" t="s">
        <v>22359</v>
      </c>
      <c r="B65449" s="0" t="str">
        <f aca="false">HYPERLINK("https://lindat.mff.cuni.cz/services/teitok/pdtc10/index.php?action=vallex&amp;frame=v-w8940f3_ZU", "zaměřovat (v-w8940f3_ZU)")</f>
        <v>zaměřovat (v-w8940f3_ZU)</v>
      </c>
    </row>
    <row r="65450" customFormat="false" ht="12.8" hidden="false" customHeight="false" outlineLevel="0" collapsed="false">
      <c r="B65450" s="0" t="s">
        <v>7</v>
      </c>
    </row>
    <row r="65451" customFormat="false" ht="12.8" hidden="false" customHeight="false" outlineLevel="0" collapsed="false">
      <c r="B65451" s="0" t="s">
        <v>14</v>
      </c>
    </row>
    <row r="65453" customFormat="false" ht="12.8" hidden="false" customHeight="false" outlineLevel="0" collapsed="false">
      <c r="A65453" s="0" t="s">
        <v>22359</v>
      </c>
      <c r="B65453" s="0" t="str">
        <f aca="false">HYPERLINK("https://lindat.mff.cuni.cz/services/teitok/pdtc10/index.php?action=vallex&amp;frame=v-w8940hsa_1204", "zaměřovat (v-w8940hsa_1204) - substituted with v-w8940f3_ZU")</f>
        <v>zaměřovat (v-w8940hsa_1204) - substituted with v-w8940f3_ZU</v>
      </c>
    </row>
    <row r="65454" customFormat="false" ht="12.8" hidden="false" customHeight="false" outlineLevel="0" collapsed="false">
      <c r="B65454" s="0" t="s">
        <v>7</v>
      </c>
    </row>
    <row r="65455" customFormat="false" ht="12.8" hidden="false" customHeight="false" outlineLevel="0" collapsed="false">
      <c r="B65455" s="0" t="s">
        <v>14</v>
      </c>
    </row>
    <row r="65457" customFormat="false" ht="12.8" hidden="false" customHeight="false" outlineLevel="0" collapsed="false">
      <c r="A65457" s="0" t="s">
        <v>22360</v>
      </c>
      <c r="B65457" s="0" t="str">
        <f aca="false">HYPERLINK("https://lindat.mff.cuni.cz/services/teitok/pdtc10/index.php?action=vallex&amp;frame=v-w8940f4_ZU", "zaměřovat (v-w8940f4_ZU)")</f>
        <v>zaměřovat (v-w8940f4_ZU)</v>
      </c>
    </row>
    <row r="65458" customFormat="false" ht="12.8" hidden="false" customHeight="false" outlineLevel="0" collapsed="false">
      <c r="B65458" s="0" t="s">
        <v>7</v>
      </c>
    </row>
    <row r="65459" customFormat="false" ht="12.8" hidden="false" customHeight="false" outlineLevel="0" collapsed="false">
      <c r="B65459" s="0" t="s">
        <v>14</v>
      </c>
    </row>
    <row r="65461" customFormat="false" ht="12.8" hidden="false" customHeight="false" outlineLevel="0" collapsed="false">
      <c r="A65461" s="0" t="s">
        <v>22361</v>
      </c>
      <c r="B65461" s="0" t="str">
        <f aca="false">HYPERLINK("https://lindat.mff.cuni.cz/services/teitok/pdtc10/index.php?action=vallex&amp;frame=v-w8941f1", "zaměřovat se (v-w8941f1)")</f>
        <v>zaměřovat se (v-w8941f1)</v>
      </c>
    </row>
    <row r="65462" customFormat="false" ht="12.8" hidden="false" customHeight="false" outlineLevel="0" collapsed="false">
      <c r="B65462" s="0" t="s">
        <v>7</v>
      </c>
      <c r="C65462" s="0" t="s">
        <v>22362</v>
      </c>
      <c r="D65462" s="0" t="s">
        <v>22353</v>
      </c>
      <c r="E65462" s="0" t="s">
        <v>22353</v>
      </c>
      <c r="F65462" s="0" t="s">
        <v>22353</v>
      </c>
    </row>
    <row r="65463" customFormat="false" ht="12.8" hidden="false" customHeight="false" outlineLevel="0" collapsed="false">
      <c r="B65463" s="0" t="s">
        <v>41</v>
      </c>
      <c r="C65463" s="0" t="s">
        <v>22363</v>
      </c>
      <c r="D65463" s="0" t="s">
        <v>22355</v>
      </c>
      <c r="E65463" s="0" t="s">
        <v>22355</v>
      </c>
      <c r="F65463" s="0" t="s">
        <v>22355</v>
      </c>
    </row>
    <row r="65465" customFormat="false" ht="12.8" hidden="false" customHeight="false" outlineLevel="0" collapsed="false">
      <c r="A65465" s="0" t="s">
        <v>22364</v>
      </c>
      <c r="B65465" s="0" t="str">
        <f aca="false">HYPERLINK("https://lindat.mff.cuni.cz/services/teitok/pdtc10/index.php?action=vallex&amp;frame=v-w10707f2", "zanalyzovat (v-w10707f2)")</f>
        <v>zanalyzovat (v-w10707f2)</v>
      </c>
    </row>
    <row r="65466" customFormat="false" ht="12.8" hidden="false" customHeight="false" outlineLevel="0" collapsed="false">
      <c r="B65466" s="0" t="s">
        <v>7</v>
      </c>
    </row>
    <row r="65467" customFormat="false" ht="12.8" hidden="false" customHeight="false" outlineLevel="0" collapsed="false">
      <c r="B65467" s="0" t="s">
        <v>14</v>
      </c>
    </row>
    <row r="65469" customFormat="false" ht="12.8" hidden="false" customHeight="false" outlineLevel="0" collapsed="false">
      <c r="A65469" s="0" t="s">
        <v>22365</v>
      </c>
      <c r="B65469" s="0" t="str">
        <f aca="false">HYPERLINK("https://lindat.mff.cuni.cz/services/teitok/pdtc10/index.php?action=vallex&amp;frame=v-w8984f3", "zanechat (v-w8984f3)")</f>
        <v>zanechat (v-w8984f3)</v>
      </c>
    </row>
    <row r="65470" customFormat="false" ht="12.8" hidden="false" customHeight="false" outlineLevel="0" collapsed="false">
      <c r="B65470" s="0" t="s">
        <v>7</v>
      </c>
      <c r="C65470" s="0" t="s">
        <v>7871</v>
      </c>
      <c r="D65470" s="0" t="s">
        <v>1801</v>
      </c>
      <c r="E65470" s="0" t="s">
        <v>1801</v>
      </c>
      <c r="F65470" s="0" t="s">
        <v>1801</v>
      </c>
    </row>
    <row r="65471" customFormat="false" ht="12.8" hidden="false" customHeight="false" outlineLevel="0" collapsed="false">
      <c r="B65471" s="0" t="s">
        <v>14</v>
      </c>
      <c r="C65471" s="0" t="s">
        <v>22366</v>
      </c>
      <c r="D65471" s="0" t="s">
        <v>9938</v>
      </c>
      <c r="E65471" s="0" t="s">
        <v>9938</v>
      </c>
      <c r="F65471" s="0" t="s">
        <v>9938</v>
      </c>
    </row>
    <row r="65472" customFormat="false" ht="12.8" hidden="false" customHeight="false" outlineLevel="0" collapsed="false">
      <c r="B65472" s="0" t="s">
        <v>48</v>
      </c>
      <c r="C65472" s="0" t="s">
        <v>22367</v>
      </c>
      <c r="D65472" s="0" t="s">
        <v>9939</v>
      </c>
      <c r="E65472" s="0" t="s">
        <v>9939</v>
      </c>
      <c r="F65472" s="0" t="s">
        <v>9939</v>
      </c>
    </row>
    <row r="65474" customFormat="false" ht="12.8" hidden="false" customHeight="false" outlineLevel="0" collapsed="false">
      <c r="A65474" s="0" t="s">
        <v>22368</v>
      </c>
      <c r="B65474" s="0" t="str">
        <f aca="false">HYPERLINK("https://lindat.mff.cuni.cz/services/teitok/pdtc10/index.php?action=vallex&amp;frame=v-w8984f7_ZU", "zanechat (v-w8984f7_ZU)")</f>
        <v>zanechat (v-w8984f7_ZU)</v>
      </c>
    </row>
    <row r="65475" customFormat="false" ht="12.8" hidden="false" customHeight="false" outlineLevel="0" collapsed="false">
      <c r="B65475" s="0" t="s">
        <v>7</v>
      </c>
      <c r="C65475" s="0" t="s">
        <v>1637</v>
      </c>
    </row>
    <row r="65476" customFormat="false" ht="12.8" hidden="false" customHeight="false" outlineLevel="0" collapsed="false">
      <c r="B65476" s="0" t="s">
        <v>14</v>
      </c>
      <c r="C65476" s="0" t="s">
        <v>5092</v>
      </c>
    </row>
    <row r="65477" customFormat="false" ht="12.8" hidden="false" customHeight="false" outlineLevel="0" collapsed="false">
      <c r="B65477" s="0" t="s">
        <v>6162</v>
      </c>
      <c r="C65477" s="0" t="s">
        <v>7442</v>
      </c>
    </row>
    <row r="65479" customFormat="false" ht="12.8" hidden="false" customHeight="false" outlineLevel="0" collapsed="false">
      <c r="A65479" s="0" t="s">
        <v>22368</v>
      </c>
      <c r="B65479" s="0" t="str">
        <f aca="false">HYPERLINK("https://lindat.mff.cuni.cz/services/teitok/pdtc10/index.php?action=vallex&amp;frame=v-w8984f6_ZU", "zanechat (v-w8984f6_ZU) - substituted with v-w8984f7_ZU")</f>
        <v>zanechat (v-w8984f6_ZU) - substituted with v-w8984f7_ZU</v>
      </c>
    </row>
    <row r="65480" customFormat="false" ht="12.8" hidden="false" customHeight="false" outlineLevel="0" collapsed="false">
      <c r="B65480" s="0" t="s">
        <v>7</v>
      </c>
      <c r="C65480" s="0" t="s">
        <v>2736</v>
      </c>
    </row>
    <row r="65481" customFormat="false" ht="12.8" hidden="false" customHeight="false" outlineLevel="0" collapsed="false">
      <c r="B65481" s="0" t="s">
        <v>14</v>
      </c>
      <c r="C65481" s="0" t="s">
        <v>7412</v>
      </c>
    </row>
    <row r="65482" customFormat="false" ht="12.8" hidden="false" customHeight="false" outlineLevel="0" collapsed="false">
      <c r="B65482" s="0" t="s">
        <v>6162</v>
      </c>
    </row>
    <row r="65484" customFormat="false" ht="12.8" hidden="false" customHeight="false" outlineLevel="0" collapsed="false">
      <c r="A65484" s="0" t="s">
        <v>22369</v>
      </c>
      <c r="B65484" s="0" t="str">
        <f aca="false">HYPERLINK("https://lindat.mff.cuni.cz/services/teitok/pdtc10/index.php?action=vallex&amp;frame=v-w8984f1", "zanechat (v-w8984f1)")</f>
        <v>zanechat (v-w8984f1)</v>
      </c>
    </row>
    <row r="65485" customFormat="false" ht="12.8" hidden="false" customHeight="false" outlineLevel="0" collapsed="false">
      <c r="B65485" s="0" t="s">
        <v>7</v>
      </c>
      <c r="C65485" s="0" t="s">
        <v>22370</v>
      </c>
    </row>
    <row r="65486" customFormat="false" ht="12.8" hidden="false" customHeight="false" outlineLevel="0" collapsed="false">
      <c r="B65486" s="0" t="s">
        <v>14</v>
      </c>
      <c r="C65486" s="0" t="s">
        <v>22371</v>
      </c>
    </row>
    <row r="65487" customFormat="false" ht="12.8" hidden="false" customHeight="false" outlineLevel="0" collapsed="false">
      <c r="B65487" s="0" t="s">
        <v>11</v>
      </c>
      <c r="C65487" s="0" t="s">
        <v>10553</v>
      </c>
    </row>
    <row r="65489" customFormat="false" ht="12.8" hidden="false" customHeight="false" outlineLevel="0" collapsed="false">
      <c r="A65489" s="0" t="s">
        <v>22372</v>
      </c>
      <c r="B65489" s="0" t="str">
        <f aca="false">HYPERLINK("https://lindat.mff.cuni.cz/services/teitok/pdtc10/index.php?action=vallex&amp;frame=v-w8984f8_ZU", "zanechat (v-w8984f8_ZU)")</f>
        <v>zanechat (v-w8984f8_ZU)</v>
      </c>
    </row>
    <row r="65490" customFormat="false" ht="12.8" hidden="false" customHeight="false" outlineLevel="0" collapsed="false">
      <c r="B65490" s="0" t="s">
        <v>7</v>
      </c>
      <c r="C65490" s="0" t="s">
        <v>1637</v>
      </c>
    </row>
    <row r="65491" customFormat="false" ht="12.8" hidden="false" customHeight="false" outlineLevel="0" collapsed="false">
      <c r="B65491" s="0" t="s">
        <v>14</v>
      </c>
      <c r="C65491" s="0" t="s">
        <v>5092</v>
      </c>
    </row>
    <row r="65492" customFormat="false" ht="12.8" hidden="false" customHeight="false" outlineLevel="0" collapsed="false">
      <c r="B65492" s="0" t="s">
        <v>5619</v>
      </c>
    </row>
    <row r="65493" customFormat="false" ht="12.8" hidden="false" customHeight="false" outlineLevel="0" collapsed="false">
      <c r="B65493" s="0" t="s">
        <v>7394</v>
      </c>
      <c r="C65493" s="0" t="s">
        <v>22373</v>
      </c>
    </row>
    <row r="65495" customFormat="false" ht="12.8" hidden="false" customHeight="false" outlineLevel="0" collapsed="false">
      <c r="A65495" s="0" t="s">
        <v>22372</v>
      </c>
      <c r="B65495" s="0" t="str">
        <f aca="false">HYPERLINK("https://lindat.mff.cuni.cz/services/teitok/pdtc10/index.php?action=vallex&amp;frame=v-w8984f5_ZU", "zanechat (v-w8984f5_ZU) - substituted with v-w8984f8_ZU")</f>
        <v>zanechat (v-w8984f5_ZU) - substituted with v-w8984f8_ZU</v>
      </c>
    </row>
    <row r="65496" customFormat="false" ht="12.8" hidden="false" customHeight="false" outlineLevel="0" collapsed="false">
      <c r="B65496" s="0" t="s">
        <v>7</v>
      </c>
      <c r="C65496" s="0" t="s">
        <v>3803</v>
      </c>
    </row>
    <row r="65497" customFormat="false" ht="12.8" hidden="false" customHeight="false" outlineLevel="0" collapsed="false">
      <c r="B65497" s="0" t="s">
        <v>14</v>
      </c>
      <c r="C65497" s="0" t="s">
        <v>7448</v>
      </c>
    </row>
    <row r="65498" customFormat="false" ht="12.8" hidden="false" customHeight="false" outlineLevel="0" collapsed="false">
      <c r="B65498" s="0" t="s">
        <v>5619</v>
      </c>
      <c r="C65498" s="0" t="s">
        <v>7392</v>
      </c>
    </row>
    <row r="65499" customFormat="false" ht="12.8" hidden="false" customHeight="false" outlineLevel="0" collapsed="false">
      <c r="B65499" s="0" t="s">
        <v>7394</v>
      </c>
    </row>
    <row r="65501" customFormat="false" ht="12.8" hidden="false" customHeight="false" outlineLevel="0" collapsed="false">
      <c r="A65501" s="0" t="s">
        <v>22374</v>
      </c>
      <c r="B65501" s="0" t="str">
        <f aca="false">HYPERLINK("https://lindat.mff.cuni.cz/services/teitok/pdtc10/index.php?action=vallex&amp;frame=v-w8984f2", "zanechat (v-w8984f2)")</f>
        <v>zanechat (v-w8984f2)</v>
      </c>
    </row>
    <row r="65502" customFormat="false" ht="12.8" hidden="false" customHeight="false" outlineLevel="0" collapsed="false">
      <c r="B65502" s="0" t="s">
        <v>7</v>
      </c>
      <c r="C65502" s="0" t="s">
        <v>22375</v>
      </c>
      <c r="D65502" s="0" t="s">
        <v>1399</v>
      </c>
      <c r="E65502" s="0" t="s">
        <v>1399</v>
      </c>
      <c r="F65502" s="0" t="s">
        <v>1399</v>
      </c>
    </row>
    <row r="65503" customFormat="false" ht="12.8" hidden="false" customHeight="false" outlineLevel="0" collapsed="false">
      <c r="B65503" s="0" t="s">
        <v>1087</v>
      </c>
      <c r="C65503" s="0" t="s">
        <v>22376</v>
      </c>
      <c r="D65503" s="0" t="s">
        <v>1401</v>
      </c>
      <c r="E65503" s="0" t="s">
        <v>1401</v>
      </c>
      <c r="F65503" s="0" t="s">
        <v>1401</v>
      </c>
    </row>
    <row r="65505" customFormat="false" ht="12.8" hidden="false" customHeight="false" outlineLevel="0" collapsed="false">
      <c r="A65505" s="0" t="s">
        <v>22377</v>
      </c>
      <c r="B65505" s="0" t="str">
        <f aca="false">HYPERLINK("https://lindat.mff.cuni.cz/services/teitok/pdtc10/index.php?action=vallex&amp;frame=v-w8984f4", "zanechat (v-w8984f4)")</f>
        <v>zanechat (v-w8984f4)</v>
      </c>
    </row>
    <row r="65506" customFormat="false" ht="12.8" hidden="false" customHeight="false" outlineLevel="0" collapsed="false">
      <c r="B65506" s="0" t="s">
        <v>7</v>
      </c>
    </row>
    <row r="65507" customFormat="false" ht="12.8" hidden="false" customHeight="false" outlineLevel="0" collapsed="false">
      <c r="B65507" s="0" t="s">
        <v>22378</v>
      </c>
    </row>
    <row r="65508" customFormat="false" ht="12.8" hidden="false" customHeight="false" outlineLevel="0" collapsed="false">
      <c r="B65508" s="0" t="s">
        <v>14</v>
      </c>
    </row>
    <row r="65509" customFormat="false" ht="12.8" hidden="false" customHeight="false" outlineLevel="0" collapsed="false">
      <c r="B65509" s="0" t="s">
        <v>106</v>
      </c>
    </row>
    <row r="65511" customFormat="false" ht="12.8" hidden="false" customHeight="false" outlineLevel="0" collapsed="false">
      <c r="A65511" s="0" t="s">
        <v>22379</v>
      </c>
      <c r="B65511" s="0" t="str">
        <f aca="false">HYPERLINK("https://lindat.mff.cuni.cz/services/teitok/pdtc10/index.php?action=vallex&amp;frame=v-w8985f1", "zanechávat (v-w8985f1)")</f>
        <v>zanechávat (v-w8985f1)</v>
      </c>
    </row>
    <row r="65512" customFormat="false" ht="12.8" hidden="false" customHeight="false" outlineLevel="0" collapsed="false">
      <c r="B65512" s="0" t="s">
        <v>7</v>
      </c>
      <c r="C65512" s="0" t="s">
        <v>3028</v>
      </c>
    </row>
    <row r="65513" customFormat="false" ht="12.8" hidden="false" customHeight="false" outlineLevel="0" collapsed="false">
      <c r="B65513" s="0" t="s">
        <v>14</v>
      </c>
      <c r="C65513" s="0" t="s">
        <v>22380</v>
      </c>
    </row>
    <row r="65514" customFormat="false" ht="12.8" hidden="false" customHeight="false" outlineLevel="0" collapsed="false">
      <c r="B65514" s="0" t="s">
        <v>11</v>
      </c>
    </row>
    <row r="65516" customFormat="false" ht="12.8" hidden="false" customHeight="false" outlineLevel="0" collapsed="false">
      <c r="A65516" s="0" t="s">
        <v>22381</v>
      </c>
      <c r="B65516" s="0" t="str">
        <f aca="false">HYPERLINK("https://lindat.mff.cuni.cz/services/teitok/pdtc10/index.php?action=vallex&amp;frame=v-w8985f2_ZU", "zanechávat (v-w8985f2_ZU)")</f>
        <v>zanechávat (v-w8985f2_ZU)</v>
      </c>
    </row>
    <row r="65517" customFormat="false" ht="12.8" hidden="false" customHeight="false" outlineLevel="0" collapsed="false">
      <c r="B65517" s="0" t="s">
        <v>7</v>
      </c>
      <c r="C65517" s="0" t="s">
        <v>460</v>
      </c>
      <c r="D65517" s="0" t="s">
        <v>7397</v>
      </c>
      <c r="E65517" s="0" t="s">
        <v>7397</v>
      </c>
      <c r="F65517" s="0" t="s">
        <v>7397</v>
      </c>
    </row>
    <row r="65518" customFormat="false" ht="12.8" hidden="false" customHeight="false" outlineLevel="0" collapsed="false">
      <c r="B65518" s="0" t="s">
        <v>1087</v>
      </c>
      <c r="D65518" s="0" t="s">
        <v>7398</v>
      </c>
      <c r="E65518" s="0" t="s">
        <v>7398</v>
      </c>
      <c r="F65518" s="0" t="s">
        <v>7398</v>
      </c>
    </row>
    <row r="65520" customFormat="false" ht="12.8" hidden="false" customHeight="false" outlineLevel="0" collapsed="false">
      <c r="A65520" s="0" t="s">
        <v>22381</v>
      </c>
      <c r="B65520" s="0" t="str">
        <f aca="false">HYPERLINK("https://lindat.mff.cuni.cz/services/teitok/pdtc10/index.php?action=vallex&amp;frame=v-w8985hsa_197", "zanechávat (v-w8985hsa_197) - substituted with v-w8985f2_ZU")</f>
        <v>zanechávat (v-w8985hsa_197) - substituted with v-w8985f2_ZU</v>
      </c>
    </row>
    <row r="65521" customFormat="false" ht="12.8" hidden="false" customHeight="false" outlineLevel="0" collapsed="false">
      <c r="B65521" s="0" t="s">
        <v>7</v>
      </c>
    </row>
    <row r="65522" customFormat="false" ht="12.8" hidden="false" customHeight="false" outlineLevel="0" collapsed="false">
      <c r="B65522" s="0" t="s">
        <v>1087</v>
      </c>
    </row>
    <row r="65524" customFormat="false" ht="12.8" hidden="false" customHeight="false" outlineLevel="0" collapsed="false">
      <c r="A65524" s="0" t="s">
        <v>22382</v>
      </c>
      <c r="B65524" s="0" t="str">
        <f aca="false">HYPERLINK("https://lindat.mff.cuni.cz/services/teitok/pdtc10/index.php?action=vallex&amp;frame=v-w8981f2", "zanedbat (v-w8981f2)")</f>
        <v>zanedbat (v-w8981f2)</v>
      </c>
    </row>
    <row r="65525" customFormat="false" ht="12.8" hidden="false" customHeight="false" outlineLevel="0" collapsed="false">
      <c r="B65525" s="0" t="s">
        <v>7</v>
      </c>
      <c r="D65525" s="0" t="s">
        <v>410</v>
      </c>
      <c r="E65525" s="0" t="s">
        <v>410</v>
      </c>
      <c r="F65525" s="0" t="s">
        <v>410</v>
      </c>
    </row>
    <row r="65526" customFormat="false" ht="12.8" hidden="false" customHeight="false" outlineLevel="0" collapsed="false">
      <c r="B65526" s="0" t="s">
        <v>54</v>
      </c>
      <c r="D65526" s="0" t="s">
        <v>4163</v>
      </c>
      <c r="E65526" s="0" t="s">
        <v>4163</v>
      </c>
      <c r="F65526" s="0" t="s">
        <v>4163</v>
      </c>
    </row>
    <row r="65528" customFormat="false" ht="12.8" hidden="false" customHeight="false" outlineLevel="0" collapsed="false">
      <c r="A65528" s="0" t="s">
        <v>22383</v>
      </c>
      <c r="B65528" s="0" t="str">
        <f aca="false">HYPERLINK("https://lindat.mff.cuni.cz/services/teitok/pdtc10/index.php?action=vallex&amp;frame=v-w8981f1", "zanedbat (v-w8981f1)")</f>
        <v>zanedbat (v-w8981f1)</v>
      </c>
    </row>
    <row r="65529" customFormat="false" ht="12.8" hidden="false" customHeight="false" outlineLevel="0" collapsed="false">
      <c r="B65529" s="0" t="s">
        <v>7</v>
      </c>
      <c r="C65529" s="0" t="s">
        <v>335</v>
      </c>
      <c r="D65529" s="0" t="s">
        <v>410</v>
      </c>
      <c r="E65529" s="0" t="s">
        <v>410</v>
      </c>
      <c r="F65529" s="0" t="s">
        <v>410</v>
      </c>
    </row>
    <row r="65530" customFormat="false" ht="12.8" hidden="false" customHeight="false" outlineLevel="0" collapsed="false">
      <c r="B65530" s="0" t="s">
        <v>14</v>
      </c>
      <c r="C65530" s="0" t="s">
        <v>33</v>
      </c>
      <c r="D65530" s="0" t="s">
        <v>4163</v>
      </c>
      <c r="E65530" s="0" t="s">
        <v>4163</v>
      </c>
      <c r="F65530" s="0" t="s">
        <v>4163</v>
      </c>
    </row>
    <row r="65532" customFormat="false" ht="12.8" hidden="false" customHeight="false" outlineLevel="0" collapsed="false">
      <c r="A65532" s="0" t="s">
        <v>22384</v>
      </c>
      <c r="B65532" s="0" t="str">
        <f aca="false">HYPERLINK("https://lindat.mff.cuni.cz/services/teitok/pdtc10/index.php?action=vallex&amp;frame=v-w8983f2", "zanedbávat (v-w8983f2)")</f>
        <v>zanedbávat (v-w8983f2)</v>
      </c>
    </row>
    <row r="65533" customFormat="false" ht="12.8" hidden="false" customHeight="false" outlineLevel="0" collapsed="false">
      <c r="B65533" s="0" t="s">
        <v>7</v>
      </c>
      <c r="C65533" s="0" t="s">
        <v>335</v>
      </c>
      <c r="D65533" s="0" t="s">
        <v>410</v>
      </c>
      <c r="E65533" s="0" t="s">
        <v>410</v>
      </c>
      <c r="F65533" s="0" t="s">
        <v>410</v>
      </c>
    </row>
    <row r="65534" customFormat="false" ht="12.8" hidden="false" customHeight="false" outlineLevel="0" collapsed="false">
      <c r="B65534" s="0" t="s">
        <v>54</v>
      </c>
      <c r="C65534" s="0" t="s">
        <v>33</v>
      </c>
      <c r="D65534" s="0" t="s">
        <v>4163</v>
      </c>
      <c r="E65534" s="0" t="s">
        <v>4163</v>
      </c>
      <c r="F65534" s="0" t="s">
        <v>4163</v>
      </c>
    </row>
    <row r="65536" customFormat="false" ht="12.8" hidden="false" customHeight="false" outlineLevel="0" collapsed="false">
      <c r="A65536" s="0" t="s">
        <v>22385</v>
      </c>
      <c r="B65536" s="0" t="str">
        <f aca="false">HYPERLINK("https://lindat.mff.cuni.cz/services/teitok/pdtc10/index.php?action=vallex&amp;frame=v-w8983f1", "zanedbávat (v-w8983f1)")</f>
        <v>zanedbávat (v-w8983f1)</v>
      </c>
    </row>
    <row r="65537" customFormat="false" ht="12.8" hidden="false" customHeight="false" outlineLevel="0" collapsed="false">
      <c r="B65537" s="0" t="s">
        <v>7</v>
      </c>
      <c r="C65537" s="0" t="s">
        <v>126</v>
      </c>
      <c r="D65537" s="0" t="s">
        <v>410</v>
      </c>
      <c r="E65537" s="0" t="s">
        <v>410</v>
      </c>
      <c r="F65537" s="0" t="s">
        <v>410</v>
      </c>
    </row>
    <row r="65538" customFormat="false" ht="12.8" hidden="false" customHeight="false" outlineLevel="0" collapsed="false">
      <c r="B65538" s="0" t="s">
        <v>14</v>
      </c>
      <c r="C65538" s="0" t="s">
        <v>22386</v>
      </c>
      <c r="D65538" s="0" t="s">
        <v>4163</v>
      </c>
      <c r="E65538" s="0" t="s">
        <v>4163</v>
      </c>
      <c r="F65538" s="0" t="s">
        <v>4163</v>
      </c>
    </row>
    <row r="65540" customFormat="false" ht="12.8" hidden="false" customHeight="false" outlineLevel="0" collapsed="false">
      <c r="A65540" s="0" t="s">
        <v>22387</v>
      </c>
      <c r="B65540" s="0" t="str">
        <f aca="false">HYPERLINK("https://lindat.mff.cuni.cz/services/teitok/pdtc10/index.php?action=vallex&amp;frame=v-w8987f1", "zaneprázdnit (v-w8987f1)")</f>
        <v>zaneprázdnit (v-w8987f1)</v>
      </c>
    </row>
    <row r="65541" customFormat="false" ht="12.8" hidden="false" customHeight="false" outlineLevel="0" collapsed="false">
      <c r="B65541" s="0" t="s">
        <v>7</v>
      </c>
    </row>
    <row r="65542" customFormat="false" ht="12.8" hidden="false" customHeight="false" outlineLevel="0" collapsed="false">
      <c r="B65542" s="0" t="s">
        <v>14</v>
      </c>
    </row>
    <row r="65544" customFormat="false" ht="12.8" hidden="false" customHeight="false" outlineLevel="0" collapsed="false">
      <c r="A65544" s="0" t="s">
        <v>22388</v>
      </c>
      <c r="B65544" s="0" t="str">
        <f aca="false">HYPERLINK("https://lindat.mff.cuni.cz/services/teitok/pdtc10/index.php?action=vallex&amp;frame=v-w12116_ZUf1_ZU", "zanevřít (v-w12116_ZUf1_ZU)")</f>
        <v>zanevřít (v-w12116_ZUf1_ZU)</v>
      </c>
    </row>
    <row r="65545" customFormat="false" ht="12.8" hidden="false" customHeight="false" outlineLevel="0" collapsed="false">
      <c r="B65545" s="0" t="s">
        <v>7</v>
      </c>
    </row>
    <row r="65546" customFormat="false" ht="12.8" hidden="false" customHeight="false" outlineLevel="0" collapsed="false">
      <c r="B65546" s="0" t="s">
        <v>41</v>
      </c>
    </row>
    <row r="65548" customFormat="false" ht="12.8" hidden="false" customHeight="false" outlineLevel="0" collapsed="false">
      <c r="A65548" s="0" t="s">
        <v>22389</v>
      </c>
      <c r="B65548" s="0" t="str">
        <f aca="false">HYPERLINK("https://lindat.mff.cuni.cz/services/teitok/pdtc10/index.php?action=vallex&amp;frame=v-w8991f1", "zanikat (v-w8991f1)")</f>
        <v>zanikat (v-w8991f1)</v>
      </c>
    </row>
    <row r="65549" customFormat="false" ht="12.8" hidden="false" customHeight="false" outlineLevel="0" collapsed="false">
      <c r="B65549" s="0" t="s">
        <v>7</v>
      </c>
      <c r="C65549" s="0" t="s">
        <v>8322</v>
      </c>
    </row>
    <row r="65551" customFormat="false" ht="12.8" hidden="false" customHeight="false" outlineLevel="0" collapsed="false">
      <c r="A65551" s="0" t="s">
        <v>22390</v>
      </c>
      <c r="B65551" s="0" t="str">
        <f aca="false">HYPERLINK("https://lindat.mff.cuni.cz/services/teitok/pdtc10/index.php?action=vallex&amp;frame=v-w8991f2", "zanikat (v-w8991f2)")</f>
        <v>zanikat (v-w8991f2)</v>
      </c>
    </row>
    <row r="65552" customFormat="false" ht="12.8" hidden="false" customHeight="false" outlineLevel="0" collapsed="false">
      <c r="B65552" s="0" t="s">
        <v>22391</v>
      </c>
    </row>
    <row r="65553" customFormat="false" ht="12.8" hidden="false" customHeight="false" outlineLevel="0" collapsed="false">
      <c r="B65553" s="0" t="s">
        <v>6304</v>
      </c>
    </row>
    <row r="65555" customFormat="false" ht="12.8" hidden="false" customHeight="false" outlineLevel="0" collapsed="false">
      <c r="A65555" s="0" t="s">
        <v>22392</v>
      </c>
      <c r="B65555" s="0" t="str">
        <f aca="false">HYPERLINK("https://lindat.mff.cuni.cz/services/teitok/pdtc10/index.php?action=vallex&amp;frame=v-w8992f1", "zaniknout (v-w8992f1)")</f>
        <v>zaniknout (v-w8992f1)</v>
      </c>
    </row>
    <row r="65556" customFormat="false" ht="12.8" hidden="false" customHeight="false" outlineLevel="0" collapsed="false">
      <c r="B65556" s="0" t="s">
        <v>7</v>
      </c>
      <c r="C65556" s="0" t="s">
        <v>20740</v>
      </c>
      <c r="D65556" s="0" t="s">
        <v>5380</v>
      </c>
      <c r="E65556" s="0" t="s">
        <v>5380</v>
      </c>
      <c r="F65556" s="0" t="s">
        <v>5380</v>
      </c>
    </row>
    <row r="65558" customFormat="false" ht="12.8" hidden="false" customHeight="false" outlineLevel="0" collapsed="false">
      <c r="A65558" s="0" t="s">
        <v>22393</v>
      </c>
      <c r="B65558" s="0" t="str">
        <f aca="false">HYPERLINK("https://lindat.mff.cuni.cz/services/teitok/pdtc10/index.php?action=vallex&amp;frame=v-w8992f2", "zaniknout (v-w8992f2)")</f>
        <v>zaniknout (v-w8992f2)</v>
      </c>
    </row>
    <row r="65559" customFormat="false" ht="12.8" hidden="false" customHeight="false" outlineLevel="0" collapsed="false">
      <c r="B65559" s="0" t="s">
        <v>21314</v>
      </c>
    </row>
    <row r="65560" customFormat="false" ht="12.8" hidden="false" customHeight="false" outlineLevel="0" collapsed="false">
      <c r="B65560" s="0" t="s">
        <v>6304</v>
      </c>
    </row>
    <row r="65562" customFormat="false" ht="12.8" hidden="false" customHeight="false" outlineLevel="0" collapsed="false">
      <c r="A65562" s="0" t="s">
        <v>22394</v>
      </c>
      <c r="B65562" s="0" t="str">
        <f aca="false">HYPERLINK("https://lindat.mff.cuni.cz/services/teitok/pdtc10/index.php?action=vallex&amp;frame=v-w8992f3_ZU", "zaniknout (v-w8992f3_ZU)")</f>
        <v>zaniknout (v-w8992f3_ZU)</v>
      </c>
    </row>
    <row r="65563" customFormat="false" ht="12.8" hidden="false" customHeight="false" outlineLevel="0" collapsed="false">
      <c r="B65563" s="0" t="s">
        <v>7</v>
      </c>
    </row>
    <row r="65565" customFormat="false" ht="12.8" hidden="false" customHeight="false" outlineLevel="0" collapsed="false">
      <c r="A65565" s="0" t="s">
        <v>22395</v>
      </c>
      <c r="B65565" s="0" t="str">
        <f aca="false">HYPERLINK("https://lindat.mff.cuni.cz/services/teitok/pdtc10/index.php?action=vallex&amp;frame=v-w10226f2", "zanotovat (v-w10226f2)")</f>
        <v>zanotovat (v-w10226f2)</v>
      </c>
    </row>
    <row r="65566" customFormat="false" ht="12.8" hidden="false" customHeight="false" outlineLevel="0" collapsed="false">
      <c r="B65566" s="0" t="s">
        <v>7</v>
      </c>
      <c r="C65566" s="0" t="s">
        <v>191</v>
      </c>
      <c r="D65566" s="0" t="s">
        <v>157</v>
      </c>
      <c r="E65566" s="0" t="s">
        <v>157</v>
      </c>
      <c r="F65566" s="0" t="s">
        <v>157</v>
      </c>
    </row>
    <row r="65567" customFormat="false" ht="12.8" hidden="false" customHeight="false" outlineLevel="0" collapsed="false">
      <c r="B65567" s="0" t="s">
        <v>12378</v>
      </c>
      <c r="C65567" s="0" t="s">
        <v>361</v>
      </c>
      <c r="D65567" s="0" t="s">
        <v>9762</v>
      </c>
      <c r="E65567" s="0" t="s">
        <v>9762</v>
      </c>
      <c r="F65567" s="0" t="s">
        <v>9762</v>
      </c>
    </row>
    <row r="65568" customFormat="false" ht="12.8" hidden="false" customHeight="false" outlineLevel="0" collapsed="false">
      <c r="B65568" s="0" t="s">
        <v>363</v>
      </c>
      <c r="D65568" s="0" t="s">
        <v>120</v>
      </c>
      <c r="E65568" s="0" t="s">
        <v>120</v>
      </c>
      <c r="F65568" s="0" t="s">
        <v>120</v>
      </c>
    </row>
    <row r="65569" customFormat="false" ht="12.8" hidden="false" customHeight="false" outlineLevel="0" collapsed="false">
      <c r="B65569" s="0" t="s">
        <v>106</v>
      </c>
    </row>
    <row r="65571" customFormat="false" ht="12.8" hidden="false" customHeight="false" outlineLevel="0" collapsed="false">
      <c r="A65571" s="0" t="s">
        <v>22396</v>
      </c>
      <c r="B65571" s="0" t="str">
        <f aca="false">HYPERLINK("https://lindat.mff.cuni.cz/services/teitok/pdtc10/index.php?action=vallex&amp;frame=v-w8993f1", "zanořovat se (v-w8993f1)")</f>
        <v>zanořovat se (v-w8993f1)</v>
      </c>
    </row>
    <row r="65572" customFormat="false" ht="12.8" hidden="false" customHeight="false" outlineLevel="0" collapsed="false">
      <c r="B65572" s="0" t="s">
        <v>7</v>
      </c>
      <c r="D65572" s="0" t="s">
        <v>22397</v>
      </c>
      <c r="E65572" s="0" t="s">
        <v>22398</v>
      </c>
      <c r="F65572" s="0" t="s">
        <v>22398</v>
      </c>
    </row>
    <row r="65573" customFormat="false" ht="12.8" hidden="false" customHeight="false" outlineLevel="0" collapsed="false">
      <c r="B65573" s="0" t="s">
        <v>124</v>
      </c>
      <c r="D65573" s="0" t="s">
        <v>18760</v>
      </c>
      <c r="E65573" s="0" t="s">
        <v>18760</v>
      </c>
      <c r="F65573" s="0" t="s">
        <v>18760</v>
      </c>
    </row>
    <row r="65575" customFormat="false" ht="12.8" hidden="false" customHeight="false" outlineLevel="0" collapsed="false">
      <c r="A65575" s="0" t="s">
        <v>22399</v>
      </c>
      <c r="B65575" s="0" t="str">
        <f aca="false">HYPERLINK("https://lindat.mff.cuni.cz/services/teitok/pdtc10/index.php?action=vallex&amp;frame=v-w8979f1", "zanášet (v-w8979f1)")</f>
        <v>zanášet (v-w8979f1)</v>
      </c>
    </row>
    <row r="65576" customFormat="false" ht="12.8" hidden="false" customHeight="false" outlineLevel="0" collapsed="false">
      <c r="B65576" s="0" t="s">
        <v>7</v>
      </c>
    </row>
    <row r="65577" customFormat="false" ht="12.8" hidden="false" customHeight="false" outlineLevel="0" collapsed="false">
      <c r="B65577" s="0" t="s">
        <v>14</v>
      </c>
    </row>
    <row r="65578" customFormat="false" ht="12.8" hidden="false" customHeight="false" outlineLevel="0" collapsed="false">
      <c r="B65578" s="0" t="s">
        <v>124</v>
      </c>
    </row>
    <row r="65580" customFormat="false" ht="12.8" hidden="false" customHeight="false" outlineLevel="0" collapsed="false">
      <c r="A65580" s="0" t="s">
        <v>22400</v>
      </c>
      <c r="B65580" s="0" t="str">
        <f aca="false">HYPERLINK("https://lindat.mff.cuni.cz/services/teitok/pdtc10/index.php?action=vallex&amp;frame=v-w8988f4", "zanést (v-w8988f4)")</f>
        <v>zanést (v-w8988f4)</v>
      </c>
    </row>
    <row r="65581" customFormat="false" ht="12.8" hidden="false" customHeight="false" outlineLevel="0" collapsed="false">
      <c r="B65581" s="0" t="s">
        <v>7</v>
      </c>
    </row>
    <row r="65582" customFormat="false" ht="12.8" hidden="false" customHeight="false" outlineLevel="0" collapsed="false">
      <c r="B65582" s="0" t="s">
        <v>14</v>
      </c>
    </row>
    <row r="65583" customFormat="false" ht="12.8" hidden="false" customHeight="false" outlineLevel="0" collapsed="false">
      <c r="B65583" s="0" t="s">
        <v>3012</v>
      </c>
    </row>
    <row r="65585" customFormat="false" ht="12.8" hidden="false" customHeight="false" outlineLevel="0" collapsed="false">
      <c r="A65585" s="0" t="s">
        <v>22401</v>
      </c>
      <c r="B65585" s="0" t="str">
        <f aca="false">HYPERLINK("https://lindat.mff.cuni.cz/services/teitok/pdtc10/index.php?action=vallex&amp;frame=v-w8988f1", "zanést (v-w8988f1)")</f>
        <v>zanést (v-w8988f1)</v>
      </c>
    </row>
    <row r="65586" customFormat="false" ht="12.8" hidden="false" customHeight="false" outlineLevel="0" collapsed="false">
      <c r="B65586" s="0" t="s">
        <v>7</v>
      </c>
      <c r="C65586" s="0" t="s">
        <v>3028</v>
      </c>
      <c r="D65586" s="0" t="s">
        <v>2235</v>
      </c>
      <c r="E65586" s="0" t="s">
        <v>2235</v>
      </c>
      <c r="F65586" s="0" t="s">
        <v>2235</v>
      </c>
    </row>
    <row r="65587" customFormat="false" ht="12.8" hidden="false" customHeight="false" outlineLevel="0" collapsed="false">
      <c r="B65587" s="0" t="s">
        <v>14</v>
      </c>
      <c r="C65587" s="0" t="s">
        <v>1168</v>
      </c>
      <c r="D65587" s="0" t="s">
        <v>2237</v>
      </c>
      <c r="E65587" s="0" t="s">
        <v>2237</v>
      </c>
      <c r="F65587" s="0" t="s">
        <v>2237</v>
      </c>
    </row>
    <row r="65588" customFormat="false" ht="12.8" hidden="false" customHeight="false" outlineLevel="0" collapsed="false">
      <c r="B65588" s="0" t="s">
        <v>11</v>
      </c>
      <c r="D65588" s="0" t="s">
        <v>5217</v>
      </c>
      <c r="E65588" s="0" t="s">
        <v>5217</v>
      </c>
      <c r="F65588" s="0" t="s">
        <v>5217</v>
      </c>
    </row>
    <row r="65590" customFormat="false" ht="12.8" hidden="false" customHeight="false" outlineLevel="0" collapsed="false">
      <c r="A65590" s="0" t="s">
        <v>22402</v>
      </c>
      <c r="B65590" s="0" t="str">
        <f aca="false">HYPERLINK("https://lindat.mff.cuni.cz/services/teitok/pdtc10/index.php?action=vallex&amp;frame=v-w8988f3", "zanést (v-w8988f3)")</f>
        <v>zanést (v-w8988f3)</v>
      </c>
    </row>
    <row r="65591" customFormat="false" ht="12.8" hidden="false" customHeight="false" outlineLevel="0" collapsed="false">
      <c r="B65591" s="0" t="s">
        <v>7</v>
      </c>
      <c r="D65591" s="0" t="s">
        <v>6366</v>
      </c>
      <c r="E65591" s="0" t="s">
        <v>6366</v>
      </c>
      <c r="F65591" s="0" t="s">
        <v>6366</v>
      </c>
    </row>
    <row r="65592" customFormat="false" ht="12.8" hidden="false" customHeight="false" outlineLevel="0" collapsed="false">
      <c r="B65592" s="0" t="s">
        <v>14</v>
      </c>
      <c r="D65592" s="0" t="s">
        <v>22403</v>
      </c>
      <c r="E65592" s="0" t="s">
        <v>22403</v>
      </c>
      <c r="F65592" s="0" t="s">
        <v>22403</v>
      </c>
    </row>
    <row r="65593" customFormat="false" ht="12.8" hidden="false" customHeight="false" outlineLevel="0" collapsed="false">
      <c r="B65593" s="0" t="s">
        <v>124</v>
      </c>
      <c r="D65593" s="0" t="s">
        <v>2238</v>
      </c>
      <c r="E65593" s="0" t="s">
        <v>2238</v>
      </c>
      <c r="F65593" s="0" t="s">
        <v>2238</v>
      </c>
    </row>
    <row r="65595" customFormat="false" ht="12.8" hidden="false" customHeight="false" outlineLevel="0" collapsed="false">
      <c r="A65595" s="0" t="s">
        <v>22404</v>
      </c>
      <c r="B65595" s="0" t="str">
        <f aca="false">HYPERLINK("https://lindat.mff.cuni.cz/services/teitok/pdtc10/index.php?action=vallex&amp;frame=v-w8988f2", "zanést (v-w8988f2)")</f>
        <v>zanést (v-w8988f2)</v>
      </c>
    </row>
    <row r="65596" customFormat="false" ht="12.8" hidden="false" customHeight="false" outlineLevel="0" collapsed="false">
      <c r="B65596" s="0" t="s">
        <v>7</v>
      </c>
    </row>
    <row r="65597" customFormat="false" ht="12.8" hidden="false" customHeight="false" outlineLevel="0" collapsed="false">
      <c r="B65597" s="0" t="s">
        <v>14</v>
      </c>
    </row>
    <row r="65598" customFormat="false" ht="12.8" hidden="false" customHeight="false" outlineLevel="0" collapsed="false">
      <c r="B65598" s="0" t="s">
        <v>124</v>
      </c>
    </row>
    <row r="65600" customFormat="false" ht="12.8" hidden="false" customHeight="false" outlineLevel="0" collapsed="false">
      <c r="A65600" s="0" t="s">
        <v>22405</v>
      </c>
      <c r="B65600" s="0" t="str">
        <f aca="false">HYPERLINK("https://lindat.mff.cuni.cz/services/teitok/pdtc10/index.php?action=vallex&amp;frame=v-w8988f5_ZU", "zanést (v-w8988f5_ZU)")</f>
        <v>zanést (v-w8988f5_ZU)</v>
      </c>
    </row>
    <row r="65601" customFormat="false" ht="12.8" hidden="false" customHeight="false" outlineLevel="0" collapsed="false">
      <c r="B65601" s="0" t="s">
        <v>7</v>
      </c>
    </row>
    <row r="65602" customFormat="false" ht="12.8" hidden="false" customHeight="false" outlineLevel="0" collapsed="false">
      <c r="B65602" s="0" t="s">
        <v>14</v>
      </c>
    </row>
    <row r="65603" customFormat="false" ht="12.8" hidden="false" customHeight="false" outlineLevel="0" collapsed="false">
      <c r="B65603" s="0" t="s">
        <v>6292</v>
      </c>
    </row>
    <row r="65605" customFormat="false" ht="12.8" hidden="false" customHeight="false" outlineLevel="0" collapsed="false">
      <c r="A65605" s="0" t="s">
        <v>22406</v>
      </c>
      <c r="B65605" s="0" t="str">
        <f aca="false">HYPERLINK("https://lindat.mff.cuni.cz/services/teitok/pdtc10/index.php?action=vallex&amp;frame=v-w8988f6_ZU", "zanést (v-w8988f6_ZU)")</f>
        <v>zanést (v-w8988f6_ZU)</v>
      </c>
    </row>
    <row r="65606" customFormat="false" ht="12.8" hidden="false" customHeight="false" outlineLevel="0" collapsed="false">
      <c r="B65606" s="0" t="s">
        <v>7</v>
      </c>
    </row>
    <row r="65607" customFormat="false" ht="12.8" hidden="false" customHeight="false" outlineLevel="0" collapsed="false">
      <c r="B65607" s="0" t="s">
        <v>14</v>
      </c>
    </row>
    <row r="65608" customFormat="false" ht="12.8" hidden="false" customHeight="false" outlineLevel="0" collapsed="false">
      <c r="B65608" s="0" t="s">
        <v>338</v>
      </c>
    </row>
    <row r="65610" customFormat="false" ht="12.8" hidden="false" customHeight="false" outlineLevel="0" collapsed="false">
      <c r="A65610" s="0" t="s">
        <v>22407</v>
      </c>
      <c r="B65610" s="0" t="str">
        <f aca="false">HYPERLINK("https://lindat.mff.cuni.cz/services/teitok/pdtc10/index.php?action=vallex&amp;frame=v-whsa_586hsa_587", "zaobalovat (v-whsa_586hsa_587)")</f>
        <v>zaobalovat (v-whsa_586hsa_587)</v>
      </c>
    </row>
    <row r="65611" customFormat="false" ht="12.8" hidden="false" customHeight="false" outlineLevel="0" collapsed="false">
      <c r="B65611" s="0" t="s">
        <v>7</v>
      </c>
      <c r="C65611" s="0" t="s">
        <v>191</v>
      </c>
      <c r="D65611" s="0" t="s">
        <v>1263</v>
      </c>
      <c r="E65611" s="0" t="s">
        <v>1263</v>
      </c>
      <c r="F65611" s="0" t="s">
        <v>1263</v>
      </c>
    </row>
    <row r="65612" customFormat="false" ht="12.8" hidden="false" customHeight="false" outlineLevel="0" collapsed="false">
      <c r="B65612" s="0" t="s">
        <v>14</v>
      </c>
      <c r="C65612" s="0" t="s">
        <v>47</v>
      </c>
      <c r="D65612" s="0" t="s">
        <v>2666</v>
      </c>
      <c r="E65612" s="0" t="s">
        <v>2666</v>
      </c>
      <c r="F65612" s="0" t="s">
        <v>2666</v>
      </c>
    </row>
    <row r="65613" customFormat="false" ht="12.8" hidden="false" customHeight="false" outlineLevel="0" collapsed="false">
      <c r="B65613" s="0" t="s">
        <v>181</v>
      </c>
    </row>
    <row r="65615" customFormat="false" ht="12.8" hidden="false" customHeight="false" outlineLevel="0" collapsed="false">
      <c r="A65615" s="0" t="s">
        <v>22408</v>
      </c>
      <c r="B65615" s="0" t="str">
        <f aca="false">HYPERLINK("https://lindat.mff.cuni.cz/services/teitok/pdtc10/index.php?action=vallex&amp;frame=v-w8994f1", "zaoblit (v-w8994f1)")</f>
        <v>zaoblit (v-w8994f1)</v>
      </c>
    </row>
    <row r="65616" customFormat="false" ht="12.8" hidden="false" customHeight="false" outlineLevel="0" collapsed="false">
      <c r="B65616" s="0" t="s">
        <v>7</v>
      </c>
    </row>
    <row r="65617" customFormat="false" ht="12.8" hidden="false" customHeight="false" outlineLevel="0" collapsed="false">
      <c r="B65617" s="0" t="s">
        <v>14</v>
      </c>
    </row>
    <row r="65619" customFormat="false" ht="12.8" hidden="false" customHeight="false" outlineLevel="0" collapsed="false">
      <c r="A65619" s="0" t="s">
        <v>22409</v>
      </c>
      <c r="B65619" s="0" t="str">
        <f aca="false">HYPERLINK("https://lindat.mff.cuni.cz/services/teitok/pdtc10/index.php?action=vallex&amp;frame=v-w11462f1", "zaobírat se (v-w11462f1)")</f>
        <v>zaobírat se (v-w11462f1)</v>
      </c>
    </row>
    <row r="65620" customFormat="false" ht="12.8" hidden="false" customHeight="false" outlineLevel="0" collapsed="false">
      <c r="B65620" s="0" t="s">
        <v>7</v>
      </c>
      <c r="C65620" s="0" t="s">
        <v>3205</v>
      </c>
      <c r="D65620" s="0" t="s">
        <v>215</v>
      </c>
      <c r="E65620" s="0" t="s">
        <v>215</v>
      </c>
      <c r="F65620" s="0" t="s">
        <v>215</v>
      </c>
    </row>
    <row r="65621" customFormat="false" ht="12.8" hidden="false" customHeight="false" outlineLevel="0" collapsed="false">
      <c r="B65621" s="0" t="s">
        <v>216</v>
      </c>
      <c r="D65621" s="0" t="s">
        <v>217</v>
      </c>
      <c r="E65621" s="0" t="s">
        <v>217</v>
      </c>
      <c r="F65621" s="0" t="s">
        <v>217</v>
      </c>
    </row>
    <row r="65623" customFormat="false" ht="12.8" hidden="false" customHeight="false" outlineLevel="0" collapsed="false">
      <c r="A65623" s="0" t="s">
        <v>22410</v>
      </c>
      <c r="B65623" s="0" t="str">
        <f aca="false">HYPERLINK("https://lindat.mff.cuni.cz/services/teitok/pdtc10/index.php?action=vallex&amp;frame=v-w8995f1", "zaopatřovat (v-w8995f1)")</f>
        <v>zaopatřovat (v-w8995f1)</v>
      </c>
    </row>
    <row r="65624" customFormat="false" ht="12.8" hidden="false" customHeight="false" outlineLevel="0" collapsed="false">
      <c r="B65624" s="0" t="s">
        <v>7</v>
      </c>
    </row>
    <row r="65625" customFormat="false" ht="12.8" hidden="false" customHeight="false" outlineLevel="0" collapsed="false">
      <c r="B65625" s="0" t="s">
        <v>14</v>
      </c>
    </row>
    <row r="65626" customFormat="false" ht="12.8" hidden="false" customHeight="false" outlineLevel="0" collapsed="false">
      <c r="B65626" s="0" t="s">
        <v>416</v>
      </c>
    </row>
    <row r="65628" customFormat="false" ht="12.8" hidden="false" customHeight="false" outlineLevel="0" collapsed="false">
      <c r="A65628" s="0" t="s">
        <v>22411</v>
      </c>
      <c r="B65628" s="0" t="str">
        <f aca="false">HYPERLINK("https://lindat.mff.cuni.cz/services/teitok/pdtc10/index.php?action=vallex&amp;frame=v-w8996f1", "zaostat (v-w8996f1)")</f>
        <v>zaostat (v-w8996f1)</v>
      </c>
    </row>
    <row r="65629" customFormat="false" ht="12.8" hidden="false" customHeight="false" outlineLevel="0" collapsed="false">
      <c r="B65629" s="0" t="s">
        <v>7</v>
      </c>
      <c r="C65629" s="0" t="s">
        <v>10245</v>
      </c>
      <c r="D65629" s="0" t="s">
        <v>2797</v>
      </c>
      <c r="E65629" s="0" t="s">
        <v>2797</v>
      </c>
      <c r="F65629" s="0" t="s">
        <v>2797</v>
      </c>
    </row>
    <row r="65630" customFormat="false" ht="12.8" hidden="false" customHeight="false" outlineLevel="0" collapsed="false">
      <c r="B65630" s="0" t="s">
        <v>8990</v>
      </c>
      <c r="C65630" s="0" t="s">
        <v>22412</v>
      </c>
      <c r="D65630" s="0" t="s">
        <v>3628</v>
      </c>
      <c r="E65630" s="0" t="s">
        <v>3628</v>
      </c>
      <c r="F65630" s="0" t="s">
        <v>3628</v>
      </c>
    </row>
    <row r="65632" customFormat="false" ht="12.8" hidden="false" customHeight="false" outlineLevel="0" collapsed="false">
      <c r="A65632" s="0" t="s">
        <v>22413</v>
      </c>
      <c r="B65632" s="0" t="str">
        <f aca="false">HYPERLINK("https://lindat.mff.cuni.cz/services/teitok/pdtc10/index.php?action=vallex&amp;frame=v-w8998f1", "zaostávat (v-w8998f1)")</f>
        <v>zaostávat (v-w8998f1)</v>
      </c>
    </row>
    <row r="65633" customFormat="false" ht="12.8" hidden="false" customHeight="false" outlineLevel="0" collapsed="false">
      <c r="B65633" s="0" t="s">
        <v>7</v>
      </c>
      <c r="C65633" s="0" t="s">
        <v>22414</v>
      </c>
      <c r="D65633" s="0" t="s">
        <v>2797</v>
      </c>
      <c r="E65633" s="0" t="s">
        <v>2797</v>
      </c>
      <c r="F65633" s="0" t="s">
        <v>2797</v>
      </c>
    </row>
    <row r="65634" customFormat="false" ht="12.8" hidden="false" customHeight="false" outlineLevel="0" collapsed="false">
      <c r="B65634" s="0" t="s">
        <v>8990</v>
      </c>
      <c r="C65634" s="0" t="s">
        <v>22415</v>
      </c>
      <c r="D65634" s="0" t="s">
        <v>3628</v>
      </c>
      <c r="E65634" s="0" t="s">
        <v>3628</v>
      </c>
      <c r="F65634" s="0" t="s">
        <v>3628</v>
      </c>
    </row>
    <row r="65636" customFormat="false" ht="12.8" hidden="false" customHeight="false" outlineLevel="0" collapsed="false">
      <c r="A65636" s="0" t="s">
        <v>22416</v>
      </c>
      <c r="B65636" s="0" t="str">
        <f aca="false">HYPERLINK("https://lindat.mff.cuni.cz/services/teitok/pdtc10/index.php?action=vallex&amp;frame=v-w11002f2", "zaostřit (v-w11002f2)")</f>
        <v>zaostřit (v-w11002f2)</v>
      </c>
    </row>
    <row r="65637" customFormat="false" ht="12.8" hidden="false" customHeight="false" outlineLevel="0" collapsed="false">
      <c r="B65637" s="0" t="s">
        <v>7</v>
      </c>
    </row>
    <row r="65638" customFormat="false" ht="12.8" hidden="false" customHeight="false" outlineLevel="0" collapsed="false">
      <c r="B65638" s="0" t="s">
        <v>14</v>
      </c>
    </row>
    <row r="65640" customFormat="false" ht="12.8" hidden="false" customHeight="false" outlineLevel="0" collapsed="false">
      <c r="A65640" s="0" t="s">
        <v>22417</v>
      </c>
      <c r="B65640" s="0" t="str">
        <f aca="false">HYPERLINK("https://lindat.mff.cuni.cz/services/teitok/pdtc10/index.php?action=vallex&amp;frame=v-w8999f2", "zapadat (v-w8999f2)")</f>
        <v>zapadat (v-w8999f2)</v>
      </c>
    </row>
    <row r="65641" customFormat="false" ht="12.8" hidden="false" customHeight="false" outlineLevel="0" collapsed="false">
      <c r="B65641" s="0" t="s">
        <v>7</v>
      </c>
      <c r="C65641" s="0" t="s">
        <v>2905</v>
      </c>
      <c r="E65641" s="0" t="s">
        <v>3899</v>
      </c>
      <c r="F65641" s="0" t="s">
        <v>3899</v>
      </c>
    </row>
    <row r="65642" customFormat="false" ht="12.8" hidden="false" customHeight="false" outlineLevel="0" collapsed="false">
      <c r="B65642" s="0" t="s">
        <v>124</v>
      </c>
      <c r="C65642" s="0" t="s">
        <v>22418</v>
      </c>
      <c r="E65642" s="0" t="s">
        <v>3900</v>
      </c>
      <c r="F65642" s="0" t="s">
        <v>3900</v>
      </c>
    </row>
    <row r="65644" customFormat="false" ht="12.8" hidden="false" customHeight="false" outlineLevel="0" collapsed="false">
      <c r="A65644" s="0" t="s">
        <v>22419</v>
      </c>
      <c r="B65644" s="0" t="str">
        <f aca="false">HYPERLINK("https://lindat.mff.cuni.cz/services/teitok/pdtc10/index.php?action=vallex&amp;frame=v-w8999f3", "zapadat (v-w8999f3)")</f>
        <v>zapadat (v-w8999f3)</v>
      </c>
    </row>
    <row r="65645" customFormat="false" ht="12.8" hidden="false" customHeight="false" outlineLevel="0" collapsed="false">
      <c r="B65645" s="0" t="s">
        <v>7</v>
      </c>
      <c r="D65645" s="0" t="s">
        <v>1705</v>
      </c>
      <c r="E65645" s="0" t="s">
        <v>1706</v>
      </c>
      <c r="F65645" s="0" t="s">
        <v>1706</v>
      </c>
    </row>
    <row r="65646" customFormat="false" ht="12.8" hidden="false" customHeight="false" outlineLevel="0" collapsed="false">
      <c r="B65646" s="0" t="s">
        <v>124</v>
      </c>
      <c r="D65646" s="0" t="s">
        <v>1707</v>
      </c>
      <c r="E65646" s="0" t="s">
        <v>1707</v>
      </c>
      <c r="F65646" s="0" t="s">
        <v>1707</v>
      </c>
    </row>
    <row r="65648" customFormat="false" ht="12.8" hidden="false" customHeight="false" outlineLevel="0" collapsed="false">
      <c r="A65648" s="0" t="s">
        <v>22420</v>
      </c>
      <c r="B65648" s="0" t="str">
        <f aca="false">HYPERLINK("https://lindat.mff.cuni.cz/services/teitok/pdtc10/index.php?action=vallex&amp;frame=v-w8999f1", "zapadat (v-w8999f1)")</f>
        <v>zapadat (v-w8999f1)</v>
      </c>
    </row>
    <row r="65649" customFormat="false" ht="12.8" hidden="false" customHeight="false" outlineLevel="0" collapsed="false">
      <c r="B65649" s="0" t="s">
        <v>7</v>
      </c>
    </row>
    <row r="65651" customFormat="false" ht="12.8" hidden="false" customHeight="false" outlineLevel="0" collapsed="false">
      <c r="A65651" s="0" t="s">
        <v>22421</v>
      </c>
      <c r="B65651" s="0" t="str">
        <f aca="false">HYPERLINK("https://lindat.mff.cuni.cz/services/teitok/pdtc10/index.php?action=vallex&amp;frame=v-w8999f4", "zapadat (v-w8999f4)")</f>
        <v>zapadat (v-w8999f4)</v>
      </c>
    </row>
    <row r="65652" customFormat="false" ht="12.8" hidden="false" customHeight="false" outlineLevel="0" collapsed="false">
      <c r="B65652" s="0" t="s">
        <v>7</v>
      </c>
    </row>
    <row r="65654" customFormat="false" ht="12.8" hidden="false" customHeight="false" outlineLevel="0" collapsed="false">
      <c r="A65654" s="0" t="s">
        <v>22422</v>
      </c>
      <c r="B65654" s="0" t="str">
        <f aca="false">HYPERLINK("https://lindat.mff.cuni.cz/services/teitok/pdtc10/index.php?action=vallex&amp;frame=v-w9000f2", "zapadnout (v-w9000f2)")</f>
        <v>zapadnout (v-w9000f2)</v>
      </c>
    </row>
    <row r="65655" customFormat="false" ht="12.8" hidden="false" customHeight="false" outlineLevel="0" collapsed="false">
      <c r="B65655" s="0" t="s">
        <v>7</v>
      </c>
      <c r="C65655" s="0" t="s">
        <v>7605</v>
      </c>
      <c r="D65655" s="0" t="s">
        <v>1705</v>
      </c>
      <c r="E65655" s="0" t="s">
        <v>1706</v>
      </c>
      <c r="F65655" s="0" t="s">
        <v>1706</v>
      </c>
    </row>
    <row r="65656" customFormat="false" ht="12.8" hidden="false" customHeight="false" outlineLevel="0" collapsed="false">
      <c r="B65656" s="0" t="s">
        <v>124</v>
      </c>
      <c r="C65656" s="0" t="s">
        <v>22423</v>
      </c>
      <c r="D65656" s="0" t="s">
        <v>1707</v>
      </c>
      <c r="E65656" s="0" t="s">
        <v>1707</v>
      </c>
      <c r="F65656" s="0" t="s">
        <v>1707</v>
      </c>
    </row>
    <row r="65658" customFormat="false" ht="12.8" hidden="false" customHeight="false" outlineLevel="0" collapsed="false">
      <c r="A65658" s="0" t="s">
        <v>22424</v>
      </c>
      <c r="B65658" s="0" t="str">
        <f aca="false">HYPERLINK("https://lindat.mff.cuni.cz/services/teitok/pdtc10/index.php?action=vallex&amp;frame=v-w9000f1", "zapadnout (v-w9000f1)")</f>
        <v>zapadnout (v-w9000f1)</v>
      </c>
    </row>
    <row r="65659" customFormat="false" ht="12.8" hidden="false" customHeight="false" outlineLevel="0" collapsed="false">
      <c r="B65659" s="0" t="s">
        <v>7</v>
      </c>
    </row>
    <row r="65661" customFormat="false" ht="12.8" hidden="false" customHeight="false" outlineLevel="0" collapsed="false">
      <c r="A65661" s="0" t="s">
        <v>22425</v>
      </c>
      <c r="B65661" s="0" t="str">
        <f aca="false">HYPERLINK("https://lindat.mff.cuni.cz/services/teitok/pdtc10/index.php?action=vallex&amp;frame=v-w9000f3_ZU", "zapadnout (v-w9000f3_ZU)")</f>
        <v>zapadnout (v-w9000f3_ZU)</v>
      </c>
    </row>
    <row r="65662" customFormat="false" ht="12.8" hidden="false" customHeight="false" outlineLevel="0" collapsed="false">
      <c r="B65662" s="0" t="s">
        <v>7</v>
      </c>
      <c r="C65662" s="0" t="s">
        <v>247</v>
      </c>
      <c r="D65662" s="0" t="s">
        <v>7508</v>
      </c>
      <c r="E65662" s="0" t="s">
        <v>7508</v>
      </c>
      <c r="F65662" s="0" t="s">
        <v>7508</v>
      </c>
    </row>
    <row r="65663" customFormat="false" ht="12.8" hidden="false" customHeight="false" outlineLevel="0" collapsed="false">
      <c r="B65663" s="0" t="s">
        <v>124</v>
      </c>
      <c r="D65663" s="0" t="s">
        <v>7509</v>
      </c>
      <c r="E65663" s="0" t="s">
        <v>7509</v>
      </c>
      <c r="F65663" s="0" t="s">
        <v>7509</v>
      </c>
    </row>
    <row r="65665" customFormat="false" ht="12.8" hidden="false" customHeight="false" outlineLevel="0" collapsed="false">
      <c r="A65665" s="0" t="s">
        <v>22425</v>
      </c>
      <c r="B65665" s="0" t="str">
        <f aca="false">HYPERLINK("https://lindat.mff.cuni.cz/services/teitok/pdtc10/index.php?action=vallex&amp;frame=v-w9000hsa_377", "zapadnout (v-w9000hsa_377) - substituted with v-w9000f3_ZU")</f>
        <v>zapadnout (v-w9000hsa_377) - substituted with v-w9000f3_ZU</v>
      </c>
    </row>
    <row r="65666" customFormat="false" ht="12.8" hidden="false" customHeight="false" outlineLevel="0" collapsed="false">
      <c r="B65666" s="0" t="s">
        <v>7</v>
      </c>
    </row>
    <row r="65667" customFormat="false" ht="12.8" hidden="false" customHeight="false" outlineLevel="0" collapsed="false">
      <c r="B65667" s="0" t="s">
        <v>124</v>
      </c>
    </row>
    <row r="65669" customFormat="false" ht="12.8" hidden="false" customHeight="false" outlineLevel="0" collapsed="false">
      <c r="A65669" s="0" t="s">
        <v>22426</v>
      </c>
      <c r="B65669" s="0" t="str">
        <f aca="false">HYPERLINK("https://lindat.mff.cuni.cz/services/teitok/pdtc10/index.php?action=vallex&amp;frame=v-w9000hsa_1387", "zapadnout (v-w9000hsa_1387)")</f>
        <v>zapadnout (v-w9000hsa_1387)</v>
      </c>
    </row>
    <row r="65670" customFormat="false" ht="12.8" hidden="false" customHeight="false" outlineLevel="0" collapsed="false">
      <c r="B65670" s="0" t="s">
        <v>7</v>
      </c>
    </row>
    <row r="65671" customFormat="false" ht="12.8" hidden="false" customHeight="false" outlineLevel="0" collapsed="false">
      <c r="B65671" s="0" t="s">
        <v>124</v>
      </c>
    </row>
    <row r="65673" customFormat="false" ht="12.8" hidden="false" customHeight="false" outlineLevel="0" collapsed="false">
      <c r="A65673" s="0" t="s">
        <v>22427</v>
      </c>
      <c r="B65673" s="0" t="str">
        <f aca="false">HYPERLINK("https://lindat.mff.cuni.cz/services/teitok/pdtc10/index.php?action=vallex&amp;frame=v-w9003f1", "zapalovat (v-w9003f1)")</f>
        <v>zapalovat (v-w9003f1)</v>
      </c>
    </row>
    <row r="65674" customFormat="false" ht="12.8" hidden="false" customHeight="false" outlineLevel="0" collapsed="false">
      <c r="B65674" s="0" t="s">
        <v>7</v>
      </c>
      <c r="D65674" s="0" t="s">
        <v>46</v>
      </c>
      <c r="E65674" s="0" t="s">
        <v>46</v>
      </c>
      <c r="F65674" s="0" t="s">
        <v>46</v>
      </c>
    </row>
    <row r="65675" customFormat="false" ht="12.8" hidden="false" customHeight="false" outlineLevel="0" collapsed="false">
      <c r="B65675" s="0" t="s">
        <v>14</v>
      </c>
      <c r="D65675" s="0" t="s">
        <v>155</v>
      </c>
      <c r="E65675" s="0" t="s">
        <v>155</v>
      </c>
      <c r="F65675" s="0" t="s">
        <v>155</v>
      </c>
    </row>
    <row r="65677" customFormat="false" ht="12.8" hidden="false" customHeight="false" outlineLevel="0" collapsed="false">
      <c r="A65677" s="0" t="s">
        <v>22428</v>
      </c>
      <c r="B65677" s="0" t="str">
        <f aca="false">HYPERLINK("https://lindat.mff.cuni.cz/services/teitok/pdtc10/index.php?action=vallex&amp;frame=v-w9004f2", "zapamatovat si (v-w9004f2)")</f>
        <v>zapamatovat si (v-w9004f2)</v>
      </c>
    </row>
    <row r="65678" customFormat="false" ht="12.8" hidden="false" customHeight="false" outlineLevel="0" collapsed="false">
      <c r="B65678" s="0" t="s">
        <v>7</v>
      </c>
    </row>
    <row r="65679" customFormat="false" ht="12.8" hidden="false" customHeight="false" outlineLevel="0" collapsed="false">
      <c r="B65679" s="0" t="s">
        <v>1691</v>
      </c>
    </row>
    <row r="65681" customFormat="false" ht="12.8" hidden="false" customHeight="false" outlineLevel="0" collapsed="false">
      <c r="A65681" s="0" t="s">
        <v>22429</v>
      </c>
      <c r="B65681" s="0" t="str">
        <f aca="false">HYPERLINK("https://lindat.mff.cuni.cz/services/teitok/pdtc10/index.php?action=vallex&amp;frame=v-w9004f1", "zapamatovat si (v-w9004f1)")</f>
        <v>zapamatovat si (v-w9004f1)</v>
      </c>
    </row>
    <row r="65682" customFormat="false" ht="12.8" hidden="false" customHeight="false" outlineLevel="0" collapsed="false">
      <c r="B65682" s="0" t="s">
        <v>7</v>
      </c>
    </row>
    <row r="65683" customFormat="false" ht="12.8" hidden="false" customHeight="false" outlineLevel="0" collapsed="false">
      <c r="B65683" s="0" t="s">
        <v>5518</v>
      </c>
    </row>
    <row r="65684" customFormat="false" ht="12.8" hidden="false" customHeight="false" outlineLevel="0" collapsed="false">
      <c r="B65684" s="0" t="s">
        <v>363</v>
      </c>
    </row>
    <row r="65686" customFormat="false" ht="12.8" hidden="false" customHeight="false" outlineLevel="0" collapsed="false">
      <c r="A65686" s="0" t="s">
        <v>22430</v>
      </c>
      <c r="B65686" s="0" t="str">
        <f aca="false">HYPERLINK("https://lindat.mff.cuni.cz/services/teitok/pdtc10/index.php?action=vallex&amp;frame=v-whsa_1719hsa_1720", "zapamatovávat si (v-whsa_1719hsa_1720)")</f>
        <v>zapamatovávat si (v-whsa_1719hsa_1720)</v>
      </c>
    </row>
    <row r="65687" customFormat="false" ht="12.8" hidden="false" customHeight="false" outlineLevel="0" collapsed="false">
      <c r="B65687" s="0" t="s">
        <v>7</v>
      </c>
    </row>
    <row r="65688" customFormat="false" ht="12.8" hidden="false" customHeight="false" outlineLevel="0" collapsed="false">
      <c r="B65688" s="0" t="s">
        <v>1691</v>
      </c>
    </row>
    <row r="65690" customFormat="false" ht="12.8" hidden="false" customHeight="false" outlineLevel="0" collapsed="false">
      <c r="A65690" s="0" t="s">
        <v>22431</v>
      </c>
      <c r="B65690" s="0" t="str">
        <f aca="false">HYPERLINK("https://lindat.mff.cuni.cz/services/teitok/pdtc10/index.php?action=vallex&amp;frame=v-w9005f1", "zaparkovat (v-w9005f1)")</f>
        <v>zaparkovat (v-w9005f1)</v>
      </c>
    </row>
    <row r="65691" customFormat="false" ht="12.8" hidden="false" customHeight="false" outlineLevel="0" collapsed="false">
      <c r="B65691" s="0" t="s">
        <v>7</v>
      </c>
      <c r="E65691" s="0" t="s">
        <v>2235</v>
      </c>
      <c r="F65691" s="0" t="s">
        <v>2235</v>
      </c>
    </row>
    <row r="65692" customFormat="false" ht="12.8" hidden="false" customHeight="false" outlineLevel="0" collapsed="false">
      <c r="B65692" s="0" t="s">
        <v>14</v>
      </c>
      <c r="E65692" s="0" t="s">
        <v>2237</v>
      </c>
      <c r="F65692" s="0" t="s">
        <v>2237</v>
      </c>
    </row>
    <row r="65694" customFormat="false" ht="12.8" hidden="false" customHeight="false" outlineLevel="0" collapsed="false">
      <c r="A65694" s="0" t="s">
        <v>22432</v>
      </c>
      <c r="B65694" s="0" t="str">
        <f aca="false">HYPERLINK("https://lindat.mff.cuni.cz/services/teitok/pdtc10/index.php?action=vallex&amp;frame=v-w9008f1", "zapečetit (v-w9008f1)")</f>
        <v>zapečetit (v-w9008f1)</v>
      </c>
    </row>
    <row r="65695" customFormat="false" ht="12.8" hidden="false" customHeight="false" outlineLevel="0" collapsed="false">
      <c r="B65695" s="0" t="s">
        <v>7</v>
      </c>
      <c r="D65695" s="0" t="s">
        <v>18548</v>
      </c>
      <c r="E65695" s="0" t="s">
        <v>18548</v>
      </c>
      <c r="F65695" s="0" t="s">
        <v>18548</v>
      </c>
    </row>
    <row r="65696" customFormat="false" ht="12.8" hidden="false" customHeight="false" outlineLevel="0" collapsed="false">
      <c r="B65696" s="0" t="s">
        <v>14</v>
      </c>
      <c r="D65696" s="0" t="s">
        <v>4407</v>
      </c>
      <c r="E65696" s="0" t="s">
        <v>452</v>
      </c>
      <c r="F65696" s="0" t="s">
        <v>452</v>
      </c>
    </row>
    <row r="65698" customFormat="false" ht="12.8" hidden="false" customHeight="false" outlineLevel="0" collapsed="false">
      <c r="A65698" s="0" t="s">
        <v>22433</v>
      </c>
      <c r="B65698" s="0" t="str">
        <f aca="false">HYPERLINK("https://lindat.mff.cuni.cz/services/teitok/pdtc10/index.php?action=vallex&amp;frame=v-whsa_1749f1_ZU", "zapinkat si (v-whsa_1749f1_ZU)")</f>
        <v>zapinkat si (v-whsa_1749f1_ZU)</v>
      </c>
    </row>
    <row r="65699" customFormat="false" ht="12.8" hidden="false" customHeight="false" outlineLevel="0" collapsed="false">
      <c r="B65699" s="0" t="s">
        <v>7</v>
      </c>
    </row>
    <row r="65700" customFormat="false" ht="12.8" hidden="false" customHeight="false" outlineLevel="0" collapsed="false">
      <c r="B65700" s="0" t="s">
        <v>2871</v>
      </c>
    </row>
    <row r="65702" customFormat="false" ht="12.8" hidden="false" customHeight="false" outlineLevel="0" collapsed="false">
      <c r="A65702" s="0" t="s">
        <v>22433</v>
      </c>
      <c r="B65702" s="0" t="str">
        <f aca="false">HYPERLINK("https://lindat.mff.cuni.cz/services/teitok/pdtc10/index.php?action=vallex&amp;frame=v-whsa_1749hsa_1750", "zapinkat si (v-whsa_1749hsa_1750) - substituted with v-whsa_1749f1_ZU")</f>
        <v>zapinkat si (v-whsa_1749hsa_1750) - substituted with v-whsa_1749f1_ZU</v>
      </c>
    </row>
    <row r="65703" customFormat="false" ht="12.8" hidden="false" customHeight="false" outlineLevel="0" collapsed="false">
      <c r="B65703" s="0" t="s">
        <v>7</v>
      </c>
    </row>
    <row r="65704" customFormat="false" ht="12.8" hidden="false" customHeight="false" outlineLevel="0" collapsed="false">
      <c r="B65704" s="0" t="s">
        <v>2871</v>
      </c>
    </row>
    <row r="65706" customFormat="false" ht="12.8" hidden="false" customHeight="false" outlineLevel="0" collapsed="false">
      <c r="A65706" s="0" t="s">
        <v>22434</v>
      </c>
      <c r="B65706" s="0" t="str">
        <f aca="false">HYPERLINK("https://lindat.mff.cuni.cz/services/teitok/pdtc10/index.php?action=vallex&amp;frame=v-w9013f3", "zapisovat (v-w9013f3)")</f>
        <v>zapisovat (v-w9013f3)</v>
      </c>
    </row>
    <row r="65707" customFormat="false" ht="12.8" hidden="false" customHeight="false" outlineLevel="0" collapsed="false">
      <c r="B65707" s="0" t="s">
        <v>7</v>
      </c>
      <c r="D65707" s="0" t="s">
        <v>1505</v>
      </c>
      <c r="E65707" s="0" t="s">
        <v>1505</v>
      </c>
      <c r="F65707" s="0" t="s">
        <v>1505</v>
      </c>
    </row>
    <row r="65708" customFormat="false" ht="12.8" hidden="false" customHeight="false" outlineLevel="0" collapsed="false">
      <c r="B65708" s="0" t="s">
        <v>14</v>
      </c>
      <c r="D65708" s="0" t="s">
        <v>14524</v>
      </c>
      <c r="E65708" s="0" t="s">
        <v>14524</v>
      </c>
      <c r="F65708" s="0" t="s">
        <v>14524</v>
      </c>
    </row>
    <row r="65709" customFormat="false" ht="12.8" hidden="false" customHeight="false" outlineLevel="0" collapsed="false">
      <c r="B65709" s="0" t="s">
        <v>11</v>
      </c>
      <c r="D65709" s="0" t="s">
        <v>22435</v>
      </c>
      <c r="E65709" s="0" t="s">
        <v>22435</v>
      </c>
      <c r="F65709" s="0" t="s">
        <v>22435</v>
      </c>
    </row>
    <row r="65711" customFormat="false" ht="12.8" hidden="false" customHeight="false" outlineLevel="0" collapsed="false">
      <c r="A65711" s="0" t="s">
        <v>22436</v>
      </c>
      <c r="B65711" s="0" t="str">
        <f aca="false">HYPERLINK("https://lindat.mff.cuni.cz/services/teitok/pdtc10/index.php?action=vallex&amp;frame=v-w9013f1", "zapisovat (v-w9013f1)")</f>
        <v>zapisovat (v-w9013f1)</v>
      </c>
    </row>
    <row r="65712" customFormat="false" ht="12.8" hidden="false" customHeight="false" outlineLevel="0" collapsed="false">
      <c r="B65712" s="0" t="s">
        <v>7</v>
      </c>
      <c r="C65712" s="0" t="s">
        <v>4171</v>
      </c>
      <c r="D65712" s="0" t="s">
        <v>13021</v>
      </c>
      <c r="E65712" s="0" t="s">
        <v>13021</v>
      </c>
      <c r="F65712" s="0" t="s">
        <v>13021</v>
      </c>
    </row>
    <row r="65713" customFormat="false" ht="12.8" hidden="false" customHeight="false" outlineLevel="0" collapsed="false">
      <c r="B65713" s="0" t="s">
        <v>14</v>
      </c>
      <c r="C65713" s="0" t="s">
        <v>4407</v>
      </c>
      <c r="D65713" s="0" t="s">
        <v>22437</v>
      </c>
      <c r="E65713" s="0" t="s">
        <v>22437</v>
      </c>
      <c r="F65713" s="0" t="s">
        <v>22437</v>
      </c>
    </row>
    <row r="65714" customFormat="false" ht="12.8" hidden="false" customHeight="false" outlineLevel="0" collapsed="false">
      <c r="B65714" s="0" t="s">
        <v>124</v>
      </c>
      <c r="D65714" s="0" t="s">
        <v>22438</v>
      </c>
      <c r="E65714" s="0" t="s">
        <v>22438</v>
      </c>
      <c r="F65714" s="0" t="s">
        <v>22438</v>
      </c>
    </row>
    <row r="65716" customFormat="false" ht="12.8" hidden="false" customHeight="false" outlineLevel="0" collapsed="false">
      <c r="A65716" s="0" t="s">
        <v>22439</v>
      </c>
      <c r="B65716" s="0" t="str">
        <f aca="false">HYPERLINK("https://lindat.mff.cuni.cz/services/teitok/pdtc10/index.php?action=vallex&amp;frame=v-w9013f2", "zapisovat (v-w9013f2)")</f>
        <v>zapisovat (v-w9013f2)</v>
      </c>
    </row>
    <row r="65717" customFormat="false" ht="12.8" hidden="false" customHeight="false" outlineLevel="0" collapsed="false">
      <c r="B65717" s="0" t="s">
        <v>7</v>
      </c>
    </row>
    <row r="65718" customFormat="false" ht="12.8" hidden="false" customHeight="false" outlineLevel="0" collapsed="false">
      <c r="B65718" s="0" t="s">
        <v>3617</v>
      </c>
    </row>
    <row r="65719" customFormat="false" ht="12.8" hidden="false" customHeight="false" outlineLevel="0" collapsed="false">
      <c r="B65719" s="0" t="s">
        <v>363</v>
      </c>
    </row>
    <row r="65721" customFormat="false" ht="12.8" hidden="false" customHeight="false" outlineLevel="0" collapsed="false">
      <c r="A65721" s="0" t="s">
        <v>22440</v>
      </c>
      <c r="B65721" s="0" t="str">
        <f aca="false">HYPERLINK("https://lindat.mff.cuni.cz/services/teitok/pdtc10/index.php?action=vallex&amp;frame=v-w9020f4_ZU", "zaplatit (v-w9020f4_ZU)")</f>
        <v>zaplatit (v-w9020f4_ZU)</v>
      </c>
    </row>
    <row r="65722" customFormat="false" ht="12.8" hidden="false" customHeight="false" outlineLevel="0" collapsed="false">
      <c r="B65722" s="0" t="s">
        <v>7</v>
      </c>
    </row>
    <row r="65723" customFormat="false" ht="12.8" hidden="false" customHeight="false" outlineLevel="0" collapsed="false">
      <c r="B65723" s="0" t="s">
        <v>232</v>
      </c>
    </row>
    <row r="65724" customFormat="false" ht="12.8" hidden="false" customHeight="false" outlineLevel="0" collapsed="false">
      <c r="B65724" s="0" t="s">
        <v>106</v>
      </c>
    </row>
    <row r="65725" customFormat="false" ht="12.8" hidden="false" customHeight="false" outlineLevel="0" collapsed="false">
      <c r="B65725" s="0" t="s">
        <v>550</v>
      </c>
    </row>
    <row r="65727" customFormat="false" ht="12.8" hidden="false" customHeight="false" outlineLevel="0" collapsed="false">
      <c r="A65727" s="0" t="s">
        <v>22440</v>
      </c>
      <c r="B65727" s="0" t="str">
        <f aca="false">HYPERLINK("https://lindat.mff.cuni.cz/services/teitok/pdtc10/index.php?action=vallex&amp;frame=v-w9020f1", "zaplatit (v-w9020f1) - substituted with v-w9020f4_ZU")</f>
        <v>zaplatit (v-w9020f1) - substituted with v-w9020f4_ZU</v>
      </c>
    </row>
    <row r="65728" customFormat="false" ht="12.8" hidden="false" customHeight="false" outlineLevel="0" collapsed="false">
      <c r="B65728" s="0" t="s">
        <v>7</v>
      </c>
      <c r="C65728" s="0" t="s">
        <v>22441</v>
      </c>
      <c r="D65728" s="0" t="s">
        <v>4000</v>
      </c>
      <c r="E65728" s="0" t="s">
        <v>4000</v>
      </c>
      <c r="F65728" s="0" t="s">
        <v>4000</v>
      </c>
    </row>
    <row r="65729" customFormat="false" ht="12.8" hidden="false" customHeight="false" outlineLevel="0" collapsed="false">
      <c r="B65729" s="0" t="s">
        <v>232</v>
      </c>
      <c r="C65729" s="0" t="s">
        <v>22442</v>
      </c>
      <c r="D65729" s="0" t="s">
        <v>4002</v>
      </c>
      <c r="E65729" s="0" t="s">
        <v>4002</v>
      </c>
      <c r="F65729" s="0" t="s">
        <v>4002</v>
      </c>
    </row>
    <row r="65730" customFormat="false" ht="12.8" hidden="false" customHeight="false" outlineLevel="0" collapsed="false">
      <c r="B65730" s="0" t="s">
        <v>106</v>
      </c>
      <c r="C65730" s="0" t="s">
        <v>22443</v>
      </c>
      <c r="D65730" s="0" t="s">
        <v>4004</v>
      </c>
      <c r="E65730" s="0" t="s">
        <v>4004</v>
      </c>
      <c r="F65730" s="0" t="s">
        <v>4004</v>
      </c>
    </row>
    <row r="65731" customFormat="false" ht="12.8" hidden="false" customHeight="false" outlineLevel="0" collapsed="false">
      <c r="B65731" s="0" t="s">
        <v>550</v>
      </c>
      <c r="C65731" s="0" t="s">
        <v>22444</v>
      </c>
    </row>
    <row r="65733" customFormat="false" ht="12.8" hidden="false" customHeight="false" outlineLevel="0" collapsed="false">
      <c r="A65733" s="0" t="s">
        <v>22445</v>
      </c>
      <c r="B65733" s="0" t="str">
        <f aca="false">HYPERLINK("https://lindat.mff.cuni.cz/services/teitok/pdtc10/index.php?action=vallex&amp;frame=v-w9020f2", "zaplatit (v-w9020f2)")</f>
        <v>zaplatit (v-w9020f2)</v>
      </c>
    </row>
    <row r="65734" customFormat="false" ht="12.8" hidden="false" customHeight="false" outlineLevel="0" collapsed="false">
      <c r="B65734" s="0" t="s">
        <v>7</v>
      </c>
      <c r="C65734" s="0" t="s">
        <v>22446</v>
      </c>
      <c r="D65734" s="0" t="s">
        <v>4000</v>
      </c>
      <c r="E65734" s="0" t="s">
        <v>4000</v>
      </c>
      <c r="F65734" s="0" t="s">
        <v>4000</v>
      </c>
    </row>
    <row r="65735" customFormat="false" ht="12.8" hidden="false" customHeight="false" outlineLevel="0" collapsed="false">
      <c r="B65735" s="0" t="s">
        <v>679</v>
      </c>
      <c r="C65735" s="0" t="s">
        <v>22447</v>
      </c>
      <c r="D65735" s="0" t="s">
        <v>9682</v>
      </c>
      <c r="E65735" s="0" t="s">
        <v>9682</v>
      </c>
      <c r="F65735" s="0" t="s">
        <v>9682</v>
      </c>
    </row>
    <row r="65736" customFormat="false" ht="12.8" hidden="false" customHeight="false" outlineLevel="0" collapsed="false">
      <c r="B65736" s="0" t="s">
        <v>1654</v>
      </c>
      <c r="C65736" s="0" t="s">
        <v>22448</v>
      </c>
    </row>
    <row r="65737" customFormat="false" ht="12.8" hidden="false" customHeight="false" outlineLevel="0" collapsed="false">
      <c r="B65737" s="0" t="s">
        <v>106</v>
      </c>
      <c r="C65737" s="0" t="s">
        <v>22449</v>
      </c>
      <c r="D65737" s="0" t="s">
        <v>4004</v>
      </c>
      <c r="E65737" s="0" t="s">
        <v>4004</v>
      </c>
      <c r="F65737" s="0" t="s">
        <v>4004</v>
      </c>
    </row>
    <row r="65739" customFormat="false" ht="12.8" hidden="false" customHeight="false" outlineLevel="0" collapsed="false">
      <c r="A65739" s="0" t="s">
        <v>22450</v>
      </c>
      <c r="B65739" s="0" t="str">
        <f aca="false">HYPERLINK("https://lindat.mff.cuni.cz/services/teitok/pdtc10/index.php?action=vallex&amp;frame=v-w9020f3", "zaplatit (v-w9020f3)")</f>
        <v>zaplatit (v-w9020f3)</v>
      </c>
    </row>
    <row r="65740" customFormat="false" ht="12.8" hidden="false" customHeight="false" outlineLevel="0" collapsed="false">
      <c r="B65740" s="0" t="s">
        <v>603</v>
      </c>
    </row>
    <row r="65741" customFormat="false" ht="12.8" hidden="false" customHeight="false" outlineLevel="0" collapsed="false">
      <c r="B65741" s="0" t="s">
        <v>16072</v>
      </c>
    </row>
    <row r="65743" customFormat="false" ht="12.8" hidden="false" customHeight="false" outlineLevel="0" collapsed="false">
      <c r="A65743" s="0" t="s">
        <v>22451</v>
      </c>
      <c r="B65743" s="0" t="str">
        <f aca="false">HYPERLINK("https://lindat.mff.cuni.cz/services/teitok/pdtc10/index.php?action=vallex&amp;frame=v-w9020f5_ZU", "zaplatit (v-w9020f5_ZU)")</f>
        <v>zaplatit (v-w9020f5_ZU)</v>
      </c>
    </row>
    <row r="65744" customFormat="false" ht="12.8" hidden="false" customHeight="false" outlineLevel="0" collapsed="false">
      <c r="B65744" s="0" t="s">
        <v>22452</v>
      </c>
    </row>
    <row r="65745" customFormat="false" ht="12.8" hidden="false" customHeight="false" outlineLevel="0" collapsed="false">
      <c r="B65745" s="0" t="s">
        <v>22453</v>
      </c>
    </row>
    <row r="65747" customFormat="false" ht="12.8" hidden="false" customHeight="false" outlineLevel="0" collapsed="false">
      <c r="A65747" s="0" t="s">
        <v>22451</v>
      </c>
      <c r="B65747" s="0" t="str">
        <f aca="false">HYPERLINK("https://lindat.mff.cuni.cz/services/teitok/pdtc10/index.php?action=vallex&amp;frame=v-w9020hsa_640", "zaplatit (v-w9020hsa_640) - substituted with v-w9020f5_ZU")</f>
        <v>zaplatit (v-w9020hsa_640) - substituted with v-w9020f5_ZU</v>
      </c>
    </row>
    <row r="65748" customFormat="false" ht="12.8" hidden="false" customHeight="false" outlineLevel="0" collapsed="false">
      <c r="B65748" s="0" t="s">
        <v>22452</v>
      </c>
    </row>
    <row r="65749" customFormat="false" ht="12.8" hidden="false" customHeight="false" outlineLevel="0" collapsed="false">
      <c r="B65749" s="0" t="s">
        <v>22453</v>
      </c>
    </row>
    <row r="65751" customFormat="false" ht="12.8" hidden="false" customHeight="false" outlineLevel="0" collapsed="false">
      <c r="A65751" s="0" t="s">
        <v>22454</v>
      </c>
      <c r="B65751" s="0" t="str">
        <f aca="false">HYPERLINK("https://lindat.mff.cuni.cz/services/teitok/pdtc10/index.php?action=vallex&amp;frame=v-w9020hsa_639", "zaplatit (v-w9020hsa_639)")</f>
        <v>zaplatit (v-w9020hsa_639)</v>
      </c>
    </row>
    <row r="65752" customFormat="false" ht="12.8" hidden="false" customHeight="false" outlineLevel="0" collapsed="false">
      <c r="B65752" s="0" t="s">
        <v>7</v>
      </c>
    </row>
    <row r="65753" customFormat="false" ht="12.8" hidden="false" customHeight="false" outlineLevel="0" collapsed="false">
      <c r="B65753" s="0" t="s">
        <v>14</v>
      </c>
    </row>
    <row r="65755" customFormat="false" ht="12.8" hidden="false" customHeight="false" outlineLevel="0" collapsed="false">
      <c r="A65755" s="0" t="s">
        <v>22455</v>
      </c>
      <c r="B65755" s="0" t="str">
        <f aca="false">HYPERLINK("https://lindat.mff.cuni.cz/services/teitok/pdtc10/index.php?action=vallex&amp;frame=v-w9021f1", "zaplatit se (v-w9021f1)")</f>
        <v>zaplatit se (v-w9021f1)</v>
      </c>
    </row>
    <row r="65756" customFormat="false" ht="12.8" hidden="false" customHeight="false" outlineLevel="0" collapsed="false">
      <c r="B65756" s="0" t="s">
        <v>7</v>
      </c>
      <c r="C65756" s="0" t="s">
        <v>22456</v>
      </c>
      <c r="F65756" s="0" t="s">
        <v>19075</v>
      </c>
    </row>
    <row r="65758" customFormat="false" ht="12.8" hidden="false" customHeight="false" outlineLevel="0" collapsed="false">
      <c r="A65758" s="0" t="s">
        <v>22457</v>
      </c>
      <c r="B65758" s="0" t="str">
        <f aca="false">HYPERLINK("https://lindat.mff.cuni.cz/services/teitok/pdtc10/index.php?action=vallex&amp;frame=v-w9024f1", "zaplavat (v-w9024f1)")</f>
        <v>zaplavat (v-w9024f1)</v>
      </c>
    </row>
    <row r="65759" customFormat="false" ht="12.8" hidden="false" customHeight="false" outlineLevel="0" collapsed="false">
      <c r="B65759" s="0" t="s">
        <v>7</v>
      </c>
    </row>
    <row r="65760" customFormat="false" ht="12.8" hidden="false" customHeight="false" outlineLevel="0" collapsed="false">
      <c r="B65760" s="0" t="s">
        <v>14</v>
      </c>
    </row>
    <row r="65762" customFormat="false" ht="12.8" hidden="false" customHeight="false" outlineLevel="0" collapsed="false">
      <c r="A65762" s="0" t="s">
        <v>22458</v>
      </c>
      <c r="B65762" s="0" t="str">
        <f aca="false">HYPERLINK("https://lindat.mff.cuni.cz/services/teitok/pdtc10/index.php?action=vallex&amp;frame=v-whsa_1090hsa_1091", "zaplavat si (v-whsa_1090hsa_1091)")</f>
        <v>zaplavat si (v-whsa_1090hsa_1091)</v>
      </c>
    </row>
    <row r="65763" customFormat="false" ht="12.8" hidden="false" customHeight="false" outlineLevel="0" collapsed="false">
      <c r="B65763" s="0" t="s">
        <v>7</v>
      </c>
    </row>
    <row r="65765" customFormat="false" ht="12.8" hidden="false" customHeight="false" outlineLevel="0" collapsed="false">
      <c r="A65765" s="0" t="s">
        <v>22459</v>
      </c>
      <c r="B65765" s="0" t="str">
        <f aca="false">HYPERLINK("https://lindat.mff.cuni.cz/services/teitok/pdtc10/index.php?action=vallex&amp;frame=v-w9027f2_ZU", "zaplavit (v-w9027f2_ZU)")</f>
        <v>zaplavit (v-w9027f2_ZU)</v>
      </c>
    </row>
    <row r="65766" customFormat="false" ht="12.8" hidden="false" customHeight="false" outlineLevel="0" collapsed="false">
      <c r="B65766" s="0" t="s">
        <v>7</v>
      </c>
      <c r="C65766" s="0" t="s">
        <v>832</v>
      </c>
      <c r="D65766" s="0" t="s">
        <v>22460</v>
      </c>
      <c r="E65766" s="0" t="s">
        <v>22460</v>
      </c>
      <c r="F65766" s="0" t="s">
        <v>22460</v>
      </c>
    </row>
    <row r="65767" customFormat="false" ht="12.8" hidden="false" customHeight="false" outlineLevel="0" collapsed="false">
      <c r="B65767" s="0" t="s">
        <v>14</v>
      </c>
      <c r="C65767" s="0" t="s">
        <v>461</v>
      </c>
      <c r="D65767" s="0" t="s">
        <v>13398</v>
      </c>
      <c r="E65767" s="0" t="s">
        <v>13398</v>
      </c>
      <c r="F65767" s="0" t="s">
        <v>13398</v>
      </c>
    </row>
    <row r="65768" customFormat="false" ht="12.8" hidden="false" customHeight="false" outlineLevel="0" collapsed="false">
      <c r="B65768" s="0" t="s">
        <v>1408</v>
      </c>
      <c r="C65768" s="0" t="s">
        <v>22461</v>
      </c>
      <c r="D65768" s="0" t="s">
        <v>4826</v>
      </c>
      <c r="E65768" s="0" t="s">
        <v>4826</v>
      </c>
      <c r="F65768" s="0" t="s">
        <v>4826</v>
      </c>
    </row>
    <row r="65770" customFormat="false" ht="12.8" hidden="false" customHeight="false" outlineLevel="0" collapsed="false">
      <c r="A65770" s="0" t="s">
        <v>22462</v>
      </c>
      <c r="B65770" s="0" t="str">
        <f aca="false">HYPERLINK("https://lindat.mff.cuni.cz/services/teitok/pdtc10/index.php?action=vallex&amp;frame=v-w9027f1", "zaplavit (v-w9027f1)")</f>
        <v>zaplavit (v-w9027f1)</v>
      </c>
    </row>
    <row r="65771" customFormat="false" ht="12.8" hidden="false" customHeight="false" outlineLevel="0" collapsed="false">
      <c r="B65771" s="0" t="s">
        <v>7</v>
      </c>
      <c r="C65771" s="0" t="s">
        <v>22463</v>
      </c>
      <c r="D65771" s="0" t="s">
        <v>22464</v>
      </c>
      <c r="E65771" s="0" t="s">
        <v>22464</v>
      </c>
      <c r="F65771" s="0" t="s">
        <v>22464</v>
      </c>
    </row>
    <row r="65772" customFormat="false" ht="12.8" hidden="false" customHeight="false" outlineLevel="0" collapsed="false">
      <c r="B65772" s="0" t="s">
        <v>14</v>
      </c>
      <c r="C65772" s="0" t="s">
        <v>16424</v>
      </c>
      <c r="D65772" s="0" t="s">
        <v>22465</v>
      </c>
      <c r="E65772" s="0" t="s">
        <v>22465</v>
      </c>
      <c r="F65772" s="0" t="s">
        <v>22465</v>
      </c>
    </row>
    <row r="65774" customFormat="false" ht="12.8" hidden="false" customHeight="false" outlineLevel="0" collapsed="false">
      <c r="A65774" s="0" t="s">
        <v>22466</v>
      </c>
      <c r="B65774" s="0" t="str">
        <f aca="false">HYPERLINK("https://lindat.mff.cuni.cz/services/teitok/pdtc10/index.php?action=vallex&amp;frame=v-w9027f3_ZU", "zaplavit (v-w9027f3_ZU)")</f>
        <v>zaplavit (v-w9027f3_ZU)</v>
      </c>
    </row>
    <row r="65775" customFormat="false" ht="12.8" hidden="false" customHeight="false" outlineLevel="0" collapsed="false">
      <c r="B65775" s="0" t="s">
        <v>7</v>
      </c>
    </row>
    <row r="65776" customFormat="false" ht="12.8" hidden="false" customHeight="false" outlineLevel="0" collapsed="false">
      <c r="B65776" s="0" t="s">
        <v>14</v>
      </c>
    </row>
    <row r="65778" customFormat="false" ht="12.8" hidden="false" customHeight="false" outlineLevel="0" collapsed="false">
      <c r="A65778" s="0" t="s">
        <v>22466</v>
      </c>
      <c r="B65778" s="0" t="str">
        <f aca="false">HYPERLINK("https://lindat.mff.cuni.cz/services/teitok/pdtc10/index.php?action=vallex&amp;frame=v-w9027hsa_296", "zaplavit (v-w9027hsa_296) - substituted with v-w9027f3_ZU")</f>
        <v>zaplavit (v-w9027hsa_296) - substituted with v-w9027f3_ZU</v>
      </c>
    </row>
    <row r="65779" customFormat="false" ht="12.8" hidden="false" customHeight="false" outlineLevel="0" collapsed="false">
      <c r="B65779" s="0" t="s">
        <v>7</v>
      </c>
    </row>
    <row r="65780" customFormat="false" ht="12.8" hidden="false" customHeight="false" outlineLevel="0" collapsed="false">
      <c r="B65780" s="0" t="s">
        <v>14</v>
      </c>
    </row>
    <row r="65782" customFormat="false" ht="12.8" hidden="false" customHeight="false" outlineLevel="0" collapsed="false">
      <c r="A65782" s="0" t="s">
        <v>22467</v>
      </c>
      <c r="B65782" s="0" t="str">
        <f aca="false">HYPERLINK("https://lindat.mff.cuni.cz/services/teitok/pdtc10/index.php?action=vallex&amp;frame=v-w9028f1", "zaplavovat (v-w9028f1)")</f>
        <v>zaplavovat (v-w9028f1)</v>
      </c>
    </row>
    <row r="65783" customFormat="false" ht="12.8" hidden="false" customHeight="false" outlineLevel="0" collapsed="false">
      <c r="B65783" s="0" t="s">
        <v>7</v>
      </c>
      <c r="C65783" s="0" t="s">
        <v>10558</v>
      </c>
      <c r="D65783" s="0" t="s">
        <v>7861</v>
      </c>
      <c r="E65783" s="0" t="s">
        <v>7861</v>
      </c>
      <c r="F65783" s="0" t="s">
        <v>7861</v>
      </c>
    </row>
    <row r="65784" customFormat="false" ht="12.8" hidden="false" customHeight="false" outlineLevel="0" collapsed="false">
      <c r="B65784" s="0" t="s">
        <v>14</v>
      </c>
      <c r="C65784" s="0" t="s">
        <v>384</v>
      </c>
      <c r="D65784" s="0" t="s">
        <v>7862</v>
      </c>
      <c r="E65784" s="0" t="s">
        <v>7862</v>
      </c>
      <c r="F65784" s="0" t="s">
        <v>7862</v>
      </c>
    </row>
    <row r="65785" customFormat="false" ht="12.8" hidden="false" customHeight="false" outlineLevel="0" collapsed="false">
      <c r="B65785" s="0" t="s">
        <v>6292</v>
      </c>
    </row>
    <row r="65787" customFormat="false" ht="12.8" hidden="false" customHeight="false" outlineLevel="0" collapsed="false">
      <c r="A65787" s="0" t="s">
        <v>22468</v>
      </c>
      <c r="B65787" s="0" t="str">
        <f aca="false">HYPERLINK("https://lindat.mff.cuni.cz/services/teitok/pdtc10/index.php?action=vallex&amp;frame=v-w11968_ZUf1_ZU", "zaplavčíkovat si (v-w11968_ZUf1_ZU)")</f>
        <v>zaplavčíkovat si (v-w11968_ZUf1_ZU)</v>
      </c>
    </row>
    <row r="65788" customFormat="false" ht="12.8" hidden="false" customHeight="false" outlineLevel="0" collapsed="false">
      <c r="B65788" s="0" t="s">
        <v>7</v>
      </c>
    </row>
    <row r="65790" customFormat="false" ht="12.8" hidden="false" customHeight="false" outlineLevel="0" collapsed="false">
      <c r="A65790" s="0" t="s">
        <v>22469</v>
      </c>
      <c r="B65790" s="0" t="str">
        <f aca="false">HYPERLINK("https://lindat.mff.cuni.cz/services/teitok/pdtc10/index.php?action=vallex&amp;frame=v-w9019f1", "zaplašit (v-w9019f1)")</f>
        <v>zaplašit (v-w9019f1)</v>
      </c>
    </row>
    <row r="65791" customFormat="false" ht="12.8" hidden="false" customHeight="false" outlineLevel="0" collapsed="false">
      <c r="B65791" s="0" t="s">
        <v>7</v>
      </c>
    </row>
    <row r="65792" customFormat="false" ht="12.8" hidden="false" customHeight="false" outlineLevel="0" collapsed="false">
      <c r="B65792" s="0" t="s">
        <v>14</v>
      </c>
    </row>
    <row r="65794" customFormat="false" ht="12.8" hidden="false" customHeight="false" outlineLevel="0" collapsed="false">
      <c r="A65794" s="0" t="s">
        <v>22470</v>
      </c>
      <c r="B65794" s="0" t="str">
        <f aca="false">HYPERLINK("https://lindat.mff.cuni.cz/services/teitok/pdtc10/index.php?action=vallex&amp;frame=v-w9032f3_MM", "zaplnit (v-w9032f3_MM)")</f>
        <v>zaplnit (v-w9032f3_MM)</v>
      </c>
    </row>
    <row r="65795" customFormat="false" ht="12.8" hidden="false" customHeight="false" outlineLevel="0" collapsed="false">
      <c r="B65795" s="0" t="s">
        <v>7</v>
      </c>
    </row>
    <row r="65796" customFormat="false" ht="12.8" hidden="false" customHeight="false" outlineLevel="0" collapsed="false">
      <c r="B65796" s="0" t="s">
        <v>14</v>
      </c>
    </row>
    <row r="65797" customFormat="false" ht="12.8" hidden="false" customHeight="false" outlineLevel="0" collapsed="false">
      <c r="B65797" s="0" t="s">
        <v>6292</v>
      </c>
    </row>
    <row r="65799" customFormat="false" ht="12.8" hidden="false" customHeight="false" outlineLevel="0" collapsed="false">
      <c r="A65799" s="0" t="s">
        <v>22470</v>
      </c>
      <c r="B65799" s="0" t="str">
        <f aca="false">HYPERLINK("https://lindat.mff.cuni.cz/services/teitok/pdtc10/index.php?action=vallex&amp;frame=v-w9032f1", "zaplnit (v-w9032f1) - substituted with v-w9032f3_MM")</f>
        <v>zaplnit (v-w9032f1) - substituted with v-w9032f3_MM</v>
      </c>
    </row>
    <row r="65800" customFormat="false" ht="12.8" hidden="false" customHeight="false" outlineLevel="0" collapsed="false">
      <c r="B65800" s="0" t="s">
        <v>7</v>
      </c>
      <c r="C65800" s="0" t="s">
        <v>5205</v>
      </c>
      <c r="D65800" s="0" t="s">
        <v>6737</v>
      </c>
      <c r="E65800" s="0" t="s">
        <v>6737</v>
      </c>
      <c r="F65800" s="0" t="s">
        <v>6737</v>
      </c>
    </row>
    <row r="65801" customFormat="false" ht="12.8" hidden="false" customHeight="false" outlineLevel="0" collapsed="false">
      <c r="B65801" s="0" t="s">
        <v>14</v>
      </c>
      <c r="C65801" s="0" t="s">
        <v>4027</v>
      </c>
      <c r="D65801" s="0" t="s">
        <v>6739</v>
      </c>
      <c r="E65801" s="0" t="s">
        <v>6739</v>
      </c>
      <c r="F65801" s="0" t="s">
        <v>6739</v>
      </c>
    </row>
    <row r="65802" customFormat="false" ht="12.8" hidden="false" customHeight="false" outlineLevel="0" collapsed="false">
      <c r="B65802" s="0" t="s">
        <v>6292</v>
      </c>
      <c r="D65802" s="0" t="s">
        <v>6741</v>
      </c>
      <c r="E65802" s="0" t="s">
        <v>6741</v>
      </c>
      <c r="F65802" s="0" t="s">
        <v>6741</v>
      </c>
    </row>
    <row r="65804" customFormat="false" ht="12.8" hidden="false" customHeight="false" outlineLevel="0" collapsed="false">
      <c r="A65804" s="0" t="s">
        <v>22470</v>
      </c>
      <c r="B65804" s="0" t="str">
        <f aca="false">HYPERLINK("https://lindat.mff.cuni.cz/services/teitok/pdtc10/index.php?action=vallex&amp;frame=v-w9032f2_ZU", "zaplnit (v-w9032f2_ZU) - substituted with v-w9032f3_MM")</f>
        <v>zaplnit (v-w9032f2_ZU) - substituted with v-w9032f3_MM</v>
      </c>
    </row>
    <row r="65805" customFormat="false" ht="12.8" hidden="false" customHeight="false" outlineLevel="0" collapsed="false">
      <c r="B65805" s="0" t="s">
        <v>7</v>
      </c>
    </row>
    <row r="65806" customFormat="false" ht="12.8" hidden="false" customHeight="false" outlineLevel="0" collapsed="false">
      <c r="B65806" s="0" t="s">
        <v>14</v>
      </c>
    </row>
    <row r="65807" customFormat="false" ht="12.8" hidden="false" customHeight="false" outlineLevel="0" collapsed="false">
      <c r="B65807" s="0" t="s">
        <v>6292</v>
      </c>
    </row>
    <row r="65809" customFormat="false" ht="12.8" hidden="false" customHeight="false" outlineLevel="0" collapsed="false">
      <c r="A65809" s="0" t="s">
        <v>22471</v>
      </c>
      <c r="B65809" s="0" t="str">
        <f aca="false">HYPERLINK("https://lindat.mff.cuni.cz/services/teitok/pdtc10/index.php?action=vallex&amp;frame=v-w12338_MMf1_MM", "zaplnit se (v-w12338_MMf1_MM)")</f>
        <v>zaplnit se (v-w12338_MMf1_MM)</v>
      </c>
    </row>
    <row r="65810" customFormat="false" ht="12.8" hidden="false" customHeight="false" outlineLevel="0" collapsed="false">
      <c r="B65810" s="0" t="s">
        <v>7</v>
      </c>
    </row>
    <row r="65811" customFormat="false" ht="12.8" hidden="false" customHeight="false" outlineLevel="0" collapsed="false">
      <c r="B65811" s="0" t="s">
        <v>3771</v>
      </c>
    </row>
    <row r="65813" customFormat="false" ht="12.8" hidden="false" customHeight="false" outlineLevel="0" collapsed="false">
      <c r="A65813" s="0" t="s">
        <v>22472</v>
      </c>
      <c r="B65813" s="0" t="str">
        <f aca="false">HYPERLINK("https://lindat.mff.cuni.cz/services/teitok/pdtc10/index.php?action=vallex&amp;frame=v-w10647f2", "zaplombovat (v-w10647f2)")</f>
        <v>zaplombovat (v-w10647f2)</v>
      </c>
    </row>
    <row r="65814" customFormat="false" ht="12.8" hidden="false" customHeight="false" outlineLevel="0" collapsed="false">
      <c r="B65814" s="0" t="s">
        <v>7</v>
      </c>
    </row>
    <row r="65815" customFormat="false" ht="12.8" hidden="false" customHeight="false" outlineLevel="0" collapsed="false">
      <c r="B65815" s="0" t="s">
        <v>14</v>
      </c>
    </row>
    <row r="65817" customFormat="false" ht="12.8" hidden="false" customHeight="false" outlineLevel="0" collapsed="false">
      <c r="A65817" s="0" t="s">
        <v>22473</v>
      </c>
      <c r="B65817" s="0" t="str">
        <f aca="false">HYPERLINK("https://lindat.mff.cuni.cz/services/teitok/pdtc10/index.php?action=vallex&amp;frame=v-w12322_MMf1_MM", "zaplynovat (v-w12322_MMf1_MM)")</f>
        <v>zaplynovat (v-w12322_MMf1_MM)</v>
      </c>
    </row>
    <row r="65818" customFormat="false" ht="12.8" hidden="false" customHeight="false" outlineLevel="0" collapsed="false">
      <c r="B65818" s="0" t="s">
        <v>7</v>
      </c>
    </row>
    <row r="65819" customFormat="false" ht="12.8" hidden="false" customHeight="false" outlineLevel="0" collapsed="false">
      <c r="B65819" s="0" t="s">
        <v>14</v>
      </c>
    </row>
    <row r="65821" customFormat="false" ht="12.8" hidden="false" customHeight="false" outlineLevel="0" collapsed="false">
      <c r="A65821" s="0" t="s">
        <v>22474</v>
      </c>
      <c r="B65821" s="0" t="str">
        <f aca="false">HYPERLINK("https://lindat.mff.cuni.cz/services/teitok/pdtc10/index.php?action=vallex&amp;frame=v-whsa_122hsa_123", "zaplácat (v-whsa_122hsa_123)")</f>
        <v>zaplácat (v-whsa_122hsa_123)</v>
      </c>
    </row>
    <row r="65822" customFormat="false" ht="12.8" hidden="false" customHeight="false" outlineLevel="0" collapsed="false">
      <c r="B65822" s="0" t="s">
        <v>7</v>
      </c>
    </row>
    <row r="65824" customFormat="false" ht="12.8" hidden="false" customHeight="false" outlineLevel="0" collapsed="false">
      <c r="A65824" s="0" t="s">
        <v>22475</v>
      </c>
      <c r="B65824" s="0" t="str">
        <f aca="false">HYPERLINK("https://lindat.mff.cuni.cz/services/teitok/pdtc10/index.php?action=vallex&amp;frame=v-w9029f2", "zaplést (v-w9029f2)")</f>
        <v>zaplést (v-w9029f2)</v>
      </c>
    </row>
    <row r="65825" customFormat="false" ht="12.8" hidden="false" customHeight="false" outlineLevel="0" collapsed="false">
      <c r="B65825" s="0" t="s">
        <v>7</v>
      </c>
      <c r="C65825" s="0" t="s">
        <v>248</v>
      </c>
    </row>
    <row r="65826" customFormat="false" ht="12.8" hidden="false" customHeight="false" outlineLevel="0" collapsed="false">
      <c r="B65826" s="0" t="s">
        <v>985</v>
      </c>
      <c r="C65826" s="0" t="s">
        <v>22476</v>
      </c>
    </row>
    <row r="65827" customFormat="false" ht="12.8" hidden="false" customHeight="false" outlineLevel="0" collapsed="false">
      <c r="B65827" s="0" t="s">
        <v>81</v>
      </c>
      <c r="C65827" s="0" t="s">
        <v>22477</v>
      </c>
    </row>
    <row r="65829" customFormat="false" ht="12.8" hidden="false" customHeight="false" outlineLevel="0" collapsed="false">
      <c r="A65829" s="0" t="s">
        <v>22478</v>
      </c>
      <c r="B65829" s="0" t="str">
        <f aca="false">HYPERLINK("https://lindat.mff.cuni.cz/services/teitok/pdtc10/index.php?action=vallex&amp;frame=v-w9029f1", "zaplést (v-w9029f1)")</f>
        <v>zaplést (v-w9029f1)</v>
      </c>
    </row>
    <row r="65830" customFormat="false" ht="12.8" hidden="false" customHeight="false" outlineLevel="0" collapsed="false">
      <c r="B65830" s="0" t="s">
        <v>7</v>
      </c>
    </row>
    <row r="65831" customFormat="false" ht="12.8" hidden="false" customHeight="false" outlineLevel="0" collapsed="false">
      <c r="B65831" s="0" t="s">
        <v>14</v>
      </c>
    </row>
    <row r="65832" customFormat="false" ht="12.8" hidden="false" customHeight="false" outlineLevel="0" collapsed="false">
      <c r="B65832" s="0" t="s">
        <v>124</v>
      </c>
    </row>
    <row r="65834" customFormat="false" ht="12.8" hidden="false" customHeight="false" outlineLevel="0" collapsed="false">
      <c r="A65834" s="0" t="s">
        <v>22479</v>
      </c>
      <c r="B65834" s="0" t="str">
        <f aca="false">HYPERLINK("https://lindat.mff.cuni.cz/services/teitok/pdtc10/index.php?action=vallex&amp;frame=v-w9030f1", "zaplést se (v-w9030f1)")</f>
        <v>zaplést se (v-w9030f1)</v>
      </c>
    </row>
    <row r="65835" customFormat="false" ht="12.8" hidden="false" customHeight="false" outlineLevel="0" collapsed="false">
      <c r="B65835" s="0" t="s">
        <v>7</v>
      </c>
      <c r="C65835" s="0" t="s">
        <v>22480</v>
      </c>
      <c r="D65835" s="0" t="s">
        <v>5834</v>
      </c>
      <c r="E65835" s="0" t="s">
        <v>5834</v>
      </c>
      <c r="F65835" s="0" t="s">
        <v>5834</v>
      </c>
    </row>
    <row r="65836" customFormat="false" ht="12.8" hidden="false" customHeight="false" outlineLevel="0" collapsed="false">
      <c r="B65836" s="0" t="s">
        <v>985</v>
      </c>
      <c r="C65836" s="0" t="s">
        <v>22481</v>
      </c>
      <c r="D65836" s="0" t="s">
        <v>5837</v>
      </c>
      <c r="E65836" s="0" t="s">
        <v>5837</v>
      </c>
      <c r="F65836" s="0" t="s">
        <v>5837</v>
      </c>
    </row>
    <row r="65838" customFormat="false" ht="12.8" hidden="false" customHeight="false" outlineLevel="0" collapsed="false">
      <c r="A65838" s="0" t="s">
        <v>22482</v>
      </c>
      <c r="B65838" s="0" t="str">
        <f aca="false">HYPERLINK("https://lindat.mff.cuni.cz/services/teitok/pdtc10/index.php?action=vallex&amp;frame=v-w9030f3_ZU", "zaplést se (v-w9030f3_ZU)")</f>
        <v>zaplést se (v-w9030f3_ZU)</v>
      </c>
    </row>
    <row r="65839" customFormat="false" ht="12.8" hidden="false" customHeight="false" outlineLevel="0" collapsed="false">
      <c r="B65839" s="0" t="s">
        <v>7</v>
      </c>
      <c r="C65839" s="0" t="s">
        <v>16</v>
      </c>
    </row>
    <row r="65840" customFormat="false" ht="12.8" hidden="false" customHeight="false" outlineLevel="0" collapsed="false">
      <c r="B65840" s="0" t="s">
        <v>548</v>
      </c>
      <c r="C65840" s="0" t="s">
        <v>203</v>
      </c>
    </row>
    <row r="65842" customFormat="false" ht="12.8" hidden="false" customHeight="false" outlineLevel="0" collapsed="false">
      <c r="A65842" s="0" t="s">
        <v>22482</v>
      </c>
      <c r="B65842" s="0" t="str">
        <f aca="false">HYPERLINK("https://lindat.mff.cuni.cz/services/teitok/pdtc10/index.php?action=vallex&amp;frame=v-w9030f2_ZU", "zaplést se (v-w9030f2_ZU) - substituted with v-w9030f3_ZU")</f>
        <v>zaplést se (v-w9030f2_ZU) - substituted with v-w9030f3_ZU</v>
      </c>
    </row>
    <row r="65843" customFormat="false" ht="12.8" hidden="false" customHeight="false" outlineLevel="0" collapsed="false">
      <c r="B65843" s="0" t="s">
        <v>7</v>
      </c>
    </row>
    <row r="65844" customFormat="false" ht="12.8" hidden="false" customHeight="false" outlineLevel="0" collapsed="false">
      <c r="B65844" s="0" t="s">
        <v>548</v>
      </c>
    </row>
    <row r="65846" customFormat="false" ht="12.8" hidden="false" customHeight="false" outlineLevel="0" collapsed="false">
      <c r="A65846" s="0" t="s">
        <v>22483</v>
      </c>
      <c r="B65846" s="0" t="str">
        <f aca="false">HYPERLINK("https://lindat.mff.cuni.cz/services/teitok/pdtc10/index.php?action=vallex&amp;frame=v-w9030hsa_576", "zaplést se (v-w9030hsa_576)")</f>
        <v>zaplést se (v-w9030hsa_576)</v>
      </c>
    </row>
    <row r="65847" customFormat="false" ht="12.8" hidden="false" customHeight="false" outlineLevel="0" collapsed="false">
      <c r="B65847" s="0" t="s">
        <v>7</v>
      </c>
    </row>
    <row r="65848" customFormat="false" ht="12.8" hidden="false" customHeight="false" outlineLevel="0" collapsed="false">
      <c r="B65848" s="0" t="s">
        <v>124</v>
      </c>
    </row>
    <row r="65850" customFormat="false" ht="12.8" hidden="false" customHeight="false" outlineLevel="0" collapsed="false">
      <c r="A65850" s="0" t="s">
        <v>22484</v>
      </c>
      <c r="B65850" s="0" t="str">
        <f aca="false">HYPERLINK("https://lindat.mff.cuni.cz/services/teitok/pdtc10/index.php?action=vallex&amp;frame=v-w9031f2", "zaplétat (v-w9031f2)")</f>
        <v>zaplétat (v-w9031f2)</v>
      </c>
    </row>
    <row r="65851" customFormat="false" ht="12.8" hidden="false" customHeight="false" outlineLevel="0" collapsed="false">
      <c r="B65851" s="0" t="s">
        <v>7</v>
      </c>
    </row>
    <row r="65852" customFormat="false" ht="12.8" hidden="false" customHeight="false" outlineLevel="0" collapsed="false">
      <c r="B65852" s="0" t="s">
        <v>985</v>
      </c>
    </row>
    <row r="65853" customFormat="false" ht="12.8" hidden="false" customHeight="false" outlineLevel="0" collapsed="false">
      <c r="B65853" s="0" t="s">
        <v>81</v>
      </c>
    </row>
    <row r="65855" customFormat="false" ht="12.8" hidden="false" customHeight="false" outlineLevel="0" collapsed="false">
      <c r="A65855" s="0" t="s">
        <v>22485</v>
      </c>
      <c r="B65855" s="0" t="str">
        <f aca="false">HYPERLINK("https://lindat.mff.cuni.cz/services/teitok/pdtc10/index.php?action=vallex&amp;frame=v-w9031f1", "zaplétat (v-w9031f1)")</f>
        <v>zaplétat (v-w9031f1)</v>
      </c>
    </row>
    <row r="65856" customFormat="false" ht="12.8" hidden="false" customHeight="false" outlineLevel="0" collapsed="false">
      <c r="B65856" s="0" t="s">
        <v>7</v>
      </c>
    </row>
    <row r="65857" customFormat="false" ht="12.8" hidden="false" customHeight="false" outlineLevel="0" collapsed="false">
      <c r="B65857" s="0" t="s">
        <v>14</v>
      </c>
    </row>
    <row r="65858" customFormat="false" ht="12.8" hidden="false" customHeight="false" outlineLevel="0" collapsed="false">
      <c r="B65858" s="0" t="s">
        <v>124</v>
      </c>
    </row>
    <row r="65860" customFormat="false" ht="12.8" hidden="false" customHeight="false" outlineLevel="0" collapsed="false">
      <c r="A65860" s="0" t="s">
        <v>22486</v>
      </c>
      <c r="B65860" s="0" t="str">
        <f aca="false">HYPERLINK("https://lindat.mff.cuni.cz/services/teitok/pdtc10/index.php?action=vallex&amp;frame=v-w9034f1", "zaplňovat (v-w9034f1)")</f>
        <v>zaplňovat (v-w9034f1)</v>
      </c>
    </row>
    <row r="65861" customFormat="false" ht="12.8" hidden="false" customHeight="false" outlineLevel="0" collapsed="false">
      <c r="B65861" s="0" t="s">
        <v>7</v>
      </c>
      <c r="D65861" s="0" t="s">
        <v>6737</v>
      </c>
      <c r="E65861" s="0" t="s">
        <v>6737</v>
      </c>
      <c r="F65861" s="0" t="s">
        <v>6737</v>
      </c>
    </row>
    <row r="65862" customFormat="false" ht="12.8" hidden="false" customHeight="false" outlineLevel="0" collapsed="false">
      <c r="B65862" s="0" t="s">
        <v>14</v>
      </c>
      <c r="D65862" s="0" t="s">
        <v>6739</v>
      </c>
      <c r="E65862" s="0" t="s">
        <v>6739</v>
      </c>
      <c r="F65862" s="0" t="s">
        <v>6739</v>
      </c>
    </row>
    <row r="65863" customFormat="false" ht="12.8" hidden="false" customHeight="false" outlineLevel="0" collapsed="false">
      <c r="B65863" s="0" t="s">
        <v>6292</v>
      </c>
      <c r="D65863" s="0" t="s">
        <v>6741</v>
      </c>
      <c r="E65863" s="0" t="s">
        <v>6741</v>
      </c>
      <c r="F65863" s="0" t="s">
        <v>6741</v>
      </c>
    </row>
    <row r="65865" customFormat="false" ht="12.8" hidden="false" customHeight="false" outlineLevel="0" collapsed="false">
      <c r="A65865" s="0" t="s">
        <v>22487</v>
      </c>
      <c r="B65865" s="0" t="str">
        <f aca="false">HYPERLINK("https://lindat.mff.cuni.cz/services/teitok/pdtc10/index.php?action=vallex&amp;frame=v-w11637_ZUf2_ZU", "zaplňovat se (v-w11637_ZUf2_ZU)")</f>
        <v>zaplňovat se (v-w11637_ZUf2_ZU)</v>
      </c>
    </row>
    <row r="65866" customFormat="false" ht="12.8" hidden="false" customHeight="false" outlineLevel="0" collapsed="false">
      <c r="B65866" s="0" t="s">
        <v>7</v>
      </c>
    </row>
    <row r="65867" customFormat="false" ht="12.8" hidden="false" customHeight="false" outlineLevel="0" collapsed="false">
      <c r="B65867" s="0" t="s">
        <v>3771</v>
      </c>
    </row>
    <row r="65869" customFormat="false" ht="12.8" hidden="false" customHeight="false" outlineLevel="0" collapsed="false">
      <c r="A65869" s="0" t="s">
        <v>22487</v>
      </c>
      <c r="B65869" s="0" t="str">
        <f aca="false">HYPERLINK("https://lindat.mff.cuni.cz/services/teitok/pdtc10/index.php?action=vallex&amp;frame=v-w11637_ZUf1_ZU", "zaplňovat se (v-w11637_ZUf1_ZU) - substituted with v-w11637_ZUf2_ZU")</f>
        <v>zaplňovat se (v-w11637_ZUf1_ZU) - substituted with v-w11637_ZUf2_ZU</v>
      </c>
    </row>
    <row r="65870" customFormat="false" ht="12.8" hidden="false" customHeight="false" outlineLevel="0" collapsed="false">
      <c r="B65870" s="0" t="s">
        <v>7</v>
      </c>
      <c r="C65870" s="0" t="s">
        <v>191</v>
      </c>
      <c r="D65870" s="0" t="s">
        <v>191</v>
      </c>
      <c r="E65870" s="0" t="s">
        <v>191</v>
      </c>
      <c r="F65870" s="0" t="s">
        <v>191</v>
      </c>
    </row>
    <row r="65871" customFormat="false" ht="12.8" hidden="false" customHeight="false" outlineLevel="0" collapsed="false">
      <c r="B65871" s="0" t="s">
        <v>3771</v>
      </c>
    </row>
    <row r="65873" customFormat="false" ht="12.8" hidden="false" customHeight="false" outlineLevel="0" collapsed="false">
      <c r="A65873" s="0" t="s">
        <v>22488</v>
      </c>
      <c r="B65873" s="0" t="str">
        <f aca="false">HYPERLINK("https://lindat.mff.cuni.cz/services/teitok/pdtc10/index.php?action=vallex&amp;frame=v-w9035f1", "zapnout (v-w9035f1)")</f>
        <v>zapnout (v-w9035f1)</v>
      </c>
    </row>
    <row r="65874" customFormat="false" ht="12.8" hidden="false" customHeight="false" outlineLevel="0" collapsed="false">
      <c r="B65874" s="0" t="s">
        <v>7</v>
      </c>
      <c r="D65874" s="0" t="s">
        <v>88</v>
      </c>
      <c r="E65874" s="0" t="s">
        <v>88</v>
      </c>
      <c r="F65874" s="0" t="s">
        <v>88</v>
      </c>
    </row>
    <row r="65875" customFormat="false" ht="12.8" hidden="false" customHeight="false" outlineLevel="0" collapsed="false">
      <c r="B65875" s="0" t="s">
        <v>14</v>
      </c>
      <c r="D65875" s="0" t="s">
        <v>624</v>
      </c>
      <c r="E65875" s="0" t="s">
        <v>624</v>
      </c>
      <c r="F65875" s="0" t="s">
        <v>624</v>
      </c>
    </row>
    <row r="65877" customFormat="false" ht="12.8" hidden="false" customHeight="false" outlineLevel="0" collapsed="false">
      <c r="A65877" s="0" t="s">
        <v>22489</v>
      </c>
      <c r="B65877" s="0" t="str">
        <f aca="false">HYPERLINK("https://lindat.mff.cuni.cz/services/teitok/pdtc10/index.php?action=vallex&amp;frame=v-w9035f2", "zapnout (v-w9035f2)")</f>
        <v>zapnout (v-w9035f2)</v>
      </c>
    </row>
    <row r="65878" customFormat="false" ht="12.8" hidden="false" customHeight="false" outlineLevel="0" collapsed="false">
      <c r="B65878" s="0" t="s">
        <v>7</v>
      </c>
    </row>
    <row r="65879" customFormat="false" ht="12.8" hidden="false" customHeight="false" outlineLevel="0" collapsed="false">
      <c r="B65879" s="0" t="s">
        <v>14</v>
      </c>
    </row>
    <row r="65881" customFormat="false" ht="12.8" hidden="false" customHeight="false" outlineLevel="0" collapsed="false">
      <c r="A65881" s="0" t="s">
        <v>22490</v>
      </c>
      <c r="B65881" s="0" t="str">
        <f aca="false">HYPERLINK("https://lindat.mff.cuni.cz/services/teitok/pdtc10/index.php?action=vallex&amp;frame=v-w9035hsa_1064", "zapnout (v-w9035hsa_1064)")</f>
        <v>zapnout (v-w9035hsa_1064)</v>
      </c>
    </row>
    <row r="65882" customFormat="false" ht="12.8" hidden="false" customHeight="false" outlineLevel="0" collapsed="false">
      <c r="B65882" s="0" t="s">
        <v>7</v>
      </c>
    </row>
    <row r="65883" customFormat="false" ht="12.8" hidden="false" customHeight="false" outlineLevel="0" collapsed="false">
      <c r="B65883" s="0" t="s">
        <v>14</v>
      </c>
    </row>
    <row r="65884" customFormat="false" ht="12.8" hidden="false" customHeight="false" outlineLevel="0" collapsed="false">
      <c r="B65884" s="0" t="s">
        <v>124</v>
      </c>
    </row>
    <row r="65886" customFormat="false" ht="12.8" hidden="false" customHeight="false" outlineLevel="0" collapsed="false">
      <c r="A65886" s="0" t="s">
        <v>22491</v>
      </c>
      <c r="B65886" s="0" t="str">
        <f aca="false">HYPERLINK("https://lindat.mff.cuni.cz/services/teitok/pdtc10/index.php?action=vallex&amp;frame=v-whsa_812hsa_813", "zapnout se (v-whsa_812hsa_813)")</f>
        <v>zapnout se (v-whsa_812hsa_813)</v>
      </c>
    </row>
    <row r="65887" customFormat="false" ht="12.8" hidden="false" customHeight="false" outlineLevel="0" collapsed="false">
      <c r="B65887" s="0" t="s">
        <v>7</v>
      </c>
      <c r="C65887" s="0" t="s">
        <v>335</v>
      </c>
      <c r="D65887" s="0" t="s">
        <v>22492</v>
      </c>
      <c r="E65887" s="0" t="s">
        <v>22492</v>
      </c>
      <c r="F65887" s="0" t="s">
        <v>22492</v>
      </c>
    </row>
    <row r="65889" customFormat="false" ht="12.8" hidden="false" customHeight="false" outlineLevel="0" collapsed="false">
      <c r="A65889" s="0" t="s">
        <v>22493</v>
      </c>
      <c r="B65889" s="0" t="str">
        <f aca="false">HYPERLINK("https://lindat.mff.cuni.cz/services/teitok/pdtc10/index.php?action=vallex&amp;frame=v-w9043f1", "zapochybovat (v-w9043f1)")</f>
        <v>zapochybovat (v-w9043f1)</v>
      </c>
    </row>
    <row r="65890" customFormat="false" ht="12.8" hidden="false" customHeight="false" outlineLevel="0" collapsed="false">
      <c r="B65890" s="0" t="s">
        <v>7</v>
      </c>
      <c r="F65890" s="0" t="s">
        <v>21511</v>
      </c>
    </row>
    <row r="65891" customFormat="false" ht="12.8" hidden="false" customHeight="false" outlineLevel="0" collapsed="false">
      <c r="B65891" s="0" t="s">
        <v>9811</v>
      </c>
      <c r="F65891" s="0" t="s">
        <v>2641</v>
      </c>
    </row>
    <row r="65893" customFormat="false" ht="12.8" hidden="false" customHeight="false" outlineLevel="0" collapsed="false">
      <c r="A65893" s="0" t="s">
        <v>22494</v>
      </c>
      <c r="B65893" s="0" t="str">
        <f aca="false">HYPERLINK("https://lindat.mff.cuni.cz/services/teitok/pdtc10/index.php?action=vallex&amp;frame=v-w9045f1", "zapojit (v-w9045f1)")</f>
        <v>zapojit (v-w9045f1)</v>
      </c>
    </row>
    <row r="65894" customFormat="false" ht="12.8" hidden="false" customHeight="false" outlineLevel="0" collapsed="false">
      <c r="B65894" s="0" t="s">
        <v>7</v>
      </c>
      <c r="C65894" s="0" t="s">
        <v>22495</v>
      </c>
      <c r="D65894" s="0" t="s">
        <v>13454</v>
      </c>
      <c r="E65894" s="0" t="s">
        <v>13454</v>
      </c>
      <c r="F65894" s="0" t="s">
        <v>13454</v>
      </c>
    </row>
    <row r="65895" customFormat="false" ht="12.8" hidden="false" customHeight="false" outlineLevel="0" collapsed="false">
      <c r="B65895" s="0" t="s">
        <v>22496</v>
      </c>
      <c r="C65895" s="0" t="s">
        <v>22497</v>
      </c>
      <c r="D65895" s="0" t="s">
        <v>22498</v>
      </c>
      <c r="E65895" s="0" t="s">
        <v>22498</v>
      </c>
      <c r="F65895" s="0" t="s">
        <v>22498</v>
      </c>
    </row>
    <row r="65896" customFormat="false" ht="12.8" hidden="false" customHeight="false" outlineLevel="0" collapsed="false">
      <c r="B65896" s="0" t="s">
        <v>81</v>
      </c>
      <c r="C65896" s="0" t="s">
        <v>22499</v>
      </c>
      <c r="D65896" s="0" t="s">
        <v>22500</v>
      </c>
      <c r="E65896" s="0" t="s">
        <v>22500</v>
      </c>
      <c r="F65896" s="0" t="s">
        <v>22500</v>
      </c>
    </row>
    <row r="65898" customFormat="false" ht="12.8" hidden="false" customHeight="false" outlineLevel="0" collapsed="false">
      <c r="A65898" s="0" t="s">
        <v>22501</v>
      </c>
      <c r="B65898" s="0" t="str">
        <f aca="false">HYPERLINK("https://lindat.mff.cuni.cz/services/teitok/pdtc10/index.php?action=vallex&amp;frame=v-w9045f2", "zapojit (v-w9045f2)")</f>
        <v>zapojit (v-w9045f2)</v>
      </c>
    </row>
    <row r="65899" customFormat="false" ht="12.8" hidden="false" customHeight="false" outlineLevel="0" collapsed="false">
      <c r="B65899" s="0" t="s">
        <v>7</v>
      </c>
      <c r="C65899" s="0" t="s">
        <v>335</v>
      </c>
      <c r="D65899" s="0" t="s">
        <v>4976</v>
      </c>
      <c r="E65899" s="0" t="s">
        <v>4976</v>
      </c>
      <c r="F65899" s="0" t="s">
        <v>4976</v>
      </c>
    </row>
    <row r="65900" customFormat="false" ht="12.8" hidden="false" customHeight="false" outlineLevel="0" collapsed="false">
      <c r="B65900" s="0" t="s">
        <v>14</v>
      </c>
      <c r="C65900" s="0" t="s">
        <v>1170</v>
      </c>
      <c r="D65900" s="0" t="s">
        <v>1209</v>
      </c>
      <c r="E65900" s="0" t="s">
        <v>1209</v>
      </c>
      <c r="F65900" s="0" t="s">
        <v>1209</v>
      </c>
    </row>
    <row r="65901" customFormat="false" ht="12.8" hidden="false" customHeight="false" outlineLevel="0" collapsed="false">
      <c r="B65901" s="0" t="s">
        <v>124</v>
      </c>
      <c r="D65901" s="0" t="s">
        <v>6773</v>
      </c>
      <c r="E65901" s="0" t="s">
        <v>6773</v>
      </c>
      <c r="F65901" s="0" t="s">
        <v>6773</v>
      </c>
    </row>
    <row r="65903" customFormat="false" ht="12.8" hidden="false" customHeight="false" outlineLevel="0" collapsed="false">
      <c r="A65903" s="0" t="s">
        <v>22502</v>
      </c>
      <c r="B65903" s="0" t="str">
        <f aca="false">HYPERLINK("https://lindat.mff.cuni.cz/services/teitok/pdtc10/index.php?action=vallex&amp;frame=v-w9045f3", "zapojit (v-w9045f3)")</f>
        <v>zapojit (v-w9045f3)</v>
      </c>
    </row>
    <row r="65904" customFormat="false" ht="12.8" hidden="false" customHeight="false" outlineLevel="0" collapsed="false">
      <c r="B65904" s="0" t="s">
        <v>7</v>
      </c>
      <c r="C65904" s="0" t="s">
        <v>22503</v>
      </c>
      <c r="D65904" s="0" t="s">
        <v>13551</v>
      </c>
      <c r="E65904" s="0" t="s">
        <v>13551</v>
      </c>
      <c r="F65904" s="0" t="s">
        <v>13551</v>
      </c>
    </row>
    <row r="65905" customFormat="false" ht="12.8" hidden="false" customHeight="false" outlineLevel="0" collapsed="false">
      <c r="B65905" s="0" t="s">
        <v>14</v>
      </c>
      <c r="C65905" s="0" t="s">
        <v>22504</v>
      </c>
      <c r="D65905" s="0" t="s">
        <v>13553</v>
      </c>
      <c r="E65905" s="0" t="s">
        <v>13553</v>
      </c>
      <c r="F65905" s="0" t="s">
        <v>13553</v>
      </c>
    </row>
    <row r="65906" customFormat="false" ht="12.8" hidden="false" customHeight="false" outlineLevel="0" collapsed="false">
      <c r="B65906" s="0" t="s">
        <v>124</v>
      </c>
      <c r="C65906" s="0" t="s">
        <v>22505</v>
      </c>
      <c r="D65906" s="0" t="s">
        <v>13555</v>
      </c>
      <c r="E65906" s="0" t="s">
        <v>13555</v>
      </c>
      <c r="F65906" s="0" t="s">
        <v>13555</v>
      </c>
    </row>
    <row r="65908" customFormat="false" ht="12.8" hidden="false" customHeight="false" outlineLevel="0" collapsed="false">
      <c r="A65908" s="0" t="s">
        <v>22506</v>
      </c>
      <c r="B65908" s="0" t="str">
        <f aca="false">HYPERLINK("https://lindat.mff.cuni.cz/services/teitok/pdtc10/index.php?action=vallex&amp;frame=v-w9046f1", "zapojit se (v-w9046f1)")</f>
        <v>zapojit se (v-w9046f1)</v>
      </c>
    </row>
    <row r="65909" customFormat="false" ht="12.8" hidden="false" customHeight="false" outlineLevel="0" collapsed="false">
      <c r="B65909" s="0" t="s">
        <v>7</v>
      </c>
      <c r="C65909" s="0" t="s">
        <v>22507</v>
      </c>
      <c r="D65909" s="0" t="s">
        <v>104</v>
      </c>
      <c r="E65909" s="0" t="s">
        <v>104</v>
      </c>
      <c r="F65909" s="0" t="s">
        <v>104</v>
      </c>
    </row>
    <row r="65910" customFormat="false" ht="12.8" hidden="false" customHeight="false" outlineLevel="0" collapsed="false">
      <c r="B65910" s="0" t="s">
        <v>985</v>
      </c>
      <c r="C65910" s="0" t="s">
        <v>22508</v>
      </c>
      <c r="D65910" s="0" t="s">
        <v>21821</v>
      </c>
      <c r="E65910" s="0" t="s">
        <v>21821</v>
      </c>
      <c r="F65910" s="0" t="s">
        <v>21821</v>
      </c>
    </row>
    <row r="65912" customFormat="false" ht="12.8" hidden="false" customHeight="false" outlineLevel="0" collapsed="false">
      <c r="A65912" s="0" t="s">
        <v>22509</v>
      </c>
      <c r="B65912" s="0" t="str">
        <f aca="false">HYPERLINK("https://lindat.mff.cuni.cz/services/teitok/pdtc10/index.php?action=vallex&amp;frame=v-w9046f2", "zapojit se (v-w9046f2)")</f>
        <v>zapojit se (v-w9046f2)</v>
      </c>
    </row>
    <row r="65913" customFormat="false" ht="12.8" hidden="false" customHeight="false" outlineLevel="0" collapsed="false">
      <c r="B65913" s="0" t="s">
        <v>7</v>
      </c>
      <c r="C65913" s="0" t="s">
        <v>9355</v>
      </c>
      <c r="D65913" s="0" t="s">
        <v>3837</v>
      </c>
      <c r="E65913" s="0" t="s">
        <v>3837</v>
      </c>
      <c r="F65913" s="0" t="s">
        <v>3837</v>
      </c>
    </row>
    <row r="65914" customFormat="false" ht="12.8" hidden="false" customHeight="false" outlineLevel="0" collapsed="false">
      <c r="B65914" s="0" t="s">
        <v>124</v>
      </c>
      <c r="C65914" s="0" t="s">
        <v>12894</v>
      </c>
      <c r="D65914" s="0" t="s">
        <v>7040</v>
      </c>
      <c r="E65914" s="0" t="s">
        <v>7040</v>
      </c>
      <c r="F65914" s="0" t="s">
        <v>7040</v>
      </c>
    </row>
    <row r="65916" customFormat="false" ht="12.8" hidden="false" customHeight="false" outlineLevel="0" collapsed="false">
      <c r="A65916" s="0" t="s">
        <v>22510</v>
      </c>
      <c r="B65916" s="0" t="str">
        <f aca="false">HYPERLINK("https://lindat.mff.cuni.cz/services/teitok/pdtc10/index.php?action=vallex&amp;frame=v-w9047f2", "zapojovat (v-w9047f2)")</f>
        <v>zapojovat (v-w9047f2)</v>
      </c>
    </row>
    <row r="65917" customFormat="false" ht="12.8" hidden="false" customHeight="false" outlineLevel="0" collapsed="false">
      <c r="B65917" s="0" t="s">
        <v>7</v>
      </c>
      <c r="D65917" s="0" t="s">
        <v>4976</v>
      </c>
      <c r="E65917" s="0" t="s">
        <v>4976</v>
      </c>
      <c r="F65917" s="0" t="s">
        <v>4976</v>
      </c>
    </row>
    <row r="65918" customFormat="false" ht="12.8" hidden="false" customHeight="false" outlineLevel="0" collapsed="false">
      <c r="B65918" s="0" t="s">
        <v>14</v>
      </c>
      <c r="D65918" s="0" t="s">
        <v>1209</v>
      </c>
      <c r="E65918" s="0" t="s">
        <v>1209</v>
      </c>
      <c r="F65918" s="0" t="s">
        <v>1209</v>
      </c>
    </row>
    <row r="65919" customFormat="false" ht="12.8" hidden="false" customHeight="false" outlineLevel="0" collapsed="false">
      <c r="B65919" s="0" t="s">
        <v>11</v>
      </c>
      <c r="D65919" s="0" t="s">
        <v>22511</v>
      </c>
      <c r="E65919" s="0" t="s">
        <v>22511</v>
      </c>
      <c r="F65919" s="0" t="s">
        <v>22511</v>
      </c>
    </row>
    <row r="65921" customFormat="false" ht="12.8" hidden="false" customHeight="false" outlineLevel="0" collapsed="false">
      <c r="A65921" s="0" t="s">
        <v>22512</v>
      </c>
      <c r="B65921" s="0" t="str">
        <f aca="false">HYPERLINK("https://lindat.mff.cuni.cz/services/teitok/pdtc10/index.php?action=vallex&amp;frame=v-w9047f1", "zapojovat (v-w9047f1)")</f>
        <v>zapojovat (v-w9047f1)</v>
      </c>
    </row>
    <row r="65922" customFormat="false" ht="12.8" hidden="false" customHeight="false" outlineLevel="0" collapsed="false">
      <c r="B65922" s="0" t="s">
        <v>7</v>
      </c>
      <c r="C65922" s="0" t="s">
        <v>12451</v>
      </c>
      <c r="D65922" s="0" t="s">
        <v>4976</v>
      </c>
      <c r="E65922" s="0" t="s">
        <v>4976</v>
      </c>
      <c r="F65922" s="0" t="s">
        <v>4976</v>
      </c>
    </row>
    <row r="65923" customFormat="false" ht="12.8" hidden="false" customHeight="false" outlineLevel="0" collapsed="false">
      <c r="B65923" s="0" t="s">
        <v>14</v>
      </c>
      <c r="C65923" s="0" t="s">
        <v>18714</v>
      </c>
      <c r="D65923" s="0" t="s">
        <v>1209</v>
      </c>
      <c r="E65923" s="0" t="s">
        <v>1209</v>
      </c>
      <c r="F65923" s="0" t="s">
        <v>1209</v>
      </c>
    </row>
    <row r="65924" customFormat="false" ht="12.8" hidden="false" customHeight="false" outlineLevel="0" collapsed="false">
      <c r="B65924" s="0" t="s">
        <v>124</v>
      </c>
      <c r="D65924" s="0" t="s">
        <v>6773</v>
      </c>
      <c r="E65924" s="0" t="s">
        <v>6773</v>
      </c>
      <c r="F65924" s="0" t="s">
        <v>6773</v>
      </c>
    </row>
    <row r="65926" customFormat="false" ht="12.8" hidden="false" customHeight="false" outlineLevel="0" collapsed="false">
      <c r="A65926" s="0" t="s">
        <v>22513</v>
      </c>
      <c r="B65926" s="0" t="str">
        <f aca="false">HYPERLINK("https://lindat.mff.cuni.cz/services/teitok/pdtc10/index.php?action=vallex&amp;frame=v-w9048f1", "zapojovat se (v-w9048f1)")</f>
        <v>zapojovat se (v-w9048f1)</v>
      </c>
    </row>
    <row r="65927" customFormat="false" ht="12.8" hidden="false" customHeight="false" outlineLevel="0" collapsed="false">
      <c r="B65927" s="0" t="s">
        <v>7</v>
      </c>
      <c r="C65927" s="0" t="s">
        <v>22514</v>
      </c>
      <c r="D65927" s="0" t="s">
        <v>141</v>
      </c>
      <c r="E65927" s="0" t="s">
        <v>141</v>
      </c>
      <c r="F65927" s="0" t="s">
        <v>141</v>
      </c>
    </row>
    <row r="65928" customFormat="false" ht="12.8" hidden="false" customHeight="false" outlineLevel="0" collapsed="false">
      <c r="B65928" s="0" t="s">
        <v>985</v>
      </c>
      <c r="C65928" s="0" t="s">
        <v>22515</v>
      </c>
      <c r="D65928" s="0" t="s">
        <v>144</v>
      </c>
      <c r="E65928" s="0" t="s">
        <v>144</v>
      </c>
      <c r="F65928" s="0" t="s">
        <v>144</v>
      </c>
    </row>
    <row r="65930" customFormat="false" ht="12.8" hidden="false" customHeight="false" outlineLevel="0" collapsed="false">
      <c r="A65930" s="0" t="s">
        <v>22516</v>
      </c>
      <c r="B65930" s="0" t="str">
        <f aca="false">HYPERLINK("https://lindat.mff.cuni.cz/services/teitok/pdtc10/index.php?action=vallex&amp;frame=v-w9048f2", "zapojovat se (v-w9048f2)")</f>
        <v>zapojovat se (v-w9048f2)</v>
      </c>
    </row>
    <row r="65931" customFormat="false" ht="12.8" hidden="false" customHeight="false" outlineLevel="0" collapsed="false">
      <c r="B65931" s="0" t="s">
        <v>7</v>
      </c>
      <c r="D65931" s="0" t="s">
        <v>3837</v>
      </c>
      <c r="E65931" s="0" t="s">
        <v>3837</v>
      </c>
      <c r="F65931" s="0" t="s">
        <v>3837</v>
      </c>
    </row>
    <row r="65932" customFormat="false" ht="12.8" hidden="false" customHeight="false" outlineLevel="0" collapsed="false">
      <c r="B65932" s="0" t="s">
        <v>124</v>
      </c>
      <c r="D65932" s="0" t="s">
        <v>7040</v>
      </c>
      <c r="E65932" s="0" t="s">
        <v>7040</v>
      </c>
      <c r="F65932" s="0" t="s">
        <v>7040</v>
      </c>
    </row>
    <row r="65934" customFormat="false" ht="12.8" hidden="false" customHeight="false" outlineLevel="0" collapsed="false">
      <c r="A65934" s="0" t="s">
        <v>22517</v>
      </c>
      <c r="B65934" s="0" t="str">
        <f aca="false">HYPERLINK("https://lindat.mff.cuni.cz/services/teitok/pdtc10/index.php?action=vallex&amp;frame=v-w9050f3_ZU", "zapomenout (v-w9050f3_ZU)")</f>
        <v>zapomenout (v-w9050f3_ZU)</v>
      </c>
    </row>
    <row r="65935" customFormat="false" ht="12.8" hidden="false" customHeight="false" outlineLevel="0" collapsed="false">
      <c r="B65935" s="0" t="s">
        <v>7</v>
      </c>
    </row>
    <row r="65936" customFormat="false" ht="12.8" hidden="false" customHeight="false" outlineLevel="0" collapsed="false">
      <c r="B65936" s="0" t="s">
        <v>22518</v>
      </c>
    </row>
    <row r="65938" customFormat="false" ht="12.8" hidden="false" customHeight="false" outlineLevel="0" collapsed="false">
      <c r="A65938" s="0" t="s">
        <v>22517</v>
      </c>
      <c r="B65938" s="0" t="str">
        <f aca="false">HYPERLINK("https://lindat.mff.cuni.cz/services/teitok/pdtc10/index.php?action=vallex&amp;frame=v-w9050f1", "zapomenout (v-w9050f1) - substituted with v-w9050f3_ZU")</f>
        <v>zapomenout (v-w9050f1) - substituted with v-w9050f3_ZU</v>
      </c>
    </row>
    <row r="65939" customFormat="false" ht="12.8" hidden="false" customHeight="false" outlineLevel="0" collapsed="false">
      <c r="B65939" s="0" t="s">
        <v>7</v>
      </c>
      <c r="C65939" s="0" t="s">
        <v>8058</v>
      </c>
      <c r="D65939" s="0" t="s">
        <v>1263</v>
      </c>
      <c r="E65939" s="0" t="s">
        <v>1263</v>
      </c>
      <c r="F65939" s="0" t="s">
        <v>1263</v>
      </c>
    </row>
    <row r="65940" customFormat="false" ht="12.8" hidden="false" customHeight="false" outlineLevel="0" collapsed="false">
      <c r="B65940" s="0" t="s">
        <v>22518</v>
      </c>
      <c r="C65940" s="0" t="s">
        <v>3725</v>
      </c>
      <c r="D65940" s="0" t="s">
        <v>24</v>
      </c>
      <c r="E65940" s="0" t="s">
        <v>24</v>
      </c>
      <c r="F65940" s="0" t="s">
        <v>24</v>
      </c>
    </row>
    <row r="65942" customFormat="false" ht="12.8" hidden="false" customHeight="false" outlineLevel="0" collapsed="false">
      <c r="A65942" s="0" t="s">
        <v>22519</v>
      </c>
      <c r="B65942" s="0" t="str">
        <f aca="false">HYPERLINK("https://lindat.mff.cuni.cz/services/teitok/pdtc10/index.php?action=vallex&amp;frame=v-w9050f2", "zapomenout (v-w9050f2)")</f>
        <v>zapomenout (v-w9050f2)</v>
      </c>
    </row>
    <row r="65943" customFormat="false" ht="12.8" hidden="false" customHeight="false" outlineLevel="0" collapsed="false">
      <c r="B65943" s="0" t="s">
        <v>7</v>
      </c>
      <c r="C65943" s="0" t="s">
        <v>1263</v>
      </c>
    </row>
    <row r="65944" customFormat="false" ht="12.8" hidden="false" customHeight="false" outlineLevel="0" collapsed="false">
      <c r="B65944" s="0" t="s">
        <v>14</v>
      </c>
      <c r="C65944" s="0" t="s">
        <v>24</v>
      </c>
    </row>
    <row r="65946" customFormat="false" ht="12.8" hidden="false" customHeight="false" outlineLevel="0" collapsed="false">
      <c r="A65946" s="0" t="s">
        <v>22520</v>
      </c>
      <c r="B65946" s="0" t="str">
        <f aca="false">HYPERLINK("https://lindat.mff.cuni.cz/services/teitok/pdtc10/index.php?action=vallex&amp;frame=v-w9052hsa_106", "zapomínat (v-w9052hsa_106)")</f>
        <v>zapomínat (v-w9052hsa_106)</v>
      </c>
    </row>
    <row r="65947" customFormat="false" ht="12.8" hidden="false" customHeight="false" outlineLevel="0" collapsed="false">
      <c r="B65947" s="0" t="s">
        <v>7</v>
      </c>
    </row>
    <row r="65948" customFormat="false" ht="12.8" hidden="false" customHeight="false" outlineLevel="0" collapsed="false">
      <c r="B65948" s="0" t="s">
        <v>22521</v>
      </c>
    </row>
    <row r="65950" customFormat="false" ht="12.8" hidden="false" customHeight="false" outlineLevel="0" collapsed="false">
      <c r="A65950" s="0" t="s">
        <v>22520</v>
      </c>
      <c r="B65950" s="0" t="str">
        <f aca="false">HYPERLINK("https://lindat.mff.cuni.cz/services/teitok/pdtc10/index.php?action=vallex&amp;frame=v-w9052f1", "zapomínat (v-w9052f1) - substituted with v-w9052hsa_106")</f>
        <v>zapomínat (v-w9052f1) - substituted with v-w9052hsa_106</v>
      </c>
    </row>
    <row r="65951" customFormat="false" ht="12.8" hidden="false" customHeight="false" outlineLevel="0" collapsed="false">
      <c r="B65951" s="0" t="s">
        <v>7</v>
      </c>
      <c r="C65951" s="0" t="s">
        <v>11905</v>
      </c>
      <c r="D65951" s="0" t="s">
        <v>1263</v>
      </c>
      <c r="E65951" s="0" t="s">
        <v>1263</v>
      </c>
      <c r="F65951" s="0" t="s">
        <v>1263</v>
      </c>
    </row>
    <row r="65952" customFormat="false" ht="12.8" hidden="false" customHeight="false" outlineLevel="0" collapsed="false">
      <c r="B65952" s="0" t="s">
        <v>22521</v>
      </c>
      <c r="C65952" s="0" t="s">
        <v>3599</v>
      </c>
      <c r="D65952" s="0" t="s">
        <v>24</v>
      </c>
      <c r="E65952" s="0" t="s">
        <v>24</v>
      </c>
      <c r="F65952" s="0" t="s">
        <v>24</v>
      </c>
    </row>
    <row r="65954" customFormat="false" ht="12.8" hidden="false" customHeight="false" outlineLevel="0" collapsed="false">
      <c r="A65954" s="0" t="s">
        <v>22522</v>
      </c>
      <c r="B65954" s="0" t="str">
        <f aca="false">HYPERLINK("https://lindat.mff.cuni.cz/services/teitok/pdtc10/index.php?action=vallex&amp;frame=v-w9054f1", "zapotit se (v-w9054f1)")</f>
        <v>zapotit se (v-w9054f1)</v>
      </c>
    </row>
    <row r="65955" customFormat="false" ht="12.8" hidden="false" customHeight="false" outlineLevel="0" collapsed="false">
      <c r="B65955" s="0" t="s">
        <v>7</v>
      </c>
    </row>
    <row r="65957" customFormat="false" ht="12.8" hidden="false" customHeight="false" outlineLevel="0" collapsed="false">
      <c r="A65957" s="0" t="s">
        <v>22523</v>
      </c>
      <c r="B65957" s="0" t="str">
        <f aca="false">HYPERLINK("https://lindat.mff.cuni.cz/services/teitok/pdtc10/index.php?action=vallex&amp;frame=v-w11426f1", "zapotácet se (v-w11426f1)")</f>
        <v>zapotácet se (v-w11426f1)</v>
      </c>
    </row>
    <row r="65958" customFormat="false" ht="12.8" hidden="false" customHeight="false" outlineLevel="0" collapsed="false">
      <c r="B65958" s="0" t="s">
        <v>7</v>
      </c>
    </row>
    <row r="65960" customFormat="false" ht="12.8" hidden="false" customHeight="false" outlineLevel="0" collapsed="false">
      <c r="A65960" s="0" t="s">
        <v>22524</v>
      </c>
      <c r="B65960" s="0" t="str">
        <f aca="false">HYPERLINK("https://lindat.mff.cuni.cz/services/teitok/pdtc10/index.php?action=vallex&amp;frame=v-w9056f1", "zapovídat (v-w9056f1)")</f>
        <v>zapovídat (v-w9056f1)</v>
      </c>
    </row>
    <row r="65961" customFormat="false" ht="12.8" hidden="false" customHeight="false" outlineLevel="0" collapsed="false">
      <c r="B65961" s="0" t="s">
        <v>7</v>
      </c>
    </row>
    <row r="65962" customFormat="false" ht="12.8" hidden="false" customHeight="false" outlineLevel="0" collapsed="false">
      <c r="B65962" s="0" t="s">
        <v>1599</v>
      </c>
    </row>
    <row r="65963" customFormat="false" ht="12.8" hidden="false" customHeight="false" outlineLevel="0" collapsed="false">
      <c r="B65963" s="0" t="s">
        <v>48</v>
      </c>
    </row>
    <row r="65965" customFormat="false" ht="12.8" hidden="false" customHeight="false" outlineLevel="0" collapsed="false">
      <c r="A65965" s="0" t="s">
        <v>22525</v>
      </c>
      <c r="B65965" s="0" t="str">
        <f aca="false">HYPERLINK("https://lindat.mff.cuni.cz/services/teitok/pdtc10/index.php?action=vallex&amp;frame=v-w9038f2", "započíst (v-w9038f2)")</f>
        <v>započíst (v-w9038f2)</v>
      </c>
    </row>
    <row r="65966" customFormat="false" ht="12.8" hidden="false" customHeight="false" outlineLevel="0" collapsed="false">
      <c r="B65966" s="0" t="s">
        <v>7</v>
      </c>
      <c r="C65966" s="0" t="s">
        <v>46</v>
      </c>
      <c r="D65966" s="0" t="s">
        <v>22526</v>
      </c>
      <c r="E65966" s="0" t="s">
        <v>22526</v>
      </c>
      <c r="F65966" s="0" t="s">
        <v>22526</v>
      </c>
    </row>
    <row r="65967" customFormat="false" ht="12.8" hidden="false" customHeight="false" outlineLevel="0" collapsed="false">
      <c r="B65967" s="0" t="s">
        <v>14</v>
      </c>
      <c r="C65967" s="0" t="s">
        <v>74</v>
      </c>
      <c r="D65967" s="0" t="s">
        <v>16471</v>
      </c>
      <c r="E65967" s="0" t="s">
        <v>16471</v>
      </c>
      <c r="F65967" s="0" t="s">
        <v>16471</v>
      </c>
    </row>
    <row r="65968" customFormat="false" ht="12.8" hidden="false" customHeight="false" outlineLevel="0" collapsed="false">
      <c r="B65968" s="0" t="s">
        <v>124</v>
      </c>
    </row>
    <row r="65970" customFormat="false" ht="12.8" hidden="false" customHeight="false" outlineLevel="0" collapsed="false">
      <c r="A65970" s="0" t="s">
        <v>22527</v>
      </c>
      <c r="B65970" s="0" t="str">
        <f aca="false">HYPERLINK("https://lindat.mff.cuni.cz/services/teitok/pdtc10/index.php?action=vallex&amp;frame=v-w9038f3_ZU", "započíst (v-w9038f3_ZU)")</f>
        <v>započíst (v-w9038f3_ZU)</v>
      </c>
    </row>
    <row r="65971" customFormat="false" ht="12.8" hidden="false" customHeight="false" outlineLevel="0" collapsed="false">
      <c r="B65971" s="0" t="s">
        <v>7</v>
      </c>
    </row>
    <row r="65972" customFormat="false" ht="12.8" hidden="false" customHeight="false" outlineLevel="0" collapsed="false">
      <c r="B65972" s="0" t="s">
        <v>14</v>
      </c>
      <c r="C65972" s="0" t="s">
        <v>567</v>
      </c>
    </row>
    <row r="65974" customFormat="false" ht="12.8" hidden="false" customHeight="false" outlineLevel="0" collapsed="false">
      <c r="A65974" s="0" t="s">
        <v>22527</v>
      </c>
      <c r="B65974" s="0" t="str">
        <f aca="false">HYPERLINK("https://lindat.mff.cuni.cz/services/teitok/pdtc10/index.php?action=vallex&amp;frame=v-w9038f1", "započíst (v-w9038f1) - substituted with v-w9038f3_ZU")</f>
        <v>započíst (v-w9038f1) - substituted with v-w9038f3_ZU</v>
      </c>
    </row>
    <row r="65975" customFormat="false" ht="12.8" hidden="false" customHeight="false" outlineLevel="0" collapsed="false">
      <c r="B65975" s="0" t="s">
        <v>7</v>
      </c>
      <c r="C65975" s="0" t="s">
        <v>22528</v>
      </c>
    </row>
    <row r="65976" customFormat="false" ht="12.8" hidden="false" customHeight="false" outlineLevel="0" collapsed="false">
      <c r="B65976" s="0" t="s">
        <v>14</v>
      </c>
      <c r="C65976" s="0" t="s">
        <v>22529</v>
      </c>
    </row>
    <row r="65978" customFormat="false" ht="12.8" hidden="false" customHeight="false" outlineLevel="0" collapsed="false">
      <c r="A65978" s="0" t="s">
        <v>22530</v>
      </c>
      <c r="B65978" s="0" t="str">
        <f aca="false">HYPERLINK("https://lindat.mff.cuni.cz/services/teitok/pdtc10/index.php?action=vallex&amp;frame=v-w9038hsa_624", "započíst (v-w9038hsa_624)")</f>
        <v>započíst (v-w9038hsa_624)</v>
      </c>
    </row>
    <row r="65979" customFormat="false" ht="12.8" hidden="false" customHeight="false" outlineLevel="0" collapsed="false">
      <c r="B65979" s="0" t="s">
        <v>7</v>
      </c>
    </row>
    <row r="65980" customFormat="false" ht="12.8" hidden="false" customHeight="false" outlineLevel="0" collapsed="false">
      <c r="B65980" s="0" t="s">
        <v>14</v>
      </c>
    </row>
    <row r="65981" customFormat="false" ht="12.8" hidden="false" customHeight="false" outlineLevel="0" collapsed="false">
      <c r="B65981" s="0" t="s">
        <v>22531</v>
      </c>
    </row>
    <row r="65983" customFormat="false" ht="12.8" hidden="false" customHeight="false" outlineLevel="0" collapsed="false">
      <c r="A65983" s="0" t="s">
        <v>22532</v>
      </c>
      <c r="B65983" s="0" t="str">
        <f aca="false">HYPERLINK("https://lindat.mff.cuni.cz/services/teitok/pdtc10/index.php?action=vallex&amp;frame=v-w9039f1", "započít (v-w9039f1)")</f>
        <v>započít (v-w9039f1)</v>
      </c>
    </row>
    <row r="65984" customFormat="false" ht="12.8" hidden="false" customHeight="false" outlineLevel="0" collapsed="false">
      <c r="B65984" s="0" t="s">
        <v>7</v>
      </c>
      <c r="C65984" s="0" t="s">
        <v>22533</v>
      </c>
      <c r="D65984" s="0" t="s">
        <v>69</v>
      </c>
      <c r="E65984" s="0" t="s">
        <v>69</v>
      </c>
      <c r="F65984" s="0" t="s">
        <v>12497</v>
      </c>
    </row>
    <row r="65985" customFormat="false" ht="12.8" hidden="false" customHeight="false" outlineLevel="0" collapsed="false">
      <c r="B65985" s="0" t="s">
        <v>22534</v>
      </c>
      <c r="C65985" s="0" t="s">
        <v>11396</v>
      </c>
      <c r="D65985" s="0" t="s">
        <v>71</v>
      </c>
      <c r="E65985" s="0" t="s">
        <v>71</v>
      </c>
      <c r="F65985" s="0" t="s">
        <v>14178</v>
      </c>
    </row>
    <row r="65987" customFormat="false" ht="12.8" hidden="false" customHeight="false" outlineLevel="0" collapsed="false">
      <c r="A65987" s="0" t="s">
        <v>22535</v>
      </c>
      <c r="B65987" s="0" t="str">
        <f aca="false">HYPERLINK("https://lindat.mff.cuni.cz/services/teitok/pdtc10/index.php?action=vallex&amp;frame=v-w9039f2", "započít (v-w9039f2)")</f>
        <v>započít (v-w9039f2)</v>
      </c>
    </row>
    <row r="65988" customFormat="false" ht="12.8" hidden="false" customHeight="false" outlineLevel="0" collapsed="false">
      <c r="B65988" s="0" t="s">
        <v>265</v>
      </c>
      <c r="C65988" s="0" t="s">
        <v>12612</v>
      </c>
    </row>
    <row r="65990" customFormat="false" ht="12.8" hidden="false" customHeight="false" outlineLevel="0" collapsed="false">
      <c r="A65990" s="0" t="s">
        <v>22536</v>
      </c>
      <c r="B65990" s="0" t="str">
        <f aca="false">HYPERLINK("https://lindat.mff.cuni.cz/services/teitok/pdtc10/index.php?action=vallex&amp;frame=v-w9040f2", "započítat (v-w9040f2)")</f>
        <v>započítat (v-w9040f2)</v>
      </c>
    </row>
    <row r="65991" customFormat="false" ht="12.8" hidden="false" customHeight="false" outlineLevel="0" collapsed="false">
      <c r="B65991" s="0" t="s">
        <v>7</v>
      </c>
      <c r="C65991" s="0" t="s">
        <v>22537</v>
      </c>
      <c r="D65991" s="0" t="s">
        <v>22526</v>
      </c>
      <c r="E65991" s="0" t="s">
        <v>22526</v>
      </c>
      <c r="F65991" s="0" t="s">
        <v>22526</v>
      </c>
    </row>
    <row r="65992" customFormat="false" ht="12.8" hidden="false" customHeight="false" outlineLevel="0" collapsed="false">
      <c r="B65992" s="0" t="s">
        <v>14</v>
      </c>
      <c r="C65992" s="0" t="s">
        <v>2182</v>
      </c>
      <c r="D65992" s="0" t="s">
        <v>16471</v>
      </c>
      <c r="E65992" s="0" t="s">
        <v>16471</v>
      </c>
      <c r="F65992" s="0" t="s">
        <v>16471</v>
      </c>
    </row>
    <row r="65993" customFormat="false" ht="12.8" hidden="false" customHeight="false" outlineLevel="0" collapsed="false">
      <c r="B65993" s="0" t="s">
        <v>124</v>
      </c>
    </row>
    <row r="65995" customFormat="false" ht="12.8" hidden="false" customHeight="false" outlineLevel="0" collapsed="false">
      <c r="A65995" s="0" t="s">
        <v>22538</v>
      </c>
      <c r="B65995" s="0" t="str">
        <f aca="false">HYPERLINK("https://lindat.mff.cuni.cz/services/teitok/pdtc10/index.php?action=vallex&amp;frame=v-w9040f3_ZU", "započítat (v-w9040f3_ZU)")</f>
        <v>započítat (v-w9040f3_ZU)</v>
      </c>
    </row>
    <row r="65996" customFormat="false" ht="12.8" hidden="false" customHeight="false" outlineLevel="0" collapsed="false">
      <c r="B65996" s="0" t="s">
        <v>7</v>
      </c>
    </row>
    <row r="65997" customFormat="false" ht="12.8" hidden="false" customHeight="false" outlineLevel="0" collapsed="false">
      <c r="B65997" s="0" t="s">
        <v>14</v>
      </c>
      <c r="C65997" s="0" t="s">
        <v>567</v>
      </c>
    </row>
    <row r="65999" customFormat="false" ht="12.8" hidden="false" customHeight="false" outlineLevel="0" collapsed="false">
      <c r="A65999" s="0" t="s">
        <v>22538</v>
      </c>
      <c r="B65999" s="0" t="str">
        <f aca="false">HYPERLINK("https://lindat.mff.cuni.cz/services/teitok/pdtc10/index.php?action=vallex&amp;frame=v-w9040f1", "započítat (v-w9040f1) - substituted with v-w9040f3_ZU")</f>
        <v>započítat (v-w9040f1) - substituted with v-w9040f3_ZU</v>
      </c>
    </row>
    <row r="66000" customFormat="false" ht="12.8" hidden="false" customHeight="false" outlineLevel="0" collapsed="false">
      <c r="B66000" s="0" t="s">
        <v>7</v>
      </c>
      <c r="C66000" s="0" t="s">
        <v>1263</v>
      </c>
    </row>
    <row r="66001" customFormat="false" ht="12.8" hidden="false" customHeight="false" outlineLevel="0" collapsed="false">
      <c r="B66001" s="0" t="s">
        <v>14</v>
      </c>
      <c r="C66001" s="0" t="s">
        <v>1289</v>
      </c>
    </row>
    <row r="66003" customFormat="false" ht="12.8" hidden="false" customHeight="false" outlineLevel="0" collapsed="false">
      <c r="A66003" s="0" t="s">
        <v>22539</v>
      </c>
      <c r="B66003" s="0" t="str">
        <f aca="false">HYPERLINK("https://lindat.mff.cuni.cz/services/teitok/pdtc10/index.php?action=vallex&amp;frame=v-w9040hsa_705", "započítat (v-w9040hsa_705)")</f>
        <v>započítat (v-w9040hsa_705)</v>
      </c>
    </row>
    <row r="66004" customFormat="false" ht="12.8" hidden="false" customHeight="false" outlineLevel="0" collapsed="false">
      <c r="B66004" s="0" t="s">
        <v>7</v>
      </c>
    </row>
    <row r="66005" customFormat="false" ht="12.8" hidden="false" customHeight="false" outlineLevel="0" collapsed="false">
      <c r="B66005" s="0" t="s">
        <v>14</v>
      </c>
    </row>
    <row r="66006" customFormat="false" ht="12.8" hidden="false" customHeight="false" outlineLevel="0" collapsed="false">
      <c r="B66006" s="0" t="s">
        <v>22531</v>
      </c>
    </row>
    <row r="66008" customFormat="false" ht="12.8" hidden="false" customHeight="false" outlineLevel="0" collapsed="false">
      <c r="A66008" s="0" t="s">
        <v>22540</v>
      </c>
      <c r="B66008" s="0" t="str">
        <f aca="false">HYPERLINK("https://lindat.mff.cuni.cz/services/teitok/pdtc10/index.php?action=vallex&amp;frame=v-w9041f1", "započítávat (v-w9041f1)")</f>
        <v>započítávat (v-w9041f1)</v>
      </c>
    </row>
    <row r="66009" customFormat="false" ht="12.8" hidden="false" customHeight="false" outlineLevel="0" collapsed="false">
      <c r="B66009" s="0" t="s">
        <v>7</v>
      </c>
      <c r="C66009" s="0" t="s">
        <v>22541</v>
      </c>
      <c r="D66009" s="0" t="s">
        <v>22526</v>
      </c>
      <c r="E66009" s="0" t="s">
        <v>22542</v>
      </c>
      <c r="F66009" s="0" t="s">
        <v>22542</v>
      </c>
    </row>
    <row r="66010" customFormat="false" ht="12.8" hidden="false" customHeight="false" outlineLevel="0" collapsed="false">
      <c r="B66010" s="0" t="s">
        <v>14</v>
      </c>
      <c r="C66010" s="0" t="s">
        <v>14429</v>
      </c>
      <c r="D66010" s="0" t="s">
        <v>16471</v>
      </c>
      <c r="E66010" s="0" t="s">
        <v>22543</v>
      </c>
      <c r="F66010" s="0" t="s">
        <v>22543</v>
      </c>
    </row>
    <row r="66011" customFormat="false" ht="12.8" hidden="false" customHeight="false" outlineLevel="0" collapsed="false">
      <c r="B66011" s="0" t="s">
        <v>124</v>
      </c>
      <c r="E66011" s="0" t="s">
        <v>18799</v>
      </c>
      <c r="F66011" s="0" t="s">
        <v>18799</v>
      </c>
    </row>
    <row r="66013" customFormat="false" ht="12.8" hidden="false" customHeight="false" outlineLevel="0" collapsed="false">
      <c r="A66013" s="0" t="s">
        <v>22544</v>
      </c>
      <c r="B66013" s="0" t="str">
        <f aca="false">HYPERLINK("https://lindat.mff.cuni.cz/services/teitok/pdtc10/index.php?action=vallex&amp;frame=v-w9041f2", "započítávat (v-w9041f2)")</f>
        <v>započítávat (v-w9041f2)</v>
      </c>
    </row>
    <row r="66014" customFormat="false" ht="12.8" hidden="false" customHeight="false" outlineLevel="0" collapsed="false">
      <c r="B66014" s="0" t="s">
        <v>7</v>
      </c>
      <c r="C66014" s="0" t="s">
        <v>4380</v>
      </c>
    </row>
    <row r="66015" customFormat="false" ht="12.8" hidden="false" customHeight="false" outlineLevel="0" collapsed="false">
      <c r="B66015" s="0" t="s">
        <v>14</v>
      </c>
      <c r="C66015" s="0" t="s">
        <v>7007</v>
      </c>
    </row>
    <row r="66017" customFormat="false" ht="12.8" hidden="false" customHeight="false" outlineLevel="0" collapsed="false">
      <c r="A66017" s="0" t="s">
        <v>22545</v>
      </c>
      <c r="B66017" s="0" t="str">
        <f aca="false">HYPERLINK("https://lindat.mff.cuni.cz/services/teitok/pdtc10/index.php?action=vallex&amp;frame=v-w10143f2", "zapracovat (v-w10143f2)")</f>
        <v>zapracovat (v-w10143f2)</v>
      </c>
    </row>
    <row r="66018" customFormat="false" ht="12.8" hidden="false" customHeight="false" outlineLevel="0" collapsed="false">
      <c r="B66018" s="0" t="s">
        <v>7</v>
      </c>
      <c r="C66018" s="0" t="s">
        <v>2199</v>
      </c>
    </row>
    <row r="66019" customFormat="false" ht="12.8" hidden="false" customHeight="false" outlineLevel="0" collapsed="false">
      <c r="B66019" s="0" t="s">
        <v>14</v>
      </c>
      <c r="C66019" s="0" t="s">
        <v>2850</v>
      </c>
    </row>
    <row r="66020" customFormat="false" ht="12.8" hidden="false" customHeight="false" outlineLevel="0" collapsed="false">
      <c r="B66020" s="0" t="s">
        <v>124</v>
      </c>
    </row>
    <row r="66022" customFormat="false" ht="12.8" hidden="false" customHeight="false" outlineLevel="0" collapsed="false">
      <c r="A66022" s="0" t="s">
        <v>22546</v>
      </c>
      <c r="B66022" s="0" t="str">
        <f aca="false">HYPERLINK("https://lindat.mff.cuni.cz/services/teitok/pdtc10/index.php?action=vallex&amp;frame=v-w10143f3", "zapracovat (v-w10143f3)")</f>
        <v>zapracovat (v-w10143f3)</v>
      </c>
    </row>
    <row r="66023" customFormat="false" ht="12.8" hidden="false" customHeight="false" outlineLevel="0" collapsed="false">
      <c r="B66023" s="0" t="s">
        <v>7</v>
      </c>
    </row>
    <row r="66024" customFormat="false" ht="12.8" hidden="false" customHeight="false" outlineLevel="0" collapsed="false">
      <c r="B66024" s="0" t="s">
        <v>14</v>
      </c>
    </row>
    <row r="66026" customFormat="false" ht="12.8" hidden="false" customHeight="false" outlineLevel="0" collapsed="false">
      <c r="A66026" s="0" t="s">
        <v>22547</v>
      </c>
      <c r="B66026" s="0" t="str">
        <f aca="false">HYPERLINK("https://lindat.mff.cuni.cz/services/teitok/pdtc10/index.php?action=vallex&amp;frame=v-w10143f4_ZU", "zapracovat (v-w10143f4_ZU)")</f>
        <v>zapracovat (v-w10143f4_ZU)</v>
      </c>
    </row>
    <row r="66027" customFormat="false" ht="12.8" hidden="false" customHeight="false" outlineLevel="0" collapsed="false">
      <c r="B66027" s="0" t="s">
        <v>7</v>
      </c>
    </row>
    <row r="66028" customFormat="false" ht="12.8" hidden="false" customHeight="false" outlineLevel="0" collapsed="false">
      <c r="B66028" s="0" t="s">
        <v>3200</v>
      </c>
    </row>
    <row r="66030" customFormat="false" ht="12.8" hidden="false" customHeight="false" outlineLevel="0" collapsed="false">
      <c r="A66030" s="0" t="s">
        <v>22548</v>
      </c>
      <c r="B66030" s="0" t="str">
        <f aca="false">HYPERLINK("https://lindat.mff.cuni.cz/services/teitok/pdtc10/index.php?action=vallex&amp;frame=v-whsa_806f1_ZU", "zapracovat se (v-whsa_806f1_ZU)")</f>
        <v>zapracovat se (v-whsa_806f1_ZU)</v>
      </c>
    </row>
    <row r="66031" customFormat="false" ht="12.8" hidden="false" customHeight="false" outlineLevel="0" collapsed="false">
      <c r="B66031" s="0" t="s">
        <v>7</v>
      </c>
    </row>
    <row r="66032" customFormat="false" ht="12.8" hidden="false" customHeight="false" outlineLevel="0" collapsed="false">
      <c r="B66032" s="0" t="s">
        <v>3745</v>
      </c>
    </row>
    <row r="66034" customFormat="false" ht="12.8" hidden="false" customHeight="false" outlineLevel="0" collapsed="false">
      <c r="A66034" s="0" t="s">
        <v>22548</v>
      </c>
      <c r="B66034" s="0" t="str">
        <f aca="false">HYPERLINK("https://lindat.mff.cuni.cz/services/teitok/pdtc10/index.php?action=vallex&amp;frame=v-whsa_806hsa_807", "zapracovat se (v-whsa_806hsa_807) - substituted with v-whsa_806f1_ZU")</f>
        <v>zapracovat se (v-whsa_806hsa_807) - substituted with v-whsa_806f1_ZU</v>
      </c>
    </row>
    <row r="66035" customFormat="false" ht="12.8" hidden="false" customHeight="false" outlineLevel="0" collapsed="false">
      <c r="B66035" s="0" t="s">
        <v>7</v>
      </c>
    </row>
    <row r="66036" customFormat="false" ht="12.8" hidden="false" customHeight="false" outlineLevel="0" collapsed="false">
      <c r="B66036" s="0" t="s">
        <v>3745</v>
      </c>
    </row>
    <row r="66038" customFormat="false" ht="12.8" hidden="false" customHeight="false" outlineLevel="0" collapsed="false">
      <c r="A66038" s="0" t="s">
        <v>22549</v>
      </c>
      <c r="B66038" s="0" t="str">
        <f aca="false">HYPERLINK("https://lindat.mff.cuni.cz/services/teitok/pdtc10/index.php?action=vallex&amp;frame=v-w9058f1", "zapracovávat (v-w9058f1)")</f>
        <v>zapracovávat (v-w9058f1)</v>
      </c>
    </row>
    <row r="66039" customFormat="false" ht="12.8" hidden="false" customHeight="false" outlineLevel="0" collapsed="false">
      <c r="B66039" s="0" t="s">
        <v>7</v>
      </c>
    </row>
    <row r="66040" customFormat="false" ht="12.8" hidden="false" customHeight="false" outlineLevel="0" collapsed="false">
      <c r="B66040" s="0" t="s">
        <v>14</v>
      </c>
    </row>
    <row r="66041" customFormat="false" ht="12.8" hidden="false" customHeight="false" outlineLevel="0" collapsed="false">
      <c r="B66041" s="0" t="s">
        <v>124</v>
      </c>
    </row>
    <row r="66043" customFormat="false" ht="12.8" hidden="false" customHeight="false" outlineLevel="0" collapsed="false">
      <c r="A66043" s="0" t="s">
        <v>22550</v>
      </c>
      <c r="B66043" s="0" t="str">
        <f aca="false">HYPERLINK("https://lindat.mff.cuni.cz/services/teitok/pdtc10/index.php?action=vallex&amp;frame=v-w9058f2_ZU", "zapracovávat (v-w9058f2_ZU)")</f>
        <v>zapracovávat (v-w9058f2_ZU)</v>
      </c>
    </row>
    <row r="66044" customFormat="false" ht="12.8" hidden="false" customHeight="false" outlineLevel="0" collapsed="false">
      <c r="B66044" s="0" t="s">
        <v>7</v>
      </c>
    </row>
    <row r="66045" customFormat="false" ht="12.8" hidden="false" customHeight="false" outlineLevel="0" collapsed="false">
      <c r="B66045" s="0" t="s">
        <v>81</v>
      </c>
    </row>
    <row r="66046" customFormat="false" ht="12.8" hidden="false" customHeight="false" outlineLevel="0" collapsed="false">
      <c r="B66046" s="0" t="s">
        <v>22551</v>
      </c>
    </row>
    <row r="66048" customFormat="false" ht="12.8" hidden="false" customHeight="false" outlineLevel="0" collapsed="false">
      <c r="A66048" s="0" t="s">
        <v>22552</v>
      </c>
      <c r="B66048" s="0" t="str">
        <f aca="false">HYPERLINK("https://lindat.mff.cuni.cz/services/teitok/pdtc10/index.php?action=vallex&amp;frame=v-w12355_MMf1_MM", "zapracovávat se (v-w12355_MMf1_MM)")</f>
        <v>zapracovávat se (v-w12355_MMf1_MM)</v>
      </c>
    </row>
    <row r="66049" customFormat="false" ht="12.8" hidden="false" customHeight="false" outlineLevel="0" collapsed="false">
      <c r="B66049" s="0" t="s">
        <v>7</v>
      </c>
    </row>
    <row r="66050" customFormat="false" ht="12.8" hidden="false" customHeight="false" outlineLevel="0" collapsed="false">
      <c r="B66050" s="0" t="s">
        <v>3745</v>
      </c>
    </row>
    <row r="66052" customFormat="false" ht="12.8" hidden="false" customHeight="false" outlineLevel="0" collapsed="false">
      <c r="A66052" s="0" t="s">
        <v>22553</v>
      </c>
      <c r="B66052" s="0" t="str">
        <f aca="false">HYPERLINK("https://lindat.mff.cuni.cz/services/teitok/pdtc10/index.php?action=vallex&amp;frame=v-w9059f1", "zapraskat (v-w9059f1)")</f>
        <v>zapraskat (v-w9059f1)</v>
      </c>
    </row>
    <row r="66053" customFormat="false" ht="12.8" hidden="false" customHeight="false" outlineLevel="0" collapsed="false">
      <c r="B66053" s="0" t="s">
        <v>7</v>
      </c>
    </row>
    <row r="66055" customFormat="false" ht="12.8" hidden="false" customHeight="false" outlineLevel="0" collapsed="false">
      <c r="A66055" s="0" t="s">
        <v>22554</v>
      </c>
      <c r="B66055" s="0" t="str">
        <f aca="false">HYPERLINK("https://lindat.mff.cuni.cz/services/teitok/pdtc10/index.php?action=vallex&amp;frame=v-w9059f2", "zapraskat (v-w9059f2)")</f>
        <v>zapraskat (v-w9059f2)</v>
      </c>
    </row>
    <row r="66056" customFormat="false" ht="12.8" hidden="false" customHeight="false" outlineLevel="0" collapsed="false">
      <c r="B66056" s="0" t="s">
        <v>11</v>
      </c>
    </row>
    <row r="66058" customFormat="false" ht="12.8" hidden="false" customHeight="false" outlineLevel="0" collapsed="false">
      <c r="A66058" s="0" t="s">
        <v>22555</v>
      </c>
      <c r="B66058" s="0" t="str">
        <f aca="false">HYPERLINK("https://lindat.mff.cuni.cz/services/teitok/pdtc10/index.php?action=vallex&amp;frame=v-w11861_ZUf1_ZU", "zaprašovat (v-w11861_ZUf1_ZU)")</f>
        <v>zaprašovat (v-w11861_ZUf1_ZU)</v>
      </c>
    </row>
    <row r="66059" customFormat="false" ht="12.8" hidden="false" customHeight="false" outlineLevel="0" collapsed="false">
      <c r="B66059" s="0" t="s">
        <v>7</v>
      </c>
    </row>
    <row r="66060" customFormat="false" ht="12.8" hidden="false" customHeight="false" outlineLevel="0" collapsed="false">
      <c r="B66060" s="0" t="s">
        <v>14</v>
      </c>
    </row>
    <row r="66061" customFormat="false" ht="12.8" hidden="false" customHeight="false" outlineLevel="0" collapsed="false">
      <c r="B66061" s="0" t="s">
        <v>6292</v>
      </c>
    </row>
    <row r="66063" customFormat="false" ht="12.8" hidden="false" customHeight="false" outlineLevel="0" collapsed="false">
      <c r="A66063" s="0" t="s">
        <v>22556</v>
      </c>
      <c r="B66063" s="0" t="str">
        <f aca="false">HYPERLINK("https://lindat.mff.cuni.cz/services/teitok/pdtc10/index.php?action=vallex&amp;frame=v-w10253f2", "zaprodat (v-w10253f2)")</f>
        <v>zaprodat (v-w10253f2)</v>
      </c>
    </row>
    <row r="66064" customFormat="false" ht="12.8" hidden="false" customHeight="false" outlineLevel="0" collapsed="false">
      <c r="B66064" s="0" t="s">
        <v>7</v>
      </c>
      <c r="C66064" s="0" t="s">
        <v>191</v>
      </c>
    </row>
    <row r="66065" customFormat="false" ht="12.8" hidden="false" customHeight="false" outlineLevel="0" collapsed="false">
      <c r="B66065" s="0" t="s">
        <v>14</v>
      </c>
      <c r="C66065" s="0" t="s">
        <v>47</v>
      </c>
    </row>
    <row r="66066" customFormat="false" ht="12.8" hidden="false" customHeight="false" outlineLevel="0" collapsed="false">
      <c r="B66066" s="0" t="s">
        <v>106</v>
      </c>
    </row>
    <row r="66068" customFormat="false" ht="12.8" hidden="false" customHeight="false" outlineLevel="0" collapsed="false">
      <c r="A66068" s="0" t="s">
        <v>22557</v>
      </c>
      <c r="B66068" s="0" t="str">
        <f aca="false">HYPERLINK("https://lindat.mff.cuni.cz/services/teitok/pdtc10/index.php?action=vallex&amp;frame=v-w9061f1", "zaprodávat (v-w9061f1)")</f>
        <v>zaprodávat (v-w9061f1)</v>
      </c>
    </row>
    <row r="66069" customFormat="false" ht="12.8" hidden="false" customHeight="false" outlineLevel="0" collapsed="false">
      <c r="B66069" s="0" t="s">
        <v>7</v>
      </c>
    </row>
    <row r="66070" customFormat="false" ht="12.8" hidden="false" customHeight="false" outlineLevel="0" collapsed="false">
      <c r="B66070" s="0" t="s">
        <v>14</v>
      </c>
    </row>
    <row r="66071" customFormat="false" ht="12.8" hidden="false" customHeight="false" outlineLevel="0" collapsed="false">
      <c r="B66071" s="0" t="s">
        <v>106</v>
      </c>
    </row>
    <row r="66073" customFormat="false" ht="12.8" hidden="false" customHeight="false" outlineLevel="0" collapsed="false">
      <c r="A66073" s="0" t="s">
        <v>22558</v>
      </c>
      <c r="B66073" s="0" t="str">
        <f aca="false">HYPERLINK("https://lindat.mff.cuni.cz/services/teitok/pdtc10/index.php?action=vallex&amp;frame=v-w9062f1", "zaprodávat se (v-w9062f1)")</f>
        <v>zaprodávat se (v-w9062f1)</v>
      </c>
    </row>
    <row r="66074" customFormat="false" ht="12.8" hidden="false" customHeight="false" outlineLevel="0" collapsed="false">
      <c r="B66074" s="0" t="s">
        <v>7</v>
      </c>
    </row>
    <row r="66075" customFormat="false" ht="12.8" hidden="false" customHeight="false" outlineLevel="0" collapsed="false">
      <c r="B66075" s="0" t="s">
        <v>142</v>
      </c>
    </row>
    <row r="66077" customFormat="false" ht="12.8" hidden="false" customHeight="false" outlineLevel="0" collapsed="false">
      <c r="A66077" s="0" t="s">
        <v>22559</v>
      </c>
      <c r="B66077" s="0" t="str">
        <f aca="false">HYPERLINK("https://lindat.mff.cuni.cz/services/teitok/pdtc10/index.php?action=vallex&amp;frame=v-w9063f1", "zaprotokolovat (v-w9063f1)")</f>
        <v>zaprotokolovat (v-w9063f1)</v>
      </c>
    </row>
    <row r="66078" customFormat="false" ht="12.8" hidden="false" customHeight="false" outlineLevel="0" collapsed="false">
      <c r="B66078" s="0" t="s">
        <v>7</v>
      </c>
    </row>
    <row r="66079" customFormat="false" ht="12.8" hidden="false" customHeight="false" outlineLevel="0" collapsed="false">
      <c r="B66079" s="0" t="s">
        <v>14</v>
      </c>
    </row>
    <row r="66081" customFormat="false" ht="12.8" hidden="false" customHeight="false" outlineLevel="0" collapsed="false">
      <c r="A66081" s="0" t="s">
        <v>22560</v>
      </c>
      <c r="B66081" s="0" t="str">
        <f aca="false">HYPERLINK("https://lindat.mff.cuni.cz/services/teitok/pdtc10/index.php?action=vallex&amp;frame=v-w11766_ZUf1_ZU", "zaprášit se (v-w11766_ZUf1_ZU)")</f>
        <v>zaprášit se (v-w11766_ZUf1_ZU)</v>
      </c>
    </row>
    <row r="66082" customFormat="false" ht="12.8" hidden="false" customHeight="false" outlineLevel="0" collapsed="false">
      <c r="B66082" s="0" t="s">
        <v>674</v>
      </c>
    </row>
    <row r="66084" customFormat="false" ht="12.8" hidden="false" customHeight="false" outlineLevel="0" collapsed="false">
      <c r="A66084" s="0" t="s">
        <v>22561</v>
      </c>
      <c r="B66084" s="0" t="str">
        <f aca="false">HYPERLINK("https://lindat.mff.cuni.cz/services/teitok/pdtc10/index.php?action=vallex&amp;frame=v-w11013f2", "zapršet (v-w11013f2)")</f>
        <v>zapršet (v-w11013f2)</v>
      </c>
    </row>
    <row r="66086" customFormat="false" ht="12.8" hidden="false" customHeight="false" outlineLevel="0" collapsed="false">
      <c r="A66086" s="0" t="s">
        <v>22562</v>
      </c>
      <c r="B66086" s="0" t="str">
        <f aca="false">HYPERLINK("https://lindat.mff.cuni.cz/services/teitok/pdtc10/index.php?action=vallex&amp;frame=v-w9070f2", "zapsat (v-w9070f2)")</f>
        <v>zapsat (v-w9070f2)</v>
      </c>
    </row>
    <row r="66087" customFormat="false" ht="12.8" hidden="false" customHeight="false" outlineLevel="0" collapsed="false">
      <c r="B66087" s="0" t="s">
        <v>7</v>
      </c>
      <c r="C66087" s="0" t="s">
        <v>113</v>
      </c>
      <c r="D66087" s="0" t="s">
        <v>1505</v>
      </c>
      <c r="E66087" s="0" t="s">
        <v>1505</v>
      </c>
      <c r="F66087" s="0" t="s">
        <v>1505</v>
      </c>
    </row>
    <row r="66088" customFormat="false" ht="12.8" hidden="false" customHeight="false" outlineLevel="0" collapsed="false">
      <c r="B66088" s="0" t="s">
        <v>14</v>
      </c>
      <c r="C66088" s="0" t="s">
        <v>487</v>
      </c>
      <c r="D66088" s="0" t="s">
        <v>14524</v>
      </c>
      <c r="E66088" s="0" t="s">
        <v>14524</v>
      </c>
      <c r="F66088" s="0" t="s">
        <v>14524</v>
      </c>
    </row>
    <row r="66089" customFormat="false" ht="12.8" hidden="false" customHeight="false" outlineLevel="0" collapsed="false">
      <c r="B66089" s="0" t="s">
        <v>11</v>
      </c>
      <c r="D66089" s="0" t="s">
        <v>22435</v>
      </c>
      <c r="E66089" s="0" t="s">
        <v>22435</v>
      </c>
      <c r="F66089" s="0" t="s">
        <v>22435</v>
      </c>
    </row>
    <row r="66091" customFormat="false" ht="12.8" hidden="false" customHeight="false" outlineLevel="0" collapsed="false">
      <c r="A66091" s="0" t="s">
        <v>22563</v>
      </c>
      <c r="B66091" s="0" t="str">
        <f aca="false">HYPERLINK("https://lindat.mff.cuni.cz/services/teitok/pdtc10/index.php?action=vallex&amp;frame=v-w9070f1", "zapsat (v-w9070f1)")</f>
        <v>zapsat (v-w9070f1)</v>
      </c>
    </row>
    <row r="66092" customFormat="false" ht="12.8" hidden="false" customHeight="false" outlineLevel="0" collapsed="false">
      <c r="B66092" s="0" t="s">
        <v>7</v>
      </c>
      <c r="C66092" s="0" t="s">
        <v>118</v>
      </c>
      <c r="D66092" s="0" t="s">
        <v>2736</v>
      </c>
      <c r="E66092" s="0" t="s">
        <v>2736</v>
      </c>
      <c r="F66092" s="0" t="s">
        <v>2736</v>
      </c>
    </row>
    <row r="66093" customFormat="false" ht="12.8" hidden="false" customHeight="false" outlineLevel="0" collapsed="false">
      <c r="B66093" s="0" t="s">
        <v>14</v>
      </c>
      <c r="C66093" s="0" t="s">
        <v>11922</v>
      </c>
      <c r="D66093" s="0" t="s">
        <v>6837</v>
      </c>
      <c r="E66093" s="0" t="s">
        <v>6837</v>
      </c>
      <c r="F66093" s="0" t="s">
        <v>6837</v>
      </c>
    </row>
    <row r="66094" customFormat="false" ht="12.8" hidden="false" customHeight="false" outlineLevel="0" collapsed="false">
      <c r="B66094" s="0" t="s">
        <v>124</v>
      </c>
    </row>
    <row r="66096" customFormat="false" ht="12.8" hidden="false" customHeight="false" outlineLevel="0" collapsed="false">
      <c r="A66096" s="0" t="s">
        <v>22564</v>
      </c>
      <c r="B66096" s="0" t="str">
        <f aca="false">HYPERLINK("https://lindat.mff.cuni.cz/services/teitok/pdtc10/index.php?action=vallex&amp;frame=v-w9070f3", "zapsat (v-w9070f3)")</f>
        <v>zapsat (v-w9070f3)</v>
      </c>
    </row>
    <row r="66097" customFormat="false" ht="12.8" hidden="false" customHeight="false" outlineLevel="0" collapsed="false">
      <c r="B66097" s="0" t="s">
        <v>7</v>
      </c>
      <c r="C66097" s="0" t="s">
        <v>22565</v>
      </c>
    </row>
    <row r="66098" customFormat="false" ht="12.8" hidden="false" customHeight="false" outlineLevel="0" collapsed="false">
      <c r="B66098" s="0" t="s">
        <v>15816</v>
      </c>
      <c r="C66098" s="0" t="s">
        <v>12369</v>
      </c>
    </row>
    <row r="66100" customFormat="false" ht="12.8" hidden="false" customHeight="false" outlineLevel="0" collapsed="false">
      <c r="A66100" s="0" t="s">
        <v>22566</v>
      </c>
      <c r="B66100" s="0" t="str">
        <f aca="false">HYPERLINK("https://lindat.mff.cuni.cz/services/teitok/pdtc10/index.php?action=vallex&amp;frame=v-w9070f4", "zapsat (v-w9070f4)")</f>
        <v>zapsat (v-w9070f4)</v>
      </c>
    </row>
    <row r="66101" customFormat="false" ht="12.8" hidden="false" customHeight="false" outlineLevel="0" collapsed="false">
      <c r="B66101" s="0" t="s">
        <v>7</v>
      </c>
      <c r="C66101" s="0" t="s">
        <v>2012</v>
      </c>
    </row>
    <row r="66102" customFormat="false" ht="12.8" hidden="false" customHeight="false" outlineLevel="0" collapsed="false">
      <c r="B66102" s="0" t="s">
        <v>3617</v>
      </c>
      <c r="C66102" s="0" t="s">
        <v>8099</v>
      </c>
    </row>
    <row r="66103" customFormat="false" ht="12.8" hidden="false" customHeight="false" outlineLevel="0" collapsed="false">
      <c r="B66103" s="0" t="s">
        <v>363</v>
      </c>
      <c r="C66103" s="0" t="s">
        <v>74</v>
      </c>
    </row>
    <row r="66105" customFormat="false" ht="12.8" hidden="false" customHeight="false" outlineLevel="0" collapsed="false">
      <c r="A66105" s="0" t="s">
        <v>22567</v>
      </c>
      <c r="B66105" s="0" t="str">
        <f aca="false">HYPERLINK("https://lindat.mff.cuni.cz/services/teitok/pdtc10/index.php?action=vallex&amp;frame=v-w9071f2", "zapsat se (v-w9071f2)")</f>
        <v>zapsat se (v-w9071f2)</v>
      </c>
    </row>
    <row r="66106" customFormat="false" ht="12.8" hidden="false" customHeight="false" outlineLevel="0" collapsed="false">
      <c r="B66106" s="0" t="s">
        <v>7</v>
      </c>
    </row>
    <row r="66107" customFormat="false" ht="12.8" hidden="false" customHeight="false" outlineLevel="0" collapsed="false">
      <c r="B66107" s="0" t="s">
        <v>11</v>
      </c>
    </row>
    <row r="66109" customFormat="false" ht="12.8" hidden="false" customHeight="false" outlineLevel="0" collapsed="false">
      <c r="A66109" s="0" t="s">
        <v>22568</v>
      </c>
      <c r="B66109" s="0" t="str">
        <f aca="false">HYPERLINK("https://lindat.mff.cuni.cz/services/teitok/pdtc10/index.php?action=vallex&amp;frame=v-w9071f1", "zapsat se (v-w9071f1)")</f>
        <v>zapsat se (v-w9071f1)</v>
      </c>
    </row>
    <row r="66110" customFormat="false" ht="12.8" hidden="false" customHeight="false" outlineLevel="0" collapsed="false">
      <c r="B66110" s="0" t="s">
        <v>7</v>
      </c>
      <c r="C66110" s="0" t="s">
        <v>736</v>
      </c>
      <c r="D66110" s="0" t="s">
        <v>13599</v>
      </c>
      <c r="E66110" s="0" t="s">
        <v>13599</v>
      </c>
      <c r="F66110" s="0" t="s">
        <v>13599</v>
      </c>
    </row>
    <row r="66111" customFormat="false" ht="12.8" hidden="false" customHeight="false" outlineLevel="0" collapsed="false">
      <c r="B66111" s="0" t="s">
        <v>124</v>
      </c>
      <c r="C66111" s="0" t="s">
        <v>12683</v>
      </c>
      <c r="D66111" s="0" t="s">
        <v>22569</v>
      </c>
      <c r="E66111" s="0" t="s">
        <v>22569</v>
      </c>
      <c r="F66111" s="0" t="s">
        <v>22569</v>
      </c>
    </row>
    <row r="66113" customFormat="false" ht="12.8" hidden="false" customHeight="false" outlineLevel="0" collapsed="false">
      <c r="A66113" s="0" t="s">
        <v>22570</v>
      </c>
      <c r="B66113" s="0" t="str">
        <f aca="false">HYPERLINK("https://lindat.mff.cuni.cz/services/teitok/pdtc10/index.php?action=vallex&amp;frame=v-w9072f1", "zapudit (v-w9072f1)")</f>
        <v>zapudit (v-w9072f1)</v>
      </c>
    </row>
    <row r="66114" customFormat="false" ht="12.8" hidden="false" customHeight="false" outlineLevel="0" collapsed="false">
      <c r="B66114" s="0" t="s">
        <v>7</v>
      </c>
    </row>
    <row r="66115" customFormat="false" ht="12.8" hidden="false" customHeight="false" outlineLevel="0" collapsed="false">
      <c r="B66115" s="0" t="s">
        <v>6839</v>
      </c>
    </row>
    <row r="66117" customFormat="false" ht="12.8" hidden="false" customHeight="false" outlineLevel="0" collapsed="false">
      <c r="A66117" s="0" t="s">
        <v>22571</v>
      </c>
      <c r="B66117" s="0" t="str">
        <f aca="false">HYPERLINK("https://lindat.mff.cuni.cz/services/teitok/pdtc10/index.php?action=vallex&amp;frame=v-w9078f2", "zapustit (v-w9078f2)")</f>
        <v>zapustit (v-w9078f2)</v>
      </c>
    </row>
    <row r="66118" customFormat="false" ht="12.8" hidden="false" customHeight="false" outlineLevel="0" collapsed="false">
      <c r="B66118" s="0" t="s">
        <v>7</v>
      </c>
      <c r="C66118" s="0" t="s">
        <v>3205</v>
      </c>
    </row>
    <row r="66119" customFormat="false" ht="12.8" hidden="false" customHeight="false" outlineLevel="0" collapsed="false">
      <c r="B66119" s="0" t="s">
        <v>14</v>
      </c>
      <c r="C66119" s="0" t="s">
        <v>21433</v>
      </c>
    </row>
    <row r="66120" customFormat="false" ht="12.8" hidden="false" customHeight="false" outlineLevel="0" collapsed="false">
      <c r="B66120" s="0" t="s">
        <v>11</v>
      </c>
    </row>
    <row r="66122" customFormat="false" ht="12.8" hidden="false" customHeight="false" outlineLevel="0" collapsed="false">
      <c r="A66122" s="0" t="s">
        <v>22572</v>
      </c>
      <c r="B66122" s="0" t="str">
        <f aca="false">HYPERLINK("https://lindat.mff.cuni.cz/services/teitok/pdtc10/index.php?action=vallex&amp;frame=v-w9078f1", "zapustit (v-w9078f1)")</f>
        <v>zapustit (v-w9078f1)</v>
      </c>
    </row>
    <row r="66123" customFormat="false" ht="12.8" hidden="false" customHeight="false" outlineLevel="0" collapsed="false">
      <c r="B66123" s="0" t="s">
        <v>7</v>
      </c>
    </row>
    <row r="66124" customFormat="false" ht="12.8" hidden="false" customHeight="false" outlineLevel="0" collapsed="false">
      <c r="B66124" s="0" t="s">
        <v>14</v>
      </c>
    </row>
    <row r="66125" customFormat="false" ht="12.8" hidden="false" customHeight="false" outlineLevel="0" collapsed="false">
      <c r="B66125" s="0" t="s">
        <v>124</v>
      </c>
    </row>
    <row r="66127" customFormat="false" ht="12.8" hidden="false" customHeight="false" outlineLevel="0" collapsed="false">
      <c r="A66127" s="0" t="s">
        <v>22573</v>
      </c>
      <c r="B66127" s="0" t="str">
        <f aca="false">HYPERLINK("https://lindat.mff.cuni.cz/services/teitok/pdtc10/index.php?action=vallex&amp;frame=v-whsa_1367f1_ZU", "zapáchat (v-whsa_1367f1_ZU)")</f>
        <v>zapáchat (v-whsa_1367f1_ZU)</v>
      </c>
    </row>
    <row r="66128" customFormat="false" ht="12.8" hidden="false" customHeight="false" outlineLevel="0" collapsed="false">
      <c r="B66128" s="0" t="s">
        <v>7</v>
      </c>
    </row>
    <row r="66129" customFormat="false" ht="12.8" hidden="false" customHeight="false" outlineLevel="0" collapsed="false">
      <c r="B66129" s="0" t="s">
        <v>12511</v>
      </c>
    </row>
    <row r="66131" customFormat="false" ht="12.8" hidden="false" customHeight="false" outlineLevel="0" collapsed="false">
      <c r="A66131" s="0" t="s">
        <v>22573</v>
      </c>
      <c r="B66131" s="0" t="str">
        <f aca="false">HYPERLINK("https://lindat.mff.cuni.cz/services/teitok/pdtc10/index.php?action=vallex&amp;frame=v-whsa_1367hsa_1368", "zapáchat (v-whsa_1367hsa_1368) - substituted with v-whsa_1367f1_ZU")</f>
        <v>zapáchat (v-whsa_1367hsa_1368) - substituted with v-whsa_1367f1_ZU</v>
      </c>
    </row>
    <row r="66132" customFormat="false" ht="12.8" hidden="false" customHeight="false" outlineLevel="0" collapsed="false">
      <c r="B66132" s="0" t="s">
        <v>7</v>
      </c>
    </row>
    <row r="66133" customFormat="false" ht="12.8" hidden="false" customHeight="false" outlineLevel="0" collapsed="false">
      <c r="B66133" s="0" t="s">
        <v>12511</v>
      </c>
    </row>
    <row r="66135" customFormat="false" ht="12.8" hidden="false" customHeight="false" outlineLevel="0" collapsed="false">
      <c r="A66135" s="0" t="s">
        <v>22574</v>
      </c>
      <c r="B66135" s="0" t="str">
        <f aca="false">HYPERLINK("https://lindat.mff.cuni.cz/services/teitok/pdtc10/index.php?action=vallex&amp;frame=v-w9002f1", "zapálit (v-w9002f1)")</f>
        <v>zapálit (v-w9002f1)</v>
      </c>
    </row>
    <row r="66136" customFormat="false" ht="12.8" hidden="false" customHeight="false" outlineLevel="0" collapsed="false">
      <c r="B66136" s="0" t="s">
        <v>7</v>
      </c>
      <c r="C66136" s="0" t="s">
        <v>194</v>
      </c>
      <c r="D66136" s="0" t="s">
        <v>46</v>
      </c>
      <c r="E66136" s="0" t="s">
        <v>46</v>
      </c>
      <c r="F66136" s="0" t="s">
        <v>46</v>
      </c>
    </row>
    <row r="66137" customFormat="false" ht="12.8" hidden="false" customHeight="false" outlineLevel="0" collapsed="false">
      <c r="B66137" s="0" t="s">
        <v>14</v>
      </c>
      <c r="C66137" s="0" t="s">
        <v>1571</v>
      </c>
      <c r="D66137" s="0" t="s">
        <v>155</v>
      </c>
      <c r="E66137" s="0" t="s">
        <v>155</v>
      </c>
      <c r="F66137" s="0" t="s">
        <v>155</v>
      </c>
    </row>
    <row r="66139" customFormat="false" ht="12.8" hidden="false" customHeight="false" outlineLevel="0" collapsed="false">
      <c r="A66139" s="0" t="s">
        <v>22575</v>
      </c>
      <c r="B66139" s="0" t="str">
        <f aca="false">HYPERLINK("https://lindat.mff.cuni.cz/services/teitok/pdtc10/index.php?action=vallex&amp;frame=v-w12348_MMf1_MM", "zapéci (v-w12348_MMf1_MM)")</f>
        <v>zapéci (v-w12348_MMf1_MM)</v>
      </c>
    </row>
    <row r="66140" customFormat="false" ht="12.8" hidden="false" customHeight="false" outlineLevel="0" collapsed="false">
      <c r="B66140" s="0" t="s">
        <v>7</v>
      </c>
    </row>
    <row r="66141" customFormat="false" ht="12.8" hidden="false" customHeight="false" outlineLevel="0" collapsed="false">
      <c r="B66141" s="0" t="s">
        <v>14</v>
      </c>
    </row>
    <row r="66143" customFormat="false" ht="12.8" hidden="false" customHeight="false" outlineLevel="0" collapsed="false">
      <c r="A66143" s="0" t="s">
        <v>22576</v>
      </c>
      <c r="B66143" s="0" t="str">
        <f aca="false">HYPERLINK("https://lindat.mff.cuni.cz/services/teitok/pdtc10/index.php?action=vallex&amp;frame=v-w9010f2", "zapíchnout (v-w9010f2)")</f>
        <v>zapíchnout (v-w9010f2)</v>
      </c>
    </row>
    <row r="66144" customFormat="false" ht="12.8" hidden="false" customHeight="false" outlineLevel="0" collapsed="false">
      <c r="B66144" s="0" t="s">
        <v>7</v>
      </c>
    </row>
    <row r="66145" customFormat="false" ht="12.8" hidden="false" customHeight="false" outlineLevel="0" collapsed="false">
      <c r="B66145" s="0" t="s">
        <v>14</v>
      </c>
    </row>
    <row r="66146" customFormat="false" ht="12.8" hidden="false" customHeight="false" outlineLevel="0" collapsed="false">
      <c r="B66146" s="0" t="s">
        <v>11</v>
      </c>
    </row>
    <row r="66148" customFormat="false" ht="12.8" hidden="false" customHeight="false" outlineLevel="0" collapsed="false">
      <c r="A66148" s="0" t="s">
        <v>22577</v>
      </c>
      <c r="B66148" s="0" t="str">
        <f aca="false">HYPERLINK("https://lindat.mff.cuni.cz/services/teitok/pdtc10/index.php?action=vallex&amp;frame=v-w9010f1", "zapíchnout (v-w9010f1)")</f>
        <v>zapíchnout (v-w9010f1)</v>
      </c>
    </row>
    <row r="66149" customFormat="false" ht="12.8" hidden="false" customHeight="false" outlineLevel="0" collapsed="false">
      <c r="B66149" s="0" t="s">
        <v>7</v>
      </c>
    </row>
    <row r="66150" customFormat="false" ht="12.8" hidden="false" customHeight="false" outlineLevel="0" collapsed="false">
      <c r="B66150" s="0" t="s">
        <v>14</v>
      </c>
    </row>
    <row r="66151" customFormat="false" ht="12.8" hidden="false" customHeight="false" outlineLevel="0" collapsed="false">
      <c r="B66151" s="0" t="s">
        <v>124</v>
      </c>
    </row>
    <row r="66153" customFormat="false" ht="12.8" hidden="false" customHeight="false" outlineLevel="0" collapsed="false">
      <c r="A66153" s="0" t="s">
        <v>22578</v>
      </c>
      <c r="B66153" s="0" t="str">
        <f aca="false">HYPERLINK("https://lindat.mff.cuni.cz/services/teitok/pdtc10/index.php?action=vallex&amp;frame=v-w9010hsa_573", "zapíchnout (v-w9010hsa_573)")</f>
        <v>zapíchnout (v-w9010hsa_573)</v>
      </c>
    </row>
    <row r="66154" customFormat="false" ht="12.8" hidden="false" customHeight="false" outlineLevel="0" collapsed="false">
      <c r="B66154" s="0" t="s">
        <v>7</v>
      </c>
    </row>
    <row r="66155" customFormat="false" ht="12.8" hidden="false" customHeight="false" outlineLevel="0" collapsed="false">
      <c r="B66155" s="0" t="s">
        <v>14</v>
      </c>
    </row>
    <row r="66157" customFormat="false" ht="12.8" hidden="false" customHeight="false" outlineLevel="0" collapsed="false">
      <c r="A66157" s="0" t="s">
        <v>22579</v>
      </c>
      <c r="B66157" s="0" t="str">
        <f aca="false">HYPERLINK("https://lindat.mff.cuni.cz/services/teitok/pdtc10/index.php?action=vallex&amp;frame=v-whsa_1337hsa_1338", "zapíchávat (v-whsa_1337hsa_1338)")</f>
        <v>zapíchávat (v-whsa_1337hsa_1338)</v>
      </c>
    </row>
    <row r="66158" customFormat="false" ht="12.8" hidden="false" customHeight="false" outlineLevel="0" collapsed="false">
      <c r="B66158" s="0" t="s">
        <v>7</v>
      </c>
    </row>
    <row r="66159" customFormat="false" ht="12.8" hidden="false" customHeight="false" outlineLevel="0" collapsed="false">
      <c r="B66159" s="0" t="s">
        <v>14</v>
      </c>
    </row>
    <row r="66160" customFormat="false" ht="12.8" hidden="false" customHeight="false" outlineLevel="0" collapsed="false">
      <c r="B66160" s="0" t="s">
        <v>124</v>
      </c>
    </row>
    <row r="66162" customFormat="false" ht="12.8" hidden="false" customHeight="false" outlineLevel="0" collapsed="false">
      <c r="A66162" s="0" t="s">
        <v>22580</v>
      </c>
      <c r="B66162" s="0" t="str">
        <f aca="false">HYPERLINK("https://lindat.mff.cuni.cz/services/teitok/pdtc10/index.php?action=vallex&amp;frame=v-whsa_2045hsa_2046", "zapíjet (v-whsa_2045hsa_2046)")</f>
        <v>zapíjet (v-whsa_2045hsa_2046)</v>
      </c>
    </row>
    <row r="66163" customFormat="false" ht="12.8" hidden="false" customHeight="false" outlineLevel="0" collapsed="false">
      <c r="B66163" s="0" t="s">
        <v>7</v>
      </c>
    </row>
    <row r="66164" customFormat="false" ht="12.8" hidden="false" customHeight="false" outlineLevel="0" collapsed="false">
      <c r="B66164" s="0" t="s">
        <v>14</v>
      </c>
    </row>
    <row r="66166" customFormat="false" ht="12.8" hidden="false" customHeight="false" outlineLevel="0" collapsed="false">
      <c r="A66166" s="0" t="s">
        <v>22581</v>
      </c>
      <c r="B66166" s="0" t="str">
        <f aca="false">HYPERLINK("https://lindat.mff.cuni.cz/services/teitok/pdtc10/index.php?action=vallex&amp;frame=v-w9011f1", "zapínat (v-w9011f1)")</f>
        <v>zapínat (v-w9011f1)</v>
      </c>
    </row>
    <row r="66167" customFormat="false" ht="12.8" hidden="false" customHeight="false" outlineLevel="0" collapsed="false">
      <c r="B66167" s="0" t="s">
        <v>22582</v>
      </c>
      <c r="C66167" s="0" t="s">
        <v>191</v>
      </c>
      <c r="D66167" s="0" t="s">
        <v>88</v>
      </c>
      <c r="E66167" s="0" t="s">
        <v>88</v>
      </c>
      <c r="F66167" s="0" t="s">
        <v>88</v>
      </c>
    </row>
    <row r="66168" customFormat="false" ht="12.8" hidden="false" customHeight="false" outlineLevel="0" collapsed="false">
      <c r="B66168" s="0" t="s">
        <v>14</v>
      </c>
      <c r="C66168" s="0" t="s">
        <v>155</v>
      </c>
      <c r="D66168" s="0" t="s">
        <v>624</v>
      </c>
      <c r="E66168" s="0" t="s">
        <v>624</v>
      </c>
      <c r="F66168" s="0" t="s">
        <v>624</v>
      </c>
    </row>
    <row r="66170" customFormat="false" ht="12.8" hidden="false" customHeight="false" outlineLevel="0" collapsed="false">
      <c r="A66170" s="0" t="s">
        <v>22583</v>
      </c>
      <c r="B66170" s="0" t="str">
        <f aca="false">HYPERLINK("https://lindat.mff.cuni.cz/services/teitok/pdtc10/index.php?action=vallex&amp;frame=v-w9011f2_ZU", "zapínat (v-w9011f2_ZU)")</f>
        <v>zapínat (v-w9011f2_ZU)</v>
      </c>
    </row>
    <row r="66171" customFormat="false" ht="12.8" hidden="false" customHeight="false" outlineLevel="0" collapsed="false">
      <c r="B66171" s="0" t="s">
        <v>7</v>
      </c>
      <c r="C66171" s="0" t="s">
        <v>191</v>
      </c>
      <c r="D66171" s="0" t="s">
        <v>118</v>
      </c>
      <c r="E66171" s="0" t="s">
        <v>118</v>
      </c>
      <c r="F66171" s="0" t="s">
        <v>118</v>
      </c>
    </row>
    <row r="66172" customFormat="false" ht="12.8" hidden="false" customHeight="false" outlineLevel="0" collapsed="false">
      <c r="B66172" s="0" t="s">
        <v>14</v>
      </c>
      <c r="C66172" s="0" t="s">
        <v>155</v>
      </c>
      <c r="D66172" s="0" t="s">
        <v>89</v>
      </c>
      <c r="E66172" s="0" t="s">
        <v>89</v>
      </c>
      <c r="F66172" s="0" t="s">
        <v>89</v>
      </c>
    </row>
    <row r="66174" customFormat="false" ht="12.8" hidden="false" customHeight="false" outlineLevel="0" collapsed="false">
      <c r="A66174" s="0" t="s">
        <v>22584</v>
      </c>
      <c r="B66174" s="0" t="str">
        <f aca="false">HYPERLINK("https://lindat.mff.cuni.cz/services/teitok/pdtc10/index.php?action=vallex&amp;frame=v-w10294f2", "zapírat (v-w10294f2)")</f>
        <v>zapírat (v-w10294f2)</v>
      </c>
    </row>
    <row r="66175" customFormat="false" ht="12.8" hidden="false" customHeight="false" outlineLevel="0" collapsed="false">
      <c r="B66175" s="0" t="s">
        <v>7</v>
      </c>
    </row>
    <row r="66176" customFormat="false" ht="12.8" hidden="false" customHeight="false" outlineLevel="0" collapsed="false">
      <c r="B66176" s="0" t="s">
        <v>745</v>
      </c>
    </row>
    <row r="66177" customFormat="false" ht="12.8" hidden="false" customHeight="false" outlineLevel="0" collapsed="false">
      <c r="B66177" s="0" t="s">
        <v>106</v>
      </c>
    </row>
    <row r="66179" customFormat="false" ht="12.8" hidden="false" customHeight="false" outlineLevel="0" collapsed="false">
      <c r="A66179" s="0" t="s">
        <v>22585</v>
      </c>
      <c r="B66179" s="0" t="str">
        <f aca="false">HYPERLINK("https://lindat.mff.cuni.cz/services/teitok/pdtc10/index.php?action=vallex&amp;frame=v-w11810_ZUf1_ZU", "zapít (v-w11810_ZUf1_ZU)")</f>
        <v>zapít (v-w11810_ZUf1_ZU)</v>
      </c>
    </row>
    <row r="66180" customFormat="false" ht="12.8" hidden="false" customHeight="false" outlineLevel="0" collapsed="false">
      <c r="B66180" s="0" t="s">
        <v>7</v>
      </c>
    </row>
    <row r="66181" customFormat="false" ht="12.8" hidden="false" customHeight="false" outlineLevel="0" collapsed="false">
      <c r="B66181" s="0" t="s">
        <v>14</v>
      </c>
    </row>
    <row r="66183" customFormat="false" ht="12.8" hidden="false" customHeight="false" outlineLevel="0" collapsed="false">
      <c r="A66183" s="0" t="s">
        <v>22586</v>
      </c>
      <c r="B66183" s="0" t="str">
        <f aca="false">HYPERLINK("https://lindat.mff.cuni.cz/services/teitok/pdtc10/index.php?action=vallex&amp;frame=v-w9009f1", "zapět (v-w9009f1)")</f>
        <v>zapět (v-w9009f1)</v>
      </c>
    </row>
    <row r="66184" customFormat="false" ht="12.8" hidden="false" customHeight="false" outlineLevel="0" collapsed="false">
      <c r="B66184" s="0" t="s">
        <v>7</v>
      </c>
    </row>
    <row r="66185" customFormat="false" ht="12.8" hidden="false" customHeight="false" outlineLevel="0" collapsed="false">
      <c r="B66185" s="0" t="s">
        <v>14</v>
      </c>
    </row>
    <row r="66186" customFormat="false" ht="12.8" hidden="false" customHeight="false" outlineLevel="0" collapsed="false">
      <c r="B66186" s="0" t="s">
        <v>106</v>
      </c>
    </row>
    <row r="66188" customFormat="false" ht="12.8" hidden="false" customHeight="false" outlineLevel="0" collapsed="false">
      <c r="A66188" s="0" t="s">
        <v>22587</v>
      </c>
      <c r="B66188" s="0" t="str">
        <f aca="false">HYPERLINK("https://lindat.mff.cuni.cz/services/teitok/pdtc10/index.php?action=vallex&amp;frame=v-w9009f3", "zapět (v-w9009f3)")</f>
        <v>zapět (v-w9009f3)</v>
      </c>
    </row>
    <row r="66189" customFormat="false" ht="12.8" hidden="false" customHeight="false" outlineLevel="0" collapsed="false">
      <c r="B66189" s="0" t="s">
        <v>7</v>
      </c>
    </row>
    <row r="66190" customFormat="false" ht="12.8" hidden="false" customHeight="false" outlineLevel="0" collapsed="false">
      <c r="B66190" s="0" t="s">
        <v>244</v>
      </c>
    </row>
    <row r="66191" customFormat="false" ht="12.8" hidden="false" customHeight="false" outlineLevel="0" collapsed="false">
      <c r="B66191" s="0" t="s">
        <v>106</v>
      </c>
    </row>
    <row r="66193" customFormat="false" ht="12.8" hidden="false" customHeight="false" outlineLevel="0" collapsed="false">
      <c r="A66193" s="0" t="s">
        <v>22588</v>
      </c>
      <c r="B66193" s="0" t="str">
        <f aca="false">HYPERLINK("https://lindat.mff.cuni.cz/services/teitok/pdtc10/index.php?action=vallex&amp;frame=v-w9009f2", "zapět (v-w9009f2)")</f>
        <v>zapět (v-w9009f2)</v>
      </c>
    </row>
    <row r="66194" customFormat="false" ht="12.8" hidden="false" customHeight="false" outlineLevel="0" collapsed="false">
      <c r="B66194" s="0" t="s">
        <v>7</v>
      </c>
    </row>
    <row r="66195" customFormat="false" ht="12.8" hidden="false" customHeight="false" outlineLevel="0" collapsed="false">
      <c r="B66195" s="0" t="s">
        <v>12378</v>
      </c>
    </row>
    <row r="66196" customFormat="false" ht="12.8" hidden="false" customHeight="false" outlineLevel="0" collapsed="false">
      <c r="B66196" s="0" t="s">
        <v>363</v>
      </c>
    </row>
    <row r="66197" customFormat="false" ht="12.8" hidden="false" customHeight="false" outlineLevel="0" collapsed="false">
      <c r="B66197" s="0" t="s">
        <v>106</v>
      </c>
    </row>
    <row r="66199" customFormat="false" ht="12.8" hidden="false" customHeight="false" outlineLevel="0" collapsed="false">
      <c r="A66199" s="0" t="s">
        <v>22589</v>
      </c>
      <c r="B66199" s="0" t="str">
        <f aca="false">HYPERLINK("https://lindat.mff.cuni.cz/services/teitok/pdtc10/index.php?action=vallex&amp;frame=v-w9064f1", "zapřáhnout (v-w9064f1)")</f>
        <v>zapřáhnout (v-w9064f1)</v>
      </c>
    </row>
    <row r="66200" customFormat="false" ht="12.8" hidden="false" customHeight="false" outlineLevel="0" collapsed="false">
      <c r="B66200" s="0" t="s">
        <v>7</v>
      </c>
    </row>
    <row r="66201" customFormat="false" ht="12.8" hidden="false" customHeight="false" outlineLevel="0" collapsed="false">
      <c r="B66201" s="0" t="s">
        <v>14</v>
      </c>
    </row>
    <row r="66202" customFormat="false" ht="12.8" hidden="false" customHeight="false" outlineLevel="0" collapsed="false">
      <c r="B66202" s="0" t="s">
        <v>124</v>
      </c>
    </row>
    <row r="66204" customFormat="false" ht="12.8" hidden="false" customHeight="false" outlineLevel="0" collapsed="false">
      <c r="A66204" s="0" t="s">
        <v>22590</v>
      </c>
      <c r="B66204" s="0" t="str">
        <f aca="false">HYPERLINK("https://lindat.mff.cuni.cz/services/teitok/pdtc10/index.php?action=vallex&amp;frame=v-w9064f2_MM", "zapřáhnout (v-w9064f2_MM)")</f>
        <v>zapřáhnout (v-w9064f2_MM)</v>
      </c>
    </row>
    <row r="66205" customFormat="false" ht="12.8" hidden="false" customHeight="false" outlineLevel="0" collapsed="false">
      <c r="B66205" s="0" t="s">
        <v>7</v>
      </c>
    </row>
    <row r="66206" customFormat="false" ht="12.8" hidden="false" customHeight="false" outlineLevel="0" collapsed="false">
      <c r="B66206" s="0" t="s">
        <v>81</v>
      </c>
    </row>
    <row r="66207" customFormat="false" ht="12.8" hidden="false" customHeight="false" outlineLevel="0" collapsed="false">
      <c r="B66207" s="0" t="s">
        <v>3745</v>
      </c>
    </row>
    <row r="66209" customFormat="false" ht="12.8" hidden="false" customHeight="false" outlineLevel="0" collapsed="false">
      <c r="A66209" s="0" t="s">
        <v>22591</v>
      </c>
      <c r="B66209" s="0" t="str">
        <f aca="false">HYPERLINK("https://lindat.mff.cuni.cz/services/teitok/pdtc10/index.php?action=vallex&amp;frame=v-whsa_134hsa_135", "zapříst (v-whsa_134hsa_135)")</f>
        <v>zapříst (v-whsa_134hsa_135)</v>
      </c>
    </row>
    <row r="66210" customFormat="false" ht="12.8" hidden="false" customHeight="false" outlineLevel="0" collapsed="false">
      <c r="B66210" s="0" t="s">
        <v>7</v>
      </c>
      <c r="C66210" s="0" t="s">
        <v>2101</v>
      </c>
      <c r="D66210" s="0" t="s">
        <v>69</v>
      </c>
      <c r="E66210" s="0" t="s">
        <v>69</v>
      </c>
      <c r="F66210" s="0" t="s">
        <v>69</v>
      </c>
    </row>
    <row r="66211" customFormat="false" ht="12.8" hidden="false" customHeight="false" outlineLevel="0" collapsed="false">
      <c r="B66211" s="0" t="s">
        <v>14</v>
      </c>
      <c r="C66211" s="0" t="s">
        <v>1209</v>
      </c>
      <c r="D66211" s="0" t="s">
        <v>71</v>
      </c>
      <c r="E66211" s="0" t="s">
        <v>71</v>
      </c>
      <c r="F66211" s="0" t="s">
        <v>71</v>
      </c>
    </row>
    <row r="66213" customFormat="false" ht="12.8" hidden="false" customHeight="false" outlineLevel="0" collapsed="false">
      <c r="A66213" s="0" t="s">
        <v>22592</v>
      </c>
      <c r="B66213" s="0" t="str">
        <f aca="false">HYPERLINK("https://lindat.mff.cuni.cz/services/teitok/pdtc10/index.php?action=vallex&amp;frame=v-w9067f1", "zapřít (v-w9067f1)")</f>
        <v>zapřít (v-w9067f1)</v>
      </c>
    </row>
    <row r="66214" customFormat="false" ht="12.8" hidden="false" customHeight="false" outlineLevel="0" collapsed="false">
      <c r="B66214" s="0" t="s">
        <v>7</v>
      </c>
      <c r="C66214" s="0" t="s">
        <v>2431</v>
      </c>
      <c r="E66214" s="0" t="s">
        <v>22593</v>
      </c>
      <c r="F66214" s="0" t="s">
        <v>22593</v>
      </c>
    </row>
    <row r="66215" customFormat="false" ht="12.8" hidden="false" customHeight="false" outlineLevel="0" collapsed="false">
      <c r="B66215" s="0" t="s">
        <v>3742</v>
      </c>
      <c r="C66215" s="0" t="s">
        <v>356</v>
      </c>
      <c r="E66215" s="0" t="s">
        <v>22594</v>
      </c>
      <c r="F66215" s="0" t="s">
        <v>22594</v>
      </c>
    </row>
    <row r="66216" customFormat="false" ht="12.8" hidden="false" customHeight="false" outlineLevel="0" collapsed="false">
      <c r="B66216" s="0" t="s">
        <v>293</v>
      </c>
      <c r="E66216" s="0" t="s">
        <v>7572</v>
      </c>
      <c r="F66216" s="0" t="s">
        <v>7572</v>
      </c>
    </row>
    <row r="66218" customFormat="false" ht="12.8" hidden="false" customHeight="false" outlineLevel="0" collapsed="false">
      <c r="A66218" s="0" t="s">
        <v>22595</v>
      </c>
      <c r="B66218" s="0" t="str">
        <f aca="false">HYPERLINK("https://lindat.mff.cuni.cz/services/teitok/pdtc10/index.php?action=vallex&amp;frame=v-w9068f1", "zapřít se (v-w9068f1)")</f>
        <v>zapřít se (v-w9068f1)</v>
      </c>
    </row>
    <row r="66219" customFormat="false" ht="12.8" hidden="false" customHeight="false" outlineLevel="0" collapsed="false">
      <c r="B66219" s="0" t="s">
        <v>7</v>
      </c>
    </row>
    <row r="66220" customFormat="false" ht="12.8" hidden="false" customHeight="false" outlineLevel="0" collapsed="false">
      <c r="B66220" s="0" t="s">
        <v>1400</v>
      </c>
    </row>
    <row r="66222" customFormat="false" ht="12.8" hidden="false" customHeight="false" outlineLevel="0" collapsed="false">
      <c r="A66222" s="0" t="s">
        <v>22596</v>
      </c>
      <c r="B66222" s="0" t="str">
        <f aca="false">HYPERLINK("https://lindat.mff.cuni.cz/services/teitok/pdtc10/index.php?action=vallex&amp;frame=v-w9066f1", "zapříčinit (v-w9066f1)")</f>
        <v>zapříčinit (v-w9066f1)</v>
      </c>
    </row>
    <row r="66223" customFormat="false" ht="12.8" hidden="false" customHeight="false" outlineLevel="0" collapsed="false">
      <c r="B66223" s="0" t="s">
        <v>7</v>
      </c>
      <c r="C66223" s="0" t="s">
        <v>22597</v>
      </c>
      <c r="D66223" s="0" t="s">
        <v>570</v>
      </c>
      <c r="E66223" s="0" t="s">
        <v>570</v>
      </c>
      <c r="F66223" s="0" t="s">
        <v>570</v>
      </c>
    </row>
    <row r="66224" customFormat="false" ht="12.8" hidden="false" customHeight="false" outlineLevel="0" collapsed="false">
      <c r="B66224" s="0" t="s">
        <v>6839</v>
      </c>
      <c r="C66224" s="0" t="s">
        <v>22598</v>
      </c>
      <c r="D66224" s="0" t="s">
        <v>5917</v>
      </c>
      <c r="E66224" s="0" t="s">
        <v>5917</v>
      </c>
      <c r="F66224" s="0" t="s">
        <v>5917</v>
      </c>
    </row>
    <row r="66226" customFormat="false" ht="12.8" hidden="false" customHeight="false" outlineLevel="0" collapsed="false">
      <c r="A66226" s="0" t="s">
        <v>22599</v>
      </c>
      <c r="B66226" s="0" t="str">
        <f aca="false">HYPERLINK("https://lindat.mff.cuni.cz/services/teitok/pdtc10/index.php?action=vallex&amp;frame=v-w10475f2", "zapříčiňovat (v-w10475f2)")</f>
        <v>zapříčiňovat (v-w10475f2)</v>
      </c>
    </row>
    <row r="66227" customFormat="false" ht="12.8" hidden="false" customHeight="false" outlineLevel="0" collapsed="false">
      <c r="B66227" s="0" t="s">
        <v>7</v>
      </c>
      <c r="C66227" s="0" t="s">
        <v>20913</v>
      </c>
      <c r="D66227" s="0" t="s">
        <v>570</v>
      </c>
      <c r="E66227" s="0" t="s">
        <v>570</v>
      </c>
      <c r="F66227" s="0" t="s">
        <v>570</v>
      </c>
    </row>
    <row r="66228" customFormat="false" ht="12.8" hidden="false" customHeight="false" outlineLevel="0" collapsed="false">
      <c r="B66228" s="0" t="s">
        <v>6839</v>
      </c>
      <c r="C66228" s="0" t="s">
        <v>22600</v>
      </c>
      <c r="D66228" s="0" t="s">
        <v>5917</v>
      </c>
      <c r="E66228" s="0" t="s">
        <v>5917</v>
      </c>
      <c r="F66228" s="0" t="s">
        <v>5917</v>
      </c>
    </row>
    <row r="66230" customFormat="false" ht="12.8" hidden="false" customHeight="false" outlineLevel="0" collapsed="false">
      <c r="A66230" s="0" t="s">
        <v>22601</v>
      </c>
      <c r="B66230" s="0" t="str">
        <f aca="false">HYPERLINK("https://lindat.mff.cuni.cz/services/teitok/pdtc10/index.php?action=vallex&amp;frame=v-w9074f1", "zapůjčit (v-w9074f1)")</f>
        <v>zapůjčit (v-w9074f1)</v>
      </c>
    </row>
    <row r="66231" customFormat="false" ht="12.8" hidden="false" customHeight="false" outlineLevel="0" collapsed="false">
      <c r="B66231" s="0" t="s">
        <v>7</v>
      </c>
      <c r="C66231" s="0" t="s">
        <v>1142</v>
      </c>
      <c r="D66231" s="0" t="s">
        <v>1484</v>
      </c>
      <c r="E66231" s="0" t="s">
        <v>12109</v>
      </c>
      <c r="F66231" s="0" t="s">
        <v>12109</v>
      </c>
    </row>
    <row r="66232" customFormat="false" ht="12.8" hidden="false" customHeight="false" outlineLevel="0" collapsed="false">
      <c r="B66232" s="0" t="s">
        <v>14</v>
      </c>
      <c r="C66232" s="0" t="s">
        <v>7966</v>
      </c>
      <c r="D66232" s="0" t="s">
        <v>1485</v>
      </c>
      <c r="E66232" s="0" t="s">
        <v>12110</v>
      </c>
      <c r="F66232" s="0" t="s">
        <v>12110</v>
      </c>
    </row>
    <row r="66233" customFormat="false" ht="12.8" hidden="false" customHeight="false" outlineLevel="0" collapsed="false">
      <c r="B66233" s="0" t="s">
        <v>48</v>
      </c>
      <c r="C66233" s="0" t="s">
        <v>12111</v>
      </c>
      <c r="D66233" s="0" t="s">
        <v>1487</v>
      </c>
      <c r="E66233" s="0" t="s">
        <v>12112</v>
      </c>
      <c r="F66233" s="0" t="s">
        <v>12112</v>
      </c>
    </row>
    <row r="66235" customFormat="false" ht="12.8" hidden="false" customHeight="false" outlineLevel="0" collapsed="false">
      <c r="A66235" s="0" t="s">
        <v>22602</v>
      </c>
      <c r="B66235" s="0" t="str">
        <f aca="false">HYPERLINK("https://lindat.mff.cuni.cz/services/teitok/pdtc10/index.php?action=vallex&amp;frame=v-w9075f1", "zapůjčit si (v-w9075f1)")</f>
        <v>zapůjčit si (v-w9075f1)</v>
      </c>
    </row>
    <row r="66236" customFormat="false" ht="12.8" hidden="false" customHeight="false" outlineLevel="0" collapsed="false">
      <c r="B66236" s="0" t="s">
        <v>7</v>
      </c>
    </row>
    <row r="66237" customFormat="false" ht="12.8" hidden="false" customHeight="false" outlineLevel="0" collapsed="false">
      <c r="B66237" s="0" t="s">
        <v>14</v>
      </c>
    </row>
    <row r="66238" customFormat="false" ht="12.8" hidden="false" customHeight="false" outlineLevel="0" collapsed="false">
      <c r="B66238" s="0" t="s">
        <v>441</v>
      </c>
    </row>
    <row r="66240" customFormat="false" ht="12.8" hidden="false" customHeight="false" outlineLevel="0" collapsed="false">
      <c r="A66240" s="0" t="s">
        <v>22603</v>
      </c>
      <c r="B66240" s="0" t="str">
        <f aca="false">HYPERLINK("https://lindat.mff.cuni.cz/services/teitok/pdtc10/index.php?action=vallex&amp;frame=v-w9077f1", "zapůsobit (v-w9077f1)")</f>
        <v>zapůsobit (v-w9077f1)</v>
      </c>
    </row>
    <row r="66241" customFormat="false" ht="12.8" hidden="false" customHeight="false" outlineLevel="0" collapsed="false">
      <c r="B66241" s="0" t="s">
        <v>3492</v>
      </c>
      <c r="C66241" s="0" t="s">
        <v>22604</v>
      </c>
      <c r="D66241" s="0" t="s">
        <v>31</v>
      </c>
      <c r="E66241" s="0" t="s">
        <v>31</v>
      </c>
      <c r="F66241" s="0" t="s">
        <v>31</v>
      </c>
    </row>
    <row r="66242" customFormat="false" ht="12.8" hidden="false" customHeight="false" outlineLevel="0" collapsed="false">
      <c r="B66242" s="0" t="s">
        <v>41</v>
      </c>
      <c r="C66242" s="0" t="s">
        <v>78</v>
      </c>
      <c r="D66242" s="0" t="s">
        <v>78</v>
      </c>
      <c r="E66242" s="0" t="s">
        <v>78</v>
      </c>
      <c r="F66242" s="0" t="s">
        <v>78</v>
      </c>
    </row>
    <row r="66244" customFormat="false" ht="12.8" hidden="false" customHeight="false" outlineLevel="0" collapsed="false">
      <c r="A66244" s="0" t="s">
        <v>22605</v>
      </c>
      <c r="B66244" s="0" t="str">
        <f aca="false">HYPERLINK("https://lindat.mff.cuni.cz/services/teitok/pdtc10/index.php?action=vallex&amp;frame=v-w9079f1", "zaradovat se (v-w9079f1)")</f>
        <v>zaradovat se (v-w9079f1)</v>
      </c>
    </row>
    <row r="66245" customFormat="false" ht="12.8" hidden="false" customHeight="false" outlineLevel="0" collapsed="false">
      <c r="B66245" s="0" t="s">
        <v>7</v>
      </c>
      <c r="D66245" s="0" t="s">
        <v>46</v>
      </c>
      <c r="E66245" s="0" t="s">
        <v>46</v>
      </c>
      <c r="F66245" s="0" t="s">
        <v>46</v>
      </c>
    </row>
    <row r="66246" customFormat="false" ht="12.8" hidden="false" customHeight="false" outlineLevel="0" collapsed="false">
      <c r="B66246" s="0" t="s">
        <v>7340</v>
      </c>
      <c r="D66246" s="0" t="s">
        <v>567</v>
      </c>
      <c r="E66246" s="0" t="s">
        <v>567</v>
      </c>
      <c r="F66246" s="0" t="s">
        <v>567</v>
      </c>
    </row>
    <row r="66248" customFormat="false" ht="12.8" hidden="false" customHeight="false" outlineLevel="0" collapsed="false">
      <c r="A66248" s="0" t="s">
        <v>22606</v>
      </c>
      <c r="B66248" s="0" t="str">
        <f aca="false">HYPERLINK("https://lindat.mff.cuni.cz/services/teitok/pdtc10/index.php?action=vallex&amp;frame=v-w9081f4", "zarazit (v-w9081f4)")</f>
        <v>zarazit (v-w9081f4)</v>
      </c>
    </row>
    <row r="66249" customFormat="false" ht="12.8" hidden="false" customHeight="false" outlineLevel="0" collapsed="false">
      <c r="B66249" s="0" t="s">
        <v>7</v>
      </c>
    </row>
    <row r="66250" customFormat="false" ht="12.8" hidden="false" customHeight="false" outlineLevel="0" collapsed="false">
      <c r="B66250" s="0" t="s">
        <v>14</v>
      </c>
    </row>
    <row r="66251" customFormat="false" ht="12.8" hidden="false" customHeight="false" outlineLevel="0" collapsed="false">
      <c r="B66251" s="0" t="s">
        <v>11</v>
      </c>
    </row>
    <row r="66253" customFormat="false" ht="12.8" hidden="false" customHeight="false" outlineLevel="0" collapsed="false">
      <c r="A66253" s="0" t="s">
        <v>22607</v>
      </c>
      <c r="B66253" s="0" t="str">
        <f aca="false">HYPERLINK("https://lindat.mff.cuni.cz/services/teitok/pdtc10/index.php?action=vallex&amp;frame=v-w9081f3", "zarazit (v-w9081f3)")</f>
        <v>zarazit (v-w9081f3)</v>
      </c>
    </row>
    <row r="66254" customFormat="false" ht="12.8" hidden="false" customHeight="false" outlineLevel="0" collapsed="false">
      <c r="B66254" s="0" t="s">
        <v>7</v>
      </c>
      <c r="C66254" s="0" t="s">
        <v>14784</v>
      </c>
      <c r="D66254" s="0" t="s">
        <v>2235</v>
      </c>
      <c r="E66254" s="0" t="s">
        <v>2235</v>
      </c>
      <c r="F66254" s="0" t="s">
        <v>2235</v>
      </c>
    </row>
    <row r="66255" customFormat="false" ht="12.8" hidden="false" customHeight="false" outlineLevel="0" collapsed="false">
      <c r="B66255" s="0" t="s">
        <v>14</v>
      </c>
      <c r="C66255" s="0" t="s">
        <v>22608</v>
      </c>
      <c r="D66255" s="0" t="s">
        <v>2237</v>
      </c>
      <c r="E66255" s="0" t="s">
        <v>2237</v>
      </c>
      <c r="F66255" s="0" t="s">
        <v>2237</v>
      </c>
    </row>
    <row r="66256" customFormat="false" ht="12.8" hidden="false" customHeight="false" outlineLevel="0" collapsed="false">
      <c r="B66256" s="0" t="s">
        <v>124</v>
      </c>
      <c r="D66256" s="0" t="s">
        <v>2238</v>
      </c>
      <c r="E66256" s="0" t="s">
        <v>2238</v>
      </c>
      <c r="F66256" s="0" t="s">
        <v>2238</v>
      </c>
    </row>
    <row r="66258" customFormat="false" ht="12.8" hidden="false" customHeight="false" outlineLevel="0" collapsed="false">
      <c r="A66258" s="0" t="s">
        <v>22609</v>
      </c>
      <c r="B66258" s="0" t="str">
        <f aca="false">HYPERLINK("https://lindat.mff.cuni.cz/services/teitok/pdtc10/index.php?action=vallex&amp;frame=v-w9081f2", "zarazit (v-w9081f2)")</f>
        <v>zarazit (v-w9081f2)</v>
      </c>
    </row>
    <row r="66259" customFormat="false" ht="12.8" hidden="false" customHeight="false" outlineLevel="0" collapsed="false">
      <c r="B66259" s="0" t="s">
        <v>8792</v>
      </c>
      <c r="C66259" s="0" t="s">
        <v>1371</v>
      </c>
      <c r="D66259" s="0" t="s">
        <v>4795</v>
      </c>
      <c r="E66259" s="0" t="s">
        <v>4795</v>
      </c>
      <c r="F66259" s="0" t="s">
        <v>4795</v>
      </c>
    </row>
    <row r="66260" customFormat="false" ht="12.8" hidden="false" customHeight="false" outlineLevel="0" collapsed="false">
      <c r="B66260" s="0" t="s">
        <v>14</v>
      </c>
      <c r="C66260" s="0" t="s">
        <v>22610</v>
      </c>
      <c r="D66260" s="0" t="s">
        <v>4796</v>
      </c>
      <c r="E66260" s="0" t="s">
        <v>4796</v>
      </c>
      <c r="F66260" s="0" t="s">
        <v>4796</v>
      </c>
    </row>
    <row r="66262" customFormat="false" ht="12.8" hidden="false" customHeight="false" outlineLevel="0" collapsed="false">
      <c r="A66262" s="0" t="s">
        <v>22611</v>
      </c>
      <c r="B66262" s="0" t="str">
        <f aca="false">HYPERLINK("https://lindat.mff.cuni.cz/services/teitok/pdtc10/index.php?action=vallex&amp;frame=v-w9081f1", "zarazit (v-w9081f1)")</f>
        <v>zarazit (v-w9081f1)</v>
      </c>
    </row>
    <row r="66263" customFormat="false" ht="12.8" hidden="false" customHeight="false" outlineLevel="0" collapsed="false">
      <c r="B66263" s="0" t="s">
        <v>7</v>
      </c>
    </row>
    <row r="66264" customFormat="false" ht="12.8" hidden="false" customHeight="false" outlineLevel="0" collapsed="false">
      <c r="B66264" s="0" t="s">
        <v>14</v>
      </c>
    </row>
    <row r="66266" customFormat="false" ht="12.8" hidden="false" customHeight="false" outlineLevel="0" collapsed="false">
      <c r="A66266" s="0" t="s">
        <v>22612</v>
      </c>
      <c r="B66266" s="0" t="str">
        <f aca="false">HYPERLINK("https://lindat.mff.cuni.cz/services/teitok/pdtc10/index.php?action=vallex&amp;frame=v-w11638_ZUf1_ZU", "zarazit se (v-w11638_ZUf1_ZU)")</f>
        <v>zarazit se (v-w11638_ZUf1_ZU)</v>
      </c>
    </row>
    <row r="66267" customFormat="false" ht="12.8" hidden="false" customHeight="false" outlineLevel="0" collapsed="false">
      <c r="B66267" s="0" t="s">
        <v>7</v>
      </c>
      <c r="D66267" s="0" t="s">
        <v>21923</v>
      </c>
      <c r="E66267" s="0" t="s">
        <v>21923</v>
      </c>
      <c r="F66267" s="0" t="s">
        <v>21923</v>
      </c>
    </row>
    <row r="66268" customFormat="false" ht="12.8" hidden="false" customHeight="false" outlineLevel="0" collapsed="false">
      <c r="B66268" s="0" t="s">
        <v>1059</v>
      </c>
      <c r="D66268" s="0" t="s">
        <v>22613</v>
      </c>
      <c r="E66268" s="0" t="s">
        <v>22613</v>
      </c>
      <c r="F66268" s="0" t="s">
        <v>22613</v>
      </c>
    </row>
    <row r="66270" customFormat="false" ht="12.8" hidden="false" customHeight="false" outlineLevel="0" collapsed="false">
      <c r="A66270" s="0" t="s">
        <v>22614</v>
      </c>
      <c r="B66270" s="0" t="str">
        <f aca="false">HYPERLINK("https://lindat.mff.cuni.cz/services/teitok/pdtc10/index.php?action=vallex&amp;frame=v-w11638_ZUhsa_30", "zarazit se (v-w11638_ZUhsa_30)")</f>
        <v>zarazit se (v-w11638_ZUhsa_30)</v>
      </c>
    </row>
    <row r="66271" customFormat="false" ht="12.8" hidden="false" customHeight="false" outlineLevel="0" collapsed="false">
      <c r="B66271" s="0" t="s">
        <v>7</v>
      </c>
      <c r="F66271" s="0" t="s">
        <v>21511</v>
      </c>
    </row>
    <row r="66272" customFormat="false" ht="12.8" hidden="false" customHeight="false" outlineLevel="0" collapsed="false">
      <c r="B66272" s="0" t="s">
        <v>22615</v>
      </c>
      <c r="F66272" s="0" t="s">
        <v>2641</v>
      </c>
    </row>
    <row r="66274" customFormat="false" ht="12.8" hidden="false" customHeight="false" outlineLevel="0" collapsed="false">
      <c r="A66274" s="0" t="s">
        <v>22616</v>
      </c>
      <c r="B66274" s="0" t="str">
        <f aca="false">HYPERLINK("https://lindat.mff.cuni.cz/services/teitok/pdtc10/index.php?action=vallex&amp;frame=v-w11638_ZUf2_ZU", "zarazit se (v-w11638_ZUf2_ZU)")</f>
        <v>zarazit se (v-w11638_ZUf2_ZU)</v>
      </c>
    </row>
    <row r="66275" customFormat="false" ht="12.8" hidden="false" customHeight="false" outlineLevel="0" collapsed="false">
      <c r="B66275" s="0" t="s">
        <v>7</v>
      </c>
    </row>
    <row r="66277" customFormat="false" ht="12.8" hidden="false" customHeight="false" outlineLevel="0" collapsed="false">
      <c r="A66277" s="0" t="s">
        <v>22616</v>
      </c>
      <c r="B66277" s="0" t="str">
        <f aca="false">HYPERLINK("https://lindat.mff.cuni.cz/services/teitok/pdtc10/index.php?action=vallex&amp;frame=v-w11638_ZUhsa_32", "zarazit se (v-w11638_ZUhsa_32) - substituted with v-w11638_ZUf2_ZU")</f>
        <v>zarazit se (v-w11638_ZUhsa_32) - substituted with v-w11638_ZUf2_ZU</v>
      </c>
    </row>
    <row r="66278" customFormat="false" ht="12.8" hidden="false" customHeight="false" outlineLevel="0" collapsed="false">
      <c r="B66278" s="0" t="s">
        <v>7</v>
      </c>
    </row>
    <row r="66280" customFormat="false" ht="12.8" hidden="false" customHeight="false" outlineLevel="0" collapsed="false">
      <c r="A66280" s="0" t="s">
        <v>22617</v>
      </c>
      <c r="B66280" s="0" t="str">
        <f aca="false">HYPERLINK("https://lindat.mff.cuni.cz/services/teitok/pdtc10/index.php?action=vallex&amp;frame=v-w9083f1", "zareagovat (v-w9083f1)")</f>
        <v>zareagovat (v-w9083f1)</v>
      </c>
    </row>
    <row r="66281" customFormat="false" ht="12.8" hidden="false" customHeight="false" outlineLevel="0" collapsed="false">
      <c r="B66281" s="0" t="s">
        <v>7</v>
      </c>
      <c r="C66281" s="0" t="s">
        <v>22618</v>
      </c>
      <c r="D66281" s="0" t="s">
        <v>4178</v>
      </c>
      <c r="E66281" s="0" t="s">
        <v>4178</v>
      </c>
      <c r="F66281" s="0" t="s">
        <v>4178</v>
      </c>
    </row>
    <row r="66282" customFormat="false" ht="12.8" hidden="false" customHeight="false" outlineLevel="0" collapsed="false">
      <c r="B66282" s="0" t="s">
        <v>41</v>
      </c>
      <c r="C66282" s="0" t="s">
        <v>22619</v>
      </c>
      <c r="D66282" s="0" t="s">
        <v>8363</v>
      </c>
      <c r="E66282" s="0" t="s">
        <v>8363</v>
      </c>
      <c r="F66282" s="0" t="s">
        <v>8363</v>
      </c>
    </row>
    <row r="66284" customFormat="false" ht="12.8" hidden="false" customHeight="false" outlineLevel="0" collapsed="false">
      <c r="A66284" s="0" t="s">
        <v>22620</v>
      </c>
      <c r="B66284" s="0" t="str">
        <f aca="false">HYPERLINK("https://lindat.mff.cuni.cz/services/teitok/pdtc10/index.php?action=vallex&amp;frame=v-w9083hsa_1225", "zareagovat (v-w9083hsa_1225)")</f>
        <v>zareagovat (v-w9083hsa_1225)</v>
      </c>
    </row>
    <row r="66285" customFormat="false" ht="12.8" hidden="false" customHeight="false" outlineLevel="0" collapsed="false">
      <c r="B66285" s="0" t="s">
        <v>7</v>
      </c>
      <c r="D66285" s="0" t="s">
        <v>4178</v>
      </c>
      <c r="E66285" s="0" t="s">
        <v>4178</v>
      </c>
      <c r="F66285" s="0" t="s">
        <v>4178</v>
      </c>
    </row>
    <row r="66286" customFormat="false" ht="12.8" hidden="false" customHeight="false" outlineLevel="0" collapsed="false">
      <c r="B66286" s="0" t="s">
        <v>22621</v>
      </c>
      <c r="D66286" s="0" t="s">
        <v>22622</v>
      </c>
      <c r="E66286" s="0" t="s">
        <v>22622</v>
      </c>
      <c r="F66286" s="0" t="s">
        <v>22622</v>
      </c>
    </row>
    <row r="66287" customFormat="false" ht="12.8" hidden="false" customHeight="false" outlineLevel="0" collapsed="false">
      <c r="B66287" s="0" t="s">
        <v>63</v>
      </c>
      <c r="D66287" s="0" t="s">
        <v>8363</v>
      </c>
      <c r="E66287" s="0" t="s">
        <v>8363</v>
      </c>
      <c r="F66287" s="0" t="s">
        <v>8363</v>
      </c>
    </row>
    <row r="66289" customFormat="false" ht="12.8" hidden="false" customHeight="false" outlineLevel="0" collapsed="false">
      <c r="A66289" s="0" t="s">
        <v>22620</v>
      </c>
      <c r="B66289" s="0" t="str">
        <f aca="false">HYPERLINK("https://lindat.mff.cuni.cz/services/teitok/pdtc10/index.php?action=vallex&amp;frame=v-w9083f2", "zareagovat (v-w9083f2) - substituted with v-w9083hsa_1225")</f>
        <v>zareagovat (v-w9083f2) - substituted with v-w9083hsa_1225</v>
      </c>
    </row>
    <row r="66290" customFormat="false" ht="12.8" hidden="false" customHeight="false" outlineLevel="0" collapsed="false">
      <c r="B66290" s="0" t="s">
        <v>7</v>
      </c>
      <c r="C66290" s="0" t="s">
        <v>2557</v>
      </c>
    </row>
    <row r="66291" customFormat="false" ht="12.8" hidden="false" customHeight="false" outlineLevel="0" collapsed="false">
      <c r="B66291" s="0" t="s">
        <v>22621</v>
      </c>
      <c r="C66291" s="0" t="s">
        <v>22623</v>
      </c>
    </row>
    <row r="66292" customFormat="false" ht="12.8" hidden="false" customHeight="false" outlineLevel="0" collapsed="false">
      <c r="B66292" s="0" t="s">
        <v>63</v>
      </c>
      <c r="C66292" s="0" t="s">
        <v>19346</v>
      </c>
    </row>
    <row r="66294" customFormat="false" ht="12.8" hidden="false" customHeight="false" outlineLevel="0" collapsed="false">
      <c r="A66294" s="0" t="s">
        <v>22624</v>
      </c>
      <c r="B66294" s="0" t="str">
        <f aca="false">HYPERLINK("https://lindat.mff.cuni.cz/services/teitok/pdtc10/index.php?action=vallex&amp;frame=v-w9085f1", "zaregistrovat (v-w9085f1)")</f>
        <v>zaregistrovat (v-w9085f1)</v>
      </c>
    </row>
    <row r="66295" customFormat="false" ht="12.8" hidden="false" customHeight="false" outlineLevel="0" collapsed="false">
      <c r="B66295" s="0" t="s">
        <v>7</v>
      </c>
      <c r="C66295" s="0" t="s">
        <v>1864</v>
      </c>
      <c r="D66295" s="0" t="s">
        <v>4116</v>
      </c>
      <c r="E66295" s="0" t="s">
        <v>4116</v>
      </c>
      <c r="F66295" s="0" t="s">
        <v>4116</v>
      </c>
    </row>
    <row r="66296" customFormat="false" ht="12.8" hidden="false" customHeight="false" outlineLevel="0" collapsed="false">
      <c r="B66296" s="0" t="s">
        <v>15816</v>
      </c>
      <c r="C66296" s="0" t="s">
        <v>4729</v>
      </c>
      <c r="D66296" s="0" t="s">
        <v>1277</v>
      </c>
      <c r="E66296" s="0" t="s">
        <v>1277</v>
      </c>
      <c r="F66296" s="0" t="s">
        <v>1277</v>
      </c>
    </row>
    <row r="66298" customFormat="false" ht="12.8" hidden="false" customHeight="false" outlineLevel="0" collapsed="false">
      <c r="A66298" s="0" t="s">
        <v>22625</v>
      </c>
      <c r="B66298" s="0" t="str">
        <f aca="false">HYPERLINK("https://lindat.mff.cuni.cz/services/teitok/pdtc10/index.php?action=vallex&amp;frame=v-w9085f2", "zaregistrovat (v-w9085f2)")</f>
        <v>zaregistrovat (v-w9085f2)</v>
      </c>
    </row>
    <row r="66299" customFormat="false" ht="12.8" hidden="false" customHeight="false" outlineLevel="0" collapsed="false">
      <c r="B66299" s="0" t="s">
        <v>7</v>
      </c>
      <c r="C66299" s="0" t="s">
        <v>7632</v>
      </c>
      <c r="D66299" s="0" t="s">
        <v>1505</v>
      </c>
      <c r="E66299" s="0" t="s">
        <v>1505</v>
      </c>
      <c r="F66299" s="0" t="s">
        <v>1505</v>
      </c>
    </row>
    <row r="66300" customFormat="false" ht="12.8" hidden="false" customHeight="false" outlineLevel="0" collapsed="false">
      <c r="B66300" s="0" t="s">
        <v>14</v>
      </c>
      <c r="C66300" s="0" t="s">
        <v>22626</v>
      </c>
      <c r="D66300" s="0" t="s">
        <v>14524</v>
      </c>
      <c r="E66300" s="0" t="s">
        <v>14524</v>
      </c>
      <c r="F66300" s="0" t="s">
        <v>14524</v>
      </c>
    </row>
    <row r="66302" customFormat="false" ht="12.8" hidden="false" customHeight="false" outlineLevel="0" collapsed="false">
      <c r="A66302" s="0" t="s">
        <v>22627</v>
      </c>
      <c r="B66302" s="0" t="str">
        <f aca="false">HYPERLINK("https://lindat.mff.cuni.cz/services/teitok/pdtc10/index.php?action=vallex&amp;frame=v-w10917f2", "zarezervovat (v-w10917f2)")</f>
        <v>zarezervovat (v-w10917f2)</v>
      </c>
    </row>
    <row r="66303" customFormat="false" ht="12.8" hidden="false" customHeight="false" outlineLevel="0" collapsed="false">
      <c r="B66303" s="0" t="s">
        <v>7</v>
      </c>
      <c r="D66303" s="0" t="s">
        <v>3610</v>
      </c>
      <c r="E66303" s="0" t="s">
        <v>3610</v>
      </c>
      <c r="F66303" s="0" t="s">
        <v>3610</v>
      </c>
    </row>
    <row r="66304" customFormat="false" ht="12.8" hidden="false" customHeight="false" outlineLevel="0" collapsed="false">
      <c r="B66304" s="0" t="s">
        <v>14</v>
      </c>
      <c r="D66304" s="0" t="s">
        <v>7844</v>
      </c>
      <c r="E66304" s="0" t="s">
        <v>7844</v>
      </c>
      <c r="F66304" s="0" t="s">
        <v>7844</v>
      </c>
    </row>
    <row r="66305" customFormat="false" ht="12.8" hidden="false" customHeight="false" outlineLevel="0" collapsed="false">
      <c r="B66305" s="0" t="s">
        <v>3012</v>
      </c>
      <c r="D66305" s="0" t="s">
        <v>12725</v>
      </c>
      <c r="E66305" s="0" t="s">
        <v>12725</v>
      </c>
      <c r="F66305" s="0" t="s">
        <v>12725</v>
      </c>
    </row>
    <row r="66307" customFormat="false" ht="12.8" hidden="false" customHeight="false" outlineLevel="0" collapsed="false">
      <c r="A66307" s="0" t="s">
        <v>22628</v>
      </c>
      <c r="B66307" s="0" t="str">
        <f aca="false">HYPERLINK("https://lindat.mff.cuni.cz/services/teitok/pdtc10/index.php?action=vallex&amp;frame=v-w9086f1", "zariskovat (v-w9086f1)")</f>
        <v>zariskovat (v-w9086f1)</v>
      </c>
    </row>
    <row r="66308" customFormat="false" ht="12.8" hidden="false" customHeight="false" outlineLevel="0" collapsed="false">
      <c r="B66308" s="0" t="s">
        <v>7</v>
      </c>
      <c r="C66308" s="0" t="s">
        <v>465</v>
      </c>
    </row>
    <row r="66310" customFormat="false" ht="12.8" hidden="false" customHeight="false" outlineLevel="0" collapsed="false">
      <c r="A66310" s="0" t="s">
        <v>22629</v>
      </c>
      <c r="B66310" s="0" t="str">
        <f aca="false">HYPERLINK("https://lindat.mff.cuni.cz/services/teitok/pdtc10/index.php?action=vallex&amp;frame=v-w10670f2", "zarmoutit (v-w10670f2)")</f>
        <v>zarmoutit (v-w10670f2)</v>
      </c>
    </row>
    <row r="66311" customFormat="false" ht="12.8" hidden="false" customHeight="false" outlineLevel="0" collapsed="false">
      <c r="B66311" s="0" t="s">
        <v>7</v>
      </c>
      <c r="C66311" s="0" t="s">
        <v>88</v>
      </c>
      <c r="D66311" s="0" t="s">
        <v>88</v>
      </c>
      <c r="E66311" s="0" t="s">
        <v>88</v>
      </c>
      <c r="F66311" s="0" t="s">
        <v>88</v>
      </c>
    </row>
    <row r="66312" customFormat="false" ht="12.8" hidden="false" customHeight="false" outlineLevel="0" collapsed="false">
      <c r="B66312" s="0" t="s">
        <v>14</v>
      </c>
      <c r="C66312" s="0" t="s">
        <v>625</v>
      </c>
      <c r="D66312" s="0" t="s">
        <v>15166</v>
      </c>
      <c r="E66312" s="0" t="s">
        <v>15166</v>
      </c>
      <c r="F66312" s="0" t="s">
        <v>15166</v>
      </c>
    </row>
    <row r="66314" customFormat="false" ht="12.8" hidden="false" customHeight="false" outlineLevel="0" collapsed="false">
      <c r="A66314" s="0" t="s">
        <v>22630</v>
      </c>
      <c r="B66314" s="0" t="str">
        <f aca="false">HYPERLINK("https://lindat.mff.cuni.cz/services/teitok/pdtc10/index.php?action=vallex&amp;frame=v-w9089f1", "zaručit (v-w9089f1)")</f>
        <v>zaručit (v-w9089f1)</v>
      </c>
    </row>
    <row r="66315" customFormat="false" ht="12.8" hidden="false" customHeight="false" outlineLevel="0" collapsed="false">
      <c r="B66315" s="0" t="s">
        <v>7</v>
      </c>
      <c r="C66315" s="0" t="s">
        <v>22631</v>
      </c>
      <c r="D66315" s="0" t="s">
        <v>428</v>
      </c>
      <c r="E66315" s="0" t="s">
        <v>428</v>
      </c>
      <c r="F66315" s="0" t="s">
        <v>428</v>
      </c>
    </row>
    <row r="66316" customFormat="false" ht="12.8" hidden="false" customHeight="false" outlineLevel="0" collapsed="false">
      <c r="B66316" s="0" t="s">
        <v>6839</v>
      </c>
      <c r="C66316" s="0" t="s">
        <v>22632</v>
      </c>
      <c r="D66316" s="0" t="s">
        <v>1467</v>
      </c>
      <c r="E66316" s="0" t="s">
        <v>1467</v>
      </c>
      <c r="F66316" s="0" t="s">
        <v>1467</v>
      </c>
    </row>
    <row r="66317" customFormat="false" ht="12.8" hidden="false" customHeight="false" outlineLevel="0" collapsed="false">
      <c r="B66317" s="0" t="s">
        <v>1953</v>
      </c>
      <c r="C66317" s="0" t="s">
        <v>22633</v>
      </c>
      <c r="D66317" s="0" t="s">
        <v>3288</v>
      </c>
      <c r="E66317" s="0" t="s">
        <v>3288</v>
      </c>
      <c r="F66317" s="0" t="s">
        <v>3288</v>
      </c>
    </row>
    <row r="66319" customFormat="false" ht="12.8" hidden="false" customHeight="false" outlineLevel="0" collapsed="false">
      <c r="A66319" s="0" t="s">
        <v>22634</v>
      </c>
      <c r="B66319" s="0" t="str">
        <f aca="false">HYPERLINK("https://lindat.mff.cuni.cz/services/teitok/pdtc10/index.php?action=vallex&amp;frame=v-w9090hsa_260", "zaručit se (v-w9090hsa_260)")</f>
        <v>zaručit se (v-w9090hsa_260)</v>
      </c>
    </row>
    <row r="66320" customFormat="false" ht="12.8" hidden="false" customHeight="false" outlineLevel="0" collapsed="false">
      <c r="B66320" s="0" t="s">
        <v>7</v>
      </c>
      <c r="C66320" s="0" t="s">
        <v>4208</v>
      </c>
    </row>
    <row r="66321" customFormat="false" ht="12.8" hidden="false" customHeight="false" outlineLevel="0" collapsed="false">
      <c r="B66321" s="0" t="s">
        <v>22635</v>
      </c>
      <c r="C66321" s="0" t="s">
        <v>342</v>
      </c>
    </row>
    <row r="66322" customFormat="false" ht="12.8" hidden="false" customHeight="false" outlineLevel="0" collapsed="false">
      <c r="B66322" s="0" t="s">
        <v>48</v>
      </c>
      <c r="C66322" s="0" t="s">
        <v>3288</v>
      </c>
    </row>
    <row r="66324" customFormat="false" ht="12.8" hidden="false" customHeight="false" outlineLevel="0" collapsed="false">
      <c r="A66324" s="0" t="s">
        <v>22634</v>
      </c>
      <c r="B66324" s="0" t="str">
        <f aca="false">HYPERLINK("https://lindat.mff.cuni.cz/services/teitok/pdtc10/index.php?action=vallex&amp;frame=v-w9090f1", "zaručit se (v-w9090f1) - substituted with v-w9090hsa_260")</f>
        <v>zaručit se (v-w9090f1) - substituted with v-w9090hsa_260</v>
      </c>
    </row>
    <row r="66325" customFormat="false" ht="12.8" hidden="false" customHeight="false" outlineLevel="0" collapsed="false">
      <c r="B66325" s="0" t="s">
        <v>7</v>
      </c>
      <c r="C66325" s="0" t="s">
        <v>1999</v>
      </c>
    </row>
    <row r="66326" customFormat="false" ht="12.8" hidden="false" customHeight="false" outlineLevel="0" collapsed="false">
      <c r="B66326" s="0" t="s">
        <v>22635</v>
      </c>
      <c r="C66326" s="0" t="s">
        <v>26</v>
      </c>
    </row>
    <row r="66327" customFormat="false" ht="12.8" hidden="false" customHeight="false" outlineLevel="0" collapsed="false">
      <c r="B66327" s="0" t="s">
        <v>48</v>
      </c>
      <c r="C66327" s="0" t="s">
        <v>3288</v>
      </c>
    </row>
    <row r="66329" customFormat="false" ht="12.8" hidden="false" customHeight="false" outlineLevel="0" collapsed="false">
      <c r="A66329" s="0" t="s">
        <v>22634</v>
      </c>
      <c r="B66329" s="0" t="str">
        <f aca="false">HYPERLINK("https://lindat.mff.cuni.cz/services/teitok/pdtc10/index.php?action=vallex&amp;frame=v-w9090f2_ZU", "zaručit se (v-w9090f2_ZU) - substituted with v-w9090hsa_260")</f>
        <v>zaručit se (v-w9090f2_ZU) - substituted with v-w9090hsa_260</v>
      </c>
    </row>
    <row r="66330" customFormat="false" ht="12.8" hidden="false" customHeight="false" outlineLevel="0" collapsed="false">
      <c r="B66330" s="0" t="s">
        <v>7</v>
      </c>
      <c r="C66330" s="0" t="s">
        <v>4208</v>
      </c>
    </row>
    <row r="66331" customFormat="false" ht="12.8" hidden="false" customHeight="false" outlineLevel="0" collapsed="false">
      <c r="B66331" s="0" t="s">
        <v>22635</v>
      </c>
      <c r="C66331" s="0" t="s">
        <v>342</v>
      </c>
    </row>
    <row r="66332" customFormat="false" ht="12.8" hidden="false" customHeight="false" outlineLevel="0" collapsed="false">
      <c r="B66332" s="0" t="s">
        <v>48</v>
      </c>
      <c r="C66332" s="0" t="s">
        <v>3288</v>
      </c>
    </row>
    <row r="66334" customFormat="false" ht="12.8" hidden="false" customHeight="false" outlineLevel="0" collapsed="false">
      <c r="A66334" s="0" t="s">
        <v>22636</v>
      </c>
      <c r="B66334" s="0" t="str">
        <f aca="false">HYPERLINK("https://lindat.mff.cuni.cz/services/teitok/pdtc10/index.php?action=vallex&amp;frame=v-w9091f3_ZU", "zaručovat (v-w9091f3_ZU)")</f>
        <v>zaručovat (v-w9091f3_ZU)</v>
      </c>
    </row>
    <row r="66335" customFormat="false" ht="12.8" hidden="false" customHeight="false" outlineLevel="0" collapsed="false">
      <c r="B66335" s="0" t="s">
        <v>7</v>
      </c>
      <c r="D66335" s="0" t="s">
        <v>428</v>
      </c>
      <c r="E66335" s="0" t="s">
        <v>428</v>
      </c>
      <c r="F66335" s="0" t="s">
        <v>428</v>
      </c>
    </row>
    <row r="66336" customFormat="false" ht="12.8" hidden="false" customHeight="false" outlineLevel="0" collapsed="false">
      <c r="B66336" s="0" t="s">
        <v>2313</v>
      </c>
      <c r="D66336" s="0" t="s">
        <v>1467</v>
      </c>
      <c r="E66336" s="0" t="s">
        <v>1467</v>
      </c>
      <c r="F66336" s="0" t="s">
        <v>1467</v>
      </c>
    </row>
    <row r="66337" customFormat="false" ht="12.8" hidden="false" customHeight="false" outlineLevel="0" collapsed="false">
      <c r="B66337" s="0" t="s">
        <v>1953</v>
      </c>
      <c r="D66337" s="0" t="s">
        <v>3288</v>
      </c>
      <c r="E66337" s="0" t="s">
        <v>3288</v>
      </c>
      <c r="F66337" s="0" t="s">
        <v>3288</v>
      </c>
    </row>
    <row r="66339" customFormat="false" ht="12.8" hidden="false" customHeight="false" outlineLevel="0" collapsed="false">
      <c r="A66339" s="0" t="s">
        <v>22636</v>
      </c>
      <c r="B66339" s="0" t="str">
        <f aca="false">HYPERLINK("https://lindat.mff.cuni.cz/services/teitok/pdtc10/index.php?action=vallex&amp;frame=v-w9091f1", "zaručovat (v-w9091f1) - substituted with v-w9091f3_ZU")</f>
        <v>zaručovat (v-w9091f1) - substituted with v-w9091f3_ZU</v>
      </c>
    </row>
    <row r="66340" customFormat="false" ht="12.8" hidden="false" customHeight="false" outlineLevel="0" collapsed="false">
      <c r="B66340" s="0" t="s">
        <v>7</v>
      </c>
      <c r="C66340" s="0" t="s">
        <v>21278</v>
      </c>
    </row>
    <row r="66341" customFormat="false" ht="12.8" hidden="false" customHeight="false" outlineLevel="0" collapsed="false">
      <c r="B66341" s="0" t="s">
        <v>2313</v>
      </c>
      <c r="C66341" s="0" t="s">
        <v>22637</v>
      </c>
    </row>
    <row r="66342" customFormat="false" ht="12.8" hidden="false" customHeight="false" outlineLevel="0" collapsed="false">
      <c r="B66342" s="0" t="s">
        <v>1953</v>
      </c>
      <c r="C66342" s="0" t="s">
        <v>22638</v>
      </c>
    </row>
    <row r="66344" customFormat="false" ht="12.8" hidden="false" customHeight="false" outlineLevel="0" collapsed="false">
      <c r="A66344" s="0" t="s">
        <v>22636</v>
      </c>
      <c r="B66344" s="0" t="str">
        <f aca="false">HYPERLINK("https://lindat.mff.cuni.cz/services/teitok/pdtc10/index.php?action=vallex&amp;frame=v-w9091f2_ZU", "zaručovat (v-w9091f2_ZU) - substituted with v-w9091f3_ZU")</f>
        <v>zaručovat (v-w9091f2_ZU) - substituted with v-w9091f3_ZU</v>
      </c>
    </row>
    <row r="66345" customFormat="false" ht="12.8" hidden="false" customHeight="false" outlineLevel="0" collapsed="false">
      <c r="B66345" s="0" t="s">
        <v>7</v>
      </c>
    </row>
    <row r="66346" customFormat="false" ht="12.8" hidden="false" customHeight="false" outlineLevel="0" collapsed="false">
      <c r="B66346" s="0" t="s">
        <v>2313</v>
      </c>
    </row>
    <row r="66347" customFormat="false" ht="12.8" hidden="false" customHeight="false" outlineLevel="0" collapsed="false">
      <c r="B66347" s="0" t="s">
        <v>1953</v>
      </c>
    </row>
    <row r="66349" customFormat="false" ht="12.8" hidden="false" customHeight="false" outlineLevel="0" collapsed="false">
      <c r="A66349" s="0" t="s">
        <v>22639</v>
      </c>
      <c r="B66349" s="0" t="str">
        <f aca="false">HYPERLINK("https://lindat.mff.cuni.cz/services/teitok/pdtc10/index.php?action=vallex&amp;frame=v-w11436f1", "zarybařit si (v-w11436f1)")</f>
        <v>zarybařit si (v-w11436f1)</v>
      </c>
    </row>
    <row r="66350" customFormat="false" ht="12.8" hidden="false" customHeight="false" outlineLevel="0" collapsed="false">
      <c r="B66350" s="0" t="s">
        <v>7</v>
      </c>
    </row>
    <row r="66352" customFormat="false" ht="12.8" hidden="false" customHeight="false" outlineLevel="0" collapsed="false">
      <c r="A66352" s="0" t="s">
        <v>22640</v>
      </c>
      <c r="B66352" s="0" t="str">
        <f aca="false">HYPERLINK("https://lindat.mff.cuni.cz/services/teitok/pdtc10/index.php?action=vallex&amp;frame=v-whsa_292hsa_293", "zarychtovat (v-whsa_292hsa_293)")</f>
        <v>zarychtovat (v-whsa_292hsa_293)</v>
      </c>
    </row>
    <row r="66353" customFormat="false" ht="12.8" hidden="false" customHeight="false" outlineLevel="0" collapsed="false">
      <c r="B66353" s="0" t="s">
        <v>7</v>
      </c>
    </row>
    <row r="66354" customFormat="false" ht="12.8" hidden="false" customHeight="false" outlineLevel="0" collapsed="false">
      <c r="B66354" s="0" t="s">
        <v>14</v>
      </c>
    </row>
    <row r="66356" customFormat="false" ht="12.8" hidden="false" customHeight="false" outlineLevel="0" collapsed="false">
      <c r="A66356" s="0" t="s">
        <v>22641</v>
      </c>
      <c r="B66356" s="0" t="str">
        <f aca="false">HYPERLINK("https://lindat.mff.cuni.cz/services/teitok/pdtc10/index.php?action=vallex&amp;frame=v-w9080f1", "zarámovat (v-w9080f1)")</f>
        <v>zarámovat (v-w9080f1)</v>
      </c>
    </row>
    <row r="66357" customFormat="false" ht="12.8" hidden="false" customHeight="false" outlineLevel="0" collapsed="false">
      <c r="B66357" s="0" t="s">
        <v>7</v>
      </c>
    </row>
    <row r="66358" customFormat="false" ht="12.8" hidden="false" customHeight="false" outlineLevel="0" collapsed="false">
      <c r="B66358" s="0" t="s">
        <v>14</v>
      </c>
    </row>
    <row r="66360" customFormat="false" ht="12.8" hidden="false" customHeight="false" outlineLevel="0" collapsed="false">
      <c r="A66360" s="0" t="s">
        <v>22642</v>
      </c>
      <c r="B66360" s="0" t="str">
        <f aca="false">HYPERLINK("https://lindat.mff.cuni.cz/services/teitok/pdtc10/index.php?action=vallex&amp;frame=v-w9080f2", "zarámovat (v-w9080f2)")</f>
        <v>zarámovat (v-w9080f2)</v>
      </c>
    </row>
    <row r="66361" customFormat="false" ht="12.8" hidden="false" customHeight="false" outlineLevel="0" collapsed="false">
      <c r="B66361" s="0" t="s">
        <v>7</v>
      </c>
    </row>
    <row r="66362" customFormat="false" ht="12.8" hidden="false" customHeight="false" outlineLevel="0" collapsed="false">
      <c r="B66362" s="0" t="s">
        <v>14</v>
      </c>
    </row>
    <row r="66364" customFormat="false" ht="12.8" hidden="false" customHeight="false" outlineLevel="0" collapsed="false">
      <c r="A66364" s="0" t="s">
        <v>22643</v>
      </c>
      <c r="B66364" s="0" t="str">
        <f aca="false">HYPERLINK("https://lindat.mff.cuni.cz/services/teitok/pdtc10/index.php?action=vallex&amp;frame=v-w9082f3", "zarážet (v-w9082f3)")</f>
        <v>zarážet (v-w9082f3)</v>
      </c>
    </row>
    <row r="66365" customFormat="false" ht="12.8" hidden="false" customHeight="false" outlineLevel="0" collapsed="false">
      <c r="B66365" s="0" t="s">
        <v>7</v>
      </c>
    </row>
    <row r="66366" customFormat="false" ht="12.8" hidden="false" customHeight="false" outlineLevel="0" collapsed="false">
      <c r="B66366" s="0" t="s">
        <v>14</v>
      </c>
    </row>
    <row r="66367" customFormat="false" ht="12.8" hidden="false" customHeight="false" outlineLevel="0" collapsed="false">
      <c r="B66367" s="0" t="s">
        <v>11</v>
      </c>
    </row>
    <row r="66369" customFormat="false" ht="12.8" hidden="false" customHeight="false" outlineLevel="0" collapsed="false">
      <c r="A66369" s="0" t="s">
        <v>22644</v>
      </c>
      <c r="B66369" s="0" t="str">
        <f aca="false">HYPERLINK("https://lindat.mff.cuni.cz/services/teitok/pdtc10/index.php?action=vallex&amp;frame=v-w9082f2", "zarážet (v-w9082f2)")</f>
        <v>zarážet (v-w9082f2)</v>
      </c>
    </row>
    <row r="66370" customFormat="false" ht="12.8" hidden="false" customHeight="false" outlineLevel="0" collapsed="false">
      <c r="B66370" s="0" t="s">
        <v>7</v>
      </c>
      <c r="D66370" s="0" t="s">
        <v>2235</v>
      </c>
      <c r="E66370" s="0" t="s">
        <v>2235</v>
      </c>
      <c r="F66370" s="0" t="s">
        <v>2235</v>
      </c>
    </row>
    <row r="66371" customFormat="false" ht="12.8" hidden="false" customHeight="false" outlineLevel="0" collapsed="false">
      <c r="B66371" s="0" t="s">
        <v>14</v>
      </c>
      <c r="D66371" s="0" t="s">
        <v>2237</v>
      </c>
      <c r="E66371" s="0" t="s">
        <v>2237</v>
      </c>
      <c r="F66371" s="0" t="s">
        <v>2237</v>
      </c>
    </row>
    <row r="66372" customFormat="false" ht="12.8" hidden="false" customHeight="false" outlineLevel="0" collapsed="false">
      <c r="B66372" s="0" t="s">
        <v>124</v>
      </c>
      <c r="D66372" s="0" t="s">
        <v>2238</v>
      </c>
      <c r="E66372" s="0" t="s">
        <v>2238</v>
      </c>
      <c r="F66372" s="0" t="s">
        <v>2238</v>
      </c>
    </row>
    <row r="66374" customFormat="false" ht="12.8" hidden="false" customHeight="false" outlineLevel="0" collapsed="false">
      <c r="A66374" s="0" t="s">
        <v>22645</v>
      </c>
      <c r="B66374" s="0" t="str">
        <f aca="false">HYPERLINK("https://lindat.mff.cuni.cz/services/teitok/pdtc10/index.php?action=vallex&amp;frame=v-w9082f1", "zarážet (v-w9082f1)")</f>
        <v>zarážet (v-w9082f1)</v>
      </c>
    </row>
    <row r="66375" customFormat="false" ht="12.8" hidden="false" customHeight="false" outlineLevel="0" collapsed="false">
      <c r="B66375" s="0" t="s">
        <v>8792</v>
      </c>
      <c r="D66375" s="0" t="s">
        <v>4795</v>
      </c>
      <c r="E66375" s="0" t="s">
        <v>4795</v>
      </c>
      <c r="F66375" s="0" t="s">
        <v>4795</v>
      </c>
    </row>
    <row r="66376" customFormat="false" ht="12.8" hidden="false" customHeight="false" outlineLevel="0" collapsed="false">
      <c r="B66376" s="0" t="s">
        <v>14</v>
      </c>
      <c r="D66376" s="0" t="s">
        <v>4796</v>
      </c>
      <c r="E66376" s="0" t="s">
        <v>4796</v>
      </c>
      <c r="F66376" s="0" t="s">
        <v>4796</v>
      </c>
    </row>
    <row r="66378" customFormat="false" ht="12.8" hidden="false" customHeight="false" outlineLevel="0" collapsed="false">
      <c r="A66378" s="0" t="s">
        <v>22646</v>
      </c>
      <c r="B66378" s="0" t="str">
        <f aca="false">HYPERLINK("https://lindat.mff.cuni.cz/services/teitok/pdtc10/index.php?action=vallex&amp;frame=v-w11957_ZUf1_ZU", "zarýt se (v-w11957_ZUf1_ZU)")</f>
        <v>zarýt se (v-w11957_ZUf1_ZU)</v>
      </c>
    </row>
    <row r="66379" customFormat="false" ht="12.8" hidden="false" customHeight="false" outlineLevel="0" collapsed="false">
      <c r="B66379" s="0" t="s">
        <v>7</v>
      </c>
    </row>
    <row r="66380" customFormat="false" ht="12.8" hidden="false" customHeight="false" outlineLevel="0" collapsed="false">
      <c r="B66380" s="0" t="s">
        <v>338</v>
      </c>
    </row>
    <row r="66382" customFormat="false" ht="12.8" hidden="false" customHeight="false" outlineLevel="0" collapsed="false">
      <c r="A66382" s="0" t="s">
        <v>22647</v>
      </c>
      <c r="B66382" s="0" t="str">
        <f aca="false">HYPERLINK("https://lindat.mff.cuni.cz/services/teitok/pdtc10/index.php?action=vallex&amp;frame=v-w9096f1", "zarývat se (v-w9096f1)")</f>
        <v>zarývat se (v-w9096f1)</v>
      </c>
    </row>
    <row r="66383" customFormat="false" ht="12.8" hidden="false" customHeight="false" outlineLevel="0" collapsed="false">
      <c r="B66383" s="0" t="s">
        <v>7</v>
      </c>
    </row>
    <row r="66384" customFormat="false" ht="12.8" hidden="false" customHeight="false" outlineLevel="0" collapsed="false">
      <c r="B66384" s="0" t="s">
        <v>124</v>
      </c>
    </row>
    <row r="66386" customFormat="false" ht="12.8" hidden="false" customHeight="false" outlineLevel="0" collapsed="false">
      <c r="A66386" s="0" t="s">
        <v>22648</v>
      </c>
      <c r="B66386" s="0" t="str">
        <f aca="false">HYPERLINK("https://lindat.mff.cuni.cz/services/teitok/pdtc10/index.php?action=vallex&amp;frame=v-w12081_ZUf1_ZU", "zarýžovat si (v-w12081_ZUf1_ZU)")</f>
        <v>zarýžovat si (v-w12081_ZUf1_ZU)</v>
      </c>
    </row>
    <row r="66387" customFormat="false" ht="12.8" hidden="false" customHeight="false" outlineLevel="0" collapsed="false">
      <c r="B66387" s="0" t="s">
        <v>7</v>
      </c>
    </row>
    <row r="66389" customFormat="false" ht="12.8" hidden="false" customHeight="false" outlineLevel="0" collapsed="false">
      <c r="A66389" s="0" t="s">
        <v>22649</v>
      </c>
      <c r="B66389" s="0" t="str">
        <f aca="false">HYPERLINK("https://lindat.mff.cuni.cz/services/teitok/pdtc10/index.php?action=vallex&amp;frame=v-whsb_1305hsa_1306", "zarůst (v-whsb_1305hsa_1306)")</f>
        <v>zarůst (v-whsb_1305hsa_1306)</v>
      </c>
    </row>
    <row r="66390" customFormat="false" ht="12.8" hidden="false" customHeight="false" outlineLevel="0" collapsed="false">
      <c r="B66390" s="0" t="s">
        <v>7</v>
      </c>
    </row>
    <row r="66392" customFormat="false" ht="12.8" hidden="false" customHeight="false" outlineLevel="0" collapsed="false">
      <c r="A66392" s="0" t="s">
        <v>22650</v>
      </c>
      <c r="B66392" s="0" t="str">
        <f aca="false">HYPERLINK("https://lindat.mff.cuni.cz/services/teitok/pdtc10/index.php?action=vallex&amp;frame=v-w9095f1", "zarůstat (v-w9095f1)")</f>
        <v>zarůstat (v-w9095f1)</v>
      </c>
    </row>
    <row r="66393" customFormat="false" ht="12.8" hidden="false" customHeight="false" outlineLevel="0" collapsed="false">
      <c r="B66393" s="0" t="s">
        <v>7</v>
      </c>
    </row>
    <row r="66395" customFormat="false" ht="12.8" hidden="false" customHeight="false" outlineLevel="0" collapsed="false">
      <c r="A66395" s="0" t="s">
        <v>22651</v>
      </c>
      <c r="B66395" s="0" t="str">
        <f aca="false">HYPERLINK("https://lindat.mff.cuni.cz/services/teitok/pdtc10/index.php?action=vallex&amp;frame=v-w9095f2", "zarůstat (v-w9095f2)")</f>
        <v>zarůstat (v-w9095f2)</v>
      </c>
    </row>
    <row r="66396" customFormat="false" ht="12.8" hidden="false" customHeight="false" outlineLevel="0" collapsed="false">
      <c r="B66396" s="0" t="s">
        <v>7</v>
      </c>
    </row>
    <row r="66398" customFormat="false" ht="12.8" hidden="false" customHeight="false" outlineLevel="0" collapsed="false">
      <c r="A66398" s="0" t="s">
        <v>22652</v>
      </c>
      <c r="B66398" s="0" t="str">
        <f aca="false">HYPERLINK("https://lindat.mff.cuni.cz/services/teitok/pdtc10/index.php?action=vallex&amp;frame=v-w9113f2", "zasadit (v-w9113f2)")</f>
        <v>zasadit (v-w9113f2)</v>
      </c>
    </row>
    <row r="66399" customFormat="false" ht="12.8" hidden="false" customHeight="false" outlineLevel="0" collapsed="false">
      <c r="B66399" s="0" t="s">
        <v>7</v>
      </c>
      <c r="C66399" s="0" t="s">
        <v>22653</v>
      </c>
    </row>
    <row r="66400" customFormat="false" ht="12.8" hidden="false" customHeight="false" outlineLevel="0" collapsed="false">
      <c r="B66400" s="0" t="s">
        <v>14</v>
      </c>
      <c r="C66400" s="0" t="s">
        <v>155</v>
      </c>
    </row>
    <row r="66401" customFormat="false" ht="12.8" hidden="false" customHeight="false" outlineLevel="0" collapsed="false">
      <c r="B66401" s="0" t="s">
        <v>48</v>
      </c>
      <c r="C66401" s="0" t="s">
        <v>22654</v>
      </c>
    </row>
    <row r="66403" customFormat="false" ht="12.8" hidden="false" customHeight="false" outlineLevel="0" collapsed="false">
      <c r="A66403" s="0" t="s">
        <v>22655</v>
      </c>
      <c r="B66403" s="0" t="str">
        <f aca="false">HYPERLINK("https://lindat.mff.cuni.cz/services/teitok/pdtc10/index.php?action=vallex&amp;frame=v-w9113f1", "zasadit (v-w9113f1)")</f>
        <v>zasadit (v-w9113f1)</v>
      </c>
    </row>
    <row r="66404" customFormat="false" ht="12.8" hidden="false" customHeight="false" outlineLevel="0" collapsed="false">
      <c r="B66404" s="0" t="s">
        <v>7</v>
      </c>
      <c r="C66404" s="0" t="s">
        <v>1154</v>
      </c>
    </row>
    <row r="66405" customFormat="false" ht="12.8" hidden="false" customHeight="false" outlineLevel="0" collapsed="false">
      <c r="B66405" s="0" t="s">
        <v>14</v>
      </c>
      <c r="C66405" s="0" t="s">
        <v>1313</v>
      </c>
    </row>
    <row r="66406" customFormat="false" ht="12.8" hidden="false" customHeight="false" outlineLevel="0" collapsed="false">
      <c r="B66406" s="0" t="s">
        <v>124</v>
      </c>
      <c r="C66406" s="0" t="s">
        <v>1337</v>
      </c>
    </row>
    <row r="66408" customFormat="false" ht="12.8" hidden="false" customHeight="false" outlineLevel="0" collapsed="false">
      <c r="A66408" s="0" t="s">
        <v>22656</v>
      </c>
      <c r="B66408" s="0" t="str">
        <f aca="false">HYPERLINK("https://lindat.mff.cuni.cz/services/teitok/pdtc10/index.php?action=vallex&amp;frame=v-w9113f4", "zasadit (v-w9113f4)")</f>
        <v>zasadit (v-w9113f4)</v>
      </c>
    </row>
    <row r="66409" customFormat="false" ht="12.8" hidden="false" customHeight="false" outlineLevel="0" collapsed="false">
      <c r="B66409" s="0" t="s">
        <v>7</v>
      </c>
    </row>
    <row r="66410" customFormat="false" ht="12.8" hidden="false" customHeight="false" outlineLevel="0" collapsed="false">
      <c r="B66410" s="0" t="s">
        <v>11</v>
      </c>
    </row>
    <row r="66412" customFormat="false" ht="12.8" hidden="false" customHeight="false" outlineLevel="0" collapsed="false">
      <c r="A66412" s="0" t="s">
        <v>22657</v>
      </c>
      <c r="B66412" s="0" t="str">
        <f aca="false">HYPERLINK("https://lindat.mff.cuni.cz/services/teitok/pdtc10/index.php?action=vallex&amp;frame=v-w9113f5_ZU", "zasadit (v-w9113f5_ZU)")</f>
        <v>zasadit (v-w9113f5_ZU)</v>
      </c>
    </row>
    <row r="66413" customFormat="false" ht="12.8" hidden="false" customHeight="false" outlineLevel="0" collapsed="false">
      <c r="B66413" s="0" t="s">
        <v>7</v>
      </c>
      <c r="C66413" s="0" t="s">
        <v>91</v>
      </c>
      <c r="D66413" s="0" t="s">
        <v>2235</v>
      </c>
      <c r="E66413" s="0" t="s">
        <v>2235</v>
      </c>
      <c r="F66413" s="0" t="s">
        <v>2235</v>
      </c>
    </row>
    <row r="66414" customFormat="false" ht="12.8" hidden="false" customHeight="false" outlineLevel="0" collapsed="false">
      <c r="B66414" s="0" t="s">
        <v>14</v>
      </c>
      <c r="C66414" s="0" t="s">
        <v>79</v>
      </c>
      <c r="D66414" s="0" t="s">
        <v>2237</v>
      </c>
      <c r="E66414" s="0" t="s">
        <v>2237</v>
      </c>
      <c r="F66414" s="0" t="s">
        <v>2237</v>
      </c>
    </row>
    <row r="66415" customFormat="false" ht="12.8" hidden="false" customHeight="false" outlineLevel="0" collapsed="false">
      <c r="B66415" s="0" t="s">
        <v>124</v>
      </c>
      <c r="D66415" s="0" t="s">
        <v>2238</v>
      </c>
      <c r="E66415" s="0" t="s">
        <v>2238</v>
      </c>
      <c r="F66415" s="0" t="s">
        <v>2238</v>
      </c>
    </row>
    <row r="66417" customFormat="false" ht="12.8" hidden="false" customHeight="false" outlineLevel="0" collapsed="false">
      <c r="A66417" s="0" t="s">
        <v>22657</v>
      </c>
      <c r="B66417" s="0" t="str">
        <f aca="false">HYPERLINK("https://lindat.mff.cuni.cz/services/teitok/pdtc10/index.php?action=vallex&amp;frame=v-w9113hsa_428", "zasadit (v-w9113hsa_428) - substituted with v-w9113f5_ZU")</f>
        <v>zasadit (v-w9113hsa_428) - substituted with v-w9113f5_ZU</v>
      </c>
    </row>
    <row r="66418" customFormat="false" ht="12.8" hidden="false" customHeight="false" outlineLevel="0" collapsed="false">
      <c r="B66418" s="0" t="s">
        <v>7</v>
      </c>
    </row>
    <row r="66419" customFormat="false" ht="12.8" hidden="false" customHeight="false" outlineLevel="0" collapsed="false">
      <c r="B66419" s="0" t="s">
        <v>14</v>
      </c>
    </row>
    <row r="66420" customFormat="false" ht="12.8" hidden="false" customHeight="false" outlineLevel="0" collapsed="false">
      <c r="B66420" s="0" t="s">
        <v>124</v>
      </c>
    </row>
    <row r="66422" customFormat="false" ht="12.8" hidden="false" customHeight="false" outlineLevel="0" collapsed="false">
      <c r="A66422" s="0" t="s">
        <v>22658</v>
      </c>
      <c r="B66422" s="0" t="str">
        <f aca="false">HYPERLINK("https://lindat.mff.cuni.cz/services/teitok/pdtc10/index.php?action=vallex&amp;frame=v-w9113f6_ZU", "zasadit (v-w9113f6_ZU)")</f>
        <v>zasadit (v-w9113f6_ZU)</v>
      </c>
    </row>
    <row r="66423" customFormat="false" ht="12.8" hidden="false" customHeight="false" outlineLevel="0" collapsed="false">
      <c r="B66423" s="0" t="s">
        <v>7</v>
      </c>
    </row>
    <row r="66424" customFormat="false" ht="12.8" hidden="false" customHeight="false" outlineLevel="0" collapsed="false">
      <c r="B66424" s="0" t="s">
        <v>14</v>
      </c>
    </row>
    <row r="66425" customFormat="false" ht="12.8" hidden="false" customHeight="false" outlineLevel="0" collapsed="false">
      <c r="B66425" s="0" t="s">
        <v>279</v>
      </c>
    </row>
    <row r="66427" customFormat="false" ht="12.8" hidden="false" customHeight="false" outlineLevel="0" collapsed="false">
      <c r="A66427" s="0" t="s">
        <v>22659</v>
      </c>
      <c r="B66427" s="0" t="str">
        <f aca="false">HYPERLINK("https://lindat.mff.cuni.cz/services/teitok/pdtc10/index.php?action=vallex&amp;frame=v-w9114f1", "zasadit se (v-w9114f1)")</f>
        <v>zasadit se (v-w9114f1)</v>
      </c>
    </row>
    <row r="66428" customFormat="false" ht="12.8" hidden="false" customHeight="false" outlineLevel="0" collapsed="false">
      <c r="B66428" s="0" t="s">
        <v>7</v>
      </c>
      <c r="D66428" s="0" t="s">
        <v>6781</v>
      </c>
      <c r="E66428" s="0" t="s">
        <v>6781</v>
      </c>
      <c r="F66428" s="0" t="s">
        <v>6781</v>
      </c>
    </row>
    <row r="66429" customFormat="false" ht="12.8" hidden="false" customHeight="false" outlineLevel="0" collapsed="false">
      <c r="B66429" s="0" t="s">
        <v>22660</v>
      </c>
      <c r="D66429" s="0" t="s">
        <v>6783</v>
      </c>
      <c r="E66429" s="0" t="s">
        <v>6783</v>
      </c>
      <c r="F66429" s="0" t="s">
        <v>6783</v>
      </c>
    </row>
    <row r="66431" customFormat="false" ht="12.8" hidden="false" customHeight="false" outlineLevel="0" collapsed="false">
      <c r="A66431" s="0" t="s">
        <v>22661</v>
      </c>
      <c r="B66431" s="0" t="str">
        <f aca="false">HYPERLINK("https://lindat.mff.cuni.cz/services/teitok/pdtc10/index.php?action=vallex&amp;frame=v-w9118f4", "zasahovat (v-w9118f4)")</f>
        <v>zasahovat (v-w9118f4)</v>
      </c>
    </row>
    <row r="66432" customFormat="false" ht="12.8" hidden="false" customHeight="false" outlineLevel="0" collapsed="false">
      <c r="B66432" s="0" t="s">
        <v>7</v>
      </c>
      <c r="C66432" s="0" t="s">
        <v>22662</v>
      </c>
      <c r="D66432" s="0" t="s">
        <v>2062</v>
      </c>
      <c r="E66432" s="0" t="s">
        <v>2062</v>
      </c>
      <c r="F66432" s="0" t="s">
        <v>22663</v>
      </c>
    </row>
    <row r="66433" customFormat="false" ht="12.8" hidden="false" customHeight="false" outlineLevel="0" collapsed="false">
      <c r="B66433" s="0" t="s">
        <v>14</v>
      </c>
      <c r="C66433" s="0" t="s">
        <v>6840</v>
      </c>
      <c r="D66433" s="0" t="s">
        <v>2065</v>
      </c>
      <c r="E66433" s="0" t="s">
        <v>2065</v>
      </c>
      <c r="F66433" s="0" t="s">
        <v>22664</v>
      </c>
    </row>
    <row r="66435" customFormat="false" ht="12.8" hidden="false" customHeight="false" outlineLevel="0" collapsed="false">
      <c r="A66435" s="0" t="s">
        <v>22665</v>
      </c>
      <c r="B66435" s="0" t="str">
        <f aca="false">HYPERLINK("https://lindat.mff.cuni.cz/services/teitok/pdtc10/index.php?action=vallex&amp;frame=v-w9118f1", "zasahovat (v-w9118f1)")</f>
        <v>zasahovat (v-w9118f1)</v>
      </c>
    </row>
    <row r="66436" customFormat="false" ht="12.8" hidden="false" customHeight="false" outlineLevel="0" collapsed="false">
      <c r="B66436" s="0" t="s">
        <v>7</v>
      </c>
      <c r="C66436" s="0" t="s">
        <v>2170</v>
      </c>
      <c r="D66436" s="0" t="s">
        <v>5834</v>
      </c>
      <c r="E66436" s="0" t="s">
        <v>5834</v>
      </c>
      <c r="F66436" s="0" t="s">
        <v>5834</v>
      </c>
    </row>
    <row r="66437" customFormat="false" ht="12.8" hidden="false" customHeight="false" outlineLevel="0" collapsed="false">
      <c r="B66437" s="0" t="s">
        <v>985</v>
      </c>
      <c r="C66437" s="0" t="s">
        <v>173</v>
      </c>
      <c r="D66437" s="0" t="s">
        <v>5837</v>
      </c>
      <c r="E66437" s="0" t="s">
        <v>5837</v>
      </c>
      <c r="F66437" s="0" t="s">
        <v>5837</v>
      </c>
    </row>
    <row r="66439" customFormat="false" ht="12.8" hidden="false" customHeight="false" outlineLevel="0" collapsed="false">
      <c r="A66439" s="0" t="s">
        <v>22666</v>
      </c>
      <c r="B66439" s="0" t="str">
        <f aca="false">HYPERLINK("https://lindat.mff.cuni.cz/services/teitok/pdtc10/index.php?action=vallex&amp;frame=v-w9118f2", "zasahovat (v-w9118f2)")</f>
        <v>zasahovat (v-w9118f2)</v>
      </c>
    </row>
    <row r="66440" customFormat="false" ht="12.8" hidden="false" customHeight="false" outlineLevel="0" collapsed="false">
      <c r="B66440" s="0" t="s">
        <v>7</v>
      </c>
      <c r="D66440" s="0" t="s">
        <v>22195</v>
      </c>
      <c r="E66440" s="0" t="s">
        <v>22195</v>
      </c>
      <c r="F66440" s="0" t="s">
        <v>22195</v>
      </c>
    </row>
    <row r="66441" customFormat="false" ht="12.8" hidden="false" customHeight="false" outlineLevel="0" collapsed="false">
      <c r="B66441" s="0" t="s">
        <v>22667</v>
      </c>
      <c r="D66441" s="0" t="s">
        <v>2641</v>
      </c>
      <c r="E66441" s="0" t="s">
        <v>2641</v>
      </c>
      <c r="F66441" s="0" t="s">
        <v>2641</v>
      </c>
    </row>
    <row r="66443" customFormat="false" ht="12.8" hidden="false" customHeight="false" outlineLevel="0" collapsed="false">
      <c r="A66443" s="0" t="s">
        <v>22668</v>
      </c>
      <c r="B66443" s="0" t="str">
        <f aca="false">HYPERLINK("https://lindat.mff.cuni.cz/services/teitok/pdtc10/index.php?action=vallex&amp;frame=v-w9118f3", "zasahovat (v-w9118f3)")</f>
        <v>zasahovat (v-w9118f3)</v>
      </c>
    </row>
    <row r="66444" customFormat="false" ht="12.8" hidden="false" customHeight="false" outlineLevel="0" collapsed="false">
      <c r="B66444" s="0" t="s">
        <v>7</v>
      </c>
      <c r="C66444" s="0" t="s">
        <v>22669</v>
      </c>
      <c r="D66444" s="0" t="s">
        <v>22195</v>
      </c>
      <c r="E66444" s="0" t="s">
        <v>22195</v>
      </c>
      <c r="F66444" s="0" t="s">
        <v>22195</v>
      </c>
    </row>
    <row r="66445" customFormat="false" ht="12.8" hidden="false" customHeight="false" outlineLevel="0" collapsed="false">
      <c r="B66445" s="0" t="s">
        <v>22196</v>
      </c>
      <c r="C66445" s="0" t="s">
        <v>493</v>
      </c>
      <c r="D66445" s="0" t="s">
        <v>2641</v>
      </c>
      <c r="E66445" s="0" t="s">
        <v>2641</v>
      </c>
      <c r="F66445" s="0" t="s">
        <v>2641</v>
      </c>
    </row>
    <row r="66447" customFormat="false" ht="12.8" hidden="false" customHeight="false" outlineLevel="0" collapsed="false">
      <c r="A66447" s="0" t="s">
        <v>22670</v>
      </c>
      <c r="B66447" s="0" t="str">
        <f aca="false">HYPERLINK("https://lindat.mff.cuni.cz/services/teitok/pdtc10/index.php?action=vallex&amp;frame=v-w9118f5", "zasahovat (v-w9118f5)")</f>
        <v>zasahovat (v-w9118f5)</v>
      </c>
    </row>
    <row r="66448" customFormat="false" ht="12.8" hidden="false" customHeight="false" outlineLevel="0" collapsed="false">
      <c r="B66448" s="0" t="s">
        <v>7</v>
      </c>
    </row>
    <row r="66449" customFormat="false" ht="12.8" hidden="false" customHeight="false" outlineLevel="0" collapsed="false">
      <c r="B66449" s="0" t="s">
        <v>124</v>
      </c>
    </row>
    <row r="66451" customFormat="false" ht="12.8" hidden="false" customHeight="false" outlineLevel="0" collapsed="false">
      <c r="A66451" s="0" t="s">
        <v>22671</v>
      </c>
      <c r="B66451" s="0" t="str">
        <f aca="false">HYPERLINK("https://lindat.mff.cuni.cz/services/teitok/pdtc10/index.php?action=vallex&amp;frame=v-w10522f2", "zasalutovat (v-w10522f2)")</f>
        <v>zasalutovat (v-w10522f2)</v>
      </c>
    </row>
    <row r="66452" customFormat="false" ht="12.8" hidden="false" customHeight="false" outlineLevel="0" collapsed="false">
      <c r="B66452" s="0" t="s">
        <v>7</v>
      </c>
      <c r="C66452" s="0" t="s">
        <v>191</v>
      </c>
      <c r="D66452" s="0" t="s">
        <v>2736</v>
      </c>
      <c r="E66452" s="0" t="s">
        <v>31</v>
      </c>
      <c r="F66452" s="0" t="s">
        <v>31</v>
      </c>
    </row>
    <row r="66453" customFormat="false" ht="12.8" hidden="false" customHeight="false" outlineLevel="0" collapsed="false">
      <c r="B66453" s="0" t="s">
        <v>119</v>
      </c>
      <c r="C66453" s="0" t="s">
        <v>155</v>
      </c>
      <c r="D66453" s="0" t="s">
        <v>274</v>
      </c>
      <c r="E66453" s="0" t="s">
        <v>274</v>
      </c>
      <c r="F66453" s="0" t="s">
        <v>274</v>
      </c>
    </row>
    <row r="66455" customFormat="false" ht="12.8" hidden="false" customHeight="false" outlineLevel="0" collapsed="false">
      <c r="A66455" s="0" t="s">
        <v>22672</v>
      </c>
      <c r="B66455" s="0" t="str">
        <f aca="false">HYPERLINK("https://lindat.mff.cuni.cz/services/teitok/pdtc10/index.php?action=vallex&amp;frame=v-whsa_781hsa_782", "zasazovat (v-whsa_781hsa_782)")</f>
        <v>zasazovat (v-whsa_781hsa_782)</v>
      </c>
    </row>
    <row r="66456" customFormat="false" ht="12.8" hidden="false" customHeight="false" outlineLevel="0" collapsed="false">
      <c r="B66456" s="0" t="s">
        <v>7</v>
      </c>
      <c r="C66456" s="0" t="s">
        <v>3243</v>
      </c>
      <c r="D66456" s="0" t="s">
        <v>2323</v>
      </c>
      <c r="E66456" s="0" t="s">
        <v>2323</v>
      </c>
      <c r="F66456" s="0" t="s">
        <v>2323</v>
      </c>
    </row>
    <row r="66457" customFormat="false" ht="12.8" hidden="false" customHeight="false" outlineLevel="0" collapsed="false">
      <c r="B66457" s="0" t="s">
        <v>14</v>
      </c>
      <c r="C66457" s="0" t="s">
        <v>3244</v>
      </c>
      <c r="D66457" s="0" t="s">
        <v>1918</v>
      </c>
      <c r="E66457" s="0" t="s">
        <v>1918</v>
      </c>
      <c r="F66457" s="0" t="s">
        <v>1918</v>
      </c>
    </row>
    <row r="66458" customFormat="false" ht="12.8" hidden="false" customHeight="false" outlineLevel="0" collapsed="false">
      <c r="B66458" s="0" t="s">
        <v>124</v>
      </c>
      <c r="D66458" s="0" t="s">
        <v>2325</v>
      </c>
      <c r="E66458" s="0" t="s">
        <v>2325</v>
      </c>
      <c r="F66458" s="0" t="s">
        <v>2325</v>
      </c>
    </row>
    <row r="66460" customFormat="false" ht="12.8" hidden="false" customHeight="false" outlineLevel="0" collapsed="false">
      <c r="A66460" s="0" t="s">
        <v>22673</v>
      </c>
      <c r="B66460" s="0" t="str">
        <f aca="false">HYPERLINK("https://lindat.mff.cuni.cz/services/teitok/pdtc10/index.php?action=vallex&amp;frame=v-whsa_781f2_ZU", "zasazovat (v-whsa_781f2_ZU)")</f>
        <v>zasazovat (v-whsa_781f2_ZU)</v>
      </c>
    </row>
    <row r="66461" customFormat="false" ht="12.8" hidden="false" customHeight="false" outlineLevel="0" collapsed="false">
      <c r="B66461" s="0" t="s">
        <v>7</v>
      </c>
    </row>
    <row r="66462" customFormat="false" ht="12.8" hidden="false" customHeight="false" outlineLevel="0" collapsed="false">
      <c r="B66462" s="0" t="s">
        <v>14</v>
      </c>
    </row>
    <row r="66463" customFormat="false" ht="12.8" hidden="false" customHeight="false" outlineLevel="0" collapsed="false">
      <c r="B66463" s="0" t="s">
        <v>48</v>
      </c>
    </row>
    <row r="66465" customFormat="false" ht="12.8" hidden="false" customHeight="false" outlineLevel="0" collapsed="false">
      <c r="A66465" s="0" t="s">
        <v>22673</v>
      </c>
      <c r="B66465" s="0" t="str">
        <f aca="false">HYPERLINK("https://lindat.mff.cuni.cz/services/teitok/pdtc10/index.php?action=vallex&amp;frame=v-whsa_781f1_ZU", "zasazovat (v-whsa_781f1_ZU) - substituted with v-whsa_781f2_ZU")</f>
        <v>zasazovat (v-whsa_781f1_ZU) - substituted with v-whsa_781f2_ZU</v>
      </c>
    </row>
    <row r="66466" customFormat="false" ht="12.8" hidden="false" customHeight="false" outlineLevel="0" collapsed="false">
      <c r="B66466" s="0" t="s">
        <v>7</v>
      </c>
      <c r="C66466" s="0" t="s">
        <v>184</v>
      </c>
    </row>
    <row r="66467" customFormat="false" ht="12.8" hidden="false" customHeight="false" outlineLevel="0" collapsed="false">
      <c r="B66467" s="0" t="s">
        <v>14</v>
      </c>
      <c r="C66467" s="0" t="s">
        <v>567</v>
      </c>
    </row>
    <row r="66468" customFormat="false" ht="12.8" hidden="false" customHeight="false" outlineLevel="0" collapsed="false">
      <c r="B66468" s="0" t="s">
        <v>48</v>
      </c>
      <c r="C66468" s="0" t="s">
        <v>9927</v>
      </c>
    </row>
    <row r="66470" customFormat="false" ht="12.8" hidden="false" customHeight="false" outlineLevel="0" collapsed="false">
      <c r="A66470" s="0" t="s">
        <v>22674</v>
      </c>
      <c r="B66470" s="0" t="str">
        <f aca="false">HYPERLINK("https://lindat.mff.cuni.cz/services/teitok/pdtc10/index.php?action=vallex&amp;frame=v-whsa_779hsa_780", "zasazovat (v-whsa_779hsa_780)")</f>
        <v>zasazovat (v-whsa_779hsa_780)</v>
      </c>
    </row>
    <row r="66471" customFormat="false" ht="12.8" hidden="false" customHeight="false" outlineLevel="0" collapsed="false">
      <c r="B66471" s="0" t="s">
        <v>7</v>
      </c>
    </row>
    <row r="66472" customFormat="false" ht="12.8" hidden="false" customHeight="false" outlineLevel="0" collapsed="false">
      <c r="B66472" s="0" t="s">
        <v>14</v>
      </c>
    </row>
    <row r="66473" customFormat="false" ht="12.8" hidden="false" customHeight="false" outlineLevel="0" collapsed="false">
      <c r="B66473" s="0" t="s">
        <v>48</v>
      </c>
    </row>
    <row r="66475" customFormat="false" ht="12.8" hidden="false" customHeight="false" outlineLevel="0" collapsed="false">
      <c r="A66475" s="0" t="s">
        <v>22675</v>
      </c>
      <c r="B66475" s="0" t="str">
        <f aca="false">HYPERLINK("https://lindat.mff.cuni.cz/services/teitok/pdtc10/index.php?action=vallex&amp;frame=v-w9120f1", "zasazovat se (v-w9120f1)")</f>
        <v>zasazovat se (v-w9120f1)</v>
      </c>
    </row>
    <row r="66476" customFormat="false" ht="12.8" hidden="false" customHeight="false" outlineLevel="0" collapsed="false">
      <c r="B66476" s="0" t="s">
        <v>7</v>
      </c>
      <c r="C66476" s="0" t="s">
        <v>2557</v>
      </c>
      <c r="D66476" s="0" t="s">
        <v>6781</v>
      </c>
      <c r="E66476" s="0" t="s">
        <v>6781</v>
      </c>
      <c r="F66476" s="0" t="s">
        <v>10032</v>
      </c>
    </row>
    <row r="66477" customFormat="false" ht="12.8" hidden="false" customHeight="false" outlineLevel="0" collapsed="false">
      <c r="B66477" s="0" t="s">
        <v>22660</v>
      </c>
      <c r="C66477" s="0" t="s">
        <v>1555</v>
      </c>
      <c r="D66477" s="0" t="s">
        <v>6783</v>
      </c>
      <c r="E66477" s="0" t="s">
        <v>6783</v>
      </c>
      <c r="F66477" s="0" t="s">
        <v>10034</v>
      </c>
    </row>
    <row r="66479" customFormat="false" ht="12.8" hidden="false" customHeight="false" outlineLevel="0" collapsed="false">
      <c r="A66479" s="0" t="s">
        <v>22676</v>
      </c>
      <c r="B66479" s="0" t="str">
        <f aca="false">HYPERLINK("https://lindat.mff.cuni.cz/services/teitok/pdtc10/index.php?action=vallex&amp;frame=v-w10795f2", "zaschnout (v-w10795f2)")</f>
        <v>zaschnout (v-w10795f2)</v>
      </c>
    </row>
    <row r="66480" customFormat="false" ht="12.8" hidden="false" customHeight="false" outlineLevel="0" collapsed="false">
      <c r="B66480" s="0" t="s">
        <v>7</v>
      </c>
    </row>
    <row r="66482" customFormat="false" ht="12.8" hidden="false" customHeight="false" outlineLevel="0" collapsed="false">
      <c r="A66482" s="0" t="s">
        <v>22677</v>
      </c>
      <c r="B66482" s="0" t="str">
        <f aca="false">HYPERLINK("https://lindat.mff.cuni.cz/services/teitok/pdtc10/index.php?action=vallex&amp;frame=v-w12323_MMf1_MM", "zasebevraždit se (v-w12323_MMf1_MM)")</f>
        <v>zasebevraždit se (v-w12323_MMf1_MM)</v>
      </c>
    </row>
    <row r="66483" customFormat="false" ht="12.8" hidden="false" customHeight="false" outlineLevel="0" collapsed="false">
      <c r="B66483" s="0" t="s">
        <v>7</v>
      </c>
    </row>
    <row r="66485" customFormat="false" ht="12.8" hidden="false" customHeight="false" outlineLevel="0" collapsed="false">
      <c r="A66485" s="0" t="s">
        <v>22678</v>
      </c>
      <c r="B66485" s="0" t="str">
        <f aca="false">HYPERLINK("https://lindat.mff.cuni.cz/services/teitok/pdtc10/index.php?action=vallex&amp;frame=v-w9123f2", "zasedat (v-w9123f2)")</f>
        <v>zasedat (v-w9123f2)</v>
      </c>
    </row>
    <row r="66486" customFormat="false" ht="12.8" hidden="false" customHeight="false" outlineLevel="0" collapsed="false">
      <c r="B66486" s="0" t="s">
        <v>7</v>
      </c>
      <c r="C66486" s="0" t="s">
        <v>22679</v>
      </c>
      <c r="D66486" s="0" t="s">
        <v>10910</v>
      </c>
      <c r="E66486" s="0" t="s">
        <v>10910</v>
      </c>
      <c r="F66486" s="0" t="s">
        <v>10910</v>
      </c>
    </row>
    <row r="66487" customFormat="false" ht="12.8" hidden="false" customHeight="false" outlineLevel="0" collapsed="false">
      <c r="B66487" s="0" t="s">
        <v>11</v>
      </c>
      <c r="C66487" s="0" t="s">
        <v>22680</v>
      </c>
    </row>
    <row r="66489" customFormat="false" ht="12.8" hidden="false" customHeight="false" outlineLevel="0" collapsed="false">
      <c r="A66489" s="0" t="s">
        <v>22681</v>
      </c>
      <c r="B66489" s="0" t="str">
        <f aca="false">HYPERLINK("https://lindat.mff.cuni.cz/services/teitok/pdtc10/index.php?action=vallex&amp;frame=v-w9123f1", "zasedat (v-w9123f1)")</f>
        <v>zasedat (v-w9123f1)</v>
      </c>
    </row>
    <row r="66490" customFormat="false" ht="12.8" hidden="false" customHeight="false" outlineLevel="0" collapsed="false">
      <c r="B66490" s="0" t="s">
        <v>7</v>
      </c>
    </row>
    <row r="66492" customFormat="false" ht="12.8" hidden="false" customHeight="false" outlineLevel="0" collapsed="false">
      <c r="A66492" s="0" t="s">
        <v>22682</v>
      </c>
      <c r="B66492" s="0" t="str">
        <f aca="false">HYPERLINK("https://lindat.mff.cuni.cz/services/teitok/pdtc10/index.php?action=vallex&amp;frame=v-w9124f2", "zasednout (v-w9124f2)")</f>
        <v>zasednout (v-w9124f2)</v>
      </c>
    </row>
    <row r="66493" customFormat="false" ht="12.8" hidden="false" customHeight="false" outlineLevel="0" collapsed="false">
      <c r="B66493" s="0" t="s">
        <v>7</v>
      </c>
    </row>
    <row r="66494" customFormat="false" ht="12.8" hidden="false" customHeight="false" outlineLevel="0" collapsed="false">
      <c r="B66494" s="0" t="s">
        <v>14</v>
      </c>
    </row>
    <row r="66496" customFormat="false" ht="12.8" hidden="false" customHeight="false" outlineLevel="0" collapsed="false">
      <c r="A66496" s="0" t="s">
        <v>22683</v>
      </c>
      <c r="B66496" s="0" t="str">
        <f aca="false">HYPERLINK("https://lindat.mff.cuni.cz/services/teitok/pdtc10/index.php?action=vallex&amp;frame=v-w9124f1", "zasednout (v-w9124f1)")</f>
        <v>zasednout (v-w9124f1)</v>
      </c>
    </row>
    <row r="66497" customFormat="false" ht="12.8" hidden="false" customHeight="false" outlineLevel="0" collapsed="false">
      <c r="B66497" s="0" t="s">
        <v>7</v>
      </c>
      <c r="C66497" s="0" t="s">
        <v>272</v>
      </c>
      <c r="D66497" s="0" t="s">
        <v>176</v>
      </c>
      <c r="E66497" s="0" t="s">
        <v>176</v>
      </c>
      <c r="F66497" s="0" t="s">
        <v>176</v>
      </c>
    </row>
    <row r="66498" customFormat="false" ht="12.8" hidden="false" customHeight="false" outlineLevel="0" collapsed="false">
      <c r="B66498" s="0" t="s">
        <v>124</v>
      </c>
    </row>
    <row r="66500" customFormat="false" ht="12.8" hidden="false" customHeight="false" outlineLevel="0" collapsed="false">
      <c r="A66500" s="0" t="s">
        <v>22684</v>
      </c>
      <c r="B66500" s="0" t="str">
        <f aca="false">HYPERLINK("https://lindat.mff.cuni.cz/services/teitok/pdtc10/index.php?action=vallex&amp;frame=v-w9124f3_ZU", "zasednout (v-w9124f3_ZU)")</f>
        <v>zasednout (v-w9124f3_ZU)</v>
      </c>
    </row>
    <row r="66501" customFormat="false" ht="12.8" hidden="false" customHeight="false" outlineLevel="0" collapsed="false">
      <c r="B66501" s="0" t="s">
        <v>7</v>
      </c>
    </row>
    <row r="66502" customFormat="false" ht="12.8" hidden="false" customHeight="false" outlineLevel="0" collapsed="false">
      <c r="B66502" s="0" t="s">
        <v>1059</v>
      </c>
    </row>
    <row r="66504" customFormat="false" ht="12.8" hidden="false" customHeight="false" outlineLevel="0" collapsed="false">
      <c r="A66504" s="0" t="s">
        <v>22685</v>
      </c>
      <c r="B66504" s="0" t="str">
        <f aca="false">HYPERLINK("https://lindat.mff.cuni.cz/services/teitok/pdtc10/index.php?action=vallex&amp;frame=v-whsa_1966f1_ZU", "zaseknout (v-whsa_1966f1_ZU)")</f>
        <v>zaseknout (v-whsa_1966f1_ZU)</v>
      </c>
    </row>
    <row r="66505" customFormat="false" ht="12.8" hidden="false" customHeight="false" outlineLevel="0" collapsed="false">
      <c r="B66505" s="0" t="s">
        <v>7</v>
      </c>
    </row>
    <row r="66506" customFormat="false" ht="12.8" hidden="false" customHeight="false" outlineLevel="0" collapsed="false">
      <c r="B66506" s="0" t="s">
        <v>297</v>
      </c>
    </row>
    <row r="66508" customFormat="false" ht="12.8" hidden="false" customHeight="false" outlineLevel="0" collapsed="false">
      <c r="A66508" s="0" t="s">
        <v>22685</v>
      </c>
      <c r="B66508" s="0" t="str">
        <f aca="false">HYPERLINK("https://lindat.mff.cuni.cz/services/teitok/pdtc10/index.php?action=vallex&amp;frame=v-whsa_1966hsa_1967", "zaseknout (v-whsa_1966hsa_1967) - substituted with v-whsa_1966f1_ZU")</f>
        <v>zaseknout (v-whsa_1966hsa_1967) - substituted with v-whsa_1966f1_ZU</v>
      </c>
    </row>
    <row r="66509" customFormat="false" ht="12.8" hidden="false" customHeight="false" outlineLevel="0" collapsed="false">
      <c r="B66509" s="0" t="s">
        <v>7</v>
      </c>
    </row>
    <row r="66510" customFormat="false" ht="12.8" hidden="false" customHeight="false" outlineLevel="0" collapsed="false">
      <c r="B66510" s="0" t="s">
        <v>297</v>
      </c>
    </row>
    <row r="66512" customFormat="false" ht="12.8" hidden="false" customHeight="false" outlineLevel="0" collapsed="false">
      <c r="A66512" s="0" t="s">
        <v>22686</v>
      </c>
      <c r="B66512" s="0" t="str">
        <f aca="false">HYPERLINK("https://lindat.mff.cuni.cz/services/teitok/pdtc10/index.php?action=vallex&amp;frame=v-whsa_1966f2_ZU", "zaseknout (v-whsa_1966f2_ZU)")</f>
        <v>zaseknout (v-whsa_1966f2_ZU)</v>
      </c>
    </row>
    <row r="66513" customFormat="false" ht="12.8" hidden="false" customHeight="false" outlineLevel="0" collapsed="false">
      <c r="B66513" s="0" t="s">
        <v>7</v>
      </c>
    </row>
    <row r="66514" customFormat="false" ht="12.8" hidden="false" customHeight="false" outlineLevel="0" collapsed="false">
      <c r="B66514" s="0" t="s">
        <v>14</v>
      </c>
    </row>
    <row r="66515" customFormat="false" ht="12.8" hidden="false" customHeight="false" outlineLevel="0" collapsed="false">
      <c r="B66515" s="0" t="s">
        <v>124</v>
      </c>
    </row>
    <row r="66517" customFormat="false" ht="12.8" hidden="false" customHeight="false" outlineLevel="0" collapsed="false">
      <c r="A66517" s="0" t="s">
        <v>22686</v>
      </c>
      <c r="B66517" s="0" t="str">
        <f aca="false">HYPERLINK("https://lindat.mff.cuni.cz/services/teitok/pdtc10/index.php?action=vallex&amp;frame=v-whsa_1852hsa_1853", "zaseknout (v-whsa_1852hsa_1853) - substituted with v-whsa_1966f2_ZU")</f>
        <v>zaseknout (v-whsa_1852hsa_1853) - substituted with v-whsa_1966f2_ZU</v>
      </c>
    </row>
    <row r="66518" customFormat="false" ht="12.8" hidden="false" customHeight="false" outlineLevel="0" collapsed="false">
      <c r="B66518" s="0" t="s">
        <v>7</v>
      </c>
    </row>
    <row r="66519" customFormat="false" ht="12.8" hidden="false" customHeight="false" outlineLevel="0" collapsed="false">
      <c r="B66519" s="0" t="s">
        <v>14</v>
      </c>
    </row>
    <row r="66520" customFormat="false" ht="12.8" hidden="false" customHeight="false" outlineLevel="0" collapsed="false">
      <c r="B66520" s="0" t="s">
        <v>124</v>
      </c>
    </row>
    <row r="66522" customFormat="false" ht="12.8" hidden="false" customHeight="false" outlineLevel="0" collapsed="false">
      <c r="A66522" s="0" t="s">
        <v>22687</v>
      </c>
      <c r="B66522" s="0" t="str">
        <f aca="false">HYPERLINK("https://lindat.mff.cuni.cz/services/teitok/pdtc10/index.php?action=vallex&amp;frame=v-whsa_1966f4_ZU", "zaseknout (v-whsa_1966f4_ZU)")</f>
        <v>zaseknout (v-whsa_1966f4_ZU)</v>
      </c>
    </row>
    <row r="66523" customFormat="false" ht="12.8" hidden="false" customHeight="false" outlineLevel="0" collapsed="false">
      <c r="B66523" s="0" t="s">
        <v>7</v>
      </c>
    </row>
    <row r="66524" customFormat="false" ht="12.8" hidden="false" customHeight="false" outlineLevel="0" collapsed="false">
      <c r="B66524" s="0" t="s">
        <v>14</v>
      </c>
    </row>
    <row r="66526" customFormat="false" ht="12.8" hidden="false" customHeight="false" outlineLevel="0" collapsed="false">
      <c r="A66526" s="0" t="s">
        <v>22688</v>
      </c>
      <c r="B66526" s="0" t="str">
        <f aca="false">HYPERLINK("https://lindat.mff.cuni.cz/services/teitok/pdtc10/index.php?action=vallex&amp;frame=v-whsa_1966f5_ZU", "zaseknout (v-whsa_1966f5_ZU)")</f>
        <v>zaseknout (v-whsa_1966f5_ZU)</v>
      </c>
    </row>
    <row r="66527" customFormat="false" ht="12.8" hidden="false" customHeight="false" outlineLevel="0" collapsed="false">
      <c r="B66527" s="0" t="s">
        <v>7</v>
      </c>
    </row>
    <row r="66528" customFormat="false" ht="12.8" hidden="false" customHeight="false" outlineLevel="0" collapsed="false">
      <c r="B66528" s="0" t="s">
        <v>14</v>
      </c>
    </row>
    <row r="66530" customFormat="false" ht="12.8" hidden="false" customHeight="false" outlineLevel="0" collapsed="false">
      <c r="A66530" s="0" t="s">
        <v>22688</v>
      </c>
      <c r="B66530" s="0" t="str">
        <f aca="false">HYPERLINK("https://lindat.mff.cuni.cz/services/teitok/pdtc10/index.php?action=vallex&amp;frame=v-whsa_1966f3_ZU", "zaseknout (v-whsa_1966f3_ZU) - substituted with v-whsa_1966f5_ZU")</f>
        <v>zaseknout (v-whsa_1966f3_ZU) - substituted with v-whsa_1966f5_ZU</v>
      </c>
    </row>
    <row r="66531" customFormat="false" ht="12.8" hidden="false" customHeight="false" outlineLevel="0" collapsed="false">
      <c r="B66531" s="0" t="s">
        <v>7</v>
      </c>
    </row>
    <row r="66532" customFormat="false" ht="12.8" hidden="false" customHeight="false" outlineLevel="0" collapsed="false">
      <c r="B66532" s="0" t="s">
        <v>14</v>
      </c>
    </row>
    <row r="66534" customFormat="false" ht="12.8" hidden="false" customHeight="false" outlineLevel="0" collapsed="false">
      <c r="A66534" s="0" t="s">
        <v>22689</v>
      </c>
      <c r="B66534" s="0" t="str">
        <f aca="false">HYPERLINK("https://lindat.mff.cuni.cz/services/teitok/pdtc10/index.php?action=vallex&amp;frame=v-w11469f1", "zaseknout se (v-w11469f1)")</f>
        <v>zaseknout se (v-w11469f1)</v>
      </c>
    </row>
    <row r="66535" customFormat="false" ht="12.8" hidden="false" customHeight="false" outlineLevel="0" collapsed="false">
      <c r="B66535" s="0" t="s">
        <v>7</v>
      </c>
      <c r="C66535" s="0" t="s">
        <v>6540</v>
      </c>
      <c r="D66535" s="0" t="s">
        <v>21923</v>
      </c>
      <c r="E66535" s="0" t="s">
        <v>21923</v>
      </c>
      <c r="F66535" s="0" t="s">
        <v>21923</v>
      </c>
    </row>
    <row r="66537" customFormat="false" ht="12.8" hidden="false" customHeight="false" outlineLevel="0" collapsed="false">
      <c r="A66537" s="0" t="s">
        <v>22690</v>
      </c>
      <c r="B66537" s="0" t="str">
        <f aca="false">HYPERLINK("https://lindat.mff.cuni.cz/services/teitok/pdtc10/index.php?action=vallex&amp;frame=v-whsa_815hsa_816", "zaskakovat (v-whsa_815hsa_816)")</f>
        <v>zaskakovat (v-whsa_815hsa_816)</v>
      </c>
    </row>
    <row r="66538" customFormat="false" ht="12.8" hidden="false" customHeight="false" outlineLevel="0" collapsed="false">
      <c r="B66538" s="0" t="s">
        <v>7</v>
      </c>
    </row>
    <row r="66539" customFormat="false" ht="12.8" hidden="false" customHeight="false" outlineLevel="0" collapsed="false">
      <c r="B66539" s="0" t="s">
        <v>491</v>
      </c>
    </row>
    <row r="66541" customFormat="false" ht="12.8" hidden="false" customHeight="false" outlineLevel="0" collapsed="false">
      <c r="A66541" s="0" t="s">
        <v>22691</v>
      </c>
      <c r="B66541" s="0" t="str">
        <f aca="false">HYPERLINK("https://lindat.mff.cuni.cz/services/teitok/pdtc10/index.php?action=vallex&amp;frame=v-whsa_1776hsa_1777", "zaskotačit si (v-whsa_1776hsa_1777)")</f>
        <v>zaskotačit si (v-whsa_1776hsa_1777)</v>
      </c>
    </row>
    <row r="66542" customFormat="false" ht="12.8" hidden="false" customHeight="false" outlineLevel="0" collapsed="false">
      <c r="B66542" s="0" t="s">
        <v>7</v>
      </c>
    </row>
    <row r="66544" customFormat="false" ht="12.8" hidden="false" customHeight="false" outlineLevel="0" collapsed="false">
      <c r="A66544" s="0" t="s">
        <v>22692</v>
      </c>
      <c r="B66544" s="0" t="str">
        <f aca="false">HYPERLINK("https://lindat.mff.cuni.cz/services/teitok/pdtc10/index.php?action=vallex&amp;frame=v-w9128f1", "zaskočit (v-w9128f1)")</f>
        <v>zaskočit (v-w9128f1)</v>
      </c>
    </row>
    <row r="66545" customFormat="false" ht="12.8" hidden="false" customHeight="false" outlineLevel="0" collapsed="false">
      <c r="B66545" s="0" t="s">
        <v>7</v>
      </c>
      <c r="C66545" s="0" t="s">
        <v>46</v>
      </c>
      <c r="D66545" s="0" t="s">
        <v>4795</v>
      </c>
      <c r="E66545" s="0" t="s">
        <v>4795</v>
      </c>
      <c r="F66545" s="0" t="s">
        <v>4795</v>
      </c>
    </row>
    <row r="66546" customFormat="false" ht="12.8" hidden="false" customHeight="false" outlineLevel="0" collapsed="false">
      <c r="B66546" s="0" t="s">
        <v>14</v>
      </c>
      <c r="C66546" s="0" t="s">
        <v>78</v>
      </c>
      <c r="D66546" s="0" t="s">
        <v>4796</v>
      </c>
      <c r="E66546" s="0" t="s">
        <v>4796</v>
      </c>
      <c r="F66546" s="0" t="s">
        <v>4796</v>
      </c>
    </row>
    <row r="66548" customFormat="false" ht="12.8" hidden="false" customHeight="false" outlineLevel="0" collapsed="false">
      <c r="A66548" s="0" t="s">
        <v>22693</v>
      </c>
      <c r="B66548" s="0" t="str">
        <f aca="false">HYPERLINK("https://lindat.mff.cuni.cz/services/teitok/pdtc10/index.php?action=vallex&amp;frame=v-w9128f2", "zaskočit (v-w9128f2)")</f>
        <v>zaskočit (v-w9128f2)</v>
      </c>
    </row>
    <row r="66549" customFormat="false" ht="12.8" hidden="false" customHeight="false" outlineLevel="0" collapsed="false">
      <c r="B66549" s="0" t="s">
        <v>7</v>
      </c>
      <c r="C66549" s="0" t="s">
        <v>247</v>
      </c>
      <c r="D66549" s="0" t="s">
        <v>19109</v>
      </c>
      <c r="E66549" s="0" t="s">
        <v>19110</v>
      </c>
      <c r="F66549" s="0" t="s">
        <v>19110</v>
      </c>
    </row>
    <row r="66550" customFormat="false" ht="12.8" hidden="false" customHeight="false" outlineLevel="0" collapsed="false">
      <c r="B66550" s="0" t="s">
        <v>124</v>
      </c>
      <c r="D66550" s="0" t="s">
        <v>1707</v>
      </c>
      <c r="E66550" s="0" t="s">
        <v>1707</v>
      </c>
      <c r="F66550" s="0" t="s">
        <v>1707</v>
      </c>
    </row>
    <row r="66552" customFormat="false" ht="12.8" hidden="false" customHeight="false" outlineLevel="0" collapsed="false">
      <c r="A66552" s="0" t="s">
        <v>22694</v>
      </c>
      <c r="B66552" s="0" t="str">
        <f aca="false">HYPERLINK("https://lindat.mff.cuni.cz/services/teitok/pdtc10/index.php?action=vallex&amp;frame=v-w9128f3", "zaskočit (v-w9128f3)")</f>
        <v>zaskočit (v-w9128f3)</v>
      </c>
    </row>
    <row r="66553" customFormat="false" ht="12.8" hidden="false" customHeight="false" outlineLevel="0" collapsed="false">
      <c r="B66553" s="0" t="s">
        <v>7</v>
      </c>
    </row>
    <row r="66555" customFormat="false" ht="12.8" hidden="false" customHeight="false" outlineLevel="0" collapsed="false">
      <c r="A66555" s="0" t="s">
        <v>22695</v>
      </c>
      <c r="B66555" s="0" t="str">
        <f aca="false">HYPERLINK("https://lindat.mff.cuni.cz/services/teitok/pdtc10/index.php?action=vallex&amp;frame=v-w9128f4", "zaskočit (v-w9128f4)")</f>
        <v>zaskočit (v-w9128f4)</v>
      </c>
    </row>
    <row r="66556" customFormat="false" ht="12.8" hidden="false" customHeight="false" outlineLevel="0" collapsed="false">
      <c r="B66556" s="0" t="s">
        <v>603</v>
      </c>
    </row>
    <row r="66558" customFormat="false" ht="12.8" hidden="false" customHeight="false" outlineLevel="0" collapsed="false">
      <c r="A66558" s="0" t="s">
        <v>22696</v>
      </c>
      <c r="B66558" s="0" t="str">
        <f aca="false">HYPERLINK("https://lindat.mff.cuni.cz/services/teitok/pdtc10/index.php?action=vallex&amp;frame=v-w9131f1", "zaslat (v-w9131f1)")</f>
        <v>zaslat (v-w9131f1)</v>
      </c>
    </row>
    <row r="66559" customFormat="false" ht="12.8" hidden="false" customHeight="false" outlineLevel="0" collapsed="false">
      <c r="B66559" s="0" t="s">
        <v>7</v>
      </c>
      <c r="C66559" s="0" t="s">
        <v>9491</v>
      </c>
      <c r="D66559" s="0" t="s">
        <v>1630</v>
      </c>
      <c r="E66559" s="0" t="s">
        <v>1630</v>
      </c>
      <c r="F66559" s="0" t="s">
        <v>1630</v>
      </c>
    </row>
    <row r="66560" customFormat="false" ht="12.8" hidden="false" customHeight="false" outlineLevel="0" collapsed="false">
      <c r="B66560" s="0" t="s">
        <v>14</v>
      </c>
      <c r="C66560" s="0" t="s">
        <v>22697</v>
      </c>
      <c r="D66560" s="0" t="s">
        <v>1632</v>
      </c>
      <c r="E66560" s="0" t="s">
        <v>1632</v>
      </c>
      <c r="F66560" s="0" t="s">
        <v>1632</v>
      </c>
    </row>
    <row r="66561" customFormat="false" ht="12.8" hidden="false" customHeight="false" outlineLevel="0" collapsed="false">
      <c r="B66561" s="0" t="s">
        <v>48</v>
      </c>
      <c r="C66561" s="0" t="s">
        <v>22698</v>
      </c>
      <c r="D66561" s="0" t="s">
        <v>1635</v>
      </c>
      <c r="E66561" s="0" t="s">
        <v>1635</v>
      </c>
      <c r="F66561" s="0" t="s">
        <v>1635</v>
      </c>
    </row>
    <row r="66563" customFormat="false" ht="12.8" hidden="false" customHeight="false" outlineLevel="0" collapsed="false">
      <c r="A66563" s="0" t="s">
        <v>22699</v>
      </c>
      <c r="B66563" s="0" t="str">
        <f aca="false">HYPERLINK("https://lindat.mff.cuni.cz/services/teitok/pdtc10/index.php?action=vallex&amp;frame=v-w9131f2", "zaslat (v-w9131f2)")</f>
        <v>zaslat (v-w9131f2)</v>
      </c>
    </row>
    <row r="66564" customFormat="false" ht="12.8" hidden="false" customHeight="false" outlineLevel="0" collapsed="false">
      <c r="B66564" s="0" t="s">
        <v>7</v>
      </c>
      <c r="C66564" s="0" t="s">
        <v>1261</v>
      </c>
      <c r="D66564" s="0" t="s">
        <v>1630</v>
      </c>
      <c r="E66564" s="0" t="s">
        <v>1630</v>
      </c>
      <c r="F66564" s="0" t="s">
        <v>1630</v>
      </c>
    </row>
    <row r="66565" customFormat="false" ht="12.8" hidden="false" customHeight="false" outlineLevel="0" collapsed="false">
      <c r="B66565" s="0" t="s">
        <v>14</v>
      </c>
      <c r="C66565" s="0" t="s">
        <v>469</v>
      </c>
      <c r="D66565" s="0" t="s">
        <v>1632</v>
      </c>
      <c r="E66565" s="0" t="s">
        <v>1632</v>
      </c>
      <c r="F66565" s="0" t="s">
        <v>1632</v>
      </c>
    </row>
    <row r="66566" customFormat="false" ht="12.8" hidden="false" customHeight="false" outlineLevel="0" collapsed="false">
      <c r="B66566" s="0" t="s">
        <v>124</v>
      </c>
      <c r="D66566" s="0" t="s">
        <v>2165</v>
      </c>
      <c r="E66566" s="0" t="s">
        <v>2165</v>
      </c>
      <c r="F66566" s="0" t="s">
        <v>2165</v>
      </c>
    </row>
    <row r="66568" customFormat="false" ht="12.8" hidden="false" customHeight="false" outlineLevel="0" collapsed="false">
      <c r="A66568" s="0" t="s">
        <v>22700</v>
      </c>
      <c r="B66568" s="0" t="str">
        <f aca="false">HYPERLINK("https://lindat.mff.cuni.cz/services/teitok/pdtc10/index.php?action=vallex&amp;frame=v-w9132f3", "zaslechnout (v-w9132f3)")</f>
        <v>zaslechnout (v-w9132f3)</v>
      </c>
    </row>
    <row r="66569" customFormat="false" ht="12.8" hidden="false" customHeight="false" outlineLevel="0" collapsed="false">
      <c r="B66569" s="0" t="s">
        <v>7</v>
      </c>
      <c r="D66569" s="0" t="s">
        <v>10431</v>
      </c>
      <c r="E66569" s="0" t="s">
        <v>10431</v>
      </c>
      <c r="F66569" s="0" t="s">
        <v>10431</v>
      </c>
    </row>
    <row r="66570" customFormat="false" ht="12.8" hidden="false" customHeight="false" outlineLevel="0" collapsed="false">
      <c r="B66570" s="0" t="s">
        <v>15897</v>
      </c>
      <c r="D66570" s="0" t="s">
        <v>5185</v>
      </c>
      <c r="E66570" s="0" t="s">
        <v>5185</v>
      </c>
      <c r="F66570" s="0" t="s">
        <v>5185</v>
      </c>
    </row>
    <row r="66571" customFormat="false" ht="12.8" hidden="false" customHeight="false" outlineLevel="0" collapsed="false">
      <c r="B66571" s="0" t="s">
        <v>441</v>
      </c>
      <c r="D66571" s="0" t="s">
        <v>10841</v>
      </c>
      <c r="E66571" s="0" t="s">
        <v>10841</v>
      </c>
      <c r="F66571" s="0" t="s">
        <v>10841</v>
      </c>
    </row>
    <row r="66573" customFormat="false" ht="12.8" hidden="false" customHeight="false" outlineLevel="0" collapsed="false">
      <c r="A66573" s="0" t="s">
        <v>22701</v>
      </c>
      <c r="B66573" s="0" t="str">
        <f aca="false">HYPERLINK("https://lindat.mff.cuni.cz/services/teitok/pdtc10/index.php?action=vallex&amp;frame=v-w9132f1", "zaslechnout (v-w9132f1)")</f>
        <v>zaslechnout (v-w9132f1)</v>
      </c>
    </row>
    <row r="66574" customFormat="false" ht="12.8" hidden="false" customHeight="false" outlineLevel="0" collapsed="false">
      <c r="B66574" s="0" t="s">
        <v>7</v>
      </c>
    </row>
    <row r="66575" customFormat="false" ht="12.8" hidden="false" customHeight="false" outlineLevel="0" collapsed="false">
      <c r="B66575" s="0" t="s">
        <v>7585</v>
      </c>
    </row>
    <row r="66576" customFormat="false" ht="12.8" hidden="false" customHeight="false" outlineLevel="0" collapsed="false">
      <c r="B66576" s="0" t="s">
        <v>22702</v>
      </c>
    </row>
    <row r="66578" customFormat="false" ht="12.8" hidden="false" customHeight="false" outlineLevel="0" collapsed="false">
      <c r="A66578" s="0" t="s">
        <v>22703</v>
      </c>
      <c r="B66578" s="0" t="str">
        <f aca="false">HYPERLINK("https://lindat.mff.cuni.cz/services/teitok/pdtc10/index.php?action=vallex&amp;frame=v-w9132f2", "zaslechnout (v-w9132f2)")</f>
        <v>zaslechnout (v-w9132f2)</v>
      </c>
    </row>
    <row r="66579" customFormat="false" ht="12.8" hidden="false" customHeight="false" outlineLevel="0" collapsed="false">
      <c r="B66579" s="0" t="s">
        <v>22704</v>
      </c>
      <c r="C66579" s="0" t="s">
        <v>22</v>
      </c>
      <c r="D66579" s="0" t="s">
        <v>2266</v>
      </c>
      <c r="E66579" s="0" t="s">
        <v>2266</v>
      </c>
      <c r="F66579" s="0" t="s">
        <v>2266</v>
      </c>
    </row>
    <row r="66580" customFormat="false" ht="12.8" hidden="false" customHeight="false" outlineLevel="0" collapsed="false">
      <c r="B66580" s="0" t="s">
        <v>5527</v>
      </c>
      <c r="C66580" s="0" t="s">
        <v>2268</v>
      </c>
      <c r="D66580" s="0" t="s">
        <v>2269</v>
      </c>
      <c r="E66580" s="0" t="s">
        <v>2269</v>
      </c>
      <c r="F66580" s="0" t="s">
        <v>2269</v>
      </c>
    </row>
    <row r="66581" customFormat="false" ht="12.8" hidden="false" customHeight="false" outlineLevel="0" collapsed="false">
      <c r="B66581" s="0" t="s">
        <v>363</v>
      </c>
      <c r="D66581" s="0" t="s">
        <v>2259</v>
      </c>
      <c r="E66581" s="0" t="s">
        <v>2259</v>
      </c>
      <c r="F66581" s="0" t="s">
        <v>2259</v>
      </c>
    </row>
    <row r="66582" customFormat="false" ht="12.8" hidden="false" customHeight="false" outlineLevel="0" collapsed="false">
      <c r="B66582" s="0" t="s">
        <v>441</v>
      </c>
      <c r="C66582" s="0" t="s">
        <v>2272</v>
      </c>
      <c r="D66582" s="0" t="s">
        <v>2273</v>
      </c>
      <c r="E66582" s="0" t="s">
        <v>2273</v>
      </c>
      <c r="F66582" s="0" t="s">
        <v>2273</v>
      </c>
    </row>
    <row r="66584" customFormat="false" ht="12.8" hidden="false" customHeight="false" outlineLevel="0" collapsed="false">
      <c r="A66584" s="0" t="s">
        <v>22705</v>
      </c>
      <c r="B66584" s="0" t="str">
        <f aca="false">HYPERLINK("https://lindat.mff.cuni.cz/services/teitok/pdtc10/index.php?action=vallex&amp;frame=v-w9134f1", "zaslepit (v-w9134f1)")</f>
        <v>zaslepit (v-w9134f1)</v>
      </c>
    </row>
    <row r="66585" customFormat="false" ht="12.8" hidden="false" customHeight="false" outlineLevel="0" collapsed="false">
      <c r="B66585" s="0" t="s">
        <v>7</v>
      </c>
    </row>
    <row r="66586" customFormat="false" ht="12.8" hidden="false" customHeight="false" outlineLevel="0" collapsed="false">
      <c r="B66586" s="0" t="s">
        <v>14</v>
      </c>
    </row>
    <row r="66588" customFormat="false" ht="12.8" hidden="false" customHeight="false" outlineLevel="0" collapsed="false">
      <c r="A66588" s="0" t="s">
        <v>22706</v>
      </c>
      <c r="B66588" s="0" t="str">
        <f aca="false">HYPERLINK("https://lindat.mff.cuni.cz/services/teitok/pdtc10/index.php?action=vallex&amp;frame=v-w9134f2", "zaslepit (v-w9134f2)")</f>
        <v>zaslepit (v-w9134f2)</v>
      </c>
    </row>
    <row r="66589" customFormat="false" ht="12.8" hidden="false" customHeight="false" outlineLevel="0" collapsed="false">
      <c r="B66589" s="0" t="s">
        <v>7</v>
      </c>
    </row>
    <row r="66590" customFormat="false" ht="12.8" hidden="false" customHeight="false" outlineLevel="0" collapsed="false">
      <c r="B66590" s="0" t="s">
        <v>14</v>
      </c>
    </row>
    <row r="66592" customFormat="false" ht="12.8" hidden="false" customHeight="false" outlineLevel="0" collapsed="false">
      <c r="A66592" s="0" t="s">
        <v>22707</v>
      </c>
      <c r="B66592" s="0" t="str">
        <f aca="false">HYPERLINK("https://lindat.mff.cuni.cz/services/teitok/pdtc10/index.php?action=vallex&amp;frame=v-w9135f1", "zaslepovat (v-w9135f1)")</f>
        <v>zaslepovat (v-w9135f1)</v>
      </c>
    </row>
    <row r="66593" customFormat="false" ht="12.8" hidden="false" customHeight="false" outlineLevel="0" collapsed="false">
      <c r="B66593" s="0" t="s">
        <v>7</v>
      </c>
      <c r="D66593" s="0" t="s">
        <v>4795</v>
      </c>
      <c r="E66593" s="0" t="s">
        <v>4795</v>
      </c>
      <c r="F66593" s="0" t="s">
        <v>4795</v>
      </c>
    </row>
    <row r="66594" customFormat="false" ht="12.8" hidden="false" customHeight="false" outlineLevel="0" collapsed="false">
      <c r="B66594" s="0" t="s">
        <v>14</v>
      </c>
      <c r="D66594" s="0" t="s">
        <v>4796</v>
      </c>
      <c r="E66594" s="0" t="s">
        <v>4796</v>
      </c>
      <c r="F66594" s="0" t="s">
        <v>4796</v>
      </c>
    </row>
    <row r="66596" customFormat="false" ht="12.8" hidden="false" customHeight="false" outlineLevel="0" collapsed="false">
      <c r="A66596" s="0" t="s">
        <v>22708</v>
      </c>
      <c r="B66596" s="0" t="str">
        <f aca="false">HYPERLINK("https://lindat.mff.cuni.cz/services/teitok/pdtc10/index.php?action=vallex&amp;frame=v-w9136f1", "zasloužit (v-w9136f1)")</f>
        <v>zasloužit (v-w9136f1)</v>
      </c>
    </row>
    <row r="66597" customFormat="false" ht="12.8" hidden="false" customHeight="false" outlineLevel="0" collapsed="false">
      <c r="B66597" s="0" t="s">
        <v>7</v>
      </c>
      <c r="E66597" s="0" t="s">
        <v>504</v>
      </c>
      <c r="F66597" s="0" t="s">
        <v>504</v>
      </c>
    </row>
    <row r="66598" customFormat="false" ht="12.8" hidden="false" customHeight="false" outlineLevel="0" collapsed="false">
      <c r="B66598" s="0" t="s">
        <v>306</v>
      </c>
      <c r="E66598" s="0" t="s">
        <v>159</v>
      </c>
      <c r="F66598" s="0" t="s">
        <v>159</v>
      </c>
    </row>
    <row r="66600" customFormat="false" ht="12.8" hidden="false" customHeight="false" outlineLevel="0" collapsed="false">
      <c r="A66600" s="0" t="s">
        <v>22709</v>
      </c>
      <c r="B66600" s="0" t="str">
        <f aca="false">HYPERLINK("https://lindat.mff.cuni.cz/services/teitok/pdtc10/index.php?action=vallex&amp;frame=v-w9137f1", "zasloužit se (v-w9137f1)")</f>
        <v>zasloužit se (v-w9137f1)</v>
      </c>
    </row>
    <row r="66601" customFormat="false" ht="12.8" hidden="false" customHeight="false" outlineLevel="0" collapsed="false">
      <c r="B66601" s="0" t="s">
        <v>7</v>
      </c>
      <c r="C66601" s="0" t="s">
        <v>6927</v>
      </c>
      <c r="D66601" s="0" t="s">
        <v>5431</v>
      </c>
      <c r="E66601" s="0" t="s">
        <v>5431</v>
      </c>
      <c r="F66601" s="0" t="s">
        <v>5431</v>
      </c>
    </row>
    <row r="66602" customFormat="false" ht="12.8" hidden="false" customHeight="false" outlineLevel="0" collapsed="false">
      <c r="B66602" s="0" t="s">
        <v>3835</v>
      </c>
      <c r="C66602" s="0" t="s">
        <v>7647</v>
      </c>
      <c r="D66602" s="0" t="s">
        <v>5433</v>
      </c>
      <c r="E66602" s="0" t="s">
        <v>5433</v>
      </c>
      <c r="F66602" s="0" t="s">
        <v>5433</v>
      </c>
    </row>
    <row r="66604" customFormat="false" ht="12.8" hidden="false" customHeight="false" outlineLevel="0" collapsed="false">
      <c r="A66604" s="0" t="s">
        <v>22710</v>
      </c>
      <c r="B66604" s="0" t="str">
        <f aca="false">HYPERLINK("https://lindat.mff.cuni.cz/services/teitok/pdtc10/index.php?action=vallex&amp;frame=v-w9138f1", "zasloužit si (v-w9138f1)")</f>
        <v>zasloužit si (v-w9138f1)</v>
      </c>
    </row>
    <row r="66605" customFormat="false" ht="12.8" hidden="false" customHeight="false" outlineLevel="0" collapsed="false">
      <c r="B66605" s="0" t="s">
        <v>7</v>
      </c>
      <c r="C66605" s="0" t="s">
        <v>22711</v>
      </c>
      <c r="D66605" s="0" t="s">
        <v>504</v>
      </c>
      <c r="E66605" s="0" t="s">
        <v>504</v>
      </c>
      <c r="F66605" s="0" t="s">
        <v>504</v>
      </c>
    </row>
    <row r="66606" customFormat="false" ht="12.8" hidden="false" customHeight="false" outlineLevel="0" collapsed="false">
      <c r="B66606" s="0" t="s">
        <v>2313</v>
      </c>
      <c r="C66606" s="0" t="s">
        <v>22712</v>
      </c>
      <c r="D66606" s="0" t="s">
        <v>159</v>
      </c>
      <c r="E66606" s="0" t="s">
        <v>159</v>
      </c>
      <c r="F66606" s="0" t="s">
        <v>159</v>
      </c>
    </row>
    <row r="66607" customFormat="false" ht="12.8" hidden="false" customHeight="false" outlineLevel="0" collapsed="false">
      <c r="B66607" s="0" t="s">
        <v>441</v>
      </c>
    </row>
    <row r="66609" customFormat="false" ht="12.8" hidden="false" customHeight="false" outlineLevel="0" collapsed="false">
      <c r="A66609" s="0" t="s">
        <v>22713</v>
      </c>
      <c r="B66609" s="0" t="str">
        <f aca="false">HYPERLINK("https://lindat.mff.cuni.cz/services/teitok/pdtc10/index.php?action=vallex&amp;frame=v-w9140f1", "zasluhovat (v-w9140f1)")</f>
        <v>zasluhovat (v-w9140f1)</v>
      </c>
    </row>
    <row r="66610" customFormat="false" ht="12.8" hidden="false" customHeight="false" outlineLevel="0" collapsed="false">
      <c r="B66610" s="0" t="s">
        <v>7</v>
      </c>
    </row>
    <row r="66611" customFormat="false" ht="12.8" hidden="false" customHeight="false" outlineLevel="0" collapsed="false">
      <c r="B66611" s="0" t="s">
        <v>14</v>
      </c>
    </row>
    <row r="66613" customFormat="false" ht="12.8" hidden="false" customHeight="false" outlineLevel="0" collapsed="false">
      <c r="A66613" s="0" t="s">
        <v>22714</v>
      </c>
      <c r="B66613" s="0" t="str">
        <f aca="false">HYPERLINK("https://lindat.mff.cuni.cz/services/teitok/pdtc10/index.php?action=vallex&amp;frame=v-w9141f1", "zasluhovat se (v-w9141f1)")</f>
        <v>zasluhovat se (v-w9141f1)</v>
      </c>
    </row>
    <row r="66614" customFormat="false" ht="12.8" hidden="false" customHeight="false" outlineLevel="0" collapsed="false">
      <c r="B66614" s="0" t="s">
        <v>7</v>
      </c>
    </row>
    <row r="66615" customFormat="false" ht="12.8" hidden="false" customHeight="false" outlineLevel="0" collapsed="false">
      <c r="B66615" s="0" t="s">
        <v>615</v>
      </c>
    </row>
    <row r="66617" customFormat="false" ht="12.8" hidden="false" customHeight="false" outlineLevel="0" collapsed="false">
      <c r="A66617" s="0" t="s">
        <v>22715</v>
      </c>
      <c r="B66617" s="0" t="str">
        <f aca="false">HYPERLINK("https://lindat.mff.cuni.cz/services/teitok/pdtc10/index.php?action=vallex&amp;frame=v-w9142f1", "zasluhovat si (v-w9142f1)")</f>
        <v>zasluhovat si (v-w9142f1)</v>
      </c>
    </row>
    <row r="66618" customFormat="false" ht="12.8" hidden="false" customHeight="false" outlineLevel="0" collapsed="false">
      <c r="B66618" s="0" t="s">
        <v>7</v>
      </c>
      <c r="C66618" s="0" t="s">
        <v>1874</v>
      </c>
      <c r="D66618" s="0" t="s">
        <v>504</v>
      </c>
      <c r="E66618" s="0" t="s">
        <v>504</v>
      </c>
      <c r="F66618" s="0" t="s">
        <v>504</v>
      </c>
    </row>
    <row r="66619" customFormat="false" ht="12.8" hidden="false" customHeight="false" outlineLevel="0" collapsed="false">
      <c r="B66619" s="0" t="s">
        <v>2313</v>
      </c>
      <c r="C66619" s="0" t="s">
        <v>1289</v>
      </c>
      <c r="D66619" s="0" t="s">
        <v>159</v>
      </c>
      <c r="E66619" s="0" t="s">
        <v>159</v>
      </c>
      <c r="F66619" s="0" t="s">
        <v>159</v>
      </c>
    </row>
    <row r="66620" customFormat="false" ht="12.8" hidden="false" customHeight="false" outlineLevel="0" collapsed="false">
      <c r="B66620" s="0" t="s">
        <v>441</v>
      </c>
    </row>
    <row r="66622" customFormat="false" ht="12.8" hidden="false" customHeight="false" outlineLevel="0" collapsed="false">
      <c r="A66622" s="0" t="s">
        <v>22716</v>
      </c>
      <c r="B66622" s="0" t="str">
        <f aca="false">HYPERLINK("https://lindat.mff.cuni.cz/services/teitok/pdtc10/index.php?action=vallex&amp;frame=v-w9144f1", "zasmečovat si (v-w9144f1)")</f>
        <v>zasmečovat si (v-w9144f1)</v>
      </c>
    </row>
    <row r="66623" customFormat="false" ht="12.8" hidden="false" customHeight="false" outlineLevel="0" collapsed="false">
      <c r="B66623" s="0" t="s">
        <v>7</v>
      </c>
    </row>
    <row r="66625" customFormat="false" ht="12.8" hidden="false" customHeight="false" outlineLevel="0" collapsed="false">
      <c r="A66625" s="0" t="s">
        <v>22717</v>
      </c>
      <c r="B66625" s="0" t="str">
        <f aca="false">HYPERLINK("https://lindat.mff.cuni.cz/services/teitok/pdtc10/index.php?action=vallex&amp;frame=v-w12153_ZUf1_ZU", "zasmrdět (v-w12153_ZUf1_ZU)")</f>
        <v>zasmrdět (v-w12153_ZUf1_ZU)</v>
      </c>
    </row>
    <row r="66626" customFormat="false" ht="12.8" hidden="false" customHeight="false" outlineLevel="0" collapsed="false">
      <c r="B66626" s="0" t="s">
        <v>7</v>
      </c>
    </row>
    <row r="66627" customFormat="false" ht="12.8" hidden="false" customHeight="false" outlineLevel="0" collapsed="false">
      <c r="B66627" s="0" t="s">
        <v>14</v>
      </c>
    </row>
    <row r="66629" customFormat="false" ht="12.8" hidden="false" customHeight="false" outlineLevel="0" collapsed="false">
      <c r="A66629" s="0" t="s">
        <v>22718</v>
      </c>
      <c r="B66629" s="0" t="str">
        <f aca="false">HYPERLINK("https://lindat.mff.cuni.cz/services/teitok/pdtc10/index.php?action=vallex&amp;frame=v-w9143hsa_440", "zasmát se (v-w9143hsa_440)")</f>
        <v>zasmát se (v-w9143hsa_440)</v>
      </c>
    </row>
    <row r="66630" customFormat="false" ht="12.8" hidden="false" customHeight="false" outlineLevel="0" collapsed="false">
      <c r="B66630" s="0" t="s">
        <v>7</v>
      </c>
    </row>
    <row r="66631" customFormat="false" ht="12.8" hidden="false" customHeight="false" outlineLevel="0" collapsed="false">
      <c r="B66631" s="0" t="s">
        <v>6998</v>
      </c>
    </row>
    <row r="66633" customFormat="false" ht="12.8" hidden="false" customHeight="false" outlineLevel="0" collapsed="false">
      <c r="A66633" s="0" t="s">
        <v>22718</v>
      </c>
      <c r="B66633" s="0" t="str">
        <f aca="false">HYPERLINK("https://lindat.mff.cuni.cz/services/teitok/pdtc10/index.php?action=vallex&amp;frame=v-w9143f1", "zasmát se (v-w9143f1) - substituted with v-w9143hsa_440")</f>
        <v>zasmát se (v-w9143f1) - substituted with v-w9143hsa_440</v>
      </c>
    </row>
    <row r="66634" customFormat="false" ht="12.8" hidden="false" customHeight="false" outlineLevel="0" collapsed="false">
      <c r="B66634" s="0" t="s">
        <v>7</v>
      </c>
      <c r="E66634" s="0" t="s">
        <v>569</v>
      </c>
      <c r="F66634" s="0" t="s">
        <v>569</v>
      </c>
    </row>
    <row r="66635" customFormat="false" ht="12.8" hidden="false" customHeight="false" outlineLevel="0" collapsed="false">
      <c r="B66635" s="0" t="s">
        <v>6998</v>
      </c>
      <c r="E66635" s="0" t="s">
        <v>3694</v>
      </c>
      <c r="F66635" s="0" t="s">
        <v>3694</v>
      </c>
    </row>
    <row r="66637" customFormat="false" ht="12.8" hidden="false" customHeight="false" outlineLevel="0" collapsed="false">
      <c r="A66637" s="0" t="s">
        <v>22719</v>
      </c>
      <c r="B66637" s="0" t="str">
        <f aca="false">HYPERLINK("https://lindat.mff.cuni.cz/services/teitok/pdtc10/index.php?action=vallex&amp;frame=v-w11416f1", "zasnoubit se (v-w11416f1)")</f>
        <v>zasnoubit se (v-w11416f1)</v>
      </c>
    </row>
    <row r="66638" customFormat="false" ht="12.8" hidden="false" customHeight="false" outlineLevel="0" collapsed="false">
      <c r="B66638" s="0" t="s">
        <v>7</v>
      </c>
    </row>
    <row r="66639" customFormat="false" ht="12.8" hidden="false" customHeight="false" outlineLevel="0" collapsed="false">
      <c r="B66639" s="0" t="s">
        <v>548</v>
      </c>
    </row>
    <row r="66641" customFormat="false" ht="12.8" hidden="false" customHeight="false" outlineLevel="0" collapsed="false">
      <c r="A66641" s="0" t="s">
        <v>22720</v>
      </c>
      <c r="B66641" s="0" t="str">
        <f aca="false">HYPERLINK("https://lindat.mff.cuni.cz/services/teitok/pdtc10/index.php?action=vallex&amp;frame=v-w9149f1", "zaspat (v-w9149f1)")</f>
        <v>zaspat (v-w9149f1)</v>
      </c>
    </row>
    <row r="66642" customFormat="false" ht="12.8" hidden="false" customHeight="false" outlineLevel="0" collapsed="false">
      <c r="B66642" s="0" t="s">
        <v>7</v>
      </c>
    </row>
    <row r="66643" customFormat="false" ht="12.8" hidden="false" customHeight="false" outlineLevel="0" collapsed="false">
      <c r="B66643" s="0" t="s">
        <v>297</v>
      </c>
    </row>
    <row r="66645" customFormat="false" ht="12.8" hidden="false" customHeight="false" outlineLevel="0" collapsed="false">
      <c r="A66645" s="0" t="s">
        <v>22721</v>
      </c>
      <c r="B66645" s="0" t="str">
        <f aca="false">HYPERLINK("https://lindat.mff.cuni.cz/services/teitok/pdtc10/index.php?action=vallex&amp;frame=v-w9149f2", "zaspat (v-w9149f2)")</f>
        <v>zaspat (v-w9149f2)</v>
      </c>
    </row>
    <row r="66646" customFormat="false" ht="12.8" hidden="false" customHeight="false" outlineLevel="0" collapsed="false">
      <c r="B66646" s="0" t="s">
        <v>7</v>
      </c>
    </row>
    <row r="66647" customFormat="false" ht="12.8" hidden="false" customHeight="false" outlineLevel="0" collapsed="false">
      <c r="B66647" s="0" t="s">
        <v>297</v>
      </c>
    </row>
    <row r="66649" customFormat="false" ht="12.8" hidden="false" customHeight="false" outlineLevel="0" collapsed="false">
      <c r="A66649" s="0" t="s">
        <v>22722</v>
      </c>
      <c r="B66649" s="0" t="str">
        <f aca="false">HYPERLINK("https://lindat.mff.cuni.cz/services/teitok/pdtc10/index.php?action=vallex&amp;frame=v-w9149f3", "zaspat (v-w9149f3)")</f>
        <v>zaspat (v-w9149f3)</v>
      </c>
    </row>
    <row r="66650" customFormat="false" ht="12.8" hidden="false" customHeight="false" outlineLevel="0" collapsed="false">
      <c r="B66650" s="0" t="s">
        <v>7</v>
      </c>
    </row>
    <row r="66651" customFormat="false" ht="12.8" hidden="false" customHeight="false" outlineLevel="0" collapsed="false">
      <c r="B66651" s="0" t="s">
        <v>297</v>
      </c>
    </row>
    <row r="66653" customFormat="false" ht="12.8" hidden="false" customHeight="false" outlineLevel="0" collapsed="false">
      <c r="A66653" s="0" t="s">
        <v>22723</v>
      </c>
      <c r="B66653" s="0" t="str">
        <f aca="false">HYPERLINK("https://lindat.mff.cuni.cz/services/teitok/pdtc10/index.php?action=vallex&amp;frame=v-whsa_1606hsa_1607", "zasportovat si (v-whsa_1606hsa_1607)")</f>
        <v>zasportovat si (v-whsa_1606hsa_1607)</v>
      </c>
    </row>
    <row r="66654" customFormat="false" ht="12.8" hidden="false" customHeight="false" outlineLevel="0" collapsed="false">
      <c r="B66654" s="0" t="s">
        <v>7</v>
      </c>
    </row>
    <row r="66656" customFormat="false" ht="12.8" hidden="false" customHeight="false" outlineLevel="0" collapsed="false">
      <c r="A66656" s="0" t="s">
        <v>22724</v>
      </c>
      <c r="B66656" s="0" t="str">
        <f aca="false">HYPERLINK("https://lindat.mff.cuni.cz/services/teitok/pdtc10/index.php?action=vallex&amp;frame=v-whsa_1147hsa_1148", "zastarat (v-whsa_1147hsa_1148)")</f>
        <v>zastarat (v-whsa_1147hsa_1148)</v>
      </c>
    </row>
    <row r="66657" customFormat="false" ht="12.8" hidden="false" customHeight="false" outlineLevel="0" collapsed="false">
      <c r="B66657" s="0" t="s">
        <v>7</v>
      </c>
      <c r="D66657" s="0" t="s">
        <v>8473</v>
      </c>
      <c r="E66657" s="0" t="s">
        <v>8473</v>
      </c>
      <c r="F66657" s="0" t="s">
        <v>8473</v>
      </c>
    </row>
    <row r="66659" customFormat="false" ht="12.8" hidden="false" customHeight="false" outlineLevel="0" collapsed="false">
      <c r="A66659" s="0" t="s">
        <v>22725</v>
      </c>
      <c r="B66659" s="0" t="str">
        <f aca="false">HYPERLINK("https://lindat.mff.cuni.cz/services/teitok/pdtc10/index.php?action=vallex&amp;frame=v-whsa_836hsa_837", "zastarávat (v-whsa_836hsa_837)")</f>
        <v>zastarávat (v-whsa_836hsa_837)</v>
      </c>
    </row>
    <row r="66660" customFormat="false" ht="12.8" hidden="false" customHeight="false" outlineLevel="0" collapsed="false">
      <c r="B66660" s="0" t="s">
        <v>7</v>
      </c>
      <c r="C66660" s="0" t="s">
        <v>6540</v>
      </c>
      <c r="D66660" s="0" t="s">
        <v>8473</v>
      </c>
      <c r="E66660" s="0" t="s">
        <v>8473</v>
      </c>
      <c r="F66660" s="0" t="s">
        <v>8473</v>
      </c>
    </row>
    <row r="66662" customFormat="false" ht="12.8" hidden="false" customHeight="false" outlineLevel="0" collapsed="false">
      <c r="A66662" s="0" t="s">
        <v>22726</v>
      </c>
      <c r="B66662" s="0" t="str">
        <f aca="false">HYPERLINK("https://lindat.mff.cuni.cz/services/teitok/pdtc10/index.php?action=vallex&amp;frame=v-w9151f1", "zastat (v-w9151f1)")</f>
        <v>zastat (v-w9151f1)</v>
      </c>
    </row>
    <row r="66663" customFormat="false" ht="12.8" hidden="false" customHeight="false" outlineLevel="0" collapsed="false">
      <c r="B66663" s="0" t="s">
        <v>7</v>
      </c>
      <c r="D66663" s="0" t="s">
        <v>10910</v>
      </c>
      <c r="E66663" s="0" t="s">
        <v>10910</v>
      </c>
      <c r="F66663" s="0" t="s">
        <v>10910</v>
      </c>
    </row>
    <row r="66664" customFormat="false" ht="12.8" hidden="false" customHeight="false" outlineLevel="0" collapsed="false">
      <c r="B66664" s="0" t="s">
        <v>14</v>
      </c>
    </row>
    <row r="66666" customFormat="false" ht="12.8" hidden="false" customHeight="false" outlineLevel="0" collapsed="false">
      <c r="A66666" s="0" t="s">
        <v>22727</v>
      </c>
      <c r="B66666" s="0" t="str">
        <f aca="false">HYPERLINK("https://lindat.mff.cuni.cz/services/teitok/pdtc10/index.php?action=vallex&amp;frame=v-w9152f1", "zastat se (v-w9152f1)")</f>
        <v>zastat se (v-w9152f1)</v>
      </c>
    </row>
    <row r="66667" customFormat="false" ht="12.8" hidden="false" customHeight="false" outlineLevel="0" collapsed="false">
      <c r="B66667" s="0" t="s">
        <v>7</v>
      </c>
      <c r="D66667" s="0" t="s">
        <v>411</v>
      </c>
      <c r="E66667" s="0" t="s">
        <v>411</v>
      </c>
      <c r="F66667" s="0" t="s">
        <v>411</v>
      </c>
    </row>
    <row r="66668" customFormat="false" ht="12.8" hidden="false" customHeight="false" outlineLevel="0" collapsed="false">
      <c r="B66668" s="0" t="s">
        <v>1087</v>
      </c>
      <c r="D66668" s="0" t="s">
        <v>414</v>
      </c>
      <c r="E66668" s="0" t="s">
        <v>414</v>
      </c>
      <c r="F66668" s="0" t="s">
        <v>414</v>
      </c>
    </row>
    <row r="66670" customFormat="false" ht="12.8" hidden="false" customHeight="false" outlineLevel="0" collapsed="false">
      <c r="A66670" s="0" t="s">
        <v>22728</v>
      </c>
      <c r="B66670" s="0" t="str">
        <f aca="false">HYPERLINK("https://lindat.mff.cuni.cz/services/teitok/pdtc10/index.php?action=vallex&amp;frame=v-w9160f1", "zastavit (v-w9160f1)")</f>
        <v>zastavit (v-w9160f1)</v>
      </c>
    </row>
    <row r="66671" customFormat="false" ht="12.8" hidden="false" customHeight="false" outlineLevel="0" collapsed="false">
      <c r="B66671" s="0" t="s">
        <v>7</v>
      </c>
      <c r="C66671" s="0" t="s">
        <v>22729</v>
      </c>
      <c r="D66671" s="0" t="s">
        <v>1943</v>
      </c>
      <c r="E66671" s="0" t="s">
        <v>1944</v>
      </c>
      <c r="F66671" s="0" t="s">
        <v>1944</v>
      </c>
    </row>
    <row r="66672" customFormat="false" ht="12.8" hidden="false" customHeight="false" outlineLevel="0" collapsed="false">
      <c r="B66672" s="0" t="s">
        <v>14</v>
      </c>
      <c r="C66672" s="0" t="s">
        <v>22730</v>
      </c>
      <c r="D66672" s="0" t="s">
        <v>1946</v>
      </c>
      <c r="E66672" s="0" t="s">
        <v>1947</v>
      </c>
      <c r="F66672" s="0" t="s">
        <v>1947</v>
      </c>
    </row>
    <row r="66674" customFormat="false" ht="12.8" hidden="false" customHeight="false" outlineLevel="0" collapsed="false">
      <c r="A66674" s="0" t="s">
        <v>22731</v>
      </c>
      <c r="B66674" s="0" t="str">
        <f aca="false">HYPERLINK("https://lindat.mff.cuni.cz/services/teitok/pdtc10/index.php?action=vallex&amp;frame=v-w9160f2", "zastavit (v-w9160f2)")</f>
        <v>zastavit (v-w9160f2)</v>
      </c>
    </row>
    <row r="66675" customFormat="false" ht="12.8" hidden="false" customHeight="false" outlineLevel="0" collapsed="false">
      <c r="B66675" s="0" t="s">
        <v>7</v>
      </c>
    </row>
    <row r="66676" customFormat="false" ht="12.8" hidden="false" customHeight="false" outlineLevel="0" collapsed="false">
      <c r="B66676" s="0" t="s">
        <v>14</v>
      </c>
      <c r="C66676" s="0" t="s">
        <v>155</v>
      </c>
    </row>
    <row r="66678" customFormat="false" ht="12.8" hidden="false" customHeight="false" outlineLevel="0" collapsed="false">
      <c r="A66678" s="0" t="s">
        <v>22732</v>
      </c>
      <c r="B66678" s="0" t="str">
        <f aca="false">HYPERLINK("https://lindat.mff.cuni.cz/services/teitok/pdtc10/index.php?action=vallex&amp;frame=v-w9160f7_ZU", "zastavit (v-w9160f7_ZU)")</f>
        <v>zastavit (v-w9160f7_ZU)</v>
      </c>
    </row>
    <row r="66679" customFormat="false" ht="12.8" hidden="false" customHeight="false" outlineLevel="0" collapsed="false">
      <c r="B66679" s="0" t="s">
        <v>7</v>
      </c>
    </row>
    <row r="66680" customFormat="false" ht="12.8" hidden="false" customHeight="false" outlineLevel="0" collapsed="false">
      <c r="B66680" s="0" t="s">
        <v>14</v>
      </c>
    </row>
    <row r="66682" customFormat="false" ht="12.8" hidden="false" customHeight="false" outlineLevel="0" collapsed="false">
      <c r="A66682" s="0" t="s">
        <v>22732</v>
      </c>
      <c r="B66682" s="0" t="str">
        <f aca="false">HYPERLINK("https://lindat.mff.cuni.cz/services/teitok/pdtc10/index.php?action=vallex&amp;frame=v-w9160f3", "zastavit (v-w9160f3) - substituted with v-w9160f7_ZU")</f>
        <v>zastavit (v-w9160f3) - substituted with v-w9160f7_ZU</v>
      </c>
    </row>
    <row r="66683" customFormat="false" ht="12.8" hidden="false" customHeight="false" outlineLevel="0" collapsed="false">
      <c r="B66683" s="0" t="s">
        <v>7</v>
      </c>
      <c r="C66683" s="0" t="s">
        <v>6199</v>
      </c>
      <c r="D66683" s="0" t="s">
        <v>13122</v>
      </c>
      <c r="E66683" s="0" t="s">
        <v>13122</v>
      </c>
      <c r="F66683" s="0" t="s">
        <v>13122</v>
      </c>
    </row>
    <row r="66684" customFormat="false" ht="12.8" hidden="false" customHeight="false" outlineLevel="0" collapsed="false">
      <c r="B66684" s="0" t="s">
        <v>14</v>
      </c>
      <c r="C66684" s="0" t="s">
        <v>22733</v>
      </c>
      <c r="D66684" s="0" t="s">
        <v>13124</v>
      </c>
      <c r="E66684" s="0" t="s">
        <v>13124</v>
      </c>
      <c r="F66684" s="0" t="s">
        <v>13124</v>
      </c>
    </row>
    <row r="66686" customFormat="false" ht="12.8" hidden="false" customHeight="false" outlineLevel="0" collapsed="false">
      <c r="A66686" s="0" t="s">
        <v>22734</v>
      </c>
      <c r="B66686" s="0" t="str">
        <f aca="false">HYPERLINK("https://lindat.mff.cuni.cz/services/teitok/pdtc10/index.php?action=vallex&amp;frame=v-w9160f6_ZU", "zastavit (v-w9160f6_ZU)")</f>
        <v>zastavit (v-w9160f6_ZU)</v>
      </c>
    </row>
    <row r="66687" customFormat="false" ht="12.8" hidden="false" customHeight="false" outlineLevel="0" collapsed="false">
      <c r="B66687" s="0" t="s">
        <v>7</v>
      </c>
    </row>
    <row r="66689" customFormat="false" ht="12.8" hidden="false" customHeight="false" outlineLevel="0" collapsed="false">
      <c r="A66689" s="0" t="s">
        <v>22734</v>
      </c>
      <c r="B66689" s="0" t="str">
        <f aca="false">HYPERLINK("https://lindat.mff.cuni.cz/services/teitok/pdtc10/index.php?action=vallex&amp;frame=v-w9160f4", "zastavit (v-w9160f4) - substituted with v-w9160f6_ZU")</f>
        <v>zastavit (v-w9160f4) - substituted with v-w9160f6_ZU</v>
      </c>
    </row>
    <row r="66690" customFormat="false" ht="12.8" hidden="false" customHeight="false" outlineLevel="0" collapsed="false">
      <c r="B66690" s="0" t="s">
        <v>7</v>
      </c>
      <c r="C66690" s="0" t="s">
        <v>22735</v>
      </c>
      <c r="D66690" s="0" t="s">
        <v>16307</v>
      </c>
      <c r="E66690" s="0" t="s">
        <v>16307</v>
      </c>
      <c r="F66690" s="0" t="s">
        <v>16307</v>
      </c>
    </row>
    <row r="66692" customFormat="false" ht="12.8" hidden="false" customHeight="false" outlineLevel="0" collapsed="false">
      <c r="A66692" s="0" t="s">
        <v>22736</v>
      </c>
      <c r="B66692" s="0" t="str">
        <f aca="false">HYPERLINK("https://lindat.mff.cuni.cz/services/teitok/pdtc10/index.php?action=vallex&amp;frame=v-w9160f5_ZU", "zastavit (v-w9160f5_ZU)")</f>
        <v>zastavit (v-w9160f5_ZU)</v>
      </c>
    </row>
    <row r="66693" customFormat="false" ht="12.8" hidden="false" customHeight="false" outlineLevel="0" collapsed="false">
      <c r="B66693" s="0" t="s">
        <v>7</v>
      </c>
      <c r="C66693" s="0" t="s">
        <v>184</v>
      </c>
    </row>
    <row r="66694" customFormat="false" ht="12.8" hidden="false" customHeight="false" outlineLevel="0" collapsed="false">
      <c r="B66694" s="0" t="s">
        <v>387</v>
      </c>
      <c r="C66694" s="0" t="s">
        <v>18</v>
      </c>
    </row>
    <row r="66695" customFormat="false" ht="12.8" hidden="false" customHeight="false" outlineLevel="0" collapsed="false">
      <c r="B66695" s="0" t="s">
        <v>81</v>
      </c>
      <c r="C66695" s="0" t="s">
        <v>3426</v>
      </c>
    </row>
    <row r="66697" customFormat="false" ht="12.8" hidden="false" customHeight="false" outlineLevel="0" collapsed="false">
      <c r="A66697" s="0" t="s">
        <v>22737</v>
      </c>
      <c r="B66697" s="0" t="str">
        <f aca="false">HYPERLINK("https://lindat.mff.cuni.cz/services/teitok/pdtc10/index.php?action=vallex&amp;frame=v-w9160hsa_960", "zastavit (v-w9160hsa_960)")</f>
        <v>zastavit (v-w9160hsa_960)</v>
      </c>
    </row>
    <row r="66698" customFormat="false" ht="12.8" hidden="false" customHeight="false" outlineLevel="0" collapsed="false">
      <c r="B66698" s="0" t="s">
        <v>7</v>
      </c>
    </row>
    <row r="66699" customFormat="false" ht="12.8" hidden="false" customHeight="false" outlineLevel="0" collapsed="false">
      <c r="B66699" s="0" t="s">
        <v>14</v>
      </c>
    </row>
    <row r="66701" customFormat="false" ht="12.8" hidden="false" customHeight="false" outlineLevel="0" collapsed="false">
      <c r="A66701" s="0" t="s">
        <v>22738</v>
      </c>
      <c r="B66701" s="0" t="str">
        <f aca="false">HYPERLINK("https://lindat.mff.cuni.cz/services/teitok/pdtc10/index.php?action=vallex&amp;frame=v-w9161f1", "zastavit se (v-w9161f1)")</f>
        <v>zastavit se (v-w9161f1)</v>
      </c>
    </row>
    <row r="66702" customFormat="false" ht="12.8" hidden="false" customHeight="false" outlineLevel="0" collapsed="false">
      <c r="B66702" s="0" t="s">
        <v>7</v>
      </c>
      <c r="C66702" s="0" t="s">
        <v>22739</v>
      </c>
      <c r="D66702" s="0" t="s">
        <v>22740</v>
      </c>
      <c r="E66702" s="0" t="s">
        <v>22740</v>
      </c>
      <c r="F66702" s="0" t="s">
        <v>22740</v>
      </c>
    </row>
    <row r="66703" customFormat="false" ht="12.8" hidden="false" customHeight="false" outlineLevel="0" collapsed="false">
      <c r="B66703" s="0" t="s">
        <v>11</v>
      </c>
      <c r="C66703" s="0" t="s">
        <v>22741</v>
      </c>
      <c r="D66703" s="0" t="s">
        <v>22742</v>
      </c>
      <c r="E66703" s="0" t="s">
        <v>22742</v>
      </c>
      <c r="F66703" s="0" t="s">
        <v>22742</v>
      </c>
    </row>
    <row r="66705" customFormat="false" ht="12.8" hidden="false" customHeight="false" outlineLevel="0" collapsed="false">
      <c r="A66705" s="0" t="s">
        <v>22743</v>
      </c>
      <c r="B66705" s="0" t="str">
        <f aca="false">HYPERLINK("https://lindat.mff.cuni.cz/services/teitok/pdtc10/index.php?action=vallex&amp;frame=v-w9161f2", "zastavit se (v-w9161f2)")</f>
        <v>zastavit se (v-w9161f2)</v>
      </c>
    </row>
    <row r="66706" customFormat="false" ht="12.8" hidden="false" customHeight="false" outlineLevel="0" collapsed="false">
      <c r="B66706" s="0" t="s">
        <v>7</v>
      </c>
      <c r="C66706" s="0" t="s">
        <v>22744</v>
      </c>
      <c r="D66706" s="0" t="s">
        <v>22745</v>
      </c>
      <c r="E66706" s="0" t="s">
        <v>22745</v>
      </c>
      <c r="F66706" s="0" t="s">
        <v>22745</v>
      </c>
    </row>
    <row r="66708" customFormat="false" ht="12.8" hidden="false" customHeight="false" outlineLevel="0" collapsed="false">
      <c r="A66708" s="0" t="s">
        <v>22746</v>
      </c>
      <c r="B66708" s="0" t="str">
        <f aca="false">HYPERLINK("https://lindat.mff.cuni.cz/services/teitok/pdtc10/index.php?action=vallex&amp;frame=v-w9161f3", "zastavit se (v-w9161f3)")</f>
        <v>zastavit se (v-w9161f3)</v>
      </c>
    </row>
    <row r="66709" customFormat="false" ht="12.8" hidden="false" customHeight="false" outlineLevel="0" collapsed="false">
      <c r="B66709" s="0" t="s">
        <v>7</v>
      </c>
      <c r="C66709" s="0" t="s">
        <v>22747</v>
      </c>
      <c r="D66709" s="0" t="s">
        <v>22748</v>
      </c>
      <c r="E66709" s="0" t="s">
        <v>22748</v>
      </c>
      <c r="F66709" s="0" t="s">
        <v>22748</v>
      </c>
    </row>
    <row r="66711" customFormat="false" ht="12.8" hidden="false" customHeight="false" outlineLevel="0" collapsed="false">
      <c r="A66711" s="0" t="s">
        <v>22749</v>
      </c>
      <c r="B66711" s="0" t="str">
        <f aca="false">HYPERLINK("https://lindat.mff.cuni.cz/services/teitok/pdtc10/index.php?action=vallex&amp;frame=v-w9161f4_ZU", "zastavit se (v-w9161f4_ZU)")</f>
        <v>zastavit se (v-w9161f4_ZU)</v>
      </c>
    </row>
    <row r="66712" customFormat="false" ht="12.8" hidden="false" customHeight="false" outlineLevel="0" collapsed="false">
      <c r="B66712" s="0" t="s">
        <v>7</v>
      </c>
      <c r="C66712" s="0" t="s">
        <v>113</v>
      </c>
    </row>
    <row r="66714" customFormat="false" ht="12.8" hidden="false" customHeight="false" outlineLevel="0" collapsed="false">
      <c r="A66714" s="0" t="s">
        <v>22750</v>
      </c>
      <c r="B66714" s="0" t="str">
        <f aca="false">HYPERLINK("https://lindat.mff.cuni.cz/services/teitok/pdtc10/index.php?action=vallex&amp;frame=v-w9162f1", "zastavovat (v-w9162f1)")</f>
        <v>zastavovat (v-w9162f1)</v>
      </c>
    </row>
    <row r="66715" customFormat="false" ht="12.8" hidden="false" customHeight="false" outlineLevel="0" collapsed="false">
      <c r="B66715" s="0" t="s">
        <v>7</v>
      </c>
    </row>
    <row r="66716" customFormat="false" ht="12.8" hidden="false" customHeight="false" outlineLevel="0" collapsed="false">
      <c r="B66716" s="0" t="s">
        <v>14</v>
      </c>
    </row>
    <row r="66718" customFormat="false" ht="12.8" hidden="false" customHeight="false" outlineLevel="0" collapsed="false">
      <c r="A66718" s="0" t="s">
        <v>22751</v>
      </c>
      <c r="B66718" s="0" t="str">
        <f aca="false">HYPERLINK("https://lindat.mff.cuni.cz/services/teitok/pdtc10/index.php?action=vallex&amp;frame=v-w9162f3", "zastavovat (v-w9162f3)")</f>
        <v>zastavovat (v-w9162f3)</v>
      </c>
    </row>
    <row r="66719" customFormat="false" ht="12.8" hidden="false" customHeight="false" outlineLevel="0" collapsed="false">
      <c r="B66719" s="0" t="s">
        <v>7</v>
      </c>
      <c r="C66719" s="0" t="s">
        <v>22752</v>
      </c>
      <c r="D66719" s="0" t="s">
        <v>7397</v>
      </c>
      <c r="E66719" s="0" t="s">
        <v>7397</v>
      </c>
      <c r="F66719" s="0" t="s">
        <v>7397</v>
      </c>
    </row>
    <row r="66720" customFormat="false" ht="12.8" hidden="false" customHeight="false" outlineLevel="0" collapsed="false">
      <c r="B66720" s="0" t="s">
        <v>14</v>
      </c>
      <c r="C66720" s="0" t="s">
        <v>2739</v>
      </c>
      <c r="D66720" s="0" t="s">
        <v>7398</v>
      </c>
      <c r="E66720" s="0" t="s">
        <v>7398</v>
      </c>
      <c r="F66720" s="0" t="s">
        <v>7398</v>
      </c>
    </row>
    <row r="66722" customFormat="false" ht="12.8" hidden="false" customHeight="false" outlineLevel="0" collapsed="false">
      <c r="A66722" s="0" t="s">
        <v>22753</v>
      </c>
      <c r="B66722" s="0" t="str">
        <f aca="false">HYPERLINK("https://lindat.mff.cuni.cz/services/teitok/pdtc10/index.php?action=vallex&amp;frame=v-w9162f4", "zastavovat (v-w9162f4)")</f>
        <v>zastavovat (v-w9162f4)</v>
      </c>
    </row>
    <row r="66723" customFormat="false" ht="12.8" hidden="false" customHeight="false" outlineLevel="0" collapsed="false">
      <c r="B66723" s="0" t="s">
        <v>7</v>
      </c>
      <c r="C66723" s="0" t="s">
        <v>16</v>
      </c>
      <c r="D66723" s="0" t="s">
        <v>13122</v>
      </c>
      <c r="E66723" s="0" t="s">
        <v>13122</v>
      </c>
      <c r="F66723" s="0" t="s">
        <v>13122</v>
      </c>
    </row>
    <row r="66724" customFormat="false" ht="12.8" hidden="false" customHeight="false" outlineLevel="0" collapsed="false">
      <c r="B66724" s="0" t="s">
        <v>14</v>
      </c>
      <c r="D66724" s="0" t="s">
        <v>13124</v>
      </c>
      <c r="E66724" s="0" t="s">
        <v>13124</v>
      </c>
      <c r="F66724" s="0" t="s">
        <v>13124</v>
      </c>
    </row>
    <row r="66726" customFormat="false" ht="12.8" hidden="false" customHeight="false" outlineLevel="0" collapsed="false">
      <c r="A66726" s="0" t="s">
        <v>22754</v>
      </c>
      <c r="B66726" s="0" t="str">
        <f aca="false">HYPERLINK("https://lindat.mff.cuni.cz/services/teitok/pdtc10/index.php?action=vallex&amp;frame=v-w9162f2", "zastavovat (v-w9162f2)")</f>
        <v>zastavovat (v-w9162f2)</v>
      </c>
    </row>
    <row r="66727" customFormat="false" ht="12.8" hidden="false" customHeight="false" outlineLevel="0" collapsed="false">
      <c r="B66727" s="0" t="s">
        <v>7</v>
      </c>
      <c r="D66727" s="0" t="s">
        <v>16307</v>
      </c>
      <c r="E66727" s="0" t="s">
        <v>16307</v>
      </c>
      <c r="F66727" s="0" t="s">
        <v>16307</v>
      </c>
    </row>
    <row r="66729" customFormat="false" ht="12.8" hidden="false" customHeight="false" outlineLevel="0" collapsed="false">
      <c r="A66729" s="0" t="s">
        <v>22755</v>
      </c>
      <c r="B66729" s="0" t="str">
        <f aca="false">HYPERLINK("https://lindat.mff.cuni.cz/services/teitok/pdtc10/index.php?action=vallex&amp;frame=v-w9163f1", "zastavovat se (v-w9163f1)")</f>
        <v>zastavovat se (v-w9163f1)</v>
      </c>
    </row>
    <row r="66730" customFormat="false" ht="12.8" hidden="false" customHeight="false" outlineLevel="0" collapsed="false">
      <c r="B66730" s="0" t="s">
        <v>7</v>
      </c>
      <c r="C66730" s="0" t="s">
        <v>1627</v>
      </c>
    </row>
    <row r="66732" customFormat="false" ht="12.8" hidden="false" customHeight="false" outlineLevel="0" collapsed="false">
      <c r="A66732" s="0" t="s">
        <v>22756</v>
      </c>
      <c r="B66732" s="0" t="str">
        <f aca="false">HYPERLINK("https://lindat.mff.cuni.cz/services/teitok/pdtc10/index.php?action=vallex&amp;frame=v-w11904_ZUf1_ZU", "zastavět (v-w11904_ZUf1_ZU)")</f>
        <v>zastavět (v-w11904_ZUf1_ZU)</v>
      </c>
    </row>
    <row r="66733" customFormat="false" ht="12.8" hidden="false" customHeight="false" outlineLevel="0" collapsed="false">
      <c r="B66733" s="0" t="s">
        <v>7</v>
      </c>
    </row>
    <row r="66734" customFormat="false" ht="12.8" hidden="false" customHeight="false" outlineLevel="0" collapsed="false">
      <c r="B66734" s="0" t="s">
        <v>14</v>
      </c>
    </row>
    <row r="66736" customFormat="false" ht="12.8" hidden="false" customHeight="false" outlineLevel="0" collapsed="false">
      <c r="A66736" s="0" t="s">
        <v>22757</v>
      </c>
      <c r="B66736" s="0" t="str">
        <f aca="false">HYPERLINK("https://lindat.mff.cuni.cz/services/teitok/pdtc10/index.php?action=vallex&amp;frame=v-w9164f1", "zastihnout (v-w9164f1)")</f>
        <v>zastihnout (v-w9164f1)</v>
      </c>
    </row>
    <row r="66737" customFormat="false" ht="12.8" hidden="false" customHeight="false" outlineLevel="0" collapsed="false">
      <c r="B66737" s="0" t="s">
        <v>7</v>
      </c>
      <c r="C66737" s="0" t="s">
        <v>248</v>
      </c>
      <c r="D66737" s="0" t="s">
        <v>1332</v>
      </c>
      <c r="E66737" s="0" t="s">
        <v>1332</v>
      </c>
      <c r="F66737" s="0" t="s">
        <v>1332</v>
      </c>
    </row>
    <row r="66738" customFormat="false" ht="12.8" hidden="false" customHeight="false" outlineLevel="0" collapsed="false">
      <c r="B66738" s="0" t="s">
        <v>14</v>
      </c>
      <c r="C66738" s="0" t="s">
        <v>4163</v>
      </c>
      <c r="D66738" s="0" t="s">
        <v>414</v>
      </c>
      <c r="E66738" s="0" t="s">
        <v>414</v>
      </c>
      <c r="F66738" s="0" t="s">
        <v>414</v>
      </c>
    </row>
    <row r="66740" customFormat="false" ht="12.8" hidden="false" customHeight="false" outlineLevel="0" collapsed="false">
      <c r="A66740" s="0" t="s">
        <v>22758</v>
      </c>
      <c r="B66740" s="0" t="str">
        <f aca="false">HYPERLINK("https://lindat.mff.cuni.cz/services/teitok/pdtc10/index.php?action=vallex&amp;frame=v-w9164f2_ZU", "zastihnout (v-w9164f2_ZU)")</f>
        <v>zastihnout (v-w9164f2_ZU)</v>
      </c>
    </row>
    <row r="66741" customFormat="false" ht="12.8" hidden="false" customHeight="false" outlineLevel="0" collapsed="false">
      <c r="B66741" s="0" t="s">
        <v>7</v>
      </c>
      <c r="C66741" s="0" t="s">
        <v>191</v>
      </c>
    </row>
    <row r="66742" customFormat="false" ht="12.8" hidden="false" customHeight="false" outlineLevel="0" collapsed="false">
      <c r="B66742" s="0" t="s">
        <v>14</v>
      </c>
      <c r="C66742" s="0" t="s">
        <v>78</v>
      </c>
    </row>
    <row r="66743" customFormat="false" ht="12.8" hidden="false" customHeight="false" outlineLevel="0" collapsed="false">
      <c r="B66743" s="0" t="s">
        <v>22759</v>
      </c>
      <c r="C66743" s="0" t="s">
        <v>15468</v>
      </c>
    </row>
    <row r="66745" customFormat="false" ht="12.8" hidden="false" customHeight="false" outlineLevel="0" collapsed="false">
      <c r="A66745" s="0" t="s">
        <v>22758</v>
      </c>
      <c r="B66745" s="0" t="str">
        <f aca="false">HYPERLINK("https://lindat.mff.cuni.cz/services/teitok/pdtc10/index.php?action=vallex&amp;frame=v-w9164hsa_464", "zastihnout (v-w9164hsa_464) - substituted with v-w9164f2_ZU")</f>
        <v>zastihnout (v-w9164hsa_464) - substituted with v-w9164f2_ZU</v>
      </c>
    </row>
    <row r="66746" customFormat="false" ht="12.8" hidden="false" customHeight="false" outlineLevel="0" collapsed="false">
      <c r="B66746" s="0" t="s">
        <v>7</v>
      </c>
    </row>
    <row r="66747" customFormat="false" ht="12.8" hidden="false" customHeight="false" outlineLevel="0" collapsed="false">
      <c r="B66747" s="0" t="s">
        <v>14</v>
      </c>
    </row>
    <row r="66748" customFormat="false" ht="12.8" hidden="false" customHeight="false" outlineLevel="0" collapsed="false">
      <c r="B66748" s="0" t="s">
        <v>22759</v>
      </c>
    </row>
    <row r="66750" customFormat="false" ht="12.8" hidden="false" customHeight="false" outlineLevel="0" collapsed="false">
      <c r="A66750" s="0" t="s">
        <v>22760</v>
      </c>
      <c r="B66750" s="0" t="str">
        <f aca="false">HYPERLINK("https://lindat.mff.cuni.cz/services/teitok/pdtc10/index.php?action=vallex&amp;frame=v-w9166f3", "zastiňovat (v-w9166f3)")</f>
        <v>zastiňovat (v-w9166f3)</v>
      </c>
    </row>
    <row r="66751" customFormat="false" ht="12.8" hidden="false" customHeight="false" outlineLevel="0" collapsed="false">
      <c r="B66751" s="0" t="s">
        <v>7</v>
      </c>
    </row>
    <row r="66752" customFormat="false" ht="12.8" hidden="false" customHeight="false" outlineLevel="0" collapsed="false">
      <c r="B66752" s="0" t="s">
        <v>3742</v>
      </c>
    </row>
    <row r="66753" customFormat="false" ht="12.8" hidden="false" customHeight="false" outlineLevel="0" collapsed="false">
      <c r="B66753" s="0" t="s">
        <v>3743</v>
      </c>
    </row>
    <row r="66755" customFormat="false" ht="12.8" hidden="false" customHeight="false" outlineLevel="0" collapsed="false">
      <c r="A66755" s="0" t="s">
        <v>22761</v>
      </c>
      <c r="B66755" s="0" t="str">
        <f aca="false">HYPERLINK("https://lindat.mff.cuni.cz/services/teitok/pdtc10/index.php?action=vallex&amp;frame=v-w9166f1", "zastiňovat (v-w9166f1)")</f>
        <v>zastiňovat (v-w9166f1)</v>
      </c>
    </row>
    <row r="66756" customFormat="false" ht="12.8" hidden="false" customHeight="false" outlineLevel="0" collapsed="false">
      <c r="B66756" s="0" t="s">
        <v>7</v>
      </c>
      <c r="C66756" s="0" t="s">
        <v>335</v>
      </c>
    </row>
    <row r="66757" customFormat="false" ht="12.8" hidden="false" customHeight="false" outlineLevel="0" collapsed="false">
      <c r="B66757" s="0" t="s">
        <v>14</v>
      </c>
      <c r="C66757" s="0" t="s">
        <v>384</v>
      </c>
    </row>
    <row r="66759" customFormat="false" ht="12.8" hidden="false" customHeight="false" outlineLevel="0" collapsed="false">
      <c r="A66759" s="0" t="s">
        <v>22762</v>
      </c>
      <c r="B66759" s="0" t="str">
        <f aca="false">HYPERLINK("https://lindat.mff.cuni.cz/services/teitok/pdtc10/index.php?action=vallex&amp;frame=v-w9166f4", "zastiňovat (v-w9166f4)")</f>
        <v>zastiňovat (v-w9166f4)</v>
      </c>
    </row>
    <row r="66760" customFormat="false" ht="12.8" hidden="false" customHeight="false" outlineLevel="0" collapsed="false">
      <c r="B66760" s="0" t="s">
        <v>7</v>
      </c>
      <c r="C66760" s="0" t="s">
        <v>118</v>
      </c>
      <c r="D66760" s="0" t="s">
        <v>1263</v>
      </c>
      <c r="E66760" s="0" t="s">
        <v>1263</v>
      </c>
      <c r="F66760" s="0" t="s">
        <v>1263</v>
      </c>
    </row>
    <row r="66761" customFormat="false" ht="12.8" hidden="false" customHeight="false" outlineLevel="0" collapsed="false">
      <c r="B66761" s="0" t="s">
        <v>14</v>
      </c>
      <c r="C66761" s="0" t="s">
        <v>1209</v>
      </c>
      <c r="D66761" s="0" t="s">
        <v>89</v>
      </c>
      <c r="E66761" s="0" t="s">
        <v>89</v>
      </c>
      <c r="F66761" s="0" t="s">
        <v>89</v>
      </c>
    </row>
    <row r="66763" customFormat="false" ht="12.8" hidden="false" customHeight="false" outlineLevel="0" collapsed="false">
      <c r="A66763" s="0" t="s">
        <v>22763</v>
      </c>
      <c r="B66763" s="0" t="str">
        <f aca="false">HYPERLINK("https://lindat.mff.cuni.cz/services/teitok/pdtc10/index.php?action=vallex&amp;frame=v-w9171f1", "zastoupit (v-w9171f1)")</f>
        <v>zastoupit (v-w9171f1)</v>
      </c>
    </row>
    <row r="66764" customFormat="false" ht="12.8" hidden="false" customHeight="false" outlineLevel="0" collapsed="false">
      <c r="B66764" s="0" t="s">
        <v>7</v>
      </c>
      <c r="C66764" s="0" t="s">
        <v>22764</v>
      </c>
      <c r="D66764" s="0" t="s">
        <v>9918</v>
      </c>
      <c r="E66764" s="0" t="s">
        <v>9918</v>
      </c>
      <c r="F66764" s="0" t="s">
        <v>9918</v>
      </c>
    </row>
    <row r="66765" customFormat="false" ht="12.8" hidden="false" customHeight="false" outlineLevel="0" collapsed="false">
      <c r="B66765" s="0" t="s">
        <v>14</v>
      </c>
      <c r="C66765" s="0" t="s">
        <v>22765</v>
      </c>
      <c r="D66765" s="0" t="s">
        <v>9919</v>
      </c>
      <c r="E66765" s="0" t="s">
        <v>9919</v>
      </c>
      <c r="F66765" s="0" t="s">
        <v>9919</v>
      </c>
    </row>
    <row r="66767" customFormat="false" ht="12.8" hidden="false" customHeight="false" outlineLevel="0" collapsed="false">
      <c r="A66767" s="0" t="s">
        <v>22766</v>
      </c>
      <c r="B66767" s="0" t="str">
        <f aca="false">HYPERLINK("https://lindat.mff.cuni.cz/services/teitok/pdtc10/index.php?action=vallex&amp;frame=v-w9171f2", "zastoupit (v-w9171f2)")</f>
        <v>zastoupit (v-w9171f2)</v>
      </c>
    </row>
    <row r="66768" customFormat="false" ht="12.8" hidden="false" customHeight="false" outlineLevel="0" collapsed="false">
      <c r="B66768" s="0" t="s">
        <v>7</v>
      </c>
      <c r="C66768" s="0" t="s">
        <v>22767</v>
      </c>
    </row>
    <row r="66769" customFormat="false" ht="12.8" hidden="false" customHeight="false" outlineLevel="0" collapsed="false">
      <c r="B66769" s="0" t="s">
        <v>11</v>
      </c>
      <c r="C66769" s="0" t="s">
        <v>10247</v>
      </c>
    </row>
    <row r="66770" customFormat="false" ht="12.8" hidden="false" customHeight="false" outlineLevel="0" collapsed="false">
      <c r="B66770" s="0" t="s">
        <v>2544</v>
      </c>
    </row>
    <row r="66772" customFormat="false" ht="12.8" hidden="false" customHeight="false" outlineLevel="0" collapsed="false">
      <c r="A66772" s="0" t="s">
        <v>22768</v>
      </c>
      <c r="B66772" s="0" t="str">
        <f aca="false">HYPERLINK("https://lindat.mff.cuni.cz/services/teitok/pdtc10/index.php?action=vallex&amp;frame=v-w9172f1", "zastrašit (v-w9172f1)")</f>
        <v>zastrašit (v-w9172f1)</v>
      </c>
    </row>
    <row r="66773" customFormat="false" ht="12.8" hidden="false" customHeight="false" outlineLevel="0" collapsed="false">
      <c r="B66773" s="0" t="s">
        <v>7</v>
      </c>
      <c r="C66773" s="0" t="s">
        <v>31</v>
      </c>
      <c r="D66773" s="0" t="s">
        <v>3576</v>
      </c>
      <c r="E66773" s="0" t="s">
        <v>3576</v>
      </c>
      <c r="F66773" s="0" t="s">
        <v>3576</v>
      </c>
    </row>
    <row r="66774" customFormat="false" ht="12.8" hidden="false" customHeight="false" outlineLevel="0" collapsed="false">
      <c r="B66774" s="0" t="s">
        <v>14</v>
      </c>
      <c r="C66774" s="0" t="s">
        <v>8694</v>
      </c>
      <c r="D66774" s="0" t="s">
        <v>2641</v>
      </c>
      <c r="E66774" s="0" t="s">
        <v>2641</v>
      </c>
      <c r="F66774" s="0" t="s">
        <v>2641</v>
      </c>
    </row>
    <row r="66776" customFormat="false" ht="12.8" hidden="false" customHeight="false" outlineLevel="0" collapsed="false">
      <c r="A66776" s="0" t="s">
        <v>22769</v>
      </c>
      <c r="B66776" s="0" t="str">
        <f aca="false">HYPERLINK("https://lindat.mff.cuni.cz/services/teitok/pdtc10/index.php?action=vallex&amp;frame=v-w9174f1", "zastrašovat (v-w9174f1)")</f>
        <v>zastrašovat (v-w9174f1)</v>
      </c>
    </row>
    <row r="66777" customFormat="false" ht="12.8" hidden="false" customHeight="false" outlineLevel="0" collapsed="false">
      <c r="B66777" s="0" t="s">
        <v>7</v>
      </c>
      <c r="C66777" s="0" t="s">
        <v>184</v>
      </c>
      <c r="D66777" s="0" t="s">
        <v>3576</v>
      </c>
      <c r="E66777" s="0" t="s">
        <v>3576</v>
      </c>
      <c r="F66777" s="0" t="s">
        <v>3576</v>
      </c>
    </row>
    <row r="66778" customFormat="false" ht="12.8" hidden="false" customHeight="false" outlineLevel="0" collapsed="false">
      <c r="B66778" s="0" t="s">
        <v>14</v>
      </c>
      <c r="C66778" s="0" t="s">
        <v>115</v>
      </c>
      <c r="D66778" s="0" t="s">
        <v>2641</v>
      </c>
      <c r="E66778" s="0" t="s">
        <v>2641</v>
      </c>
      <c r="F66778" s="0" t="s">
        <v>2641</v>
      </c>
    </row>
    <row r="66780" customFormat="false" ht="12.8" hidden="false" customHeight="false" outlineLevel="0" collapsed="false">
      <c r="A66780" s="0" t="s">
        <v>22770</v>
      </c>
      <c r="B66780" s="0" t="str">
        <f aca="false">HYPERLINK("https://lindat.mff.cuni.cz/services/teitok/pdtc10/index.php?action=vallex&amp;frame=v-w10565f2", "zastrkovat (v-w10565f2)")</f>
        <v>zastrkovat (v-w10565f2)</v>
      </c>
    </row>
    <row r="66781" customFormat="false" ht="12.8" hidden="false" customHeight="false" outlineLevel="0" collapsed="false">
      <c r="B66781" s="0" t="s">
        <v>7</v>
      </c>
    </row>
    <row r="66782" customFormat="false" ht="12.8" hidden="false" customHeight="false" outlineLevel="0" collapsed="false">
      <c r="B66782" s="0" t="s">
        <v>22771</v>
      </c>
    </row>
    <row r="66784" customFormat="false" ht="12.8" hidden="false" customHeight="false" outlineLevel="0" collapsed="false">
      <c r="A66784" s="0" t="s">
        <v>22772</v>
      </c>
      <c r="B66784" s="0" t="str">
        <f aca="false">HYPERLINK("https://lindat.mff.cuni.cz/services/teitok/pdtc10/index.php?action=vallex&amp;frame=v-w9175f1", "zastrkávat (v-w9175f1)")</f>
        <v>zastrkávat (v-w9175f1)</v>
      </c>
    </row>
    <row r="66785" customFormat="false" ht="12.8" hidden="false" customHeight="false" outlineLevel="0" collapsed="false">
      <c r="B66785" s="0" t="s">
        <v>7</v>
      </c>
    </row>
    <row r="66786" customFormat="false" ht="12.8" hidden="false" customHeight="false" outlineLevel="0" collapsed="false">
      <c r="B66786" s="0" t="s">
        <v>14</v>
      </c>
    </row>
    <row r="66787" customFormat="false" ht="12.8" hidden="false" customHeight="false" outlineLevel="0" collapsed="false">
      <c r="B66787" s="0" t="s">
        <v>124</v>
      </c>
    </row>
    <row r="66789" customFormat="false" ht="12.8" hidden="false" customHeight="false" outlineLevel="0" collapsed="false">
      <c r="A66789" s="0" t="s">
        <v>22773</v>
      </c>
      <c r="B66789" s="0" t="str">
        <f aca="false">HYPERLINK("https://lindat.mff.cuni.cz/services/teitok/pdtc10/index.php?action=vallex&amp;frame=v-w10212f2", "zastrčit (v-w10212f2)")</f>
        <v>zastrčit (v-w10212f2)</v>
      </c>
    </row>
    <row r="66790" customFormat="false" ht="12.8" hidden="false" customHeight="false" outlineLevel="0" collapsed="false">
      <c r="B66790" s="0" t="s">
        <v>7</v>
      </c>
    </row>
    <row r="66791" customFormat="false" ht="12.8" hidden="false" customHeight="false" outlineLevel="0" collapsed="false">
      <c r="B66791" s="0" t="s">
        <v>14</v>
      </c>
    </row>
    <row r="66792" customFormat="false" ht="12.8" hidden="false" customHeight="false" outlineLevel="0" collapsed="false">
      <c r="B66792" s="0" t="s">
        <v>124</v>
      </c>
    </row>
    <row r="66794" customFormat="false" ht="12.8" hidden="false" customHeight="false" outlineLevel="0" collapsed="false">
      <c r="A66794" s="0" t="s">
        <v>22774</v>
      </c>
      <c r="B66794" s="0" t="str">
        <f aca="false">HYPERLINK("https://lindat.mff.cuni.cz/services/teitok/pdtc10/index.php?action=vallex&amp;frame=v-w9187f2_ZU", "zastupovat (v-w9187f2_ZU)")</f>
        <v>zastupovat (v-w9187f2_ZU)</v>
      </c>
    </row>
    <row r="66795" customFormat="false" ht="12.8" hidden="false" customHeight="false" outlineLevel="0" collapsed="false">
      <c r="B66795" s="0" t="s">
        <v>7</v>
      </c>
    </row>
    <row r="66796" customFormat="false" ht="12.8" hidden="false" customHeight="false" outlineLevel="0" collapsed="false">
      <c r="B66796" s="0" t="s">
        <v>14</v>
      </c>
    </row>
    <row r="66798" customFormat="false" ht="12.8" hidden="false" customHeight="false" outlineLevel="0" collapsed="false">
      <c r="A66798" s="0" t="s">
        <v>22774</v>
      </c>
      <c r="B66798" s="0" t="str">
        <f aca="false">HYPERLINK("https://lindat.mff.cuni.cz/services/teitok/pdtc10/index.php?action=vallex&amp;frame=v-w9187f1", "zastupovat (v-w9187f1) - substituted with v-w9187f2_ZU")</f>
        <v>zastupovat (v-w9187f1) - substituted with v-w9187f2_ZU</v>
      </c>
    </row>
    <row r="66799" customFormat="false" ht="12.8" hidden="false" customHeight="false" outlineLevel="0" collapsed="false">
      <c r="B66799" s="0" t="s">
        <v>7</v>
      </c>
      <c r="C66799" s="0" t="s">
        <v>22775</v>
      </c>
      <c r="D66799" s="0" t="s">
        <v>9918</v>
      </c>
      <c r="E66799" s="0" t="s">
        <v>9918</v>
      </c>
      <c r="F66799" s="0" t="s">
        <v>9918</v>
      </c>
    </row>
    <row r="66800" customFormat="false" ht="12.8" hidden="false" customHeight="false" outlineLevel="0" collapsed="false">
      <c r="B66800" s="0" t="s">
        <v>14</v>
      </c>
      <c r="C66800" s="0" t="s">
        <v>9919</v>
      </c>
      <c r="D66800" s="0" t="s">
        <v>9919</v>
      </c>
      <c r="E66800" s="0" t="s">
        <v>9919</v>
      </c>
      <c r="F66800" s="0" t="s">
        <v>9919</v>
      </c>
    </row>
    <row r="66802" customFormat="false" ht="12.8" hidden="false" customHeight="false" outlineLevel="0" collapsed="false">
      <c r="A66802" s="0" t="s">
        <v>22776</v>
      </c>
      <c r="B66802" s="0" t="str">
        <f aca="false">HYPERLINK("https://lindat.mff.cuni.cz/services/teitok/pdtc10/index.php?action=vallex&amp;frame=v-w9189f1", "zastydět se (v-w9189f1)")</f>
        <v>zastydět se (v-w9189f1)</v>
      </c>
    </row>
    <row r="66803" customFormat="false" ht="12.8" hidden="false" customHeight="false" outlineLevel="0" collapsed="false">
      <c r="B66803" s="0" t="s">
        <v>7</v>
      </c>
    </row>
    <row r="66804" customFormat="false" ht="12.8" hidden="false" customHeight="false" outlineLevel="0" collapsed="false">
      <c r="B66804" s="0" t="s">
        <v>22777</v>
      </c>
    </row>
    <row r="66806" customFormat="false" ht="12.8" hidden="false" customHeight="false" outlineLevel="0" collapsed="false">
      <c r="A66806" s="0" t="s">
        <v>22778</v>
      </c>
      <c r="B66806" s="0" t="str">
        <f aca="false">HYPERLINK("https://lindat.mff.cuni.cz/services/teitok/pdtc10/index.php?action=vallex&amp;frame=v-w9154f1", "zastávat (v-w9154f1)")</f>
        <v>zastávat (v-w9154f1)</v>
      </c>
    </row>
    <row r="66807" customFormat="false" ht="12.8" hidden="false" customHeight="false" outlineLevel="0" collapsed="false">
      <c r="B66807" s="0" t="s">
        <v>7</v>
      </c>
      <c r="C66807" s="0" t="s">
        <v>22779</v>
      </c>
      <c r="D66807" s="0" t="s">
        <v>10910</v>
      </c>
      <c r="E66807" s="0" t="s">
        <v>10910</v>
      </c>
      <c r="F66807" s="0" t="s">
        <v>10910</v>
      </c>
    </row>
    <row r="66808" customFormat="false" ht="12.8" hidden="false" customHeight="false" outlineLevel="0" collapsed="false">
      <c r="B66808" s="0" t="s">
        <v>14</v>
      </c>
      <c r="C66808" s="0" t="s">
        <v>22780</v>
      </c>
    </row>
    <row r="66810" customFormat="false" ht="12.8" hidden="false" customHeight="false" outlineLevel="0" collapsed="false">
      <c r="A66810" s="0" t="s">
        <v>22781</v>
      </c>
      <c r="B66810" s="0" t="str">
        <f aca="false">HYPERLINK("https://lindat.mff.cuni.cz/services/teitok/pdtc10/index.php?action=vallex&amp;frame=v-w9154f4_ZU", "zastávat (v-w9154f4_ZU)")</f>
        <v>zastávat (v-w9154f4_ZU)</v>
      </c>
    </row>
    <row r="66811" customFormat="false" ht="12.8" hidden="false" customHeight="false" outlineLevel="0" collapsed="false">
      <c r="B66811" s="0" t="s">
        <v>7</v>
      </c>
      <c r="C66811" s="0" t="s">
        <v>1559</v>
      </c>
      <c r="D66811" s="0" t="s">
        <v>46</v>
      </c>
      <c r="E66811" s="0" t="s">
        <v>46</v>
      </c>
      <c r="F66811" s="0" t="s">
        <v>46</v>
      </c>
    </row>
    <row r="66812" customFormat="false" ht="12.8" hidden="false" customHeight="false" outlineLevel="0" collapsed="false">
      <c r="B66812" s="0" t="s">
        <v>14</v>
      </c>
      <c r="C66812" s="0" t="s">
        <v>22782</v>
      </c>
      <c r="D66812" s="0" t="s">
        <v>567</v>
      </c>
      <c r="E66812" s="0" t="s">
        <v>567</v>
      </c>
      <c r="F66812" s="0" t="s">
        <v>567</v>
      </c>
    </row>
    <row r="66814" customFormat="false" ht="12.8" hidden="false" customHeight="false" outlineLevel="0" collapsed="false">
      <c r="A66814" s="0" t="s">
        <v>22783</v>
      </c>
      <c r="B66814" s="0" t="str">
        <f aca="false">HYPERLINK("https://lindat.mff.cuni.cz/services/teitok/pdtc10/index.php?action=vallex&amp;frame=v-w9154f5_ZU", "zastávat (v-w9154f5_ZU)")</f>
        <v>zastávat (v-w9154f5_ZU)</v>
      </c>
    </row>
    <row r="66815" customFormat="false" ht="12.8" hidden="false" customHeight="false" outlineLevel="0" collapsed="false">
      <c r="B66815" s="0" t="s">
        <v>7</v>
      </c>
      <c r="C66815" s="0" t="s">
        <v>3205</v>
      </c>
      <c r="D66815" s="0" t="s">
        <v>22784</v>
      </c>
      <c r="E66815" s="0" t="s">
        <v>2022</v>
      </c>
      <c r="F66815" s="0" t="s">
        <v>2022</v>
      </c>
    </row>
    <row r="66816" customFormat="false" ht="12.8" hidden="false" customHeight="false" outlineLevel="0" collapsed="false">
      <c r="B66816" s="0" t="s">
        <v>22785</v>
      </c>
      <c r="C66816" s="0" t="s">
        <v>14188</v>
      </c>
      <c r="D66816" s="0" t="s">
        <v>22786</v>
      </c>
      <c r="E66816" s="0" t="s">
        <v>22787</v>
      </c>
      <c r="F66816" s="0" t="s">
        <v>22787</v>
      </c>
    </row>
    <row r="66818" customFormat="false" ht="12.8" hidden="false" customHeight="false" outlineLevel="0" collapsed="false">
      <c r="A66818" s="0" t="s">
        <v>22783</v>
      </c>
      <c r="B66818" s="0" t="str">
        <f aca="false">HYPERLINK("https://lindat.mff.cuni.cz/services/teitok/pdtc10/index.php?action=vallex&amp;frame=v-w9154f2", "zastávat (v-w9154f2) - substituted with v-w9154f5_ZU")</f>
        <v>zastávat (v-w9154f2) - substituted with v-w9154f5_ZU</v>
      </c>
    </row>
    <row r="66819" customFormat="false" ht="12.8" hidden="false" customHeight="false" outlineLevel="0" collapsed="false">
      <c r="B66819" s="0" t="s">
        <v>7</v>
      </c>
      <c r="C66819" s="0" t="s">
        <v>22788</v>
      </c>
    </row>
    <row r="66820" customFormat="false" ht="12.8" hidden="false" customHeight="false" outlineLevel="0" collapsed="false">
      <c r="B66820" s="0" t="s">
        <v>22785</v>
      </c>
      <c r="C66820" s="0" t="s">
        <v>22789</v>
      </c>
    </row>
    <row r="66822" customFormat="false" ht="12.8" hidden="false" customHeight="false" outlineLevel="0" collapsed="false">
      <c r="A66822" s="0" t="s">
        <v>22783</v>
      </c>
      <c r="B66822" s="0" t="str">
        <f aca="false">HYPERLINK("https://lindat.mff.cuni.cz/services/teitok/pdtc10/index.php?action=vallex&amp;frame=v-w9154f3_ZU", "zastávat (v-w9154f3_ZU) - substituted with v-w9154f5_ZU")</f>
        <v>zastávat (v-w9154f3_ZU) - substituted with v-w9154f5_ZU</v>
      </c>
    </row>
    <row r="66823" customFormat="false" ht="12.8" hidden="false" customHeight="false" outlineLevel="0" collapsed="false">
      <c r="B66823" s="0" t="s">
        <v>7</v>
      </c>
      <c r="C66823" s="0" t="s">
        <v>22790</v>
      </c>
    </row>
    <row r="66824" customFormat="false" ht="12.8" hidden="false" customHeight="false" outlineLevel="0" collapsed="false">
      <c r="B66824" s="0" t="s">
        <v>22785</v>
      </c>
      <c r="C66824" s="0" t="s">
        <v>22791</v>
      </c>
    </row>
    <row r="66826" customFormat="false" ht="12.8" hidden="false" customHeight="false" outlineLevel="0" collapsed="false">
      <c r="A66826" s="0" t="s">
        <v>22783</v>
      </c>
      <c r="B66826" s="0" t="str">
        <f aca="false">HYPERLINK("https://lindat.mff.cuni.cz/services/teitok/pdtc10/index.php?action=vallex&amp;frame=v-w9154hsa_472", "zastávat (v-w9154hsa_472) - substituted with v-w9154f5_ZU")</f>
        <v>zastávat (v-w9154hsa_472) - substituted with v-w9154f5_ZU</v>
      </c>
    </row>
    <row r="66827" customFormat="false" ht="12.8" hidden="false" customHeight="false" outlineLevel="0" collapsed="false">
      <c r="B66827" s="0" t="s">
        <v>7</v>
      </c>
    </row>
    <row r="66828" customFormat="false" ht="12.8" hidden="false" customHeight="false" outlineLevel="0" collapsed="false">
      <c r="B66828" s="0" t="s">
        <v>22785</v>
      </c>
    </row>
    <row r="66830" customFormat="false" ht="12.8" hidden="false" customHeight="false" outlineLevel="0" collapsed="false">
      <c r="A66830" s="0" t="s">
        <v>22792</v>
      </c>
      <c r="B66830" s="0" t="str">
        <f aca="false">HYPERLINK("https://lindat.mff.cuni.cz/services/teitok/pdtc10/index.php?action=vallex&amp;frame=v-w9155f1", "zastávat se (v-w9155f1)")</f>
        <v>zastávat se (v-w9155f1)</v>
      </c>
    </row>
    <row r="66831" customFormat="false" ht="12.8" hidden="false" customHeight="false" outlineLevel="0" collapsed="false">
      <c r="B66831" s="0" t="s">
        <v>7</v>
      </c>
      <c r="C66831" s="0" t="s">
        <v>410</v>
      </c>
      <c r="D66831" s="0" t="s">
        <v>411</v>
      </c>
      <c r="E66831" s="0" t="s">
        <v>411</v>
      </c>
      <c r="F66831" s="0" t="s">
        <v>411</v>
      </c>
    </row>
    <row r="66832" customFormat="false" ht="12.8" hidden="false" customHeight="false" outlineLevel="0" collapsed="false">
      <c r="B66832" s="0" t="s">
        <v>1087</v>
      </c>
      <c r="C66832" s="0" t="s">
        <v>413</v>
      </c>
      <c r="D66832" s="0" t="s">
        <v>414</v>
      </c>
      <c r="E66832" s="0" t="s">
        <v>414</v>
      </c>
      <c r="F66832" s="0" t="s">
        <v>414</v>
      </c>
    </row>
    <row r="66834" customFormat="false" ht="12.8" hidden="false" customHeight="false" outlineLevel="0" collapsed="false">
      <c r="A66834" s="0" t="s">
        <v>22793</v>
      </c>
      <c r="B66834" s="0" t="str">
        <f aca="false">HYPERLINK("https://lindat.mff.cuni.cz/services/teitok/pdtc10/index.php?action=vallex&amp;frame=v-w9165f1", "zastínit (v-w9165f1)")</f>
        <v>zastínit (v-w9165f1)</v>
      </c>
    </row>
    <row r="66835" customFormat="false" ht="12.8" hidden="false" customHeight="false" outlineLevel="0" collapsed="false">
      <c r="B66835" s="0" t="s">
        <v>7</v>
      </c>
      <c r="C66835" s="0" t="s">
        <v>460</v>
      </c>
      <c r="D66835" s="0" t="s">
        <v>1263</v>
      </c>
      <c r="E66835" s="0" t="s">
        <v>1263</v>
      </c>
      <c r="F66835" s="0" t="s">
        <v>1263</v>
      </c>
    </row>
    <row r="66836" customFormat="false" ht="12.8" hidden="false" customHeight="false" outlineLevel="0" collapsed="false">
      <c r="B66836" s="0" t="s">
        <v>14</v>
      </c>
      <c r="C66836" s="0" t="s">
        <v>1405</v>
      </c>
      <c r="D66836" s="0" t="s">
        <v>89</v>
      </c>
      <c r="E66836" s="0" t="s">
        <v>89</v>
      </c>
      <c r="F66836" s="0" t="s">
        <v>89</v>
      </c>
    </row>
    <row r="66838" customFormat="false" ht="12.8" hidden="false" customHeight="false" outlineLevel="0" collapsed="false">
      <c r="A66838" s="0" t="s">
        <v>22794</v>
      </c>
      <c r="B66838" s="0" t="str">
        <f aca="false">HYPERLINK("https://lindat.mff.cuni.cz/services/teitok/pdtc10/index.php?action=vallex&amp;frame=v-w9168f1", "zastírat (v-w9168f1)")</f>
        <v>zastírat (v-w9168f1)</v>
      </c>
    </row>
    <row r="66839" customFormat="false" ht="12.8" hidden="false" customHeight="false" outlineLevel="0" collapsed="false">
      <c r="B66839" s="0" t="s">
        <v>7</v>
      </c>
      <c r="C66839" s="0" t="s">
        <v>1580</v>
      </c>
      <c r="D66839" s="0" t="s">
        <v>4999</v>
      </c>
      <c r="E66839" s="0" t="s">
        <v>4999</v>
      </c>
      <c r="F66839" s="0" t="s">
        <v>4999</v>
      </c>
    </row>
    <row r="66840" customFormat="false" ht="12.8" hidden="false" customHeight="false" outlineLevel="0" collapsed="false">
      <c r="B66840" s="0" t="s">
        <v>3742</v>
      </c>
      <c r="C66840" s="0" t="s">
        <v>567</v>
      </c>
      <c r="D66840" s="0" t="s">
        <v>5000</v>
      </c>
      <c r="E66840" s="0" t="s">
        <v>5000</v>
      </c>
      <c r="F66840" s="0" t="s">
        <v>5000</v>
      </c>
    </row>
    <row r="66841" customFormat="false" ht="12.8" hidden="false" customHeight="false" outlineLevel="0" collapsed="false">
      <c r="B66841" s="0" t="s">
        <v>293</v>
      </c>
      <c r="D66841" s="0" t="s">
        <v>5001</v>
      </c>
      <c r="E66841" s="0" t="s">
        <v>5001</v>
      </c>
      <c r="F66841" s="0" t="s">
        <v>5001</v>
      </c>
    </row>
    <row r="66843" customFormat="false" ht="12.8" hidden="false" customHeight="false" outlineLevel="0" collapsed="false">
      <c r="A66843" s="0" t="s">
        <v>22795</v>
      </c>
      <c r="B66843" s="0" t="str">
        <f aca="false">HYPERLINK("https://lindat.mff.cuni.cz/services/teitok/pdtc10/index.php?action=vallex&amp;frame=v-w9168f2", "zastírat (v-w9168f2)")</f>
        <v>zastírat (v-w9168f2)</v>
      </c>
    </row>
    <row r="66844" customFormat="false" ht="12.8" hidden="false" customHeight="false" outlineLevel="0" collapsed="false">
      <c r="B66844" s="0" t="s">
        <v>7</v>
      </c>
    </row>
    <row r="66845" customFormat="false" ht="12.8" hidden="false" customHeight="false" outlineLevel="0" collapsed="false">
      <c r="B66845" s="0" t="s">
        <v>15294</v>
      </c>
    </row>
    <row r="66846" customFormat="false" ht="12.8" hidden="false" customHeight="false" outlineLevel="0" collapsed="false">
      <c r="B66846" s="0" t="s">
        <v>363</v>
      </c>
    </row>
    <row r="66847" customFormat="false" ht="12.8" hidden="false" customHeight="false" outlineLevel="0" collapsed="false">
      <c r="B66847" s="0" t="s">
        <v>293</v>
      </c>
    </row>
    <row r="66849" customFormat="false" ht="12.8" hidden="false" customHeight="false" outlineLevel="0" collapsed="false">
      <c r="A66849" s="0" t="s">
        <v>22796</v>
      </c>
      <c r="B66849" s="0" t="str">
        <f aca="false">HYPERLINK("https://lindat.mff.cuni.cz/services/teitok/pdtc10/index.php?action=vallex&amp;frame=v-w9177f2_ZU", "zastřelit (v-w9177f2_ZU)")</f>
        <v>zastřelit (v-w9177f2_ZU)</v>
      </c>
    </row>
    <row r="66850" customFormat="false" ht="12.8" hidden="false" customHeight="false" outlineLevel="0" collapsed="false">
      <c r="B66850" s="0" t="s">
        <v>7</v>
      </c>
    </row>
    <row r="66851" customFormat="false" ht="12.8" hidden="false" customHeight="false" outlineLevel="0" collapsed="false">
      <c r="B66851" s="0" t="s">
        <v>232</v>
      </c>
    </row>
    <row r="66853" customFormat="false" ht="12.8" hidden="false" customHeight="false" outlineLevel="0" collapsed="false">
      <c r="A66853" s="0" t="s">
        <v>22796</v>
      </c>
      <c r="B66853" s="0" t="str">
        <f aca="false">HYPERLINK("https://lindat.mff.cuni.cz/services/teitok/pdtc10/index.php?action=vallex&amp;frame=v-w9177f1", "zastřelit (v-w9177f1) - substituted with v-w9177f2_ZU")</f>
        <v>zastřelit (v-w9177f1) - substituted with v-w9177f2_ZU</v>
      </c>
    </row>
    <row r="66854" customFormat="false" ht="12.8" hidden="false" customHeight="false" outlineLevel="0" collapsed="false">
      <c r="B66854" s="0" t="s">
        <v>7</v>
      </c>
      <c r="C66854" s="0" t="s">
        <v>31</v>
      </c>
      <c r="D66854" s="0" t="s">
        <v>5057</v>
      </c>
      <c r="E66854" s="0" t="s">
        <v>5057</v>
      </c>
      <c r="F66854" s="0" t="s">
        <v>5057</v>
      </c>
    </row>
    <row r="66855" customFormat="false" ht="12.8" hidden="false" customHeight="false" outlineLevel="0" collapsed="false">
      <c r="B66855" s="0" t="s">
        <v>232</v>
      </c>
      <c r="C66855" s="0" t="s">
        <v>567</v>
      </c>
      <c r="D66855" s="0" t="s">
        <v>8042</v>
      </c>
      <c r="E66855" s="0" t="s">
        <v>8042</v>
      </c>
      <c r="F66855" s="0" t="s">
        <v>8042</v>
      </c>
    </row>
    <row r="66857" customFormat="false" ht="12.8" hidden="false" customHeight="false" outlineLevel="0" collapsed="false">
      <c r="A66857" s="0" t="s">
        <v>22797</v>
      </c>
      <c r="B66857" s="0" t="str">
        <f aca="false">HYPERLINK("https://lindat.mff.cuni.cz/services/teitok/pdtc10/index.php?action=vallex&amp;frame=v-w11142f2", "zastřešit (v-w11142f2)")</f>
        <v>zastřešit (v-w11142f2)</v>
      </c>
    </row>
    <row r="66858" customFormat="false" ht="12.8" hidden="false" customHeight="false" outlineLevel="0" collapsed="false">
      <c r="B66858" s="0" t="s">
        <v>7</v>
      </c>
    </row>
    <row r="66859" customFormat="false" ht="12.8" hidden="false" customHeight="false" outlineLevel="0" collapsed="false">
      <c r="B66859" s="0" t="s">
        <v>14</v>
      </c>
    </row>
    <row r="66861" customFormat="false" ht="12.8" hidden="false" customHeight="false" outlineLevel="0" collapsed="false">
      <c r="A66861" s="0" t="s">
        <v>22798</v>
      </c>
      <c r="B66861" s="0" t="str">
        <f aca="false">HYPERLINK("https://lindat.mff.cuni.cz/services/teitok/pdtc10/index.php?action=vallex&amp;frame=v-w11142f4_ZU", "zastřešit (v-w11142f4_ZU)")</f>
        <v>zastřešit (v-w11142f4_ZU)</v>
      </c>
    </row>
    <row r="66862" customFormat="false" ht="12.8" hidden="false" customHeight="false" outlineLevel="0" collapsed="false">
      <c r="B66862" s="0" t="s">
        <v>7</v>
      </c>
    </row>
    <row r="66863" customFormat="false" ht="12.8" hidden="false" customHeight="false" outlineLevel="0" collapsed="false">
      <c r="B66863" s="0" t="s">
        <v>14</v>
      </c>
    </row>
    <row r="66864" customFormat="false" ht="12.8" hidden="false" customHeight="false" outlineLevel="0" collapsed="false">
      <c r="B66864" s="0" t="s">
        <v>1755</v>
      </c>
    </row>
    <row r="66866" customFormat="false" ht="12.8" hidden="false" customHeight="false" outlineLevel="0" collapsed="false">
      <c r="A66866" s="0" t="s">
        <v>22799</v>
      </c>
      <c r="B66866" s="0" t="str">
        <f aca="false">HYPERLINK("https://lindat.mff.cuni.cz/services/teitok/pdtc10/index.php?action=vallex&amp;frame=v-w11142f5_ZU", "zastřešit (v-w11142f5_ZU)")</f>
        <v>zastřešit (v-w11142f5_ZU)</v>
      </c>
    </row>
    <row r="66867" customFormat="false" ht="12.8" hidden="false" customHeight="false" outlineLevel="0" collapsed="false">
      <c r="B66867" s="0" t="s">
        <v>7</v>
      </c>
    </row>
    <row r="66868" customFormat="false" ht="12.8" hidden="false" customHeight="false" outlineLevel="0" collapsed="false">
      <c r="B66868" s="0" t="s">
        <v>14</v>
      </c>
    </row>
    <row r="66870" customFormat="false" ht="12.8" hidden="false" customHeight="false" outlineLevel="0" collapsed="false">
      <c r="A66870" s="0" t="s">
        <v>22799</v>
      </c>
      <c r="B66870" s="0" t="str">
        <f aca="false">HYPERLINK("https://lindat.mff.cuni.cz/services/teitok/pdtc10/index.php?action=vallex&amp;frame=v-w11142f3_ZU", "zastřešit (v-w11142f3_ZU) - substituted with v-w11142f5_ZU")</f>
        <v>zastřešit (v-w11142f3_ZU) - substituted with v-w11142f5_ZU</v>
      </c>
    </row>
    <row r="66871" customFormat="false" ht="12.8" hidden="false" customHeight="false" outlineLevel="0" collapsed="false">
      <c r="B66871" s="0" t="s">
        <v>7</v>
      </c>
    </row>
    <row r="66872" customFormat="false" ht="12.8" hidden="false" customHeight="false" outlineLevel="0" collapsed="false">
      <c r="B66872" s="0" t="s">
        <v>14</v>
      </c>
    </row>
    <row r="66874" customFormat="false" ht="12.8" hidden="false" customHeight="false" outlineLevel="0" collapsed="false">
      <c r="A66874" s="0" t="s">
        <v>22800</v>
      </c>
      <c r="B66874" s="0" t="str">
        <f aca="false">HYPERLINK("https://lindat.mff.cuni.cz/services/teitok/pdtc10/index.php?action=vallex&amp;frame=v-w9179f1", "zastřešovat (v-w9179f1)")</f>
        <v>zastřešovat (v-w9179f1)</v>
      </c>
    </row>
    <row r="66875" customFormat="false" ht="12.8" hidden="false" customHeight="false" outlineLevel="0" collapsed="false">
      <c r="B66875" s="0" t="s">
        <v>7</v>
      </c>
    </row>
    <row r="66876" customFormat="false" ht="12.8" hidden="false" customHeight="false" outlineLevel="0" collapsed="false">
      <c r="B66876" s="0" t="s">
        <v>14</v>
      </c>
    </row>
    <row r="66878" customFormat="false" ht="12.8" hidden="false" customHeight="false" outlineLevel="0" collapsed="false">
      <c r="A66878" s="0" t="s">
        <v>22801</v>
      </c>
      <c r="B66878" s="0" t="str">
        <f aca="false">HYPERLINK("https://lindat.mff.cuni.cz/services/teitok/pdtc10/index.php?action=vallex&amp;frame=v-w9179f2", "zastřešovat (v-w9179f2)")</f>
        <v>zastřešovat (v-w9179f2)</v>
      </c>
    </row>
    <row r="66879" customFormat="false" ht="12.8" hidden="false" customHeight="false" outlineLevel="0" collapsed="false">
      <c r="B66879" s="0" t="s">
        <v>7</v>
      </c>
    </row>
    <row r="66880" customFormat="false" ht="12.8" hidden="false" customHeight="false" outlineLevel="0" collapsed="false">
      <c r="B66880" s="0" t="s">
        <v>14</v>
      </c>
    </row>
    <row r="66882" customFormat="false" ht="12.8" hidden="false" customHeight="false" outlineLevel="0" collapsed="false">
      <c r="A66882" s="0" t="s">
        <v>22802</v>
      </c>
      <c r="B66882" s="0" t="str">
        <f aca="false">HYPERLINK("https://lindat.mff.cuni.cz/services/teitok/pdtc10/index.php?action=vallex&amp;frame=v-whsa_542hsa_543", "zastřihávat (v-whsa_542hsa_543)")</f>
        <v>zastřihávat (v-whsa_542hsa_543)</v>
      </c>
    </row>
    <row r="66883" customFormat="false" ht="12.8" hidden="false" customHeight="false" outlineLevel="0" collapsed="false">
      <c r="B66883" s="0" t="s">
        <v>7</v>
      </c>
    </row>
    <row r="66884" customFormat="false" ht="12.8" hidden="false" customHeight="false" outlineLevel="0" collapsed="false">
      <c r="B66884" s="0" t="s">
        <v>14</v>
      </c>
    </row>
    <row r="66885" customFormat="false" ht="12.8" hidden="false" customHeight="false" outlineLevel="0" collapsed="false">
      <c r="B66885" s="0" t="s">
        <v>35</v>
      </c>
    </row>
    <row r="66886" customFormat="false" ht="12.8" hidden="false" customHeight="false" outlineLevel="0" collapsed="false">
      <c r="B66886" s="0" t="s">
        <v>84</v>
      </c>
    </row>
    <row r="66888" customFormat="false" ht="12.8" hidden="false" customHeight="false" outlineLevel="0" collapsed="false">
      <c r="A66888" s="0" t="s">
        <v>22803</v>
      </c>
      <c r="B66888" s="0" t="str">
        <f aca="false">HYPERLINK("https://lindat.mff.cuni.cz/services/teitok/pdtc10/index.php?action=vallex&amp;frame=v-w11837_ZUf1_ZU", "zastříkat (v-w11837_ZUf1_ZU)")</f>
        <v>zastříkat (v-w11837_ZUf1_ZU)</v>
      </c>
    </row>
    <row r="66889" customFormat="false" ht="12.8" hidden="false" customHeight="false" outlineLevel="0" collapsed="false">
      <c r="B66889" s="0" t="s">
        <v>7</v>
      </c>
    </row>
    <row r="66890" customFormat="false" ht="12.8" hidden="false" customHeight="false" outlineLevel="0" collapsed="false">
      <c r="B66890" s="0" t="s">
        <v>14</v>
      </c>
    </row>
    <row r="66892" customFormat="false" ht="12.8" hidden="false" customHeight="false" outlineLevel="0" collapsed="false">
      <c r="A66892" s="0" t="s">
        <v>22804</v>
      </c>
      <c r="B66892" s="0" t="str">
        <f aca="false">HYPERLINK("https://lindat.mff.cuni.cz/services/teitok/pdtc10/index.php?action=vallex&amp;frame=v-w9180f2", "zastřít (v-w9180f2)")</f>
        <v>zastřít (v-w9180f2)</v>
      </c>
    </row>
    <row r="66893" customFormat="false" ht="12.8" hidden="false" customHeight="false" outlineLevel="0" collapsed="false">
      <c r="B66893" s="0" t="s">
        <v>7</v>
      </c>
      <c r="D66893" s="0" t="s">
        <v>4999</v>
      </c>
      <c r="E66893" s="0" t="s">
        <v>4999</v>
      </c>
      <c r="F66893" s="0" t="s">
        <v>4999</v>
      </c>
    </row>
    <row r="66894" customFormat="false" ht="12.8" hidden="false" customHeight="false" outlineLevel="0" collapsed="false">
      <c r="B66894" s="0" t="s">
        <v>3742</v>
      </c>
      <c r="C66894" s="0" t="s">
        <v>155</v>
      </c>
      <c r="D66894" s="0" t="s">
        <v>5000</v>
      </c>
      <c r="E66894" s="0" t="s">
        <v>5000</v>
      </c>
      <c r="F66894" s="0" t="s">
        <v>5000</v>
      </c>
    </row>
    <row r="66895" customFormat="false" ht="12.8" hidden="false" customHeight="false" outlineLevel="0" collapsed="false">
      <c r="B66895" s="0" t="s">
        <v>293</v>
      </c>
      <c r="D66895" s="0" t="s">
        <v>5001</v>
      </c>
      <c r="E66895" s="0" t="s">
        <v>5001</v>
      </c>
      <c r="F66895" s="0" t="s">
        <v>5001</v>
      </c>
    </row>
    <row r="66897" customFormat="false" ht="12.8" hidden="false" customHeight="false" outlineLevel="0" collapsed="false">
      <c r="A66897" s="0" t="s">
        <v>22805</v>
      </c>
      <c r="B66897" s="0" t="str">
        <f aca="false">HYPERLINK("https://lindat.mff.cuni.cz/services/teitok/pdtc10/index.php?action=vallex&amp;frame=v-w9180f1", "zastřít (v-w9180f1)")</f>
        <v>zastřít (v-w9180f1)</v>
      </c>
    </row>
    <row r="66898" customFormat="false" ht="12.8" hidden="false" customHeight="false" outlineLevel="0" collapsed="false">
      <c r="B66898" s="0" t="s">
        <v>7</v>
      </c>
      <c r="C66898" s="0" t="s">
        <v>1580</v>
      </c>
    </row>
    <row r="66899" customFormat="false" ht="12.8" hidden="false" customHeight="false" outlineLevel="0" collapsed="false">
      <c r="B66899" s="0" t="s">
        <v>14</v>
      </c>
      <c r="C66899" s="0" t="s">
        <v>567</v>
      </c>
    </row>
    <row r="66901" customFormat="false" ht="12.8" hidden="false" customHeight="false" outlineLevel="0" collapsed="false">
      <c r="A66901" s="0" t="s">
        <v>22806</v>
      </c>
      <c r="B66901" s="0" t="str">
        <f aca="false">HYPERLINK("https://lindat.mff.cuni.cz/services/teitok/pdtc10/index.php?action=vallex&amp;frame=v-w9180f3", "zastřít (v-w9180f3)")</f>
        <v>zastřít (v-w9180f3)</v>
      </c>
    </row>
    <row r="66902" customFormat="false" ht="12.8" hidden="false" customHeight="false" outlineLevel="0" collapsed="false">
      <c r="B66902" s="0" t="s">
        <v>7</v>
      </c>
    </row>
    <row r="66903" customFormat="false" ht="12.8" hidden="false" customHeight="false" outlineLevel="0" collapsed="false">
      <c r="B66903" s="0" t="s">
        <v>15294</v>
      </c>
    </row>
    <row r="66904" customFormat="false" ht="12.8" hidden="false" customHeight="false" outlineLevel="0" collapsed="false">
      <c r="B66904" s="0" t="s">
        <v>363</v>
      </c>
    </row>
    <row r="66905" customFormat="false" ht="12.8" hidden="false" customHeight="false" outlineLevel="0" collapsed="false">
      <c r="B66905" s="0" t="s">
        <v>293</v>
      </c>
    </row>
    <row r="66907" customFormat="false" ht="12.8" hidden="false" customHeight="false" outlineLevel="0" collapsed="false">
      <c r="A66907" s="0" t="s">
        <v>22807</v>
      </c>
      <c r="B66907" s="0" t="str">
        <f aca="false">HYPERLINK("https://lindat.mff.cuni.cz/services/teitok/pdtc10/index.php?action=vallex&amp;frame=v-w9190f1", "zasunout (v-w9190f1)")</f>
        <v>zasunout (v-w9190f1)</v>
      </c>
    </row>
    <row r="66908" customFormat="false" ht="12.8" hidden="false" customHeight="false" outlineLevel="0" collapsed="false">
      <c r="B66908" s="0" t="s">
        <v>7</v>
      </c>
    </row>
    <row r="66909" customFormat="false" ht="12.8" hidden="false" customHeight="false" outlineLevel="0" collapsed="false">
      <c r="B66909" s="0" t="s">
        <v>14</v>
      </c>
    </row>
    <row r="66910" customFormat="false" ht="12.8" hidden="false" customHeight="false" outlineLevel="0" collapsed="false">
      <c r="B66910" s="0" t="s">
        <v>124</v>
      </c>
    </row>
    <row r="66912" customFormat="false" ht="12.8" hidden="false" customHeight="false" outlineLevel="0" collapsed="false">
      <c r="A66912" s="0" t="s">
        <v>22808</v>
      </c>
      <c r="B66912" s="0" t="str">
        <f aca="false">HYPERLINK("https://lindat.mff.cuni.cz/services/teitok/pdtc10/index.php?action=vallex&amp;frame=v-w9192f2", "zasvítit (v-w9192f2)")</f>
        <v>zasvítit (v-w9192f2)</v>
      </c>
    </row>
    <row r="66913" customFormat="false" ht="12.8" hidden="false" customHeight="false" outlineLevel="0" collapsed="false">
      <c r="B66913" s="0" t="s">
        <v>603</v>
      </c>
    </row>
    <row r="66914" customFormat="false" ht="12.8" hidden="false" customHeight="false" outlineLevel="0" collapsed="false">
      <c r="B66914" s="0" t="s">
        <v>11</v>
      </c>
    </row>
    <row r="66916" customFormat="false" ht="12.8" hidden="false" customHeight="false" outlineLevel="0" collapsed="false">
      <c r="A66916" s="0" t="s">
        <v>22809</v>
      </c>
      <c r="B66916" s="0" t="str">
        <f aca="false">HYPERLINK("https://lindat.mff.cuni.cz/services/teitok/pdtc10/index.php?action=vallex&amp;frame=v-w9192f1", "zasvítit (v-w9192f1)")</f>
        <v>zasvítit (v-w9192f1)</v>
      </c>
    </row>
    <row r="66917" customFormat="false" ht="12.8" hidden="false" customHeight="false" outlineLevel="0" collapsed="false">
      <c r="B66917" s="0" t="s">
        <v>7</v>
      </c>
    </row>
    <row r="66919" customFormat="false" ht="12.8" hidden="false" customHeight="false" outlineLevel="0" collapsed="false">
      <c r="A66919" s="0" t="s">
        <v>22810</v>
      </c>
      <c r="B66919" s="0" t="str">
        <f aca="false">HYPERLINK("https://lindat.mff.cuni.cz/services/teitok/pdtc10/index.php?action=vallex&amp;frame=v-whsa_1501f1_ZU", "zasvěcovat (v-whsa_1501f1_ZU)")</f>
        <v>zasvěcovat (v-whsa_1501f1_ZU)</v>
      </c>
    </row>
    <row r="66920" customFormat="false" ht="12.8" hidden="false" customHeight="false" outlineLevel="0" collapsed="false">
      <c r="B66920" s="0" t="s">
        <v>7</v>
      </c>
    </row>
    <row r="66921" customFormat="false" ht="12.8" hidden="false" customHeight="false" outlineLevel="0" collapsed="false">
      <c r="B66921" s="0" t="s">
        <v>14</v>
      </c>
    </row>
    <row r="66923" customFormat="false" ht="12.8" hidden="false" customHeight="false" outlineLevel="0" collapsed="false">
      <c r="A66923" s="0" t="s">
        <v>22811</v>
      </c>
      <c r="B66923" s="0" t="str">
        <f aca="false">HYPERLINK("https://lindat.mff.cuni.cz/services/teitok/pdtc10/index.php?action=vallex&amp;frame=v-whsa_1501hsa_1502", "zasvěcovat (v-whsa_1501hsa_1502)")</f>
        <v>zasvěcovat (v-whsa_1501hsa_1502)</v>
      </c>
    </row>
    <row r="66924" customFormat="false" ht="12.8" hidden="false" customHeight="false" outlineLevel="0" collapsed="false">
      <c r="B66924" s="0" t="s">
        <v>7</v>
      </c>
    </row>
    <row r="66925" customFormat="false" ht="12.8" hidden="false" customHeight="false" outlineLevel="0" collapsed="false">
      <c r="B66925" s="0" t="s">
        <v>14</v>
      </c>
    </row>
    <row r="66927" customFormat="false" ht="12.8" hidden="false" customHeight="false" outlineLevel="0" collapsed="false">
      <c r="A66927" s="0" t="s">
        <v>22812</v>
      </c>
      <c r="B66927" s="0" t="str">
        <f aca="false">HYPERLINK("https://lindat.mff.cuni.cz/services/teitok/pdtc10/index.php?action=vallex&amp;frame=v-w9191f2", "zasvětit (v-w9191f2)")</f>
        <v>zasvětit (v-w9191f2)</v>
      </c>
    </row>
    <row r="66928" customFormat="false" ht="12.8" hidden="false" customHeight="false" outlineLevel="0" collapsed="false">
      <c r="B66928" s="0" t="s">
        <v>457</v>
      </c>
      <c r="C66928" s="0" t="s">
        <v>335</v>
      </c>
      <c r="D66928" s="0" t="s">
        <v>23</v>
      </c>
      <c r="E66928" s="0" t="s">
        <v>23</v>
      </c>
      <c r="F66928" s="0" t="s">
        <v>23</v>
      </c>
    </row>
    <row r="66929" customFormat="false" ht="12.8" hidden="false" customHeight="false" outlineLevel="0" collapsed="false">
      <c r="B66929" s="0" t="s">
        <v>985</v>
      </c>
      <c r="C66929" s="0" t="s">
        <v>22813</v>
      </c>
      <c r="D66929" s="0" t="s">
        <v>7131</v>
      </c>
      <c r="E66929" s="0" t="s">
        <v>7131</v>
      </c>
      <c r="F66929" s="0" t="s">
        <v>7131</v>
      </c>
    </row>
    <row r="66930" customFormat="false" ht="12.8" hidden="false" customHeight="false" outlineLevel="0" collapsed="false">
      <c r="B66930" s="0" t="s">
        <v>81</v>
      </c>
      <c r="C66930" s="0" t="s">
        <v>22814</v>
      </c>
      <c r="D66930" s="0" t="s">
        <v>7133</v>
      </c>
      <c r="E66930" s="0" t="s">
        <v>7133</v>
      </c>
      <c r="F66930" s="0" t="s">
        <v>7133</v>
      </c>
    </row>
    <row r="66932" customFormat="false" ht="12.8" hidden="false" customHeight="false" outlineLevel="0" collapsed="false">
      <c r="A66932" s="0" t="s">
        <v>22815</v>
      </c>
      <c r="B66932" s="0" t="str">
        <f aca="false">HYPERLINK("https://lindat.mff.cuni.cz/services/teitok/pdtc10/index.php?action=vallex&amp;frame=v-w9191f1", "zasvětit (v-w9191f1)")</f>
        <v>zasvětit (v-w9191f1)</v>
      </c>
    </row>
    <row r="66933" customFormat="false" ht="12.8" hidden="false" customHeight="false" outlineLevel="0" collapsed="false">
      <c r="B66933" s="0" t="s">
        <v>7</v>
      </c>
    </row>
    <row r="66934" customFormat="false" ht="12.8" hidden="false" customHeight="false" outlineLevel="0" collapsed="false">
      <c r="B66934" s="0" t="s">
        <v>14</v>
      </c>
    </row>
    <row r="66935" customFormat="false" ht="12.8" hidden="false" customHeight="false" outlineLevel="0" collapsed="false">
      <c r="B66935" s="0" t="s">
        <v>48</v>
      </c>
    </row>
    <row r="66937" customFormat="false" ht="12.8" hidden="false" customHeight="false" outlineLevel="0" collapsed="false">
      <c r="A66937" s="0" t="s">
        <v>22816</v>
      </c>
      <c r="B66937" s="0" t="str">
        <f aca="false">HYPERLINK("https://lindat.mff.cuni.cz/services/teitok/pdtc10/index.php?action=vallex&amp;frame=v-w9191f3", "zasvětit (v-w9191f3)")</f>
        <v>zasvětit (v-w9191f3)</v>
      </c>
    </row>
    <row r="66938" customFormat="false" ht="12.8" hidden="false" customHeight="false" outlineLevel="0" collapsed="false">
      <c r="B66938" s="0" t="s">
        <v>7</v>
      </c>
      <c r="C66938" s="0" t="s">
        <v>46</v>
      </c>
    </row>
    <row r="66939" customFormat="false" ht="12.8" hidden="false" customHeight="false" outlineLevel="0" collapsed="false">
      <c r="B66939" s="0" t="s">
        <v>14</v>
      </c>
      <c r="C66939" s="0" t="s">
        <v>8244</v>
      </c>
    </row>
    <row r="66940" customFormat="false" ht="12.8" hidden="false" customHeight="false" outlineLevel="0" collapsed="false">
      <c r="B66940" s="0" t="s">
        <v>48</v>
      </c>
      <c r="C66940" s="0" t="s">
        <v>7276</v>
      </c>
    </row>
    <row r="66942" customFormat="false" ht="12.8" hidden="false" customHeight="false" outlineLevel="0" collapsed="false">
      <c r="A66942" s="0" t="s">
        <v>22817</v>
      </c>
      <c r="B66942" s="0" t="str">
        <f aca="false">HYPERLINK("https://lindat.mff.cuni.cz/services/teitok/pdtc10/index.php?action=vallex&amp;frame=v-w9194f1", "zasypat (v-w9194f1)")</f>
        <v>zasypat (v-w9194f1)</v>
      </c>
    </row>
    <row r="66943" customFormat="false" ht="12.8" hidden="false" customHeight="false" outlineLevel="0" collapsed="false">
      <c r="B66943" s="0" t="s">
        <v>7</v>
      </c>
    </row>
    <row r="66944" customFormat="false" ht="12.8" hidden="false" customHeight="false" outlineLevel="0" collapsed="false">
      <c r="B66944" s="0" t="s">
        <v>14</v>
      </c>
    </row>
    <row r="66946" customFormat="false" ht="12.8" hidden="false" customHeight="false" outlineLevel="0" collapsed="false">
      <c r="A66946" s="0" t="s">
        <v>22818</v>
      </c>
      <c r="B66946" s="0" t="str">
        <f aca="false">HYPERLINK("https://lindat.mff.cuni.cz/services/teitok/pdtc10/index.php?action=vallex&amp;frame=v-w9194f2", "zasypat (v-w9194f2)")</f>
        <v>zasypat (v-w9194f2)</v>
      </c>
    </row>
    <row r="66947" customFormat="false" ht="12.8" hidden="false" customHeight="false" outlineLevel="0" collapsed="false">
      <c r="B66947" s="0" t="s">
        <v>7</v>
      </c>
    </row>
    <row r="66948" customFormat="false" ht="12.8" hidden="false" customHeight="false" outlineLevel="0" collapsed="false">
      <c r="B66948" s="0" t="s">
        <v>14</v>
      </c>
      <c r="C66948" s="0" t="s">
        <v>155</v>
      </c>
    </row>
    <row r="66950" customFormat="false" ht="12.8" hidden="false" customHeight="false" outlineLevel="0" collapsed="false">
      <c r="A66950" s="0" t="s">
        <v>22819</v>
      </c>
      <c r="B66950" s="0" t="str">
        <f aca="false">HYPERLINK("https://lindat.mff.cuni.cz/services/teitok/pdtc10/index.php?action=vallex&amp;frame=v-w9194f3", "zasypat (v-w9194f3)")</f>
        <v>zasypat (v-w9194f3)</v>
      </c>
    </row>
    <row r="66951" customFormat="false" ht="12.8" hidden="false" customHeight="false" outlineLevel="0" collapsed="false">
      <c r="B66951" s="0" t="s">
        <v>7</v>
      </c>
    </row>
    <row r="66952" customFormat="false" ht="12.8" hidden="false" customHeight="false" outlineLevel="0" collapsed="false">
      <c r="B66952" s="0" t="s">
        <v>14</v>
      </c>
    </row>
    <row r="66954" customFormat="false" ht="12.8" hidden="false" customHeight="false" outlineLevel="0" collapsed="false">
      <c r="A66954" s="0" t="s">
        <v>22820</v>
      </c>
      <c r="B66954" s="0" t="str">
        <f aca="false">HYPERLINK("https://lindat.mff.cuni.cz/services/teitok/pdtc10/index.php?action=vallex&amp;frame=v-w10513f2", "zasypávat (v-w10513f2)")</f>
        <v>zasypávat (v-w10513f2)</v>
      </c>
    </row>
    <row r="66955" customFormat="false" ht="12.8" hidden="false" customHeight="false" outlineLevel="0" collapsed="false">
      <c r="B66955" s="0" t="s">
        <v>7</v>
      </c>
      <c r="C66955" s="0" t="s">
        <v>191</v>
      </c>
      <c r="D66955" s="0" t="s">
        <v>22460</v>
      </c>
      <c r="E66955" s="0" t="s">
        <v>22460</v>
      </c>
      <c r="F66955" s="0" t="s">
        <v>22460</v>
      </c>
    </row>
    <row r="66956" customFormat="false" ht="12.8" hidden="false" customHeight="false" outlineLevel="0" collapsed="false">
      <c r="B66956" s="0" t="s">
        <v>216</v>
      </c>
      <c r="D66956" s="0" t="s">
        <v>6578</v>
      </c>
      <c r="E66956" s="0" t="s">
        <v>6578</v>
      </c>
      <c r="F66956" s="0" t="s">
        <v>6578</v>
      </c>
    </row>
    <row r="66957" customFormat="false" ht="12.8" hidden="false" customHeight="false" outlineLevel="0" collapsed="false">
      <c r="B66957" s="0" t="s">
        <v>81</v>
      </c>
      <c r="C66957" s="0" t="s">
        <v>3323</v>
      </c>
      <c r="D66957" s="0" t="s">
        <v>16099</v>
      </c>
      <c r="E66957" s="0" t="s">
        <v>16099</v>
      </c>
      <c r="F66957" s="0" t="s">
        <v>16099</v>
      </c>
    </row>
    <row r="66959" customFormat="false" ht="12.8" hidden="false" customHeight="false" outlineLevel="0" collapsed="false">
      <c r="A66959" s="0" t="s">
        <v>22821</v>
      </c>
      <c r="B66959" s="0" t="str">
        <f aca="false">HYPERLINK("https://lindat.mff.cuni.cz/services/teitok/pdtc10/index.php?action=vallex&amp;frame=v-w10293f2", "zasyčet (v-w10293f2)")</f>
        <v>zasyčet (v-w10293f2)</v>
      </c>
    </row>
    <row r="66960" customFormat="false" ht="12.8" hidden="false" customHeight="false" outlineLevel="0" collapsed="false">
      <c r="B66960" s="0" t="s">
        <v>7</v>
      </c>
      <c r="C66960" s="0" t="s">
        <v>191</v>
      </c>
    </row>
    <row r="66961" customFormat="false" ht="12.8" hidden="false" customHeight="false" outlineLevel="0" collapsed="false">
      <c r="B66961" s="0" t="s">
        <v>7351</v>
      </c>
      <c r="C66961" s="0" t="s">
        <v>361</v>
      </c>
    </row>
    <row r="66962" customFormat="false" ht="12.8" hidden="false" customHeight="false" outlineLevel="0" collapsed="false">
      <c r="B66962" s="0" t="s">
        <v>363</v>
      </c>
    </row>
    <row r="66963" customFormat="false" ht="12.8" hidden="false" customHeight="false" outlineLevel="0" collapsed="false">
      <c r="B66963" s="0" t="s">
        <v>106</v>
      </c>
    </row>
    <row r="66965" customFormat="false" ht="12.8" hidden="false" customHeight="false" outlineLevel="0" collapsed="false">
      <c r="A66965" s="0" t="s">
        <v>22822</v>
      </c>
      <c r="B66965" s="0" t="str">
        <f aca="false">HYPERLINK("https://lindat.mff.cuni.cz/services/teitok/pdtc10/index.php?action=vallex&amp;frame=v-w10293f3_ZU", "zasyčet (v-w10293f3_ZU)")</f>
        <v>zasyčet (v-w10293f3_ZU)</v>
      </c>
    </row>
    <row r="66966" customFormat="false" ht="12.8" hidden="false" customHeight="false" outlineLevel="0" collapsed="false">
      <c r="B66966" s="0" t="s">
        <v>7</v>
      </c>
    </row>
    <row r="66968" customFormat="false" ht="12.8" hidden="false" customHeight="false" outlineLevel="0" collapsed="false">
      <c r="A66968" s="0" t="s">
        <v>22823</v>
      </c>
      <c r="B66968" s="0" t="str">
        <f aca="false">HYPERLINK("https://lindat.mff.cuni.cz/services/teitok/pdtc10/index.php?action=vallex&amp;frame=v-w9116f1", "zasáhnout (v-w9116f1)")</f>
        <v>zasáhnout (v-w9116f1)</v>
      </c>
    </row>
    <row r="66969" customFormat="false" ht="12.8" hidden="false" customHeight="false" outlineLevel="0" collapsed="false">
      <c r="B66969" s="0" t="s">
        <v>7</v>
      </c>
      <c r="C66969" s="0" t="s">
        <v>22824</v>
      </c>
      <c r="D66969" s="0" t="s">
        <v>2062</v>
      </c>
      <c r="E66969" s="0" t="s">
        <v>2062</v>
      </c>
      <c r="F66969" s="0" t="s">
        <v>22663</v>
      </c>
    </row>
    <row r="66970" customFormat="false" ht="12.8" hidden="false" customHeight="false" outlineLevel="0" collapsed="false">
      <c r="B66970" s="0" t="s">
        <v>14</v>
      </c>
      <c r="C66970" s="0" t="s">
        <v>22825</v>
      </c>
      <c r="D66970" s="0" t="s">
        <v>2065</v>
      </c>
      <c r="E66970" s="0" t="s">
        <v>2065</v>
      </c>
      <c r="F66970" s="0" t="s">
        <v>22664</v>
      </c>
    </row>
    <row r="66972" customFormat="false" ht="12.8" hidden="false" customHeight="false" outlineLevel="0" collapsed="false">
      <c r="A66972" s="0" t="s">
        <v>22826</v>
      </c>
      <c r="B66972" s="0" t="str">
        <f aca="false">HYPERLINK("https://lindat.mff.cuni.cz/services/teitok/pdtc10/index.php?action=vallex&amp;frame=v-w9116f5", "zasáhnout (v-w9116f5)")</f>
        <v>zasáhnout (v-w9116f5)</v>
      </c>
    </row>
    <row r="66973" customFormat="false" ht="12.8" hidden="false" customHeight="false" outlineLevel="0" collapsed="false">
      <c r="B66973" s="0" t="s">
        <v>7</v>
      </c>
      <c r="E66973" s="0" t="s">
        <v>569</v>
      </c>
      <c r="F66973" s="0" t="s">
        <v>569</v>
      </c>
    </row>
    <row r="66974" customFormat="false" ht="12.8" hidden="false" customHeight="false" outlineLevel="0" collapsed="false">
      <c r="B66974" s="0" t="s">
        <v>14</v>
      </c>
      <c r="E66974" s="0" t="s">
        <v>1170</v>
      </c>
      <c r="F66974" s="0" t="s">
        <v>1170</v>
      </c>
    </row>
    <row r="66976" customFormat="false" ht="12.8" hidden="false" customHeight="false" outlineLevel="0" collapsed="false">
      <c r="A66976" s="0" t="s">
        <v>22827</v>
      </c>
      <c r="B66976" s="0" t="str">
        <f aca="false">HYPERLINK("https://lindat.mff.cuni.cz/services/teitok/pdtc10/index.php?action=vallex&amp;frame=v-w9116f4", "zasáhnout (v-w9116f4)")</f>
        <v>zasáhnout (v-w9116f4)</v>
      </c>
    </row>
    <row r="66977" customFormat="false" ht="12.8" hidden="false" customHeight="false" outlineLevel="0" collapsed="false">
      <c r="B66977" s="0" t="s">
        <v>7</v>
      </c>
      <c r="C66977" s="0" t="s">
        <v>31</v>
      </c>
      <c r="D66977" s="0" t="s">
        <v>5834</v>
      </c>
      <c r="E66977" s="0" t="s">
        <v>5834</v>
      </c>
      <c r="F66977" s="0" t="s">
        <v>5834</v>
      </c>
    </row>
    <row r="66978" customFormat="false" ht="12.8" hidden="false" customHeight="false" outlineLevel="0" collapsed="false">
      <c r="B66978" s="0" t="s">
        <v>985</v>
      </c>
      <c r="C66978" s="0" t="s">
        <v>22828</v>
      </c>
      <c r="D66978" s="0" t="s">
        <v>5837</v>
      </c>
      <c r="E66978" s="0" t="s">
        <v>5837</v>
      </c>
      <c r="F66978" s="0" t="s">
        <v>5837</v>
      </c>
    </row>
    <row r="66980" customFormat="false" ht="12.8" hidden="false" customHeight="false" outlineLevel="0" collapsed="false">
      <c r="A66980" s="0" t="s">
        <v>22829</v>
      </c>
      <c r="B66980" s="0" t="str">
        <f aca="false">HYPERLINK("https://lindat.mff.cuni.cz/services/teitok/pdtc10/index.php?action=vallex&amp;frame=v-w9116f2", "zasáhnout (v-w9116f2)")</f>
        <v>zasáhnout (v-w9116f2)</v>
      </c>
    </row>
    <row r="66981" customFormat="false" ht="12.8" hidden="false" customHeight="false" outlineLevel="0" collapsed="false">
      <c r="B66981" s="0" t="s">
        <v>7</v>
      </c>
      <c r="C66981" s="0" t="s">
        <v>22830</v>
      </c>
      <c r="D66981" s="0" t="s">
        <v>22195</v>
      </c>
      <c r="E66981" s="0" t="s">
        <v>22195</v>
      </c>
      <c r="F66981" s="0" t="s">
        <v>22195</v>
      </c>
    </row>
    <row r="66982" customFormat="false" ht="12.8" hidden="false" customHeight="false" outlineLevel="0" collapsed="false">
      <c r="B66982" s="0" t="s">
        <v>22196</v>
      </c>
      <c r="C66982" s="0" t="s">
        <v>585</v>
      </c>
      <c r="D66982" s="0" t="s">
        <v>2641</v>
      </c>
      <c r="E66982" s="0" t="s">
        <v>2641</v>
      </c>
      <c r="F66982" s="0" t="s">
        <v>2641</v>
      </c>
    </row>
    <row r="66984" customFormat="false" ht="12.8" hidden="false" customHeight="false" outlineLevel="0" collapsed="false">
      <c r="A66984" s="0" t="s">
        <v>22831</v>
      </c>
      <c r="B66984" s="0" t="str">
        <f aca="false">HYPERLINK("https://lindat.mff.cuni.cz/services/teitok/pdtc10/index.php?action=vallex&amp;frame=v-w9116f3", "zasáhnout (v-w9116f3)")</f>
        <v>zasáhnout (v-w9116f3)</v>
      </c>
    </row>
    <row r="66985" customFormat="false" ht="12.8" hidden="false" customHeight="false" outlineLevel="0" collapsed="false">
      <c r="B66985" s="0" t="s">
        <v>7</v>
      </c>
    </row>
    <row r="66986" customFormat="false" ht="12.8" hidden="false" customHeight="false" outlineLevel="0" collapsed="false">
      <c r="B66986" s="0" t="s">
        <v>124</v>
      </c>
    </row>
    <row r="66988" customFormat="false" ht="12.8" hidden="false" customHeight="false" outlineLevel="0" collapsed="false">
      <c r="A66988" s="0" t="s">
        <v>22832</v>
      </c>
      <c r="B66988" s="0" t="str">
        <f aca="false">HYPERLINK("https://lindat.mff.cuni.cz/services/teitok/pdtc10/index.php?action=vallex&amp;frame=v-w9126f1", "zasílat (v-w9126f1)")</f>
        <v>zasílat (v-w9126f1)</v>
      </c>
    </row>
    <row r="66989" customFormat="false" ht="12.8" hidden="false" customHeight="false" outlineLevel="0" collapsed="false">
      <c r="B66989" s="0" t="s">
        <v>7</v>
      </c>
      <c r="C66989" s="0" t="s">
        <v>91</v>
      </c>
      <c r="D66989" s="0" t="s">
        <v>1630</v>
      </c>
      <c r="E66989" s="0" t="s">
        <v>1630</v>
      </c>
      <c r="F66989" s="0" t="s">
        <v>1630</v>
      </c>
    </row>
    <row r="66990" customFormat="false" ht="12.8" hidden="false" customHeight="false" outlineLevel="0" collapsed="false">
      <c r="B66990" s="0" t="s">
        <v>14</v>
      </c>
      <c r="C66990" s="0" t="s">
        <v>79</v>
      </c>
      <c r="D66990" s="0" t="s">
        <v>1632</v>
      </c>
      <c r="E66990" s="0" t="s">
        <v>1632</v>
      </c>
      <c r="F66990" s="0" t="s">
        <v>1632</v>
      </c>
    </row>
    <row r="66991" customFormat="false" ht="12.8" hidden="false" customHeight="false" outlineLevel="0" collapsed="false">
      <c r="B66991" s="0" t="s">
        <v>48</v>
      </c>
      <c r="C66991" s="0" t="s">
        <v>22833</v>
      </c>
      <c r="D66991" s="0" t="s">
        <v>1635</v>
      </c>
      <c r="E66991" s="0" t="s">
        <v>1635</v>
      </c>
      <c r="F66991" s="0" t="s">
        <v>1635</v>
      </c>
    </row>
    <row r="66993" customFormat="false" ht="12.8" hidden="false" customHeight="false" outlineLevel="0" collapsed="false">
      <c r="A66993" s="0" t="s">
        <v>22834</v>
      </c>
      <c r="B66993" s="0" t="str">
        <f aca="false">HYPERLINK("https://lindat.mff.cuni.cz/services/teitok/pdtc10/index.php?action=vallex&amp;frame=v-w9126f2", "zasílat (v-w9126f2)")</f>
        <v>zasílat (v-w9126f2)</v>
      </c>
    </row>
    <row r="66994" customFormat="false" ht="12.8" hidden="false" customHeight="false" outlineLevel="0" collapsed="false">
      <c r="B66994" s="0" t="s">
        <v>7</v>
      </c>
      <c r="C66994" s="0" t="s">
        <v>2736</v>
      </c>
      <c r="D66994" s="0" t="s">
        <v>1630</v>
      </c>
      <c r="E66994" s="0" t="s">
        <v>1630</v>
      </c>
      <c r="F66994" s="0" t="s">
        <v>1630</v>
      </c>
    </row>
    <row r="66995" customFormat="false" ht="12.8" hidden="false" customHeight="false" outlineLevel="0" collapsed="false">
      <c r="B66995" s="0" t="s">
        <v>14</v>
      </c>
      <c r="C66995" s="0" t="s">
        <v>7007</v>
      </c>
      <c r="D66995" s="0" t="s">
        <v>1632</v>
      </c>
      <c r="E66995" s="0" t="s">
        <v>1632</v>
      </c>
      <c r="F66995" s="0" t="s">
        <v>1632</v>
      </c>
    </row>
    <row r="66996" customFormat="false" ht="12.8" hidden="false" customHeight="false" outlineLevel="0" collapsed="false">
      <c r="B66996" s="0" t="s">
        <v>124</v>
      </c>
      <c r="C66996" s="0" t="s">
        <v>11954</v>
      </c>
      <c r="D66996" s="0" t="s">
        <v>2165</v>
      </c>
      <c r="E66996" s="0" t="s">
        <v>2165</v>
      </c>
      <c r="F66996" s="0" t="s">
        <v>2165</v>
      </c>
    </row>
    <row r="66998" customFormat="false" ht="12.8" hidden="false" customHeight="false" outlineLevel="0" collapsed="false">
      <c r="A66998" s="0" t="s">
        <v>22835</v>
      </c>
      <c r="B66998" s="0" t="str">
        <f aca="false">HYPERLINK("https://lindat.mff.cuni.cz/services/teitok/pdtc10/index.php?action=vallex&amp;frame=v-w10058f2", "zasít (v-w10058f2)")</f>
        <v>zasít (v-w10058f2)</v>
      </c>
    </row>
    <row r="66999" customFormat="false" ht="12.8" hidden="false" customHeight="false" outlineLevel="0" collapsed="false">
      <c r="B66999" s="0" t="s">
        <v>7</v>
      </c>
      <c r="C66999" s="0" t="s">
        <v>113</v>
      </c>
      <c r="D66999" s="0" t="s">
        <v>113</v>
      </c>
      <c r="E66999" s="0" t="s">
        <v>113</v>
      </c>
      <c r="F66999" s="0" t="s">
        <v>113</v>
      </c>
    </row>
    <row r="67000" customFormat="false" ht="12.8" hidden="false" customHeight="false" outlineLevel="0" collapsed="false">
      <c r="B67000" s="0" t="s">
        <v>14</v>
      </c>
      <c r="C67000" s="0" t="s">
        <v>384</v>
      </c>
      <c r="D67000" s="0" t="s">
        <v>384</v>
      </c>
      <c r="E67000" s="0" t="s">
        <v>384</v>
      </c>
      <c r="F67000" s="0" t="s">
        <v>384</v>
      </c>
    </row>
    <row r="67001" customFormat="false" ht="12.8" hidden="false" customHeight="false" outlineLevel="0" collapsed="false">
      <c r="B67001" s="0" t="s">
        <v>124</v>
      </c>
    </row>
    <row r="67003" customFormat="false" ht="12.8" hidden="false" customHeight="false" outlineLevel="0" collapsed="false">
      <c r="A67003" s="0" t="s">
        <v>22836</v>
      </c>
      <c r="B67003" s="0" t="str">
        <f aca="false">HYPERLINK("https://lindat.mff.cuni.cz/services/teitok/pdtc10/index.php?action=vallex&amp;frame=v-whsa_755f1_ZU", "zatahat (v-whsa_755f1_ZU)")</f>
        <v>zatahat (v-whsa_755f1_ZU)</v>
      </c>
    </row>
    <row r="67004" customFormat="false" ht="12.8" hidden="false" customHeight="false" outlineLevel="0" collapsed="false">
      <c r="B67004" s="0" t="s">
        <v>7</v>
      </c>
    </row>
    <row r="67005" customFormat="false" ht="12.8" hidden="false" customHeight="false" outlineLevel="0" collapsed="false">
      <c r="B67005" s="0" t="s">
        <v>22837</v>
      </c>
    </row>
    <row r="67007" customFormat="false" ht="12.8" hidden="false" customHeight="false" outlineLevel="0" collapsed="false">
      <c r="A67007" s="0" t="s">
        <v>22836</v>
      </c>
      <c r="B67007" s="0" t="str">
        <f aca="false">HYPERLINK("https://lindat.mff.cuni.cz/services/teitok/pdtc10/index.php?action=vallex&amp;frame=v-whsa_755hsa_756", "zatahat (v-whsa_755hsa_756) - substituted with v-whsa_755f1_ZU")</f>
        <v>zatahat (v-whsa_755hsa_756) - substituted with v-whsa_755f1_ZU</v>
      </c>
    </row>
    <row r="67008" customFormat="false" ht="12.8" hidden="false" customHeight="false" outlineLevel="0" collapsed="false">
      <c r="B67008" s="0" t="s">
        <v>7</v>
      </c>
    </row>
    <row r="67009" customFormat="false" ht="12.8" hidden="false" customHeight="false" outlineLevel="0" collapsed="false">
      <c r="B67009" s="0" t="s">
        <v>22837</v>
      </c>
    </row>
    <row r="67011" customFormat="false" ht="12.8" hidden="false" customHeight="false" outlineLevel="0" collapsed="false">
      <c r="A67011" s="0" t="s">
        <v>22838</v>
      </c>
      <c r="B67011" s="0" t="str">
        <f aca="false">HYPERLINK("https://lindat.mff.cuni.cz/services/teitok/pdtc10/index.php?action=vallex&amp;frame=v-w10601f2", "zatahovat (v-w10601f2)")</f>
        <v>zatahovat (v-w10601f2)</v>
      </c>
    </row>
    <row r="67012" customFormat="false" ht="12.8" hidden="false" customHeight="false" outlineLevel="0" collapsed="false">
      <c r="B67012" s="0" t="s">
        <v>7</v>
      </c>
      <c r="C67012" s="0" t="s">
        <v>18551</v>
      </c>
    </row>
    <row r="67013" customFormat="false" ht="12.8" hidden="false" customHeight="false" outlineLevel="0" collapsed="false">
      <c r="B67013" s="0" t="s">
        <v>14</v>
      </c>
      <c r="C67013" s="0" t="s">
        <v>94</v>
      </c>
    </row>
    <row r="67015" customFormat="false" ht="12.8" hidden="false" customHeight="false" outlineLevel="0" collapsed="false">
      <c r="A67015" s="0" t="s">
        <v>22839</v>
      </c>
      <c r="B67015" s="0" t="str">
        <f aca="false">HYPERLINK("https://lindat.mff.cuni.cz/services/teitok/pdtc10/index.php?action=vallex&amp;frame=v-w10601hsa_650", "zatahovat (v-w10601hsa_650)")</f>
        <v>zatahovat (v-w10601hsa_650)</v>
      </c>
    </row>
    <row r="67016" customFormat="false" ht="12.8" hidden="false" customHeight="false" outlineLevel="0" collapsed="false">
      <c r="B67016" s="0" t="s">
        <v>7</v>
      </c>
    </row>
    <row r="67017" customFormat="false" ht="12.8" hidden="false" customHeight="false" outlineLevel="0" collapsed="false">
      <c r="B67017" s="0" t="s">
        <v>14</v>
      </c>
    </row>
    <row r="67018" customFormat="false" ht="12.8" hidden="false" customHeight="false" outlineLevel="0" collapsed="false">
      <c r="B67018" s="0" t="s">
        <v>124</v>
      </c>
    </row>
    <row r="67020" customFormat="false" ht="12.8" hidden="false" customHeight="false" outlineLevel="0" collapsed="false">
      <c r="A67020" s="0" t="s">
        <v>22840</v>
      </c>
      <c r="B67020" s="0" t="str">
        <f aca="false">HYPERLINK("https://lindat.mff.cuni.cz/services/teitok/pdtc10/index.php?action=vallex&amp;frame=v-w9208f3", "zatajit (v-w9208f3)")</f>
        <v>zatajit (v-w9208f3)</v>
      </c>
    </row>
    <row r="67021" customFormat="false" ht="12.8" hidden="false" customHeight="false" outlineLevel="0" collapsed="false">
      <c r="B67021" s="0" t="s">
        <v>7</v>
      </c>
      <c r="C67021" s="0" t="s">
        <v>569</v>
      </c>
      <c r="D67021" s="0" t="s">
        <v>4999</v>
      </c>
      <c r="E67021" s="0" t="s">
        <v>4999</v>
      </c>
      <c r="F67021" s="0" t="s">
        <v>4999</v>
      </c>
    </row>
    <row r="67022" customFormat="false" ht="12.8" hidden="false" customHeight="false" outlineLevel="0" collapsed="false">
      <c r="B67022" s="0" t="s">
        <v>3742</v>
      </c>
      <c r="C67022" s="0" t="s">
        <v>493</v>
      </c>
      <c r="D67022" s="0" t="s">
        <v>5000</v>
      </c>
      <c r="E67022" s="0" t="s">
        <v>5000</v>
      </c>
      <c r="F67022" s="0" t="s">
        <v>5000</v>
      </c>
    </row>
    <row r="67023" customFormat="false" ht="12.8" hidden="false" customHeight="false" outlineLevel="0" collapsed="false">
      <c r="B67023" s="0" t="s">
        <v>293</v>
      </c>
      <c r="C67023" s="0" t="s">
        <v>1165</v>
      </c>
      <c r="D67023" s="0" t="s">
        <v>5001</v>
      </c>
      <c r="E67023" s="0" t="s">
        <v>5001</v>
      </c>
      <c r="F67023" s="0" t="s">
        <v>5001</v>
      </c>
    </row>
    <row r="67025" customFormat="false" ht="12.8" hidden="false" customHeight="false" outlineLevel="0" collapsed="false">
      <c r="A67025" s="0" t="s">
        <v>22841</v>
      </c>
      <c r="B67025" s="0" t="str">
        <f aca="false">HYPERLINK("https://lindat.mff.cuni.cz/services/teitok/pdtc10/index.php?action=vallex&amp;frame=v-w9208f2", "zatajit (v-w9208f2)")</f>
        <v>zatajit (v-w9208f2)</v>
      </c>
    </row>
    <row r="67026" customFormat="false" ht="12.8" hidden="false" customHeight="false" outlineLevel="0" collapsed="false">
      <c r="B67026" s="0" t="s">
        <v>7</v>
      </c>
    </row>
    <row r="67027" customFormat="false" ht="12.8" hidden="false" customHeight="false" outlineLevel="0" collapsed="false">
      <c r="B67027" s="0" t="s">
        <v>15294</v>
      </c>
    </row>
    <row r="67028" customFormat="false" ht="12.8" hidden="false" customHeight="false" outlineLevel="0" collapsed="false">
      <c r="B67028" s="0" t="s">
        <v>363</v>
      </c>
    </row>
    <row r="67029" customFormat="false" ht="12.8" hidden="false" customHeight="false" outlineLevel="0" collapsed="false">
      <c r="B67029" s="0" t="s">
        <v>293</v>
      </c>
    </row>
    <row r="67031" customFormat="false" ht="12.8" hidden="false" customHeight="false" outlineLevel="0" collapsed="false">
      <c r="A67031" s="0" t="s">
        <v>22842</v>
      </c>
      <c r="B67031" s="0" t="str">
        <f aca="false">HYPERLINK("https://lindat.mff.cuni.cz/services/teitok/pdtc10/index.php?action=vallex&amp;frame=v-w9208f1", "zatajit (v-w9208f1)")</f>
        <v>zatajit (v-w9208f1)</v>
      </c>
    </row>
    <row r="67032" customFormat="false" ht="12.8" hidden="false" customHeight="false" outlineLevel="0" collapsed="false">
      <c r="B67032" s="0" t="s">
        <v>7</v>
      </c>
    </row>
    <row r="67033" customFormat="false" ht="12.8" hidden="false" customHeight="false" outlineLevel="0" collapsed="false">
      <c r="B67033" s="0" t="s">
        <v>10592</v>
      </c>
    </row>
    <row r="67035" customFormat="false" ht="12.8" hidden="false" customHeight="false" outlineLevel="0" collapsed="false">
      <c r="A67035" s="0" t="s">
        <v>22843</v>
      </c>
      <c r="B67035" s="0" t="str">
        <f aca="false">HYPERLINK("https://lindat.mff.cuni.cz/services/teitok/pdtc10/index.php?action=vallex&amp;frame=v-w9209f1", "zatajit se (v-w9209f1)")</f>
        <v>zatajit se (v-w9209f1)</v>
      </c>
    </row>
    <row r="67036" customFormat="false" ht="12.8" hidden="false" customHeight="false" outlineLevel="0" collapsed="false">
      <c r="B67036" s="0" t="s">
        <v>22844</v>
      </c>
    </row>
    <row r="67038" customFormat="false" ht="12.8" hidden="false" customHeight="false" outlineLevel="0" collapsed="false">
      <c r="A67038" s="0" t="s">
        <v>22845</v>
      </c>
      <c r="B67038" s="0" t="str">
        <f aca="false">HYPERLINK("https://lindat.mff.cuni.cz/services/teitok/pdtc10/index.php?action=vallex&amp;frame=v-w9210f1", "zatajovat (v-w9210f1)")</f>
        <v>zatajovat (v-w9210f1)</v>
      </c>
    </row>
    <row r="67039" customFormat="false" ht="12.8" hidden="false" customHeight="false" outlineLevel="0" collapsed="false">
      <c r="B67039" s="0" t="s">
        <v>7</v>
      </c>
      <c r="C67039" s="0" t="s">
        <v>184</v>
      </c>
      <c r="D67039" s="0" t="s">
        <v>4999</v>
      </c>
      <c r="E67039" s="0" t="s">
        <v>4999</v>
      </c>
      <c r="F67039" s="0" t="s">
        <v>4999</v>
      </c>
    </row>
    <row r="67040" customFormat="false" ht="12.8" hidden="false" customHeight="false" outlineLevel="0" collapsed="false">
      <c r="B67040" s="0" t="s">
        <v>3742</v>
      </c>
      <c r="C67040" s="0" t="s">
        <v>17021</v>
      </c>
      <c r="D67040" s="0" t="s">
        <v>5000</v>
      </c>
      <c r="E67040" s="0" t="s">
        <v>5000</v>
      </c>
      <c r="F67040" s="0" t="s">
        <v>5000</v>
      </c>
    </row>
    <row r="67041" customFormat="false" ht="12.8" hidden="false" customHeight="false" outlineLevel="0" collapsed="false">
      <c r="B67041" s="0" t="s">
        <v>293</v>
      </c>
      <c r="C67041" s="0" t="s">
        <v>9927</v>
      </c>
      <c r="D67041" s="0" t="s">
        <v>5001</v>
      </c>
      <c r="E67041" s="0" t="s">
        <v>5001</v>
      </c>
      <c r="F67041" s="0" t="s">
        <v>5001</v>
      </c>
    </row>
    <row r="67043" customFormat="false" ht="12.8" hidden="false" customHeight="false" outlineLevel="0" collapsed="false">
      <c r="A67043" s="0" t="s">
        <v>22846</v>
      </c>
      <c r="B67043" s="0" t="str">
        <f aca="false">HYPERLINK("https://lindat.mff.cuni.cz/services/teitok/pdtc10/index.php?action=vallex&amp;frame=v-w9210f2", "zatajovat (v-w9210f2)")</f>
        <v>zatajovat (v-w9210f2)</v>
      </c>
    </row>
    <row r="67044" customFormat="false" ht="12.8" hidden="false" customHeight="false" outlineLevel="0" collapsed="false">
      <c r="B67044" s="0" t="s">
        <v>7</v>
      </c>
    </row>
    <row r="67045" customFormat="false" ht="12.8" hidden="false" customHeight="false" outlineLevel="0" collapsed="false">
      <c r="B67045" s="0" t="s">
        <v>15294</v>
      </c>
    </row>
    <row r="67046" customFormat="false" ht="12.8" hidden="false" customHeight="false" outlineLevel="0" collapsed="false">
      <c r="B67046" s="0" t="s">
        <v>363</v>
      </c>
    </row>
    <row r="67047" customFormat="false" ht="12.8" hidden="false" customHeight="false" outlineLevel="0" collapsed="false">
      <c r="B67047" s="0" t="s">
        <v>293</v>
      </c>
    </row>
    <row r="67049" customFormat="false" ht="12.8" hidden="false" customHeight="false" outlineLevel="0" collapsed="false">
      <c r="A67049" s="0" t="s">
        <v>22847</v>
      </c>
      <c r="B67049" s="0" t="str">
        <f aca="false">HYPERLINK("https://lindat.mff.cuni.cz/services/teitok/pdtc10/index.php?action=vallex&amp;frame=v-w10296f2", "zatancovat (v-w10296f2)")</f>
        <v>zatancovat (v-w10296f2)</v>
      </c>
    </row>
    <row r="67050" customFormat="false" ht="12.8" hidden="false" customHeight="false" outlineLevel="0" collapsed="false">
      <c r="B67050" s="0" t="s">
        <v>7</v>
      </c>
    </row>
    <row r="67051" customFormat="false" ht="12.8" hidden="false" customHeight="false" outlineLevel="0" collapsed="false">
      <c r="B67051" s="0" t="s">
        <v>14</v>
      </c>
    </row>
    <row r="67053" customFormat="false" ht="12.8" hidden="false" customHeight="false" outlineLevel="0" collapsed="false">
      <c r="A67053" s="0" t="s">
        <v>22848</v>
      </c>
      <c r="B67053" s="0" t="str">
        <f aca="false">HYPERLINK("https://lindat.mff.cuni.cz/services/teitok/pdtc10/index.php?action=vallex&amp;frame=v-w11279f1", "zatancovat si (v-w11279f1)")</f>
        <v>zatancovat si (v-w11279f1)</v>
      </c>
    </row>
    <row r="67054" customFormat="false" ht="12.8" hidden="false" customHeight="false" outlineLevel="0" collapsed="false">
      <c r="B67054" s="0" t="s">
        <v>7</v>
      </c>
    </row>
    <row r="67055" customFormat="false" ht="12.8" hidden="false" customHeight="false" outlineLevel="0" collapsed="false">
      <c r="B67055" s="0" t="s">
        <v>14</v>
      </c>
    </row>
    <row r="67057" customFormat="false" ht="12.8" hidden="false" customHeight="false" outlineLevel="0" collapsed="false">
      <c r="A67057" s="0" t="s">
        <v>22849</v>
      </c>
      <c r="B67057" s="0" t="str">
        <f aca="false">HYPERLINK("https://lindat.mff.cuni.cz/services/teitok/pdtc10/index.php?action=vallex&amp;frame=v-w11279hsa_1657", "zatancovat si (v-w11279hsa_1657)")</f>
        <v>zatancovat si (v-w11279hsa_1657)</v>
      </c>
    </row>
    <row r="67058" customFormat="false" ht="12.8" hidden="false" customHeight="false" outlineLevel="0" collapsed="false">
      <c r="B67058" s="0" t="s">
        <v>7</v>
      </c>
    </row>
    <row r="67059" customFormat="false" ht="12.8" hidden="false" customHeight="false" outlineLevel="0" collapsed="false">
      <c r="B67059" s="0" t="s">
        <v>14</v>
      </c>
    </row>
    <row r="67060" customFormat="false" ht="12.8" hidden="false" customHeight="false" outlineLevel="0" collapsed="false">
      <c r="B67060" s="0" t="s">
        <v>2767</v>
      </c>
    </row>
    <row r="67062" customFormat="false" ht="12.8" hidden="false" customHeight="false" outlineLevel="0" collapsed="false">
      <c r="A67062" s="0" t="s">
        <v>22850</v>
      </c>
      <c r="B67062" s="0" t="str">
        <f aca="false">HYPERLINK("https://lindat.mff.cuni.cz/services/teitok/pdtc10/index.php?action=vallex&amp;frame=v-w11706_ZUf1_ZU", "zatančit (v-w11706_ZUf1_ZU)")</f>
        <v>zatančit (v-w11706_ZUf1_ZU)</v>
      </c>
    </row>
    <row r="67063" customFormat="false" ht="12.8" hidden="false" customHeight="false" outlineLevel="0" collapsed="false">
      <c r="B67063" s="0" t="s">
        <v>7</v>
      </c>
    </row>
    <row r="67064" customFormat="false" ht="12.8" hidden="false" customHeight="false" outlineLevel="0" collapsed="false">
      <c r="B67064" s="0" t="s">
        <v>14</v>
      </c>
    </row>
    <row r="67066" customFormat="false" ht="12.8" hidden="false" customHeight="false" outlineLevel="0" collapsed="false">
      <c r="A67066" s="0" t="s">
        <v>22851</v>
      </c>
      <c r="B67066" s="0" t="str">
        <f aca="false">HYPERLINK("https://lindat.mff.cuni.cz/services/teitok/pdtc10/index.php?action=vallex&amp;frame=v-whsa_1485f1_ZU", "zatančit si (v-whsa_1485f1_ZU)")</f>
        <v>zatančit si (v-whsa_1485f1_ZU)</v>
      </c>
    </row>
    <row r="67067" customFormat="false" ht="12.8" hidden="false" customHeight="false" outlineLevel="0" collapsed="false">
      <c r="B67067" s="0" t="s">
        <v>7</v>
      </c>
    </row>
    <row r="67068" customFormat="false" ht="12.8" hidden="false" customHeight="false" outlineLevel="0" collapsed="false">
      <c r="B67068" s="0" t="s">
        <v>14</v>
      </c>
    </row>
    <row r="67069" customFormat="false" ht="12.8" hidden="false" customHeight="false" outlineLevel="0" collapsed="false">
      <c r="B67069" s="0" t="s">
        <v>2767</v>
      </c>
    </row>
    <row r="67071" customFormat="false" ht="12.8" hidden="false" customHeight="false" outlineLevel="0" collapsed="false">
      <c r="A67071" s="0" t="s">
        <v>22851</v>
      </c>
      <c r="B67071" s="0" t="str">
        <f aca="false">HYPERLINK("https://lindat.mff.cuni.cz/services/teitok/pdtc10/index.php?action=vallex&amp;frame=v-whsa_1485hsa_1486", "zatančit si (v-whsa_1485hsa_1486) - substituted with v-whsa_1485f1_ZU")</f>
        <v>zatančit si (v-whsa_1485hsa_1486) - substituted with v-whsa_1485f1_ZU</v>
      </c>
    </row>
    <row r="67072" customFormat="false" ht="12.8" hidden="false" customHeight="false" outlineLevel="0" collapsed="false">
      <c r="B67072" s="0" t="s">
        <v>7</v>
      </c>
    </row>
    <row r="67073" customFormat="false" ht="12.8" hidden="false" customHeight="false" outlineLevel="0" collapsed="false">
      <c r="B67073" s="0" t="s">
        <v>14</v>
      </c>
    </row>
    <row r="67074" customFormat="false" ht="12.8" hidden="false" customHeight="false" outlineLevel="0" collapsed="false">
      <c r="B67074" s="0" t="s">
        <v>2767</v>
      </c>
    </row>
    <row r="67076" customFormat="false" ht="12.8" hidden="false" customHeight="false" outlineLevel="0" collapsed="false">
      <c r="A67076" s="0" t="s">
        <v>22852</v>
      </c>
      <c r="B67076" s="0" t="str">
        <f aca="false">HYPERLINK("https://lindat.mff.cuni.cz/services/teitok/pdtc10/index.php?action=vallex&amp;frame=v-w9211f1", "zatarasit (v-w9211f1)")</f>
        <v>zatarasit (v-w9211f1)</v>
      </c>
    </row>
    <row r="67077" customFormat="false" ht="12.8" hidden="false" customHeight="false" outlineLevel="0" collapsed="false">
      <c r="B67077" s="0" t="s">
        <v>7</v>
      </c>
      <c r="C67077" s="0" t="s">
        <v>22853</v>
      </c>
      <c r="D67077" s="0" t="s">
        <v>184</v>
      </c>
      <c r="E67077" s="0" t="s">
        <v>184</v>
      </c>
      <c r="F67077" s="0" t="s">
        <v>184</v>
      </c>
    </row>
    <row r="67078" customFormat="false" ht="12.8" hidden="false" customHeight="false" outlineLevel="0" collapsed="false">
      <c r="B67078" s="0" t="s">
        <v>14</v>
      </c>
      <c r="C67078" s="0" t="s">
        <v>22854</v>
      </c>
      <c r="D67078" s="0" t="s">
        <v>47</v>
      </c>
      <c r="E67078" s="0" t="s">
        <v>47</v>
      </c>
      <c r="F67078" s="0" t="s">
        <v>47</v>
      </c>
    </row>
    <row r="67080" customFormat="false" ht="12.8" hidden="false" customHeight="false" outlineLevel="0" collapsed="false">
      <c r="A67080" s="0" t="s">
        <v>22855</v>
      </c>
      <c r="B67080" s="0" t="str">
        <f aca="false">HYPERLINK("https://lindat.mff.cuni.cz/services/teitok/pdtc10/index.php?action=vallex&amp;frame=v-w9212f1", "zatavit (v-w9212f1)")</f>
        <v>zatavit (v-w9212f1)</v>
      </c>
    </row>
    <row r="67081" customFormat="false" ht="12.8" hidden="false" customHeight="false" outlineLevel="0" collapsed="false">
      <c r="B67081" s="0" t="s">
        <v>7</v>
      </c>
    </row>
    <row r="67082" customFormat="false" ht="12.8" hidden="false" customHeight="false" outlineLevel="0" collapsed="false">
      <c r="B67082" s="0" t="s">
        <v>14</v>
      </c>
    </row>
    <row r="67083" customFormat="false" ht="12.8" hidden="false" customHeight="false" outlineLevel="0" collapsed="false">
      <c r="B67083" s="0" t="s">
        <v>124</v>
      </c>
    </row>
    <row r="67085" customFormat="false" ht="12.8" hidden="false" customHeight="false" outlineLevel="0" collapsed="false">
      <c r="A67085" s="0" t="s">
        <v>22856</v>
      </c>
      <c r="B67085" s="0" t="str">
        <f aca="false">HYPERLINK("https://lindat.mff.cuni.cz/services/teitok/pdtc10/index.php?action=vallex&amp;frame=v-w9215f4", "zatelefonovat (v-w9215f4)")</f>
        <v>zatelefonovat (v-w9215f4)</v>
      </c>
    </row>
    <row r="67086" customFormat="false" ht="12.8" hidden="false" customHeight="false" outlineLevel="0" collapsed="false">
      <c r="B67086" s="0" t="s">
        <v>7</v>
      </c>
      <c r="E67086" s="0" t="s">
        <v>2797</v>
      </c>
      <c r="F67086" s="0" t="s">
        <v>2797</v>
      </c>
    </row>
    <row r="67087" customFormat="false" ht="12.8" hidden="false" customHeight="false" outlineLevel="0" collapsed="false">
      <c r="B67087" s="0" t="s">
        <v>367</v>
      </c>
      <c r="E67087" s="0" t="s">
        <v>8694</v>
      </c>
      <c r="F67087" s="0" t="s">
        <v>8694</v>
      </c>
    </row>
    <row r="67088" customFormat="false" ht="12.8" hidden="false" customHeight="false" outlineLevel="0" collapsed="false">
      <c r="B67088" s="0" t="s">
        <v>48</v>
      </c>
      <c r="E67088" s="0" t="s">
        <v>398</v>
      </c>
      <c r="F67088" s="0" t="s">
        <v>398</v>
      </c>
    </row>
    <row r="67090" customFormat="false" ht="12.8" hidden="false" customHeight="false" outlineLevel="0" collapsed="false">
      <c r="A67090" s="0" t="s">
        <v>22857</v>
      </c>
      <c r="B67090" s="0" t="str">
        <f aca="false">HYPERLINK("https://lindat.mff.cuni.cz/services/teitok/pdtc10/index.php?action=vallex&amp;frame=v-w9215f3", "zatelefonovat (v-w9215f3)")</f>
        <v>zatelefonovat (v-w9215f3)</v>
      </c>
    </row>
    <row r="67091" customFormat="false" ht="12.8" hidden="false" customHeight="false" outlineLevel="0" collapsed="false">
      <c r="B67091" s="0" t="s">
        <v>7</v>
      </c>
      <c r="E67091" s="0" t="s">
        <v>13342</v>
      </c>
      <c r="F67091" s="0" t="s">
        <v>13342</v>
      </c>
    </row>
    <row r="67092" customFormat="false" ht="12.8" hidden="false" customHeight="false" outlineLevel="0" collapsed="false">
      <c r="B67092" s="0" t="s">
        <v>48</v>
      </c>
      <c r="E67092" s="0" t="s">
        <v>22858</v>
      </c>
      <c r="F67092" s="0" t="s">
        <v>22858</v>
      </c>
    </row>
    <row r="67093" customFormat="false" ht="12.8" hidden="false" customHeight="false" outlineLevel="0" collapsed="false">
      <c r="B67093" s="0" t="s">
        <v>363</v>
      </c>
      <c r="E67093" s="0" t="s">
        <v>8694</v>
      </c>
      <c r="F67093" s="0" t="s">
        <v>8694</v>
      </c>
    </row>
    <row r="67095" customFormat="false" ht="12.8" hidden="false" customHeight="false" outlineLevel="0" collapsed="false">
      <c r="A67095" s="0" t="s">
        <v>22859</v>
      </c>
      <c r="B67095" s="0" t="str">
        <f aca="false">HYPERLINK("https://lindat.mff.cuni.cz/services/teitok/pdtc10/index.php?action=vallex&amp;frame=v-w9215f1", "zatelefonovat (v-w9215f1)")</f>
        <v>zatelefonovat (v-w9215f1)</v>
      </c>
    </row>
    <row r="67096" customFormat="false" ht="12.8" hidden="false" customHeight="false" outlineLevel="0" collapsed="false">
      <c r="B67096" s="0" t="s">
        <v>7</v>
      </c>
      <c r="C67096" s="0" t="s">
        <v>569</v>
      </c>
    </row>
    <row r="67097" customFormat="false" ht="12.8" hidden="false" customHeight="false" outlineLevel="0" collapsed="false">
      <c r="B67097" s="0" t="s">
        <v>48</v>
      </c>
      <c r="C67097" s="0" t="s">
        <v>17035</v>
      </c>
    </row>
    <row r="67098" customFormat="false" ht="12.8" hidden="false" customHeight="false" outlineLevel="0" collapsed="false">
      <c r="B67098" s="0" t="s">
        <v>5518</v>
      </c>
      <c r="C67098" s="0" t="s">
        <v>4597</v>
      </c>
    </row>
    <row r="67099" customFormat="false" ht="12.8" hidden="false" customHeight="false" outlineLevel="0" collapsed="false">
      <c r="B67099" s="0" t="s">
        <v>363</v>
      </c>
    </row>
    <row r="67101" customFormat="false" ht="12.8" hidden="false" customHeight="false" outlineLevel="0" collapsed="false">
      <c r="A67101" s="0" t="s">
        <v>22860</v>
      </c>
      <c r="B67101" s="0" t="str">
        <f aca="false">HYPERLINK("https://lindat.mff.cuni.cz/services/teitok/pdtc10/index.php?action=vallex&amp;frame=v-w9215f2", "zatelefonovat (v-w9215f2)")</f>
        <v>zatelefonovat (v-w9215f2)</v>
      </c>
    </row>
    <row r="67102" customFormat="false" ht="12.8" hidden="false" customHeight="false" outlineLevel="0" collapsed="false">
      <c r="B67102" s="0" t="s">
        <v>7</v>
      </c>
    </row>
    <row r="67103" customFormat="false" ht="12.8" hidden="false" customHeight="false" outlineLevel="0" collapsed="false">
      <c r="B67103" s="0" t="s">
        <v>124</v>
      </c>
    </row>
    <row r="67104" customFormat="false" ht="12.8" hidden="false" customHeight="false" outlineLevel="0" collapsed="false">
      <c r="B67104" s="0" t="s">
        <v>363</v>
      </c>
    </row>
    <row r="67106" customFormat="false" ht="12.8" hidden="false" customHeight="false" outlineLevel="0" collapsed="false">
      <c r="A67106" s="0" t="s">
        <v>22861</v>
      </c>
      <c r="B67106" s="0" t="str">
        <f aca="false">HYPERLINK("https://lindat.mff.cuni.cz/services/teitok/pdtc10/index.php?action=vallex&amp;frame=v-w9216f1", "zatelefonovat si (v-w9216f1)")</f>
        <v>zatelefonovat si (v-w9216f1)</v>
      </c>
    </row>
    <row r="67107" customFormat="false" ht="12.8" hidden="false" customHeight="false" outlineLevel="0" collapsed="false">
      <c r="B67107" s="0" t="s">
        <v>7</v>
      </c>
    </row>
    <row r="67108" customFormat="false" ht="12.8" hidden="false" customHeight="false" outlineLevel="0" collapsed="false">
      <c r="B67108" s="0" t="s">
        <v>2721</v>
      </c>
    </row>
    <row r="67109" customFormat="false" ht="12.8" hidden="false" customHeight="false" outlineLevel="0" collapsed="false">
      <c r="B67109" s="0" t="s">
        <v>106</v>
      </c>
    </row>
    <row r="67111" customFormat="false" ht="12.8" hidden="false" customHeight="false" outlineLevel="0" collapsed="false">
      <c r="A67111" s="0" t="s">
        <v>22862</v>
      </c>
      <c r="B67111" s="0" t="str">
        <f aca="false">HYPERLINK("https://lindat.mff.cuni.cz/services/teitok/pdtc10/index.php?action=vallex&amp;frame=v-w9216f2", "zatelefonovat si (v-w9216f2)")</f>
        <v>zatelefonovat si (v-w9216f2)</v>
      </c>
    </row>
    <row r="67112" customFormat="false" ht="12.8" hidden="false" customHeight="false" outlineLevel="0" collapsed="false">
      <c r="B67112" s="0" t="s">
        <v>7</v>
      </c>
    </row>
    <row r="67113" customFormat="false" ht="12.8" hidden="false" customHeight="false" outlineLevel="0" collapsed="false">
      <c r="B67113" s="0" t="s">
        <v>124</v>
      </c>
    </row>
    <row r="67114" customFormat="false" ht="12.8" hidden="false" customHeight="false" outlineLevel="0" collapsed="false">
      <c r="B67114" s="0" t="s">
        <v>2721</v>
      </c>
    </row>
    <row r="67116" customFormat="false" ht="12.8" hidden="false" customHeight="false" outlineLevel="0" collapsed="false">
      <c r="A67116" s="0" t="s">
        <v>22863</v>
      </c>
      <c r="B67116" s="0" t="str">
        <f aca="false">HYPERLINK("https://lindat.mff.cuni.cz/services/teitok/pdtc10/index.php?action=vallex&amp;frame=v-w9216hsa_1545", "zatelefonovat si (v-w9216hsa_1545)")</f>
        <v>zatelefonovat si (v-w9216hsa_1545)</v>
      </c>
    </row>
    <row r="67117" customFormat="false" ht="12.8" hidden="false" customHeight="false" outlineLevel="0" collapsed="false">
      <c r="B67117" s="0" t="s">
        <v>7</v>
      </c>
    </row>
    <row r="67118" customFormat="false" ht="12.8" hidden="false" customHeight="false" outlineLevel="0" collapsed="false">
      <c r="B67118" s="0" t="s">
        <v>14</v>
      </c>
    </row>
    <row r="67119" customFormat="false" ht="12.8" hidden="false" customHeight="false" outlineLevel="0" collapsed="false">
      <c r="B67119" s="0" t="s">
        <v>207</v>
      </c>
    </row>
    <row r="67121" customFormat="false" ht="12.8" hidden="false" customHeight="false" outlineLevel="0" collapsed="false">
      <c r="A67121" s="0" t="s">
        <v>22864</v>
      </c>
      <c r="B67121" s="0" t="str">
        <f aca="false">HYPERLINK("https://lindat.mff.cuni.cz/services/teitok/pdtc10/index.php?action=vallex&amp;frame=v-w9217f1", "zatemnit (v-w9217f1)")</f>
        <v>zatemnit (v-w9217f1)</v>
      </c>
    </row>
    <row r="67122" customFormat="false" ht="12.8" hidden="false" customHeight="false" outlineLevel="0" collapsed="false">
      <c r="B67122" s="0" t="s">
        <v>7</v>
      </c>
    </row>
    <row r="67123" customFormat="false" ht="12.8" hidden="false" customHeight="false" outlineLevel="0" collapsed="false">
      <c r="B67123" s="0" t="s">
        <v>14</v>
      </c>
    </row>
    <row r="67125" customFormat="false" ht="12.8" hidden="false" customHeight="false" outlineLevel="0" collapsed="false">
      <c r="A67125" s="0" t="s">
        <v>22865</v>
      </c>
      <c r="B67125" s="0" t="str">
        <f aca="false">HYPERLINK("https://lindat.mff.cuni.cz/services/teitok/pdtc10/index.php?action=vallex&amp;frame=v-w9217f2", "zatemnit (v-w9217f2)")</f>
        <v>zatemnit (v-w9217f2)</v>
      </c>
    </row>
    <row r="67126" customFormat="false" ht="12.8" hidden="false" customHeight="false" outlineLevel="0" collapsed="false">
      <c r="B67126" s="0" t="s">
        <v>7</v>
      </c>
    </row>
    <row r="67127" customFormat="false" ht="12.8" hidden="false" customHeight="false" outlineLevel="0" collapsed="false">
      <c r="B67127" s="0" t="s">
        <v>14</v>
      </c>
    </row>
    <row r="67129" customFormat="false" ht="12.8" hidden="false" customHeight="false" outlineLevel="0" collapsed="false">
      <c r="A67129" s="0" t="s">
        <v>22866</v>
      </c>
      <c r="B67129" s="0" t="str">
        <f aca="false">HYPERLINK("https://lindat.mff.cuni.cz/services/teitok/pdtc10/index.php?action=vallex&amp;frame=v-w9218f1", "zatemňovat (v-w9218f1)")</f>
        <v>zatemňovat (v-w9218f1)</v>
      </c>
    </row>
    <row r="67130" customFormat="false" ht="12.8" hidden="false" customHeight="false" outlineLevel="0" collapsed="false">
      <c r="B67130" s="0" t="s">
        <v>7</v>
      </c>
      <c r="C67130" s="0" t="s">
        <v>191</v>
      </c>
      <c r="D67130" s="0" t="s">
        <v>623</v>
      </c>
      <c r="E67130" s="0" t="s">
        <v>623</v>
      </c>
      <c r="F67130" s="0" t="s">
        <v>623</v>
      </c>
    </row>
    <row r="67131" customFormat="false" ht="12.8" hidden="false" customHeight="false" outlineLevel="0" collapsed="false">
      <c r="B67131" s="0" t="s">
        <v>14</v>
      </c>
      <c r="C67131" s="0" t="s">
        <v>155</v>
      </c>
      <c r="D67131" s="0" t="s">
        <v>487</v>
      </c>
      <c r="E67131" s="0" t="s">
        <v>487</v>
      </c>
      <c r="F67131" s="0" t="s">
        <v>487</v>
      </c>
    </row>
    <row r="67133" customFormat="false" ht="12.8" hidden="false" customHeight="false" outlineLevel="0" collapsed="false">
      <c r="A67133" s="0" t="s">
        <v>22867</v>
      </c>
      <c r="B67133" s="0" t="str">
        <f aca="false">HYPERLINK("https://lindat.mff.cuni.cz/services/teitok/pdtc10/index.php?action=vallex&amp;frame=v-w9221f1", "zateplovat (v-w9221f1)")</f>
        <v>zateplovat (v-w9221f1)</v>
      </c>
    </row>
    <row r="67134" customFormat="false" ht="12.8" hidden="false" customHeight="false" outlineLevel="0" collapsed="false">
      <c r="B67134" s="0" t="s">
        <v>7</v>
      </c>
    </row>
    <row r="67135" customFormat="false" ht="12.8" hidden="false" customHeight="false" outlineLevel="0" collapsed="false">
      <c r="B67135" s="0" t="s">
        <v>14</v>
      </c>
    </row>
    <row r="67137" customFormat="false" ht="12.8" hidden="false" customHeight="false" outlineLevel="0" collapsed="false">
      <c r="A67137" s="0" t="s">
        <v>22868</v>
      </c>
      <c r="B67137" s="0" t="str">
        <f aca="false">HYPERLINK("https://lindat.mff.cuni.cz/services/teitok/pdtc10/index.php?action=vallex&amp;frame=v-w9228f1", "zatknout (v-w9228f1)")</f>
        <v>zatknout (v-w9228f1)</v>
      </c>
    </row>
    <row r="67138" customFormat="false" ht="12.8" hidden="false" customHeight="false" outlineLevel="0" collapsed="false">
      <c r="B67138" s="0" t="s">
        <v>7</v>
      </c>
      <c r="C67138" s="0" t="s">
        <v>1826</v>
      </c>
      <c r="D67138" s="0" t="s">
        <v>391</v>
      </c>
      <c r="E67138" s="0" t="s">
        <v>391</v>
      </c>
      <c r="F67138" s="0" t="s">
        <v>391</v>
      </c>
    </row>
    <row r="67139" customFormat="false" ht="12.8" hidden="false" customHeight="false" outlineLevel="0" collapsed="false">
      <c r="B67139" s="0" t="s">
        <v>14</v>
      </c>
      <c r="C67139" s="0" t="s">
        <v>1264</v>
      </c>
      <c r="D67139" s="0" t="s">
        <v>1093</v>
      </c>
      <c r="E67139" s="0" t="s">
        <v>1093</v>
      </c>
      <c r="F67139" s="0" t="s">
        <v>1093</v>
      </c>
    </row>
    <row r="67141" customFormat="false" ht="12.8" hidden="false" customHeight="false" outlineLevel="0" collapsed="false">
      <c r="A67141" s="0" t="s">
        <v>22869</v>
      </c>
      <c r="B67141" s="0" t="str">
        <f aca="false">HYPERLINK("https://lindat.mff.cuni.cz/services/teitok/pdtc10/index.php?action=vallex&amp;frame=v-w9229f1", "zatlačit (v-w9229f1)")</f>
        <v>zatlačit (v-w9229f1)</v>
      </c>
    </row>
    <row r="67142" customFormat="false" ht="12.8" hidden="false" customHeight="false" outlineLevel="0" collapsed="false">
      <c r="B67142" s="0" t="s">
        <v>7</v>
      </c>
      <c r="C67142" s="0" t="s">
        <v>1637</v>
      </c>
    </row>
    <row r="67143" customFormat="false" ht="12.8" hidden="false" customHeight="false" outlineLevel="0" collapsed="false">
      <c r="B67143" s="0" t="s">
        <v>14</v>
      </c>
      <c r="C67143" s="0" t="s">
        <v>22870</v>
      </c>
    </row>
    <row r="67144" customFormat="false" ht="12.8" hidden="false" customHeight="false" outlineLevel="0" collapsed="false">
      <c r="B67144" s="0" t="s">
        <v>124</v>
      </c>
      <c r="C67144" s="0" t="s">
        <v>22871</v>
      </c>
    </row>
    <row r="67146" customFormat="false" ht="12.8" hidden="false" customHeight="false" outlineLevel="0" collapsed="false">
      <c r="A67146" s="0" t="s">
        <v>22872</v>
      </c>
      <c r="B67146" s="0" t="str">
        <f aca="false">HYPERLINK("https://lindat.mff.cuni.cz/services/teitok/pdtc10/index.php?action=vallex&amp;frame=v-w9229f3_ZU", "zatlačit (v-w9229f3_ZU)")</f>
        <v>zatlačit (v-w9229f3_ZU)</v>
      </c>
    </row>
    <row r="67147" customFormat="false" ht="12.8" hidden="false" customHeight="false" outlineLevel="0" collapsed="false">
      <c r="B67147" s="0" t="s">
        <v>7</v>
      </c>
      <c r="C67147" s="0" t="s">
        <v>2736</v>
      </c>
    </row>
    <row r="67148" customFormat="false" ht="12.8" hidden="false" customHeight="false" outlineLevel="0" collapsed="false">
      <c r="B67148" s="0" t="s">
        <v>41</v>
      </c>
      <c r="C67148" s="0" t="s">
        <v>22873</v>
      </c>
    </row>
    <row r="67150" customFormat="false" ht="12.8" hidden="false" customHeight="false" outlineLevel="0" collapsed="false">
      <c r="A67150" s="0" t="s">
        <v>22872</v>
      </c>
      <c r="B67150" s="0" t="str">
        <f aca="false">HYPERLINK("https://lindat.mff.cuni.cz/services/teitok/pdtc10/index.php?action=vallex&amp;frame=v-w9229f2", "zatlačit (v-w9229f2) - substituted with v-w9229f3_ZU")</f>
        <v>zatlačit (v-w9229f2) - substituted with v-w9229f3_ZU</v>
      </c>
    </row>
    <row r="67151" customFormat="false" ht="12.8" hidden="false" customHeight="false" outlineLevel="0" collapsed="false">
      <c r="B67151" s="0" t="s">
        <v>7</v>
      </c>
    </row>
    <row r="67152" customFormat="false" ht="12.8" hidden="false" customHeight="false" outlineLevel="0" collapsed="false">
      <c r="B67152" s="0" t="s">
        <v>41</v>
      </c>
    </row>
    <row r="67154" customFormat="false" ht="12.8" hidden="false" customHeight="false" outlineLevel="0" collapsed="false">
      <c r="A67154" s="0" t="s">
        <v>22874</v>
      </c>
      <c r="B67154" s="0" t="str">
        <f aca="false">HYPERLINK("https://lindat.mff.cuni.cz/services/teitok/pdtc10/index.php?action=vallex&amp;frame=v-w9229f4_ZU", "zatlačit (v-w9229f4_ZU)")</f>
        <v>zatlačit (v-w9229f4_ZU)</v>
      </c>
    </row>
    <row r="67155" customFormat="false" ht="12.8" hidden="false" customHeight="false" outlineLevel="0" collapsed="false">
      <c r="B67155" s="0" t="s">
        <v>7</v>
      </c>
    </row>
    <row r="67156" customFormat="false" ht="12.8" hidden="false" customHeight="false" outlineLevel="0" collapsed="false">
      <c r="B67156" s="0" t="s">
        <v>16347</v>
      </c>
    </row>
    <row r="67157" customFormat="false" ht="12.8" hidden="false" customHeight="false" outlineLevel="0" collapsed="false">
      <c r="B67157" s="0" t="s">
        <v>142</v>
      </c>
    </row>
    <row r="67159" customFormat="false" ht="12.8" hidden="false" customHeight="false" outlineLevel="0" collapsed="false">
      <c r="A67159" s="0" t="s">
        <v>22874</v>
      </c>
      <c r="B67159" s="0" t="str">
        <f aca="false">HYPERLINK("https://lindat.mff.cuni.cz/services/teitok/pdtc10/index.php?action=vallex&amp;frame=v-w9229hsa_688", "zatlačit (v-w9229hsa_688) - substituted with v-w9229f4_ZU")</f>
        <v>zatlačit (v-w9229hsa_688) - substituted with v-w9229f4_ZU</v>
      </c>
    </row>
    <row r="67160" customFormat="false" ht="12.8" hidden="false" customHeight="false" outlineLevel="0" collapsed="false">
      <c r="B67160" s="0" t="s">
        <v>7</v>
      </c>
    </row>
    <row r="67161" customFormat="false" ht="12.8" hidden="false" customHeight="false" outlineLevel="0" collapsed="false">
      <c r="B67161" s="0" t="s">
        <v>16347</v>
      </c>
    </row>
    <row r="67162" customFormat="false" ht="12.8" hidden="false" customHeight="false" outlineLevel="0" collapsed="false">
      <c r="B67162" s="0" t="s">
        <v>142</v>
      </c>
    </row>
    <row r="67164" customFormat="false" ht="12.8" hidden="false" customHeight="false" outlineLevel="0" collapsed="false">
      <c r="A67164" s="0" t="s">
        <v>22875</v>
      </c>
      <c r="B67164" s="0" t="str">
        <f aca="false">HYPERLINK("https://lindat.mff.cuni.cz/services/teitok/pdtc10/index.php?action=vallex&amp;frame=v-w9229hsa_816", "zatlačit (v-w9229hsa_816)")</f>
        <v>zatlačit (v-w9229hsa_816)</v>
      </c>
    </row>
    <row r="67165" customFormat="false" ht="12.8" hidden="false" customHeight="false" outlineLevel="0" collapsed="false">
      <c r="B67165" s="0" t="s">
        <v>7</v>
      </c>
    </row>
    <row r="67166" customFormat="false" ht="12.8" hidden="false" customHeight="false" outlineLevel="0" collapsed="false">
      <c r="B67166" s="0" t="s">
        <v>41</v>
      </c>
    </row>
    <row r="67168" customFormat="false" ht="12.8" hidden="false" customHeight="false" outlineLevel="0" collapsed="false">
      <c r="A67168" s="0" t="s">
        <v>22876</v>
      </c>
      <c r="B67168" s="0" t="str">
        <f aca="false">HYPERLINK("https://lindat.mff.cuni.cz/services/teitok/pdtc10/index.php?action=vallex&amp;frame=v-whsa_375f1_ZU", "zatlačovat (v-whsa_375f1_ZU)")</f>
        <v>zatlačovat (v-whsa_375f1_ZU)</v>
      </c>
    </row>
    <row r="67169" customFormat="false" ht="12.8" hidden="false" customHeight="false" outlineLevel="0" collapsed="false">
      <c r="B67169" s="0" t="s">
        <v>7</v>
      </c>
      <c r="C67169" s="0" t="s">
        <v>46</v>
      </c>
    </row>
    <row r="67170" customFormat="false" ht="12.8" hidden="false" customHeight="false" outlineLevel="0" collapsed="false">
      <c r="B67170" s="0" t="s">
        <v>14</v>
      </c>
      <c r="C67170" s="0" t="s">
        <v>47</v>
      </c>
    </row>
    <row r="67171" customFormat="false" ht="12.8" hidden="false" customHeight="false" outlineLevel="0" collapsed="false">
      <c r="B67171" s="0" t="s">
        <v>338</v>
      </c>
    </row>
    <row r="67173" customFormat="false" ht="12.8" hidden="false" customHeight="false" outlineLevel="0" collapsed="false">
      <c r="A67173" s="0" t="s">
        <v>22876</v>
      </c>
      <c r="B67173" s="0" t="str">
        <f aca="false">HYPERLINK("https://lindat.mff.cuni.cz/services/teitok/pdtc10/index.php?action=vallex&amp;frame=v-whsa_375hsa_376", "zatlačovat (v-whsa_375hsa_376) - substituted with v-whsa_375f1_ZU")</f>
        <v>zatlačovat (v-whsa_375hsa_376) - substituted with v-whsa_375f1_ZU</v>
      </c>
    </row>
    <row r="67174" customFormat="false" ht="12.8" hidden="false" customHeight="false" outlineLevel="0" collapsed="false">
      <c r="B67174" s="0" t="s">
        <v>7</v>
      </c>
    </row>
    <row r="67175" customFormat="false" ht="12.8" hidden="false" customHeight="false" outlineLevel="0" collapsed="false">
      <c r="B67175" s="0" t="s">
        <v>14</v>
      </c>
    </row>
    <row r="67176" customFormat="false" ht="12.8" hidden="false" customHeight="false" outlineLevel="0" collapsed="false">
      <c r="B67176" s="0" t="s">
        <v>338</v>
      </c>
    </row>
    <row r="67178" customFormat="false" ht="12.8" hidden="false" customHeight="false" outlineLevel="0" collapsed="false">
      <c r="A67178" s="0" t="s">
        <v>22877</v>
      </c>
      <c r="B67178" s="0" t="str">
        <f aca="false">HYPERLINK("https://lindat.mff.cuni.cz/services/teitok/pdtc10/index.php?action=vallex&amp;frame=v-w11140f2", "zatleskat (v-w11140f2)")</f>
        <v>zatleskat (v-w11140f2)</v>
      </c>
    </row>
    <row r="67179" customFormat="false" ht="12.8" hidden="false" customHeight="false" outlineLevel="0" collapsed="false">
      <c r="B67179" s="0" t="s">
        <v>7</v>
      </c>
      <c r="C67179" s="0" t="s">
        <v>118</v>
      </c>
      <c r="D67179" s="0" t="s">
        <v>118</v>
      </c>
      <c r="E67179" s="0" t="s">
        <v>118</v>
      </c>
      <c r="F67179" s="0" t="s">
        <v>118</v>
      </c>
    </row>
    <row r="67180" customFormat="false" ht="12.8" hidden="false" customHeight="false" outlineLevel="0" collapsed="false">
      <c r="B67180" s="0" t="s">
        <v>119</v>
      </c>
      <c r="C67180" s="0" t="s">
        <v>120</v>
      </c>
      <c r="D67180" s="0" t="s">
        <v>120</v>
      </c>
      <c r="E67180" s="0" t="s">
        <v>120</v>
      </c>
      <c r="F67180" s="0" t="s">
        <v>120</v>
      </c>
    </row>
    <row r="67182" customFormat="false" ht="12.8" hidden="false" customHeight="false" outlineLevel="0" collapsed="false">
      <c r="A67182" s="0" t="s">
        <v>22878</v>
      </c>
      <c r="B67182" s="0" t="str">
        <f aca="false">HYPERLINK("https://lindat.mff.cuni.cz/services/teitok/pdtc10/index.php?action=vallex&amp;frame=v-whsa_2013f1_ZU", "zatlouct (v-whsa_2013f1_ZU)")</f>
        <v>zatlouct (v-whsa_2013f1_ZU)</v>
      </c>
    </row>
    <row r="67183" customFormat="false" ht="12.8" hidden="false" customHeight="false" outlineLevel="0" collapsed="false">
      <c r="B67183" s="0" t="s">
        <v>7</v>
      </c>
    </row>
    <row r="67184" customFormat="false" ht="12.8" hidden="false" customHeight="false" outlineLevel="0" collapsed="false">
      <c r="B67184" s="0" t="s">
        <v>14</v>
      </c>
    </row>
    <row r="67185" customFormat="false" ht="12.8" hidden="false" customHeight="false" outlineLevel="0" collapsed="false">
      <c r="B67185" s="0" t="s">
        <v>124</v>
      </c>
    </row>
    <row r="67187" customFormat="false" ht="12.8" hidden="false" customHeight="false" outlineLevel="0" collapsed="false">
      <c r="A67187" s="0" t="s">
        <v>22878</v>
      </c>
      <c r="B67187" s="0" t="str">
        <f aca="false">HYPERLINK("https://lindat.mff.cuni.cz/services/teitok/pdtc10/index.php?action=vallex&amp;frame=v-whsa_2013hsa_2014", "zatlouct (v-whsa_2013hsa_2014) - substituted with v-whsa_2013f1_ZU")</f>
        <v>zatlouct (v-whsa_2013hsa_2014) - substituted with v-whsa_2013f1_ZU</v>
      </c>
    </row>
    <row r="67188" customFormat="false" ht="12.8" hidden="false" customHeight="false" outlineLevel="0" collapsed="false">
      <c r="B67188" s="0" t="s">
        <v>7</v>
      </c>
    </row>
    <row r="67189" customFormat="false" ht="12.8" hidden="false" customHeight="false" outlineLevel="0" collapsed="false">
      <c r="B67189" s="0" t="s">
        <v>14</v>
      </c>
    </row>
    <row r="67190" customFormat="false" ht="12.8" hidden="false" customHeight="false" outlineLevel="0" collapsed="false">
      <c r="B67190" s="0" t="s">
        <v>124</v>
      </c>
    </row>
    <row r="67192" customFormat="false" ht="12.8" hidden="false" customHeight="false" outlineLevel="0" collapsed="false">
      <c r="A67192" s="0" t="s">
        <v>22879</v>
      </c>
      <c r="B67192" s="0" t="str">
        <f aca="false">HYPERLINK("https://lindat.mff.cuni.cz/services/teitok/pdtc10/index.php?action=vallex&amp;frame=v-whsa_1549hsa_1550", "zatloukat (v-whsa_1549hsa_1550)")</f>
        <v>zatloukat (v-whsa_1549hsa_1550)</v>
      </c>
    </row>
    <row r="67193" customFormat="false" ht="12.8" hidden="false" customHeight="false" outlineLevel="0" collapsed="false">
      <c r="B67193" s="0" t="s">
        <v>7</v>
      </c>
    </row>
    <row r="67194" customFormat="false" ht="12.8" hidden="false" customHeight="false" outlineLevel="0" collapsed="false">
      <c r="B67194" s="0" t="s">
        <v>14</v>
      </c>
    </row>
    <row r="67196" customFormat="false" ht="12.8" hidden="false" customHeight="false" outlineLevel="0" collapsed="false">
      <c r="A67196" s="0" t="s">
        <v>22880</v>
      </c>
      <c r="B67196" s="0" t="str">
        <f aca="false">HYPERLINK("https://lindat.mff.cuni.cz/services/teitok/pdtc10/index.php?action=vallex&amp;frame=v-w10394f2", "zatmelit (v-w10394f2)")</f>
        <v>zatmelit (v-w10394f2)</v>
      </c>
    </row>
    <row r="67197" customFormat="false" ht="12.8" hidden="false" customHeight="false" outlineLevel="0" collapsed="false">
      <c r="B67197" s="0" t="s">
        <v>7</v>
      </c>
    </row>
    <row r="67198" customFormat="false" ht="12.8" hidden="false" customHeight="false" outlineLevel="0" collapsed="false">
      <c r="B67198" s="0" t="s">
        <v>14</v>
      </c>
    </row>
    <row r="67200" customFormat="false" ht="12.8" hidden="false" customHeight="false" outlineLevel="0" collapsed="false">
      <c r="A67200" s="0" t="s">
        <v>22881</v>
      </c>
      <c r="B67200" s="0" t="str">
        <f aca="false">HYPERLINK("https://lindat.mff.cuni.cz/services/teitok/pdtc10/index.php?action=vallex&amp;frame=v-w11853_ZUf1_ZU", "zatnout (v-w11853_ZUf1_ZU)")</f>
        <v>zatnout (v-w11853_ZUf1_ZU)</v>
      </c>
    </row>
    <row r="67201" customFormat="false" ht="12.8" hidden="false" customHeight="false" outlineLevel="0" collapsed="false">
      <c r="B67201" s="0" t="s">
        <v>7</v>
      </c>
    </row>
    <row r="67202" customFormat="false" ht="12.8" hidden="false" customHeight="false" outlineLevel="0" collapsed="false">
      <c r="B67202" s="0" t="s">
        <v>22882</v>
      </c>
    </row>
    <row r="67203" customFormat="false" ht="12.8" hidden="false" customHeight="false" outlineLevel="0" collapsed="false">
      <c r="B67203" s="0" t="s">
        <v>142</v>
      </c>
    </row>
    <row r="67205" customFormat="false" ht="12.8" hidden="false" customHeight="false" outlineLevel="0" collapsed="false">
      <c r="A67205" s="0" t="s">
        <v>22883</v>
      </c>
      <c r="B67205" s="0" t="str">
        <f aca="false">HYPERLINK("https://lindat.mff.cuni.cz/services/teitok/pdtc10/index.php?action=vallex&amp;frame=v-w11048f3", "zatopit (v-w11048f3)")</f>
        <v>zatopit (v-w11048f3)</v>
      </c>
    </row>
    <row r="67206" customFormat="false" ht="12.8" hidden="false" customHeight="false" outlineLevel="0" collapsed="false">
      <c r="B67206" s="0" t="s">
        <v>7</v>
      </c>
      <c r="C67206" s="0" t="s">
        <v>623</v>
      </c>
    </row>
    <row r="67207" customFormat="false" ht="12.8" hidden="false" customHeight="false" outlineLevel="0" collapsed="false">
      <c r="B67207" s="0" t="s">
        <v>142</v>
      </c>
    </row>
    <row r="67209" customFormat="false" ht="12.8" hidden="false" customHeight="false" outlineLevel="0" collapsed="false">
      <c r="A67209" s="0" t="s">
        <v>22884</v>
      </c>
      <c r="B67209" s="0" t="str">
        <f aca="false">HYPERLINK("https://lindat.mff.cuni.cz/services/teitok/pdtc10/index.php?action=vallex&amp;frame=v-w11048hsa_151", "zatopit (v-w11048hsa_151)")</f>
        <v>zatopit (v-w11048hsa_151)</v>
      </c>
    </row>
    <row r="67210" customFormat="false" ht="12.8" hidden="false" customHeight="false" outlineLevel="0" collapsed="false">
      <c r="B67210" s="0" t="s">
        <v>7</v>
      </c>
    </row>
    <row r="67211" customFormat="false" ht="12.8" hidden="false" customHeight="false" outlineLevel="0" collapsed="false">
      <c r="B67211" s="0" t="s">
        <v>14</v>
      </c>
    </row>
    <row r="67213" customFormat="false" ht="12.8" hidden="false" customHeight="false" outlineLevel="0" collapsed="false">
      <c r="A67213" s="0" t="s">
        <v>22885</v>
      </c>
      <c r="B67213" s="0" t="str">
        <f aca="false">HYPERLINK("https://lindat.mff.cuni.cz/services/teitok/pdtc10/index.php?action=vallex&amp;frame=v-w11048hsa_152", "zatopit (v-w11048hsa_152)")</f>
        <v>zatopit (v-w11048hsa_152)</v>
      </c>
    </row>
    <row r="67214" customFormat="false" ht="12.8" hidden="false" customHeight="false" outlineLevel="0" collapsed="false">
      <c r="B67214" s="0" t="s">
        <v>7</v>
      </c>
    </row>
    <row r="67216" customFormat="false" ht="12.8" hidden="false" customHeight="false" outlineLevel="0" collapsed="false">
      <c r="A67216" s="0" t="s">
        <v>22886</v>
      </c>
      <c r="B67216" s="0" t="str">
        <f aca="false">HYPERLINK("https://lindat.mff.cuni.cz/services/teitok/pdtc10/index.php?action=vallex&amp;frame=v-w9232f1", "zatoulat se (v-w9232f1)")</f>
        <v>zatoulat se (v-w9232f1)</v>
      </c>
    </row>
    <row r="67217" customFormat="false" ht="12.8" hidden="false" customHeight="false" outlineLevel="0" collapsed="false">
      <c r="B67217" s="0" t="s">
        <v>7</v>
      </c>
    </row>
    <row r="67219" customFormat="false" ht="12.8" hidden="false" customHeight="false" outlineLevel="0" collapsed="false">
      <c r="A67219" s="0" t="s">
        <v>22887</v>
      </c>
      <c r="B67219" s="0" t="str">
        <f aca="false">HYPERLINK("https://lindat.mff.cuni.cz/services/teitok/pdtc10/index.php?action=vallex&amp;frame=v-w9233f1", "zatoužit (v-w9233f1)")</f>
        <v>zatoužit (v-w9233f1)</v>
      </c>
    </row>
    <row r="67220" customFormat="false" ht="12.8" hidden="false" customHeight="false" outlineLevel="0" collapsed="false">
      <c r="B67220" s="0" t="s">
        <v>7</v>
      </c>
    </row>
    <row r="67221" customFormat="false" ht="12.8" hidden="false" customHeight="false" outlineLevel="0" collapsed="false">
      <c r="B67221" s="0" t="s">
        <v>2937</v>
      </c>
    </row>
    <row r="67223" customFormat="false" ht="12.8" hidden="false" customHeight="false" outlineLevel="0" collapsed="false">
      <c r="A67223" s="0" t="s">
        <v>22888</v>
      </c>
      <c r="B67223" s="0" t="str">
        <f aca="false">HYPERLINK("https://lindat.mff.cuni.cz/services/teitok/pdtc10/index.php?action=vallex&amp;frame=v-w10346f3", "zatočit (v-w10346f3)")</f>
        <v>zatočit (v-w10346f3)</v>
      </c>
    </row>
    <row r="67224" customFormat="false" ht="12.8" hidden="false" customHeight="false" outlineLevel="0" collapsed="false">
      <c r="B67224" s="0" t="s">
        <v>7</v>
      </c>
      <c r="C67224" s="0" t="s">
        <v>113</v>
      </c>
      <c r="D67224" s="0" t="s">
        <v>46</v>
      </c>
      <c r="E67224" s="0" t="s">
        <v>46</v>
      </c>
      <c r="F67224" s="0" t="s">
        <v>46</v>
      </c>
    </row>
    <row r="67225" customFormat="false" ht="12.8" hidden="false" customHeight="false" outlineLevel="0" collapsed="false">
      <c r="B67225" s="0" t="s">
        <v>548</v>
      </c>
      <c r="C67225" s="0" t="s">
        <v>624</v>
      </c>
      <c r="D67225" s="0" t="s">
        <v>1170</v>
      </c>
      <c r="E67225" s="0" t="s">
        <v>1170</v>
      </c>
      <c r="F67225" s="0" t="s">
        <v>1170</v>
      </c>
    </row>
    <row r="67227" customFormat="false" ht="12.8" hidden="false" customHeight="false" outlineLevel="0" collapsed="false">
      <c r="A67227" s="0" t="s">
        <v>22889</v>
      </c>
      <c r="B67227" s="0" t="str">
        <f aca="false">HYPERLINK("https://lindat.mff.cuni.cz/services/teitok/pdtc10/index.php?action=vallex&amp;frame=v-w10346f4_ZU", "zatočit (v-w10346f4_ZU)")</f>
        <v>zatočit (v-w10346f4_ZU)</v>
      </c>
    </row>
    <row r="67228" customFormat="false" ht="12.8" hidden="false" customHeight="false" outlineLevel="0" collapsed="false">
      <c r="B67228" s="0" t="s">
        <v>7</v>
      </c>
    </row>
    <row r="67229" customFormat="false" ht="12.8" hidden="false" customHeight="false" outlineLevel="0" collapsed="false">
      <c r="B67229" s="0" t="s">
        <v>216</v>
      </c>
    </row>
    <row r="67231" customFormat="false" ht="12.8" hidden="false" customHeight="false" outlineLevel="0" collapsed="false">
      <c r="A67231" s="0" t="s">
        <v>22890</v>
      </c>
      <c r="B67231" s="0" t="str">
        <f aca="false">HYPERLINK("https://lindat.mff.cuni.cz/services/teitok/pdtc10/index.php?action=vallex&amp;frame=v-whsa_2001hsa_2002", "zatočit se (v-whsa_2001hsa_2002)")</f>
        <v>zatočit se (v-whsa_2001hsa_2002)</v>
      </c>
    </row>
    <row r="67232" customFormat="false" ht="12.8" hidden="false" customHeight="false" outlineLevel="0" collapsed="false">
      <c r="B67232" s="0" t="s">
        <v>7</v>
      </c>
    </row>
    <row r="67234" customFormat="false" ht="12.8" hidden="false" customHeight="false" outlineLevel="0" collapsed="false">
      <c r="A67234" s="0" t="s">
        <v>22891</v>
      </c>
      <c r="B67234" s="0" t="str">
        <f aca="false">HYPERLINK("https://lindat.mff.cuni.cz/services/teitok/pdtc10/index.php?action=vallex&amp;frame=v-w10799f2", "zatraktivnit (v-w10799f2)")</f>
        <v>zatraktivnit (v-w10799f2)</v>
      </c>
    </row>
    <row r="67235" customFormat="false" ht="12.8" hidden="false" customHeight="false" outlineLevel="0" collapsed="false">
      <c r="B67235" s="0" t="s">
        <v>7</v>
      </c>
      <c r="C67235" s="0" t="s">
        <v>3293</v>
      </c>
      <c r="D67235" s="0" t="s">
        <v>5017</v>
      </c>
      <c r="E67235" s="0" t="s">
        <v>5017</v>
      </c>
      <c r="F67235" s="0" t="s">
        <v>5017</v>
      </c>
    </row>
    <row r="67236" customFormat="false" ht="12.8" hidden="false" customHeight="false" outlineLevel="0" collapsed="false">
      <c r="B67236" s="0" t="s">
        <v>14</v>
      </c>
      <c r="C67236" s="0" t="s">
        <v>17943</v>
      </c>
      <c r="D67236" s="0" t="s">
        <v>5018</v>
      </c>
      <c r="E67236" s="0" t="s">
        <v>5018</v>
      </c>
      <c r="F67236" s="0" t="s">
        <v>5018</v>
      </c>
    </row>
    <row r="67238" customFormat="false" ht="12.8" hidden="false" customHeight="false" outlineLevel="0" collapsed="false">
      <c r="A67238" s="0" t="s">
        <v>22892</v>
      </c>
      <c r="B67238" s="0" t="str">
        <f aca="false">HYPERLINK("https://lindat.mff.cuni.cz/services/teitok/pdtc10/index.php?action=vallex&amp;frame=v-w9234f1", "zatratit (v-w9234f1)")</f>
        <v>zatratit (v-w9234f1)</v>
      </c>
    </row>
    <row r="67239" customFormat="false" ht="12.8" hidden="false" customHeight="false" outlineLevel="0" collapsed="false">
      <c r="B67239" s="0" t="s">
        <v>7</v>
      </c>
    </row>
    <row r="67240" customFormat="false" ht="12.8" hidden="false" customHeight="false" outlineLevel="0" collapsed="false">
      <c r="B67240" s="0" t="s">
        <v>5859</v>
      </c>
    </row>
    <row r="67242" customFormat="false" ht="12.8" hidden="false" customHeight="false" outlineLevel="0" collapsed="false">
      <c r="A67242" s="0" t="s">
        <v>22893</v>
      </c>
      <c r="B67242" s="0" t="str">
        <f aca="false">HYPERLINK("https://lindat.mff.cuni.cz/services/teitok/pdtc10/index.php?action=vallex&amp;frame=v-w9236f1", "zatrhnout (v-w9236f1)")</f>
        <v>zatrhnout (v-w9236f1)</v>
      </c>
    </row>
    <row r="67243" customFormat="false" ht="12.8" hidden="false" customHeight="false" outlineLevel="0" collapsed="false">
      <c r="B67243" s="0" t="s">
        <v>7</v>
      </c>
    </row>
    <row r="67244" customFormat="false" ht="12.8" hidden="false" customHeight="false" outlineLevel="0" collapsed="false">
      <c r="B67244" s="0" t="s">
        <v>22894</v>
      </c>
    </row>
    <row r="67245" customFormat="false" ht="12.8" hidden="false" customHeight="false" outlineLevel="0" collapsed="false">
      <c r="B67245" s="0" t="s">
        <v>48</v>
      </c>
    </row>
    <row r="67247" customFormat="false" ht="12.8" hidden="false" customHeight="false" outlineLevel="0" collapsed="false">
      <c r="A67247" s="0" t="s">
        <v>22895</v>
      </c>
      <c r="B67247" s="0" t="str">
        <f aca="false">HYPERLINK("https://lindat.mff.cuni.cz/services/teitok/pdtc10/index.php?action=vallex&amp;frame=v-whsa_673hsa_674", "zatrnout (v-whsa_673hsa_674)")</f>
        <v>zatrnout (v-whsa_673hsa_674)</v>
      </c>
    </row>
    <row r="67248" customFormat="false" ht="12.8" hidden="false" customHeight="false" outlineLevel="0" collapsed="false">
      <c r="B67248" s="0" t="s">
        <v>603</v>
      </c>
    </row>
    <row r="67250" customFormat="false" ht="12.8" hidden="false" customHeight="false" outlineLevel="0" collapsed="false">
      <c r="A67250" s="0" t="s">
        <v>22896</v>
      </c>
      <c r="B67250" s="0" t="str">
        <f aca="false">HYPERLINK("https://lindat.mff.cuni.cz/services/teitok/pdtc10/index.php?action=vallex&amp;frame=v-whsa_157hsa_158", "zatrpknout (v-whsa_157hsa_158)")</f>
        <v>zatrpknout (v-whsa_157hsa_158)</v>
      </c>
    </row>
    <row r="67251" customFormat="false" ht="12.8" hidden="false" customHeight="false" outlineLevel="0" collapsed="false">
      <c r="B67251" s="0" t="s">
        <v>7</v>
      </c>
    </row>
    <row r="67253" customFormat="false" ht="12.8" hidden="false" customHeight="false" outlineLevel="0" collapsed="false">
      <c r="A67253" s="0" t="s">
        <v>22897</v>
      </c>
      <c r="B67253" s="0" t="str">
        <f aca="false">HYPERLINK("https://lindat.mff.cuni.cz/services/teitok/pdtc10/index.php?action=vallex&amp;frame=v-w9235f1", "zatrénovat si (v-w9235f1)")</f>
        <v>zatrénovat si (v-w9235f1)</v>
      </c>
    </row>
    <row r="67254" customFormat="false" ht="12.8" hidden="false" customHeight="false" outlineLevel="0" collapsed="false">
      <c r="B67254" s="0" t="s">
        <v>7</v>
      </c>
    </row>
    <row r="67256" customFormat="false" ht="12.8" hidden="false" customHeight="false" outlineLevel="0" collapsed="false">
      <c r="A67256" s="0" t="s">
        <v>22898</v>
      </c>
      <c r="B67256" s="0" t="str">
        <f aca="false">HYPERLINK("https://lindat.mff.cuni.cz/services/teitok/pdtc10/index.php?action=vallex&amp;frame=v-w9239f1", "zatvářit se (v-w9239f1)")</f>
        <v>zatvářit se (v-w9239f1)</v>
      </c>
    </row>
    <row r="67257" customFormat="false" ht="12.8" hidden="false" customHeight="false" outlineLevel="0" collapsed="false">
      <c r="B67257" s="0" t="s">
        <v>7</v>
      </c>
      <c r="F67257" s="0" t="s">
        <v>46</v>
      </c>
    </row>
    <row r="67258" customFormat="false" ht="12.8" hidden="false" customHeight="false" outlineLevel="0" collapsed="false">
      <c r="B67258" s="0" t="s">
        <v>474</v>
      </c>
    </row>
    <row r="67259" customFormat="false" ht="12.8" hidden="false" customHeight="false" outlineLevel="0" collapsed="false">
      <c r="B67259" s="0" t="s">
        <v>479</v>
      </c>
    </row>
    <row r="67260" customFormat="false" ht="12.8" hidden="false" customHeight="false" outlineLevel="0" collapsed="false">
      <c r="B67260" s="0" t="s">
        <v>481</v>
      </c>
    </row>
    <row r="67261" customFormat="false" ht="12.8" hidden="false" customHeight="false" outlineLevel="0" collapsed="false">
      <c r="B67261" s="0" t="s">
        <v>483</v>
      </c>
    </row>
    <row r="67263" customFormat="false" ht="12.8" hidden="false" customHeight="false" outlineLevel="0" collapsed="false">
      <c r="A67263" s="0" t="s">
        <v>22899</v>
      </c>
      <c r="B67263" s="0" t="str">
        <f aca="false">HYPERLINK("https://lindat.mff.cuni.cz/services/teitok/pdtc10/index.php?action=vallex&amp;frame=v-w9206f1", "zatáhnout (v-w9206f1)")</f>
        <v>zatáhnout (v-w9206f1)</v>
      </c>
    </row>
    <row r="67264" customFormat="false" ht="12.8" hidden="false" customHeight="false" outlineLevel="0" collapsed="false">
      <c r="B67264" s="0" t="s">
        <v>7</v>
      </c>
      <c r="C67264" s="0" t="s">
        <v>46</v>
      </c>
      <c r="D67264" s="0" t="s">
        <v>2323</v>
      </c>
      <c r="E67264" s="0" t="s">
        <v>2323</v>
      </c>
      <c r="F67264" s="0" t="s">
        <v>2323</v>
      </c>
    </row>
    <row r="67265" customFormat="false" ht="12.8" hidden="false" customHeight="false" outlineLevel="0" collapsed="false">
      <c r="B67265" s="0" t="s">
        <v>14</v>
      </c>
      <c r="C67265" s="0" t="s">
        <v>1289</v>
      </c>
      <c r="D67265" s="0" t="s">
        <v>1918</v>
      </c>
      <c r="E67265" s="0" t="s">
        <v>1918</v>
      </c>
      <c r="F67265" s="0" t="s">
        <v>1918</v>
      </c>
    </row>
    <row r="67266" customFormat="false" ht="12.8" hidden="false" customHeight="false" outlineLevel="0" collapsed="false">
      <c r="B67266" s="0" t="s">
        <v>124</v>
      </c>
      <c r="C67266" s="0" t="s">
        <v>21629</v>
      </c>
      <c r="D67266" s="0" t="s">
        <v>2325</v>
      </c>
      <c r="E67266" s="0" t="s">
        <v>2325</v>
      </c>
      <c r="F67266" s="0" t="s">
        <v>2325</v>
      </c>
    </row>
    <row r="67268" customFormat="false" ht="12.8" hidden="false" customHeight="false" outlineLevel="0" collapsed="false">
      <c r="A67268" s="0" t="s">
        <v>22900</v>
      </c>
      <c r="B67268" s="0" t="str">
        <f aca="false">HYPERLINK("https://lindat.mff.cuni.cz/services/teitok/pdtc10/index.php?action=vallex&amp;frame=v-w9206f2", "zatáhnout (v-w9206f2)")</f>
        <v>zatáhnout (v-w9206f2)</v>
      </c>
    </row>
    <row r="67269" customFormat="false" ht="12.8" hidden="false" customHeight="false" outlineLevel="0" collapsed="false">
      <c r="B67269" s="0" t="s">
        <v>7</v>
      </c>
    </row>
    <row r="67270" customFormat="false" ht="12.8" hidden="false" customHeight="false" outlineLevel="0" collapsed="false">
      <c r="B67270" s="0" t="s">
        <v>14</v>
      </c>
    </row>
    <row r="67272" customFormat="false" ht="12.8" hidden="false" customHeight="false" outlineLevel="0" collapsed="false">
      <c r="A67272" s="0" t="s">
        <v>22901</v>
      </c>
      <c r="B67272" s="0" t="str">
        <f aca="false">HYPERLINK("https://lindat.mff.cuni.cz/services/teitok/pdtc10/index.php?action=vallex&amp;frame=v-w9206f3_ZU", "zatáhnout (v-w9206f3_ZU)")</f>
        <v>zatáhnout (v-w9206f3_ZU)</v>
      </c>
    </row>
    <row r="67273" customFormat="false" ht="12.8" hidden="false" customHeight="false" outlineLevel="0" collapsed="false">
      <c r="B67273" s="0" t="s">
        <v>7</v>
      </c>
    </row>
    <row r="67274" customFormat="false" ht="12.8" hidden="false" customHeight="false" outlineLevel="0" collapsed="false">
      <c r="B67274" s="0" t="s">
        <v>22902</v>
      </c>
    </row>
    <row r="67275" customFormat="false" ht="12.8" hidden="false" customHeight="false" outlineLevel="0" collapsed="false">
      <c r="B67275" s="0" t="s">
        <v>1087</v>
      </c>
    </row>
    <row r="67277" customFormat="false" ht="12.8" hidden="false" customHeight="false" outlineLevel="0" collapsed="false">
      <c r="A67277" s="0" t="s">
        <v>22901</v>
      </c>
      <c r="B67277" s="0" t="str">
        <f aca="false">HYPERLINK("https://lindat.mff.cuni.cz/services/teitok/pdtc10/index.php?action=vallex&amp;frame=v-w9206hsa_778", "zatáhnout (v-w9206hsa_778) - substituted with v-w9206f3_ZU")</f>
        <v>zatáhnout (v-w9206hsa_778) - substituted with v-w9206f3_ZU</v>
      </c>
    </row>
    <row r="67278" customFormat="false" ht="12.8" hidden="false" customHeight="false" outlineLevel="0" collapsed="false">
      <c r="B67278" s="0" t="s">
        <v>7</v>
      </c>
    </row>
    <row r="67279" customFormat="false" ht="12.8" hidden="false" customHeight="false" outlineLevel="0" collapsed="false">
      <c r="B67279" s="0" t="s">
        <v>22902</v>
      </c>
    </row>
    <row r="67280" customFormat="false" ht="12.8" hidden="false" customHeight="false" outlineLevel="0" collapsed="false">
      <c r="B67280" s="0" t="s">
        <v>1087</v>
      </c>
    </row>
    <row r="67282" customFormat="false" ht="12.8" hidden="false" customHeight="false" outlineLevel="0" collapsed="false">
      <c r="A67282" s="0" t="s">
        <v>22903</v>
      </c>
      <c r="B67282" s="0" t="str">
        <f aca="false">HYPERLINK("https://lindat.mff.cuni.cz/services/teitok/pdtc10/index.php?action=vallex&amp;frame=v-w9206f4_ZU", "zatáhnout (v-w9206f4_ZU)")</f>
        <v>zatáhnout (v-w9206f4_ZU)</v>
      </c>
    </row>
    <row r="67283" customFormat="false" ht="12.8" hidden="false" customHeight="false" outlineLevel="0" collapsed="false">
      <c r="B67283" s="0" t="s">
        <v>7</v>
      </c>
    </row>
    <row r="67284" customFormat="false" ht="12.8" hidden="false" customHeight="false" outlineLevel="0" collapsed="false">
      <c r="B67284" s="0" t="s">
        <v>491</v>
      </c>
    </row>
    <row r="67286" customFormat="false" ht="12.8" hidden="false" customHeight="false" outlineLevel="0" collapsed="false">
      <c r="A67286" s="0" t="s">
        <v>22904</v>
      </c>
      <c r="B67286" s="0" t="str">
        <f aca="false">HYPERLINK("https://lindat.mff.cuni.cz/services/teitok/pdtc10/index.php?action=vallex&amp;frame=v-w9206f5_ZU", "zatáhnout (v-w9206f5_ZU)")</f>
        <v>zatáhnout (v-w9206f5_ZU)</v>
      </c>
    </row>
    <row r="67287" customFormat="false" ht="12.8" hidden="false" customHeight="false" outlineLevel="0" collapsed="false">
      <c r="B67287" s="0" t="s">
        <v>7</v>
      </c>
    </row>
    <row r="67288" customFormat="false" ht="12.8" hidden="false" customHeight="false" outlineLevel="0" collapsed="false">
      <c r="B67288" s="0" t="s">
        <v>14</v>
      </c>
    </row>
    <row r="67290" customFormat="false" ht="12.8" hidden="false" customHeight="false" outlineLevel="0" collapsed="false">
      <c r="A67290" s="0" t="s">
        <v>22905</v>
      </c>
      <c r="B67290" s="0" t="str">
        <f aca="false">HYPERLINK("https://lindat.mff.cuni.cz/services/teitok/pdtc10/index.php?action=vallex&amp;frame=v-w9206hsa_668", "zatáhnout (v-w9206hsa_668)")</f>
        <v>zatáhnout (v-w9206hsa_668)</v>
      </c>
    </row>
    <row r="67291" customFormat="false" ht="12.8" hidden="false" customHeight="false" outlineLevel="0" collapsed="false">
      <c r="B67291" s="0" t="s">
        <v>7</v>
      </c>
    </row>
    <row r="67292" customFormat="false" ht="12.8" hidden="false" customHeight="false" outlineLevel="0" collapsed="false">
      <c r="B67292" s="0" t="s">
        <v>14</v>
      </c>
    </row>
    <row r="67294" customFormat="false" ht="12.8" hidden="false" customHeight="false" outlineLevel="0" collapsed="false">
      <c r="A67294" s="0" t="s">
        <v>22906</v>
      </c>
      <c r="B67294" s="0" t="str">
        <f aca="false">HYPERLINK("https://lindat.mff.cuni.cz/services/teitok/pdtc10/index.php?action=vallex&amp;frame=v-w9207f2", "zatáhnout se (v-w9207f2)")</f>
        <v>zatáhnout se (v-w9207f2)</v>
      </c>
    </row>
    <row r="67295" customFormat="false" ht="12.8" hidden="false" customHeight="false" outlineLevel="0" collapsed="false">
      <c r="B67295" s="0" t="s">
        <v>7</v>
      </c>
    </row>
    <row r="67297" customFormat="false" ht="12.8" hidden="false" customHeight="false" outlineLevel="0" collapsed="false">
      <c r="A67297" s="0" t="s">
        <v>22907</v>
      </c>
      <c r="B67297" s="0" t="str">
        <f aca="false">HYPERLINK("https://lindat.mff.cuni.cz/services/teitok/pdtc10/index.php?action=vallex&amp;frame=v-w9207f1", "zatáhnout se (v-w9207f1)")</f>
        <v>zatáhnout se (v-w9207f1)</v>
      </c>
    </row>
    <row r="67299" customFormat="false" ht="12.8" hidden="false" customHeight="false" outlineLevel="0" collapsed="false">
      <c r="A67299" s="0" t="s">
        <v>22908</v>
      </c>
      <c r="B67299" s="0" t="str">
        <f aca="false">HYPERLINK("https://lindat.mff.cuni.cz/services/teitok/pdtc10/index.php?action=vallex&amp;frame=v-w12264_ZUf1_ZU", "zatápět (v-w12264_ZUf1_ZU)")</f>
        <v>zatápět (v-w12264_ZUf1_ZU)</v>
      </c>
    </row>
    <row r="67300" customFormat="false" ht="12.8" hidden="false" customHeight="false" outlineLevel="0" collapsed="false">
      <c r="B67300" s="0" t="s">
        <v>7</v>
      </c>
    </row>
    <row r="67302" customFormat="false" ht="12.8" hidden="false" customHeight="false" outlineLevel="0" collapsed="false">
      <c r="A67302" s="0" t="s">
        <v>22909</v>
      </c>
      <c r="B67302" s="0" t="str">
        <f aca="false">HYPERLINK("https://lindat.mff.cuni.cz/services/teitok/pdtc10/index.php?action=vallex&amp;frame=v-w9204f3", "zatáčet (v-w9204f3)")</f>
        <v>zatáčet (v-w9204f3)</v>
      </c>
    </row>
    <row r="67303" customFormat="false" ht="12.8" hidden="false" customHeight="false" outlineLevel="0" collapsed="false">
      <c r="B67303" s="0" t="s">
        <v>7</v>
      </c>
    </row>
    <row r="67304" customFormat="false" ht="12.8" hidden="false" customHeight="false" outlineLevel="0" collapsed="false">
      <c r="B67304" s="0" t="s">
        <v>1836</v>
      </c>
    </row>
    <row r="67306" customFormat="false" ht="12.8" hidden="false" customHeight="false" outlineLevel="0" collapsed="false">
      <c r="A67306" s="0" t="s">
        <v>22910</v>
      </c>
      <c r="B67306" s="0" t="str">
        <f aca="false">HYPERLINK("https://lindat.mff.cuni.cz/services/teitok/pdtc10/index.php?action=vallex&amp;frame=v-w9204f2", "zatáčet (v-w9204f2)")</f>
        <v>zatáčet (v-w9204f2)</v>
      </c>
    </row>
    <row r="67307" customFormat="false" ht="12.8" hidden="false" customHeight="false" outlineLevel="0" collapsed="false">
      <c r="B67307" s="0" t="s">
        <v>7</v>
      </c>
    </row>
    <row r="67308" customFormat="false" ht="12.8" hidden="false" customHeight="false" outlineLevel="0" collapsed="false">
      <c r="B67308" s="0" t="s">
        <v>14</v>
      </c>
    </row>
    <row r="67310" customFormat="false" ht="12.8" hidden="false" customHeight="false" outlineLevel="0" collapsed="false">
      <c r="A67310" s="0" t="s">
        <v>22911</v>
      </c>
      <c r="B67310" s="0" t="str">
        <f aca="false">HYPERLINK("https://lindat.mff.cuni.cz/services/teitok/pdtc10/index.php?action=vallex&amp;frame=v-w9204f1", "zatáčet (v-w9204f1)")</f>
        <v>zatáčet (v-w9204f1)</v>
      </c>
    </row>
    <row r="67311" customFormat="false" ht="12.8" hidden="false" customHeight="false" outlineLevel="0" collapsed="false">
      <c r="B67311" s="0" t="s">
        <v>7</v>
      </c>
    </row>
    <row r="67313" customFormat="false" ht="12.8" hidden="false" customHeight="false" outlineLevel="0" collapsed="false">
      <c r="A67313" s="0" t="s">
        <v>22912</v>
      </c>
      <c r="B67313" s="0" t="str">
        <f aca="false">HYPERLINK("https://lindat.mff.cuni.cz/services/teitok/pdtc10/index.php?action=vallex&amp;frame=v-w9214f1", "zatékat (v-w9214f1)")</f>
        <v>zatékat (v-w9214f1)</v>
      </c>
    </row>
    <row r="67314" customFormat="false" ht="12.8" hidden="false" customHeight="false" outlineLevel="0" collapsed="false">
      <c r="B67314" s="0" t="s">
        <v>7</v>
      </c>
    </row>
    <row r="67315" customFormat="false" ht="12.8" hidden="false" customHeight="false" outlineLevel="0" collapsed="false">
      <c r="B67315" s="0" t="s">
        <v>124</v>
      </c>
    </row>
    <row r="67317" customFormat="false" ht="12.8" hidden="false" customHeight="false" outlineLevel="0" collapsed="false">
      <c r="A67317" s="0" t="s">
        <v>22913</v>
      </c>
      <c r="B67317" s="0" t="str">
        <f aca="false">HYPERLINK("https://lindat.mff.cuni.cz/services/teitok/pdtc10/index.php?action=vallex&amp;frame=v-w9214f2", "zatékat (v-w9214f2)")</f>
        <v>zatékat (v-w9214f2)</v>
      </c>
    </row>
    <row r="67318" customFormat="false" ht="12.8" hidden="false" customHeight="false" outlineLevel="0" collapsed="false">
      <c r="B67318" s="0" t="s">
        <v>11</v>
      </c>
    </row>
    <row r="67320" customFormat="false" ht="12.8" hidden="false" customHeight="false" outlineLevel="0" collapsed="false">
      <c r="A67320" s="0" t="s">
        <v>22914</v>
      </c>
      <c r="B67320" s="0" t="str">
        <f aca="false">HYPERLINK("https://lindat.mff.cuni.cz/services/teitok/pdtc10/index.php?action=vallex&amp;frame=v-w9214f3", "zatékat (v-w9214f3)")</f>
        <v>zatékat (v-w9214f3)</v>
      </c>
    </row>
    <row r="67321" customFormat="false" ht="12.8" hidden="false" customHeight="false" outlineLevel="0" collapsed="false">
      <c r="B67321" s="0" t="s">
        <v>124</v>
      </c>
    </row>
    <row r="67323" customFormat="false" ht="12.8" hidden="false" customHeight="false" outlineLevel="0" collapsed="false">
      <c r="A67323" s="0" t="s">
        <v>22915</v>
      </c>
      <c r="B67323" s="0" t="str">
        <f aca="false">HYPERLINK("https://lindat.mff.cuni.cz/services/teitok/pdtc10/index.php?action=vallex&amp;frame=v-w9227f1", "zatížit (v-w9227f1)")</f>
        <v>zatížit (v-w9227f1)</v>
      </c>
    </row>
    <row r="67324" customFormat="false" ht="12.8" hidden="false" customHeight="false" outlineLevel="0" collapsed="false">
      <c r="B67324" s="0" t="s">
        <v>3492</v>
      </c>
      <c r="C67324" s="0" t="s">
        <v>22916</v>
      </c>
      <c r="D67324" s="0" t="s">
        <v>2062</v>
      </c>
      <c r="E67324" s="0" t="s">
        <v>2062</v>
      </c>
      <c r="F67324" s="0" t="s">
        <v>2062</v>
      </c>
    </row>
    <row r="67325" customFormat="false" ht="12.8" hidden="false" customHeight="false" outlineLevel="0" collapsed="false">
      <c r="B67325" s="0" t="s">
        <v>14</v>
      </c>
      <c r="C67325" s="0" t="s">
        <v>22917</v>
      </c>
      <c r="D67325" s="0" t="s">
        <v>2065</v>
      </c>
      <c r="E67325" s="0" t="s">
        <v>2065</v>
      </c>
      <c r="F67325" s="0" t="s">
        <v>2065</v>
      </c>
    </row>
    <row r="67327" customFormat="false" ht="12.8" hidden="false" customHeight="false" outlineLevel="0" collapsed="false">
      <c r="A67327" s="0" t="s">
        <v>22918</v>
      </c>
      <c r="B67327" s="0" t="str">
        <f aca="false">HYPERLINK("https://lindat.mff.cuni.cz/services/teitok/pdtc10/index.php?action=vallex&amp;frame=v-w9243f1", "zatýkat (v-w9243f1)")</f>
        <v>zatýkat (v-w9243f1)</v>
      </c>
    </row>
    <row r="67328" customFormat="false" ht="12.8" hidden="false" customHeight="false" outlineLevel="0" collapsed="false">
      <c r="B67328" s="0" t="s">
        <v>7</v>
      </c>
    </row>
    <row r="67329" customFormat="false" ht="12.8" hidden="false" customHeight="false" outlineLevel="0" collapsed="false">
      <c r="B67329" s="0" t="s">
        <v>14</v>
      </c>
    </row>
    <row r="67331" customFormat="false" ht="12.8" hidden="false" customHeight="false" outlineLevel="0" collapsed="false">
      <c r="A67331" s="0" t="s">
        <v>22919</v>
      </c>
      <c r="B67331" s="0" t="str">
        <f aca="false">HYPERLINK("https://lindat.mff.cuni.cz/services/teitok/pdtc10/index.php?action=vallex&amp;frame=v-whsa_1282hsa_1283", "zatěsnit (v-whsa_1282hsa_1283)")</f>
        <v>zatěsnit (v-whsa_1282hsa_1283)</v>
      </c>
    </row>
    <row r="67332" customFormat="false" ht="12.8" hidden="false" customHeight="false" outlineLevel="0" collapsed="false">
      <c r="B67332" s="0" t="s">
        <v>7</v>
      </c>
    </row>
    <row r="67333" customFormat="false" ht="12.8" hidden="false" customHeight="false" outlineLevel="0" collapsed="false">
      <c r="B67333" s="0" t="s">
        <v>14</v>
      </c>
    </row>
    <row r="67335" customFormat="false" ht="12.8" hidden="false" customHeight="false" outlineLevel="0" collapsed="false">
      <c r="A67335" s="0" t="s">
        <v>22920</v>
      </c>
      <c r="B67335" s="0" t="str">
        <f aca="false">HYPERLINK("https://lindat.mff.cuni.cz/services/teitok/pdtc10/index.php?action=vallex&amp;frame=v-w9223f1", "zatěžovat (v-w9223f1)")</f>
        <v>zatěžovat (v-w9223f1)</v>
      </c>
    </row>
    <row r="67336" customFormat="false" ht="12.8" hidden="false" customHeight="false" outlineLevel="0" collapsed="false">
      <c r="B67336" s="0" t="s">
        <v>7</v>
      </c>
      <c r="C67336" s="0" t="s">
        <v>3051</v>
      </c>
    </row>
    <row r="67337" customFormat="false" ht="12.8" hidden="false" customHeight="false" outlineLevel="0" collapsed="false">
      <c r="B67337" s="0" t="s">
        <v>14</v>
      </c>
      <c r="C67337" s="0" t="s">
        <v>22921</v>
      </c>
    </row>
    <row r="67339" customFormat="false" ht="12.8" hidden="false" customHeight="false" outlineLevel="0" collapsed="false">
      <c r="A67339" s="0" t="s">
        <v>22922</v>
      </c>
      <c r="B67339" s="0" t="str">
        <f aca="false">HYPERLINK("https://lindat.mff.cuni.cz/services/teitok/pdtc10/index.php?action=vallex&amp;frame=v-w9223f2_ZU", "zatěžovat (v-w9223f2_ZU)")</f>
        <v>zatěžovat (v-w9223f2_ZU)</v>
      </c>
    </row>
    <row r="67340" customFormat="false" ht="12.8" hidden="false" customHeight="false" outlineLevel="0" collapsed="false">
      <c r="B67340" s="0" t="s">
        <v>7</v>
      </c>
      <c r="C67340" s="0" t="s">
        <v>7565</v>
      </c>
    </row>
    <row r="67341" customFormat="false" ht="12.8" hidden="false" customHeight="false" outlineLevel="0" collapsed="false">
      <c r="B67341" s="0" t="s">
        <v>14</v>
      </c>
      <c r="C67341" s="0" t="s">
        <v>567</v>
      </c>
    </row>
    <row r="67343" customFormat="false" ht="12.8" hidden="false" customHeight="false" outlineLevel="0" collapsed="false">
      <c r="A67343" s="0" t="s">
        <v>22923</v>
      </c>
      <c r="B67343" s="0" t="str">
        <f aca="false">HYPERLINK("https://lindat.mff.cuni.cz/services/teitok/pdtc10/index.php?action=vallex&amp;frame=v-whsa_1269f1_ZU", "zatřepat (v-whsa_1269f1_ZU)")</f>
        <v>zatřepat (v-whsa_1269f1_ZU)</v>
      </c>
    </row>
    <row r="67344" customFormat="false" ht="12.8" hidden="false" customHeight="false" outlineLevel="0" collapsed="false">
      <c r="B67344" s="0" t="s">
        <v>7</v>
      </c>
    </row>
    <row r="67345" customFormat="false" ht="12.8" hidden="false" customHeight="false" outlineLevel="0" collapsed="false">
      <c r="B67345" s="0" t="s">
        <v>548</v>
      </c>
    </row>
    <row r="67347" customFormat="false" ht="12.8" hidden="false" customHeight="false" outlineLevel="0" collapsed="false">
      <c r="A67347" s="0" t="s">
        <v>22924</v>
      </c>
      <c r="B67347" s="0" t="str">
        <f aca="false">HYPERLINK("https://lindat.mff.cuni.cz/services/teitok/pdtc10/index.php?action=vallex&amp;frame=v-whsa_1269f2_MM", "zatřepat (v-whsa_1269f2_MM)")</f>
        <v>zatřepat (v-whsa_1269f2_MM)</v>
      </c>
    </row>
    <row r="67348" customFormat="false" ht="12.8" hidden="false" customHeight="false" outlineLevel="0" collapsed="false">
      <c r="B67348" s="0" t="s">
        <v>7</v>
      </c>
    </row>
    <row r="67349" customFormat="false" ht="12.8" hidden="false" customHeight="false" outlineLevel="0" collapsed="false">
      <c r="B67349" s="0" t="s">
        <v>548</v>
      </c>
    </row>
    <row r="67351" customFormat="false" ht="12.8" hidden="false" customHeight="false" outlineLevel="0" collapsed="false">
      <c r="A67351" s="0" t="s">
        <v>22925</v>
      </c>
      <c r="B67351" s="0" t="str">
        <f aca="false">HYPERLINK("https://lindat.mff.cuni.cz/services/teitok/pdtc10/index.php?action=vallex&amp;frame=v-whsb_1269hsa_1270", "zatřepat (v-whsb_1269hsa_1270)")</f>
        <v>zatřepat (v-whsb_1269hsa_1270)</v>
      </c>
    </row>
    <row r="67352" customFormat="false" ht="12.8" hidden="false" customHeight="false" outlineLevel="0" collapsed="false">
      <c r="B67352" s="0" t="s">
        <v>7</v>
      </c>
    </row>
    <row r="67353" customFormat="false" ht="12.8" hidden="false" customHeight="false" outlineLevel="0" collapsed="false">
      <c r="B67353" s="0" t="s">
        <v>548</v>
      </c>
    </row>
    <row r="67355" customFormat="false" ht="12.8" hidden="false" customHeight="false" outlineLevel="0" collapsed="false">
      <c r="A67355" s="0" t="s">
        <v>22926</v>
      </c>
      <c r="B67355" s="0" t="str">
        <f aca="false">HYPERLINK("https://lindat.mff.cuni.cz/services/teitok/pdtc10/index.php?action=vallex&amp;frame=v-w9238f1", "zatřepat se (v-w9238f1)")</f>
        <v>zatřepat se (v-w9238f1)</v>
      </c>
    </row>
    <row r="67356" customFormat="false" ht="12.8" hidden="false" customHeight="false" outlineLevel="0" collapsed="false">
      <c r="B67356" s="0" t="s">
        <v>7</v>
      </c>
    </row>
    <row r="67358" customFormat="false" ht="12.8" hidden="false" customHeight="false" outlineLevel="0" collapsed="false">
      <c r="A67358" s="0" t="s">
        <v>22927</v>
      </c>
      <c r="B67358" s="0" t="str">
        <f aca="false">HYPERLINK("https://lindat.mff.cuni.cz/services/teitok/pdtc10/index.php?action=vallex&amp;frame=v-w9238f2_ZU", "zatřepat se (v-w9238f2_ZU)")</f>
        <v>zatřepat se (v-w9238f2_ZU)</v>
      </c>
    </row>
    <row r="67359" customFormat="false" ht="12.8" hidden="false" customHeight="false" outlineLevel="0" collapsed="false">
      <c r="B67359" s="0" t="s">
        <v>7</v>
      </c>
    </row>
    <row r="67361" customFormat="false" ht="12.8" hidden="false" customHeight="false" outlineLevel="0" collapsed="false">
      <c r="A67361" s="0" t="s">
        <v>22928</v>
      </c>
      <c r="B67361" s="0" t="str">
        <f aca="false">HYPERLINK("https://lindat.mff.cuni.cz/services/teitok/pdtc10/index.php?action=vallex&amp;frame=v-w9237f2", "zatřást (v-w9237f2)")</f>
        <v>zatřást (v-w9237f2)</v>
      </c>
    </row>
    <row r="67362" customFormat="false" ht="12.8" hidden="false" customHeight="false" outlineLevel="0" collapsed="false">
      <c r="B67362" s="0" t="s">
        <v>7</v>
      </c>
      <c r="C67362" s="0" t="s">
        <v>1287</v>
      </c>
    </row>
    <row r="67363" customFormat="false" ht="12.8" hidden="false" customHeight="false" outlineLevel="0" collapsed="false">
      <c r="B67363" s="0" t="s">
        <v>3760</v>
      </c>
      <c r="C67363" s="0" t="s">
        <v>1146</v>
      </c>
    </row>
    <row r="67365" customFormat="false" ht="12.8" hidden="false" customHeight="false" outlineLevel="0" collapsed="false">
      <c r="A67365" s="0" t="s">
        <v>22929</v>
      </c>
      <c r="B67365" s="0" t="str">
        <f aca="false">HYPERLINK("https://lindat.mff.cuni.cz/services/teitok/pdtc10/index.php?action=vallex&amp;frame=v-w9237hsa_42", "zatřást (v-w9237hsa_42)")</f>
        <v>zatřást (v-w9237hsa_42)</v>
      </c>
    </row>
    <row r="67366" customFormat="false" ht="12.8" hidden="false" customHeight="false" outlineLevel="0" collapsed="false">
      <c r="B67366" s="0" t="s">
        <v>7</v>
      </c>
    </row>
    <row r="67367" customFormat="false" ht="12.8" hidden="false" customHeight="false" outlineLevel="0" collapsed="false">
      <c r="B67367" s="0" t="s">
        <v>3760</v>
      </c>
    </row>
    <row r="67369" customFormat="false" ht="12.8" hidden="false" customHeight="false" outlineLevel="0" collapsed="false">
      <c r="A67369" s="0" t="s">
        <v>22929</v>
      </c>
      <c r="B67369" s="0" t="str">
        <f aca="false">HYPERLINK("https://lindat.mff.cuni.cz/services/teitok/pdtc10/index.php?action=vallex&amp;frame=v-w9237f1", "zatřást (v-w9237f1) - substituted with v-w9237hsa_42")</f>
        <v>zatřást (v-w9237f1) - substituted with v-w9237hsa_42</v>
      </c>
    </row>
    <row r="67370" customFormat="false" ht="12.8" hidden="false" customHeight="false" outlineLevel="0" collapsed="false">
      <c r="B67370" s="0" t="s">
        <v>7</v>
      </c>
    </row>
    <row r="67371" customFormat="false" ht="12.8" hidden="false" customHeight="false" outlineLevel="0" collapsed="false">
      <c r="B67371" s="0" t="s">
        <v>3760</v>
      </c>
    </row>
    <row r="67373" customFormat="false" ht="12.8" hidden="false" customHeight="false" outlineLevel="0" collapsed="false">
      <c r="A67373" s="0" t="s">
        <v>22929</v>
      </c>
      <c r="B67373" s="0" t="str">
        <f aca="false">HYPERLINK("https://lindat.mff.cuni.cz/services/teitok/pdtc10/index.php?action=vallex&amp;frame=v-w9237f3", "zatřást (v-w9237f3) - substituted with v-w9237hsa_42")</f>
        <v>zatřást (v-w9237f3) - substituted with v-w9237hsa_42</v>
      </c>
    </row>
    <row r="67374" customFormat="false" ht="12.8" hidden="false" customHeight="false" outlineLevel="0" collapsed="false">
      <c r="B67374" s="0" t="s">
        <v>7</v>
      </c>
    </row>
    <row r="67375" customFormat="false" ht="12.8" hidden="false" customHeight="false" outlineLevel="0" collapsed="false">
      <c r="B67375" s="0" t="s">
        <v>3760</v>
      </c>
    </row>
    <row r="67377" customFormat="false" ht="12.8" hidden="false" customHeight="false" outlineLevel="0" collapsed="false">
      <c r="A67377" s="0" t="s">
        <v>22930</v>
      </c>
      <c r="B67377" s="0" t="str">
        <f aca="false">HYPERLINK("https://lindat.mff.cuni.cz/services/teitok/pdtc10/index.php?action=vallex&amp;frame=v-whsa_317f1_ZU", "zatřást se (v-whsa_317f1_ZU)")</f>
        <v>zatřást se (v-whsa_317f1_ZU)</v>
      </c>
    </row>
    <row r="67378" customFormat="false" ht="12.8" hidden="false" customHeight="false" outlineLevel="0" collapsed="false">
      <c r="B67378" s="0" t="s">
        <v>7</v>
      </c>
    </row>
    <row r="67380" customFormat="false" ht="12.8" hidden="false" customHeight="false" outlineLevel="0" collapsed="false">
      <c r="A67380" s="0" t="s">
        <v>22930</v>
      </c>
      <c r="B67380" s="0" t="str">
        <f aca="false">HYPERLINK("https://lindat.mff.cuni.cz/services/teitok/pdtc10/index.php?action=vallex&amp;frame=v-whsa_317hsa_318", "zatřást se (v-whsa_317hsa_318) - substituted with v-whsa_317f1_ZU")</f>
        <v>zatřást se (v-whsa_317hsa_318) - substituted with v-whsa_317f1_ZU</v>
      </c>
    </row>
    <row r="67381" customFormat="false" ht="12.8" hidden="false" customHeight="false" outlineLevel="0" collapsed="false">
      <c r="B67381" s="0" t="s">
        <v>7</v>
      </c>
    </row>
    <row r="67383" customFormat="false" ht="12.8" hidden="false" customHeight="false" outlineLevel="0" collapsed="false">
      <c r="A67383" s="0" t="s">
        <v>22931</v>
      </c>
      <c r="B67383" s="0" t="str">
        <f aca="false">HYPERLINK("https://lindat.mff.cuni.cz/services/teitok/pdtc10/index.php?action=vallex&amp;frame=v-whsa_317f2_ZU", "zatřást se (v-whsa_317f2_ZU)")</f>
        <v>zatřást se (v-whsa_317f2_ZU)</v>
      </c>
    </row>
    <row r="67384" customFormat="false" ht="12.8" hidden="false" customHeight="false" outlineLevel="0" collapsed="false">
      <c r="B67384" s="0" t="s">
        <v>7</v>
      </c>
    </row>
    <row r="67386" customFormat="false" ht="12.8" hidden="false" customHeight="false" outlineLevel="0" collapsed="false">
      <c r="A67386" s="0" t="s">
        <v>22932</v>
      </c>
      <c r="B67386" s="0" t="str">
        <f aca="false">HYPERLINK("https://lindat.mff.cuni.cz/services/teitok/pdtc10/index.php?action=vallex&amp;frame=v-w9247f8_ZU", "zaujmout (v-w9247f8_ZU)")</f>
        <v>zaujmout (v-w9247f8_ZU)</v>
      </c>
    </row>
    <row r="67387" customFormat="false" ht="12.8" hidden="false" customHeight="false" outlineLevel="0" collapsed="false">
      <c r="B67387" s="0" t="s">
        <v>22933</v>
      </c>
    </row>
    <row r="67388" customFormat="false" ht="12.8" hidden="false" customHeight="false" outlineLevel="0" collapsed="false">
      <c r="B67388" s="0" t="s">
        <v>14</v>
      </c>
    </row>
    <row r="67390" customFormat="false" ht="12.8" hidden="false" customHeight="false" outlineLevel="0" collapsed="false">
      <c r="A67390" s="0" t="s">
        <v>22932</v>
      </c>
      <c r="B67390" s="0" t="str">
        <f aca="false">HYPERLINK("https://lindat.mff.cuni.cz/services/teitok/pdtc10/index.php?action=vallex&amp;frame=v-w9247f1", "zaujmout (v-w9247f1) - substituted with v-w9247f8_ZU")</f>
        <v>zaujmout (v-w9247f1) - substituted with v-w9247f8_ZU</v>
      </c>
    </row>
    <row r="67391" customFormat="false" ht="12.8" hidden="false" customHeight="false" outlineLevel="0" collapsed="false">
      <c r="B67391" s="0" t="s">
        <v>22933</v>
      </c>
      <c r="C67391" s="0" t="s">
        <v>22934</v>
      </c>
    </row>
    <row r="67392" customFormat="false" ht="12.8" hidden="false" customHeight="false" outlineLevel="0" collapsed="false">
      <c r="B67392" s="0" t="s">
        <v>14</v>
      </c>
      <c r="C67392" s="0" t="s">
        <v>22935</v>
      </c>
    </row>
    <row r="67394" customFormat="false" ht="12.8" hidden="false" customHeight="false" outlineLevel="0" collapsed="false">
      <c r="A67394" s="0" t="s">
        <v>22932</v>
      </c>
      <c r="B67394" s="0" t="str">
        <f aca="false">HYPERLINK("https://lindat.mff.cuni.cz/services/teitok/pdtc10/index.php?action=vallex&amp;frame=v-w9247f7_ZU", "zaujmout (v-w9247f7_ZU) - substituted with v-w9247f8_ZU")</f>
        <v>zaujmout (v-w9247f7_ZU) - substituted with v-w9247f8_ZU</v>
      </c>
    </row>
    <row r="67395" customFormat="false" ht="12.8" hidden="false" customHeight="false" outlineLevel="0" collapsed="false">
      <c r="B67395" s="0" t="s">
        <v>22933</v>
      </c>
      <c r="C67395" s="0" t="s">
        <v>4876</v>
      </c>
      <c r="D67395" s="0" t="s">
        <v>9144</v>
      </c>
      <c r="E67395" s="0" t="s">
        <v>9144</v>
      </c>
      <c r="F67395" s="0" t="s">
        <v>9144</v>
      </c>
    </row>
    <row r="67396" customFormat="false" ht="12.8" hidden="false" customHeight="false" outlineLevel="0" collapsed="false">
      <c r="B67396" s="0" t="s">
        <v>14</v>
      </c>
      <c r="D67396" s="0" t="s">
        <v>78</v>
      </c>
      <c r="E67396" s="0" t="s">
        <v>78</v>
      </c>
      <c r="F67396" s="0" t="s">
        <v>78</v>
      </c>
    </row>
    <row r="67398" customFormat="false" ht="12.8" hidden="false" customHeight="false" outlineLevel="0" collapsed="false">
      <c r="A67398" s="0" t="s">
        <v>22936</v>
      </c>
      <c r="B67398" s="0" t="str">
        <f aca="false">HYPERLINK("https://lindat.mff.cuni.cz/services/teitok/pdtc10/index.php?action=vallex&amp;frame=v-w9247f3", "zaujmout (v-w9247f3)")</f>
        <v>zaujmout (v-w9247f3)</v>
      </c>
    </row>
    <row r="67399" customFormat="false" ht="12.8" hidden="false" customHeight="false" outlineLevel="0" collapsed="false">
      <c r="B67399" s="0" t="s">
        <v>7</v>
      </c>
      <c r="C67399" s="0" t="s">
        <v>1826</v>
      </c>
      <c r="D67399" s="0" t="s">
        <v>391</v>
      </c>
      <c r="E67399" s="0" t="s">
        <v>391</v>
      </c>
      <c r="F67399" s="0" t="s">
        <v>391</v>
      </c>
    </row>
    <row r="67400" customFormat="false" ht="12.8" hidden="false" customHeight="false" outlineLevel="0" collapsed="false">
      <c r="B67400" s="0" t="s">
        <v>14</v>
      </c>
      <c r="C67400" s="0" t="s">
        <v>1277</v>
      </c>
      <c r="D67400" s="0" t="s">
        <v>1205</v>
      </c>
      <c r="E67400" s="0" t="s">
        <v>1205</v>
      </c>
      <c r="F67400" s="0" t="s">
        <v>1205</v>
      </c>
    </row>
    <row r="67402" customFormat="false" ht="12.8" hidden="false" customHeight="false" outlineLevel="0" collapsed="false">
      <c r="A67402" s="0" t="s">
        <v>22937</v>
      </c>
      <c r="B67402" s="0" t="str">
        <f aca="false">HYPERLINK("https://lindat.mff.cuni.cz/services/teitok/pdtc10/index.php?action=vallex&amp;frame=v-w9247f5_ZU", "zaujmout (v-w9247f5_ZU)")</f>
        <v>zaujmout (v-w9247f5_ZU)</v>
      </c>
    </row>
    <row r="67403" customFormat="false" ht="12.8" hidden="false" customHeight="false" outlineLevel="0" collapsed="false">
      <c r="B67403" s="0" t="s">
        <v>7</v>
      </c>
      <c r="C67403" s="0" t="s">
        <v>8623</v>
      </c>
      <c r="D67403" s="0" t="s">
        <v>391</v>
      </c>
      <c r="E67403" s="0" t="s">
        <v>391</v>
      </c>
      <c r="F67403" s="0" t="s">
        <v>391</v>
      </c>
    </row>
    <row r="67404" customFormat="false" ht="12.8" hidden="false" customHeight="false" outlineLevel="0" collapsed="false">
      <c r="B67404" s="0" t="s">
        <v>14</v>
      </c>
      <c r="C67404" s="0" t="s">
        <v>8765</v>
      </c>
      <c r="D67404" s="0" t="s">
        <v>1205</v>
      </c>
      <c r="E67404" s="0" t="s">
        <v>1205</v>
      </c>
      <c r="F67404" s="0" t="s">
        <v>1205</v>
      </c>
    </row>
    <row r="67406" customFormat="false" ht="12.8" hidden="false" customHeight="false" outlineLevel="0" collapsed="false">
      <c r="A67406" s="0" t="s">
        <v>22938</v>
      </c>
      <c r="B67406" s="0" t="str">
        <f aca="false">HYPERLINK("https://lindat.mff.cuni.cz/services/teitok/pdtc10/index.php?action=vallex&amp;frame=v-w9247f6_ZU", "zaujmout (v-w9247f6_ZU)")</f>
        <v>zaujmout (v-w9247f6_ZU)</v>
      </c>
    </row>
    <row r="67407" customFormat="false" ht="12.8" hidden="false" customHeight="false" outlineLevel="0" collapsed="false">
      <c r="B67407" s="0" t="s">
        <v>7</v>
      </c>
      <c r="C67407" s="0" t="s">
        <v>22939</v>
      </c>
    </row>
    <row r="67408" customFormat="false" ht="12.8" hidden="false" customHeight="false" outlineLevel="0" collapsed="false">
      <c r="B67408" s="0" t="s">
        <v>22940</v>
      </c>
      <c r="C67408" s="0" t="s">
        <v>22941</v>
      </c>
    </row>
    <row r="67410" customFormat="false" ht="12.8" hidden="false" customHeight="false" outlineLevel="0" collapsed="false">
      <c r="A67410" s="0" t="s">
        <v>22938</v>
      </c>
      <c r="B67410" s="0" t="str">
        <f aca="false">HYPERLINK("https://lindat.mff.cuni.cz/services/teitok/pdtc10/index.php?action=vallex&amp;frame=v-w9247f2", "zaujmout (v-w9247f2) - substituted with v-w9247f6_ZU")</f>
        <v>zaujmout (v-w9247f2) - substituted with v-w9247f6_ZU</v>
      </c>
    </row>
    <row r="67411" customFormat="false" ht="12.8" hidden="false" customHeight="false" outlineLevel="0" collapsed="false">
      <c r="B67411" s="0" t="s">
        <v>7</v>
      </c>
      <c r="C67411" s="0" t="s">
        <v>22942</v>
      </c>
    </row>
    <row r="67412" customFormat="false" ht="12.8" hidden="false" customHeight="false" outlineLevel="0" collapsed="false">
      <c r="B67412" s="0" t="s">
        <v>22940</v>
      </c>
      <c r="C67412" s="0" t="s">
        <v>22943</v>
      </c>
    </row>
    <row r="67414" customFormat="false" ht="12.8" hidden="false" customHeight="false" outlineLevel="0" collapsed="false">
      <c r="A67414" s="0" t="s">
        <v>22938</v>
      </c>
      <c r="B67414" s="0" t="str">
        <f aca="false">HYPERLINK("https://lindat.mff.cuni.cz/services/teitok/pdtc10/index.php?action=vallex&amp;frame=v-w9247f4_ZU", "zaujmout (v-w9247f4_ZU) - substituted with v-w9247f6_ZU")</f>
        <v>zaujmout (v-w9247f4_ZU) - substituted with v-w9247f6_ZU</v>
      </c>
    </row>
    <row r="67415" customFormat="false" ht="12.8" hidden="false" customHeight="false" outlineLevel="0" collapsed="false">
      <c r="B67415" s="0" t="s">
        <v>7</v>
      </c>
      <c r="C67415" s="0" t="s">
        <v>3205</v>
      </c>
    </row>
    <row r="67416" customFormat="false" ht="12.8" hidden="false" customHeight="false" outlineLevel="0" collapsed="false">
      <c r="B67416" s="0" t="s">
        <v>22940</v>
      </c>
      <c r="C67416" s="0" t="s">
        <v>14188</v>
      </c>
    </row>
    <row r="67418" customFormat="false" ht="12.8" hidden="false" customHeight="false" outlineLevel="0" collapsed="false">
      <c r="A67418" s="0" t="s">
        <v>22938</v>
      </c>
      <c r="B67418" s="0" t="str">
        <f aca="false">HYPERLINK("https://lindat.mff.cuni.cz/services/teitok/pdtc10/index.php?action=vallex&amp;frame=v-w9247hsa_1003", "zaujmout (v-w9247hsa_1003) - substituted with v-w9247f6_ZU")</f>
        <v>zaujmout (v-w9247hsa_1003) - substituted with v-w9247f6_ZU</v>
      </c>
    </row>
    <row r="67419" customFormat="false" ht="12.8" hidden="false" customHeight="false" outlineLevel="0" collapsed="false">
      <c r="B67419" s="0" t="s">
        <v>7</v>
      </c>
    </row>
    <row r="67420" customFormat="false" ht="12.8" hidden="false" customHeight="false" outlineLevel="0" collapsed="false">
      <c r="B67420" s="0" t="s">
        <v>22940</v>
      </c>
    </row>
    <row r="67422" customFormat="false" ht="12.8" hidden="false" customHeight="false" outlineLevel="0" collapsed="false">
      <c r="A67422" s="0" t="s">
        <v>22944</v>
      </c>
      <c r="B67422" s="0" t="str">
        <f aca="false">HYPERLINK("https://lindat.mff.cuni.cz/services/teitok/pdtc10/index.php?action=vallex&amp;frame=v-w9246f4", "zaujímat (v-w9246f4)")</f>
        <v>zaujímat (v-w9246f4)</v>
      </c>
    </row>
    <row r="67423" customFormat="false" ht="12.8" hidden="false" customHeight="false" outlineLevel="0" collapsed="false">
      <c r="B67423" s="0" t="s">
        <v>765</v>
      </c>
      <c r="D67423" s="0" t="s">
        <v>9144</v>
      </c>
      <c r="E67423" s="0" t="s">
        <v>9144</v>
      </c>
      <c r="F67423" s="0" t="s">
        <v>9144</v>
      </c>
    </row>
    <row r="67424" customFormat="false" ht="12.8" hidden="false" customHeight="false" outlineLevel="0" collapsed="false">
      <c r="B67424" s="0" t="s">
        <v>14</v>
      </c>
      <c r="D67424" s="0" t="s">
        <v>78</v>
      </c>
      <c r="E67424" s="0" t="s">
        <v>78</v>
      </c>
      <c r="F67424" s="0" t="s">
        <v>78</v>
      </c>
    </row>
    <row r="67426" customFormat="false" ht="12.8" hidden="false" customHeight="false" outlineLevel="0" collapsed="false">
      <c r="A67426" s="0" t="s">
        <v>22945</v>
      </c>
      <c r="B67426" s="0" t="str">
        <f aca="false">HYPERLINK("https://lindat.mff.cuni.cz/services/teitok/pdtc10/index.php?action=vallex&amp;frame=v-w9246f1", "zaujímat (v-w9246f1)")</f>
        <v>zaujímat (v-w9246f1)</v>
      </c>
    </row>
    <row r="67427" customFormat="false" ht="12.8" hidden="false" customHeight="false" outlineLevel="0" collapsed="false">
      <c r="B67427" s="0" t="s">
        <v>7</v>
      </c>
      <c r="D67427" s="0" t="s">
        <v>391</v>
      </c>
      <c r="E67427" s="0" t="s">
        <v>391</v>
      </c>
      <c r="F67427" s="0" t="s">
        <v>391</v>
      </c>
    </row>
    <row r="67428" customFormat="false" ht="12.8" hidden="false" customHeight="false" outlineLevel="0" collapsed="false">
      <c r="B67428" s="0" t="s">
        <v>14</v>
      </c>
      <c r="D67428" s="0" t="s">
        <v>1205</v>
      </c>
      <c r="E67428" s="0" t="s">
        <v>1205</v>
      </c>
      <c r="F67428" s="0" t="s">
        <v>1205</v>
      </c>
    </row>
    <row r="67430" customFormat="false" ht="12.8" hidden="false" customHeight="false" outlineLevel="0" collapsed="false">
      <c r="A67430" s="0" t="s">
        <v>22946</v>
      </c>
      <c r="B67430" s="0" t="str">
        <f aca="false">HYPERLINK("https://lindat.mff.cuni.cz/services/teitok/pdtc10/index.php?action=vallex&amp;frame=v-w9246f3", "zaujímat (v-w9246f3)")</f>
        <v>zaujímat (v-w9246f3)</v>
      </c>
    </row>
    <row r="67431" customFormat="false" ht="12.8" hidden="false" customHeight="false" outlineLevel="0" collapsed="false">
      <c r="B67431" s="0" t="s">
        <v>7</v>
      </c>
      <c r="C67431" s="0" t="s">
        <v>22947</v>
      </c>
    </row>
    <row r="67432" customFormat="false" ht="12.8" hidden="false" customHeight="false" outlineLevel="0" collapsed="false">
      <c r="B67432" s="0" t="s">
        <v>14</v>
      </c>
      <c r="C67432" s="0" t="s">
        <v>22948</v>
      </c>
    </row>
    <row r="67434" customFormat="false" ht="12.8" hidden="false" customHeight="false" outlineLevel="0" collapsed="false">
      <c r="A67434" s="0" t="s">
        <v>22949</v>
      </c>
      <c r="B67434" s="0" t="str">
        <f aca="false">HYPERLINK("https://lindat.mff.cuni.cz/services/teitok/pdtc10/index.php?action=vallex&amp;frame=v-w9246f2", "zaujímat (v-w9246f2)")</f>
        <v>zaujímat (v-w9246f2)</v>
      </c>
    </row>
    <row r="67435" customFormat="false" ht="12.8" hidden="false" customHeight="false" outlineLevel="0" collapsed="false">
      <c r="B67435" s="0" t="s">
        <v>7</v>
      </c>
      <c r="C67435" s="0" t="s">
        <v>22950</v>
      </c>
    </row>
    <row r="67436" customFormat="false" ht="12.8" hidden="false" customHeight="false" outlineLevel="0" collapsed="false">
      <c r="B67436" s="0" t="s">
        <v>22951</v>
      </c>
      <c r="C67436" s="0" t="s">
        <v>22952</v>
      </c>
    </row>
    <row r="67438" customFormat="false" ht="12.8" hidden="false" customHeight="false" outlineLevel="0" collapsed="false">
      <c r="A67438" s="0" t="s">
        <v>22953</v>
      </c>
      <c r="B67438" s="0" t="str">
        <f aca="false">HYPERLINK("https://lindat.mff.cuni.cz/services/teitok/pdtc10/index.php?action=vallex&amp;frame=v-w9249f1", "zauzlovat (v-w9249f1)")</f>
        <v>zauzlovat (v-w9249f1)</v>
      </c>
    </row>
    <row r="67439" customFormat="false" ht="12.8" hidden="false" customHeight="false" outlineLevel="0" collapsed="false">
      <c r="B67439" s="0" t="s">
        <v>7</v>
      </c>
    </row>
    <row r="67440" customFormat="false" ht="12.8" hidden="false" customHeight="false" outlineLevel="0" collapsed="false">
      <c r="B67440" s="0" t="s">
        <v>14</v>
      </c>
    </row>
    <row r="67442" customFormat="false" ht="12.8" hidden="false" customHeight="false" outlineLevel="0" collapsed="false">
      <c r="A67442" s="0" t="s">
        <v>22954</v>
      </c>
      <c r="B67442" s="0" t="str">
        <f aca="false">HYPERLINK("https://lindat.mff.cuni.cz/services/teitok/pdtc10/index.php?action=vallex&amp;frame=v-w9249f2", "zauzlovat (v-w9249f2)")</f>
        <v>zauzlovat (v-w9249f2)</v>
      </c>
    </row>
    <row r="67443" customFormat="false" ht="12.8" hidden="false" customHeight="false" outlineLevel="0" collapsed="false">
      <c r="B67443" s="0" t="s">
        <v>7</v>
      </c>
    </row>
    <row r="67444" customFormat="false" ht="12.8" hidden="false" customHeight="false" outlineLevel="0" collapsed="false">
      <c r="B67444" s="0" t="s">
        <v>14</v>
      </c>
    </row>
    <row r="67446" customFormat="false" ht="12.8" hidden="false" customHeight="false" outlineLevel="0" collapsed="false">
      <c r="A67446" s="0" t="s">
        <v>22955</v>
      </c>
      <c r="B67446" s="0" t="str">
        <f aca="false">HYPERLINK("https://lindat.mff.cuni.cz/services/teitok/pdtc10/index.php?action=vallex&amp;frame=v-whsa_1604f1_ZU", "zaučit (v-whsa_1604f1_ZU)")</f>
        <v>zaučit (v-whsa_1604f1_ZU)</v>
      </c>
    </row>
    <row r="67447" customFormat="false" ht="12.8" hidden="false" customHeight="false" outlineLevel="0" collapsed="false">
      <c r="B67447" s="0" t="s">
        <v>7</v>
      </c>
    </row>
    <row r="67448" customFormat="false" ht="12.8" hidden="false" customHeight="false" outlineLevel="0" collapsed="false">
      <c r="B67448" s="0" t="s">
        <v>81</v>
      </c>
    </row>
    <row r="67449" customFormat="false" ht="12.8" hidden="false" customHeight="false" outlineLevel="0" collapsed="false">
      <c r="B67449" s="0" t="s">
        <v>22551</v>
      </c>
    </row>
    <row r="67451" customFormat="false" ht="12.8" hidden="false" customHeight="false" outlineLevel="0" collapsed="false">
      <c r="A67451" s="0" t="s">
        <v>22955</v>
      </c>
      <c r="B67451" s="0" t="str">
        <f aca="false">HYPERLINK("https://lindat.mff.cuni.cz/services/teitok/pdtc10/index.php?action=vallex&amp;frame=v-whsa_1604hsa_1605", "zaučit (v-whsa_1604hsa_1605) - substituted with v-whsa_1604f1_ZU")</f>
        <v>zaučit (v-whsa_1604hsa_1605) - substituted with v-whsa_1604f1_ZU</v>
      </c>
    </row>
    <row r="67452" customFormat="false" ht="12.8" hidden="false" customHeight="false" outlineLevel="0" collapsed="false">
      <c r="B67452" s="0" t="s">
        <v>7</v>
      </c>
    </row>
    <row r="67453" customFormat="false" ht="12.8" hidden="false" customHeight="false" outlineLevel="0" collapsed="false">
      <c r="B67453" s="0" t="s">
        <v>81</v>
      </c>
    </row>
    <row r="67454" customFormat="false" ht="12.8" hidden="false" customHeight="false" outlineLevel="0" collapsed="false">
      <c r="B67454" s="0" t="s">
        <v>22551</v>
      </c>
    </row>
    <row r="67456" customFormat="false" ht="12.8" hidden="false" customHeight="false" outlineLevel="0" collapsed="false">
      <c r="A67456" s="0" t="s">
        <v>22956</v>
      </c>
      <c r="B67456" s="0" t="str">
        <f aca="false">HYPERLINK("https://lindat.mff.cuni.cz/services/teitok/pdtc10/index.php?action=vallex&amp;frame=v-whsa_1633hsa_1634", "zaučit se (v-whsa_1633hsa_1634)")</f>
        <v>zaučit se (v-whsa_1633hsa_1634)</v>
      </c>
    </row>
    <row r="67457" customFormat="false" ht="12.8" hidden="false" customHeight="false" outlineLevel="0" collapsed="false">
      <c r="B67457" s="0" t="s">
        <v>7</v>
      </c>
    </row>
    <row r="67458" customFormat="false" ht="12.8" hidden="false" customHeight="false" outlineLevel="0" collapsed="false">
      <c r="B67458" s="0" t="s">
        <v>22957</v>
      </c>
    </row>
    <row r="67460" customFormat="false" ht="12.8" hidden="false" customHeight="false" outlineLevel="0" collapsed="false">
      <c r="A67460" s="0" t="s">
        <v>22958</v>
      </c>
      <c r="B67460" s="0" t="str">
        <f aca="false">HYPERLINK("https://lindat.mff.cuni.cz/services/teitok/pdtc10/index.php?action=vallex&amp;frame=v-whsa_1765f2_ZU", "zaučovat (v-whsa_1765f2_ZU)")</f>
        <v>zaučovat (v-whsa_1765f2_ZU)</v>
      </c>
    </row>
    <row r="67461" customFormat="false" ht="12.8" hidden="false" customHeight="false" outlineLevel="0" collapsed="false">
      <c r="B67461" s="0" t="s">
        <v>7</v>
      </c>
    </row>
    <row r="67462" customFormat="false" ht="12.8" hidden="false" customHeight="false" outlineLevel="0" collapsed="false">
      <c r="B67462" s="0" t="s">
        <v>81</v>
      </c>
    </row>
    <row r="67463" customFormat="false" ht="12.8" hidden="false" customHeight="false" outlineLevel="0" collapsed="false">
      <c r="B67463" s="0" t="s">
        <v>22959</v>
      </c>
    </row>
    <row r="67465" customFormat="false" ht="12.8" hidden="false" customHeight="false" outlineLevel="0" collapsed="false">
      <c r="A67465" s="0" t="s">
        <v>22958</v>
      </c>
      <c r="B67465" s="0" t="str">
        <f aca="false">HYPERLINK("https://lindat.mff.cuni.cz/services/teitok/pdtc10/index.php?action=vallex&amp;frame=v-whsa_1765f1_ZU", "zaučovat (v-whsa_1765f1_ZU) - substituted with v-whsa_1765f2_ZU")</f>
        <v>zaučovat (v-whsa_1765f1_ZU) - substituted with v-whsa_1765f2_ZU</v>
      </c>
    </row>
    <row r="67466" customFormat="false" ht="12.8" hidden="false" customHeight="false" outlineLevel="0" collapsed="false">
      <c r="B67466" s="0" t="s">
        <v>7</v>
      </c>
    </row>
    <row r="67467" customFormat="false" ht="12.8" hidden="false" customHeight="false" outlineLevel="0" collapsed="false">
      <c r="B67467" s="0" t="s">
        <v>81</v>
      </c>
    </row>
    <row r="67468" customFormat="false" ht="12.8" hidden="false" customHeight="false" outlineLevel="0" collapsed="false">
      <c r="B67468" s="0" t="s">
        <v>22959</v>
      </c>
    </row>
    <row r="67470" customFormat="false" ht="12.8" hidden="false" customHeight="false" outlineLevel="0" collapsed="false">
      <c r="A67470" s="0" t="s">
        <v>22958</v>
      </c>
      <c r="B67470" s="0" t="str">
        <f aca="false">HYPERLINK("https://lindat.mff.cuni.cz/services/teitok/pdtc10/index.php?action=vallex&amp;frame=v-whsa_1765hsa_1766", "zaučovat (v-whsa_1765hsa_1766) - substituted with v-whsa_1765f2_ZU")</f>
        <v>zaučovat (v-whsa_1765hsa_1766) - substituted with v-whsa_1765f2_ZU</v>
      </c>
    </row>
    <row r="67471" customFormat="false" ht="12.8" hidden="false" customHeight="false" outlineLevel="0" collapsed="false">
      <c r="B67471" s="0" t="s">
        <v>7</v>
      </c>
    </row>
    <row r="67472" customFormat="false" ht="12.8" hidden="false" customHeight="false" outlineLevel="0" collapsed="false">
      <c r="B67472" s="0" t="s">
        <v>81</v>
      </c>
    </row>
    <row r="67473" customFormat="false" ht="12.8" hidden="false" customHeight="false" outlineLevel="0" collapsed="false">
      <c r="B67473" s="0" t="s">
        <v>22959</v>
      </c>
    </row>
    <row r="67475" customFormat="false" ht="12.8" hidden="false" customHeight="false" outlineLevel="0" collapsed="false">
      <c r="A67475" s="0" t="s">
        <v>22960</v>
      </c>
      <c r="B67475" s="0" t="str">
        <f aca="false">HYPERLINK("https://lindat.mff.cuni.cz/services/teitok/pdtc10/index.php?action=vallex&amp;frame=v-w12337_MMf1_MM", "zaučovat se (v-w12337_MMf1_MM)")</f>
        <v>zaučovat se (v-w12337_MMf1_MM)</v>
      </c>
    </row>
    <row r="67476" customFormat="false" ht="12.8" hidden="false" customHeight="false" outlineLevel="0" collapsed="false">
      <c r="B67476" s="0" t="s">
        <v>7</v>
      </c>
    </row>
    <row r="67477" customFormat="false" ht="12.8" hidden="false" customHeight="false" outlineLevel="0" collapsed="false">
      <c r="B67477" s="0" t="s">
        <v>22957</v>
      </c>
    </row>
    <row r="67479" customFormat="false" ht="12.8" hidden="false" customHeight="false" outlineLevel="0" collapsed="false">
      <c r="A67479" s="0" t="s">
        <v>22961</v>
      </c>
      <c r="B67479" s="0" t="str">
        <f aca="false">HYPERLINK("https://lindat.mff.cuni.cz/services/teitok/pdtc10/index.php?action=vallex&amp;frame=v-w9252f1", "zavadit (v-w9252f1)")</f>
        <v>zavadit (v-w9252f1)</v>
      </c>
    </row>
    <row r="67480" customFormat="false" ht="12.8" hidden="false" customHeight="false" outlineLevel="0" collapsed="false">
      <c r="B67480" s="0" t="s">
        <v>7</v>
      </c>
      <c r="E67480" s="0" t="s">
        <v>22962</v>
      </c>
      <c r="F67480" s="0" t="s">
        <v>22962</v>
      </c>
    </row>
    <row r="67481" customFormat="false" ht="12.8" hidden="false" customHeight="false" outlineLevel="0" collapsed="false">
      <c r="B67481" s="0" t="s">
        <v>615</v>
      </c>
      <c r="E67481" s="0" t="s">
        <v>22963</v>
      </c>
      <c r="F67481" s="0" t="s">
        <v>22963</v>
      </c>
    </row>
    <row r="67483" customFormat="false" ht="12.8" hidden="false" customHeight="false" outlineLevel="0" collapsed="false">
      <c r="A67483" s="0" t="s">
        <v>22964</v>
      </c>
      <c r="B67483" s="0" t="str">
        <f aca="false">HYPERLINK("https://lindat.mff.cuni.cz/services/teitok/pdtc10/index.php?action=vallex&amp;frame=v-w9256f1", "zavalit (v-w9256f1)")</f>
        <v>zavalit (v-w9256f1)</v>
      </c>
    </row>
    <row r="67484" customFormat="false" ht="12.8" hidden="false" customHeight="false" outlineLevel="0" collapsed="false">
      <c r="B67484" s="0" t="s">
        <v>7</v>
      </c>
      <c r="C67484" s="0" t="s">
        <v>22965</v>
      </c>
      <c r="D67484" s="0" t="s">
        <v>21969</v>
      </c>
      <c r="E67484" s="0" t="s">
        <v>21969</v>
      </c>
      <c r="F67484" s="0" t="s">
        <v>21969</v>
      </c>
    </row>
    <row r="67485" customFormat="false" ht="12.8" hidden="false" customHeight="false" outlineLevel="0" collapsed="false">
      <c r="B67485" s="0" t="s">
        <v>14</v>
      </c>
      <c r="C67485" s="0" t="s">
        <v>9129</v>
      </c>
      <c r="D67485" s="0" t="s">
        <v>21971</v>
      </c>
      <c r="E67485" s="0" t="s">
        <v>21971</v>
      </c>
      <c r="F67485" s="0" t="s">
        <v>21971</v>
      </c>
    </row>
    <row r="67487" customFormat="false" ht="12.8" hidden="false" customHeight="false" outlineLevel="0" collapsed="false">
      <c r="A67487" s="0" t="s">
        <v>22966</v>
      </c>
      <c r="B67487" s="0" t="str">
        <f aca="false">HYPERLINK("https://lindat.mff.cuni.cz/services/teitok/pdtc10/index.php?action=vallex&amp;frame=v-w9256f2", "zavalit (v-w9256f2)")</f>
        <v>zavalit (v-w9256f2)</v>
      </c>
    </row>
    <row r="67488" customFormat="false" ht="12.8" hidden="false" customHeight="false" outlineLevel="0" collapsed="false">
      <c r="B67488" s="0" t="s">
        <v>7</v>
      </c>
    </row>
    <row r="67489" customFormat="false" ht="12.8" hidden="false" customHeight="false" outlineLevel="0" collapsed="false">
      <c r="B67489" s="0" t="s">
        <v>14</v>
      </c>
    </row>
    <row r="67491" customFormat="false" ht="12.8" hidden="false" customHeight="false" outlineLevel="0" collapsed="false">
      <c r="A67491" s="0" t="s">
        <v>22967</v>
      </c>
      <c r="B67491" s="0" t="str">
        <f aca="false">HYPERLINK("https://lindat.mff.cuni.cz/services/teitok/pdtc10/index.php?action=vallex&amp;frame=v-w9256hsa_1089", "zavalit (v-w9256hsa_1089)")</f>
        <v>zavalit (v-w9256hsa_1089)</v>
      </c>
    </row>
    <row r="67492" customFormat="false" ht="12.8" hidden="false" customHeight="false" outlineLevel="0" collapsed="false">
      <c r="B67492" s="0" t="s">
        <v>7</v>
      </c>
    </row>
    <row r="67493" customFormat="false" ht="12.8" hidden="false" customHeight="false" outlineLevel="0" collapsed="false">
      <c r="B67493" s="0" t="s">
        <v>14</v>
      </c>
    </row>
    <row r="67495" customFormat="false" ht="12.8" hidden="false" customHeight="false" outlineLevel="0" collapsed="false">
      <c r="A67495" s="0" t="s">
        <v>22968</v>
      </c>
      <c r="B67495" s="0" t="str">
        <f aca="false">HYPERLINK("https://lindat.mff.cuni.cz/services/teitok/pdtc10/index.php?action=vallex&amp;frame=v-w9261f1", "zavazovat (v-w9261f1)")</f>
        <v>zavazovat (v-w9261f1)</v>
      </c>
    </row>
    <row r="67496" customFormat="false" ht="12.8" hidden="false" customHeight="false" outlineLevel="0" collapsed="false">
      <c r="B67496" s="0" t="s">
        <v>7</v>
      </c>
      <c r="C67496" s="0" t="s">
        <v>22969</v>
      </c>
      <c r="D67496" s="0" t="s">
        <v>316</v>
      </c>
      <c r="E67496" s="0" t="s">
        <v>316</v>
      </c>
      <c r="F67496" s="0" t="s">
        <v>316</v>
      </c>
    </row>
    <row r="67497" customFormat="false" ht="12.8" hidden="false" customHeight="false" outlineLevel="0" collapsed="false">
      <c r="B67497" s="0" t="s">
        <v>81</v>
      </c>
      <c r="C67497" s="0" t="s">
        <v>22970</v>
      </c>
      <c r="D67497" s="0" t="s">
        <v>1601</v>
      </c>
      <c r="E67497" s="0" t="s">
        <v>1601</v>
      </c>
      <c r="F67497" s="0" t="s">
        <v>1601</v>
      </c>
    </row>
    <row r="67498" customFormat="false" ht="12.8" hidden="false" customHeight="false" outlineLevel="0" collapsed="false">
      <c r="B67498" s="0" t="s">
        <v>21532</v>
      </c>
      <c r="C67498" s="0" t="s">
        <v>22971</v>
      </c>
      <c r="D67498" s="0" t="s">
        <v>1600</v>
      </c>
      <c r="E67498" s="0" t="s">
        <v>1600</v>
      </c>
      <c r="F67498" s="0" t="s">
        <v>1600</v>
      </c>
    </row>
    <row r="67500" customFormat="false" ht="12.8" hidden="false" customHeight="false" outlineLevel="0" collapsed="false">
      <c r="A67500" s="0" t="s">
        <v>22972</v>
      </c>
      <c r="B67500" s="0" t="str">
        <f aca="false">HYPERLINK("https://lindat.mff.cuni.cz/services/teitok/pdtc10/index.php?action=vallex&amp;frame=v-w9261f2_ZU", "zavazovat (v-w9261f2_ZU)")</f>
        <v>zavazovat (v-w9261f2_ZU)</v>
      </c>
    </row>
    <row r="67501" customFormat="false" ht="12.8" hidden="false" customHeight="false" outlineLevel="0" collapsed="false">
      <c r="B67501" s="0" t="s">
        <v>7</v>
      </c>
    </row>
    <row r="67502" customFormat="false" ht="12.8" hidden="false" customHeight="false" outlineLevel="0" collapsed="false">
      <c r="B67502" s="0" t="s">
        <v>14</v>
      </c>
    </row>
    <row r="67504" customFormat="false" ht="12.8" hidden="false" customHeight="false" outlineLevel="0" collapsed="false">
      <c r="A67504" s="0" t="s">
        <v>22973</v>
      </c>
      <c r="B67504" s="0" t="str">
        <f aca="false">HYPERLINK("https://lindat.mff.cuni.cz/services/teitok/pdtc10/index.php?action=vallex&amp;frame=v-w9262f1", "zavazovat se (v-w9262f1)")</f>
        <v>zavazovat se (v-w9262f1)</v>
      </c>
    </row>
    <row r="67505" customFormat="false" ht="12.8" hidden="false" customHeight="false" outlineLevel="0" collapsed="false">
      <c r="B67505" s="0" t="s">
        <v>7</v>
      </c>
      <c r="C67505" s="0" t="s">
        <v>22974</v>
      </c>
      <c r="D67505" s="0" t="s">
        <v>14142</v>
      </c>
      <c r="E67505" s="0" t="s">
        <v>14142</v>
      </c>
      <c r="F67505" s="0" t="s">
        <v>14142</v>
      </c>
    </row>
    <row r="67506" customFormat="false" ht="12.8" hidden="false" customHeight="false" outlineLevel="0" collapsed="false">
      <c r="B67506" s="0" t="s">
        <v>17939</v>
      </c>
      <c r="C67506" s="0" t="s">
        <v>22975</v>
      </c>
      <c r="D67506" s="0" t="s">
        <v>14145</v>
      </c>
      <c r="E67506" s="0" t="s">
        <v>14145</v>
      </c>
      <c r="F67506" s="0" t="s">
        <v>14145</v>
      </c>
    </row>
    <row r="67507" customFormat="false" ht="12.8" hidden="false" customHeight="false" outlineLevel="0" collapsed="false">
      <c r="B67507" s="0" t="s">
        <v>106</v>
      </c>
      <c r="C67507" s="0" t="s">
        <v>22976</v>
      </c>
      <c r="D67507" s="0" t="s">
        <v>14146</v>
      </c>
      <c r="E67507" s="0" t="s">
        <v>14146</v>
      </c>
      <c r="F67507" s="0" t="s">
        <v>14146</v>
      </c>
    </row>
    <row r="67509" customFormat="false" ht="12.8" hidden="false" customHeight="false" outlineLevel="0" collapsed="false">
      <c r="A67509" s="0" t="s">
        <v>22977</v>
      </c>
      <c r="B67509" s="0" t="str">
        <f aca="false">HYPERLINK("https://lindat.mff.cuni.cz/services/teitok/pdtc10/index.php?action=vallex&amp;frame=v-whsa_1419f1_ZU", "zavařit (v-whsa_1419f1_ZU)")</f>
        <v>zavařit (v-whsa_1419f1_ZU)</v>
      </c>
    </row>
    <row r="67510" customFormat="false" ht="12.8" hidden="false" customHeight="false" outlineLevel="0" collapsed="false">
      <c r="B67510" s="0" t="s">
        <v>7</v>
      </c>
    </row>
    <row r="67511" customFormat="false" ht="12.8" hidden="false" customHeight="false" outlineLevel="0" collapsed="false">
      <c r="B67511" s="0" t="s">
        <v>14</v>
      </c>
    </row>
    <row r="67513" customFormat="false" ht="12.8" hidden="false" customHeight="false" outlineLevel="0" collapsed="false">
      <c r="A67513" s="0" t="s">
        <v>22977</v>
      </c>
      <c r="B67513" s="0" t="str">
        <f aca="false">HYPERLINK("https://lindat.mff.cuni.cz/services/teitok/pdtc10/index.php?action=vallex&amp;frame=v-whsa_1419hsa_1420", "zavařit (v-whsa_1419hsa_1420) - substituted with v-whsa_1419f1_ZU")</f>
        <v>zavařit (v-whsa_1419hsa_1420) - substituted with v-whsa_1419f1_ZU</v>
      </c>
    </row>
    <row r="67514" customFormat="false" ht="12.8" hidden="false" customHeight="false" outlineLevel="0" collapsed="false">
      <c r="B67514" s="0" t="s">
        <v>7</v>
      </c>
    </row>
    <row r="67515" customFormat="false" ht="12.8" hidden="false" customHeight="false" outlineLevel="0" collapsed="false">
      <c r="B67515" s="0" t="s">
        <v>14</v>
      </c>
    </row>
    <row r="67517" customFormat="false" ht="12.8" hidden="false" customHeight="false" outlineLevel="0" collapsed="false">
      <c r="A67517" s="0" t="s">
        <v>22978</v>
      </c>
      <c r="B67517" s="0" t="str">
        <f aca="false">HYPERLINK("https://lindat.mff.cuni.cz/services/teitok/pdtc10/index.php?action=vallex&amp;frame=v-whsa_1570hsa_1571", "zavařovat (v-whsa_1570hsa_1571)")</f>
        <v>zavařovat (v-whsa_1570hsa_1571)</v>
      </c>
    </row>
    <row r="67518" customFormat="false" ht="12.8" hidden="false" customHeight="false" outlineLevel="0" collapsed="false">
      <c r="B67518" s="0" t="s">
        <v>7</v>
      </c>
    </row>
    <row r="67519" customFormat="false" ht="12.8" hidden="false" customHeight="false" outlineLevel="0" collapsed="false">
      <c r="B67519" s="0" t="s">
        <v>14</v>
      </c>
    </row>
    <row r="67521" customFormat="false" ht="12.8" hidden="false" customHeight="false" outlineLevel="0" collapsed="false">
      <c r="A67521" s="0" t="s">
        <v>22979</v>
      </c>
      <c r="B67521" s="0" t="str">
        <f aca="false">HYPERLINK("https://lindat.mff.cuni.cz/services/teitok/pdtc10/index.php?action=vallex&amp;frame=v-w9265f1", "zavdat (v-w9265f1)")</f>
        <v>zavdat (v-w9265f1)</v>
      </c>
    </row>
    <row r="67522" customFormat="false" ht="12.8" hidden="false" customHeight="false" outlineLevel="0" collapsed="false">
      <c r="B67522" s="0" t="s">
        <v>7</v>
      </c>
      <c r="C67522" s="0" t="s">
        <v>1386</v>
      </c>
    </row>
    <row r="67523" customFormat="false" ht="12.8" hidden="false" customHeight="false" outlineLevel="0" collapsed="false">
      <c r="B67523" s="0" t="s">
        <v>22980</v>
      </c>
      <c r="C67523" s="0" t="s">
        <v>3016</v>
      </c>
    </row>
    <row r="67524" customFormat="false" ht="12.8" hidden="false" customHeight="false" outlineLevel="0" collapsed="false">
      <c r="B67524" s="0" t="s">
        <v>48</v>
      </c>
      <c r="C67524" s="0" t="s">
        <v>3018</v>
      </c>
    </row>
    <row r="67526" customFormat="false" ht="12.8" hidden="false" customHeight="false" outlineLevel="0" collapsed="false">
      <c r="A67526" s="0" t="s">
        <v>22981</v>
      </c>
      <c r="B67526" s="0" t="str">
        <f aca="false">HYPERLINK("https://lindat.mff.cuni.cz/services/teitok/pdtc10/index.php?action=vallex&amp;frame=v-w9266f1", "zavdávat (v-w9266f1)")</f>
        <v>zavdávat (v-w9266f1)</v>
      </c>
    </row>
    <row r="67527" customFormat="false" ht="12.8" hidden="false" customHeight="false" outlineLevel="0" collapsed="false">
      <c r="B67527" s="0" t="s">
        <v>7</v>
      </c>
    </row>
    <row r="67528" customFormat="false" ht="12.8" hidden="false" customHeight="false" outlineLevel="0" collapsed="false">
      <c r="B67528" s="0" t="s">
        <v>22980</v>
      </c>
    </row>
    <row r="67529" customFormat="false" ht="12.8" hidden="false" customHeight="false" outlineLevel="0" collapsed="false">
      <c r="B67529" s="0" t="s">
        <v>48</v>
      </c>
    </row>
    <row r="67531" customFormat="false" ht="12.8" hidden="false" customHeight="false" outlineLevel="0" collapsed="false">
      <c r="A67531" s="0" t="s">
        <v>22982</v>
      </c>
      <c r="B67531" s="0" t="str">
        <f aca="false">HYPERLINK("https://lindat.mff.cuni.cz/services/teitok/pdtc10/index.php?action=vallex&amp;frame=v-w9267f1", "zavděčit se (v-w9267f1)")</f>
        <v>zavděčit se (v-w9267f1)</v>
      </c>
    </row>
    <row r="67532" customFormat="false" ht="12.8" hidden="false" customHeight="false" outlineLevel="0" collapsed="false">
      <c r="B67532" s="0" t="s">
        <v>7</v>
      </c>
      <c r="C67532" s="0" t="s">
        <v>1879</v>
      </c>
    </row>
    <row r="67533" customFormat="false" ht="12.8" hidden="false" customHeight="false" outlineLevel="0" collapsed="false">
      <c r="B67533" s="0" t="s">
        <v>142</v>
      </c>
      <c r="C67533" s="0" t="s">
        <v>1405</v>
      </c>
    </row>
    <row r="67535" customFormat="false" ht="12.8" hidden="false" customHeight="false" outlineLevel="0" collapsed="false">
      <c r="A67535" s="0" t="s">
        <v>22983</v>
      </c>
      <c r="B67535" s="0" t="str">
        <f aca="false">HYPERLINK("https://lindat.mff.cuni.cz/services/teitok/pdtc10/index.php?action=vallex&amp;frame=v-w9270f1", "zavelet (v-w9270f1)")</f>
        <v>zavelet (v-w9270f1)</v>
      </c>
    </row>
    <row r="67536" customFormat="false" ht="12.8" hidden="false" customHeight="false" outlineLevel="0" collapsed="false">
      <c r="B67536" s="0" t="s">
        <v>7</v>
      </c>
    </row>
    <row r="67537" customFormat="false" ht="12.8" hidden="false" customHeight="false" outlineLevel="0" collapsed="false">
      <c r="B67537" s="0" t="s">
        <v>22984</v>
      </c>
    </row>
    <row r="67538" customFormat="false" ht="12.8" hidden="false" customHeight="false" outlineLevel="0" collapsed="false">
      <c r="B67538" s="0" t="s">
        <v>48</v>
      </c>
    </row>
    <row r="67540" customFormat="false" ht="12.8" hidden="false" customHeight="false" outlineLevel="0" collapsed="false">
      <c r="A67540" s="0" t="s">
        <v>22985</v>
      </c>
      <c r="B67540" s="0" t="str">
        <f aca="false">HYPERLINK("https://lindat.mff.cuni.cz/services/teitok/pdtc10/index.php?action=vallex&amp;frame=v-w9279f1", "zavinit (v-w9279f1)")</f>
        <v>zavinit (v-w9279f1)</v>
      </c>
    </row>
    <row r="67541" customFormat="false" ht="12.8" hidden="false" customHeight="false" outlineLevel="0" collapsed="false">
      <c r="B67541" s="0" t="s">
        <v>7</v>
      </c>
      <c r="C67541" s="0" t="s">
        <v>22986</v>
      </c>
      <c r="D67541" s="0" t="s">
        <v>5864</v>
      </c>
      <c r="E67541" s="0" t="s">
        <v>570</v>
      </c>
      <c r="F67541" s="0" t="s">
        <v>570</v>
      </c>
    </row>
    <row r="67542" customFormat="false" ht="12.8" hidden="false" customHeight="false" outlineLevel="0" collapsed="false">
      <c r="B67542" s="0" t="s">
        <v>6839</v>
      </c>
      <c r="C67542" s="0" t="s">
        <v>22987</v>
      </c>
      <c r="D67542" s="0" t="s">
        <v>5866</v>
      </c>
      <c r="E67542" s="0" t="s">
        <v>5917</v>
      </c>
      <c r="F67542" s="0" t="s">
        <v>5917</v>
      </c>
    </row>
    <row r="67544" customFormat="false" ht="12.8" hidden="false" customHeight="false" outlineLevel="0" collapsed="false">
      <c r="A67544" s="0" t="s">
        <v>22988</v>
      </c>
      <c r="B67544" s="0" t="str">
        <f aca="false">HYPERLINK("https://lindat.mff.cuni.cz/services/teitok/pdtc10/index.php?action=vallex&amp;frame=v-w9280f1", "zavinout (v-w9280f1)")</f>
        <v>zavinout (v-w9280f1)</v>
      </c>
    </row>
    <row r="67545" customFormat="false" ht="12.8" hidden="false" customHeight="false" outlineLevel="0" collapsed="false">
      <c r="B67545" s="0" t="s">
        <v>7</v>
      </c>
    </row>
    <row r="67546" customFormat="false" ht="12.8" hidden="false" customHeight="false" outlineLevel="0" collapsed="false">
      <c r="B67546" s="0" t="s">
        <v>14</v>
      </c>
    </row>
    <row r="67547" customFormat="false" ht="12.8" hidden="false" customHeight="false" outlineLevel="0" collapsed="false">
      <c r="B67547" s="0" t="s">
        <v>181</v>
      </c>
    </row>
    <row r="67549" customFormat="false" ht="12.8" hidden="false" customHeight="false" outlineLevel="0" collapsed="false">
      <c r="A67549" s="0" t="s">
        <v>22989</v>
      </c>
      <c r="B67549" s="0" t="str">
        <f aca="false">HYPERLINK("https://lindat.mff.cuni.cz/services/teitok/pdtc10/index.php?action=vallex&amp;frame=v-w9289f1", "zavládnout (v-w9289f1)")</f>
        <v>zavládnout (v-w9289f1)</v>
      </c>
    </row>
    <row r="67550" customFormat="false" ht="12.8" hidden="false" customHeight="false" outlineLevel="0" collapsed="false">
      <c r="B67550" s="0" t="s">
        <v>7</v>
      </c>
      <c r="C67550" s="0" t="s">
        <v>4651</v>
      </c>
      <c r="D67550" s="0" t="s">
        <v>14811</v>
      </c>
      <c r="E67550" s="0" t="s">
        <v>14811</v>
      </c>
      <c r="F67550" s="0" t="s">
        <v>14811</v>
      </c>
    </row>
    <row r="67552" customFormat="false" ht="12.8" hidden="false" customHeight="false" outlineLevel="0" collapsed="false">
      <c r="A67552" s="0" t="s">
        <v>22990</v>
      </c>
      <c r="B67552" s="0" t="str">
        <f aca="false">HYPERLINK("https://lindat.mff.cuni.cz/services/teitok/pdtc10/index.php?action=vallex&amp;frame=v-w9290f1", "zavlát (v-w9290f1)")</f>
        <v>zavlát (v-w9290f1)</v>
      </c>
    </row>
    <row r="67553" customFormat="false" ht="12.8" hidden="false" customHeight="false" outlineLevel="0" collapsed="false">
      <c r="B67553" s="0" t="s">
        <v>7</v>
      </c>
    </row>
    <row r="67555" customFormat="false" ht="12.8" hidden="false" customHeight="false" outlineLevel="0" collapsed="false">
      <c r="A67555" s="0" t="s">
        <v>22991</v>
      </c>
      <c r="B67555" s="0" t="str">
        <f aca="false">HYPERLINK("https://lindat.mff.cuni.cz/services/teitok/pdtc10/index.php?action=vallex&amp;frame=v-w9291f1", "zavléci (v-w9291f1)")</f>
        <v>zavléci (v-w9291f1)</v>
      </c>
    </row>
    <row r="67556" customFormat="false" ht="12.8" hidden="false" customHeight="false" outlineLevel="0" collapsed="false">
      <c r="B67556" s="0" t="s">
        <v>7</v>
      </c>
    </row>
    <row r="67557" customFormat="false" ht="12.8" hidden="false" customHeight="false" outlineLevel="0" collapsed="false">
      <c r="B67557" s="0" t="s">
        <v>14</v>
      </c>
    </row>
    <row r="67558" customFormat="false" ht="12.8" hidden="false" customHeight="false" outlineLevel="0" collapsed="false">
      <c r="B67558" s="0" t="s">
        <v>124</v>
      </c>
    </row>
    <row r="67560" customFormat="false" ht="12.8" hidden="false" customHeight="false" outlineLevel="0" collapsed="false">
      <c r="A67560" s="0" t="s">
        <v>22992</v>
      </c>
      <c r="B67560" s="0" t="str">
        <f aca="false">HYPERLINK("https://lindat.mff.cuni.cz/services/teitok/pdtc10/index.php?action=vallex&amp;frame=v-w9297f9_ZU", "zavolat (v-w9297f9_ZU)")</f>
        <v>zavolat (v-w9297f9_ZU)</v>
      </c>
    </row>
    <row r="67561" customFormat="false" ht="12.8" hidden="false" customHeight="false" outlineLevel="0" collapsed="false">
      <c r="B67561" s="0" t="s">
        <v>7</v>
      </c>
    </row>
    <row r="67562" customFormat="false" ht="12.8" hidden="false" customHeight="false" outlineLevel="0" collapsed="false">
      <c r="B67562" s="0" t="s">
        <v>22993</v>
      </c>
    </row>
    <row r="67563" customFormat="false" ht="12.8" hidden="false" customHeight="false" outlineLevel="0" collapsed="false">
      <c r="B67563" s="0" t="s">
        <v>48</v>
      </c>
    </row>
    <row r="67565" customFormat="false" ht="12.8" hidden="false" customHeight="false" outlineLevel="0" collapsed="false">
      <c r="A67565" s="0" t="s">
        <v>22992</v>
      </c>
      <c r="B67565" s="0" t="str">
        <f aca="false">HYPERLINK("https://lindat.mff.cuni.cz/services/teitok/pdtc10/index.php?action=vallex&amp;frame=v-w9297f2", "zavolat (v-w9297f2) - substituted with v-w9297f9_ZU")</f>
        <v>zavolat (v-w9297f2) - substituted with v-w9297f9_ZU</v>
      </c>
    </row>
    <row r="67566" customFormat="false" ht="12.8" hidden="false" customHeight="false" outlineLevel="0" collapsed="false">
      <c r="B67566" s="0" t="s">
        <v>7</v>
      </c>
      <c r="C67566" s="0" t="s">
        <v>3664</v>
      </c>
      <c r="D67566" s="0" t="s">
        <v>2797</v>
      </c>
      <c r="E67566" s="0" t="s">
        <v>2797</v>
      </c>
      <c r="F67566" s="0" t="s">
        <v>2797</v>
      </c>
    </row>
    <row r="67567" customFormat="false" ht="12.8" hidden="false" customHeight="false" outlineLevel="0" collapsed="false">
      <c r="B67567" s="0" t="s">
        <v>22993</v>
      </c>
      <c r="D67567" s="0" t="s">
        <v>8694</v>
      </c>
      <c r="E67567" s="0" t="s">
        <v>8694</v>
      </c>
      <c r="F67567" s="0" t="s">
        <v>8694</v>
      </c>
    </row>
    <row r="67568" customFormat="false" ht="12.8" hidden="false" customHeight="false" outlineLevel="0" collapsed="false">
      <c r="B67568" s="0" t="s">
        <v>48</v>
      </c>
      <c r="C67568" s="0" t="s">
        <v>18949</v>
      </c>
      <c r="D67568" s="0" t="s">
        <v>398</v>
      </c>
      <c r="E67568" s="0" t="s">
        <v>398</v>
      </c>
      <c r="F67568" s="0" t="s">
        <v>398</v>
      </c>
    </row>
    <row r="67570" customFormat="false" ht="12.8" hidden="false" customHeight="false" outlineLevel="0" collapsed="false">
      <c r="A67570" s="0" t="s">
        <v>22994</v>
      </c>
      <c r="B67570" s="0" t="str">
        <f aca="false">HYPERLINK("https://lindat.mff.cuni.cz/services/teitok/pdtc10/index.php?action=vallex&amp;frame=v-w9297f4", "zavolat (v-w9297f4)")</f>
        <v>zavolat (v-w9297f4)</v>
      </c>
    </row>
    <row r="67571" customFormat="false" ht="12.8" hidden="false" customHeight="false" outlineLevel="0" collapsed="false">
      <c r="B67571" s="0" t="s">
        <v>7</v>
      </c>
      <c r="C67571" s="0" t="s">
        <v>191</v>
      </c>
      <c r="D67571" s="0" t="s">
        <v>2797</v>
      </c>
      <c r="E67571" s="0" t="s">
        <v>2797</v>
      </c>
      <c r="F67571" s="0" t="s">
        <v>2797</v>
      </c>
    </row>
    <row r="67572" customFormat="false" ht="12.8" hidden="false" customHeight="false" outlineLevel="0" collapsed="false">
      <c r="B67572" s="0" t="s">
        <v>4335</v>
      </c>
      <c r="C67572" s="0" t="s">
        <v>155</v>
      </c>
      <c r="D67572" s="0" t="s">
        <v>8694</v>
      </c>
      <c r="E67572" s="0" t="s">
        <v>8694</v>
      </c>
      <c r="F67572" s="0" t="s">
        <v>8694</v>
      </c>
    </row>
    <row r="67573" customFormat="false" ht="12.8" hidden="false" customHeight="false" outlineLevel="0" collapsed="false">
      <c r="B67573" s="0" t="s">
        <v>4101</v>
      </c>
      <c r="C67573" s="0" t="s">
        <v>1165</v>
      </c>
      <c r="D67573" s="0" t="s">
        <v>398</v>
      </c>
      <c r="E67573" s="0" t="s">
        <v>398</v>
      </c>
      <c r="F67573" s="0" t="s">
        <v>398</v>
      </c>
    </row>
    <row r="67575" customFormat="false" ht="12.8" hidden="false" customHeight="false" outlineLevel="0" collapsed="false">
      <c r="A67575" s="0" t="s">
        <v>22995</v>
      </c>
      <c r="B67575" s="0" t="str">
        <f aca="false">HYPERLINK("https://lindat.mff.cuni.cz/services/teitok/pdtc10/index.php?action=vallex&amp;frame=v-w9297f1", "zavolat (v-w9297f1)")</f>
        <v>zavolat (v-w9297f1)</v>
      </c>
    </row>
    <row r="67576" customFormat="false" ht="12.8" hidden="false" customHeight="false" outlineLevel="0" collapsed="false">
      <c r="B67576" s="0" t="s">
        <v>7</v>
      </c>
      <c r="C67576" s="0" t="s">
        <v>4208</v>
      </c>
      <c r="D67576" s="0" t="s">
        <v>14671</v>
      </c>
      <c r="E67576" s="0" t="s">
        <v>10458</v>
      </c>
      <c r="F67576" s="0" t="s">
        <v>10458</v>
      </c>
    </row>
    <row r="67577" customFormat="false" ht="12.8" hidden="false" customHeight="false" outlineLevel="0" collapsed="false">
      <c r="B67577" s="0" t="s">
        <v>14</v>
      </c>
      <c r="C67577" s="0" t="s">
        <v>2694</v>
      </c>
      <c r="D67577" s="0" t="s">
        <v>10088</v>
      </c>
      <c r="E67577" s="0" t="s">
        <v>2584</v>
      </c>
      <c r="F67577" s="0" t="s">
        <v>2584</v>
      </c>
    </row>
    <row r="67579" customFormat="false" ht="12.8" hidden="false" customHeight="false" outlineLevel="0" collapsed="false">
      <c r="A67579" s="0" t="s">
        <v>22996</v>
      </c>
      <c r="B67579" s="0" t="str">
        <f aca="false">HYPERLINK("https://lindat.mff.cuni.cz/services/teitok/pdtc10/index.php?action=vallex&amp;frame=v-w9297f8_ZU", "zavolat (v-w9297f8_ZU)")</f>
        <v>zavolat (v-w9297f8_ZU)</v>
      </c>
    </row>
    <row r="67580" customFormat="false" ht="12.8" hidden="false" customHeight="false" outlineLevel="0" collapsed="false">
      <c r="B67580" s="0" t="s">
        <v>7</v>
      </c>
    </row>
    <row r="67581" customFormat="false" ht="12.8" hidden="false" customHeight="false" outlineLevel="0" collapsed="false">
      <c r="B67581" s="0" t="s">
        <v>7379</v>
      </c>
    </row>
    <row r="67583" customFormat="false" ht="12.8" hidden="false" customHeight="false" outlineLevel="0" collapsed="false">
      <c r="A67583" s="0" t="s">
        <v>22996</v>
      </c>
      <c r="B67583" s="0" t="str">
        <f aca="false">HYPERLINK("https://lindat.mff.cuni.cz/services/teitok/pdtc10/index.php?action=vallex&amp;frame=v-w9297f5", "zavolat (v-w9297f5) - substituted with v-w9297f8_ZU")</f>
        <v>zavolat (v-w9297f5) - substituted with v-w9297f8_ZU</v>
      </c>
    </row>
    <row r="67584" customFormat="false" ht="12.8" hidden="false" customHeight="false" outlineLevel="0" collapsed="false">
      <c r="B67584" s="0" t="s">
        <v>7</v>
      </c>
      <c r="C67584" s="0" t="s">
        <v>3664</v>
      </c>
      <c r="D67584" s="0" t="s">
        <v>14671</v>
      </c>
      <c r="E67584" s="0" t="s">
        <v>10458</v>
      </c>
      <c r="F67584" s="0" t="s">
        <v>10458</v>
      </c>
    </row>
    <row r="67585" customFormat="false" ht="12.8" hidden="false" customHeight="false" outlineLevel="0" collapsed="false">
      <c r="B67585" s="0" t="s">
        <v>7379</v>
      </c>
      <c r="C67585" s="0" t="s">
        <v>2641</v>
      </c>
      <c r="D67585" s="0" t="s">
        <v>10088</v>
      </c>
      <c r="E67585" s="0" t="s">
        <v>2584</v>
      </c>
      <c r="F67585" s="0" t="s">
        <v>2584</v>
      </c>
    </row>
    <row r="67587" customFormat="false" ht="12.8" hidden="false" customHeight="false" outlineLevel="0" collapsed="false">
      <c r="A67587" s="0" t="s">
        <v>22997</v>
      </c>
      <c r="B67587" s="0" t="str">
        <f aca="false">HYPERLINK("https://lindat.mff.cuni.cz/services/teitok/pdtc10/index.php?action=vallex&amp;frame=v-w9297f6", "zavolat (v-w9297f6)")</f>
        <v>zavolat (v-w9297f6)</v>
      </c>
    </row>
    <row r="67588" customFormat="false" ht="12.8" hidden="false" customHeight="false" outlineLevel="0" collapsed="false">
      <c r="B67588" s="0" t="s">
        <v>7</v>
      </c>
      <c r="C67588" s="0" t="s">
        <v>3051</v>
      </c>
      <c r="D67588" s="0" t="s">
        <v>2797</v>
      </c>
      <c r="E67588" s="0" t="s">
        <v>2797</v>
      </c>
      <c r="F67588" s="0" t="s">
        <v>2797</v>
      </c>
    </row>
    <row r="67589" customFormat="false" ht="12.8" hidden="false" customHeight="false" outlineLevel="0" collapsed="false">
      <c r="B67589" s="0" t="s">
        <v>48</v>
      </c>
      <c r="C67589" s="0" t="s">
        <v>22998</v>
      </c>
      <c r="D67589" s="0" t="s">
        <v>398</v>
      </c>
      <c r="E67589" s="0" t="s">
        <v>398</v>
      </c>
      <c r="F67589" s="0" t="s">
        <v>398</v>
      </c>
    </row>
    <row r="67590" customFormat="false" ht="12.8" hidden="false" customHeight="false" outlineLevel="0" collapsed="false">
      <c r="B67590" s="0" t="s">
        <v>363</v>
      </c>
      <c r="D67590" s="0" t="s">
        <v>8694</v>
      </c>
      <c r="E67590" s="0" t="s">
        <v>8694</v>
      </c>
      <c r="F67590" s="0" t="s">
        <v>8694</v>
      </c>
    </row>
    <row r="67592" customFormat="false" ht="12.8" hidden="false" customHeight="false" outlineLevel="0" collapsed="false">
      <c r="A67592" s="0" t="s">
        <v>22999</v>
      </c>
      <c r="B67592" s="0" t="str">
        <f aca="false">HYPERLINK("https://lindat.mff.cuni.cz/services/teitok/pdtc10/index.php?action=vallex&amp;frame=v-w9297f7", "zavolat (v-w9297f7)")</f>
        <v>zavolat (v-w9297f7)</v>
      </c>
    </row>
    <row r="67593" customFormat="false" ht="12.8" hidden="false" customHeight="false" outlineLevel="0" collapsed="false">
      <c r="B67593" s="0" t="s">
        <v>7</v>
      </c>
    </row>
    <row r="67594" customFormat="false" ht="12.8" hidden="false" customHeight="false" outlineLevel="0" collapsed="false">
      <c r="B67594" s="0" t="s">
        <v>48</v>
      </c>
    </row>
    <row r="67595" customFormat="false" ht="12.8" hidden="false" customHeight="false" outlineLevel="0" collapsed="false">
      <c r="B67595" s="0" t="s">
        <v>5518</v>
      </c>
    </row>
    <row r="67596" customFormat="false" ht="12.8" hidden="false" customHeight="false" outlineLevel="0" collapsed="false">
      <c r="B67596" s="0" t="s">
        <v>363</v>
      </c>
    </row>
    <row r="67598" customFormat="false" ht="12.8" hidden="false" customHeight="false" outlineLevel="0" collapsed="false">
      <c r="A67598" s="0" t="s">
        <v>23000</v>
      </c>
      <c r="B67598" s="0" t="str">
        <f aca="false">HYPERLINK("https://lindat.mff.cuni.cz/services/teitok/pdtc10/index.php?action=vallex&amp;frame=v-w9297f3", "zavolat (v-w9297f3)")</f>
        <v>zavolat (v-w9297f3)</v>
      </c>
    </row>
    <row r="67599" customFormat="false" ht="12.8" hidden="false" customHeight="false" outlineLevel="0" collapsed="false">
      <c r="B67599" s="0" t="s">
        <v>7</v>
      </c>
      <c r="C67599" s="0" t="s">
        <v>3664</v>
      </c>
      <c r="D67599" s="0" t="s">
        <v>2797</v>
      </c>
      <c r="E67599" s="0" t="s">
        <v>2797</v>
      </c>
      <c r="F67599" s="0" t="s">
        <v>2797</v>
      </c>
    </row>
    <row r="67600" customFormat="false" ht="12.8" hidden="false" customHeight="false" outlineLevel="0" collapsed="false">
      <c r="B67600" s="0" t="s">
        <v>124</v>
      </c>
      <c r="C67600" s="0" t="s">
        <v>23001</v>
      </c>
      <c r="D67600" s="0" t="s">
        <v>17040</v>
      </c>
      <c r="E67600" s="0" t="s">
        <v>17040</v>
      </c>
      <c r="F67600" s="0" t="s">
        <v>17040</v>
      </c>
    </row>
    <row r="67601" customFormat="false" ht="12.8" hidden="false" customHeight="false" outlineLevel="0" collapsed="false">
      <c r="B67601" s="0" t="s">
        <v>363</v>
      </c>
      <c r="D67601" s="0" t="s">
        <v>8694</v>
      </c>
      <c r="E67601" s="0" t="s">
        <v>8694</v>
      </c>
      <c r="F67601" s="0" t="s">
        <v>8694</v>
      </c>
    </row>
    <row r="67603" customFormat="false" ht="12.8" hidden="false" customHeight="false" outlineLevel="0" collapsed="false">
      <c r="A67603" s="0" t="s">
        <v>23002</v>
      </c>
      <c r="B67603" s="0" t="str">
        <f aca="false">HYPERLINK("https://lindat.mff.cuni.cz/services/teitok/pdtc10/index.php?action=vallex&amp;frame=v-whsa_398hsa_399", "zavolat si (v-whsa_398hsa_399)")</f>
        <v>zavolat si (v-whsa_398hsa_399)</v>
      </c>
    </row>
    <row r="67604" customFormat="false" ht="12.8" hidden="false" customHeight="false" outlineLevel="0" collapsed="false">
      <c r="B67604" s="0" t="s">
        <v>7</v>
      </c>
    </row>
    <row r="67605" customFormat="false" ht="12.8" hidden="false" customHeight="false" outlineLevel="0" collapsed="false">
      <c r="B67605" s="0" t="s">
        <v>14</v>
      </c>
    </row>
    <row r="67606" customFormat="false" ht="12.8" hidden="false" customHeight="false" outlineLevel="0" collapsed="false">
      <c r="B67606" s="0" t="s">
        <v>207</v>
      </c>
    </row>
    <row r="67608" customFormat="false" ht="12.8" hidden="false" customHeight="false" outlineLevel="0" collapsed="false">
      <c r="A67608" s="0" t="s">
        <v>23003</v>
      </c>
      <c r="B67608" s="0" t="str">
        <f aca="false">HYPERLINK("https://lindat.mff.cuni.cz/services/teitok/pdtc10/index.php?action=vallex&amp;frame=v-w11965_ZUf1_ZU", "zavonět (v-w11965_ZUf1_ZU)")</f>
        <v>zavonět (v-w11965_ZUf1_ZU)</v>
      </c>
    </row>
    <row r="67609" customFormat="false" ht="12.8" hidden="false" customHeight="false" outlineLevel="0" collapsed="false">
      <c r="B67609" s="0" t="s">
        <v>7</v>
      </c>
    </row>
    <row r="67610" customFormat="false" ht="12.8" hidden="false" customHeight="false" outlineLevel="0" collapsed="false">
      <c r="B67610" s="0" t="s">
        <v>12511</v>
      </c>
    </row>
    <row r="67612" customFormat="false" ht="12.8" hidden="false" customHeight="false" outlineLevel="0" collapsed="false">
      <c r="A67612" s="0" t="s">
        <v>23004</v>
      </c>
      <c r="B67612" s="0" t="str">
        <f aca="false">HYPERLINK("https://lindat.mff.cuni.cz/services/teitok/pdtc10/index.php?action=vallex&amp;frame=v-w9299f1", "zavraždit (v-w9299f1)")</f>
        <v>zavraždit (v-w9299f1)</v>
      </c>
    </row>
    <row r="67613" customFormat="false" ht="12.8" hidden="false" customHeight="false" outlineLevel="0" collapsed="false">
      <c r="B67613" s="0" t="s">
        <v>7</v>
      </c>
      <c r="C67613" s="0" t="s">
        <v>4208</v>
      </c>
      <c r="D67613" s="0" t="s">
        <v>5057</v>
      </c>
      <c r="E67613" s="0" t="s">
        <v>5057</v>
      </c>
      <c r="F67613" s="0" t="s">
        <v>5057</v>
      </c>
    </row>
    <row r="67614" customFormat="false" ht="12.8" hidden="false" customHeight="false" outlineLevel="0" collapsed="false">
      <c r="B67614" s="0" t="s">
        <v>14</v>
      </c>
      <c r="C67614" s="0" t="s">
        <v>23005</v>
      </c>
      <c r="D67614" s="0" t="s">
        <v>8042</v>
      </c>
      <c r="E67614" s="0" t="s">
        <v>8042</v>
      </c>
      <c r="F67614" s="0" t="s">
        <v>8042</v>
      </c>
    </row>
    <row r="67616" customFormat="false" ht="12.8" hidden="false" customHeight="false" outlineLevel="0" collapsed="false">
      <c r="A67616" s="0" t="s">
        <v>23006</v>
      </c>
      <c r="B67616" s="0" t="str">
        <f aca="false">HYPERLINK("https://lindat.mff.cuni.cz/services/teitok/pdtc10/index.php?action=vallex&amp;frame=v-w9300f1", "zavrhnout (v-w9300f1)")</f>
        <v>zavrhnout (v-w9300f1)</v>
      </c>
    </row>
    <row r="67617" customFormat="false" ht="12.8" hidden="false" customHeight="false" outlineLevel="0" collapsed="false">
      <c r="B67617" s="0" t="s">
        <v>7</v>
      </c>
      <c r="C67617" s="0" t="s">
        <v>8058</v>
      </c>
      <c r="D67617" s="0" t="s">
        <v>305</v>
      </c>
      <c r="E67617" s="0" t="s">
        <v>305</v>
      </c>
      <c r="F67617" s="0" t="s">
        <v>305</v>
      </c>
    </row>
    <row r="67618" customFormat="false" ht="12.8" hidden="false" customHeight="false" outlineLevel="0" collapsed="false">
      <c r="B67618" s="0" t="s">
        <v>5859</v>
      </c>
      <c r="C67618" s="0" t="s">
        <v>26</v>
      </c>
      <c r="D67618" s="0" t="s">
        <v>307</v>
      </c>
      <c r="E67618" s="0" t="s">
        <v>307</v>
      </c>
      <c r="F67618" s="0" t="s">
        <v>307</v>
      </c>
    </row>
    <row r="67620" customFormat="false" ht="12.8" hidden="false" customHeight="false" outlineLevel="0" collapsed="false">
      <c r="A67620" s="0" t="s">
        <v>23007</v>
      </c>
      <c r="B67620" s="0" t="str">
        <f aca="false">HYPERLINK("https://lindat.mff.cuni.cz/services/teitok/pdtc10/index.php?action=vallex&amp;frame=v-w9302f1", "zavrhovat (v-w9302f1)")</f>
        <v>zavrhovat (v-w9302f1)</v>
      </c>
    </row>
    <row r="67621" customFormat="false" ht="12.8" hidden="false" customHeight="false" outlineLevel="0" collapsed="false">
      <c r="B67621" s="0" t="s">
        <v>7</v>
      </c>
      <c r="C67621" s="0" t="s">
        <v>1874</v>
      </c>
      <c r="D67621" s="0" t="s">
        <v>305</v>
      </c>
      <c r="E67621" s="0" t="s">
        <v>305</v>
      </c>
      <c r="F67621" s="0" t="s">
        <v>305</v>
      </c>
    </row>
    <row r="67622" customFormat="false" ht="12.8" hidden="false" customHeight="false" outlineLevel="0" collapsed="false">
      <c r="B67622" s="0" t="s">
        <v>14</v>
      </c>
      <c r="C67622" s="0" t="s">
        <v>2641</v>
      </c>
      <c r="D67622" s="0" t="s">
        <v>307</v>
      </c>
      <c r="E67622" s="0" t="s">
        <v>307</v>
      </c>
      <c r="F67622" s="0" t="s">
        <v>307</v>
      </c>
    </row>
    <row r="67624" customFormat="false" ht="12.8" hidden="false" customHeight="false" outlineLevel="0" collapsed="false">
      <c r="A67624" s="0" t="s">
        <v>23008</v>
      </c>
      <c r="B67624" s="0" t="str">
        <f aca="false">HYPERLINK("https://lindat.mff.cuni.cz/services/teitok/pdtc10/index.php?action=vallex&amp;frame=v-w11674_ZUf1_ZU", "zavrtávat se (v-w11674_ZUf1_ZU)")</f>
        <v>zavrtávat se (v-w11674_ZUf1_ZU)</v>
      </c>
    </row>
    <row r="67625" customFormat="false" ht="12.8" hidden="false" customHeight="false" outlineLevel="0" collapsed="false">
      <c r="B67625" s="0" t="s">
        <v>7</v>
      </c>
    </row>
    <row r="67626" customFormat="false" ht="12.8" hidden="false" customHeight="false" outlineLevel="0" collapsed="false">
      <c r="B67626" s="0" t="s">
        <v>338</v>
      </c>
    </row>
    <row r="67628" customFormat="false" ht="12.8" hidden="false" customHeight="false" outlineLevel="0" collapsed="false">
      <c r="A67628" s="0" t="s">
        <v>23009</v>
      </c>
      <c r="B67628" s="0" t="str">
        <f aca="false">HYPERLINK("https://lindat.mff.cuni.cz/services/teitok/pdtc10/index.php?action=vallex&amp;frame=v-whsa_752hsa_753", "zavrtávat se (v-whsa_752hsa_753)")</f>
        <v>zavrtávat se (v-whsa_752hsa_753)</v>
      </c>
    </row>
    <row r="67629" customFormat="false" ht="12.8" hidden="false" customHeight="false" outlineLevel="0" collapsed="false">
      <c r="B67629" s="0" t="s">
        <v>7</v>
      </c>
    </row>
    <row r="67630" customFormat="false" ht="12.8" hidden="false" customHeight="false" outlineLevel="0" collapsed="false">
      <c r="B67630" s="0" t="s">
        <v>124</v>
      </c>
    </row>
    <row r="67632" customFormat="false" ht="12.8" hidden="false" customHeight="false" outlineLevel="0" collapsed="false">
      <c r="A67632" s="0" t="s">
        <v>23010</v>
      </c>
      <c r="B67632" s="0" t="str">
        <f aca="false">HYPERLINK("https://lindat.mff.cuni.cz/services/teitok/pdtc10/index.php?action=vallex&amp;frame=v-w9307f1", "zavrtět (v-w9307f1)")</f>
        <v>zavrtět (v-w9307f1)</v>
      </c>
    </row>
    <row r="67633" customFormat="false" ht="12.8" hidden="false" customHeight="false" outlineLevel="0" collapsed="false">
      <c r="B67633" s="0" t="s">
        <v>7</v>
      </c>
      <c r="C67633" s="0" t="s">
        <v>113</v>
      </c>
      <c r="D67633" s="0" t="s">
        <v>191</v>
      </c>
      <c r="E67633" s="0" t="s">
        <v>191</v>
      </c>
      <c r="F67633" s="0" t="s">
        <v>191</v>
      </c>
    </row>
    <row r="67634" customFormat="false" ht="12.8" hidden="false" customHeight="false" outlineLevel="0" collapsed="false">
      <c r="B67634" s="0" t="s">
        <v>216</v>
      </c>
      <c r="C67634" s="0" t="s">
        <v>384</v>
      </c>
      <c r="D67634" s="0" t="s">
        <v>155</v>
      </c>
      <c r="E67634" s="0" t="s">
        <v>155</v>
      </c>
      <c r="F67634" s="0" t="s">
        <v>155</v>
      </c>
    </row>
    <row r="67636" customFormat="false" ht="12.8" hidden="false" customHeight="false" outlineLevel="0" collapsed="false">
      <c r="A67636" s="0" t="s">
        <v>23011</v>
      </c>
      <c r="B67636" s="0" t="str">
        <f aca="false">HYPERLINK("https://lindat.mff.cuni.cz/services/teitok/pdtc10/index.php?action=vallex&amp;frame=v-whsa_1231hsa_1232", "zavrtět se (v-whsa_1231hsa_1232)")</f>
        <v>zavrtět se (v-whsa_1231hsa_1232)</v>
      </c>
    </row>
    <row r="67637" customFormat="false" ht="12.8" hidden="false" customHeight="false" outlineLevel="0" collapsed="false">
      <c r="B67637" s="0" t="s">
        <v>7</v>
      </c>
    </row>
    <row r="67639" customFormat="false" ht="12.8" hidden="false" customHeight="false" outlineLevel="0" collapsed="false">
      <c r="A67639" s="0" t="s">
        <v>23012</v>
      </c>
      <c r="B67639" s="0" t="str">
        <f aca="false">HYPERLINK("https://lindat.mff.cuni.cz/services/teitok/pdtc10/index.php?action=vallex&amp;frame=v-w10091f2", "zavrávorat (v-w10091f2)")</f>
        <v>zavrávorat (v-w10091f2)</v>
      </c>
    </row>
    <row r="67640" customFormat="false" ht="12.8" hidden="false" customHeight="false" outlineLevel="0" collapsed="false">
      <c r="B67640" s="0" t="s">
        <v>7</v>
      </c>
      <c r="C67640" s="0" t="s">
        <v>247</v>
      </c>
    </row>
    <row r="67642" customFormat="false" ht="12.8" hidden="false" customHeight="false" outlineLevel="0" collapsed="false">
      <c r="A67642" s="0" t="s">
        <v>23013</v>
      </c>
      <c r="B67642" s="0" t="str">
        <f aca="false">HYPERLINK("https://lindat.mff.cuni.cz/services/teitok/pdtc10/index.php?action=vallex&amp;frame=v-w9304f1", "završit (v-w9304f1)")</f>
        <v>završit (v-w9304f1)</v>
      </c>
    </row>
    <row r="67643" customFormat="false" ht="12.8" hidden="false" customHeight="false" outlineLevel="0" collapsed="false">
      <c r="B67643" s="0" t="s">
        <v>7</v>
      </c>
      <c r="C67643" s="0" t="s">
        <v>23014</v>
      </c>
      <c r="D67643" s="0" t="s">
        <v>1943</v>
      </c>
      <c r="E67643" s="0" t="s">
        <v>2657</v>
      </c>
      <c r="F67643" s="0" t="s">
        <v>2657</v>
      </c>
    </row>
    <row r="67644" customFormat="false" ht="12.8" hidden="false" customHeight="false" outlineLevel="0" collapsed="false">
      <c r="B67644" s="0" t="s">
        <v>14</v>
      </c>
      <c r="C67644" s="0" t="s">
        <v>6924</v>
      </c>
      <c r="D67644" s="0" t="s">
        <v>1946</v>
      </c>
      <c r="E67644" s="0" t="s">
        <v>2659</v>
      </c>
      <c r="F67644" s="0" t="s">
        <v>2659</v>
      </c>
    </row>
    <row r="67646" customFormat="false" ht="12.8" hidden="false" customHeight="false" outlineLevel="0" collapsed="false">
      <c r="A67646" s="0" t="s">
        <v>23015</v>
      </c>
      <c r="B67646" s="0" t="str">
        <f aca="false">HYPERLINK("https://lindat.mff.cuni.cz/services/teitok/pdtc10/index.php?action=vallex&amp;frame=v-w9305f1", "završit se (v-w9305f1)")</f>
        <v>završit se (v-w9305f1)</v>
      </c>
    </row>
    <row r="67647" customFormat="false" ht="12.8" hidden="false" customHeight="false" outlineLevel="0" collapsed="false">
      <c r="B67647" s="0" t="s">
        <v>7</v>
      </c>
    </row>
    <row r="67649" customFormat="false" ht="12.8" hidden="false" customHeight="false" outlineLevel="0" collapsed="false">
      <c r="A67649" s="0" t="s">
        <v>23016</v>
      </c>
      <c r="B67649" s="0" t="str">
        <f aca="false">HYPERLINK("https://lindat.mff.cuni.cz/services/teitok/pdtc10/index.php?action=vallex&amp;frame=v-w9306f1", "završovat (v-w9306f1)")</f>
        <v>završovat (v-w9306f1)</v>
      </c>
    </row>
    <row r="67650" customFormat="false" ht="12.8" hidden="false" customHeight="false" outlineLevel="0" collapsed="false">
      <c r="B67650" s="0" t="s">
        <v>7</v>
      </c>
      <c r="C67650" s="0" t="s">
        <v>15480</v>
      </c>
      <c r="D67650" s="0" t="s">
        <v>1943</v>
      </c>
      <c r="E67650" s="0" t="s">
        <v>1944</v>
      </c>
      <c r="F67650" s="0" t="s">
        <v>1944</v>
      </c>
    </row>
    <row r="67651" customFormat="false" ht="12.8" hidden="false" customHeight="false" outlineLevel="0" collapsed="false">
      <c r="B67651" s="0" t="s">
        <v>14</v>
      </c>
      <c r="C67651" s="0" t="s">
        <v>1544</v>
      </c>
      <c r="D67651" s="0" t="s">
        <v>1946</v>
      </c>
      <c r="E67651" s="0" t="s">
        <v>1947</v>
      </c>
      <c r="F67651" s="0" t="s">
        <v>1947</v>
      </c>
    </row>
    <row r="67653" customFormat="false" ht="12.8" hidden="false" customHeight="false" outlineLevel="0" collapsed="false">
      <c r="A67653" s="0" t="s">
        <v>23017</v>
      </c>
      <c r="B67653" s="0" t="str">
        <f aca="false">HYPERLINK("https://lindat.mff.cuni.cz/services/teitok/pdtc10/index.php?action=vallex&amp;frame=v-whsa_644hsa_645", "zavtipkovat (v-whsa_644hsa_645)")</f>
        <v>zavtipkovat (v-whsa_644hsa_645)</v>
      </c>
    </row>
    <row r="67654" customFormat="false" ht="12.8" hidden="false" customHeight="false" outlineLevel="0" collapsed="false">
      <c r="B67654" s="0" t="s">
        <v>7</v>
      </c>
      <c r="C67654" s="0" t="s">
        <v>88</v>
      </c>
      <c r="D67654" s="0" t="s">
        <v>118</v>
      </c>
      <c r="E67654" s="0" t="s">
        <v>118</v>
      </c>
      <c r="F67654" s="0" t="s">
        <v>118</v>
      </c>
    </row>
    <row r="67655" customFormat="false" ht="12.8" hidden="false" customHeight="false" outlineLevel="0" collapsed="false">
      <c r="B67655" s="0" t="s">
        <v>19150</v>
      </c>
      <c r="C67655" s="0" t="s">
        <v>1170</v>
      </c>
      <c r="D67655" s="0" t="s">
        <v>8610</v>
      </c>
      <c r="E67655" s="0" t="s">
        <v>8610</v>
      </c>
      <c r="F67655" s="0" t="s">
        <v>8610</v>
      </c>
    </row>
    <row r="67656" customFormat="false" ht="12.8" hidden="false" customHeight="false" outlineLevel="0" collapsed="false">
      <c r="B67656" s="0" t="s">
        <v>2767</v>
      </c>
    </row>
    <row r="67658" customFormat="false" ht="12.8" hidden="false" customHeight="false" outlineLevel="0" collapsed="false">
      <c r="A67658" s="0" t="s">
        <v>23018</v>
      </c>
      <c r="B67658" s="0" t="str">
        <f aca="false">HYPERLINK("https://lindat.mff.cuni.cz/services/teitok/pdtc10/index.php?action=vallex&amp;frame=v-w9311f1", "zavzpomínat (v-w9311f1)")</f>
        <v>zavzpomínat (v-w9311f1)</v>
      </c>
    </row>
    <row r="67659" customFormat="false" ht="12.8" hidden="false" customHeight="false" outlineLevel="0" collapsed="false">
      <c r="B67659" s="0" t="s">
        <v>7</v>
      </c>
    </row>
    <row r="67660" customFormat="false" ht="12.8" hidden="false" customHeight="false" outlineLevel="0" collapsed="false">
      <c r="B67660" s="0" t="s">
        <v>14970</v>
      </c>
    </row>
    <row r="67662" customFormat="false" ht="12.8" hidden="false" customHeight="false" outlineLevel="0" collapsed="false">
      <c r="A67662" s="0" t="s">
        <v>23019</v>
      </c>
      <c r="B67662" s="0" t="str">
        <f aca="false">HYPERLINK("https://lindat.mff.cuni.cz/services/teitok/pdtc10/index.php?action=vallex&amp;frame=v-w9312f1", "zavzpomínat si (v-w9312f1)")</f>
        <v>zavzpomínat si (v-w9312f1)</v>
      </c>
    </row>
    <row r="67663" customFormat="false" ht="12.8" hidden="false" customHeight="false" outlineLevel="0" collapsed="false">
      <c r="B67663" s="0" t="s">
        <v>7</v>
      </c>
    </row>
    <row r="67664" customFormat="false" ht="12.8" hidden="false" customHeight="false" outlineLevel="0" collapsed="false">
      <c r="B67664" s="0" t="s">
        <v>23020</v>
      </c>
    </row>
    <row r="67666" customFormat="false" ht="12.8" hidden="false" customHeight="false" outlineLevel="0" collapsed="false">
      <c r="A67666" s="0" t="s">
        <v>23021</v>
      </c>
      <c r="B67666" s="0" t="str">
        <f aca="false">HYPERLINK("https://lindat.mff.cuni.cz/services/teitok/pdtc10/index.php?action=vallex&amp;frame=v-w9251f2", "zavádět (v-w9251f2)")</f>
        <v>zavádět (v-w9251f2)</v>
      </c>
    </row>
    <row r="67667" customFormat="false" ht="12.8" hidden="false" customHeight="false" outlineLevel="0" collapsed="false">
      <c r="B67667" s="0" t="s">
        <v>7</v>
      </c>
      <c r="C67667" s="0" t="s">
        <v>184</v>
      </c>
      <c r="D67667" s="0" t="s">
        <v>2323</v>
      </c>
      <c r="E67667" s="0" t="s">
        <v>2323</v>
      </c>
      <c r="F67667" s="0" t="s">
        <v>2323</v>
      </c>
    </row>
    <row r="67668" customFormat="false" ht="12.8" hidden="false" customHeight="false" outlineLevel="0" collapsed="false">
      <c r="B67668" s="0" t="s">
        <v>14</v>
      </c>
      <c r="C67668" s="0" t="s">
        <v>33</v>
      </c>
      <c r="D67668" s="0" t="s">
        <v>1918</v>
      </c>
      <c r="E67668" s="0" t="s">
        <v>1918</v>
      </c>
      <c r="F67668" s="0" t="s">
        <v>1918</v>
      </c>
    </row>
    <row r="67669" customFormat="false" ht="12.8" hidden="false" customHeight="false" outlineLevel="0" collapsed="false">
      <c r="B67669" s="0" t="s">
        <v>124</v>
      </c>
      <c r="D67669" s="0" t="s">
        <v>2325</v>
      </c>
      <c r="E67669" s="0" t="s">
        <v>2325</v>
      </c>
      <c r="F67669" s="0" t="s">
        <v>2325</v>
      </c>
    </row>
    <row r="67671" customFormat="false" ht="12.8" hidden="false" customHeight="false" outlineLevel="0" collapsed="false">
      <c r="A67671" s="0" t="s">
        <v>23022</v>
      </c>
      <c r="B67671" s="0" t="str">
        <f aca="false">HYPERLINK("https://lindat.mff.cuni.cz/services/teitok/pdtc10/index.php?action=vallex&amp;frame=v-w9251f5", "zavádět (v-w9251f5)")</f>
        <v>zavádět (v-w9251f5)</v>
      </c>
    </row>
    <row r="67672" customFormat="false" ht="12.8" hidden="false" customHeight="false" outlineLevel="0" collapsed="false">
      <c r="B67672" s="0" t="s">
        <v>7</v>
      </c>
    </row>
    <row r="67673" customFormat="false" ht="12.8" hidden="false" customHeight="false" outlineLevel="0" collapsed="false">
      <c r="B67673" s="0" t="s">
        <v>14</v>
      </c>
    </row>
    <row r="67674" customFormat="false" ht="12.8" hidden="false" customHeight="false" outlineLevel="0" collapsed="false">
      <c r="B67674" s="0" t="s">
        <v>124</v>
      </c>
    </row>
    <row r="67676" customFormat="false" ht="12.8" hidden="false" customHeight="false" outlineLevel="0" collapsed="false">
      <c r="A67676" s="0" t="s">
        <v>23023</v>
      </c>
      <c r="B67676" s="0" t="str">
        <f aca="false">HYPERLINK("https://lindat.mff.cuni.cz/services/teitok/pdtc10/index.php?action=vallex&amp;frame=v-w9251f1", "zavádět (v-w9251f1)")</f>
        <v>zavádět (v-w9251f1)</v>
      </c>
    </row>
    <row r="67677" customFormat="false" ht="12.8" hidden="false" customHeight="false" outlineLevel="0" collapsed="false">
      <c r="B67677" s="0" t="s">
        <v>7</v>
      </c>
      <c r="C67677" s="0" t="s">
        <v>23024</v>
      </c>
      <c r="D67677" s="0" t="s">
        <v>2156</v>
      </c>
      <c r="E67677" s="0" t="s">
        <v>2156</v>
      </c>
      <c r="F67677" s="0" t="s">
        <v>2156</v>
      </c>
    </row>
    <row r="67678" customFormat="false" ht="12.8" hidden="false" customHeight="false" outlineLevel="0" collapsed="false">
      <c r="B67678" s="0" t="s">
        <v>14</v>
      </c>
      <c r="C67678" s="0" t="s">
        <v>16887</v>
      </c>
      <c r="D67678" s="0" t="s">
        <v>14499</v>
      </c>
      <c r="E67678" s="0" t="s">
        <v>14499</v>
      </c>
      <c r="F67678" s="0" t="s">
        <v>14499</v>
      </c>
    </row>
    <row r="67680" customFormat="false" ht="12.8" hidden="false" customHeight="false" outlineLevel="0" collapsed="false">
      <c r="A67680" s="0" t="s">
        <v>23025</v>
      </c>
      <c r="B67680" s="0" t="str">
        <f aca="false">HYPERLINK("https://lindat.mff.cuni.cz/services/teitok/pdtc10/index.php?action=vallex&amp;frame=v-w9251f3", "zavádět (v-w9251f3)")</f>
        <v>zavádět (v-w9251f3)</v>
      </c>
    </row>
    <row r="67681" customFormat="false" ht="12.8" hidden="false" customHeight="false" outlineLevel="0" collapsed="false">
      <c r="B67681" s="0" t="s">
        <v>7</v>
      </c>
      <c r="C67681" s="0" t="s">
        <v>23026</v>
      </c>
      <c r="D67681" s="0" t="s">
        <v>2156</v>
      </c>
      <c r="E67681" s="0" t="s">
        <v>2156</v>
      </c>
      <c r="F67681" s="0" t="s">
        <v>2156</v>
      </c>
    </row>
    <row r="67682" customFormat="false" ht="12.8" hidden="false" customHeight="false" outlineLevel="0" collapsed="false">
      <c r="B67682" s="0" t="s">
        <v>14</v>
      </c>
      <c r="C67682" s="0" t="s">
        <v>4729</v>
      </c>
      <c r="D67682" s="0" t="s">
        <v>14499</v>
      </c>
      <c r="E67682" s="0" t="s">
        <v>14499</v>
      </c>
      <c r="F67682" s="0" t="s">
        <v>14499</v>
      </c>
    </row>
    <row r="67684" customFormat="false" ht="12.8" hidden="false" customHeight="false" outlineLevel="0" collapsed="false">
      <c r="A67684" s="0" t="s">
        <v>23027</v>
      </c>
      <c r="B67684" s="0" t="str">
        <f aca="false">HYPERLINK("https://lindat.mff.cuni.cz/services/teitok/pdtc10/index.php?action=vallex&amp;frame=v-w9251f4", "zavádět (v-w9251f4)")</f>
        <v>zavádět (v-w9251f4)</v>
      </c>
    </row>
    <row r="67685" customFormat="false" ht="12.8" hidden="false" customHeight="false" outlineLevel="0" collapsed="false">
      <c r="B67685" s="0" t="s">
        <v>7</v>
      </c>
    </row>
    <row r="67686" customFormat="false" ht="12.8" hidden="false" customHeight="false" outlineLevel="0" collapsed="false">
      <c r="B67686" s="0" t="s">
        <v>23028</v>
      </c>
    </row>
    <row r="67687" customFormat="false" ht="12.8" hidden="false" customHeight="false" outlineLevel="0" collapsed="false">
      <c r="B67687" s="0" t="s">
        <v>41</v>
      </c>
    </row>
    <row r="67689" customFormat="false" ht="12.8" hidden="false" customHeight="false" outlineLevel="0" collapsed="false">
      <c r="A67689" s="0" t="s">
        <v>23029</v>
      </c>
      <c r="B67689" s="0" t="str">
        <f aca="false">HYPERLINK("https://lindat.mff.cuni.cz/services/teitok/pdtc10/index.php?action=vallex&amp;frame=v-w9254f1", "zaváhat (v-w9254f1)")</f>
        <v>zaváhat (v-w9254f1)</v>
      </c>
    </row>
    <row r="67690" customFormat="false" ht="12.8" hidden="false" customHeight="false" outlineLevel="0" collapsed="false">
      <c r="B67690" s="0" t="s">
        <v>7</v>
      </c>
      <c r="C67690" s="0" t="s">
        <v>5375</v>
      </c>
      <c r="F67690" s="0" t="s">
        <v>21511</v>
      </c>
    </row>
    <row r="67691" customFormat="false" ht="12.8" hidden="false" customHeight="false" outlineLevel="0" collapsed="false">
      <c r="B67691" s="0" t="s">
        <v>22138</v>
      </c>
      <c r="F67691" s="0" t="s">
        <v>2641</v>
      </c>
    </row>
    <row r="67693" customFormat="false" ht="12.8" hidden="false" customHeight="false" outlineLevel="0" collapsed="false">
      <c r="A67693" s="0" t="s">
        <v>23030</v>
      </c>
      <c r="B67693" s="0" t="str">
        <f aca="false">HYPERLINK("https://lindat.mff.cuni.cz/services/teitok/pdtc10/index.php?action=vallex&amp;frame=v-w9257f1", "zavánět (v-w9257f1)")</f>
        <v>zavánět (v-w9257f1)</v>
      </c>
    </row>
    <row r="67694" customFormat="false" ht="12.8" hidden="false" customHeight="false" outlineLevel="0" collapsed="false">
      <c r="B67694" s="0" t="s">
        <v>7</v>
      </c>
      <c r="C67694" s="0" t="s">
        <v>46</v>
      </c>
      <c r="D67694" s="0" t="s">
        <v>191</v>
      </c>
      <c r="E67694" s="0" t="s">
        <v>191</v>
      </c>
      <c r="F67694" s="0" t="s">
        <v>191</v>
      </c>
    </row>
    <row r="67695" customFormat="false" ht="12.8" hidden="false" customHeight="false" outlineLevel="0" collapsed="false">
      <c r="B67695" s="0" t="s">
        <v>216</v>
      </c>
      <c r="C67695" s="0" t="s">
        <v>567</v>
      </c>
      <c r="D67695" s="0" t="s">
        <v>47</v>
      </c>
      <c r="E67695" s="0" t="s">
        <v>47</v>
      </c>
      <c r="F67695" s="0" t="s">
        <v>47</v>
      </c>
    </row>
    <row r="67697" customFormat="false" ht="12.8" hidden="false" customHeight="false" outlineLevel="0" collapsed="false">
      <c r="A67697" s="0" t="s">
        <v>23031</v>
      </c>
      <c r="B67697" s="0" t="str">
        <f aca="false">HYPERLINK("https://lindat.mff.cuni.cz/services/teitok/pdtc10/index.php?action=vallex&amp;frame=v-w9257f2", "zavánět (v-w9257f2)")</f>
        <v>zavánět (v-w9257f2)</v>
      </c>
    </row>
    <row r="67698" customFormat="false" ht="12.8" hidden="false" customHeight="false" outlineLevel="0" collapsed="false">
      <c r="B67698" s="0" t="s">
        <v>7</v>
      </c>
    </row>
    <row r="67699" customFormat="false" ht="12.8" hidden="false" customHeight="false" outlineLevel="0" collapsed="false">
      <c r="B67699" s="0" t="s">
        <v>12511</v>
      </c>
    </row>
    <row r="67701" customFormat="false" ht="12.8" hidden="false" customHeight="false" outlineLevel="0" collapsed="false">
      <c r="A67701" s="0" t="s">
        <v>23032</v>
      </c>
      <c r="B67701" s="0" t="str">
        <f aca="false">HYPERLINK("https://lindat.mff.cuni.cz/services/teitok/pdtc10/index.php?action=vallex&amp;frame=v-whsa_1655hsa_1656", "zavát (v-whsa_1655hsa_1656)")</f>
        <v>zavát (v-whsa_1655hsa_1656)</v>
      </c>
    </row>
    <row r="67702" customFormat="false" ht="12.8" hidden="false" customHeight="false" outlineLevel="0" collapsed="false">
      <c r="B67702" s="0" t="s">
        <v>7</v>
      </c>
    </row>
    <row r="67704" customFormat="false" ht="12.8" hidden="false" customHeight="false" outlineLevel="0" collapsed="false">
      <c r="A67704" s="0" t="s">
        <v>23033</v>
      </c>
      <c r="B67704" s="0" t="str">
        <f aca="false">HYPERLINK("https://lindat.mff.cuni.cz/services/teitok/pdtc10/index.php?action=vallex&amp;frame=v-w12363_MMf1_MM", "zavávat (v-w12363_MMf1_MM)")</f>
        <v>zavávat (v-w12363_MMf1_MM)</v>
      </c>
    </row>
    <row r="67705" customFormat="false" ht="12.8" hidden="false" customHeight="false" outlineLevel="0" collapsed="false">
      <c r="B67705" s="0" t="s">
        <v>7</v>
      </c>
    </row>
    <row r="67706" customFormat="false" ht="12.8" hidden="false" customHeight="false" outlineLevel="0" collapsed="false">
      <c r="B67706" s="0" t="s">
        <v>14</v>
      </c>
    </row>
    <row r="67708" customFormat="false" ht="12.8" hidden="false" customHeight="false" outlineLevel="0" collapsed="false">
      <c r="A67708" s="0" t="s">
        <v>23034</v>
      </c>
      <c r="B67708" s="0" t="str">
        <f aca="false">HYPERLINK("https://lindat.mff.cuni.cz/services/teitok/pdtc10/index.php?action=vallex&amp;frame=v-w9258f1", "zavázat (v-w9258f1)")</f>
        <v>zavázat (v-w9258f1)</v>
      </c>
    </row>
    <row r="67709" customFormat="false" ht="12.8" hidden="false" customHeight="false" outlineLevel="0" collapsed="false">
      <c r="B67709" s="0" t="s">
        <v>7</v>
      </c>
      <c r="C67709" s="0" t="s">
        <v>184</v>
      </c>
      <c r="D67709" s="0" t="s">
        <v>316</v>
      </c>
      <c r="E67709" s="0" t="s">
        <v>316</v>
      </c>
      <c r="F67709" s="0" t="s">
        <v>316</v>
      </c>
    </row>
    <row r="67710" customFormat="false" ht="12.8" hidden="false" customHeight="false" outlineLevel="0" collapsed="false">
      <c r="B67710" s="0" t="s">
        <v>81</v>
      </c>
      <c r="C67710" s="0" t="s">
        <v>23035</v>
      </c>
      <c r="D67710" s="0" t="s">
        <v>1601</v>
      </c>
      <c r="E67710" s="0" t="s">
        <v>1601</v>
      </c>
      <c r="F67710" s="0" t="s">
        <v>1601</v>
      </c>
    </row>
    <row r="67711" customFormat="false" ht="12.8" hidden="false" customHeight="false" outlineLevel="0" collapsed="false">
      <c r="B67711" s="0" t="s">
        <v>21532</v>
      </c>
      <c r="C67711" s="0" t="s">
        <v>23036</v>
      </c>
      <c r="D67711" s="0" t="s">
        <v>1600</v>
      </c>
      <c r="E67711" s="0" t="s">
        <v>1600</v>
      </c>
      <c r="F67711" s="0" t="s">
        <v>1600</v>
      </c>
    </row>
    <row r="67713" customFormat="false" ht="12.8" hidden="false" customHeight="false" outlineLevel="0" collapsed="false">
      <c r="A67713" s="0" t="s">
        <v>23037</v>
      </c>
      <c r="B67713" s="0" t="str">
        <f aca="false">HYPERLINK("https://lindat.mff.cuni.cz/services/teitok/pdtc10/index.php?action=vallex&amp;frame=v-w9259f1", "zavázat se (v-w9259f1)")</f>
        <v>zavázat se (v-w9259f1)</v>
      </c>
    </row>
    <row r="67714" customFormat="false" ht="12.8" hidden="false" customHeight="false" outlineLevel="0" collapsed="false">
      <c r="B67714" s="0" t="s">
        <v>7</v>
      </c>
      <c r="C67714" s="0" t="s">
        <v>23038</v>
      </c>
      <c r="D67714" s="0" t="s">
        <v>14142</v>
      </c>
      <c r="E67714" s="0" t="s">
        <v>14142</v>
      </c>
      <c r="F67714" s="0" t="s">
        <v>14142</v>
      </c>
    </row>
    <row r="67715" customFormat="false" ht="12.8" hidden="false" customHeight="false" outlineLevel="0" collapsed="false">
      <c r="B67715" s="0" t="s">
        <v>17939</v>
      </c>
      <c r="C67715" s="0" t="s">
        <v>23039</v>
      </c>
      <c r="D67715" s="0" t="s">
        <v>14145</v>
      </c>
      <c r="E67715" s="0" t="s">
        <v>14145</v>
      </c>
      <c r="F67715" s="0" t="s">
        <v>14145</v>
      </c>
    </row>
    <row r="67716" customFormat="false" ht="12.8" hidden="false" customHeight="false" outlineLevel="0" collapsed="false">
      <c r="B67716" s="0" t="s">
        <v>106</v>
      </c>
      <c r="C67716" s="0" t="s">
        <v>23040</v>
      </c>
      <c r="D67716" s="0" t="s">
        <v>14146</v>
      </c>
      <c r="E67716" s="0" t="s">
        <v>14146</v>
      </c>
      <c r="F67716" s="0" t="s">
        <v>14146</v>
      </c>
    </row>
    <row r="67718" customFormat="false" ht="12.8" hidden="false" customHeight="false" outlineLevel="0" collapsed="false">
      <c r="A67718" s="0" t="s">
        <v>23041</v>
      </c>
      <c r="B67718" s="0" t="str">
        <f aca="false">HYPERLINK("https://lindat.mff.cuni.cz/services/teitok/pdtc10/index.php?action=vallex&amp;frame=v-w12365_MMf1_MM", "zavářet (v-w12365_MMf1_MM)")</f>
        <v>zavářet (v-w12365_MMf1_MM)</v>
      </c>
    </row>
    <row r="67719" customFormat="false" ht="12.8" hidden="false" customHeight="false" outlineLevel="0" collapsed="false">
      <c r="B67719" s="0" t="s">
        <v>7</v>
      </c>
    </row>
    <row r="67720" customFormat="false" ht="12.8" hidden="false" customHeight="false" outlineLevel="0" collapsed="false">
      <c r="B67720" s="0" t="s">
        <v>14</v>
      </c>
    </row>
    <row r="67722" customFormat="false" ht="12.8" hidden="false" customHeight="false" outlineLevel="0" collapsed="false">
      <c r="A67722" s="0" t="s">
        <v>23042</v>
      </c>
      <c r="B67722" s="0" t="str">
        <f aca="false">HYPERLINK("https://lindat.mff.cuni.cz/services/teitok/pdtc10/index.php?action=vallex&amp;frame=v-w9264f1", "zavážet (v-w9264f1)")</f>
        <v>zavážet (v-w9264f1)</v>
      </c>
    </row>
    <row r="67723" customFormat="false" ht="12.8" hidden="false" customHeight="false" outlineLevel="0" collapsed="false">
      <c r="B67723" s="0" t="s">
        <v>7</v>
      </c>
    </row>
    <row r="67724" customFormat="false" ht="12.8" hidden="false" customHeight="false" outlineLevel="0" collapsed="false">
      <c r="B67724" s="0" t="s">
        <v>14</v>
      </c>
    </row>
    <row r="67725" customFormat="false" ht="12.8" hidden="false" customHeight="false" outlineLevel="0" collapsed="false">
      <c r="B67725" s="0" t="s">
        <v>124</v>
      </c>
    </row>
    <row r="67727" customFormat="false" ht="12.8" hidden="false" customHeight="false" outlineLevel="0" collapsed="false">
      <c r="A67727" s="0" t="s">
        <v>23043</v>
      </c>
      <c r="B67727" s="0" t="str">
        <f aca="false">HYPERLINK("https://lindat.mff.cuni.cz/services/teitok/pdtc10/index.php?action=vallex&amp;frame=v-w9264hsa_253", "zavážet (v-w9264hsa_253)")</f>
        <v>zavážet (v-w9264hsa_253)</v>
      </c>
    </row>
    <row r="67728" customFormat="false" ht="12.8" hidden="false" customHeight="false" outlineLevel="0" collapsed="false">
      <c r="B67728" s="0" t="s">
        <v>7</v>
      </c>
    </row>
    <row r="67729" customFormat="false" ht="12.8" hidden="false" customHeight="false" outlineLevel="0" collapsed="false">
      <c r="B67729" s="0" t="s">
        <v>14</v>
      </c>
    </row>
    <row r="67731" customFormat="false" ht="12.8" hidden="false" customHeight="false" outlineLevel="0" collapsed="false">
      <c r="A67731" s="0" t="s">
        <v>23044</v>
      </c>
      <c r="B67731" s="0" t="str">
        <f aca="false">HYPERLINK("https://lindat.mff.cuni.cz/services/teitok/pdtc10/index.php?action=vallex&amp;frame=v-w9273f3", "zavést (v-w9273f3)")</f>
        <v>zavést (v-w9273f3)</v>
      </c>
    </row>
    <row r="67732" customFormat="false" ht="12.8" hidden="false" customHeight="false" outlineLevel="0" collapsed="false">
      <c r="B67732" s="0" t="s">
        <v>7</v>
      </c>
      <c r="C67732" s="0" t="s">
        <v>23045</v>
      </c>
      <c r="D67732" s="0" t="s">
        <v>2675</v>
      </c>
      <c r="E67732" s="0" t="s">
        <v>2675</v>
      </c>
      <c r="F67732" s="0" t="s">
        <v>2675</v>
      </c>
    </row>
    <row r="67733" customFormat="false" ht="12.8" hidden="false" customHeight="false" outlineLevel="0" collapsed="false">
      <c r="B67733" s="0" t="s">
        <v>14</v>
      </c>
      <c r="C67733" s="0" t="s">
        <v>1164</v>
      </c>
      <c r="D67733" s="0" t="s">
        <v>2677</v>
      </c>
      <c r="E67733" s="0" t="s">
        <v>2677</v>
      </c>
      <c r="F67733" s="0" t="s">
        <v>2677</v>
      </c>
    </row>
    <row r="67734" customFormat="false" ht="12.8" hidden="false" customHeight="false" outlineLevel="0" collapsed="false">
      <c r="B67734" s="0" t="s">
        <v>124</v>
      </c>
      <c r="D67734" s="0" t="s">
        <v>1761</v>
      </c>
      <c r="E67734" s="0" t="s">
        <v>1761</v>
      </c>
      <c r="F67734" s="0" t="s">
        <v>1761</v>
      </c>
    </row>
    <row r="67736" customFormat="false" ht="12.8" hidden="false" customHeight="false" outlineLevel="0" collapsed="false">
      <c r="A67736" s="0" t="s">
        <v>23046</v>
      </c>
      <c r="B67736" s="0" t="str">
        <f aca="false">HYPERLINK("https://lindat.mff.cuni.cz/services/teitok/pdtc10/index.php?action=vallex&amp;frame=v-w9273f4", "zavést (v-w9273f4)")</f>
        <v>zavést (v-w9273f4)</v>
      </c>
    </row>
    <row r="67737" customFormat="false" ht="12.8" hidden="false" customHeight="false" outlineLevel="0" collapsed="false">
      <c r="B67737" s="0" t="s">
        <v>7</v>
      </c>
      <c r="C67737" s="0" t="s">
        <v>8313</v>
      </c>
    </row>
    <row r="67738" customFormat="false" ht="12.8" hidden="false" customHeight="false" outlineLevel="0" collapsed="false">
      <c r="B67738" s="0" t="s">
        <v>14</v>
      </c>
      <c r="C67738" s="0" t="s">
        <v>14429</v>
      </c>
    </row>
    <row r="67739" customFormat="false" ht="12.8" hidden="false" customHeight="false" outlineLevel="0" collapsed="false">
      <c r="B67739" s="0" t="s">
        <v>124</v>
      </c>
    </row>
    <row r="67741" customFormat="false" ht="12.8" hidden="false" customHeight="false" outlineLevel="0" collapsed="false">
      <c r="A67741" s="0" t="s">
        <v>23047</v>
      </c>
      <c r="B67741" s="0" t="str">
        <f aca="false">HYPERLINK("https://lindat.mff.cuni.cz/services/teitok/pdtc10/index.php?action=vallex&amp;frame=v-w9273f1", "zavést (v-w9273f1)")</f>
        <v>zavést (v-w9273f1)</v>
      </c>
    </row>
    <row r="67742" customFormat="false" ht="12.8" hidden="false" customHeight="false" outlineLevel="0" collapsed="false">
      <c r="B67742" s="0" t="s">
        <v>7</v>
      </c>
      <c r="C67742" s="0" t="s">
        <v>23048</v>
      </c>
      <c r="D67742" s="0" t="s">
        <v>2156</v>
      </c>
      <c r="E67742" s="0" t="s">
        <v>2156</v>
      </c>
      <c r="F67742" s="0" t="s">
        <v>2156</v>
      </c>
    </row>
    <row r="67743" customFormat="false" ht="12.8" hidden="false" customHeight="false" outlineLevel="0" collapsed="false">
      <c r="B67743" s="0" t="s">
        <v>14</v>
      </c>
      <c r="C67743" s="0" t="s">
        <v>23049</v>
      </c>
      <c r="D67743" s="0" t="s">
        <v>14499</v>
      </c>
      <c r="E67743" s="0" t="s">
        <v>14499</v>
      </c>
      <c r="F67743" s="0" t="s">
        <v>14499</v>
      </c>
    </row>
    <row r="67745" customFormat="false" ht="12.8" hidden="false" customHeight="false" outlineLevel="0" collapsed="false">
      <c r="A67745" s="0" t="s">
        <v>23050</v>
      </c>
      <c r="B67745" s="0" t="str">
        <f aca="false">HYPERLINK("https://lindat.mff.cuni.cz/services/teitok/pdtc10/index.php?action=vallex&amp;frame=v-w9273f2", "zavést (v-w9273f2)")</f>
        <v>zavést (v-w9273f2)</v>
      </c>
    </row>
    <row r="67746" customFormat="false" ht="12.8" hidden="false" customHeight="false" outlineLevel="0" collapsed="false">
      <c r="B67746" s="0" t="s">
        <v>7</v>
      </c>
      <c r="C67746" s="0" t="s">
        <v>23051</v>
      </c>
      <c r="D67746" s="0" t="s">
        <v>2156</v>
      </c>
      <c r="E67746" s="0" t="s">
        <v>2156</v>
      </c>
      <c r="F67746" s="0" t="s">
        <v>2156</v>
      </c>
    </row>
    <row r="67747" customFormat="false" ht="12.8" hidden="false" customHeight="false" outlineLevel="0" collapsed="false">
      <c r="B67747" s="0" t="s">
        <v>14</v>
      </c>
      <c r="C67747" s="0" t="s">
        <v>23052</v>
      </c>
      <c r="D67747" s="0" t="s">
        <v>14499</v>
      </c>
      <c r="E67747" s="0" t="s">
        <v>14499</v>
      </c>
      <c r="F67747" s="0" t="s">
        <v>14499</v>
      </c>
    </row>
    <row r="67749" customFormat="false" ht="12.8" hidden="false" customHeight="false" outlineLevel="0" collapsed="false">
      <c r="A67749" s="0" t="s">
        <v>23053</v>
      </c>
      <c r="B67749" s="0" t="str">
        <f aca="false">HYPERLINK("https://lindat.mff.cuni.cz/services/teitok/pdtc10/index.php?action=vallex&amp;frame=v-w9273f5", "zavést (v-w9273f5)")</f>
        <v>zavést (v-w9273f5)</v>
      </c>
    </row>
    <row r="67750" customFormat="false" ht="12.8" hidden="false" customHeight="false" outlineLevel="0" collapsed="false">
      <c r="B67750" s="0" t="s">
        <v>7</v>
      </c>
    </row>
    <row r="67751" customFormat="false" ht="12.8" hidden="false" customHeight="false" outlineLevel="0" collapsed="false">
      <c r="B67751" s="0" t="s">
        <v>23028</v>
      </c>
    </row>
    <row r="67752" customFormat="false" ht="12.8" hidden="false" customHeight="false" outlineLevel="0" collapsed="false">
      <c r="B67752" s="0" t="s">
        <v>41</v>
      </c>
    </row>
    <row r="67754" customFormat="false" ht="12.8" hidden="false" customHeight="false" outlineLevel="0" collapsed="false">
      <c r="A67754" s="0" t="s">
        <v>23054</v>
      </c>
      <c r="B67754" s="0" t="str">
        <f aca="false">HYPERLINK("https://lindat.mff.cuni.cz/services/teitok/pdtc10/index.php?action=vallex&amp;frame=v-w9273f6_ZU", "zavést (v-w9273f6_ZU)")</f>
        <v>zavést (v-w9273f6_ZU)</v>
      </c>
    </row>
    <row r="67755" customFormat="false" ht="12.8" hidden="false" customHeight="false" outlineLevel="0" collapsed="false">
      <c r="B67755" s="0" t="s">
        <v>7</v>
      </c>
      <c r="C67755" s="0" t="s">
        <v>3243</v>
      </c>
      <c r="D67755" s="0" t="s">
        <v>2323</v>
      </c>
      <c r="E67755" s="0" t="s">
        <v>2323</v>
      </c>
      <c r="F67755" s="0" t="s">
        <v>2323</v>
      </c>
    </row>
    <row r="67756" customFormat="false" ht="12.8" hidden="false" customHeight="false" outlineLevel="0" collapsed="false">
      <c r="B67756" s="0" t="s">
        <v>14</v>
      </c>
      <c r="C67756" s="0" t="s">
        <v>3244</v>
      </c>
      <c r="D67756" s="0" t="s">
        <v>1918</v>
      </c>
      <c r="E67756" s="0" t="s">
        <v>1918</v>
      </c>
      <c r="F67756" s="0" t="s">
        <v>1918</v>
      </c>
    </row>
    <row r="67757" customFormat="false" ht="12.8" hidden="false" customHeight="false" outlineLevel="0" collapsed="false">
      <c r="B67757" s="0" t="s">
        <v>279</v>
      </c>
      <c r="D67757" s="0" t="s">
        <v>2325</v>
      </c>
      <c r="E67757" s="0" t="s">
        <v>2325</v>
      </c>
      <c r="F67757" s="0" t="s">
        <v>2325</v>
      </c>
    </row>
    <row r="67759" customFormat="false" ht="12.8" hidden="false" customHeight="false" outlineLevel="0" collapsed="false">
      <c r="A67759" s="0" t="s">
        <v>23054</v>
      </c>
      <c r="B67759" s="0" t="str">
        <f aca="false">HYPERLINK("https://lindat.mff.cuni.cz/services/teitok/pdtc10/index.php?action=vallex&amp;frame=v-w9273hsa_745", "zavést (v-w9273hsa_745) - substituted with v-w9273f6_ZU")</f>
        <v>zavést (v-w9273hsa_745) - substituted with v-w9273f6_ZU</v>
      </c>
    </row>
    <row r="67760" customFormat="false" ht="12.8" hidden="false" customHeight="false" outlineLevel="0" collapsed="false">
      <c r="B67760" s="0" t="s">
        <v>7</v>
      </c>
    </row>
    <row r="67761" customFormat="false" ht="12.8" hidden="false" customHeight="false" outlineLevel="0" collapsed="false">
      <c r="B67761" s="0" t="s">
        <v>14</v>
      </c>
    </row>
    <row r="67762" customFormat="false" ht="12.8" hidden="false" customHeight="false" outlineLevel="0" collapsed="false">
      <c r="B67762" s="0" t="s">
        <v>279</v>
      </c>
    </row>
    <row r="67764" customFormat="false" ht="12.8" hidden="false" customHeight="false" outlineLevel="0" collapsed="false">
      <c r="A67764" s="0" t="s">
        <v>23055</v>
      </c>
      <c r="B67764" s="0" t="str">
        <f aca="false">HYPERLINK("https://lindat.mff.cuni.cz/services/teitok/pdtc10/index.php?action=vallex&amp;frame=v-w9273f7_ZU", "zavést (v-w9273f7_ZU)")</f>
        <v>zavést (v-w9273f7_ZU)</v>
      </c>
    </row>
    <row r="67765" customFormat="false" ht="12.8" hidden="false" customHeight="false" outlineLevel="0" collapsed="false">
      <c r="B67765" s="0" t="s">
        <v>7</v>
      </c>
    </row>
    <row r="67766" customFormat="false" ht="12.8" hidden="false" customHeight="false" outlineLevel="0" collapsed="false">
      <c r="B67766" s="0" t="s">
        <v>14</v>
      </c>
    </row>
    <row r="67767" customFormat="false" ht="12.8" hidden="false" customHeight="false" outlineLevel="0" collapsed="false">
      <c r="B67767" s="0" t="s">
        <v>338</v>
      </c>
    </row>
    <row r="67769" customFormat="false" ht="12.8" hidden="false" customHeight="false" outlineLevel="0" collapsed="false">
      <c r="A67769" s="0" t="s">
        <v>23056</v>
      </c>
      <c r="B67769" s="0" t="str">
        <f aca="false">HYPERLINK("https://lindat.mff.cuni.cz/services/teitok/pdtc10/index.php?action=vallex&amp;frame=v-whsa_880f1_ZU", "zavést se (v-whsa_880f1_ZU)")</f>
        <v>zavést se (v-whsa_880f1_ZU)</v>
      </c>
    </row>
    <row r="67770" customFormat="false" ht="12.8" hidden="false" customHeight="false" outlineLevel="0" collapsed="false">
      <c r="B67770" s="0" t="s">
        <v>7</v>
      </c>
      <c r="C67770" s="0" t="s">
        <v>3610</v>
      </c>
      <c r="F67770" s="0" t="s">
        <v>396</v>
      </c>
    </row>
    <row r="67772" customFormat="false" ht="12.8" hidden="false" customHeight="false" outlineLevel="0" collapsed="false">
      <c r="A67772" s="0" t="s">
        <v>23056</v>
      </c>
      <c r="B67772" s="0" t="str">
        <f aca="false">HYPERLINK("https://lindat.mff.cuni.cz/services/teitok/pdtc10/index.php?action=vallex&amp;frame=v-whsa_880hsa_881", "zavést se (v-whsa_880hsa_881) - substituted with v-whsa_880f1_ZU")</f>
        <v>zavést se (v-whsa_880hsa_881) - substituted with v-whsa_880f1_ZU</v>
      </c>
    </row>
    <row r="67773" customFormat="false" ht="12.8" hidden="false" customHeight="false" outlineLevel="0" collapsed="false">
      <c r="B67773" s="0" t="s">
        <v>7</v>
      </c>
    </row>
    <row r="67775" customFormat="false" ht="12.8" hidden="false" customHeight="false" outlineLevel="0" collapsed="false">
      <c r="A67775" s="0" t="s">
        <v>23057</v>
      </c>
      <c r="B67775" s="0" t="str">
        <f aca="false">HYPERLINK("https://lindat.mff.cuni.cz/services/teitok/pdtc10/index.php?action=vallex&amp;frame=v-w9275f1", "zavézt (v-w9275f1)")</f>
        <v>zavézt (v-w9275f1)</v>
      </c>
    </row>
    <row r="67776" customFormat="false" ht="12.8" hidden="false" customHeight="false" outlineLevel="0" collapsed="false">
      <c r="B67776" s="0" t="s">
        <v>7</v>
      </c>
      <c r="D67776" s="0" t="s">
        <v>2675</v>
      </c>
      <c r="E67776" s="0" t="s">
        <v>2675</v>
      </c>
      <c r="F67776" s="0" t="s">
        <v>2675</v>
      </c>
    </row>
    <row r="67777" customFormat="false" ht="12.8" hidden="false" customHeight="false" outlineLevel="0" collapsed="false">
      <c r="B67777" s="0" t="s">
        <v>14</v>
      </c>
      <c r="D67777" s="0" t="s">
        <v>2677</v>
      </c>
      <c r="E67777" s="0" t="s">
        <v>2677</v>
      </c>
      <c r="F67777" s="0" t="s">
        <v>2677</v>
      </c>
    </row>
    <row r="67778" customFormat="false" ht="12.8" hidden="false" customHeight="false" outlineLevel="0" collapsed="false">
      <c r="B67778" s="0" t="s">
        <v>124</v>
      </c>
      <c r="D67778" s="0" t="s">
        <v>1761</v>
      </c>
      <c r="E67778" s="0" t="s">
        <v>1761</v>
      </c>
      <c r="F67778" s="0" t="s">
        <v>1761</v>
      </c>
    </row>
    <row r="67780" customFormat="false" ht="12.8" hidden="false" customHeight="false" outlineLevel="0" collapsed="false">
      <c r="A67780" s="0" t="s">
        <v>23058</v>
      </c>
      <c r="B67780" s="0" t="str">
        <f aca="false">HYPERLINK("https://lindat.mff.cuni.cz/services/teitok/pdtc10/index.php?action=vallex&amp;frame=v-w9275hsa_998", "zavézt (v-w9275hsa_998)")</f>
        <v>zavézt (v-w9275hsa_998)</v>
      </c>
    </row>
    <row r="67781" customFormat="false" ht="12.8" hidden="false" customHeight="false" outlineLevel="0" collapsed="false">
      <c r="B67781" s="0" t="s">
        <v>7</v>
      </c>
    </row>
    <row r="67782" customFormat="false" ht="12.8" hidden="false" customHeight="false" outlineLevel="0" collapsed="false">
      <c r="B67782" s="0" t="s">
        <v>14</v>
      </c>
    </row>
    <row r="67784" customFormat="false" ht="12.8" hidden="false" customHeight="false" outlineLevel="0" collapsed="false">
      <c r="A67784" s="0" t="s">
        <v>23059</v>
      </c>
      <c r="B67784" s="0" t="str">
        <f aca="false">HYPERLINK("https://lindat.mff.cuni.cz/services/teitok/pdtc10/index.php?action=vallex&amp;frame=v-w9282f1", "zavírat (v-w9282f1)")</f>
        <v>zavírat (v-w9282f1)</v>
      </c>
    </row>
    <row r="67785" customFormat="false" ht="12.8" hidden="false" customHeight="false" outlineLevel="0" collapsed="false">
      <c r="B67785" s="0" t="s">
        <v>7</v>
      </c>
      <c r="D67785" s="0" t="s">
        <v>18548</v>
      </c>
      <c r="E67785" s="0" t="s">
        <v>18548</v>
      </c>
      <c r="F67785" s="0" t="s">
        <v>18548</v>
      </c>
    </row>
    <row r="67786" customFormat="false" ht="12.8" hidden="false" customHeight="false" outlineLevel="0" collapsed="false">
      <c r="B67786" s="0" t="s">
        <v>14</v>
      </c>
      <c r="C67786" s="0" t="s">
        <v>567</v>
      </c>
      <c r="D67786" s="0" t="s">
        <v>4407</v>
      </c>
      <c r="E67786" s="0" t="s">
        <v>452</v>
      </c>
      <c r="F67786" s="0" t="s">
        <v>452</v>
      </c>
    </row>
    <row r="67788" customFormat="false" ht="12.8" hidden="false" customHeight="false" outlineLevel="0" collapsed="false">
      <c r="A67788" s="0" t="s">
        <v>23060</v>
      </c>
      <c r="B67788" s="0" t="str">
        <f aca="false">HYPERLINK("https://lindat.mff.cuni.cz/services/teitok/pdtc10/index.php?action=vallex&amp;frame=v-w9282f3", "zavírat (v-w9282f3)")</f>
        <v>zavírat (v-w9282f3)</v>
      </c>
    </row>
    <row r="67789" customFormat="false" ht="12.8" hidden="false" customHeight="false" outlineLevel="0" collapsed="false">
      <c r="B67789" s="0" t="s">
        <v>7</v>
      </c>
      <c r="C67789" s="0" t="s">
        <v>460</v>
      </c>
    </row>
    <row r="67790" customFormat="false" ht="12.8" hidden="false" customHeight="false" outlineLevel="0" collapsed="false">
      <c r="B67790" s="0" t="s">
        <v>14</v>
      </c>
      <c r="C67790" s="0" t="s">
        <v>23061</v>
      </c>
    </row>
    <row r="67792" customFormat="false" ht="12.8" hidden="false" customHeight="false" outlineLevel="0" collapsed="false">
      <c r="A67792" s="0" t="s">
        <v>23062</v>
      </c>
      <c r="B67792" s="0" t="str">
        <f aca="false">HYPERLINK("https://lindat.mff.cuni.cz/services/teitok/pdtc10/index.php?action=vallex&amp;frame=v-w9282f2", "zavírat (v-w9282f2)")</f>
        <v>zavírat (v-w9282f2)</v>
      </c>
    </row>
    <row r="67793" customFormat="false" ht="12.8" hidden="false" customHeight="false" outlineLevel="0" collapsed="false">
      <c r="B67793" s="0" t="s">
        <v>7</v>
      </c>
    </row>
    <row r="67794" customFormat="false" ht="12.8" hidden="false" customHeight="false" outlineLevel="0" collapsed="false">
      <c r="B67794" s="0" t="s">
        <v>14</v>
      </c>
    </row>
    <row r="67796" customFormat="false" ht="12.8" hidden="false" customHeight="false" outlineLevel="0" collapsed="false">
      <c r="A67796" s="0" t="s">
        <v>23063</v>
      </c>
      <c r="B67796" s="0" t="str">
        <f aca="false">HYPERLINK("https://lindat.mff.cuni.cz/services/teitok/pdtc10/index.php?action=vallex&amp;frame=v-w9282f5_ZU", "zavírat (v-w9282f5_ZU)")</f>
        <v>zavírat (v-w9282f5_ZU)</v>
      </c>
    </row>
    <row r="67797" customFormat="false" ht="12.8" hidden="false" customHeight="false" outlineLevel="0" collapsed="false">
      <c r="B67797" s="0" t="s">
        <v>7</v>
      </c>
    </row>
    <row r="67798" customFormat="false" ht="12.8" hidden="false" customHeight="false" outlineLevel="0" collapsed="false">
      <c r="B67798" s="0" t="s">
        <v>4069</v>
      </c>
    </row>
    <row r="67799" customFormat="false" ht="12.8" hidden="false" customHeight="false" outlineLevel="0" collapsed="false">
      <c r="B67799" s="0" t="s">
        <v>9236</v>
      </c>
    </row>
    <row r="67801" customFormat="false" ht="12.8" hidden="false" customHeight="false" outlineLevel="0" collapsed="false">
      <c r="A67801" s="0" t="s">
        <v>23063</v>
      </c>
      <c r="B67801" s="0" t="str">
        <f aca="false">HYPERLINK("https://lindat.mff.cuni.cz/services/teitok/pdtc10/index.php?action=vallex&amp;frame=v-w9282f4_ZU", "zavírat (v-w9282f4_ZU) - substituted with v-w9282f5_ZU")</f>
        <v>zavírat (v-w9282f4_ZU) - substituted with v-w9282f5_ZU</v>
      </c>
    </row>
    <row r="67802" customFormat="false" ht="12.8" hidden="false" customHeight="false" outlineLevel="0" collapsed="false">
      <c r="B67802" s="0" t="s">
        <v>7</v>
      </c>
    </row>
    <row r="67803" customFormat="false" ht="12.8" hidden="false" customHeight="false" outlineLevel="0" collapsed="false">
      <c r="B67803" s="0" t="s">
        <v>4069</v>
      </c>
    </row>
    <row r="67804" customFormat="false" ht="12.8" hidden="false" customHeight="false" outlineLevel="0" collapsed="false">
      <c r="B67804" s="0" t="s">
        <v>9236</v>
      </c>
    </row>
    <row r="67806" customFormat="false" ht="12.8" hidden="false" customHeight="false" outlineLevel="0" collapsed="false">
      <c r="A67806" s="0" t="s">
        <v>23064</v>
      </c>
      <c r="B67806" s="0" t="str">
        <f aca="false">HYPERLINK("https://lindat.mff.cuni.cz/services/teitok/pdtc10/index.php?action=vallex&amp;frame=v-w9282hsa_1211", "zavírat (v-w9282hsa_1211)")</f>
        <v>zavírat (v-w9282hsa_1211)</v>
      </c>
    </row>
    <row r="67807" customFormat="false" ht="12.8" hidden="false" customHeight="false" outlineLevel="0" collapsed="false">
      <c r="B67807" s="0" t="s">
        <v>7</v>
      </c>
      <c r="C67807" s="0" t="s">
        <v>18551</v>
      </c>
    </row>
    <row r="67809" customFormat="false" ht="12.8" hidden="false" customHeight="false" outlineLevel="0" collapsed="false">
      <c r="A67809" s="0" t="s">
        <v>23065</v>
      </c>
      <c r="B67809" s="0" t="str">
        <f aca="false">HYPERLINK("https://lindat.mff.cuni.cz/services/teitok/pdtc10/index.php?action=vallex&amp;frame=v-w9282f6_ZU", "zavírat (v-w9282f6_ZU)")</f>
        <v>zavírat (v-w9282f6_ZU)</v>
      </c>
    </row>
    <row r="67810" customFormat="false" ht="12.8" hidden="false" customHeight="false" outlineLevel="0" collapsed="false">
      <c r="B67810" s="0" t="s">
        <v>7</v>
      </c>
      <c r="C67810" s="0" t="s">
        <v>335</v>
      </c>
    </row>
    <row r="67811" customFormat="false" ht="12.8" hidden="false" customHeight="false" outlineLevel="0" collapsed="false">
      <c r="B67811" s="0" t="s">
        <v>16347</v>
      </c>
    </row>
    <row r="67812" customFormat="false" ht="12.8" hidden="false" customHeight="false" outlineLevel="0" collapsed="false">
      <c r="B67812" s="0" t="s">
        <v>6120</v>
      </c>
    </row>
    <row r="67814" customFormat="false" ht="12.8" hidden="false" customHeight="false" outlineLevel="0" collapsed="false">
      <c r="A67814" s="0" t="s">
        <v>23065</v>
      </c>
      <c r="B67814" s="0" t="str">
        <f aca="false">HYPERLINK("https://lindat.mff.cuni.cz/services/teitok/pdtc10/index.php?action=vallex&amp;frame=v-w9282hsa_1212", "zavírat (v-w9282hsa_1212) - substituted with v-w9282f6_ZU")</f>
        <v>zavírat (v-w9282hsa_1212) - substituted with v-w9282f6_ZU</v>
      </c>
    </row>
    <row r="67815" customFormat="false" ht="12.8" hidden="false" customHeight="false" outlineLevel="0" collapsed="false">
      <c r="B67815" s="0" t="s">
        <v>7</v>
      </c>
    </row>
    <row r="67816" customFormat="false" ht="12.8" hidden="false" customHeight="false" outlineLevel="0" collapsed="false">
      <c r="B67816" s="0" t="s">
        <v>16347</v>
      </c>
    </row>
    <row r="67817" customFormat="false" ht="12.8" hidden="false" customHeight="false" outlineLevel="0" collapsed="false">
      <c r="B67817" s="0" t="s">
        <v>6120</v>
      </c>
    </row>
    <row r="67819" customFormat="false" ht="12.8" hidden="false" customHeight="false" outlineLevel="0" collapsed="false">
      <c r="A67819" s="0" t="s">
        <v>23066</v>
      </c>
      <c r="B67819" s="0" t="str">
        <f aca="false">HYPERLINK("https://lindat.mff.cuni.cz/services/teitok/pdtc10/index.php?action=vallex&amp;frame=v-w9282f7_ZU", "zavírat (v-w9282f7_ZU)")</f>
        <v>zavírat (v-w9282f7_ZU)</v>
      </c>
    </row>
    <row r="67820" customFormat="false" ht="12.8" hidden="false" customHeight="false" outlineLevel="0" collapsed="false">
      <c r="B67820" s="0" t="s">
        <v>7</v>
      </c>
    </row>
    <row r="67821" customFormat="false" ht="12.8" hidden="false" customHeight="false" outlineLevel="0" collapsed="false">
      <c r="B67821" s="0" t="s">
        <v>14</v>
      </c>
    </row>
    <row r="67823" customFormat="false" ht="12.8" hidden="false" customHeight="false" outlineLevel="0" collapsed="false">
      <c r="A67823" s="0" t="s">
        <v>23067</v>
      </c>
      <c r="B67823" s="0" t="str">
        <f aca="false">HYPERLINK("https://lindat.mff.cuni.cz/services/teitok/pdtc10/index.php?action=vallex&amp;frame=v-w9288f1", "zavítat (v-w9288f1)")</f>
        <v>zavítat (v-w9288f1)</v>
      </c>
    </row>
    <row r="67824" customFormat="false" ht="12.8" hidden="false" customHeight="false" outlineLevel="0" collapsed="false">
      <c r="B67824" s="0" t="s">
        <v>7</v>
      </c>
    </row>
    <row r="67825" customFormat="false" ht="12.8" hidden="false" customHeight="false" outlineLevel="0" collapsed="false">
      <c r="B67825" s="0" t="s">
        <v>124</v>
      </c>
    </row>
    <row r="67827" customFormat="false" ht="12.8" hidden="false" customHeight="false" outlineLevel="0" collapsed="false">
      <c r="A67827" s="0" t="s">
        <v>23068</v>
      </c>
      <c r="B67827" s="0" t="str">
        <f aca="false">HYPERLINK("https://lindat.mff.cuni.cz/services/teitok/pdtc10/index.php?action=vallex&amp;frame=v-w9272f1", "zavěsit (v-w9272f1)")</f>
        <v>zavěsit (v-w9272f1)</v>
      </c>
    </row>
    <row r="67828" customFormat="false" ht="12.8" hidden="false" customHeight="false" outlineLevel="0" collapsed="false">
      <c r="B67828" s="0" t="s">
        <v>7</v>
      </c>
      <c r="C67828" s="0" t="s">
        <v>2911</v>
      </c>
    </row>
    <row r="67829" customFormat="false" ht="12.8" hidden="false" customHeight="false" outlineLevel="0" collapsed="false">
      <c r="B67829" s="0" t="s">
        <v>14</v>
      </c>
      <c r="C67829" s="0" t="s">
        <v>23069</v>
      </c>
    </row>
    <row r="67831" customFormat="false" ht="12.8" hidden="false" customHeight="false" outlineLevel="0" collapsed="false">
      <c r="A67831" s="0" t="s">
        <v>23070</v>
      </c>
      <c r="B67831" s="0" t="str">
        <f aca="false">HYPERLINK("https://lindat.mff.cuni.cz/services/teitok/pdtc10/index.php?action=vallex&amp;frame=v-w11640_ZUf1_ZU", "zavětřit (v-w11640_ZUf1_ZU)")</f>
        <v>zavětřit (v-w11640_ZUf1_ZU)</v>
      </c>
    </row>
    <row r="67832" customFormat="false" ht="12.8" hidden="false" customHeight="false" outlineLevel="0" collapsed="false">
      <c r="B67832" s="0" t="s">
        <v>7</v>
      </c>
      <c r="D67832" s="0" t="s">
        <v>4116</v>
      </c>
      <c r="E67832" s="0" t="s">
        <v>4116</v>
      </c>
      <c r="F67832" s="0" t="s">
        <v>4116</v>
      </c>
    </row>
    <row r="67833" customFormat="false" ht="12.8" hidden="false" customHeight="false" outlineLevel="0" collapsed="false">
      <c r="B67833" s="0" t="s">
        <v>14</v>
      </c>
      <c r="D67833" s="0" t="s">
        <v>1277</v>
      </c>
      <c r="E67833" s="0" t="s">
        <v>1277</v>
      </c>
      <c r="F67833" s="0" t="s">
        <v>1277</v>
      </c>
    </row>
    <row r="67835" customFormat="false" ht="12.8" hidden="false" customHeight="false" outlineLevel="0" collapsed="false">
      <c r="A67835" s="0" t="s">
        <v>23071</v>
      </c>
      <c r="B67835" s="0" t="str">
        <f aca="false">HYPERLINK("https://lindat.mff.cuni.cz/services/teitok/pdtc10/index.php?action=vallex&amp;frame=v-w10970f2", "zavěšovat (v-w10970f2)")</f>
        <v>zavěšovat (v-w10970f2)</v>
      </c>
    </row>
    <row r="67836" customFormat="false" ht="12.8" hidden="false" customHeight="false" outlineLevel="0" collapsed="false">
      <c r="B67836" s="0" t="s">
        <v>7</v>
      </c>
    </row>
    <row r="67837" customFormat="false" ht="12.8" hidden="false" customHeight="false" outlineLevel="0" collapsed="false">
      <c r="B67837" s="0" t="s">
        <v>14</v>
      </c>
    </row>
    <row r="67839" customFormat="false" ht="12.8" hidden="false" customHeight="false" outlineLevel="0" collapsed="false">
      <c r="A67839" s="0" t="s">
        <v>23072</v>
      </c>
      <c r="B67839" s="0" t="str">
        <f aca="false">HYPERLINK("https://lindat.mff.cuni.cz/services/teitok/pdtc10/index.php?action=vallex&amp;frame=v-w9309f9_ZU", "zavřít (v-w9309f9_ZU)")</f>
        <v>zavřít (v-w9309f9_ZU)</v>
      </c>
    </row>
    <row r="67840" customFormat="false" ht="12.8" hidden="false" customHeight="false" outlineLevel="0" collapsed="false">
      <c r="B67840" s="0" t="s">
        <v>7</v>
      </c>
    </row>
    <row r="67841" customFormat="false" ht="12.8" hidden="false" customHeight="false" outlineLevel="0" collapsed="false">
      <c r="B67841" s="0" t="s">
        <v>14</v>
      </c>
    </row>
    <row r="67843" customFormat="false" ht="12.8" hidden="false" customHeight="false" outlineLevel="0" collapsed="false">
      <c r="A67843" s="0" t="s">
        <v>23072</v>
      </c>
      <c r="B67843" s="0" t="str">
        <f aca="false">HYPERLINK("https://lindat.mff.cuni.cz/services/teitok/pdtc10/index.php?action=vallex&amp;frame=v-w9309f1", "zavřít (v-w9309f1) - substituted with v-w9309f9_ZU")</f>
        <v>zavřít (v-w9309f1) - substituted with v-w9309f9_ZU</v>
      </c>
    </row>
    <row r="67844" customFormat="false" ht="12.8" hidden="false" customHeight="false" outlineLevel="0" collapsed="false">
      <c r="B67844" s="0" t="s">
        <v>7</v>
      </c>
      <c r="C67844" s="0" t="s">
        <v>23073</v>
      </c>
      <c r="D67844" s="0" t="s">
        <v>18552</v>
      </c>
      <c r="E67844" s="0" t="s">
        <v>18552</v>
      </c>
      <c r="F67844" s="0" t="s">
        <v>18552</v>
      </c>
    </row>
    <row r="67845" customFormat="false" ht="12.8" hidden="false" customHeight="false" outlineLevel="0" collapsed="false">
      <c r="B67845" s="0" t="s">
        <v>14</v>
      </c>
      <c r="C67845" s="0" t="s">
        <v>16473</v>
      </c>
      <c r="D67845" s="0" t="s">
        <v>2064</v>
      </c>
      <c r="E67845" s="0" t="s">
        <v>2064</v>
      </c>
      <c r="F67845" s="0" t="s">
        <v>2064</v>
      </c>
    </row>
    <row r="67847" customFormat="false" ht="12.8" hidden="false" customHeight="false" outlineLevel="0" collapsed="false">
      <c r="A67847" s="0" t="s">
        <v>23074</v>
      </c>
      <c r="B67847" s="0" t="str">
        <f aca="false">HYPERLINK("https://lindat.mff.cuni.cz/services/teitok/pdtc10/index.php?action=vallex&amp;frame=v-w9309f2", "zavřít (v-w9309f2)")</f>
        <v>zavřít (v-w9309f2)</v>
      </c>
    </row>
    <row r="67848" customFormat="false" ht="12.8" hidden="false" customHeight="false" outlineLevel="0" collapsed="false">
      <c r="B67848" s="0" t="s">
        <v>7</v>
      </c>
      <c r="C67848" s="0" t="s">
        <v>23075</v>
      </c>
    </row>
    <row r="67849" customFormat="false" ht="12.8" hidden="false" customHeight="false" outlineLevel="0" collapsed="false">
      <c r="B67849" s="0" t="s">
        <v>14</v>
      </c>
      <c r="C67849" s="0" t="s">
        <v>2394</v>
      </c>
    </row>
    <row r="67851" customFormat="false" ht="12.8" hidden="false" customHeight="false" outlineLevel="0" collapsed="false">
      <c r="A67851" s="0" t="s">
        <v>23076</v>
      </c>
      <c r="B67851" s="0" t="str">
        <f aca="false">HYPERLINK("https://lindat.mff.cuni.cz/services/teitok/pdtc10/index.php?action=vallex&amp;frame=v-w9309f4", "zavřít (v-w9309f4)")</f>
        <v>zavřít (v-w9309f4)</v>
      </c>
    </row>
    <row r="67852" customFormat="false" ht="12.8" hidden="false" customHeight="false" outlineLevel="0" collapsed="false">
      <c r="B67852" s="0" t="s">
        <v>7</v>
      </c>
      <c r="C67852" s="0" t="s">
        <v>3243</v>
      </c>
      <c r="D67852" s="0" t="s">
        <v>2736</v>
      </c>
      <c r="E67852" s="0" t="s">
        <v>2736</v>
      </c>
      <c r="F67852" s="0" t="s">
        <v>2736</v>
      </c>
    </row>
    <row r="67853" customFormat="false" ht="12.8" hidden="false" customHeight="false" outlineLevel="0" collapsed="false">
      <c r="B67853" s="0" t="s">
        <v>14</v>
      </c>
      <c r="C67853" s="0" t="s">
        <v>3244</v>
      </c>
      <c r="D67853" s="0" t="s">
        <v>1571</v>
      </c>
      <c r="E67853" s="0" t="s">
        <v>1571</v>
      </c>
      <c r="F67853" s="0" t="s">
        <v>1571</v>
      </c>
    </row>
    <row r="67855" customFormat="false" ht="12.8" hidden="false" customHeight="false" outlineLevel="0" collapsed="false">
      <c r="A67855" s="0" t="s">
        <v>23077</v>
      </c>
      <c r="B67855" s="0" t="str">
        <f aca="false">HYPERLINK("https://lindat.mff.cuni.cz/services/teitok/pdtc10/index.php?action=vallex&amp;frame=v-w9309f5", "zavřít (v-w9309f5)")</f>
        <v>zavřít (v-w9309f5)</v>
      </c>
    </row>
    <row r="67856" customFormat="false" ht="12.8" hidden="false" customHeight="false" outlineLevel="0" collapsed="false">
      <c r="B67856" s="0" t="s">
        <v>7</v>
      </c>
      <c r="C67856" s="0" t="s">
        <v>18551</v>
      </c>
    </row>
    <row r="67857" customFormat="false" ht="12.8" hidden="false" customHeight="false" outlineLevel="0" collapsed="false">
      <c r="B67857" s="0" t="s">
        <v>14</v>
      </c>
      <c r="C67857" s="0" t="s">
        <v>94</v>
      </c>
    </row>
    <row r="67859" customFormat="false" ht="12.8" hidden="false" customHeight="false" outlineLevel="0" collapsed="false">
      <c r="A67859" s="0" t="s">
        <v>23078</v>
      </c>
      <c r="B67859" s="0" t="str">
        <f aca="false">HYPERLINK("https://lindat.mff.cuni.cz/services/teitok/pdtc10/index.php?action=vallex&amp;frame=v-w9309f7_ZU", "zavřít (v-w9309f7_ZU)")</f>
        <v>zavřít (v-w9309f7_ZU)</v>
      </c>
    </row>
    <row r="67860" customFormat="false" ht="12.8" hidden="false" customHeight="false" outlineLevel="0" collapsed="false">
      <c r="B67860" s="0" t="s">
        <v>7</v>
      </c>
    </row>
    <row r="67862" customFormat="false" ht="12.8" hidden="false" customHeight="false" outlineLevel="0" collapsed="false">
      <c r="A67862" s="0" t="s">
        <v>23078</v>
      </c>
      <c r="B67862" s="0" t="str">
        <f aca="false">HYPERLINK("https://lindat.mff.cuni.cz/services/teitok/pdtc10/index.php?action=vallex&amp;frame=v-w9309f6_ZU", "zavřít (v-w9309f6_ZU) - substituted with v-w9309f7_ZU")</f>
        <v>zavřít (v-w9309f6_ZU) - substituted with v-w9309f7_ZU</v>
      </c>
    </row>
    <row r="67863" customFormat="false" ht="12.8" hidden="false" customHeight="false" outlineLevel="0" collapsed="false">
      <c r="B67863" s="0" t="s">
        <v>7</v>
      </c>
    </row>
    <row r="67865" customFormat="false" ht="12.8" hidden="false" customHeight="false" outlineLevel="0" collapsed="false">
      <c r="A67865" s="0" t="s">
        <v>23079</v>
      </c>
      <c r="B67865" s="0" t="str">
        <f aca="false">HYPERLINK("https://lindat.mff.cuni.cz/services/teitok/pdtc10/index.php?action=vallex&amp;frame=v-w9309f3", "zavřít (v-w9309f3)")</f>
        <v>zavřít (v-w9309f3)</v>
      </c>
    </row>
    <row r="67866" customFormat="false" ht="12.8" hidden="false" customHeight="false" outlineLevel="0" collapsed="false">
      <c r="B67866" s="0" t="s">
        <v>7</v>
      </c>
    </row>
    <row r="67867" customFormat="false" ht="12.8" hidden="false" customHeight="false" outlineLevel="0" collapsed="false">
      <c r="B67867" s="0" t="s">
        <v>23080</v>
      </c>
    </row>
    <row r="67868" customFormat="false" ht="12.8" hidden="false" customHeight="false" outlineLevel="0" collapsed="false">
      <c r="B67868" s="0" t="s">
        <v>142</v>
      </c>
    </row>
    <row r="67870" customFormat="false" ht="12.8" hidden="false" customHeight="false" outlineLevel="0" collapsed="false">
      <c r="A67870" s="0" t="s">
        <v>23081</v>
      </c>
      <c r="B67870" s="0" t="str">
        <f aca="false">HYPERLINK("https://lindat.mff.cuni.cz/services/teitok/pdtc10/index.php?action=vallex&amp;frame=v-w9309hsa_312", "zavřít (v-w9309hsa_312)")</f>
        <v>zavřít (v-w9309hsa_312)</v>
      </c>
    </row>
    <row r="67871" customFormat="false" ht="12.8" hidden="false" customHeight="false" outlineLevel="0" collapsed="false">
      <c r="B67871" s="0" t="s">
        <v>7</v>
      </c>
    </row>
    <row r="67872" customFormat="false" ht="12.8" hidden="false" customHeight="false" outlineLevel="0" collapsed="false">
      <c r="B67872" s="0" t="s">
        <v>1471</v>
      </c>
    </row>
    <row r="67873" customFormat="false" ht="12.8" hidden="false" customHeight="false" outlineLevel="0" collapsed="false">
      <c r="B67873" s="0" t="s">
        <v>474</v>
      </c>
    </row>
    <row r="67874" customFormat="false" ht="12.8" hidden="false" customHeight="false" outlineLevel="0" collapsed="false">
      <c r="B67874" s="0" t="s">
        <v>479</v>
      </c>
    </row>
    <row r="67876" customFormat="false" ht="12.8" hidden="false" customHeight="false" outlineLevel="0" collapsed="false">
      <c r="A67876" s="0" t="s">
        <v>23082</v>
      </c>
      <c r="B67876" s="0" t="str">
        <f aca="false">HYPERLINK("https://lindat.mff.cuni.cz/services/teitok/pdtc10/index.php?action=vallex&amp;frame=v-w9309f8_ZU", "zavřít (v-w9309f8_ZU)")</f>
        <v>zavřít (v-w9309f8_ZU)</v>
      </c>
    </row>
    <row r="67877" customFormat="false" ht="12.8" hidden="false" customHeight="false" outlineLevel="0" collapsed="false">
      <c r="B67877" s="0" t="s">
        <v>7</v>
      </c>
    </row>
    <row r="67878" customFormat="false" ht="12.8" hidden="false" customHeight="false" outlineLevel="0" collapsed="false">
      <c r="B67878" s="0" t="s">
        <v>16347</v>
      </c>
    </row>
    <row r="67880" customFormat="false" ht="12.8" hidden="false" customHeight="false" outlineLevel="0" collapsed="false">
      <c r="A67880" s="0" t="s">
        <v>23082</v>
      </c>
      <c r="B67880" s="0" t="str">
        <f aca="false">HYPERLINK("https://lindat.mff.cuni.cz/services/teitok/pdtc10/index.php?action=vallex&amp;frame=v-w9309hsa_244", "zavřít (v-w9309hsa_244) - substituted with v-w9309f8_ZU")</f>
        <v>zavřít (v-w9309hsa_244) - substituted with v-w9309f8_ZU</v>
      </c>
    </row>
    <row r="67881" customFormat="false" ht="12.8" hidden="false" customHeight="false" outlineLevel="0" collapsed="false">
      <c r="B67881" s="0" t="s">
        <v>7</v>
      </c>
    </row>
    <row r="67882" customFormat="false" ht="12.8" hidden="false" customHeight="false" outlineLevel="0" collapsed="false">
      <c r="B67882" s="0" t="s">
        <v>16347</v>
      </c>
    </row>
    <row r="67884" customFormat="false" ht="12.8" hidden="false" customHeight="false" outlineLevel="0" collapsed="false">
      <c r="A67884" s="0" t="s">
        <v>23083</v>
      </c>
      <c r="B67884" s="0" t="str">
        <f aca="false">HYPERLINK("https://lindat.mff.cuni.cz/services/teitok/pdtc10/index.php?action=vallex&amp;frame=v-w9310f1", "zavřít se (v-w9310f1)")</f>
        <v>zavřít se (v-w9310f1)</v>
      </c>
    </row>
    <row r="67885" customFormat="false" ht="12.8" hidden="false" customHeight="false" outlineLevel="0" collapsed="false">
      <c r="B67885" s="0" t="s">
        <v>7</v>
      </c>
      <c r="D67885" s="0" t="s">
        <v>23084</v>
      </c>
      <c r="E67885" s="0" t="s">
        <v>23085</v>
      </c>
      <c r="F67885" s="0" t="s">
        <v>23085</v>
      </c>
    </row>
    <row r="67887" customFormat="false" ht="12.8" hidden="false" customHeight="false" outlineLevel="0" collapsed="false">
      <c r="A67887" s="0" t="s">
        <v>23086</v>
      </c>
      <c r="B67887" s="0" t="str">
        <f aca="false">HYPERLINK("https://lindat.mff.cuni.cz/services/teitok/pdtc10/index.php?action=vallex&amp;frame=v-w12336_MMf1_MM", "zazelenit se (v-w12336_MMf1_MM)")</f>
        <v>zazelenit se (v-w12336_MMf1_MM)</v>
      </c>
    </row>
    <row r="67888" customFormat="false" ht="12.8" hidden="false" customHeight="false" outlineLevel="0" collapsed="false">
      <c r="B67888" s="0" t="s">
        <v>7</v>
      </c>
    </row>
    <row r="67890" customFormat="false" ht="12.8" hidden="false" customHeight="false" outlineLevel="0" collapsed="false">
      <c r="A67890" s="0" t="s">
        <v>23087</v>
      </c>
      <c r="B67890" s="0" t="str">
        <f aca="false">HYPERLINK("https://lindat.mff.cuni.cz/services/teitok/pdtc10/index.php?action=vallex&amp;frame=v-whsa_1227hsa_1228", "zazimovat (v-whsa_1227hsa_1228)")</f>
        <v>zazimovat (v-whsa_1227hsa_1228)</v>
      </c>
    </row>
    <row r="67891" customFormat="false" ht="12.8" hidden="false" customHeight="false" outlineLevel="0" collapsed="false">
      <c r="B67891" s="0" t="s">
        <v>7</v>
      </c>
    </row>
    <row r="67892" customFormat="false" ht="12.8" hidden="false" customHeight="false" outlineLevel="0" collapsed="false">
      <c r="B67892" s="0" t="s">
        <v>14</v>
      </c>
    </row>
    <row r="67894" customFormat="false" ht="12.8" hidden="false" customHeight="false" outlineLevel="0" collapsed="false">
      <c r="A67894" s="0" t="s">
        <v>23088</v>
      </c>
      <c r="B67894" s="0" t="str">
        <f aca="false">HYPERLINK("https://lindat.mff.cuni.cz/services/teitok/pdtc10/index.php?action=vallex&amp;frame=v-w11783_ZUf1_ZU", "zazimovávat (v-w11783_ZUf1_ZU)")</f>
        <v>zazimovávat (v-w11783_ZUf1_ZU)</v>
      </c>
    </row>
    <row r="67895" customFormat="false" ht="12.8" hidden="false" customHeight="false" outlineLevel="0" collapsed="false">
      <c r="B67895" s="0" t="s">
        <v>7</v>
      </c>
    </row>
    <row r="67896" customFormat="false" ht="12.8" hidden="false" customHeight="false" outlineLevel="0" collapsed="false">
      <c r="B67896" s="0" t="s">
        <v>14</v>
      </c>
    </row>
    <row r="67898" customFormat="false" ht="12.8" hidden="false" customHeight="false" outlineLevel="0" collapsed="false">
      <c r="A67898" s="0" t="s">
        <v>23089</v>
      </c>
      <c r="B67898" s="0" t="str">
        <f aca="false">HYPERLINK("https://lindat.mff.cuni.cz/services/teitok/pdtc10/index.php?action=vallex&amp;frame=v-w9314f1", "zazlívat (v-w9314f1)")</f>
        <v>zazlívat (v-w9314f1)</v>
      </c>
    </row>
    <row r="67899" customFormat="false" ht="12.8" hidden="false" customHeight="false" outlineLevel="0" collapsed="false">
      <c r="B67899" s="0" t="s">
        <v>7</v>
      </c>
      <c r="C67899" s="0" t="s">
        <v>1826</v>
      </c>
      <c r="D67899" s="0" t="s">
        <v>118</v>
      </c>
      <c r="E67899" s="0" t="s">
        <v>118</v>
      </c>
      <c r="F67899" s="0" t="s">
        <v>118</v>
      </c>
    </row>
    <row r="67900" customFormat="false" ht="12.8" hidden="false" customHeight="false" outlineLevel="0" collapsed="false">
      <c r="B67900" s="0" t="s">
        <v>54</v>
      </c>
      <c r="C67900" s="0" t="s">
        <v>23090</v>
      </c>
      <c r="D67900" s="0" t="s">
        <v>4813</v>
      </c>
      <c r="E67900" s="0" t="s">
        <v>4813</v>
      </c>
      <c r="F67900" s="0" t="s">
        <v>4813</v>
      </c>
    </row>
    <row r="67901" customFormat="false" ht="12.8" hidden="false" customHeight="false" outlineLevel="0" collapsed="false">
      <c r="B67901" s="0" t="s">
        <v>48</v>
      </c>
      <c r="C67901" s="0" t="s">
        <v>23091</v>
      </c>
      <c r="D67901" s="0" t="s">
        <v>8546</v>
      </c>
      <c r="E67901" s="0" t="s">
        <v>8546</v>
      </c>
      <c r="F67901" s="0" t="s">
        <v>8546</v>
      </c>
    </row>
    <row r="67903" customFormat="false" ht="12.8" hidden="false" customHeight="false" outlineLevel="0" collapsed="false">
      <c r="A67903" s="0" t="s">
        <v>23092</v>
      </c>
      <c r="B67903" s="0" t="str">
        <f aca="false">HYPERLINK("https://lindat.mff.cuni.cz/services/teitok/pdtc10/index.php?action=vallex&amp;frame=v-w11641_ZUf1_ZU", "zazmatkovat (v-w11641_ZUf1_ZU)")</f>
        <v>zazmatkovat (v-w11641_ZUf1_ZU)</v>
      </c>
    </row>
    <row r="67904" customFormat="false" ht="12.8" hidden="false" customHeight="false" outlineLevel="0" collapsed="false">
      <c r="B67904" s="0" t="s">
        <v>7</v>
      </c>
    </row>
    <row r="67906" customFormat="false" ht="12.8" hidden="false" customHeight="false" outlineLevel="0" collapsed="false">
      <c r="A67906" s="0" t="s">
        <v>23093</v>
      </c>
      <c r="B67906" s="0" t="str">
        <f aca="false">HYPERLINK("https://lindat.mff.cuni.cz/services/teitok/pdtc10/index.php?action=vallex&amp;frame=v-w9317f1", "zaznamenat (v-w9317f1)")</f>
        <v>zaznamenat (v-w9317f1)</v>
      </c>
    </row>
    <row r="67907" customFormat="false" ht="12.8" hidden="false" customHeight="false" outlineLevel="0" collapsed="false">
      <c r="B67907" s="0" t="s">
        <v>7</v>
      </c>
      <c r="C67907" s="0" t="s">
        <v>23094</v>
      </c>
      <c r="D67907" s="0" t="s">
        <v>11354</v>
      </c>
      <c r="E67907" s="0" t="s">
        <v>11354</v>
      </c>
      <c r="F67907" s="0" t="s">
        <v>11354</v>
      </c>
    </row>
    <row r="67908" customFormat="false" ht="12.8" hidden="false" customHeight="false" outlineLevel="0" collapsed="false">
      <c r="B67908" s="0" t="s">
        <v>15816</v>
      </c>
      <c r="C67908" s="0" t="s">
        <v>23095</v>
      </c>
      <c r="D67908" s="0" t="s">
        <v>11355</v>
      </c>
      <c r="E67908" s="0" t="s">
        <v>11355</v>
      </c>
      <c r="F67908" s="0" t="s">
        <v>11355</v>
      </c>
    </row>
    <row r="67910" customFormat="false" ht="12.8" hidden="false" customHeight="false" outlineLevel="0" collapsed="false">
      <c r="A67910" s="0" t="s">
        <v>23096</v>
      </c>
      <c r="B67910" s="0" t="str">
        <f aca="false">HYPERLINK("https://lindat.mff.cuni.cz/services/teitok/pdtc10/index.php?action=vallex&amp;frame=v-w9317f5", "zaznamenat (v-w9317f5)")</f>
        <v>zaznamenat (v-w9317f5)</v>
      </c>
    </row>
    <row r="67911" customFormat="false" ht="12.8" hidden="false" customHeight="false" outlineLevel="0" collapsed="false">
      <c r="B67911" s="0" t="s">
        <v>7</v>
      </c>
      <c r="C67911" s="0" t="s">
        <v>23097</v>
      </c>
      <c r="D67911" s="0" t="s">
        <v>1505</v>
      </c>
      <c r="E67911" s="0" t="s">
        <v>1505</v>
      </c>
      <c r="F67911" s="0" t="s">
        <v>1505</v>
      </c>
    </row>
    <row r="67912" customFormat="false" ht="12.8" hidden="false" customHeight="false" outlineLevel="0" collapsed="false">
      <c r="B67912" s="0" t="s">
        <v>15816</v>
      </c>
      <c r="C67912" s="0" t="s">
        <v>23098</v>
      </c>
      <c r="D67912" s="0" t="s">
        <v>14524</v>
      </c>
      <c r="E67912" s="0" t="s">
        <v>14524</v>
      </c>
      <c r="F67912" s="0" t="s">
        <v>14524</v>
      </c>
    </row>
    <row r="67914" customFormat="false" ht="12.8" hidden="false" customHeight="false" outlineLevel="0" collapsed="false">
      <c r="A67914" s="0" t="s">
        <v>23099</v>
      </c>
      <c r="B67914" s="0" t="str">
        <f aca="false">HYPERLINK("https://lindat.mff.cuni.cz/services/teitok/pdtc10/index.php?action=vallex&amp;frame=v-w9317f3", "zaznamenat (v-w9317f3)")</f>
        <v>zaznamenat (v-w9317f3)</v>
      </c>
    </row>
    <row r="67915" customFormat="false" ht="12.8" hidden="false" customHeight="false" outlineLevel="0" collapsed="false">
      <c r="B67915" s="0" t="s">
        <v>7</v>
      </c>
      <c r="C67915" s="0" t="s">
        <v>23100</v>
      </c>
      <c r="D67915" s="0" t="s">
        <v>1960</v>
      </c>
      <c r="E67915" s="0" t="s">
        <v>1960</v>
      </c>
      <c r="F67915" s="0" t="s">
        <v>1960</v>
      </c>
    </row>
    <row r="67916" customFormat="false" ht="12.8" hidden="false" customHeight="false" outlineLevel="0" collapsed="false">
      <c r="B67916" s="0" t="s">
        <v>14</v>
      </c>
      <c r="C67916" s="0" t="s">
        <v>23101</v>
      </c>
      <c r="D67916" s="0" t="s">
        <v>1962</v>
      </c>
      <c r="E67916" s="0" t="s">
        <v>1962</v>
      </c>
      <c r="F67916" s="0" t="s">
        <v>1962</v>
      </c>
    </row>
    <row r="67918" customFormat="false" ht="12.8" hidden="false" customHeight="false" outlineLevel="0" collapsed="false">
      <c r="A67918" s="0" t="s">
        <v>23102</v>
      </c>
      <c r="B67918" s="0" t="str">
        <f aca="false">HYPERLINK("https://lindat.mff.cuni.cz/services/teitok/pdtc10/index.php?action=vallex&amp;frame=v-w9317f4", "zaznamenat (v-w9317f4)")</f>
        <v>zaznamenat (v-w9317f4)</v>
      </c>
    </row>
    <row r="67919" customFormat="false" ht="12.8" hidden="false" customHeight="false" outlineLevel="0" collapsed="false">
      <c r="B67919" s="0" t="s">
        <v>7</v>
      </c>
    </row>
    <row r="67920" customFormat="false" ht="12.8" hidden="false" customHeight="false" outlineLevel="0" collapsed="false">
      <c r="B67920" s="0" t="s">
        <v>12807</v>
      </c>
    </row>
    <row r="67921" customFormat="false" ht="12.8" hidden="false" customHeight="false" outlineLevel="0" collapsed="false">
      <c r="B67921" s="0" t="s">
        <v>363</v>
      </c>
    </row>
    <row r="67923" customFormat="false" ht="12.8" hidden="false" customHeight="false" outlineLevel="0" collapsed="false">
      <c r="A67923" s="0" t="s">
        <v>23103</v>
      </c>
      <c r="B67923" s="0" t="str">
        <f aca="false">HYPERLINK("https://lindat.mff.cuni.cz/services/teitok/pdtc10/index.php?action=vallex&amp;frame=v-w9317f20_ZU", "zaznamenat (v-w9317f20_ZU)")</f>
        <v>zaznamenat (v-w9317f20_ZU)</v>
      </c>
    </row>
    <row r="67924" customFormat="false" ht="12.8" hidden="false" customHeight="false" outlineLevel="0" collapsed="false">
      <c r="B67924" s="0" t="s">
        <v>7</v>
      </c>
      <c r="C67924" s="0" t="s">
        <v>23104</v>
      </c>
      <c r="D67924" s="0" t="s">
        <v>23105</v>
      </c>
      <c r="E67924" s="0" t="s">
        <v>23105</v>
      </c>
      <c r="F67924" s="0" t="s">
        <v>23105</v>
      </c>
    </row>
    <row r="67925" customFormat="false" ht="12.8" hidden="false" customHeight="false" outlineLevel="0" collapsed="false">
      <c r="B67925" s="0" t="s">
        <v>23106</v>
      </c>
      <c r="C67925" s="0" t="s">
        <v>23107</v>
      </c>
      <c r="D67925" s="0" t="s">
        <v>23108</v>
      </c>
      <c r="E67925" s="0" t="s">
        <v>23108</v>
      </c>
      <c r="F67925" s="0" t="s">
        <v>23108</v>
      </c>
    </row>
    <row r="67927" customFormat="false" ht="12.8" hidden="false" customHeight="false" outlineLevel="0" collapsed="false">
      <c r="A67927" s="0" t="s">
        <v>23103</v>
      </c>
      <c r="B67927" s="0" t="str">
        <f aca="false">HYPERLINK("https://lindat.mff.cuni.cz/services/teitok/pdtc10/index.php?action=vallex&amp;frame=v-w9317f10_ZU", "zaznamenat (v-w9317f10_ZU) - substituted with v-w9317f20_ZU")</f>
        <v>zaznamenat (v-w9317f10_ZU) - substituted with v-w9317f20_ZU</v>
      </c>
    </row>
    <row r="67928" customFormat="false" ht="12.8" hidden="false" customHeight="false" outlineLevel="0" collapsed="false">
      <c r="B67928" s="0" t="s">
        <v>7</v>
      </c>
      <c r="C67928" s="0" t="s">
        <v>23109</v>
      </c>
    </row>
    <row r="67929" customFormat="false" ht="12.8" hidden="false" customHeight="false" outlineLevel="0" collapsed="false">
      <c r="B67929" s="0" t="s">
        <v>23106</v>
      </c>
      <c r="C67929" s="0" t="s">
        <v>23110</v>
      </c>
    </row>
    <row r="67931" customFormat="false" ht="12.8" hidden="false" customHeight="false" outlineLevel="0" collapsed="false">
      <c r="A67931" s="0" t="s">
        <v>23103</v>
      </c>
      <c r="B67931" s="0" t="str">
        <f aca="false">HYPERLINK("https://lindat.mff.cuni.cz/services/teitok/pdtc10/index.php?action=vallex&amp;frame=v-w9317f11_ZU", "zaznamenat (v-w9317f11_ZU) - substituted with v-w9317f20_ZU")</f>
        <v>zaznamenat (v-w9317f11_ZU) - substituted with v-w9317f20_ZU</v>
      </c>
    </row>
    <row r="67932" customFormat="false" ht="12.8" hidden="false" customHeight="false" outlineLevel="0" collapsed="false">
      <c r="B67932" s="0" t="s">
        <v>7</v>
      </c>
    </row>
    <row r="67933" customFormat="false" ht="12.8" hidden="false" customHeight="false" outlineLevel="0" collapsed="false">
      <c r="B67933" s="0" t="s">
        <v>23106</v>
      </c>
    </row>
    <row r="67935" customFormat="false" ht="12.8" hidden="false" customHeight="false" outlineLevel="0" collapsed="false">
      <c r="A67935" s="0" t="s">
        <v>23103</v>
      </c>
      <c r="B67935" s="0" t="str">
        <f aca="false">HYPERLINK("https://lindat.mff.cuni.cz/services/teitok/pdtc10/index.php?action=vallex&amp;frame=v-w9317f12_ZU", "zaznamenat (v-w9317f12_ZU) - substituted with v-w9317f20_ZU")</f>
        <v>zaznamenat (v-w9317f12_ZU) - substituted with v-w9317f20_ZU</v>
      </c>
    </row>
    <row r="67936" customFormat="false" ht="12.8" hidden="false" customHeight="false" outlineLevel="0" collapsed="false">
      <c r="B67936" s="0" t="s">
        <v>7</v>
      </c>
    </row>
    <row r="67937" customFormat="false" ht="12.8" hidden="false" customHeight="false" outlineLevel="0" collapsed="false">
      <c r="B67937" s="0" t="s">
        <v>23106</v>
      </c>
    </row>
    <row r="67939" customFormat="false" ht="12.8" hidden="false" customHeight="false" outlineLevel="0" collapsed="false">
      <c r="A67939" s="0" t="s">
        <v>23103</v>
      </c>
      <c r="B67939" s="0" t="str">
        <f aca="false">HYPERLINK("https://lindat.mff.cuni.cz/services/teitok/pdtc10/index.php?action=vallex&amp;frame=v-w9317f13_ZU", "zaznamenat (v-w9317f13_ZU) - substituted with v-w9317f20_ZU")</f>
        <v>zaznamenat (v-w9317f13_ZU) - substituted with v-w9317f20_ZU</v>
      </c>
    </row>
    <row r="67940" customFormat="false" ht="12.8" hidden="false" customHeight="false" outlineLevel="0" collapsed="false">
      <c r="B67940" s="0" t="s">
        <v>7</v>
      </c>
      <c r="C67940" s="0" t="s">
        <v>23111</v>
      </c>
    </row>
    <row r="67941" customFormat="false" ht="12.8" hidden="false" customHeight="false" outlineLevel="0" collapsed="false">
      <c r="B67941" s="0" t="s">
        <v>23106</v>
      </c>
      <c r="C67941" s="0" t="s">
        <v>23112</v>
      </c>
    </row>
    <row r="67943" customFormat="false" ht="12.8" hidden="false" customHeight="false" outlineLevel="0" collapsed="false">
      <c r="A67943" s="0" t="s">
        <v>23103</v>
      </c>
      <c r="B67943" s="0" t="str">
        <f aca="false">HYPERLINK("https://lindat.mff.cuni.cz/services/teitok/pdtc10/index.php?action=vallex&amp;frame=v-w9317f14_ZU", "zaznamenat (v-w9317f14_ZU) - substituted with v-w9317f20_ZU")</f>
        <v>zaznamenat (v-w9317f14_ZU) - substituted with v-w9317f20_ZU</v>
      </c>
    </row>
    <row r="67944" customFormat="false" ht="12.8" hidden="false" customHeight="false" outlineLevel="0" collapsed="false">
      <c r="B67944" s="0" t="s">
        <v>7</v>
      </c>
      <c r="C67944" s="0" t="s">
        <v>23113</v>
      </c>
    </row>
    <row r="67945" customFormat="false" ht="12.8" hidden="false" customHeight="false" outlineLevel="0" collapsed="false">
      <c r="B67945" s="0" t="s">
        <v>23106</v>
      </c>
      <c r="C67945" s="0" t="s">
        <v>23114</v>
      </c>
    </row>
    <row r="67947" customFormat="false" ht="12.8" hidden="false" customHeight="false" outlineLevel="0" collapsed="false">
      <c r="A67947" s="0" t="s">
        <v>23103</v>
      </c>
      <c r="B67947" s="0" t="str">
        <f aca="false">HYPERLINK("https://lindat.mff.cuni.cz/services/teitok/pdtc10/index.php?action=vallex&amp;frame=v-w9317f15_ZU", "zaznamenat (v-w9317f15_ZU) - substituted with v-w9317f20_ZU")</f>
        <v>zaznamenat (v-w9317f15_ZU) - substituted with v-w9317f20_ZU</v>
      </c>
    </row>
    <row r="67948" customFormat="false" ht="12.8" hidden="false" customHeight="false" outlineLevel="0" collapsed="false">
      <c r="B67948" s="0" t="s">
        <v>7</v>
      </c>
      <c r="C67948" s="0" t="s">
        <v>23115</v>
      </c>
    </row>
    <row r="67949" customFormat="false" ht="12.8" hidden="false" customHeight="false" outlineLevel="0" collapsed="false">
      <c r="B67949" s="0" t="s">
        <v>23106</v>
      </c>
      <c r="C67949" s="0" t="s">
        <v>23116</v>
      </c>
    </row>
    <row r="67951" customFormat="false" ht="12.8" hidden="false" customHeight="false" outlineLevel="0" collapsed="false">
      <c r="A67951" s="0" t="s">
        <v>23103</v>
      </c>
      <c r="B67951" s="0" t="str">
        <f aca="false">HYPERLINK("https://lindat.mff.cuni.cz/services/teitok/pdtc10/index.php?action=vallex&amp;frame=v-w9317f16_ZU", "zaznamenat (v-w9317f16_ZU) - substituted with v-w9317f20_ZU")</f>
        <v>zaznamenat (v-w9317f16_ZU) - substituted with v-w9317f20_ZU</v>
      </c>
    </row>
    <row r="67952" customFormat="false" ht="12.8" hidden="false" customHeight="false" outlineLevel="0" collapsed="false">
      <c r="B67952" s="0" t="s">
        <v>7</v>
      </c>
      <c r="C67952" s="0" t="s">
        <v>3918</v>
      </c>
    </row>
    <row r="67953" customFormat="false" ht="12.8" hidden="false" customHeight="false" outlineLevel="0" collapsed="false">
      <c r="B67953" s="0" t="s">
        <v>23106</v>
      </c>
      <c r="C67953" s="0" t="s">
        <v>23117</v>
      </c>
    </row>
    <row r="67955" customFormat="false" ht="12.8" hidden="false" customHeight="false" outlineLevel="0" collapsed="false">
      <c r="A67955" s="0" t="s">
        <v>23103</v>
      </c>
      <c r="B67955" s="0" t="str">
        <f aca="false">HYPERLINK("https://lindat.mff.cuni.cz/services/teitok/pdtc10/index.php?action=vallex&amp;frame=v-w9317f17_ZU", "zaznamenat (v-w9317f17_ZU) - substituted with v-w9317f20_ZU")</f>
        <v>zaznamenat (v-w9317f17_ZU) - substituted with v-w9317f20_ZU</v>
      </c>
    </row>
    <row r="67956" customFormat="false" ht="12.8" hidden="false" customHeight="false" outlineLevel="0" collapsed="false">
      <c r="B67956" s="0" t="s">
        <v>7</v>
      </c>
      <c r="C67956" s="0" t="s">
        <v>309</v>
      </c>
    </row>
    <row r="67957" customFormat="false" ht="12.8" hidden="false" customHeight="false" outlineLevel="0" collapsed="false">
      <c r="B67957" s="0" t="s">
        <v>23106</v>
      </c>
      <c r="C67957" s="0" t="s">
        <v>23118</v>
      </c>
    </row>
    <row r="67959" customFormat="false" ht="12.8" hidden="false" customHeight="false" outlineLevel="0" collapsed="false">
      <c r="A67959" s="0" t="s">
        <v>23103</v>
      </c>
      <c r="B67959" s="0" t="str">
        <f aca="false">HYPERLINK("https://lindat.mff.cuni.cz/services/teitok/pdtc10/index.php?action=vallex&amp;frame=v-w9317f18_ZU", "zaznamenat (v-w9317f18_ZU) - substituted with v-w9317f20_ZU")</f>
        <v>zaznamenat (v-w9317f18_ZU) - substituted with v-w9317f20_ZU</v>
      </c>
    </row>
    <row r="67960" customFormat="false" ht="12.8" hidden="false" customHeight="false" outlineLevel="0" collapsed="false">
      <c r="B67960" s="0" t="s">
        <v>7</v>
      </c>
    </row>
    <row r="67961" customFormat="false" ht="12.8" hidden="false" customHeight="false" outlineLevel="0" collapsed="false">
      <c r="B67961" s="0" t="s">
        <v>23106</v>
      </c>
    </row>
    <row r="67963" customFormat="false" ht="12.8" hidden="false" customHeight="false" outlineLevel="0" collapsed="false">
      <c r="A67963" s="0" t="s">
        <v>23103</v>
      </c>
      <c r="B67963" s="0" t="str">
        <f aca="false">HYPERLINK("https://lindat.mff.cuni.cz/services/teitok/pdtc10/index.php?action=vallex&amp;frame=v-w9317f19_ZU", "zaznamenat (v-w9317f19_ZU) - substituted with v-w9317f20_ZU")</f>
        <v>zaznamenat (v-w9317f19_ZU) - substituted with v-w9317f20_ZU</v>
      </c>
    </row>
    <row r="67964" customFormat="false" ht="12.8" hidden="false" customHeight="false" outlineLevel="0" collapsed="false">
      <c r="B67964" s="0" t="s">
        <v>7</v>
      </c>
      <c r="C67964" s="0" t="s">
        <v>3826</v>
      </c>
    </row>
    <row r="67965" customFormat="false" ht="12.8" hidden="false" customHeight="false" outlineLevel="0" collapsed="false">
      <c r="B67965" s="0" t="s">
        <v>23106</v>
      </c>
      <c r="C67965" s="0" t="s">
        <v>23119</v>
      </c>
    </row>
    <row r="67967" customFormat="false" ht="12.8" hidden="false" customHeight="false" outlineLevel="0" collapsed="false">
      <c r="A67967" s="0" t="s">
        <v>23120</v>
      </c>
      <c r="B67967" s="0" t="str">
        <f aca="false">HYPERLINK("https://lindat.mff.cuni.cz/services/teitok/pdtc10/index.php?action=vallex&amp;frame=v-w9317f9_ZU", "zaznamenat (v-w9317f9_ZU)")</f>
        <v>zaznamenat (v-w9317f9_ZU)</v>
      </c>
    </row>
    <row r="67968" customFormat="false" ht="12.8" hidden="false" customHeight="false" outlineLevel="0" collapsed="false">
      <c r="B67968" s="0" t="s">
        <v>7</v>
      </c>
    </row>
    <row r="67969" customFormat="false" ht="12.8" hidden="false" customHeight="false" outlineLevel="0" collapsed="false">
      <c r="B67969" s="0" t="s">
        <v>23121</v>
      </c>
    </row>
    <row r="67971" customFormat="false" ht="12.8" hidden="false" customHeight="false" outlineLevel="0" collapsed="false">
      <c r="A67971" s="0" t="s">
        <v>23120</v>
      </c>
      <c r="B67971" s="0" t="str">
        <f aca="false">HYPERLINK("https://lindat.mff.cuni.cz/services/teitok/pdtc10/index.php?action=vallex&amp;frame=v-w9317f2", "zaznamenat (v-w9317f2) - substituted with v-w9317f9_ZU")</f>
        <v>zaznamenat (v-w9317f2) - substituted with v-w9317f9_ZU</v>
      </c>
    </row>
    <row r="67972" customFormat="false" ht="12.8" hidden="false" customHeight="false" outlineLevel="0" collapsed="false">
      <c r="B67972" s="0" t="s">
        <v>7</v>
      </c>
    </row>
    <row r="67973" customFormat="false" ht="12.8" hidden="false" customHeight="false" outlineLevel="0" collapsed="false">
      <c r="B67973" s="0" t="s">
        <v>23121</v>
      </c>
    </row>
    <row r="67975" customFormat="false" ht="12.8" hidden="false" customHeight="false" outlineLevel="0" collapsed="false">
      <c r="A67975" s="0" t="s">
        <v>23120</v>
      </c>
      <c r="B67975" s="0" t="str">
        <f aca="false">HYPERLINK("https://lindat.mff.cuni.cz/services/teitok/pdtc10/index.php?action=vallex&amp;frame=v-w9317f6_ZU", "zaznamenat (v-w9317f6_ZU) - substituted with v-w9317f9_ZU")</f>
        <v>zaznamenat (v-w9317f6_ZU) - substituted with v-w9317f9_ZU</v>
      </c>
    </row>
    <row r="67976" customFormat="false" ht="12.8" hidden="false" customHeight="false" outlineLevel="0" collapsed="false">
      <c r="B67976" s="0" t="s">
        <v>7</v>
      </c>
    </row>
    <row r="67977" customFormat="false" ht="12.8" hidden="false" customHeight="false" outlineLevel="0" collapsed="false">
      <c r="B67977" s="0" t="s">
        <v>23121</v>
      </c>
    </row>
    <row r="67979" customFormat="false" ht="12.8" hidden="false" customHeight="false" outlineLevel="0" collapsed="false">
      <c r="A67979" s="0" t="s">
        <v>23120</v>
      </c>
      <c r="B67979" s="0" t="str">
        <f aca="false">HYPERLINK("https://lindat.mff.cuni.cz/services/teitok/pdtc10/index.php?action=vallex&amp;frame=v-w9317f7_ZU", "zaznamenat (v-w9317f7_ZU) - substituted with v-w9317f9_ZU")</f>
        <v>zaznamenat (v-w9317f7_ZU) - substituted with v-w9317f9_ZU</v>
      </c>
    </row>
    <row r="67980" customFormat="false" ht="12.8" hidden="false" customHeight="false" outlineLevel="0" collapsed="false">
      <c r="B67980" s="0" t="s">
        <v>7</v>
      </c>
    </row>
    <row r="67981" customFormat="false" ht="12.8" hidden="false" customHeight="false" outlineLevel="0" collapsed="false">
      <c r="B67981" s="0" t="s">
        <v>23121</v>
      </c>
    </row>
    <row r="67983" customFormat="false" ht="12.8" hidden="false" customHeight="false" outlineLevel="0" collapsed="false">
      <c r="A67983" s="0" t="s">
        <v>23120</v>
      </c>
      <c r="B67983" s="0" t="str">
        <f aca="false">HYPERLINK("https://lindat.mff.cuni.cz/services/teitok/pdtc10/index.php?action=vallex&amp;frame=v-w9317f8_ZU", "zaznamenat (v-w9317f8_ZU) - substituted with v-w9317f9_ZU")</f>
        <v>zaznamenat (v-w9317f8_ZU) - substituted with v-w9317f9_ZU</v>
      </c>
    </row>
    <row r="67984" customFormat="false" ht="12.8" hidden="false" customHeight="false" outlineLevel="0" collapsed="false">
      <c r="B67984" s="0" t="s">
        <v>7</v>
      </c>
    </row>
    <row r="67985" customFormat="false" ht="12.8" hidden="false" customHeight="false" outlineLevel="0" collapsed="false">
      <c r="B67985" s="0" t="s">
        <v>23121</v>
      </c>
    </row>
    <row r="67987" customFormat="false" ht="12.8" hidden="false" customHeight="false" outlineLevel="0" collapsed="false">
      <c r="A67987" s="0" t="s">
        <v>23122</v>
      </c>
      <c r="B67987" s="0" t="str">
        <f aca="false">HYPERLINK("https://lindat.mff.cuni.cz/services/teitok/pdtc10/index.php?action=vallex&amp;frame=v-w9319f3", "zaznamenávat (v-w9319f3)")</f>
        <v>zaznamenávat (v-w9319f3)</v>
      </c>
    </row>
    <row r="67988" customFormat="false" ht="12.8" hidden="false" customHeight="false" outlineLevel="0" collapsed="false">
      <c r="B67988" s="0" t="s">
        <v>7</v>
      </c>
      <c r="C67988" s="0" t="s">
        <v>8111</v>
      </c>
      <c r="D67988" s="0" t="s">
        <v>1505</v>
      </c>
      <c r="E67988" s="0" t="s">
        <v>1505</v>
      </c>
      <c r="F67988" s="0" t="s">
        <v>1505</v>
      </c>
    </row>
    <row r="67989" customFormat="false" ht="12.8" hidden="false" customHeight="false" outlineLevel="0" collapsed="false">
      <c r="B67989" s="0" t="s">
        <v>15816</v>
      </c>
      <c r="C67989" s="0" t="s">
        <v>1313</v>
      </c>
      <c r="D67989" s="0" t="s">
        <v>14524</v>
      </c>
      <c r="E67989" s="0" t="s">
        <v>14524</v>
      </c>
      <c r="F67989" s="0" t="s">
        <v>14524</v>
      </c>
    </row>
    <row r="67991" customFormat="false" ht="12.8" hidden="false" customHeight="false" outlineLevel="0" collapsed="false">
      <c r="A67991" s="0" t="s">
        <v>23123</v>
      </c>
      <c r="B67991" s="0" t="str">
        <f aca="false">HYPERLINK("https://lindat.mff.cuni.cz/services/teitok/pdtc10/index.php?action=vallex&amp;frame=v-w9319f1", "zaznamenávat (v-w9319f1)")</f>
        <v>zaznamenávat (v-w9319f1)</v>
      </c>
    </row>
    <row r="67992" customFormat="false" ht="12.8" hidden="false" customHeight="false" outlineLevel="0" collapsed="false">
      <c r="B67992" s="0" t="s">
        <v>7</v>
      </c>
      <c r="C67992" s="0" t="s">
        <v>14554</v>
      </c>
      <c r="D67992" s="0" t="s">
        <v>11354</v>
      </c>
      <c r="E67992" s="0" t="s">
        <v>11354</v>
      </c>
      <c r="F67992" s="0" t="s">
        <v>11354</v>
      </c>
    </row>
    <row r="67993" customFormat="false" ht="12.8" hidden="false" customHeight="false" outlineLevel="0" collapsed="false">
      <c r="B67993" s="0" t="s">
        <v>23124</v>
      </c>
      <c r="C67993" s="0" t="s">
        <v>12750</v>
      </c>
      <c r="D67993" s="0" t="s">
        <v>11355</v>
      </c>
      <c r="E67993" s="0" t="s">
        <v>11355</v>
      </c>
      <c r="F67993" s="0" t="s">
        <v>11355</v>
      </c>
    </row>
    <row r="67995" customFormat="false" ht="12.8" hidden="false" customHeight="false" outlineLevel="0" collapsed="false">
      <c r="A67995" s="0" t="s">
        <v>23125</v>
      </c>
      <c r="B67995" s="0" t="str">
        <f aca="false">HYPERLINK("https://lindat.mff.cuni.cz/services/teitok/pdtc10/index.php?action=vallex&amp;frame=v-w9319f4", "zaznamenávat (v-w9319f4)")</f>
        <v>zaznamenávat (v-w9319f4)</v>
      </c>
    </row>
    <row r="67996" customFormat="false" ht="12.8" hidden="false" customHeight="false" outlineLevel="0" collapsed="false">
      <c r="B67996" s="0" t="s">
        <v>7</v>
      </c>
    </row>
    <row r="67997" customFormat="false" ht="12.8" hidden="false" customHeight="false" outlineLevel="0" collapsed="false">
      <c r="B67997" s="0" t="s">
        <v>12807</v>
      </c>
    </row>
    <row r="67998" customFormat="false" ht="12.8" hidden="false" customHeight="false" outlineLevel="0" collapsed="false">
      <c r="B67998" s="0" t="s">
        <v>363</v>
      </c>
    </row>
    <row r="68000" customFormat="false" ht="12.8" hidden="false" customHeight="false" outlineLevel="0" collapsed="false">
      <c r="A68000" s="0" t="s">
        <v>23126</v>
      </c>
      <c r="B68000" s="0" t="str">
        <f aca="false">HYPERLINK("https://lindat.mff.cuni.cz/services/teitok/pdtc10/index.php?action=vallex&amp;frame=v-w9319f8_ZU", "zaznamenávat (v-w9319f8_ZU)")</f>
        <v>zaznamenávat (v-w9319f8_ZU)</v>
      </c>
    </row>
    <row r="68001" customFormat="false" ht="12.8" hidden="false" customHeight="false" outlineLevel="0" collapsed="false">
      <c r="B68001" s="0" t="s">
        <v>7</v>
      </c>
      <c r="C68001" s="0" t="s">
        <v>22026</v>
      </c>
      <c r="D68001" s="0" t="s">
        <v>23105</v>
      </c>
      <c r="E68001" s="0" t="s">
        <v>23105</v>
      </c>
      <c r="F68001" s="0" t="s">
        <v>23105</v>
      </c>
    </row>
    <row r="68002" customFormat="false" ht="12.8" hidden="false" customHeight="false" outlineLevel="0" collapsed="false">
      <c r="B68002" s="0" t="s">
        <v>23127</v>
      </c>
      <c r="C68002" s="0" t="s">
        <v>23128</v>
      </c>
      <c r="D68002" s="0" t="s">
        <v>23108</v>
      </c>
      <c r="E68002" s="0" t="s">
        <v>23108</v>
      </c>
      <c r="F68002" s="0" t="s">
        <v>23108</v>
      </c>
    </row>
    <row r="68004" customFormat="false" ht="12.8" hidden="false" customHeight="false" outlineLevel="0" collapsed="false">
      <c r="A68004" s="0" t="s">
        <v>23126</v>
      </c>
      <c r="B68004" s="0" t="str">
        <f aca="false">HYPERLINK("https://lindat.mff.cuni.cz/services/teitok/pdtc10/index.php?action=vallex&amp;frame=v-w9319f2", "zaznamenávat (v-w9319f2) - substituted with v-w9319f8_ZU")</f>
        <v>zaznamenávat (v-w9319f2) - substituted with v-w9319f8_ZU</v>
      </c>
    </row>
    <row r="68005" customFormat="false" ht="12.8" hidden="false" customHeight="false" outlineLevel="0" collapsed="false">
      <c r="B68005" s="0" t="s">
        <v>7</v>
      </c>
    </row>
    <row r="68006" customFormat="false" ht="12.8" hidden="false" customHeight="false" outlineLevel="0" collapsed="false">
      <c r="B68006" s="0" t="s">
        <v>23127</v>
      </c>
    </row>
    <row r="68008" customFormat="false" ht="12.8" hidden="false" customHeight="false" outlineLevel="0" collapsed="false">
      <c r="A68008" s="0" t="s">
        <v>23129</v>
      </c>
      <c r="B68008" s="0" t="str">
        <f aca="false">HYPERLINK("https://lindat.mff.cuni.cz/services/teitok/pdtc10/index.php?action=vallex&amp;frame=v-w9319f7_ZU", "zaznamenávat (v-w9319f7_ZU)")</f>
        <v>zaznamenávat (v-w9319f7_ZU)</v>
      </c>
    </row>
    <row r="68009" customFormat="false" ht="12.8" hidden="false" customHeight="false" outlineLevel="0" collapsed="false">
      <c r="B68009" s="0" t="s">
        <v>7</v>
      </c>
    </row>
    <row r="68010" customFormat="false" ht="12.8" hidden="false" customHeight="false" outlineLevel="0" collapsed="false">
      <c r="B68010" s="0" t="s">
        <v>23130</v>
      </c>
    </row>
    <row r="68012" customFormat="false" ht="12.8" hidden="false" customHeight="false" outlineLevel="0" collapsed="false">
      <c r="A68012" s="0" t="s">
        <v>23129</v>
      </c>
      <c r="B68012" s="0" t="str">
        <f aca="false">HYPERLINK("https://lindat.mff.cuni.cz/services/teitok/pdtc10/index.php?action=vallex&amp;frame=v-w9319f5_ZU", "zaznamenávat (v-w9319f5_ZU) - substituted with v-w9319f7_ZU")</f>
        <v>zaznamenávat (v-w9319f5_ZU) - substituted with v-w9319f7_ZU</v>
      </c>
    </row>
    <row r="68013" customFormat="false" ht="12.8" hidden="false" customHeight="false" outlineLevel="0" collapsed="false">
      <c r="B68013" s="0" t="s">
        <v>7</v>
      </c>
    </row>
    <row r="68014" customFormat="false" ht="12.8" hidden="false" customHeight="false" outlineLevel="0" collapsed="false">
      <c r="B68014" s="0" t="s">
        <v>23130</v>
      </c>
    </row>
    <row r="68016" customFormat="false" ht="12.8" hidden="false" customHeight="false" outlineLevel="0" collapsed="false">
      <c r="A68016" s="0" t="s">
        <v>23129</v>
      </c>
      <c r="B68016" s="0" t="str">
        <f aca="false">HYPERLINK("https://lindat.mff.cuni.cz/services/teitok/pdtc10/index.php?action=vallex&amp;frame=v-w9319f6_ZU", "zaznamenávat (v-w9319f6_ZU) - substituted with v-w9319f7_ZU")</f>
        <v>zaznamenávat (v-w9319f6_ZU) - substituted with v-w9319f7_ZU</v>
      </c>
    </row>
    <row r="68017" customFormat="false" ht="12.8" hidden="false" customHeight="false" outlineLevel="0" collapsed="false">
      <c r="B68017" s="0" t="s">
        <v>7</v>
      </c>
    </row>
    <row r="68018" customFormat="false" ht="12.8" hidden="false" customHeight="false" outlineLevel="0" collapsed="false">
      <c r="B68018" s="0" t="s">
        <v>23130</v>
      </c>
    </row>
    <row r="68020" customFormat="false" ht="12.8" hidden="false" customHeight="false" outlineLevel="0" collapsed="false">
      <c r="A68020" s="0" t="s">
        <v>23129</v>
      </c>
      <c r="B68020" s="0" t="str">
        <f aca="false">HYPERLINK("https://lindat.mff.cuni.cz/services/teitok/pdtc10/index.php?action=vallex&amp;frame=v-w9319hsa_1146", "zaznamenávat (v-w9319hsa_1146) - substituted with v-w9319f7_ZU")</f>
        <v>zaznamenávat (v-w9319hsa_1146) - substituted with v-w9319f7_ZU</v>
      </c>
    </row>
    <row r="68021" customFormat="false" ht="12.8" hidden="false" customHeight="false" outlineLevel="0" collapsed="false">
      <c r="B68021" s="0" t="s">
        <v>7</v>
      </c>
    </row>
    <row r="68022" customFormat="false" ht="12.8" hidden="false" customHeight="false" outlineLevel="0" collapsed="false">
      <c r="B68022" s="0" t="s">
        <v>23130</v>
      </c>
    </row>
    <row r="68024" customFormat="false" ht="12.8" hidden="false" customHeight="false" outlineLevel="0" collapsed="false">
      <c r="A68024" s="0" t="s">
        <v>23131</v>
      </c>
      <c r="B68024" s="0" t="str">
        <f aca="false">HYPERLINK("https://lindat.mff.cuni.cz/services/teitok/pdtc10/index.php?action=vallex&amp;frame=v-w9320f1", "zaznít (v-w9320f1)")</f>
        <v>zaznít (v-w9320f1)</v>
      </c>
    </row>
    <row r="68025" customFormat="false" ht="12.8" hidden="false" customHeight="false" outlineLevel="0" collapsed="false">
      <c r="B68025" s="0" t="s">
        <v>641</v>
      </c>
      <c r="C68025" s="0" t="s">
        <v>4651</v>
      </c>
    </row>
    <row r="68027" customFormat="false" ht="12.8" hidden="false" customHeight="false" outlineLevel="0" collapsed="false">
      <c r="A68027" s="0" t="s">
        <v>23132</v>
      </c>
      <c r="B68027" s="0" t="str">
        <f aca="false">HYPERLINK("https://lindat.mff.cuni.cz/services/teitok/pdtc10/index.php?action=vallex&amp;frame=v-w9320f2_ZU", "zaznít (v-w9320f2_ZU)")</f>
        <v>zaznít (v-w9320f2_ZU)</v>
      </c>
    </row>
    <row r="68028" customFormat="false" ht="12.8" hidden="false" customHeight="false" outlineLevel="0" collapsed="false">
      <c r="B68028" s="0" t="s">
        <v>7</v>
      </c>
      <c r="D68028" s="0" t="s">
        <v>1627</v>
      </c>
      <c r="E68028" s="0" t="s">
        <v>1627</v>
      </c>
      <c r="F68028" s="0" t="s">
        <v>1627</v>
      </c>
    </row>
    <row r="68030" customFormat="false" ht="12.8" hidden="false" customHeight="false" outlineLevel="0" collapsed="false">
      <c r="A68030" s="0" t="s">
        <v>23133</v>
      </c>
      <c r="B68030" s="0" t="str">
        <f aca="false">HYPERLINK("https://lindat.mff.cuni.cz/services/teitok/pdtc10/index.php?action=vallex&amp;frame=v-whsa_931hsa_932", "zaznít (v-whsa_931hsa_932)")</f>
        <v>zaznít (v-whsa_931hsa_932)</v>
      </c>
    </row>
    <row r="68031" customFormat="false" ht="12.8" hidden="false" customHeight="false" outlineLevel="0" collapsed="false">
      <c r="B68031" s="0" t="s">
        <v>7</v>
      </c>
    </row>
    <row r="68033" customFormat="false" ht="12.8" hidden="false" customHeight="false" outlineLevel="0" collapsed="false">
      <c r="A68033" s="0" t="s">
        <v>23134</v>
      </c>
      <c r="B68033" s="0" t="str">
        <f aca="false">HYPERLINK("https://lindat.mff.cuni.cz/services/teitok/pdtc10/index.php?action=vallex&amp;frame=v-w9321f1", "zaznívat (v-w9321f1)")</f>
        <v>zaznívat (v-w9321f1)</v>
      </c>
    </row>
    <row r="68034" customFormat="false" ht="12.8" hidden="false" customHeight="false" outlineLevel="0" collapsed="false">
      <c r="B68034" s="0" t="s">
        <v>641</v>
      </c>
    </row>
    <row r="68035" customFormat="false" ht="12.8" hidden="false" customHeight="false" outlineLevel="0" collapsed="false">
      <c r="B68035" s="0" t="s">
        <v>23135</v>
      </c>
    </row>
    <row r="68037" customFormat="false" ht="12.8" hidden="false" customHeight="false" outlineLevel="0" collapsed="false">
      <c r="A68037" s="0" t="s">
        <v>23136</v>
      </c>
      <c r="B68037" s="0" t="str">
        <f aca="false">HYPERLINK("https://lindat.mff.cuni.cz/services/teitok/pdtc10/index.php?action=vallex&amp;frame=v-w9322f1", "zazpívat (v-w9322f1)")</f>
        <v>zazpívat (v-w9322f1)</v>
      </c>
    </row>
    <row r="68038" customFormat="false" ht="12.8" hidden="false" customHeight="false" outlineLevel="0" collapsed="false">
      <c r="B68038" s="0" t="s">
        <v>7</v>
      </c>
      <c r="C68038" s="0" t="s">
        <v>460</v>
      </c>
      <c r="D68038" s="0" t="s">
        <v>157</v>
      </c>
      <c r="E68038" s="0" t="s">
        <v>157</v>
      </c>
      <c r="F68038" s="0" t="s">
        <v>157</v>
      </c>
    </row>
    <row r="68039" customFormat="false" ht="12.8" hidden="false" customHeight="false" outlineLevel="0" collapsed="false">
      <c r="B68039" s="0" t="s">
        <v>14</v>
      </c>
      <c r="C68039" s="0" t="s">
        <v>74</v>
      </c>
      <c r="D68039" s="0" t="s">
        <v>120</v>
      </c>
      <c r="E68039" s="0" t="s">
        <v>120</v>
      </c>
      <c r="F68039" s="0" t="s">
        <v>120</v>
      </c>
    </row>
    <row r="68040" customFormat="false" ht="12.8" hidden="false" customHeight="false" outlineLevel="0" collapsed="false">
      <c r="B68040" s="0" t="s">
        <v>106</v>
      </c>
    </row>
    <row r="68042" customFormat="false" ht="12.8" hidden="false" customHeight="false" outlineLevel="0" collapsed="false">
      <c r="A68042" s="0" t="s">
        <v>23137</v>
      </c>
      <c r="B68042" s="0" t="str">
        <f aca="false">HYPERLINK("https://lindat.mff.cuni.cz/services/teitok/pdtc10/index.php?action=vallex&amp;frame=v-w9322f3", "zazpívat (v-w9322f3)")</f>
        <v>zazpívat (v-w9322f3)</v>
      </c>
    </row>
    <row r="68043" customFormat="false" ht="12.8" hidden="false" customHeight="false" outlineLevel="0" collapsed="false">
      <c r="B68043" s="0" t="s">
        <v>7</v>
      </c>
    </row>
    <row r="68044" customFormat="false" ht="12.8" hidden="false" customHeight="false" outlineLevel="0" collapsed="false">
      <c r="B68044" s="0" t="s">
        <v>244</v>
      </c>
    </row>
    <row r="68045" customFormat="false" ht="12.8" hidden="false" customHeight="false" outlineLevel="0" collapsed="false">
      <c r="B68045" s="0" t="s">
        <v>106</v>
      </c>
    </row>
    <row r="68047" customFormat="false" ht="12.8" hidden="false" customHeight="false" outlineLevel="0" collapsed="false">
      <c r="A68047" s="0" t="s">
        <v>23138</v>
      </c>
      <c r="B68047" s="0" t="str">
        <f aca="false">HYPERLINK("https://lindat.mff.cuni.cz/services/teitok/pdtc10/index.php?action=vallex&amp;frame=v-w9322f2", "zazpívat (v-w9322f2)")</f>
        <v>zazpívat (v-w9322f2)</v>
      </c>
    </row>
    <row r="68048" customFormat="false" ht="12.8" hidden="false" customHeight="false" outlineLevel="0" collapsed="false">
      <c r="B68048" s="0" t="s">
        <v>7</v>
      </c>
    </row>
    <row r="68049" customFormat="false" ht="12.8" hidden="false" customHeight="false" outlineLevel="0" collapsed="false">
      <c r="B68049" s="0" t="s">
        <v>12378</v>
      </c>
    </row>
    <row r="68050" customFormat="false" ht="12.8" hidden="false" customHeight="false" outlineLevel="0" collapsed="false">
      <c r="B68050" s="0" t="s">
        <v>363</v>
      </c>
    </row>
    <row r="68051" customFormat="false" ht="12.8" hidden="false" customHeight="false" outlineLevel="0" collapsed="false">
      <c r="B68051" s="0" t="s">
        <v>106</v>
      </c>
    </row>
    <row r="68053" customFormat="false" ht="12.8" hidden="false" customHeight="false" outlineLevel="0" collapsed="false">
      <c r="A68053" s="0" t="s">
        <v>23139</v>
      </c>
      <c r="B68053" s="0" t="str">
        <f aca="false">HYPERLINK("https://lindat.mff.cuni.cz/services/teitok/pdtc10/index.php?action=vallex&amp;frame=v-whsa_862hsa_863", "zazpívat si (v-whsa_862hsa_863)")</f>
        <v>zazpívat si (v-whsa_862hsa_863)</v>
      </c>
    </row>
    <row r="68054" customFormat="false" ht="12.8" hidden="false" customHeight="false" outlineLevel="0" collapsed="false">
      <c r="B68054" s="0" t="s">
        <v>7</v>
      </c>
    </row>
    <row r="68056" customFormat="false" ht="12.8" hidden="false" customHeight="false" outlineLevel="0" collapsed="false">
      <c r="A68056" s="0" t="s">
        <v>23140</v>
      </c>
      <c r="B68056" s="0" t="str">
        <f aca="false">HYPERLINK("https://lindat.mff.cuni.cz/services/teitok/pdtc10/index.php?action=vallex&amp;frame=v-whsa_668f1_ZU", "zazvonit (v-whsa_668f1_ZU)")</f>
        <v>zazvonit (v-whsa_668f1_ZU)</v>
      </c>
    </row>
    <row r="68057" customFormat="false" ht="12.8" hidden="false" customHeight="false" outlineLevel="0" collapsed="false">
      <c r="B68057" s="0" t="s">
        <v>7</v>
      </c>
    </row>
    <row r="68059" customFormat="false" ht="12.8" hidden="false" customHeight="false" outlineLevel="0" collapsed="false">
      <c r="A68059" s="0" t="s">
        <v>23140</v>
      </c>
      <c r="B68059" s="0" t="str">
        <f aca="false">HYPERLINK("https://lindat.mff.cuni.cz/services/teitok/pdtc10/index.php?action=vallex&amp;frame=v-whsa_668hsa_669", "zazvonit (v-whsa_668hsa_669) - substituted with v-whsa_668f1_ZU")</f>
        <v>zazvonit (v-whsa_668hsa_669) - substituted with v-whsa_668f1_ZU</v>
      </c>
    </row>
    <row r="68060" customFormat="false" ht="12.8" hidden="false" customHeight="false" outlineLevel="0" collapsed="false">
      <c r="B68060" s="0" t="s">
        <v>7</v>
      </c>
      <c r="C68060" s="0" t="s">
        <v>248</v>
      </c>
      <c r="D68060" s="0" t="s">
        <v>1380</v>
      </c>
      <c r="E68060" s="0" t="s">
        <v>1380</v>
      </c>
      <c r="F68060" s="0" t="s">
        <v>1380</v>
      </c>
    </row>
    <row r="68062" customFormat="false" ht="12.8" hidden="false" customHeight="false" outlineLevel="0" collapsed="false">
      <c r="A68062" s="0" t="s">
        <v>23141</v>
      </c>
      <c r="B68062" s="0" t="str">
        <f aca="false">HYPERLINK("https://lindat.mff.cuni.cz/services/teitok/pdtc10/index.php?action=vallex&amp;frame=v-w9313f2", "zazářit (v-w9313f2)")</f>
        <v>zazářit (v-w9313f2)</v>
      </c>
    </row>
    <row r="68063" customFormat="false" ht="12.8" hidden="false" customHeight="false" outlineLevel="0" collapsed="false">
      <c r="B68063" s="0" t="s">
        <v>603</v>
      </c>
    </row>
    <row r="68064" customFormat="false" ht="12.8" hidden="false" customHeight="false" outlineLevel="0" collapsed="false">
      <c r="B68064" s="0" t="s">
        <v>11</v>
      </c>
    </row>
    <row r="68066" customFormat="false" ht="12.8" hidden="false" customHeight="false" outlineLevel="0" collapsed="false">
      <c r="A68066" s="0" t="s">
        <v>23142</v>
      </c>
      <c r="B68066" s="0" t="str">
        <f aca="false">HYPERLINK("https://lindat.mff.cuni.cz/services/teitok/pdtc10/index.php?action=vallex&amp;frame=v-w9313f1", "zazářit (v-w9313f1)")</f>
        <v>zazářit (v-w9313f1)</v>
      </c>
    </row>
    <row r="68067" customFormat="false" ht="12.8" hidden="false" customHeight="false" outlineLevel="0" collapsed="false">
      <c r="B68067" s="0" t="s">
        <v>7</v>
      </c>
      <c r="E68067" s="0" t="s">
        <v>248</v>
      </c>
      <c r="F68067" s="0" t="s">
        <v>248</v>
      </c>
    </row>
    <row r="68069" customFormat="false" ht="12.8" hidden="false" customHeight="false" outlineLevel="0" collapsed="false">
      <c r="A68069" s="0" t="s">
        <v>23143</v>
      </c>
      <c r="B68069" s="0" t="str">
        <f aca="false">HYPERLINK("https://lindat.mff.cuni.cz/services/teitok/pdtc10/index.php?action=vallex&amp;frame=v-w10652f2", "zaúpět (v-w10652f2)")</f>
        <v>zaúpět (v-w10652f2)</v>
      </c>
    </row>
    <row r="68070" customFormat="false" ht="12.8" hidden="false" customHeight="false" outlineLevel="0" collapsed="false">
      <c r="B68070" s="0" t="s">
        <v>7</v>
      </c>
      <c r="C68070" s="0" t="s">
        <v>46</v>
      </c>
      <c r="D68070" s="0" t="s">
        <v>3051</v>
      </c>
      <c r="E68070" s="0" t="s">
        <v>3051</v>
      </c>
      <c r="F68070" s="0" t="s">
        <v>3051</v>
      </c>
    </row>
    <row r="68071" customFormat="false" ht="12.8" hidden="false" customHeight="false" outlineLevel="0" collapsed="false">
      <c r="B68071" s="0" t="s">
        <v>23144</v>
      </c>
      <c r="C68071" s="0" t="s">
        <v>155</v>
      </c>
      <c r="D68071" s="0" t="s">
        <v>466</v>
      </c>
      <c r="E68071" s="0" t="s">
        <v>466</v>
      </c>
      <c r="F68071" s="0" t="s">
        <v>466</v>
      </c>
    </row>
    <row r="68073" customFormat="false" ht="12.8" hidden="false" customHeight="false" outlineLevel="0" collapsed="false">
      <c r="A68073" s="0" t="s">
        <v>23145</v>
      </c>
      <c r="B68073" s="0" t="str">
        <f aca="false">HYPERLINK("https://lindat.mff.cuni.cz/services/teitok/pdtc10/index.php?action=vallex&amp;frame=v-w9248f1", "zaútočit (v-w9248f1)")</f>
        <v>zaútočit (v-w9248f1)</v>
      </c>
    </row>
    <row r="68074" customFormat="false" ht="12.8" hidden="false" customHeight="false" outlineLevel="0" collapsed="false">
      <c r="B68074" s="0" t="s">
        <v>7</v>
      </c>
      <c r="C68074" s="0" t="s">
        <v>3844</v>
      </c>
      <c r="D68074" s="0" t="s">
        <v>150</v>
      </c>
      <c r="E68074" s="0" t="s">
        <v>150</v>
      </c>
      <c r="F68074" s="0" t="s">
        <v>150</v>
      </c>
    </row>
    <row r="68075" customFormat="false" ht="12.8" hidden="false" customHeight="false" outlineLevel="0" collapsed="false">
      <c r="B68075" s="0" t="s">
        <v>9079</v>
      </c>
      <c r="C68075" s="0" t="s">
        <v>2517</v>
      </c>
      <c r="D68075" s="0" t="s">
        <v>152</v>
      </c>
      <c r="E68075" s="0" t="s">
        <v>152</v>
      </c>
      <c r="F68075" s="0" t="s">
        <v>152</v>
      </c>
    </row>
    <row r="68077" customFormat="false" ht="12.8" hidden="false" customHeight="false" outlineLevel="0" collapsed="false">
      <c r="A68077" s="0" t="s">
        <v>23146</v>
      </c>
      <c r="B68077" s="0" t="str">
        <f aca="false">HYPERLINK("https://lindat.mff.cuni.cz/services/teitok/pdtc10/index.php?action=vallex&amp;frame=v-w10170f2", "zaúčtovat (v-w10170f2)")</f>
        <v>zaúčtovat (v-w10170f2)</v>
      </c>
    </row>
    <row r="68078" customFormat="false" ht="12.8" hidden="false" customHeight="false" outlineLevel="0" collapsed="false">
      <c r="B68078" s="0" t="s">
        <v>7</v>
      </c>
      <c r="C68078" s="0" t="s">
        <v>1263</v>
      </c>
      <c r="D68078" s="0" t="s">
        <v>7173</v>
      </c>
      <c r="E68078" s="0" t="s">
        <v>7173</v>
      </c>
      <c r="F68078" s="0" t="s">
        <v>7173</v>
      </c>
    </row>
    <row r="68079" customFormat="false" ht="12.8" hidden="false" customHeight="false" outlineLevel="0" collapsed="false">
      <c r="B68079" s="0" t="s">
        <v>232</v>
      </c>
      <c r="C68079" s="0" t="s">
        <v>1289</v>
      </c>
      <c r="D68079" s="0" t="s">
        <v>2887</v>
      </c>
      <c r="E68079" s="0" t="s">
        <v>2887</v>
      </c>
      <c r="F68079" s="0" t="s">
        <v>2887</v>
      </c>
    </row>
    <row r="68081" customFormat="false" ht="12.8" hidden="false" customHeight="false" outlineLevel="0" collapsed="false">
      <c r="A68081" s="0" t="s">
        <v>23147</v>
      </c>
      <c r="B68081" s="0" t="str">
        <f aca="false">HYPERLINK("https://lindat.mff.cuni.cz/services/teitok/pdtc10/index.php?action=vallex&amp;frame=v-w8759f1", "začlenit (v-w8759f1)")</f>
        <v>začlenit (v-w8759f1)</v>
      </c>
    </row>
    <row r="68082" customFormat="false" ht="12.8" hidden="false" customHeight="false" outlineLevel="0" collapsed="false">
      <c r="B68082" s="0" t="s">
        <v>7</v>
      </c>
      <c r="C68082" s="0" t="s">
        <v>18908</v>
      </c>
      <c r="D68082" s="0" t="s">
        <v>13551</v>
      </c>
      <c r="E68082" s="0" t="s">
        <v>13551</v>
      </c>
      <c r="F68082" s="0" t="s">
        <v>13551</v>
      </c>
    </row>
    <row r="68083" customFormat="false" ht="12.8" hidden="false" customHeight="false" outlineLevel="0" collapsed="false">
      <c r="B68083" s="0" t="s">
        <v>14</v>
      </c>
      <c r="C68083" s="0" t="s">
        <v>151</v>
      </c>
      <c r="D68083" s="0" t="s">
        <v>13553</v>
      </c>
      <c r="E68083" s="0" t="s">
        <v>13553</v>
      </c>
      <c r="F68083" s="0" t="s">
        <v>13553</v>
      </c>
    </row>
    <row r="68084" customFormat="false" ht="12.8" hidden="false" customHeight="false" outlineLevel="0" collapsed="false">
      <c r="B68084" s="0" t="s">
        <v>124</v>
      </c>
      <c r="C68084" s="0" t="s">
        <v>10132</v>
      </c>
      <c r="D68084" s="0" t="s">
        <v>13555</v>
      </c>
      <c r="E68084" s="0" t="s">
        <v>13555</v>
      </c>
      <c r="F68084" s="0" t="s">
        <v>13555</v>
      </c>
    </row>
    <row r="68086" customFormat="false" ht="12.8" hidden="false" customHeight="false" outlineLevel="0" collapsed="false">
      <c r="A68086" s="0" t="s">
        <v>23148</v>
      </c>
      <c r="B68086" s="0" t="str">
        <f aca="false">HYPERLINK("https://lindat.mff.cuni.cz/services/teitok/pdtc10/index.php?action=vallex&amp;frame=v-whsa_825hsa_826", "začlenit se (v-whsa_825hsa_826)")</f>
        <v>začlenit se (v-whsa_825hsa_826)</v>
      </c>
    </row>
    <row r="68087" customFormat="false" ht="12.8" hidden="false" customHeight="false" outlineLevel="0" collapsed="false">
      <c r="B68087" s="0" t="s">
        <v>7</v>
      </c>
      <c r="D68087" s="0" t="s">
        <v>4223</v>
      </c>
      <c r="E68087" s="0" t="s">
        <v>4223</v>
      </c>
      <c r="F68087" s="0" t="s">
        <v>4223</v>
      </c>
    </row>
    <row r="68088" customFormat="false" ht="12.8" hidden="false" customHeight="false" outlineLevel="0" collapsed="false">
      <c r="B68088" s="0" t="s">
        <v>124</v>
      </c>
      <c r="D68088" s="0" t="s">
        <v>4224</v>
      </c>
      <c r="E68088" s="0" t="s">
        <v>4224</v>
      </c>
      <c r="F68088" s="0" t="s">
        <v>4224</v>
      </c>
    </row>
    <row r="68090" customFormat="false" ht="12.8" hidden="false" customHeight="false" outlineLevel="0" collapsed="false">
      <c r="A68090" s="0" t="s">
        <v>23149</v>
      </c>
      <c r="B68090" s="0" t="str">
        <f aca="false">HYPERLINK("https://lindat.mff.cuni.cz/services/teitok/pdtc10/index.php?action=vallex&amp;frame=v-w8761f1", "začleňovat (v-w8761f1)")</f>
        <v>začleňovat (v-w8761f1)</v>
      </c>
    </row>
    <row r="68091" customFormat="false" ht="12.8" hidden="false" customHeight="false" outlineLevel="0" collapsed="false">
      <c r="B68091" s="0" t="s">
        <v>7</v>
      </c>
      <c r="D68091" s="0" t="s">
        <v>13551</v>
      </c>
      <c r="E68091" s="0" t="s">
        <v>13551</v>
      </c>
      <c r="F68091" s="0" t="s">
        <v>13551</v>
      </c>
    </row>
    <row r="68092" customFormat="false" ht="12.8" hidden="false" customHeight="false" outlineLevel="0" collapsed="false">
      <c r="B68092" s="0" t="s">
        <v>14</v>
      </c>
      <c r="D68092" s="0" t="s">
        <v>13553</v>
      </c>
      <c r="E68092" s="0" t="s">
        <v>13553</v>
      </c>
      <c r="F68092" s="0" t="s">
        <v>13553</v>
      </c>
    </row>
    <row r="68093" customFormat="false" ht="12.8" hidden="false" customHeight="false" outlineLevel="0" collapsed="false">
      <c r="B68093" s="0" t="s">
        <v>124</v>
      </c>
      <c r="D68093" s="0" t="s">
        <v>13555</v>
      </c>
      <c r="E68093" s="0" t="s">
        <v>13555</v>
      </c>
      <c r="F68093" s="0" t="s">
        <v>13555</v>
      </c>
    </row>
    <row r="68095" customFormat="false" ht="12.8" hidden="false" customHeight="false" outlineLevel="0" collapsed="false">
      <c r="A68095" s="0" t="s">
        <v>23150</v>
      </c>
      <c r="B68095" s="0" t="str">
        <f aca="false">HYPERLINK("https://lindat.mff.cuni.cz/services/teitok/pdtc10/index.php?action=vallex&amp;frame=v-w11634_ZUf1_ZU", "začmuchat (v-w11634_ZUf1_ZU)")</f>
        <v>začmuchat (v-w11634_ZUf1_ZU)</v>
      </c>
    </row>
    <row r="68096" customFormat="false" ht="12.8" hidden="false" customHeight="false" outlineLevel="0" collapsed="false">
      <c r="B68096" s="0" t="s">
        <v>7</v>
      </c>
    </row>
    <row r="68098" customFormat="false" ht="12.8" hidden="false" customHeight="false" outlineLevel="0" collapsed="false">
      <c r="A68098" s="0" t="s">
        <v>23151</v>
      </c>
      <c r="B68098" s="0" t="str">
        <f aca="false">HYPERLINK("https://lindat.mff.cuni.cz/services/teitok/pdtc10/index.php?action=vallex&amp;frame=v-whsa_1332hsa_1333", "začoudit se (v-whsa_1332hsa_1333)")</f>
        <v>začoudit se (v-whsa_1332hsa_1333)</v>
      </c>
    </row>
    <row r="68099" customFormat="false" ht="12.8" hidden="false" customHeight="false" outlineLevel="0" collapsed="false">
      <c r="B68099" s="0" t="s">
        <v>7</v>
      </c>
    </row>
    <row r="68101" customFormat="false" ht="12.8" hidden="false" customHeight="false" outlineLevel="0" collapsed="false">
      <c r="A68101" s="0" t="s">
        <v>23152</v>
      </c>
      <c r="B68101" s="0" t="str">
        <f aca="false">HYPERLINK("https://lindat.mff.cuni.cz/services/teitok/pdtc10/index.php?action=vallex&amp;frame=v-w8753f1", "začínat (v-w8753f1)")</f>
        <v>začínat (v-w8753f1)</v>
      </c>
    </row>
    <row r="68102" customFormat="false" ht="12.8" hidden="false" customHeight="false" outlineLevel="0" collapsed="false">
      <c r="B68102" s="0" t="s">
        <v>7</v>
      </c>
      <c r="C68102" s="0" t="s">
        <v>23153</v>
      </c>
      <c r="D68102" s="0" t="s">
        <v>69</v>
      </c>
      <c r="E68102" s="0" t="s">
        <v>69</v>
      </c>
      <c r="F68102" s="0" t="s">
        <v>12497</v>
      </c>
    </row>
    <row r="68103" customFormat="false" ht="12.8" hidden="false" customHeight="false" outlineLevel="0" collapsed="false">
      <c r="B68103" s="0" t="s">
        <v>22534</v>
      </c>
      <c r="C68103" s="0" t="s">
        <v>23154</v>
      </c>
      <c r="D68103" s="0" t="s">
        <v>71</v>
      </c>
      <c r="E68103" s="0" t="s">
        <v>71</v>
      </c>
      <c r="F68103" s="0" t="s">
        <v>14178</v>
      </c>
    </row>
    <row r="68105" customFormat="false" ht="12.8" hidden="false" customHeight="false" outlineLevel="0" collapsed="false">
      <c r="A68105" s="0" t="s">
        <v>23155</v>
      </c>
      <c r="B68105" s="0" t="str">
        <f aca="false">HYPERLINK("https://lindat.mff.cuni.cz/services/teitok/pdtc10/index.php?action=vallex&amp;frame=v-w8753f6_ZU", "začínat (v-w8753f6_ZU)")</f>
        <v>začínat (v-w8753f6_ZU)</v>
      </c>
    </row>
    <row r="68106" customFormat="false" ht="12.8" hidden="false" customHeight="false" outlineLevel="0" collapsed="false">
      <c r="B68106" s="0" t="s">
        <v>7</v>
      </c>
    </row>
    <row r="68107" customFormat="false" ht="12.8" hidden="false" customHeight="false" outlineLevel="0" collapsed="false">
      <c r="B68107" s="0" t="s">
        <v>1059</v>
      </c>
    </row>
    <row r="68109" customFormat="false" ht="12.8" hidden="false" customHeight="false" outlineLevel="0" collapsed="false">
      <c r="A68109" s="0" t="s">
        <v>23155</v>
      </c>
      <c r="B68109" s="0" t="str">
        <f aca="false">HYPERLINK("https://lindat.mff.cuni.cz/services/teitok/pdtc10/index.php?action=vallex&amp;frame=v-w8753f4_ZU", "začínat (v-w8753f4_ZU) - substituted with v-w8753f6_ZU")</f>
        <v>začínat (v-w8753f4_ZU) - substituted with v-w8753f6_ZU</v>
      </c>
    </row>
    <row r="68110" customFormat="false" ht="12.8" hidden="false" customHeight="false" outlineLevel="0" collapsed="false">
      <c r="B68110" s="0" t="s">
        <v>7</v>
      </c>
      <c r="C68110" s="0" t="s">
        <v>23156</v>
      </c>
    </row>
    <row r="68111" customFormat="false" ht="12.8" hidden="false" customHeight="false" outlineLevel="0" collapsed="false">
      <c r="B68111" s="0" t="s">
        <v>1059</v>
      </c>
    </row>
    <row r="68113" customFormat="false" ht="12.8" hidden="false" customHeight="false" outlineLevel="0" collapsed="false">
      <c r="A68113" s="0" t="s">
        <v>23157</v>
      </c>
      <c r="B68113" s="0" t="str">
        <f aca="false">HYPERLINK("https://lindat.mff.cuni.cz/services/teitok/pdtc10/index.php?action=vallex&amp;frame=v-w8753f2", "začínat (v-w8753f2)")</f>
        <v>začínat (v-w8753f2)</v>
      </c>
    </row>
    <row r="68114" customFormat="false" ht="12.8" hidden="false" customHeight="false" outlineLevel="0" collapsed="false">
      <c r="B68114" s="0" t="s">
        <v>265</v>
      </c>
      <c r="C68114" s="0" t="s">
        <v>23158</v>
      </c>
      <c r="D68114" s="0" t="s">
        <v>288</v>
      </c>
      <c r="E68114" s="0" t="s">
        <v>288</v>
      </c>
      <c r="F68114" s="0" t="s">
        <v>288</v>
      </c>
    </row>
    <row r="68116" customFormat="false" ht="12.8" hidden="false" customHeight="false" outlineLevel="0" collapsed="false">
      <c r="A68116" s="0" t="s">
        <v>23159</v>
      </c>
      <c r="B68116" s="0" t="str">
        <f aca="false">HYPERLINK("https://lindat.mff.cuni.cz/services/teitok/pdtc10/index.php?action=vallex&amp;frame=v-w8753f3", "začínat (v-w8753f3)")</f>
        <v>začínat (v-w8753f3)</v>
      </c>
    </row>
    <row r="68117" customFormat="false" ht="12.8" hidden="false" customHeight="false" outlineLevel="0" collapsed="false">
      <c r="B68117" s="0" t="s">
        <v>7</v>
      </c>
      <c r="C68117" s="0" t="s">
        <v>23160</v>
      </c>
    </row>
    <row r="68118" customFormat="false" ht="12.8" hidden="false" customHeight="false" outlineLevel="0" collapsed="false">
      <c r="B68118" s="0" t="s">
        <v>552</v>
      </c>
    </row>
    <row r="68119" customFormat="false" ht="12.8" hidden="false" customHeight="false" outlineLevel="0" collapsed="false">
      <c r="B68119" s="0" t="s">
        <v>474</v>
      </c>
    </row>
    <row r="68120" customFormat="false" ht="12.8" hidden="false" customHeight="false" outlineLevel="0" collapsed="false">
      <c r="B68120" s="0" t="s">
        <v>477</v>
      </c>
      <c r="C68120" s="0" t="s">
        <v>23161</v>
      </c>
    </row>
    <row r="68121" customFormat="false" ht="12.8" hidden="false" customHeight="false" outlineLevel="0" collapsed="false">
      <c r="B68121" s="0" t="s">
        <v>479</v>
      </c>
    </row>
    <row r="68122" customFormat="false" ht="12.8" hidden="false" customHeight="false" outlineLevel="0" collapsed="false">
      <c r="B68122" s="0" t="s">
        <v>481</v>
      </c>
    </row>
    <row r="68124" customFormat="false" ht="12.8" hidden="false" customHeight="false" outlineLevel="0" collapsed="false">
      <c r="A68124" s="0" t="s">
        <v>23162</v>
      </c>
      <c r="B68124" s="0" t="str">
        <f aca="false">HYPERLINK("https://lindat.mff.cuni.cz/services/teitok/pdtc10/index.php?action=vallex&amp;frame=v-w8753f5_ZU", "začínat (v-w8753f5_ZU)")</f>
        <v>začínat (v-w8753f5_ZU)</v>
      </c>
    </row>
    <row r="68125" customFormat="false" ht="12.8" hidden="false" customHeight="false" outlineLevel="0" collapsed="false">
      <c r="B68125" s="0" t="s">
        <v>7</v>
      </c>
    </row>
    <row r="68126" customFormat="false" ht="12.8" hidden="false" customHeight="false" outlineLevel="0" collapsed="false">
      <c r="B68126" s="0" t="s">
        <v>23163</v>
      </c>
    </row>
    <row r="68127" customFormat="false" ht="12.8" hidden="false" customHeight="false" outlineLevel="0" collapsed="false">
      <c r="B68127" s="0" t="s">
        <v>23164</v>
      </c>
    </row>
    <row r="68129" customFormat="false" ht="12.8" hidden="false" customHeight="false" outlineLevel="0" collapsed="false">
      <c r="A68129" s="0" t="s">
        <v>23162</v>
      </c>
      <c r="B68129" s="0" t="str">
        <f aca="false">HYPERLINK("https://lindat.mff.cuni.cz/services/teitok/pdtc10/index.php?action=vallex&amp;frame=v-w8753hsa_1020", "začínat (v-w8753hsa_1020) - substituted with v-w8753f5_ZU")</f>
        <v>začínat (v-w8753hsa_1020) - substituted with v-w8753f5_ZU</v>
      </c>
    </row>
    <row r="68130" customFormat="false" ht="12.8" hidden="false" customHeight="false" outlineLevel="0" collapsed="false">
      <c r="B68130" s="0" t="s">
        <v>7</v>
      </c>
    </row>
    <row r="68131" customFormat="false" ht="12.8" hidden="false" customHeight="false" outlineLevel="0" collapsed="false">
      <c r="B68131" s="0" t="s">
        <v>23163</v>
      </c>
    </row>
    <row r="68132" customFormat="false" ht="12.8" hidden="false" customHeight="false" outlineLevel="0" collapsed="false">
      <c r="B68132" s="0" t="s">
        <v>23164</v>
      </c>
    </row>
    <row r="68134" customFormat="false" ht="12.8" hidden="false" customHeight="false" outlineLevel="0" collapsed="false">
      <c r="A68134" s="0" t="s">
        <v>23165</v>
      </c>
      <c r="B68134" s="0" t="str">
        <f aca="false">HYPERLINK("https://lindat.mff.cuni.cz/services/teitok/pdtc10/index.php?action=vallex&amp;frame=v-w8754f1", "začínat si (v-w8754f1)")</f>
        <v>začínat si (v-w8754f1)</v>
      </c>
    </row>
    <row r="68135" customFormat="false" ht="12.8" hidden="false" customHeight="false" outlineLevel="0" collapsed="false">
      <c r="B68135" s="0" t="s">
        <v>7</v>
      </c>
    </row>
    <row r="68136" customFormat="false" ht="12.8" hidden="false" customHeight="false" outlineLevel="0" collapsed="false">
      <c r="B68136" s="0" t="s">
        <v>14</v>
      </c>
    </row>
    <row r="68137" customFormat="false" ht="12.8" hidden="false" customHeight="false" outlineLevel="0" collapsed="false">
      <c r="B68137" s="0" t="s">
        <v>207</v>
      </c>
    </row>
    <row r="68139" customFormat="false" ht="12.8" hidden="false" customHeight="false" outlineLevel="0" collapsed="false">
      <c r="A68139" s="0" t="s">
        <v>23166</v>
      </c>
      <c r="B68139" s="0" t="str">
        <f aca="false">HYPERLINK("https://lindat.mff.cuni.cz/services/teitok/pdtc10/index.php?action=vallex&amp;frame=v-w8755f1", "začíst se (v-w8755f1)")</f>
        <v>začíst se (v-w8755f1)</v>
      </c>
    </row>
    <row r="68140" customFormat="false" ht="12.8" hidden="false" customHeight="false" outlineLevel="0" collapsed="false">
      <c r="B68140" s="0" t="s">
        <v>7</v>
      </c>
    </row>
    <row r="68141" customFormat="false" ht="12.8" hidden="false" customHeight="false" outlineLevel="0" collapsed="false">
      <c r="B68141" s="0" t="s">
        <v>985</v>
      </c>
    </row>
    <row r="68143" customFormat="false" ht="12.8" hidden="false" customHeight="false" outlineLevel="0" collapsed="false">
      <c r="A68143" s="0" t="s">
        <v>23167</v>
      </c>
      <c r="B68143" s="0" t="str">
        <f aca="false">HYPERLINK("https://lindat.mff.cuni.cz/services/teitok/pdtc10/index.php?action=vallex&amp;frame=v-w8756f4_ZU", "začít (v-w8756f4_ZU)")</f>
        <v>začít (v-w8756f4_ZU)</v>
      </c>
    </row>
    <row r="68144" customFormat="false" ht="12.8" hidden="false" customHeight="false" outlineLevel="0" collapsed="false">
      <c r="B68144" s="0" t="s">
        <v>16737</v>
      </c>
    </row>
    <row r="68145" customFormat="false" ht="12.8" hidden="false" customHeight="false" outlineLevel="0" collapsed="false">
      <c r="B68145" s="0" t="s">
        <v>22534</v>
      </c>
    </row>
    <row r="68147" customFormat="false" ht="12.8" hidden="false" customHeight="false" outlineLevel="0" collapsed="false">
      <c r="A68147" s="0" t="s">
        <v>23167</v>
      </c>
      <c r="B68147" s="0" t="str">
        <f aca="false">HYPERLINK("https://lindat.mff.cuni.cz/services/teitok/pdtc10/index.php?action=vallex&amp;frame=v-w8756f1", "začít (v-w8756f1) - substituted with v-w8756f4_ZU")</f>
        <v>začít (v-w8756f1) - substituted with v-w8756f4_ZU</v>
      </c>
    </row>
    <row r="68148" customFormat="false" ht="12.8" hidden="false" customHeight="false" outlineLevel="0" collapsed="false">
      <c r="B68148" s="0" t="s">
        <v>16737</v>
      </c>
      <c r="C68148" s="0" t="s">
        <v>23168</v>
      </c>
      <c r="D68148" s="0" t="s">
        <v>69</v>
      </c>
      <c r="E68148" s="0" t="s">
        <v>69</v>
      </c>
      <c r="F68148" s="0" t="s">
        <v>12497</v>
      </c>
    </row>
    <row r="68149" customFormat="false" ht="12.8" hidden="false" customHeight="false" outlineLevel="0" collapsed="false">
      <c r="B68149" s="0" t="s">
        <v>22534</v>
      </c>
      <c r="C68149" s="0" t="s">
        <v>23169</v>
      </c>
      <c r="D68149" s="0" t="s">
        <v>71</v>
      </c>
      <c r="E68149" s="0" t="s">
        <v>71</v>
      </c>
      <c r="F68149" s="0" t="s">
        <v>14178</v>
      </c>
    </row>
    <row r="68151" customFormat="false" ht="12.8" hidden="false" customHeight="false" outlineLevel="0" collapsed="false">
      <c r="A68151" s="0" t="s">
        <v>23170</v>
      </c>
      <c r="B68151" s="0" t="str">
        <f aca="false">HYPERLINK("https://lindat.mff.cuni.cz/services/teitok/pdtc10/index.php?action=vallex&amp;frame=v-w8756f2", "začít (v-w8756f2)")</f>
        <v>začít (v-w8756f2)</v>
      </c>
    </row>
    <row r="68152" customFormat="false" ht="12.8" hidden="false" customHeight="false" outlineLevel="0" collapsed="false">
      <c r="B68152" s="0" t="s">
        <v>265</v>
      </c>
      <c r="C68152" s="0" t="s">
        <v>23171</v>
      </c>
      <c r="D68152" s="0" t="s">
        <v>288</v>
      </c>
      <c r="E68152" s="0" t="s">
        <v>288</v>
      </c>
      <c r="F68152" s="0" t="s">
        <v>288</v>
      </c>
    </row>
    <row r="68154" customFormat="false" ht="12.8" hidden="false" customHeight="false" outlineLevel="0" collapsed="false">
      <c r="A68154" s="0" t="s">
        <v>23172</v>
      </c>
      <c r="B68154" s="0" t="str">
        <f aca="false">HYPERLINK("https://lindat.mff.cuni.cz/services/teitok/pdtc10/index.php?action=vallex&amp;frame=v-w8756f3_ZU", "začít (v-w8756f3_ZU)")</f>
        <v>začít (v-w8756f3_ZU)</v>
      </c>
    </row>
    <row r="68155" customFormat="false" ht="12.8" hidden="false" customHeight="false" outlineLevel="0" collapsed="false">
      <c r="B68155" s="0" t="s">
        <v>7</v>
      </c>
      <c r="C68155" s="0" t="s">
        <v>23173</v>
      </c>
    </row>
    <row r="68156" customFormat="false" ht="12.8" hidden="false" customHeight="false" outlineLevel="0" collapsed="false">
      <c r="B68156" s="0" t="s">
        <v>23174</v>
      </c>
    </row>
    <row r="68157" customFormat="false" ht="12.8" hidden="false" customHeight="false" outlineLevel="0" collapsed="false">
      <c r="B68157" s="0" t="s">
        <v>86</v>
      </c>
      <c r="C68157" s="0" t="s">
        <v>2558</v>
      </c>
    </row>
    <row r="68159" customFormat="false" ht="12.8" hidden="false" customHeight="false" outlineLevel="0" collapsed="false">
      <c r="A68159" s="0" t="s">
        <v>23175</v>
      </c>
      <c r="B68159" s="0" t="str">
        <f aca="false">HYPERLINK("https://lindat.mff.cuni.cz/services/teitok/pdtc10/index.php?action=vallex&amp;frame=v-w8756hsa_337", "začít (v-w8756hsa_337)")</f>
        <v>začít (v-w8756hsa_337)</v>
      </c>
    </row>
    <row r="68160" customFormat="false" ht="12.8" hidden="false" customHeight="false" outlineLevel="0" collapsed="false">
      <c r="B68160" s="0" t="s">
        <v>7</v>
      </c>
    </row>
    <row r="68161" customFormat="false" ht="12.8" hidden="false" customHeight="false" outlineLevel="0" collapsed="false">
      <c r="B68161" s="0" t="s">
        <v>552</v>
      </c>
    </row>
    <row r="68162" customFormat="false" ht="12.8" hidden="false" customHeight="false" outlineLevel="0" collapsed="false">
      <c r="B68162" s="0" t="s">
        <v>474</v>
      </c>
    </row>
    <row r="68163" customFormat="false" ht="12.8" hidden="false" customHeight="false" outlineLevel="0" collapsed="false">
      <c r="B68163" s="0" t="s">
        <v>477</v>
      </c>
    </row>
    <row r="68164" customFormat="false" ht="12.8" hidden="false" customHeight="false" outlineLevel="0" collapsed="false">
      <c r="B68164" s="0" t="s">
        <v>479</v>
      </c>
    </row>
    <row r="68165" customFormat="false" ht="12.8" hidden="false" customHeight="false" outlineLevel="0" collapsed="false">
      <c r="B68165" s="0" t="s">
        <v>481</v>
      </c>
    </row>
    <row r="68167" customFormat="false" ht="12.8" hidden="false" customHeight="false" outlineLevel="0" collapsed="false">
      <c r="A68167" s="0" t="s">
        <v>23176</v>
      </c>
      <c r="B68167" s="0" t="str">
        <f aca="false">HYPERLINK("https://lindat.mff.cuni.cz/services/teitok/pdtc10/index.php?action=vallex&amp;frame=v-w8757f1", "začít si (v-w8757f1)")</f>
        <v>začít si (v-w8757f1)</v>
      </c>
    </row>
    <row r="68168" customFormat="false" ht="12.8" hidden="false" customHeight="false" outlineLevel="0" collapsed="false">
      <c r="B68168" s="0" t="s">
        <v>7</v>
      </c>
    </row>
    <row r="68169" customFormat="false" ht="12.8" hidden="false" customHeight="false" outlineLevel="0" collapsed="false">
      <c r="B68169" s="0" t="s">
        <v>14</v>
      </c>
    </row>
    <row r="68170" customFormat="false" ht="12.8" hidden="false" customHeight="false" outlineLevel="0" collapsed="false">
      <c r="B68170" s="0" t="s">
        <v>207</v>
      </c>
    </row>
    <row r="68172" customFormat="false" ht="12.8" hidden="false" customHeight="false" outlineLevel="0" collapsed="false">
      <c r="A68172" s="0" t="s">
        <v>23177</v>
      </c>
      <c r="B68172" s="0" t="str">
        <f aca="false">HYPERLINK("https://lindat.mff.cuni.cz/services/teitok/pdtc10/index.php?action=vallex&amp;frame=v-w9097f4_ZU", "zařadit (v-w9097f4_ZU)")</f>
        <v>zařadit (v-w9097f4_ZU)</v>
      </c>
    </row>
    <row r="68173" customFormat="false" ht="12.8" hidden="false" customHeight="false" outlineLevel="0" collapsed="false">
      <c r="B68173" s="0" t="s">
        <v>7</v>
      </c>
    </row>
    <row r="68174" customFormat="false" ht="12.8" hidden="false" customHeight="false" outlineLevel="0" collapsed="false">
      <c r="B68174" s="0" t="s">
        <v>14</v>
      </c>
    </row>
    <row r="68175" customFormat="false" ht="12.8" hidden="false" customHeight="false" outlineLevel="0" collapsed="false">
      <c r="B68175" s="0" t="s">
        <v>124</v>
      </c>
    </row>
    <row r="68177" customFormat="false" ht="12.8" hidden="false" customHeight="false" outlineLevel="0" collapsed="false">
      <c r="A68177" s="0" t="s">
        <v>23177</v>
      </c>
      <c r="B68177" s="0" t="str">
        <f aca="false">HYPERLINK("https://lindat.mff.cuni.cz/services/teitok/pdtc10/index.php?action=vallex&amp;frame=v-w9097f1", "zařadit (v-w9097f1) - substituted with v-w9097f4_ZU")</f>
        <v>zařadit (v-w9097f1) - substituted with v-w9097f4_ZU</v>
      </c>
    </row>
    <row r="68178" customFormat="false" ht="12.8" hidden="false" customHeight="false" outlineLevel="0" collapsed="false">
      <c r="B68178" s="0" t="s">
        <v>7</v>
      </c>
    </row>
    <row r="68179" customFormat="false" ht="12.8" hidden="false" customHeight="false" outlineLevel="0" collapsed="false">
      <c r="B68179" s="0" t="s">
        <v>14</v>
      </c>
      <c r="C68179" s="0" t="s">
        <v>23178</v>
      </c>
    </row>
    <row r="68180" customFormat="false" ht="12.8" hidden="false" customHeight="false" outlineLevel="0" collapsed="false">
      <c r="B68180" s="0" t="s">
        <v>124</v>
      </c>
      <c r="C68180" s="0" t="s">
        <v>23179</v>
      </c>
    </row>
    <row r="68182" customFormat="false" ht="12.8" hidden="false" customHeight="false" outlineLevel="0" collapsed="false">
      <c r="A68182" s="0" t="s">
        <v>23180</v>
      </c>
      <c r="B68182" s="0" t="str">
        <f aca="false">HYPERLINK("https://lindat.mff.cuni.cz/services/teitok/pdtc10/index.php?action=vallex&amp;frame=v-w9097f2", "zařadit (v-w9097f2)")</f>
        <v>zařadit (v-w9097f2)</v>
      </c>
    </row>
    <row r="68183" customFormat="false" ht="12.8" hidden="false" customHeight="false" outlineLevel="0" collapsed="false">
      <c r="B68183" s="0" t="s">
        <v>7</v>
      </c>
      <c r="C68183" s="0" t="s">
        <v>2199</v>
      </c>
      <c r="D68183" s="0" t="s">
        <v>13454</v>
      </c>
      <c r="E68183" s="0" t="s">
        <v>13454</v>
      </c>
      <c r="F68183" s="0" t="s">
        <v>13454</v>
      </c>
    </row>
    <row r="68184" customFormat="false" ht="12.8" hidden="false" customHeight="false" outlineLevel="0" collapsed="false">
      <c r="B68184" s="0" t="s">
        <v>14</v>
      </c>
      <c r="C68184" s="0" t="s">
        <v>4772</v>
      </c>
      <c r="D68184" s="0" t="s">
        <v>13455</v>
      </c>
      <c r="E68184" s="0" t="s">
        <v>13455</v>
      </c>
      <c r="F68184" s="0" t="s">
        <v>13455</v>
      </c>
    </row>
    <row r="68185" customFormat="false" ht="12.8" hidden="false" customHeight="false" outlineLevel="0" collapsed="false">
      <c r="B68185" s="0" t="s">
        <v>124</v>
      </c>
      <c r="C68185" s="0" t="s">
        <v>12621</v>
      </c>
      <c r="D68185" s="0" t="s">
        <v>4224</v>
      </c>
      <c r="E68185" s="0" t="s">
        <v>4224</v>
      </c>
      <c r="F68185" s="0" t="s">
        <v>4224</v>
      </c>
    </row>
    <row r="68187" customFormat="false" ht="12.8" hidden="false" customHeight="false" outlineLevel="0" collapsed="false">
      <c r="A68187" s="0" t="s">
        <v>23181</v>
      </c>
      <c r="B68187" s="0" t="str">
        <f aca="false">HYPERLINK("https://lindat.mff.cuni.cz/services/teitok/pdtc10/index.php?action=vallex&amp;frame=v-w9097f3", "zařadit (v-w9097f3)")</f>
        <v>zařadit (v-w9097f3)</v>
      </c>
    </row>
    <row r="68188" customFormat="false" ht="12.8" hidden="false" customHeight="false" outlineLevel="0" collapsed="false">
      <c r="B68188" s="0" t="s">
        <v>7</v>
      </c>
    </row>
    <row r="68189" customFormat="false" ht="12.8" hidden="false" customHeight="false" outlineLevel="0" collapsed="false">
      <c r="B68189" s="0" t="s">
        <v>14</v>
      </c>
    </row>
    <row r="68191" customFormat="false" ht="12.8" hidden="false" customHeight="false" outlineLevel="0" collapsed="false">
      <c r="A68191" s="0" t="s">
        <v>23182</v>
      </c>
      <c r="B68191" s="0" t="str">
        <f aca="false">HYPERLINK("https://lindat.mff.cuni.cz/services/teitok/pdtc10/index.php?action=vallex&amp;frame=v-w9097hsa_609", "zařadit (v-w9097hsa_609)")</f>
        <v>zařadit (v-w9097hsa_609)</v>
      </c>
    </row>
    <row r="68192" customFormat="false" ht="12.8" hidden="false" customHeight="false" outlineLevel="0" collapsed="false">
      <c r="B68192" s="0" t="s">
        <v>7</v>
      </c>
    </row>
    <row r="68193" customFormat="false" ht="12.8" hidden="false" customHeight="false" outlineLevel="0" collapsed="false">
      <c r="B68193" s="0" t="s">
        <v>14</v>
      </c>
    </row>
    <row r="68194" customFormat="false" ht="12.8" hidden="false" customHeight="false" outlineLevel="0" collapsed="false">
      <c r="B68194" s="0" t="s">
        <v>1492</v>
      </c>
    </row>
    <row r="68196" customFormat="false" ht="12.8" hidden="false" customHeight="false" outlineLevel="0" collapsed="false">
      <c r="A68196" s="0" t="s">
        <v>23183</v>
      </c>
      <c r="B68196" s="0" t="str">
        <f aca="false">HYPERLINK("https://lindat.mff.cuni.cz/services/teitok/pdtc10/index.php?action=vallex&amp;frame=v-w9098f1", "zařadit se (v-w9098f1)")</f>
        <v>zařadit se (v-w9098f1)</v>
      </c>
    </row>
    <row r="68197" customFormat="false" ht="12.8" hidden="false" customHeight="false" outlineLevel="0" collapsed="false">
      <c r="B68197" s="0" t="s">
        <v>7</v>
      </c>
      <c r="C68197" s="0" t="s">
        <v>23184</v>
      </c>
      <c r="D68197" s="0" t="s">
        <v>7508</v>
      </c>
      <c r="E68197" s="0" t="s">
        <v>7508</v>
      </c>
      <c r="F68197" s="0" t="s">
        <v>7508</v>
      </c>
    </row>
    <row r="68198" customFormat="false" ht="12.8" hidden="false" customHeight="false" outlineLevel="0" collapsed="false">
      <c r="B68198" s="0" t="s">
        <v>124</v>
      </c>
      <c r="C68198" s="0" t="s">
        <v>23185</v>
      </c>
      <c r="D68198" s="0" t="s">
        <v>7509</v>
      </c>
      <c r="E68198" s="0" t="s">
        <v>7509</v>
      </c>
      <c r="F68198" s="0" t="s">
        <v>7509</v>
      </c>
    </row>
    <row r="68200" customFormat="false" ht="12.8" hidden="false" customHeight="false" outlineLevel="0" collapsed="false">
      <c r="A68200" s="0" t="s">
        <v>23186</v>
      </c>
      <c r="B68200" s="0" t="str">
        <f aca="false">HYPERLINK("https://lindat.mff.cuni.cz/services/teitok/pdtc10/index.php?action=vallex&amp;frame=v-w9098hsa_924", "zařadit se (v-w9098hsa_924)")</f>
        <v>zařadit se (v-w9098hsa_924)</v>
      </c>
    </row>
    <row r="68201" customFormat="false" ht="12.8" hidden="false" customHeight="false" outlineLevel="0" collapsed="false">
      <c r="B68201" s="0" t="s">
        <v>7</v>
      </c>
    </row>
    <row r="68202" customFormat="false" ht="12.8" hidden="false" customHeight="false" outlineLevel="0" collapsed="false">
      <c r="B68202" s="0" t="s">
        <v>124</v>
      </c>
    </row>
    <row r="68204" customFormat="false" ht="12.8" hidden="false" customHeight="false" outlineLevel="0" collapsed="false">
      <c r="A68204" s="0" t="s">
        <v>23187</v>
      </c>
      <c r="B68204" s="0" t="str">
        <f aca="false">HYPERLINK("https://lindat.mff.cuni.cz/services/teitok/pdtc10/index.php?action=vallex&amp;frame=v-w9102f1", "zařazovat (v-w9102f1)")</f>
        <v>zařazovat (v-w9102f1)</v>
      </c>
    </row>
    <row r="68205" customFormat="false" ht="12.8" hidden="false" customHeight="false" outlineLevel="0" collapsed="false">
      <c r="B68205" s="0" t="s">
        <v>7</v>
      </c>
    </row>
    <row r="68206" customFormat="false" ht="12.8" hidden="false" customHeight="false" outlineLevel="0" collapsed="false">
      <c r="B68206" s="0" t="s">
        <v>14</v>
      </c>
    </row>
    <row r="68207" customFormat="false" ht="12.8" hidden="false" customHeight="false" outlineLevel="0" collapsed="false">
      <c r="B68207" s="0" t="s">
        <v>124</v>
      </c>
    </row>
    <row r="68209" customFormat="false" ht="12.8" hidden="false" customHeight="false" outlineLevel="0" collapsed="false">
      <c r="A68209" s="0" t="s">
        <v>23188</v>
      </c>
      <c r="B68209" s="0" t="str">
        <f aca="false">HYPERLINK("https://lindat.mff.cuni.cz/services/teitok/pdtc10/index.php?action=vallex&amp;frame=v-w9102f2", "zařazovat (v-w9102f2)")</f>
        <v>zařazovat (v-w9102f2)</v>
      </c>
    </row>
    <row r="68210" customFormat="false" ht="12.8" hidden="false" customHeight="false" outlineLevel="0" collapsed="false">
      <c r="B68210" s="0" t="s">
        <v>7</v>
      </c>
      <c r="C68210" s="0" t="s">
        <v>191</v>
      </c>
      <c r="D68210" s="0" t="s">
        <v>23189</v>
      </c>
      <c r="E68210" s="0" t="s">
        <v>23189</v>
      </c>
      <c r="F68210" s="0" t="s">
        <v>23189</v>
      </c>
    </row>
    <row r="68211" customFormat="false" ht="12.8" hidden="false" customHeight="false" outlineLevel="0" collapsed="false">
      <c r="B68211" s="0" t="s">
        <v>14</v>
      </c>
      <c r="C68211" s="0" t="s">
        <v>155</v>
      </c>
      <c r="D68211" s="0" t="s">
        <v>23190</v>
      </c>
      <c r="E68211" s="0" t="s">
        <v>23190</v>
      </c>
      <c r="F68211" s="0" t="s">
        <v>23190</v>
      </c>
    </row>
    <row r="68212" customFormat="false" ht="12.8" hidden="false" customHeight="false" outlineLevel="0" collapsed="false">
      <c r="B68212" s="0" t="s">
        <v>124</v>
      </c>
      <c r="C68212" s="0" t="s">
        <v>23191</v>
      </c>
      <c r="D68212" s="0" t="s">
        <v>23192</v>
      </c>
      <c r="E68212" s="0" t="s">
        <v>23192</v>
      </c>
      <c r="F68212" s="0" t="s">
        <v>23192</v>
      </c>
    </row>
    <row r="68214" customFormat="false" ht="12.8" hidden="false" customHeight="false" outlineLevel="0" collapsed="false">
      <c r="A68214" s="0" t="s">
        <v>23193</v>
      </c>
      <c r="B68214" s="0" t="str">
        <f aca="false">HYPERLINK("https://lindat.mff.cuni.cz/services/teitok/pdtc10/index.php?action=vallex&amp;frame=v-whsa_1195f1_ZU", "zařazovat se (v-whsa_1195f1_ZU)")</f>
        <v>zařazovat se (v-whsa_1195f1_ZU)</v>
      </c>
    </row>
    <row r="68215" customFormat="false" ht="12.8" hidden="false" customHeight="false" outlineLevel="0" collapsed="false">
      <c r="B68215" s="0" t="s">
        <v>7</v>
      </c>
    </row>
    <row r="68216" customFormat="false" ht="12.8" hidden="false" customHeight="false" outlineLevel="0" collapsed="false">
      <c r="B68216" s="0" t="s">
        <v>23194</v>
      </c>
    </row>
    <row r="68218" customFormat="false" ht="12.8" hidden="false" customHeight="false" outlineLevel="0" collapsed="false">
      <c r="A68218" s="0" t="s">
        <v>23193</v>
      </c>
      <c r="B68218" s="0" t="str">
        <f aca="false">HYPERLINK("https://lindat.mff.cuni.cz/services/teitok/pdtc10/index.php?action=vallex&amp;frame=v-whsa_1195hsa_1196", "zařazovat se (v-whsa_1195hsa_1196) - substituted with v-whsa_1195f1_ZU")</f>
        <v>zařazovat se (v-whsa_1195hsa_1196) - substituted with v-whsa_1195f1_ZU</v>
      </c>
    </row>
    <row r="68219" customFormat="false" ht="12.8" hidden="false" customHeight="false" outlineLevel="0" collapsed="false">
      <c r="B68219" s="0" t="s">
        <v>7</v>
      </c>
    </row>
    <row r="68220" customFormat="false" ht="12.8" hidden="false" customHeight="false" outlineLevel="0" collapsed="false">
      <c r="B68220" s="0" t="s">
        <v>23194</v>
      </c>
    </row>
    <row r="68222" customFormat="false" ht="12.8" hidden="false" customHeight="false" outlineLevel="0" collapsed="false">
      <c r="A68222" s="0" t="s">
        <v>23195</v>
      </c>
      <c r="B68222" s="0" t="str">
        <f aca="false">HYPERLINK("https://lindat.mff.cuni.cz/services/teitok/pdtc10/index.php?action=vallex&amp;frame=v-w9103f1", "zařeknout se (v-w9103f1)")</f>
        <v>zařeknout se (v-w9103f1)</v>
      </c>
    </row>
    <row r="68223" customFormat="false" ht="12.8" hidden="false" customHeight="false" outlineLevel="0" collapsed="false">
      <c r="B68223" s="0" t="s">
        <v>7</v>
      </c>
      <c r="C68223" s="0" t="s">
        <v>1142</v>
      </c>
      <c r="D68223" s="0" t="s">
        <v>14142</v>
      </c>
      <c r="E68223" s="0" t="s">
        <v>14142</v>
      </c>
      <c r="F68223" s="0" t="s">
        <v>14142</v>
      </c>
    </row>
    <row r="68224" customFormat="false" ht="12.8" hidden="false" customHeight="false" outlineLevel="0" collapsed="false">
      <c r="B68224" s="0" t="s">
        <v>2933</v>
      </c>
      <c r="C68224" s="0" t="s">
        <v>5444</v>
      </c>
      <c r="D68224" s="0" t="s">
        <v>14145</v>
      </c>
      <c r="E68224" s="0" t="s">
        <v>14145</v>
      </c>
      <c r="F68224" s="0" t="s">
        <v>14145</v>
      </c>
    </row>
    <row r="68226" customFormat="false" ht="12.8" hidden="false" customHeight="false" outlineLevel="0" collapsed="false">
      <c r="A68226" s="0" t="s">
        <v>23196</v>
      </c>
      <c r="B68226" s="0" t="str">
        <f aca="false">HYPERLINK("https://lindat.mff.cuni.cz/services/teitok/pdtc10/index.php?action=vallex&amp;frame=v-w11639_ZUf1_ZU", "zařezávat se (v-w11639_ZUf1_ZU)")</f>
        <v>zařezávat se (v-w11639_ZUf1_ZU)</v>
      </c>
    </row>
    <row r="68227" customFormat="false" ht="12.8" hidden="false" customHeight="false" outlineLevel="0" collapsed="false">
      <c r="B68227" s="0" t="s">
        <v>7</v>
      </c>
      <c r="C68227" s="0" t="s">
        <v>31</v>
      </c>
    </row>
    <row r="68228" customFormat="false" ht="12.8" hidden="false" customHeight="false" outlineLevel="0" collapsed="false">
      <c r="B68228" s="0" t="s">
        <v>985</v>
      </c>
      <c r="C68228" s="0" t="s">
        <v>22828</v>
      </c>
    </row>
    <row r="68230" customFormat="false" ht="12.8" hidden="false" customHeight="false" outlineLevel="0" collapsed="false">
      <c r="A68230" s="0" t="s">
        <v>23197</v>
      </c>
      <c r="B68230" s="0" t="str">
        <f aca="false">HYPERLINK("https://lindat.mff.cuni.cz/services/teitok/pdtc10/index.php?action=vallex&amp;frame=v-w9110f1", "zařizovat (v-w9110f1)")</f>
        <v>zařizovat (v-w9110f1)</v>
      </c>
    </row>
    <row r="68231" customFormat="false" ht="12.8" hidden="false" customHeight="false" outlineLevel="0" collapsed="false">
      <c r="B68231" s="0" t="s">
        <v>7</v>
      </c>
      <c r="C68231" s="0" t="s">
        <v>46</v>
      </c>
      <c r="D68231" s="0" t="s">
        <v>8931</v>
      </c>
      <c r="E68231" s="0" t="s">
        <v>8931</v>
      </c>
      <c r="F68231" s="0" t="s">
        <v>8931</v>
      </c>
    </row>
    <row r="68232" customFormat="false" ht="12.8" hidden="false" customHeight="false" outlineLevel="0" collapsed="false">
      <c r="B68232" s="0" t="s">
        <v>14</v>
      </c>
      <c r="C68232" s="0" t="s">
        <v>1170</v>
      </c>
      <c r="D68232" s="0" t="s">
        <v>8932</v>
      </c>
      <c r="E68232" s="0" t="s">
        <v>8932</v>
      </c>
      <c r="F68232" s="0" t="s">
        <v>8932</v>
      </c>
    </row>
    <row r="68234" customFormat="false" ht="12.8" hidden="false" customHeight="false" outlineLevel="0" collapsed="false">
      <c r="A68234" s="0" t="s">
        <v>23198</v>
      </c>
      <c r="B68234" s="0" t="str">
        <f aca="false">HYPERLINK("https://lindat.mff.cuni.cz/services/teitok/pdtc10/index.php?action=vallex&amp;frame=v-w9110hsa_1617", "zařizovat (v-w9110hsa_1617)")</f>
        <v>zařizovat (v-w9110hsa_1617)</v>
      </c>
    </row>
    <row r="68235" customFormat="false" ht="12.8" hidden="false" customHeight="false" outlineLevel="0" collapsed="false">
      <c r="B68235" s="0" t="s">
        <v>7</v>
      </c>
    </row>
    <row r="68236" customFormat="false" ht="12.8" hidden="false" customHeight="false" outlineLevel="0" collapsed="false">
      <c r="B68236" s="0" t="s">
        <v>14</v>
      </c>
    </row>
    <row r="68238" customFormat="false" ht="12.8" hidden="false" customHeight="false" outlineLevel="0" collapsed="false">
      <c r="A68238" s="0" t="s">
        <v>23199</v>
      </c>
      <c r="B68238" s="0" t="str">
        <f aca="false">HYPERLINK("https://lindat.mff.cuni.cz/services/teitok/pdtc10/index.php?action=vallex&amp;frame=v-w9111f1", "zařvat (v-w9111f1)")</f>
        <v>zařvat (v-w9111f1)</v>
      </c>
    </row>
    <row r="68239" customFormat="false" ht="12.8" hidden="false" customHeight="false" outlineLevel="0" collapsed="false">
      <c r="B68239" s="0" t="s">
        <v>7</v>
      </c>
      <c r="C68239" s="0" t="s">
        <v>335</v>
      </c>
      <c r="D68239" s="0" t="s">
        <v>3051</v>
      </c>
      <c r="E68239" s="0" t="s">
        <v>3051</v>
      </c>
      <c r="F68239" s="0" t="s">
        <v>3051</v>
      </c>
    </row>
    <row r="68240" customFormat="false" ht="12.8" hidden="false" customHeight="false" outlineLevel="0" collapsed="false">
      <c r="B68240" s="0" t="s">
        <v>23144</v>
      </c>
      <c r="C68240" s="0" t="s">
        <v>567</v>
      </c>
      <c r="D68240" s="0" t="s">
        <v>466</v>
      </c>
      <c r="E68240" s="0" t="s">
        <v>466</v>
      </c>
      <c r="F68240" s="0" t="s">
        <v>466</v>
      </c>
    </row>
    <row r="68241" customFormat="false" ht="12.8" hidden="false" customHeight="false" outlineLevel="0" collapsed="false">
      <c r="B68241" s="0" t="s">
        <v>4101</v>
      </c>
      <c r="D68241" s="0" t="s">
        <v>4154</v>
      </c>
      <c r="E68241" s="0" t="s">
        <v>4154</v>
      </c>
      <c r="F68241" s="0" t="s">
        <v>4154</v>
      </c>
    </row>
    <row r="68243" customFormat="false" ht="12.8" hidden="false" customHeight="false" outlineLevel="0" collapsed="false">
      <c r="A68243" s="0" t="s">
        <v>23200</v>
      </c>
      <c r="B68243" s="0" t="str">
        <f aca="false">HYPERLINK("https://lindat.mff.cuni.cz/services/teitok/pdtc10/index.php?action=vallex&amp;frame=v-w9104hsa_354", "zařídit (v-w9104hsa_354)")</f>
        <v>zařídit (v-w9104hsa_354)</v>
      </c>
    </row>
    <row r="68244" customFormat="false" ht="12.8" hidden="false" customHeight="false" outlineLevel="0" collapsed="false">
      <c r="B68244" s="0" t="s">
        <v>7</v>
      </c>
    </row>
    <row r="68245" customFormat="false" ht="12.8" hidden="false" customHeight="false" outlineLevel="0" collapsed="false">
      <c r="B68245" s="0" t="s">
        <v>23201</v>
      </c>
    </row>
    <row r="68247" customFormat="false" ht="12.8" hidden="false" customHeight="false" outlineLevel="0" collapsed="false">
      <c r="A68247" s="0" t="s">
        <v>23200</v>
      </c>
      <c r="B68247" s="0" t="str">
        <f aca="false">HYPERLINK("https://lindat.mff.cuni.cz/services/teitok/pdtc10/index.php?action=vallex&amp;frame=v-w9104f1", "zařídit (v-w9104f1) - substituted with v-w9104hsa_354")</f>
        <v>zařídit (v-w9104f1) - substituted with v-w9104hsa_354</v>
      </c>
    </row>
    <row r="68248" customFormat="false" ht="12.8" hidden="false" customHeight="false" outlineLevel="0" collapsed="false">
      <c r="B68248" s="0" t="s">
        <v>7</v>
      </c>
      <c r="C68248" s="0" t="s">
        <v>6495</v>
      </c>
      <c r="D68248" s="0" t="s">
        <v>3610</v>
      </c>
      <c r="E68248" s="0" t="s">
        <v>3610</v>
      </c>
      <c r="F68248" s="0" t="s">
        <v>3610</v>
      </c>
    </row>
    <row r="68249" customFormat="false" ht="12.8" hidden="false" customHeight="false" outlineLevel="0" collapsed="false">
      <c r="B68249" s="0" t="s">
        <v>23201</v>
      </c>
      <c r="C68249" s="0" t="s">
        <v>356</v>
      </c>
      <c r="D68249" s="0" t="s">
        <v>7844</v>
      </c>
      <c r="E68249" s="0" t="s">
        <v>7844</v>
      </c>
      <c r="F68249" s="0" t="s">
        <v>7844</v>
      </c>
    </row>
    <row r="68251" customFormat="false" ht="12.8" hidden="false" customHeight="false" outlineLevel="0" collapsed="false">
      <c r="A68251" s="0" t="s">
        <v>23202</v>
      </c>
      <c r="B68251" s="0" t="str">
        <f aca="false">HYPERLINK("https://lindat.mff.cuni.cz/services/teitok/pdtc10/index.php?action=vallex&amp;frame=v-w9104f2", "zařídit (v-w9104f2)")</f>
        <v>zařídit (v-w9104f2)</v>
      </c>
    </row>
    <row r="68252" customFormat="false" ht="12.8" hidden="false" customHeight="false" outlineLevel="0" collapsed="false">
      <c r="B68252" s="0" t="s">
        <v>7</v>
      </c>
      <c r="C68252" s="0" t="s">
        <v>4161</v>
      </c>
      <c r="D68252" s="0" t="s">
        <v>8931</v>
      </c>
      <c r="E68252" s="0" t="s">
        <v>8931</v>
      </c>
      <c r="F68252" s="0" t="s">
        <v>8931</v>
      </c>
    </row>
    <row r="68253" customFormat="false" ht="12.8" hidden="false" customHeight="false" outlineLevel="0" collapsed="false">
      <c r="B68253" s="0" t="s">
        <v>14</v>
      </c>
      <c r="C68253" s="0" t="s">
        <v>20976</v>
      </c>
      <c r="D68253" s="0" t="s">
        <v>8932</v>
      </c>
      <c r="E68253" s="0" t="s">
        <v>8932</v>
      </c>
      <c r="F68253" s="0" t="s">
        <v>8932</v>
      </c>
    </row>
    <row r="68255" customFormat="false" ht="12.8" hidden="false" customHeight="false" outlineLevel="0" collapsed="false">
      <c r="A68255" s="0" t="s">
        <v>23203</v>
      </c>
      <c r="B68255" s="0" t="str">
        <f aca="false">HYPERLINK("https://lindat.mff.cuni.cz/services/teitok/pdtc10/index.php?action=vallex&amp;frame=v-w9104f3_ZU", "zařídit (v-w9104f3_ZU)")</f>
        <v>zařídit (v-w9104f3_ZU)</v>
      </c>
    </row>
    <row r="68256" customFormat="false" ht="12.8" hidden="false" customHeight="false" outlineLevel="0" collapsed="false">
      <c r="B68256" s="0" t="s">
        <v>7</v>
      </c>
    </row>
    <row r="68257" customFormat="false" ht="12.8" hidden="false" customHeight="false" outlineLevel="0" collapsed="false">
      <c r="B68257" s="0" t="s">
        <v>14</v>
      </c>
    </row>
    <row r="68258" customFormat="false" ht="12.8" hidden="false" customHeight="false" outlineLevel="0" collapsed="false">
      <c r="B68258" s="0" t="s">
        <v>35</v>
      </c>
    </row>
    <row r="68260" customFormat="false" ht="12.8" hidden="false" customHeight="false" outlineLevel="0" collapsed="false">
      <c r="A68260" s="0" t="s">
        <v>23204</v>
      </c>
      <c r="B68260" s="0" t="str">
        <f aca="false">HYPERLINK("https://lindat.mff.cuni.cz/services/teitok/pdtc10/index.php?action=vallex&amp;frame=v-w9104hsa_353", "zařídit (v-w9104hsa_353)")</f>
        <v>zařídit (v-w9104hsa_353)</v>
      </c>
    </row>
    <row r="68261" customFormat="false" ht="12.8" hidden="false" customHeight="false" outlineLevel="0" collapsed="false">
      <c r="B68261" s="0" t="s">
        <v>7</v>
      </c>
    </row>
    <row r="68262" customFormat="false" ht="12.8" hidden="false" customHeight="false" outlineLevel="0" collapsed="false">
      <c r="B68262" s="0" t="s">
        <v>14</v>
      </c>
    </row>
    <row r="68264" customFormat="false" ht="12.8" hidden="false" customHeight="false" outlineLevel="0" collapsed="false">
      <c r="A68264" s="0" t="s">
        <v>23205</v>
      </c>
      <c r="B68264" s="0" t="str">
        <f aca="false">HYPERLINK("https://lindat.mff.cuni.cz/services/teitok/pdtc10/index.php?action=vallex&amp;frame=v-w9105f1", "zařídit se (v-w9105f1)")</f>
        <v>zařídit se (v-w9105f1)</v>
      </c>
    </row>
    <row r="68265" customFormat="false" ht="12.8" hidden="false" customHeight="false" outlineLevel="0" collapsed="false">
      <c r="B68265" s="0" t="s">
        <v>7</v>
      </c>
      <c r="C68265" s="0" t="s">
        <v>580</v>
      </c>
      <c r="D68265" s="0" t="s">
        <v>23206</v>
      </c>
      <c r="E68265" s="0" t="s">
        <v>23206</v>
      </c>
      <c r="F68265" s="0" t="s">
        <v>23206</v>
      </c>
    </row>
    <row r="68266" customFormat="false" ht="12.8" hidden="false" customHeight="false" outlineLevel="0" collapsed="false">
      <c r="B68266" s="0" t="s">
        <v>23207</v>
      </c>
      <c r="C68266" s="0" t="s">
        <v>1588</v>
      </c>
      <c r="D68266" s="0" t="s">
        <v>1420</v>
      </c>
      <c r="E68266" s="0" t="s">
        <v>1420</v>
      </c>
      <c r="F68266" s="0" t="s">
        <v>1420</v>
      </c>
    </row>
    <row r="68268" customFormat="false" ht="12.8" hidden="false" customHeight="false" outlineLevel="0" collapsed="false">
      <c r="A68268" s="0" t="s">
        <v>23208</v>
      </c>
      <c r="B68268" s="0" t="str">
        <f aca="false">HYPERLINK("https://lindat.mff.cuni.cz/services/teitok/pdtc10/index.php?action=vallex&amp;frame=v-w9105f3_ZU", "zařídit se (v-w9105f3_ZU)")</f>
        <v>zařídit se (v-w9105f3_ZU)</v>
      </c>
    </row>
    <row r="68269" customFormat="false" ht="12.8" hidden="false" customHeight="false" outlineLevel="0" collapsed="false">
      <c r="B68269" s="0" t="s">
        <v>7</v>
      </c>
    </row>
    <row r="68270" customFormat="false" ht="12.8" hidden="false" customHeight="false" outlineLevel="0" collapsed="false">
      <c r="B68270" s="0" t="s">
        <v>4545</v>
      </c>
    </row>
    <row r="68272" customFormat="false" ht="12.8" hidden="false" customHeight="false" outlineLevel="0" collapsed="false">
      <c r="A68272" s="0" t="s">
        <v>23209</v>
      </c>
      <c r="B68272" s="0" t="str">
        <f aca="false">HYPERLINK("https://lindat.mff.cuni.cz/services/teitok/pdtc10/index.php?action=vallex&amp;frame=v-w9105f2", "zařídit se (v-w9105f2)")</f>
        <v>zařídit se (v-w9105f2)</v>
      </c>
    </row>
    <row r="68273" customFormat="false" ht="12.8" hidden="false" customHeight="false" outlineLevel="0" collapsed="false">
      <c r="B68273" s="0" t="s">
        <v>7</v>
      </c>
    </row>
    <row r="68275" customFormat="false" ht="12.8" hidden="false" customHeight="false" outlineLevel="0" collapsed="false">
      <c r="A68275" s="0" t="s">
        <v>23210</v>
      </c>
      <c r="B68275" s="0" t="str">
        <f aca="false">HYPERLINK("https://lindat.mff.cuni.cz/services/teitok/pdtc10/index.php?action=vallex&amp;frame=v-w9105hsa_1388", "zařídit se (v-w9105hsa_1388)")</f>
        <v>zařídit se (v-w9105hsa_1388)</v>
      </c>
    </row>
    <row r="68276" customFormat="false" ht="12.8" hidden="false" customHeight="false" outlineLevel="0" collapsed="false">
      <c r="B68276" s="0" t="s">
        <v>7</v>
      </c>
    </row>
    <row r="68277" customFormat="false" ht="12.8" hidden="false" customHeight="false" outlineLevel="0" collapsed="false">
      <c r="B68277" s="0" t="s">
        <v>548</v>
      </c>
    </row>
    <row r="68279" customFormat="false" ht="12.8" hidden="false" customHeight="false" outlineLevel="0" collapsed="false">
      <c r="A68279" s="0" t="s">
        <v>23211</v>
      </c>
      <c r="B68279" s="0" t="str">
        <f aca="false">HYPERLINK("https://lindat.mff.cuni.cz/services/teitok/pdtc10/index.php?action=vallex&amp;frame=v-w10442f2", "zaříkávat (v-w10442f2)")</f>
        <v>zaříkávat (v-w10442f2)</v>
      </c>
    </row>
    <row r="68280" customFormat="false" ht="12.8" hidden="false" customHeight="false" outlineLevel="0" collapsed="false">
      <c r="B68280" s="0" t="s">
        <v>7</v>
      </c>
    </row>
    <row r="68281" customFormat="false" ht="12.8" hidden="false" customHeight="false" outlineLevel="0" collapsed="false">
      <c r="B68281" s="0" t="s">
        <v>14</v>
      </c>
      <c r="C68281" s="0" t="s">
        <v>155</v>
      </c>
    </row>
    <row r="68283" customFormat="false" ht="12.8" hidden="false" customHeight="false" outlineLevel="0" collapsed="false">
      <c r="A68283" s="0" t="s">
        <v>23212</v>
      </c>
      <c r="B68283" s="0" t="str">
        <f aca="false">HYPERLINK("https://lindat.mff.cuni.cz/services/teitok/pdtc10/index.php?action=vallex&amp;frame=v-w9108f2", "zaříznout (v-w9108f2)")</f>
        <v>zaříznout (v-w9108f2)</v>
      </c>
    </row>
    <row r="68284" customFormat="false" ht="12.8" hidden="false" customHeight="false" outlineLevel="0" collapsed="false">
      <c r="B68284" s="0" t="s">
        <v>7</v>
      </c>
      <c r="D68284" s="0" t="s">
        <v>5057</v>
      </c>
      <c r="E68284" s="0" t="s">
        <v>5057</v>
      </c>
      <c r="F68284" s="0" t="s">
        <v>5057</v>
      </c>
    </row>
    <row r="68285" customFormat="false" ht="12.8" hidden="false" customHeight="false" outlineLevel="0" collapsed="false">
      <c r="B68285" s="0" t="s">
        <v>14</v>
      </c>
      <c r="D68285" s="0" t="s">
        <v>8042</v>
      </c>
      <c r="E68285" s="0" t="s">
        <v>8042</v>
      </c>
      <c r="F68285" s="0" t="s">
        <v>8042</v>
      </c>
    </row>
    <row r="68287" customFormat="false" ht="12.8" hidden="false" customHeight="false" outlineLevel="0" collapsed="false">
      <c r="A68287" s="0" t="s">
        <v>23213</v>
      </c>
      <c r="B68287" s="0" t="str">
        <f aca="false">HYPERLINK("https://lindat.mff.cuni.cz/services/teitok/pdtc10/index.php?action=vallex&amp;frame=v-w9108f1", "zaříznout (v-w9108f1)")</f>
        <v>zaříznout (v-w9108f1)</v>
      </c>
    </row>
    <row r="68288" customFormat="false" ht="12.8" hidden="false" customHeight="false" outlineLevel="0" collapsed="false">
      <c r="B68288" s="0" t="s">
        <v>7</v>
      </c>
    </row>
    <row r="68289" customFormat="false" ht="12.8" hidden="false" customHeight="false" outlineLevel="0" collapsed="false">
      <c r="B68289" s="0" t="s">
        <v>124</v>
      </c>
    </row>
    <row r="68291" customFormat="false" ht="12.8" hidden="false" customHeight="false" outlineLevel="0" collapsed="false">
      <c r="A68291" s="0" t="s">
        <v>23214</v>
      </c>
      <c r="B68291" s="0" t="str">
        <f aca="false">HYPERLINK("https://lindat.mff.cuni.cz/services/teitok/pdtc10/index.php?action=vallex&amp;frame=v-w9108hsa_1277", "zaříznout (v-w9108hsa_1277)")</f>
        <v>zaříznout (v-w9108hsa_1277)</v>
      </c>
    </row>
    <row r="68292" customFormat="false" ht="12.8" hidden="false" customHeight="false" outlineLevel="0" collapsed="false">
      <c r="B68292" s="0" t="s">
        <v>7</v>
      </c>
    </row>
    <row r="68293" customFormat="false" ht="12.8" hidden="false" customHeight="false" outlineLevel="0" collapsed="false">
      <c r="B68293" s="0" t="s">
        <v>14</v>
      </c>
    </row>
    <row r="68295" customFormat="false" ht="12.8" hidden="false" customHeight="false" outlineLevel="0" collapsed="false">
      <c r="A68295" s="0" t="s">
        <v>23215</v>
      </c>
      <c r="B68295" s="0" t="str">
        <f aca="false">HYPERLINK("https://lindat.mff.cuni.cz/services/teitok/pdtc10/index.php?action=vallex&amp;frame=v-w11911_ZUf1_ZU", "zaříznout se (v-w11911_ZUf1_ZU)")</f>
        <v>zaříznout se (v-w11911_ZUf1_ZU)</v>
      </c>
    </row>
    <row r="68296" customFormat="false" ht="12.8" hidden="false" customHeight="false" outlineLevel="0" collapsed="false">
      <c r="B68296" s="0" t="s">
        <v>7</v>
      </c>
    </row>
    <row r="68297" customFormat="false" ht="12.8" hidden="false" customHeight="false" outlineLevel="0" collapsed="false">
      <c r="B68297" s="0" t="s">
        <v>338</v>
      </c>
    </row>
    <row r="68299" customFormat="false" ht="12.8" hidden="false" customHeight="false" outlineLevel="0" collapsed="false">
      <c r="A68299" s="0" t="s">
        <v>23216</v>
      </c>
      <c r="B68299" s="0" t="str">
        <f aca="false">HYPERLINK("https://lindat.mff.cuni.cz/services/teitok/pdtc10/index.php?action=vallex&amp;frame=v-w9197f2", "zašeptat (v-w9197f2)")</f>
        <v>zašeptat (v-w9197f2)</v>
      </c>
    </row>
    <row r="68300" customFormat="false" ht="12.8" hidden="false" customHeight="false" outlineLevel="0" collapsed="false">
      <c r="B68300" s="0" t="s">
        <v>7</v>
      </c>
    </row>
    <row r="68301" customFormat="false" ht="12.8" hidden="false" customHeight="false" outlineLevel="0" collapsed="false">
      <c r="B68301" s="0" t="s">
        <v>244</v>
      </c>
    </row>
    <row r="68302" customFormat="false" ht="12.8" hidden="false" customHeight="false" outlineLevel="0" collapsed="false">
      <c r="B68302" s="0" t="s">
        <v>48</v>
      </c>
    </row>
    <row r="68304" customFormat="false" ht="12.8" hidden="false" customHeight="false" outlineLevel="0" collapsed="false">
      <c r="A68304" s="0" t="s">
        <v>23217</v>
      </c>
      <c r="B68304" s="0" t="str">
        <f aca="false">HYPERLINK("https://lindat.mff.cuni.cz/services/teitok/pdtc10/index.php?action=vallex&amp;frame=v-w9197f3", "zašeptat (v-w9197f3)")</f>
        <v>zašeptat (v-w9197f3)</v>
      </c>
    </row>
    <row r="68305" customFormat="false" ht="12.8" hidden="false" customHeight="false" outlineLevel="0" collapsed="false">
      <c r="B68305" s="0" t="s">
        <v>7</v>
      </c>
      <c r="E68305" s="0" t="s">
        <v>46</v>
      </c>
      <c r="F68305" s="0" t="s">
        <v>46</v>
      </c>
    </row>
    <row r="68306" customFormat="false" ht="12.8" hidden="false" customHeight="false" outlineLevel="0" collapsed="false">
      <c r="B68306" s="0" t="s">
        <v>14</v>
      </c>
      <c r="E68306" s="0" t="s">
        <v>567</v>
      </c>
      <c r="F68306" s="0" t="s">
        <v>567</v>
      </c>
    </row>
    <row r="68307" customFormat="false" ht="12.8" hidden="false" customHeight="false" outlineLevel="0" collapsed="false">
      <c r="B68307" s="0" t="s">
        <v>106</v>
      </c>
    </row>
    <row r="68309" customFormat="false" ht="12.8" hidden="false" customHeight="false" outlineLevel="0" collapsed="false">
      <c r="A68309" s="0" t="s">
        <v>23218</v>
      </c>
      <c r="B68309" s="0" t="str">
        <f aca="false">HYPERLINK("https://lindat.mff.cuni.cz/services/teitok/pdtc10/index.php?action=vallex&amp;frame=v-w9197f1", "zašeptat (v-w9197f1)")</f>
        <v>zašeptat (v-w9197f1)</v>
      </c>
    </row>
    <row r="68310" customFormat="false" ht="12.8" hidden="false" customHeight="false" outlineLevel="0" collapsed="false">
      <c r="B68310" s="0" t="s">
        <v>7</v>
      </c>
      <c r="D68310" s="0" t="s">
        <v>18504</v>
      </c>
      <c r="E68310" s="0" t="s">
        <v>23219</v>
      </c>
      <c r="F68310" s="0" t="s">
        <v>23219</v>
      </c>
    </row>
    <row r="68311" customFormat="false" ht="12.8" hidden="false" customHeight="false" outlineLevel="0" collapsed="false">
      <c r="B68311" s="0" t="s">
        <v>7351</v>
      </c>
      <c r="D68311" s="0" t="s">
        <v>23220</v>
      </c>
      <c r="E68311" s="0" t="s">
        <v>23221</v>
      </c>
      <c r="F68311" s="0" t="s">
        <v>23221</v>
      </c>
    </row>
    <row r="68312" customFormat="false" ht="12.8" hidden="false" customHeight="false" outlineLevel="0" collapsed="false">
      <c r="B68312" s="0" t="s">
        <v>363</v>
      </c>
    </row>
    <row r="68313" customFormat="false" ht="12.8" hidden="false" customHeight="false" outlineLevel="0" collapsed="false">
      <c r="B68313" s="0" t="s">
        <v>106</v>
      </c>
      <c r="D68313" s="0" t="s">
        <v>23222</v>
      </c>
      <c r="E68313" s="0" t="s">
        <v>23223</v>
      </c>
      <c r="F68313" s="0" t="s">
        <v>23223</v>
      </c>
    </row>
    <row r="68315" customFormat="false" ht="12.8" hidden="false" customHeight="false" outlineLevel="0" collapsed="false">
      <c r="A68315" s="0" t="s">
        <v>23224</v>
      </c>
      <c r="B68315" s="0" t="str">
        <f aca="false">HYPERLINK("https://lindat.mff.cuni.cz/services/teitok/pdtc10/index.php?action=vallex&amp;frame=v-w9198f1", "zašermovat (v-w9198f1)")</f>
        <v>zašermovat (v-w9198f1)</v>
      </c>
    </row>
    <row r="68316" customFormat="false" ht="12.8" hidden="false" customHeight="false" outlineLevel="0" collapsed="false">
      <c r="B68316" s="0" t="s">
        <v>7</v>
      </c>
    </row>
    <row r="68317" customFormat="false" ht="12.8" hidden="false" customHeight="false" outlineLevel="0" collapsed="false">
      <c r="B68317" s="0" t="s">
        <v>216</v>
      </c>
    </row>
    <row r="68318" customFormat="false" ht="12.8" hidden="false" customHeight="false" outlineLevel="0" collapsed="false">
      <c r="B68318" s="0" t="s">
        <v>4101</v>
      </c>
    </row>
    <row r="68320" customFormat="false" ht="12.8" hidden="false" customHeight="false" outlineLevel="0" collapsed="false">
      <c r="A68320" s="0" t="s">
        <v>23225</v>
      </c>
      <c r="B68320" s="0" t="str">
        <f aca="false">HYPERLINK("https://lindat.mff.cuni.cz/services/teitok/pdtc10/index.php?action=vallex&amp;frame=v-w11248f1", "zašklebit se (v-w11248f1)")</f>
        <v>zašklebit se (v-w11248f1)</v>
      </c>
    </row>
    <row r="68321" customFormat="false" ht="12.8" hidden="false" customHeight="false" outlineLevel="0" collapsed="false">
      <c r="B68321" s="0" t="s">
        <v>7</v>
      </c>
      <c r="C68321" s="0" t="s">
        <v>46</v>
      </c>
      <c r="D68321" s="0" t="s">
        <v>46</v>
      </c>
      <c r="E68321" s="0" t="s">
        <v>46</v>
      </c>
      <c r="F68321" s="0" t="s">
        <v>46</v>
      </c>
    </row>
    <row r="68322" customFormat="false" ht="12.8" hidden="false" customHeight="false" outlineLevel="0" collapsed="false">
      <c r="B68322" s="0" t="s">
        <v>474</v>
      </c>
    </row>
    <row r="68323" customFormat="false" ht="12.8" hidden="false" customHeight="false" outlineLevel="0" collapsed="false">
      <c r="B68323" s="0" t="s">
        <v>479</v>
      </c>
    </row>
    <row r="68324" customFormat="false" ht="12.8" hidden="false" customHeight="false" outlineLevel="0" collapsed="false">
      <c r="B68324" s="0" t="s">
        <v>481</v>
      </c>
    </row>
    <row r="68325" customFormat="false" ht="12.8" hidden="false" customHeight="false" outlineLevel="0" collapsed="false">
      <c r="B68325" s="0" t="s">
        <v>483</v>
      </c>
    </row>
    <row r="68327" customFormat="false" ht="12.8" hidden="false" customHeight="false" outlineLevel="0" collapsed="false">
      <c r="A68327" s="0" t="s">
        <v>23226</v>
      </c>
      <c r="B68327" s="0" t="str">
        <f aca="false">HYPERLINK("https://lindat.mff.cuni.cz/services/teitok/pdtc10/index.php?action=vallex&amp;frame=v-whsa_1165f1_ZU", "zaškrtnout (v-whsa_1165f1_ZU)")</f>
        <v>zaškrtnout (v-whsa_1165f1_ZU)</v>
      </c>
    </row>
    <row r="68328" customFormat="false" ht="12.8" hidden="false" customHeight="false" outlineLevel="0" collapsed="false">
      <c r="B68328" s="0" t="s">
        <v>7</v>
      </c>
    </row>
    <row r="68329" customFormat="false" ht="12.8" hidden="false" customHeight="false" outlineLevel="0" collapsed="false">
      <c r="B68329" s="0" t="s">
        <v>14</v>
      </c>
      <c r="C68329" s="0" t="s">
        <v>155</v>
      </c>
      <c r="D68329" s="0" t="s">
        <v>567</v>
      </c>
      <c r="E68329" s="0" t="s">
        <v>567</v>
      </c>
      <c r="F68329" s="0" t="s">
        <v>567</v>
      </c>
    </row>
    <row r="68331" customFormat="false" ht="12.8" hidden="false" customHeight="false" outlineLevel="0" collapsed="false">
      <c r="A68331" s="0" t="s">
        <v>23226</v>
      </c>
      <c r="B68331" s="0" t="str">
        <f aca="false">HYPERLINK("https://lindat.mff.cuni.cz/services/teitok/pdtc10/index.php?action=vallex&amp;frame=v-whsa_1165hsa_1166", "zaškrtnout (v-whsa_1165hsa_1166) - substituted with v-whsa_1165f1_ZU")</f>
        <v>zaškrtnout (v-whsa_1165hsa_1166) - substituted with v-whsa_1165f1_ZU</v>
      </c>
    </row>
    <row r="68332" customFormat="false" ht="12.8" hidden="false" customHeight="false" outlineLevel="0" collapsed="false">
      <c r="B68332" s="0" t="s">
        <v>7</v>
      </c>
    </row>
    <row r="68333" customFormat="false" ht="12.8" hidden="false" customHeight="false" outlineLevel="0" collapsed="false">
      <c r="B68333" s="0" t="s">
        <v>14</v>
      </c>
    </row>
    <row r="68335" customFormat="false" ht="12.8" hidden="false" customHeight="false" outlineLevel="0" collapsed="false">
      <c r="A68335" s="0" t="s">
        <v>23227</v>
      </c>
      <c r="B68335" s="0" t="str">
        <f aca="false">HYPERLINK("https://lindat.mff.cuni.cz/services/teitok/pdtc10/index.php?action=vallex&amp;frame=v-w11944_ZUf1_ZU", "zašmodrchat (v-w11944_ZUf1_ZU)")</f>
        <v>zašmodrchat (v-w11944_ZUf1_ZU)</v>
      </c>
    </row>
    <row r="68336" customFormat="false" ht="12.8" hidden="false" customHeight="false" outlineLevel="0" collapsed="false">
      <c r="B68336" s="0" t="s">
        <v>7</v>
      </c>
    </row>
    <row r="68337" customFormat="false" ht="12.8" hidden="false" customHeight="false" outlineLevel="0" collapsed="false">
      <c r="B68337" s="0" t="s">
        <v>14</v>
      </c>
    </row>
    <row r="68339" customFormat="false" ht="12.8" hidden="false" customHeight="false" outlineLevel="0" collapsed="false">
      <c r="A68339" s="0" t="s">
        <v>23228</v>
      </c>
      <c r="B68339" s="0" t="str">
        <f aca="false">HYPERLINK("https://lindat.mff.cuni.cz/services/teitok/pdtc10/index.php?action=vallex&amp;frame=v-whsa_449hsa_450", "zašněrovat (v-whsa_449hsa_450)")</f>
        <v>zašněrovat (v-whsa_449hsa_450)</v>
      </c>
    </row>
    <row r="68340" customFormat="false" ht="12.8" hidden="false" customHeight="false" outlineLevel="0" collapsed="false">
      <c r="B68340" s="0" t="s">
        <v>7</v>
      </c>
    </row>
    <row r="68341" customFormat="false" ht="12.8" hidden="false" customHeight="false" outlineLevel="0" collapsed="false">
      <c r="B68341" s="0" t="s">
        <v>14</v>
      </c>
    </row>
    <row r="68343" customFormat="false" ht="12.8" hidden="false" customHeight="false" outlineLevel="0" collapsed="false">
      <c r="A68343" s="0" t="s">
        <v>23229</v>
      </c>
      <c r="B68343" s="0" t="str">
        <f aca="false">HYPERLINK("https://lindat.mff.cuni.cz/services/teitok/pdtc10/index.php?action=vallex&amp;frame=v-w11820_ZUf1_ZU", "zašoupnout (v-w11820_ZUf1_ZU)")</f>
        <v>zašoupnout (v-w11820_ZUf1_ZU)</v>
      </c>
    </row>
    <row r="68344" customFormat="false" ht="12.8" hidden="false" customHeight="false" outlineLevel="0" collapsed="false">
      <c r="B68344" s="0" t="s">
        <v>7</v>
      </c>
    </row>
    <row r="68345" customFormat="false" ht="12.8" hidden="false" customHeight="false" outlineLevel="0" collapsed="false">
      <c r="B68345" s="0" t="s">
        <v>14</v>
      </c>
    </row>
    <row r="68346" customFormat="false" ht="12.8" hidden="false" customHeight="false" outlineLevel="0" collapsed="false">
      <c r="B68346" s="0" t="s">
        <v>124</v>
      </c>
    </row>
    <row r="68348" customFormat="false" ht="12.8" hidden="false" customHeight="false" outlineLevel="0" collapsed="false">
      <c r="A68348" s="0" t="s">
        <v>23230</v>
      </c>
      <c r="B68348" s="0" t="str">
        <f aca="false">HYPERLINK("https://lindat.mff.cuni.cz/services/teitok/pdtc10/index.php?action=vallex&amp;frame=v-w9203f1", "zaštiťovat (v-w9203f1)")</f>
        <v>zaštiťovat (v-w9203f1)</v>
      </c>
    </row>
    <row r="68349" customFormat="false" ht="12.8" hidden="false" customHeight="false" outlineLevel="0" collapsed="false">
      <c r="B68349" s="0" t="s">
        <v>7</v>
      </c>
      <c r="C68349" s="0" t="s">
        <v>2557</v>
      </c>
    </row>
    <row r="68350" customFormat="false" ht="12.8" hidden="false" customHeight="false" outlineLevel="0" collapsed="false">
      <c r="B68350" s="0" t="s">
        <v>14</v>
      </c>
      <c r="C68350" s="0" t="s">
        <v>1555</v>
      </c>
    </row>
    <row r="68351" customFormat="false" ht="12.8" hidden="false" customHeight="false" outlineLevel="0" collapsed="false">
      <c r="B68351" s="0" t="s">
        <v>416</v>
      </c>
    </row>
    <row r="68353" customFormat="false" ht="12.8" hidden="false" customHeight="false" outlineLevel="0" collapsed="false">
      <c r="A68353" s="0" t="s">
        <v>23231</v>
      </c>
      <c r="B68353" s="0" t="str">
        <f aca="false">HYPERLINK("https://lindat.mff.cuni.cz/services/teitok/pdtc10/index.php?action=vallex&amp;frame=v-w10415f2", "zaštukovat (v-w10415f2)")</f>
        <v>zaštukovat (v-w10415f2)</v>
      </c>
    </row>
    <row r="68354" customFormat="false" ht="12.8" hidden="false" customHeight="false" outlineLevel="0" collapsed="false">
      <c r="B68354" s="0" t="s">
        <v>7</v>
      </c>
    </row>
    <row r="68355" customFormat="false" ht="12.8" hidden="false" customHeight="false" outlineLevel="0" collapsed="false">
      <c r="B68355" s="0" t="s">
        <v>14</v>
      </c>
    </row>
    <row r="68357" customFormat="false" ht="12.8" hidden="false" customHeight="false" outlineLevel="0" collapsed="false">
      <c r="A68357" s="0" t="s">
        <v>23232</v>
      </c>
      <c r="B68357" s="0" t="str">
        <f aca="false">HYPERLINK("https://lindat.mff.cuni.cz/services/teitok/pdtc10/index.php?action=vallex&amp;frame=v-w11804_ZUf1_ZU", "zaštípnout se (v-w11804_ZUf1_ZU)")</f>
        <v>zaštípnout se (v-w11804_ZUf1_ZU)</v>
      </c>
    </row>
    <row r="68358" customFormat="false" ht="12.8" hidden="false" customHeight="false" outlineLevel="0" collapsed="false">
      <c r="B68358" s="0" t="s">
        <v>7</v>
      </c>
    </row>
    <row r="68359" customFormat="false" ht="12.8" hidden="false" customHeight="false" outlineLevel="0" collapsed="false">
      <c r="B68359" s="0" t="s">
        <v>338</v>
      </c>
    </row>
    <row r="68361" customFormat="false" ht="12.8" hidden="false" customHeight="false" outlineLevel="0" collapsed="false">
      <c r="A68361" s="0" t="s">
        <v>23233</v>
      </c>
      <c r="B68361" s="0" t="str">
        <f aca="false">HYPERLINK("https://lindat.mff.cuni.cz/services/teitok/pdtc10/index.php?action=vallex&amp;frame=v-w9202f1", "zaštítit (v-w9202f1)")</f>
        <v>zaštítit (v-w9202f1)</v>
      </c>
    </row>
    <row r="68362" customFormat="false" ht="12.8" hidden="false" customHeight="false" outlineLevel="0" collapsed="false">
      <c r="B68362" s="0" t="s">
        <v>7</v>
      </c>
    </row>
    <row r="68363" customFormat="false" ht="12.8" hidden="false" customHeight="false" outlineLevel="0" collapsed="false">
      <c r="B68363" s="0" t="s">
        <v>14</v>
      </c>
    </row>
    <row r="68364" customFormat="false" ht="12.8" hidden="false" customHeight="false" outlineLevel="0" collapsed="false">
      <c r="B68364" s="0" t="s">
        <v>416</v>
      </c>
    </row>
    <row r="68366" customFormat="false" ht="12.8" hidden="false" customHeight="false" outlineLevel="0" collapsed="false">
      <c r="A68366" s="0" t="s">
        <v>23234</v>
      </c>
      <c r="B68366" s="0" t="str">
        <f aca="false">HYPERLINK("https://lindat.mff.cuni.cz/services/teitok/pdtc10/index.php?action=vallex&amp;frame=v-w9196f2", "zašátrat (v-w9196f2)")</f>
        <v>zašátrat (v-w9196f2)</v>
      </c>
    </row>
    <row r="68367" customFormat="false" ht="12.8" hidden="false" customHeight="false" outlineLevel="0" collapsed="false">
      <c r="B68367" s="0" t="s">
        <v>7</v>
      </c>
      <c r="D68367" s="0" t="s">
        <v>184</v>
      </c>
      <c r="E68367" s="0" t="s">
        <v>335</v>
      </c>
      <c r="F68367" s="0" t="s">
        <v>335</v>
      </c>
    </row>
    <row r="68368" customFormat="false" ht="12.8" hidden="false" customHeight="false" outlineLevel="0" collapsed="false">
      <c r="B68368" s="0" t="s">
        <v>11</v>
      </c>
      <c r="D68368" s="0" t="s">
        <v>17884</v>
      </c>
      <c r="E68368" s="0" t="s">
        <v>17884</v>
      </c>
      <c r="F68368" s="0" t="s">
        <v>17884</v>
      </c>
    </row>
    <row r="68370" customFormat="false" ht="12.8" hidden="false" customHeight="false" outlineLevel="0" collapsed="false">
      <c r="A68370" s="0" t="s">
        <v>23235</v>
      </c>
      <c r="B68370" s="0" t="str">
        <f aca="false">HYPERLINK("https://lindat.mff.cuni.cz/services/teitok/pdtc10/index.php?action=vallex&amp;frame=v-w9196f1", "zašátrat (v-w9196f1)")</f>
        <v>zašátrat (v-w9196f1)</v>
      </c>
    </row>
    <row r="68371" customFormat="false" ht="12.8" hidden="false" customHeight="false" outlineLevel="0" collapsed="false">
      <c r="B68371" s="0" t="s">
        <v>7</v>
      </c>
      <c r="D68371" s="0" t="s">
        <v>184</v>
      </c>
      <c r="E68371" s="0" t="s">
        <v>335</v>
      </c>
      <c r="F68371" s="0" t="s">
        <v>335</v>
      </c>
    </row>
    <row r="68372" customFormat="false" ht="12.8" hidden="false" customHeight="false" outlineLevel="0" collapsed="false">
      <c r="B68372" s="0" t="s">
        <v>124</v>
      </c>
      <c r="D68372" s="0" t="s">
        <v>4440</v>
      </c>
      <c r="E68372" s="0" t="s">
        <v>4440</v>
      </c>
      <c r="F68372" s="0" t="s">
        <v>4440</v>
      </c>
    </row>
    <row r="68374" customFormat="false" ht="12.8" hidden="false" customHeight="false" outlineLevel="0" collapsed="false">
      <c r="A68374" s="0" t="s">
        <v>23236</v>
      </c>
      <c r="B68374" s="0" t="str">
        <f aca="false">HYPERLINK("https://lindat.mff.cuni.cz/services/teitok/pdtc10/index.php?action=vallex&amp;frame=v-whsa_1176hsa_1177", "zašít (v-whsa_1176hsa_1177)")</f>
        <v>zašít (v-whsa_1176hsa_1177)</v>
      </c>
    </row>
    <row r="68375" customFormat="false" ht="12.8" hidden="false" customHeight="false" outlineLevel="0" collapsed="false">
      <c r="B68375" s="0" t="s">
        <v>7</v>
      </c>
    </row>
    <row r="68376" customFormat="false" ht="12.8" hidden="false" customHeight="false" outlineLevel="0" collapsed="false">
      <c r="B68376" s="0" t="s">
        <v>14</v>
      </c>
    </row>
    <row r="68378" customFormat="false" ht="12.8" hidden="false" customHeight="false" outlineLevel="0" collapsed="false">
      <c r="A68378" s="0" t="s">
        <v>23237</v>
      </c>
      <c r="B68378" s="0" t="str">
        <f aca="false">HYPERLINK("https://lindat.mff.cuni.cz/services/teitok/pdtc10/index.php?action=vallex&amp;frame=v-w9199f1", "zašívat (v-w9199f1)")</f>
        <v>zašívat (v-w9199f1)</v>
      </c>
    </row>
    <row r="68379" customFormat="false" ht="12.8" hidden="false" customHeight="false" outlineLevel="0" collapsed="false">
      <c r="B68379" s="0" t="s">
        <v>7</v>
      </c>
    </row>
    <row r="68380" customFormat="false" ht="12.8" hidden="false" customHeight="false" outlineLevel="0" collapsed="false">
      <c r="B68380" s="0" t="s">
        <v>14</v>
      </c>
    </row>
    <row r="68382" customFormat="false" ht="12.8" hidden="false" customHeight="false" outlineLevel="0" collapsed="false">
      <c r="A68382" s="0" t="s">
        <v>23238</v>
      </c>
      <c r="B68382" s="0" t="str">
        <f aca="false">HYPERLINK("https://lindat.mff.cuni.cz/services/teitok/pdtc10/index.php?action=vallex&amp;frame=v-w11052f2", "zaťukat (v-w11052f2)")</f>
        <v>zaťukat (v-w11052f2)</v>
      </c>
    </row>
    <row r="68383" customFormat="false" ht="12.8" hidden="false" customHeight="false" outlineLevel="0" collapsed="false">
      <c r="B68383" s="0" t="s">
        <v>7</v>
      </c>
      <c r="C68383" s="0" t="s">
        <v>335</v>
      </c>
      <c r="D68383" s="0" t="s">
        <v>335</v>
      </c>
      <c r="E68383" s="0" t="s">
        <v>335</v>
      </c>
      <c r="F68383" s="0" t="s">
        <v>335</v>
      </c>
    </row>
    <row r="68385" customFormat="false" ht="12.8" hidden="false" customHeight="false" outlineLevel="0" collapsed="false">
      <c r="A68385" s="0" t="s">
        <v>23239</v>
      </c>
      <c r="B68385" s="0" t="str">
        <f aca="false">HYPERLINK("https://lindat.mff.cuni.cz/services/teitok/pdtc10/index.php?action=vallex&amp;frame=v-w9324f1", "zažalovat (v-w9324f1)")</f>
        <v>zažalovat (v-w9324f1)</v>
      </c>
    </row>
    <row r="68386" customFormat="false" ht="12.8" hidden="false" customHeight="false" outlineLevel="0" collapsed="false">
      <c r="B68386" s="0" t="s">
        <v>7</v>
      </c>
      <c r="C68386" s="0" t="s">
        <v>1637</v>
      </c>
      <c r="D68386" s="0" t="s">
        <v>3303</v>
      </c>
      <c r="E68386" s="0" t="s">
        <v>3303</v>
      </c>
      <c r="F68386" s="0" t="s">
        <v>3303</v>
      </c>
    </row>
    <row r="68387" customFormat="false" ht="12.8" hidden="false" customHeight="false" outlineLevel="0" collapsed="false">
      <c r="B68387" s="0" t="s">
        <v>14</v>
      </c>
      <c r="C68387" s="0" t="s">
        <v>25</v>
      </c>
      <c r="D68387" s="0" t="s">
        <v>7908</v>
      </c>
      <c r="E68387" s="0" t="s">
        <v>7908</v>
      </c>
      <c r="F68387" s="0" t="s">
        <v>7908</v>
      </c>
    </row>
    <row r="68389" customFormat="false" ht="12.8" hidden="false" customHeight="false" outlineLevel="0" collapsed="false">
      <c r="A68389" s="0" t="s">
        <v>23240</v>
      </c>
      <c r="B68389" s="0" t="str">
        <f aca="false">HYPERLINK("https://lindat.mff.cuni.cz/services/teitok/pdtc10/index.php?action=vallex&amp;frame=v-w9324f2", "zažalovat (v-w9324f2)")</f>
        <v>zažalovat (v-w9324f2)</v>
      </c>
    </row>
    <row r="68390" customFormat="false" ht="12.8" hidden="false" customHeight="false" outlineLevel="0" collapsed="false">
      <c r="B68390" s="0" t="s">
        <v>7</v>
      </c>
    </row>
    <row r="68391" customFormat="false" ht="12.8" hidden="false" customHeight="false" outlineLevel="0" collapsed="false">
      <c r="B68391" s="0" t="s">
        <v>48</v>
      </c>
    </row>
    <row r="68392" customFormat="false" ht="12.8" hidden="false" customHeight="false" outlineLevel="0" collapsed="false">
      <c r="B68392" s="0" t="s">
        <v>4792</v>
      </c>
    </row>
    <row r="68393" customFormat="false" ht="12.8" hidden="false" customHeight="false" outlineLevel="0" collapsed="false">
      <c r="B68393" s="0" t="s">
        <v>63</v>
      </c>
    </row>
    <row r="68395" customFormat="false" ht="12.8" hidden="false" customHeight="false" outlineLevel="0" collapsed="false">
      <c r="A68395" s="0" t="s">
        <v>23241</v>
      </c>
      <c r="B68395" s="0" t="str">
        <f aca="false">HYPERLINK("https://lindat.mff.cuni.cz/services/teitok/pdtc10/index.php?action=vallex&amp;frame=v-w9325f1", "zažehnat (v-w9325f1)")</f>
        <v>zažehnat (v-w9325f1)</v>
      </c>
    </row>
    <row r="68396" customFormat="false" ht="12.8" hidden="false" customHeight="false" outlineLevel="0" collapsed="false">
      <c r="B68396" s="0" t="s">
        <v>7</v>
      </c>
      <c r="C68396" s="0" t="s">
        <v>46</v>
      </c>
      <c r="D68396" s="0" t="s">
        <v>335</v>
      </c>
      <c r="E68396" s="0" t="s">
        <v>335</v>
      </c>
      <c r="F68396" s="0" t="s">
        <v>335</v>
      </c>
    </row>
    <row r="68397" customFormat="false" ht="12.8" hidden="false" customHeight="false" outlineLevel="0" collapsed="false">
      <c r="B68397" s="0" t="s">
        <v>14</v>
      </c>
      <c r="C68397" s="0" t="s">
        <v>78</v>
      </c>
      <c r="D68397" s="0" t="s">
        <v>1289</v>
      </c>
      <c r="E68397" s="0" t="s">
        <v>1289</v>
      </c>
      <c r="F68397" s="0" t="s">
        <v>1289</v>
      </c>
    </row>
    <row r="68399" customFormat="false" ht="12.8" hidden="false" customHeight="false" outlineLevel="0" collapsed="false">
      <c r="A68399" s="0" t="s">
        <v>23242</v>
      </c>
      <c r="B68399" s="0" t="str">
        <f aca="false">HYPERLINK("https://lindat.mff.cuni.cz/services/teitok/pdtc10/index.php?action=vallex&amp;frame=v-w10520f3", "zažehnout (v-w10520f3)")</f>
        <v>zažehnout (v-w10520f3)</v>
      </c>
    </row>
    <row r="68400" customFormat="false" ht="12.8" hidden="false" customHeight="false" outlineLevel="0" collapsed="false">
      <c r="B68400" s="0" t="s">
        <v>7</v>
      </c>
      <c r="C68400" s="0" t="s">
        <v>191</v>
      </c>
    </row>
    <row r="68401" customFormat="false" ht="12.8" hidden="false" customHeight="false" outlineLevel="0" collapsed="false">
      <c r="B68401" s="0" t="s">
        <v>14</v>
      </c>
      <c r="C68401" s="0" t="s">
        <v>155</v>
      </c>
    </row>
    <row r="68403" customFormat="false" ht="12.8" hidden="false" customHeight="false" outlineLevel="0" collapsed="false">
      <c r="A68403" s="0" t="s">
        <v>23243</v>
      </c>
      <c r="B68403" s="0" t="str">
        <f aca="false">HYPERLINK("https://lindat.mff.cuni.cz/services/teitok/pdtc10/index.php?action=vallex&amp;frame=v-w10520f2", "zažehnout (v-w10520f2)")</f>
        <v>zažehnout (v-w10520f2)</v>
      </c>
    </row>
    <row r="68404" customFormat="false" ht="12.8" hidden="false" customHeight="false" outlineLevel="0" collapsed="false">
      <c r="B68404" s="0" t="s">
        <v>7</v>
      </c>
      <c r="C68404" s="0" t="s">
        <v>22</v>
      </c>
      <c r="D68404" s="0" t="s">
        <v>69</v>
      </c>
      <c r="E68404" s="0" t="s">
        <v>69</v>
      </c>
      <c r="F68404" s="0" t="s">
        <v>69</v>
      </c>
    </row>
    <row r="68405" customFormat="false" ht="12.8" hidden="false" customHeight="false" outlineLevel="0" collapsed="false">
      <c r="B68405" s="0" t="s">
        <v>14</v>
      </c>
      <c r="C68405" s="0" t="s">
        <v>2641</v>
      </c>
      <c r="D68405" s="0" t="s">
        <v>71</v>
      </c>
      <c r="E68405" s="0" t="s">
        <v>71</v>
      </c>
      <c r="F68405" s="0" t="s">
        <v>71</v>
      </c>
    </row>
    <row r="68407" customFormat="false" ht="12.8" hidden="false" customHeight="false" outlineLevel="0" collapsed="false">
      <c r="A68407" s="0" t="s">
        <v>23244</v>
      </c>
      <c r="B68407" s="0" t="str">
        <f aca="false">HYPERLINK("https://lindat.mff.cuni.cz/services/teitok/pdtc10/index.php?action=vallex&amp;frame=v-w9323f2_ZU", "zažádat (v-w9323f2_ZU)")</f>
        <v>zažádat (v-w9323f2_ZU)</v>
      </c>
    </row>
    <row r="68408" customFormat="false" ht="12.8" hidden="false" customHeight="false" outlineLevel="0" collapsed="false">
      <c r="B68408" s="0" t="s">
        <v>7</v>
      </c>
      <c r="C68408" s="0" t="s">
        <v>4231</v>
      </c>
      <c r="D68408" s="0" t="s">
        <v>1243</v>
      </c>
      <c r="E68408" s="0" t="s">
        <v>1243</v>
      </c>
      <c r="F68408" s="0" t="s">
        <v>1243</v>
      </c>
    </row>
    <row r="68409" customFormat="false" ht="12.8" hidden="false" customHeight="false" outlineLevel="0" collapsed="false">
      <c r="B68409" s="0" t="s">
        <v>615</v>
      </c>
      <c r="C68409" s="0" t="s">
        <v>6202</v>
      </c>
      <c r="D68409" s="0" t="s">
        <v>1246</v>
      </c>
      <c r="E68409" s="0" t="s">
        <v>1246</v>
      </c>
      <c r="F68409" s="0" t="s">
        <v>1246</v>
      </c>
    </row>
    <row r="68410" customFormat="false" ht="12.8" hidden="false" customHeight="false" outlineLevel="0" collapsed="false">
      <c r="B68410" s="0" t="s">
        <v>81</v>
      </c>
      <c r="C68410" s="0" t="s">
        <v>5534</v>
      </c>
      <c r="D68410" s="0" t="s">
        <v>11483</v>
      </c>
      <c r="E68410" s="0" t="s">
        <v>11483</v>
      </c>
      <c r="F68410" s="0" t="s">
        <v>11483</v>
      </c>
    </row>
    <row r="68412" customFormat="false" ht="12.8" hidden="false" customHeight="false" outlineLevel="0" collapsed="false">
      <c r="A68412" s="0" t="s">
        <v>23245</v>
      </c>
      <c r="B68412" s="0" t="str">
        <f aca="false">HYPERLINK("https://lindat.mff.cuni.cz/services/teitok/pdtc10/index.php?action=vallex&amp;frame=v-w9323f3_ZU", "zažádat (v-w9323f3_ZU)")</f>
        <v>zažádat (v-w9323f3_ZU)</v>
      </c>
    </row>
    <row r="68413" customFormat="false" ht="12.8" hidden="false" customHeight="false" outlineLevel="0" collapsed="false">
      <c r="B68413" s="0" t="s">
        <v>7</v>
      </c>
    </row>
    <row r="68414" customFormat="false" ht="12.8" hidden="false" customHeight="false" outlineLevel="0" collapsed="false">
      <c r="B68414" s="0" t="s">
        <v>23246</v>
      </c>
    </row>
    <row r="68416" customFormat="false" ht="12.8" hidden="false" customHeight="false" outlineLevel="0" collapsed="false">
      <c r="A68416" s="0" t="s">
        <v>23245</v>
      </c>
      <c r="B68416" s="0" t="str">
        <f aca="false">HYPERLINK("https://lindat.mff.cuni.cz/services/teitok/pdtc10/index.php?action=vallex&amp;frame=v-w9323f1", "zažádat (v-w9323f1) - substituted with v-w9323f3_ZU")</f>
        <v>zažádat (v-w9323f1) - substituted with v-w9323f3_ZU</v>
      </c>
    </row>
    <row r="68417" customFormat="false" ht="12.8" hidden="false" customHeight="false" outlineLevel="0" collapsed="false">
      <c r="B68417" s="0" t="s">
        <v>7</v>
      </c>
      <c r="C68417" s="0" t="s">
        <v>23247</v>
      </c>
      <c r="D68417" s="0" t="s">
        <v>18956</v>
      </c>
      <c r="E68417" s="0" t="s">
        <v>18956</v>
      </c>
      <c r="F68417" s="0" t="s">
        <v>18956</v>
      </c>
    </row>
    <row r="68418" customFormat="false" ht="12.8" hidden="false" customHeight="false" outlineLevel="0" collapsed="false">
      <c r="B68418" s="0" t="s">
        <v>23246</v>
      </c>
      <c r="C68418" s="0" t="s">
        <v>23248</v>
      </c>
      <c r="D68418" s="0" t="s">
        <v>18958</v>
      </c>
      <c r="E68418" s="0" t="s">
        <v>18958</v>
      </c>
      <c r="F68418" s="0" t="s">
        <v>18958</v>
      </c>
    </row>
    <row r="68420" customFormat="false" ht="12.8" hidden="false" customHeight="false" outlineLevel="0" collapsed="false">
      <c r="A68420" s="0" t="s">
        <v>23249</v>
      </c>
      <c r="B68420" s="0" t="str">
        <f aca="false">HYPERLINK("https://lindat.mff.cuni.cz/services/teitok/pdtc10/index.php?action=vallex&amp;frame=v-w9326f1", "zažíhat (v-w9326f1)")</f>
        <v>zažíhat (v-w9326f1)</v>
      </c>
    </row>
    <row r="68421" customFormat="false" ht="12.8" hidden="false" customHeight="false" outlineLevel="0" collapsed="false">
      <c r="B68421" s="0" t="s">
        <v>7</v>
      </c>
    </row>
    <row r="68422" customFormat="false" ht="12.8" hidden="false" customHeight="false" outlineLevel="0" collapsed="false">
      <c r="B68422" s="0" t="s">
        <v>14</v>
      </c>
    </row>
    <row r="68424" customFormat="false" ht="12.8" hidden="false" customHeight="false" outlineLevel="0" collapsed="false">
      <c r="A68424" s="0" t="s">
        <v>23250</v>
      </c>
      <c r="B68424" s="0" t="str">
        <f aca="false">HYPERLINK("https://lindat.mff.cuni.cz/services/teitok/pdtc10/index.php?action=vallex&amp;frame=v-w9327f5_ZU", "zažít (v-w9327f5_ZU)")</f>
        <v>zažít (v-w9327f5_ZU)</v>
      </c>
    </row>
    <row r="68425" customFormat="false" ht="12.8" hidden="false" customHeight="false" outlineLevel="0" collapsed="false">
      <c r="B68425" s="0" t="s">
        <v>7</v>
      </c>
    </row>
    <row r="68426" customFormat="false" ht="12.8" hidden="false" customHeight="false" outlineLevel="0" collapsed="false">
      <c r="B68426" s="0" t="s">
        <v>23251</v>
      </c>
    </row>
    <row r="68427" customFormat="false" ht="12.8" hidden="false" customHeight="false" outlineLevel="0" collapsed="false">
      <c r="B68427" s="0" t="s">
        <v>441</v>
      </c>
    </row>
    <row r="68429" customFormat="false" ht="12.8" hidden="false" customHeight="false" outlineLevel="0" collapsed="false">
      <c r="A68429" s="0" t="s">
        <v>23250</v>
      </c>
      <c r="B68429" s="0" t="str">
        <f aca="false">HYPERLINK("https://lindat.mff.cuni.cz/services/teitok/pdtc10/index.php?action=vallex&amp;frame=v-w9327f1", "zažít (v-w9327f1) - substituted with v-w9327f5_ZU")</f>
        <v>zažít (v-w9327f1) - substituted with v-w9327f5_ZU</v>
      </c>
    </row>
    <row r="68430" customFormat="false" ht="12.8" hidden="false" customHeight="false" outlineLevel="0" collapsed="false">
      <c r="B68430" s="0" t="s">
        <v>7</v>
      </c>
      <c r="C68430" s="0" t="s">
        <v>23252</v>
      </c>
      <c r="D68430" s="0" t="s">
        <v>10078</v>
      </c>
      <c r="E68430" s="0" t="s">
        <v>10078</v>
      </c>
      <c r="F68430" s="0" t="s">
        <v>10078</v>
      </c>
    </row>
    <row r="68431" customFormat="false" ht="12.8" hidden="false" customHeight="false" outlineLevel="0" collapsed="false">
      <c r="B68431" s="0" t="s">
        <v>23251</v>
      </c>
      <c r="C68431" s="0" t="s">
        <v>23253</v>
      </c>
      <c r="D68431" s="0" t="s">
        <v>10080</v>
      </c>
      <c r="E68431" s="0" t="s">
        <v>10080</v>
      </c>
      <c r="F68431" s="0" t="s">
        <v>10080</v>
      </c>
    </row>
    <row r="68432" customFormat="false" ht="12.8" hidden="false" customHeight="false" outlineLevel="0" collapsed="false">
      <c r="B68432" s="0" t="s">
        <v>441</v>
      </c>
    </row>
    <row r="68434" customFormat="false" ht="12.8" hidden="false" customHeight="false" outlineLevel="0" collapsed="false">
      <c r="A68434" s="0" t="s">
        <v>23250</v>
      </c>
      <c r="B68434" s="0" t="str">
        <f aca="false">HYPERLINK("https://lindat.mff.cuni.cz/services/teitok/pdtc10/index.php?action=vallex&amp;frame=v-w9327f3_ZU", "zažít (v-w9327f3_ZU) - substituted with v-w9327f5_ZU")</f>
        <v>zažít (v-w9327f3_ZU) - substituted with v-w9327f5_ZU</v>
      </c>
    </row>
    <row r="68435" customFormat="false" ht="12.8" hidden="false" customHeight="false" outlineLevel="0" collapsed="false">
      <c r="B68435" s="0" t="s">
        <v>7</v>
      </c>
    </row>
    <row r="68436" customFormat="false" ht="12.8" hidden="false" customHeight="false" outlineLevel="0" collapsed="false">
      <c r="B68436" s="0" t="s">
        <v>23251</v>
      </c>
    </row>
    <row r="68437" customFormat="false" ht="12.8" hidden="false" customHeight="false" outlineLevel="0" collapsed="false">
      <c r="B68437" s="0" t="s">
        <v>441</v>
      </c>
    </row>
    <row r="68439" customFormat="false" ht="12.8" hidden="false" customHeight="false" outlineLevel="0" collapsed="false">
      <c r="A68439" s="0" t="s">
        <v>23250</v>
      </c>
      <c r="B68439" s="0" t="str">
        <f aca="false">HYPERLINK("https://lindat.mff.cuni.cz/services/teitok/pdtc10/index.php?action=vallex&amp;frame=v-w9327f4_ZU", "zažít (v-w9327f4_ZU) - substituted with v-w9327f5_ZU")</f>
        <v>zažít (v-w9327f4_ZU) - substituted with v-w9327f5_ZU</v>
      </c>
    </row>
    <row r="68440" customFormat="false" ht="12.8" hidden="false" customHeight="false" outlineLevel="0" collapsed="false">
      <c r="B68440" s="0" t="s">
        <v>7</v>
      </c>
    </row>
    <row r="68441" customFormat="false" ht="12.8" hidden="false" customHeight="false" outlineLevel="0" collapsed="false">
      <c r="B68441" s="0" t="s">
        <v>23251</v>
      </c>
    </row>
    <row r="68442" customFormat="false" ht="12.8" hidden="false" customHeight="false" outlineLevel="0" collapsed="false">
      <c r="B68442" s="0" t="s">
        <v>441</v>
      </c>
    </row>
    <row r="68444" customFormat="false" ht="12.8" hidden="false" customHeight="false" outlineLevel="0" collapsed="false">
      <c r="A68444" s="0" t="s">
        <v>23250</v>
      </c>
      <c r="B68444" s="0" t="str">
        <f aca="false">HYPERLINK("https://lindat.mff.cuni.cz/services/teitok/pdtc10/index.php?action=vallex&amp;frame=v-w9327hsa_769", "zažít (v-w9327hsa_769) - substituted with v-w9327f5_ZU")</f>
        <v>zažít (v-w9327hsa_769) - substituted with v-w9327f5_ZU</v>
      </c>
    </row>
    <row r="68445" customFormat="false" ht="12.8" hidden="false" customHeight="false" outlineLevel="0" collapsed="false">
      <c r="B68445" s="0" t="s">
        <v>7</v>
      </c>
    </row>
    <row r="68446" customFormat="false" ht="12.8" hidden="false" customHeight="false" outlineLevel="0" collapsed="false">
      <c r="B68446" s="0" t="s">
        <v>23251</v>
      </c>
    </row>
    <row r="68447" customFormat="false" ht="12.8" hidden="false" customHeight="false" outlineLevel="0" collapsed="false">
      <c r="B68447" s="0" t="s">
        <v>441</v>
      </c>
    </row>
    <row r="68449" customFormat="false" ht="12.8" hidden="false" customHeight="false" outlineLevel="0" collapsed="false">
      <c r="A68449" s="0" t="s">
        <v>23254</v>
      </c>
      <c r="B68449" s="0" t="str">
        <f aca="false">HYPERLINK("https://lindat.mff.cuni.cz/services/teitok/pdtc10/index.php?action=vallex&amp;frame=v-w9327f2", "zažít (v-w9327f2)")</f>
        <v>zažít (v-w9327f2)</v>
      </c>
    </row>
    <row r="68450" customFormat="false" ht="12.8" hidden="false" customHeight="false" outlineLevel="0" collapsed="false">
      <c r="B68450" s="0" t="s">
        <v>7</v>
      </c>
    </row>
    <row r="68451" customFormat="false" ht="12.8" hidden="false" customHeight="false" outlineLevel="0" collapsed="false">
      <c r="B68451" s="0" t="s">
        <v>12420</v>
      </c>
    </row>
    <row r="68452" customFormat="false" ht="12.8" hidden="false" customHeight="false" outlineLevel="0" collapsed="false">
      <c r="B68452" s="0" t="s">
        <v>172</v>
      </c>
    </row>
    <row r="68454" customFormat="false" ht="12.8" hidden="false" customHeight="false" outlineLevel="0" collapsed="false">
      <c r="A68454" s="0" t="s">
        <v>23255</v>
      </c>
      <c r="B68454" s="0" t="str">
        <f aca="false">HYPERLINK("https://lindat.mff.cuni.cz/services/teitok/pdtc10/index.php?action=vallex&amp;frame=v-w9329f1", "zažít se (v-w9329f1)")</f>
        <v>zažít se (v-w9329f1)</v>
      </c>
    </row>
    <row r="68455" customFormat="false" ht="12.8" hidden="false" customHeight="false" outlineLevel="0" collapsed="false">
      <c r="B68455" s="0" t="s">
        <v>7</v>
      </c>
      <c r="F68455" s="0" t="s">
        <v>396</v>
      </c>
    </row>
    <row r="68457" customFormat="false" ht="12.8" hidden="false" customHeight="false" outlineLevel="0" collapsed="false">
      <c r="A68457" s="0" t="s">
        <v>23256</v>
      </c>
      <c r="B68457" s="0" t="str">
        <f aca="false">HYPERLINK("https://lindat.mff.cuni.cz/services/teitok/pdtc10/index.php?action=vallex&amp;frame=v-w9331f1", "zažívat (v-w9331f1)")</f>
        <v>zažívat (v-w9331f1)</v>
      </c>
    </row>
    <row r="68458" customFormat="false" ht="12.8" hidden="false" customHeight="false" outlineLevel="0" collapsed="false">
      <c r="B68458" s="0" t="s">
        <v>7</v>
      </c>
      <c r="C68458" s="0" t="s">
        <v>23257</v>
      </c>
      <c r="D68458" s="0" t="s">
        <v>10078</v>
      </c>
      <c r="E68458" s="0" t="s">
        <v>10078</v>
      </c>
      <c r="F68458" s="0" t="s">
        <v>10078</v>
      </c>
    </row>
    <row r="68459" customFormat="false" ht="12.8" hidden="false" customHeight="false" outlineLevel="0" collapsed="false">
      <c r="B68459" s="0" t="s">
        <v>54</v>
      </c>
      <c r="C68459" s="0" t="s">
        <v>23258</v>
      </c>
      <c r="D68459" s="0" t="s">
        <v>10080</v>
      </c>
      <c r="E68459" s="0" t="s">
        <v>10080</v>
      </c>
      <c r="F68459" s="0" t="s">
        <v>10080</v>
      </c>
    </row>
    <row r="68461" customFormat="false" ht="12.8" hidden="false" customHeight="false" outlineLevel="0" collapsed="false">
      <c r="A68461" s="0" t="s">
        <v>23259</v>
      </c>
      <c r="B68461" s="0" t="str">
        <f aca="false">HYPERLINK("https://lindat.mff.cuni.cz/services/teitok/pdtc10/index.php?action=vallex&amp;frame=v-w12282_ZUf2_MM", "zbandat (v-w12282_ZUf2_MM)")</f>
        <v>zbandat (v-w12282_ZUf2_MM)</v>
      </c>
    </row>
    <row r="68462" customFormat="false" ht="12.8" hidden="false" customHeight="false" outlineLevel="0" collapsed="false">
      <c r="B68462" s="0" t="s">
        <v>7</v>
      </c>
    </row>
    <row r="68463" customFormat="false" ht="12.8" hidden="false" customHeight="false" outlineLevel="0" collapsed="false">
      <c r="B68463" s="0" t="s">
        <v>81</v>
      </c>
    </row>
    <row r="68464" customFormat="false" ht="12.8" hidden="false" customHeight="false" outlineLevel="0" collapsed="false">
      <c r="B68464" s="0" t="s">
        <v>23260</v>
      </c>
    </row>
    <row r="68466" customFormat="false" ht="12.8" hidden="false" customHeight="false" outlineLevel="0" collapsed="false">
      <c r="A68466" s="0" t="s">
        <v>23259</v>
      </c>
      <c r="B68466" s="0" t="str">
        <f aca="false">HYPERLINK("https://lindat.mff.cuni.cz/services/teitok/pdtc10/index.php?action=vallex&amp;frame=v-w12282_ZUf1_ZU", "zbandat (v-w12282_ZUf1_ZU) - substituted with v-w12282_ZUf2_MM")</f>
        <v>zbandat (v-w12282_ZUf1_ZU) - substituted with v-w12282_ZUf2_MM</v>
      </c>
    </row>
    <row r="68467" customFormat="false" ht="12.8" hidden="false" customHeight="false" outlineLevel="0" collapsed="false">
      <c r="B68467" s="0" t="s">
        <v>7</v>
      </c>
    </row>
    <row r="68468" customFormat="false" ht="12.8" hidden="false" customHeight="false" outlineLevel="0" collapsed="false">
      <c r="B68468" s="0" t="s">
        <v>81</v>
      </c>
    </row>
    <row r="68469" customFormat="false" ht="12.8" hidden="false" customHeight="false" outlineLevel="0" collapsed="false">
      <c r="B68469" s="0" t="s">
        <v>23260</v>
      </c>
    </row>
    <row r="68471" customFormat="false" ht="12.8" hidden="false" customHeight="false" outlineLevel="0" collapsed="false">
      <c r="A68471" s="0" t="s">
        <v>23261</v>
      </c>
      <c r="B68471" s="0" t="str">
        <f aca="false">HYPERLINK("https://lindat.mff.cuni.cz/services/teitok/pdtc10/index.php?action=vallex&amp;frame=v-whsa_2029hsa_2030", "zbankat (v-whsa_2029hsa_2030)")</f>
        <v>zbankat (v-whsa_2029hsa_2030)</v>
      </c>
    </row>
    <row r="68472" customFormat="false" ht="12.8" hidden="false" customHeight="false" outlineLevel="0" collapsed="false">
      <c r="B68472" s="0" t="s">
        <v>7</v>
      </c>
    </row>
    <row r="68473" customFormat="false" ht="12.8" hidden="false" customHeight="false" outlineLevel="0" collapsed="false">
      <c r="B68473" s="0" t="s">
        <v>81</v>
      </c>
    </row>
    <row r="68474" customFormat="false" ht="12.8" hidden="false" customHeight="false" outlineLevel="0" collapsed="false">
      <c r="B68474" s="0" t="s">
        <v>23262</v>
      </c>
    </row>
    <row r="68476" customFormat="false" ht="12.8" hidden="false" customHeight="false" outlineLevel="0" collapsed="false">
      <c r="A68476" s="0" t="s">
        <v>23263</v>
      </c>
      <c r="B68476" s="0" t="str">
        <f aca="false">HYPERLINK("https://lindat.mff.cuni.cz/services/teitok/pdtc10/index.php?action=vallex&amp;frame=v-w9332f1", "zbankrotovat (v-w9332f1)")</f>
        <v>zbankrotovat (v-w9332f1)</v>
      </c>
    </row>
    <row r="68477" customFormat="false" ht="12.8" hidden="false" customHeight="false" outlineLevel="0" collapsed="false">
      <c r="B68477" s="0" t="s">
        <v>7</v>
      </c>
      <c r="C68477" s="0" t="s">
        <v>247</v>
      </c>
      <c r="D68477" s="0" t="s">
        <v>1902</v>
      </c>
      <c r="E68477" s="0" t="s">
        <v>1902</v>
      </c>
      <c r="F68477" s="0" t="s">
        <v>1902</v>
      </c>
    </row>
    <row r="68479" customFormat="false" ht="12.8" hidden="false" customHeight="false" outlineLevel="0" collapsed="false">
      <c r="A68479" s="0" t="s">
        <v>23264</v>
      </c>
      <c r="B68479" s="0" t="str">
        <f aca="false">HYPERLINK("https://lindat.mff.cuni.cz/services/teitok/pdtc10/index.php?action=vallex&amp;frame=v-w10209f2", "zbarvit (v-w10209f2)")</f>
        <v>zbarvit (v-w10209f2)</v>
      </c>
    </row>
    <row r="68480" customFormat="false" ht="12.8" hidden="false" customHeight="false" outlineLevel="0" collapsed="false">
      <c r="B68480" s="0" t="s">
        <v>7</v>
      </c>
      <c r="D68480" s="0" t="s">
        <v>194</v>
      </c>
      <c r="E68480" s="0" t="s">
        <v>194</v>
      </c>
      <c r="F68480" s="0" t="s">
        <v>194</v>
      </c>
    </row>
    <row r="68481" customFormat="false" ht="12.8" hidden="false" customHeight="false" outlineLevel="0" collapsed="false">
      <c r="B68481" s="0" t="s">
        <v>14</v>
      </c>
      <c r="C68481" s="0" t="s">
        <v>195</v>
      </c>
      <c r="D68481" s="0" t="s">
        <v>195</v>
      </c>
      <c r="E68481" s="0" t="s">
        <v>195</v>
      </c>
      <c r="F68481" s="0" t="s">
        <v>195</v>
      </c>
    </row>
    <row r="68482" customFormat="false" ht="12.8" hidden="false" customHeight="false" outlineLevel="0" collapsed="false">
      <c r="B68482" s="0" t="s">
        <v>662</v>
      </c>
      <c r="C68482" s="0" t="s">
        <v>23265</v>
      </c>
      <c r="D68482" s="0" t="s">
        <v>23265</v>
      </c>
      <c r="E68482" s="0" t="s">
        <v>23265</v>
      </c>
      <c r="F68482" s="0" t="s">
        <v>23265</v>
      </c>
    </row>
    <row r="68484" customFormat="false" ht="12.8" hidden="false" customHeight="false" outlineLevel="0" collapsed="false">
      <c r="A68484" s="0" t="s">
        <v>23266</v>
      </c>
      <c r="B68484" s="0" t="str">
        <f aca="false">HYPERLINK("https://lindat.mff.cuni.cz/services/teitok/pdtc10/index.php?action=vallex&amp;frame=v-whsa_490hsa_491", "zbarvit se (v-whsa_490hsa_491)")</f>
        <v>zbarvit se (v-whsa_490hsa_491)</v>
      </c>
    </row>
    <row r="68485" customFormat="false" ht="12.8" hidden="false" customHeight="false" outlineLevel="0" collapsed="false">
      <c r="B68485" s="0" t="s">
        <v>7</v>
      </c>
    </row>
    <row r="68487" customFormat="false" ht="12.8" hidden="false" customHeight="false" outlineLevel="0" collapsed="false">
      <c r="A68487" s="0" t="s">
        <v>23267</v>
      </c>
      <c r="B68487" s="0" t="str">
        <f aca="false">HYPERLINK("https://lindat.mff.cuni.cz/services/teitok/pdtc10/index.php?action=vallex&amp;frame=v-w9335f1", "zbavit (v-w9335f1)")</f>
        <v>zbavit (v-w9335f1)</v>
      </c>
    </row>
    <row r="68488" customFormat="false" ht="12.8" hidden="false" customHeight="false" outlineLevel="0" collapsed="false">
      <c r="B68488" s="0" t="s">
        <v>7</v>
      </c>
      <c r="C68488" s="0" t="s">
        <v>1505</v>
      </c>
      <c r="D68488" s="0" t="s">
        <v>2736</v>
      </c>
      <c r="E68488" s="0" t="s">
        <v>2736</v>
      </c>
      <c r="F68488" s="0" t="s">
        <v>2736</v>
      </c>
    </row>
    <row r="68489" customFormat="false" ht="12.8" hidden="false" customHeight="false" outlineLevel="0" collapsed="false">
      <c r="B68489" s="0" t="s">
        <v>1087</v>
      </c>
      <c r="C68489" s="0" t="s">
        <v>8571</v>
      </c>
      <c r="D68489" s="0" t="s">
        <v>23268</v>
      </c>
      <c r="E68489" s="0" t="s">
        <v>23268</v>
      </c>
      <c r="F68489" s="0" t="s">
        <v>23268</v>
      </c>
    </row>
    <row r="68490" customFormat="false" ht="12.8" hidden="false" customHeight="false" outlineLevel="0" collapsed="false">
      <c r="B68490" s="0" t="s">
        <v>81</v>
      </c>
      <c r="C68490" s="0" t="s">
        <v>23269</v>
      </c>
      <c r="D68490" s="0" t="s">
        <v>23270</v>
      </c>
      <c r="E68490" s="0" t="s">
        <v>23270</v>
      </c>
      <c r="F68490" s="0" t="s">
        <v>23270</v>
      </c>
    </row>
    <row r="68492" customFormat="false" ht="12.8" hidden="false" customHeight="false" outlineLevel="0" collapsed="false">
      <c r="A68492" s="0" t="s">
        <v>23271</v>
      </c>
      <c r="B68492" s="0" t="str">
        <f aca="false">HYPERLINK("https://lindat.mff.cuni.cz/services/teitok/pdtc10/index.php?action=vallex&amp;frame=v-w9336f1", "zbavit se (v-w9336f1)")</f>
        <v>zbavit se (v-w9336f1)</v>
      </c>
    </row>
    <row r="68493" customFormat="false" ht="12.8" hidden="false" customHeight="false" outlineLevel="0" collapsed="false">
      <c r="B68493" s="0" t="s">
        <v>7</v>
      </c>
      <c r="C68493" s="0" t="s">
        <v>23272</v>
      </c>
      <c r="D68493" s="0" t="s">
        <v>2560</v>
      </c>
      <c r="E68493" s="0" t="s">
        <v>2560</v>
      </c>
      <c r="F68493" s="0" t="s">
        <v>2560</v>
      </c>
    </row>
    <row r="68494" customFormat="false" ht="12.8" hidden="false" customHeight="false" outlineLevel="0" collapsed="false">
      <c r="B68494" s="0" t="s">
        <v>1087</v>
      </c>
      <c r="C68494" s="0" t="s">
        <v>23273</v>
      </c>
      <c r="D68494" s="0" t="s">
        <v>3883</v>
      </c>
      <c r="E68494" s="0" t="s">
        <v>3883</v>
      </c>
      <c r="F68494" s="0" t="s">
        <v>3883</v>
      </c>
    </row>
    <row r="68496" customFormat="false" ht="12.8" hidden="false" customHeight="false" outlineLevel="0" collapsed="false">
      <c r="A68496" s="0" t="s">
        <v>23274</v>
      </c>
      <c r="B68496" s="0" t="str">
        <f aca="false">HYPERLINK("https://lindat.mff.cuni.cz/services/teitok/pdtc10/index.php?action=vallex&amp;frame=v-w9337f1", "zbavovat (v-w9337f1)")</f>
        <v>zbavovat (v-w9337f1)</v>
      </c>
    </row>
    <row r="68497" customFormat="false" ht="12.8" hidden="false" customHeight="false" outlineLevel="0" collapsed="false">
      <c r="B68497" s="0" t="s">
        <v>7</v>
      </c>
      <c r="C68497" s="0" t="s">
        <v>4208</v>
      </c>
      <c r="D68497" s="0" t="s">
        <v>2736</v>
      </c>
      <c r="E68497" s="0" t="s">
        <v>2736</v>
      </c>
      <c r="F68497" s="0" t="s">
        <v>2736</v>
      </c>
    </row>
    <row r="68498" customFormat="false" ht="12.8" hidden="false" customHeight="false" outlineLevel="0" collapsed="false">
      <c r="B68498" s="0" t="s">
        <v>1087</v>
      </c>
      <c r="C68498" s="0" t="s">
        <v>9234</v>
      </c>
      <c r="D68498" s="0" t="s">
        <v>23268</v>
      </c>
      <c r="E68498" s="0" t="s">
        <v>23268</v>
      </c>
      <c r="F68498" s="0" t="s">
        <v>23268</v>
      </c>
    </row>
    <row r="68499" customFormat="false" ht="12.8" hidden="false" customHeight="false" outlineLevel="0" collapsed="false">
      <c r="B68499" s="0" t="s">
        <v>81</v>
      </c>
      <c r="C68499" s="0" t="s">
        <v>23275</v>
      </c>
      <c r="D68499" s="0" t="s">
        <v>23270</v>
      </c>
      <c r="E68499" s="0" t="s">
        <v>23270</v>
      </c>
      <c r="F68499" s="0" t="s">
        <v>23270</v>
      </c>
    </row>
    <row r="68501" customFormat="false" ht="12.8" hidden="false" customHeight="false" outlineLevel="0" collapsed="false">
      <c r="A68501" s="0" t="s">
        <v>23276</v>
      </c>
      <c r="B68501" s="0" t="str">
        <f aca="false">HYPERLINK("https://lindat.mff.cuni.cz/services/teitok/pdtc10/index.php?action=vallex&amp;frame=v-w9338f1", "zbavovat se (v-w9338f1)")</f>
        <v>zbavovat se (v-w9338f1)</v>
      </c>
    </row>
    <row r="68502" customFormat="false" ht="12.8" hidden="false" customHeight="false" outlineLevel="0" collapsed="false">
      <c r="B68502" s="0" t="s">
        <v>7</v>
      </c>
      <c r="C68502" s="0" t="s">
        <v>1509</v>
      </c>
      <c r="D68502" s="0" t="s">
        <v>2560</v>
      </c>
      <c r="E68502" s="0" t="s">
        <v>2560</v>
      </c>
      <c r="F68502" s="0" t="s">
        <v>2560</v>
      </c>
    </row>
    <row r="68503" customFormat="false" ht="12.8" hidden="false" customHeight="false" outlineLevel="0" collapsed="false">
      <c r="B68503" s="0" t="s">
        <v>1087</v>
      </c>
      <c r="C68503" s="0" t="s">
        <v>4741</v>
      </c>
      <c r="D68503" s="0" t="s">
        <v>3883</v>
      </c>
      <c r="E68503" s="0" t="s">
        <v>3883</v>
      </c>
      <c r="F68503" s="0" t="s">
        <v>3883</v>
      </c>
    </row>
    <row r="68505" customFormat="false" ht="12.8" hidden="false" customHeight="false" outlineLevel="0" collapsed="false">
      <c r="A68505" s="0" t="s">
        <v>23277</v>
      </c>
      <c r="B68505" s="0" t="str">
        <f aca="false">HYPERLINK("https://lindat.mff.cuni.cz/services/teitok/pdtc10/index.php?action=vallex&amp;frame=v-whsa_360hsa_361", "zbaštit (v-whsa_360hsa_361)")</f>
        <v>zbaštit (v-whsa_360hsa_361)</v>
      </c>
    </row>
    <row r="68506" customFormat="false" ht="12.8" hidden="false" customHeight="false" outlineLevel="0" collapsed="false">
      <c r="B68506" s="0" t="s">
        <v>7</v>
      </c>
    </row>
    <row r="68507" customFormat="false" ht="12.8" hidden="false" customHeight="false" outlineLevel="0" collapsed="false">
      <c r="B68507" s="0" t="s">
        <v>14</v>
      </c>
    </row>
    <row r="68509" customFormat="false" ht="12.8" hidden="false" customHeight="false" outlineLevel="0" collapsed="false">
      <c r="A68509" s="0" t="s">
        <v>23278</v>
      </c>
      <c r="B68509" s="0" t="str">
        <f aca="false">HYPERLINK("https://lindat.mff.cuni.cz/services/teitok/pdtc10/index.php?action=vallex&amp;frame=v-w9343f1", "zblbnout (v-w9343f1)")</f>
        <v>zblbnout (v-w9343f1)</v>
      </c>
    </row>
    <row r="68510" customFormat="false" ht="12.8" hidden="false" customHeight="false" outlineLevel="0" collapsed="false">
      <c r="B68510" s="0" t="s">
        <v>7</v>
      </c>
    </row>
    <row r="68512" customFormat="false" ht="12.8" hidden="false" customHeight="false" outlineLevel="0" collapsed="false">
      <c r="A68512" s="0" t="s">
        <v>23279</v>
      </c>
      <c r="B68512" s="0" t="str">
        <f aca="false">HYPERLINK("https://lindat.mff.cuni.cz/services/teitok/pdtc10/index.php?action=vallex&amp;frame=v-w9344f1", "zblokovat (v-w9344f1)")</f>
        <v>zblokovat (v-w9344f1)</v>
      </c>
    </row>
    <row r="68513" customFormat="false" ht="12.8" hidden="false" customHeight="false" outlineLevel="0" collapsed="false">
      <c r="B68513" s="0" t="s">
        <v>7</v>
      </c>
    </row>
    <row r="68514" customFormat="false" ht="12.8" hidden="false" customHeight="false" outlineLevel="0" collapsed="false">
      <c r="B68514" s="0" t="s">
        <v>14</v>
      </c>
    </row>
    <row r="68516" customFormat="false" ht="12.8" hidden="false" customHeight="false" outlineLevel="0" collapsed="false">
      <c r="A68516" s="0" t="s">
        <v>23280</v>
      </c>
      <c r="B68516" s="0" t="str">
        <f aca="false">HYPERLINK("https://lindat.mff.cuni.cz/services/teitok/pdtc10/index.php?action=vallex&amp;frame=v-w9342f1", "zbláznit se (v-w9342f1)")</f>
        <v>zbláznit se (v-w9342f1)</v>
      </c>
    </row>
    <row r="68517" customFormat="false" ht="12.8" hidden="false" customHeight="false" outlineLevel="0" collapsed="false">
      <c r="B68517" s="0" t="s">
        <v>7</v>
      </c>
      <c r="C68517" s="0" t="s">
        <v>6540</v>
      </c>
    </row>
    <row r="68519" customFormat="false" ht="12.8" hidden="false" customHeight="false" outlineLevel="0" collapsed="false">
      <c r="A68519" s="0" t="s">
        <v>23281</v>
      </c>
      <c r="B68519" s="0" t="str">
        <f aca="false">HYPERLINK("https://lindat.mff.cuni.cz/services/teitok/pdtc10/index.php?action=vallex&amp;frame=v-w9342f2_ZU", "zbláznit se (v-w9342f2_ZU)")</f>
        <v>zbláznit se (v-w9342f2_ZU)</v>
      </c>
    </row>
    <row r="68520" customFormat="false" ht="12.8" hidden="false" customHeight="false" outlineLevel="0" collapsed="false">
      <c r="B68520" s="0" t="s">
        <v>7</v>
      </c>
    </row>
    <row r="68521" customFormat="false" ht="12.8" hidden="false" customHeight="false" outlineLevel="0" collapsed="false">
      <c r="B68521" s="0" t="s">
        <v>581</v>
      </c>
    </row>
    <row r="68523" customFormat="false" ht="12.8" hidden="false" customHeight="false" outlineLevel="0" collapsed="false">
      <c r="A68523" s="0" t="s">
        <v>23282</v>
      </c>
      <c r="B68523" s="0" t="str">
        <f aca="false">HYPERLINK("https://lindat.mff.cuni.cz/services/teitok/pdtc10/index.php?action=vallex&amp;frame=v-w9345f1", "zbohatnout (v-w9345f1)")</f>
        <v>zbohatnout (v-w9345f1)</v>
      </c>
    </row>
    <row r="68524" customFormat="false" ht="12.8" hidden="false" customHeight="false" outlineLevel="0" collapsed="false">
      <c r="B68524" s="0" t="s">
        <v>7</v>
      </c>
    </row>
    <row r="68525" customFormat="false" ht="12.8" hidden="false" customHeight="false" outlineLevel="0" collapsed="false">
      <c r="B68525" s="0" t="s">
        <v>302</v>
      </c>
    </row>
    <row r="68526" customFormat="false" ht="12.8" hidden="false" customHeight="false" outlineLevel="0" collapsed="false">
      <c r="B68526" s="0" t="s">
        <v>303</v>
      </c>
    </row>
    <row r="68528" customFormat="false" ht="12.8" hidden="false" customHeight="false" outlineLevel="0" collapsed="false">
      <c r="A68528" s="0" t="s">
        <v>23283</v>
      </c>
      <c r="B68528" s="0" t="str">
        <f aca="false">HYPERLINK("https://lindat.mff.cuni.cz/services/teitok/pdtc10/index.php?action=vallex&amp;frame=v-w9347f1", "zbortit se (v-w9347f1)")</f>
        <v>zbortit se (v-w9347f1)</v>
      </c>
    </row>
    <row r="68529" customFormat="false" ht="12.8" hidden="false" customHeight="false" outlineLevel="0" collapsed="false">
      <c r="B68529" s="0" t="s">
        <v>7</v>
      </c>
    </row>
    <row r="68531" customFormat="false" ht="12.8" hidden="false" customHeight="false" outlineLevel="0" collapsed="false">
      <c r="A68531" s="0" t="s">
        <v>23284</v>
      </c>
      <c r="B68531" s="0" t="str">
        <f aca="false">HYPERLINK("https://lindat.mff.cuni.cz/services/teitok/pdtc10/index.php?action=vallex&amp;frame=v-w9351f1", "zbourat (v-w9351f1)")</f>
        <v>zbourat (v-w9351f1)</v>
      </c>
    </row>
    <row r="68532" customFormat="false" ht="12.8" hidden="false" customHeight="false" outlineLevel="0" collapsed="false">
      <c r="B68532" s="0" t="s">
        <v>7</v>
      </c>
      <c r="C68532" s="0" t="s">
        <v>184</v>
      </c>
      <c r="D68532" s="0" t="s">
        <v>1549</v>
      </c>
      <c r="E68532" s="0" t="s">
        <v>1550</v>
      </c>
      <c r="F68532" s="0" t="s">
        <v>1550</v>
      </c>
    </row>
    <row r="68533" customFormat="false" ht="12.8" hidden="false" customHeight="false" outlineLevel="0" collapsed="false">
      <c r="B68533" s="0" t="s">
        <v>14</v>
      </c>
      <c r="C68533" s="0" t="s">
        <v>1170</v>
      </c>
      <c r="D68533" s="0" t="s">
        <v>1164</v>
      </c>
      <c r="E68533" s="0" t="s">
        <v>1551</v>
      </c>
      <c r="F68533" s="0" t="s">
        <v>1551</v>
      </c>
    </row>
    <row r="68535" customFormat="false" ht="12.8" hidden="false" customHeight="false" outlineLevel="0" collapsed="false">
      <c r="A68535" s="0" t="s">
        <v>23285</v>
      </c>
      <c r="B68535" s="0" t="str">
        <f aca="false">HYPERLINK("https://lindat.mff.cuni.cz/services/teitok/pdtc10/index.php?action=vallex&amp;frame=v-w9351hsa_1371", "zbourat (v-w9351hsa_1371)")</f>
        <v>zbourat (v-w9351hsa_1371)</v>
      </c>
    </row>
    <row r="68536" customFormat="false" ht="12.8" hidden="false" customHeight="false" outlineLevel="0" collapsed="false">
      <c r="B68536" s="0" t="s">
        <v>7</v>
      </c>
    </row>
    <row r="68537" customFormat="false" ht="12.8" hidden="false" customHeight="false" outlineLevel="0" collapsed="false">
      <c r="B68537" s="0" t="s">
        <v>14</v>
      </c>
    </row>
    <row r="68539" customFormat="false" ht="12.8" hidden="false" customHeight="false" outlineLevel="0" collapsed="false">
      <c r="A68539" s="0" t="s">
        <v>23286</v>
      </c>
      <c r="B68539" s="0" t="str">
        <f aca="false">HYPERLINK("https://lindat.mff.cuni.cz/services/teitok/pdtc10/index.php?action=vallex&amp;frame=v-w9349f1", "zbořit (v-w9349f1)")</f>
        <v>zbořit (v-w9349f1)</v>
      </c>
    </row>
    <row r="68540" customFormat="false" ht="12.8" hidden="false" customHeight="false" outlineLevel="0" collapsed="false">
      <c r="B68540" s="0" t="s">
        <v>7</v>
      </c>
    </row>
    <row r="68541" customFormat="false" ht="12.8" hidden="false" customHeight="false" outlineLevel="0" collapsed="false">
      <c r="B68541" s="0" t="s">
        <v>14</v>
      </c>
    </row>
    <row r="68543" customFormat="false" ht="12.8" hidden="false" customHeight="false" outlineLevel="0" collapsed="false">
      <c r="A68543" s="0" t="s">
        <v>23287</v>
      </c>
      <c r="B68543" s="0" t="str">
        <f aca="false">HYPERLINK("https://lindat.mff.cuni.cz/services/teitok/pdtc10/index.php?action=vallex&amp;frame=v-w9350f1", "zbořit se (v-w9350f1)")</f>
        <v>zbořit se (v-w9350f1)</v>
      </c>
    </row>
    <row r="68544" customFormat="false" ht="12.8" hidden="false" customHeight="false" outlineLevel="0" collapsed="false">
      <c r="B68544" s="0" t="s">
        <v>7</v>
      </c>
      <c r="C68544" s="0" t="s">
        <v>723</v>
      </c>
      <c r="D68544" s="0" t="s">
        <v>23288</v>
      </c>
      <c r="E68544" s="0" t="s">
        <v>23289</v>
      </c>
      <c r="F68544" s="0" t="s">
        <v>23289</v>
      </c>
    </row>
    <row r="68546" customFormat="false" ht="12.8" hidden="false" customHeight="false" outlineLevel="0" collapsed="false">
      <c r="A68546" s="0" t="s">
        <v>23290</v>
      </c>
      <c r="B68546" s="0" t="str">
        <f aca="false">HYPERLINK("https://lindat.mff.cuni.cz/services/teitok/pdtc10/index.php?action=vallex&amp;frame=v-w9353f1", "zbožňovat (v-w9353f1)")</f>
        <v>zbožňovat (v-w9353f1)</v>
      </c>
    </row>
    <row r="68547" customFormat="false" ht="12.8" hidden="false" customHeight="false" outlineLevel="0" collapsed="false">
      <c r="B68547" s="0" t="s">
        <v>7</v>
      </c>
    </row>
    <row r="68548" customFormat="false" ht="12.8" hidden="false" customHeight="false" outlineLevel="0" collapsed="false">
      <c r="B68548" s="0" t="s">
        <v>14</v>
      </c>
    </row>
    <row r="68550" customFormat="false" ht="12.8" hidden="false" customHeight="false" outlineLevel="0" collapsed="false">
      <c r="A68550" s="0" t="s">
        <v>23291</v>
      </c>
      <c r="B68550" s="0" t="str">
        <f aca="false">HYPERLINK("https://lindat.mff.cuni.cz/services/teitok/pdtc10/index.php?action=vallex&amp;frame=v-w10465f2", "zbrojit (v-w10465f2)")</f>
        <v>zbrojit (v-w10465f2)</v>
      </c>
    </row>
    <row r="68551" customFormat="false" ht="12.8" hidden="false" customHeight="false" outlineLevel="0" collapsed="false">
      <c r="B68551" s="0" t="s">
        <v>7</v>
      </c>
    </row>
    <row r="68552" customFormat="false" ht="12.8" hidden="false" customHeight="false" outlineLevel="0" collapsed="false">
      <c r="B68552" s="0" t="s">
        <v>22667</v>
      </c>
    </row>
    <row r="68554" customFormat="false" ht="12.8" hidden="false" customHeight="false" outlineLevel="0" collapsed="false">
      <c r="A68554" s="0" t="s">
        <v>23292</v>
      </c>
      <c r="B68554" s="0" t="str">
        <f aca="false">HYPERLINK("https://lindat.mff.cuni.cz/services/teitok/pdtc10/index.php?action=vallex&amp;frame=v-w9356f1", "zbrousit (v-w9356f1)")</f>
        <v>zbrousit (v-w9356f1)</v>
      </c>
    </row>
    <row r="68555" customFormat="false" ht="12.8" hidden="false" customHeight="false" outlineLevel="0" collapsed="false">
      <c r="B68555" s="0" t="s">
        <v>7</v>
      </c>
      <c r="D68555" s="0" t="s">
        <v>569</v>
      </c>
      <c r="E68555" s="0" t="s">
        <v>569</v>
      </c>
      <c r="F68555" s="0" t="s">
        <v>569</v>
      </c>
    </row>
    <row r="68556" customFormat="false" ht="12.8" hidden="false" customHeight="false" outlineLevel="0" collapsed="false">
      <c r="B68556" s="0" t="s">
        <v>14</v>
      </c>
      <c r="D68556" s="0" t="s">
        <v>47</v>
      </c>
      <c r="E68556" s="0" t="s">
        <v>47</v>
      </c>
      <c r="F68556" s="0" t="s">
        <v>47</v>
      </c>
    </row>
    <row r="68558" customFormat="false" ht="12.8" hidden="false" customHeight="false" outlineLevel="0" collapsed="false">
      <c r="A68558" s="0" t="s">
        <v>23293</v>
      </c>
      <c r="B68558" s="0" t="str">
        <f aca="false">HYPERLINK("https://lindat.mff.cuni.cz/services/teitok/pdtc10/index.php?action=vallex&amp;frame=v-w9358f1", "zbrzdit (v-w9358f1)")</f>
        <v>zbrzdit (v-w9358f1)</v>
      </c>
    </row>
    <row r="68559" customFormat="false" ht="12.8" hidden="false" customHeight="false" outlineLevel="0" collapsed="false">
      <c r="B68559" s="0" t="s">
        <v>7</v>
      </c>
      <c r="C68559" s="0" t="s">
        <v>118</v>
      </c>
      <c r="D68559" s="0" t="s">
        <v>392</v>
      </c>
      <c r="E68559" s="0" t="s">
        <v>392</v>
      </c>
      <c r="F68559" s="0" t="s">
        <v>392</v>
      </c>
    </row>
    <row r="68560" customFormat="false" ht="12.8" hidden="false" customHeight="false" outlineLevel="0" collapsed="false">
      <c r="B68560" s="0" t="s">
        <v>14</v>
      </c>
      <c r="C68560" s="0" t="s">
        <v>1315</v>
      </c>
      <c r="D68560" s="0" t="s">
        <v>394</v>
      </c>
      <c r="E68560" s="0" t="s">
        <v>394</v>
      </c>
      <c r="F68560" s="0" t="s">
        <v>394</v>
      </c>
    </row>
    <row r="68562" customFormat="false" ht="12.8" hidden="false" customHeight="false" outlineLevel="0" collapsed="false">
      <c r="A68562" s="0" t="s">
        <v>23294</v>
      </c>
      <c r="B68562" s="0" t="str">
        <f aca="false">HYPERLINK("https://lindat.mff.cuni.cz/services/teitok/pdtc10/index.php?action=vallex&amp;frame=v-w9359f1", "zbrzdit se (v-w9359f1)")</f>
        <v>zbrzdit se (v-w9359f1)</v>
      </c>
    </row>
    <row r="68563" customFormat="false" ht="12.8" hidden="false" customHeight="false" outlineLevel="0" collapsed="false">
      <c r="B68563" s="0" t="s">
        <v>7</v>
      </c>
      <c r="C68563" s="0" t="s">
        <v>23295</v>
      </c>
      <c r="D68563" s="0" t="s">
        <v>7922</v>
      </c>
      <c r="E68563" s="0" t="s">
        <v>7922</v>
      </c>
      <c r="F68563" s="0" t="s">
        <v>7922</v>
      </c>
    </row>
    <row r="68565" customFormat="false" ht="12.8" hidden="false" customHeight="false" outlineLevel="0" collapsed="false">
      <c r="A68565" s="0" t="s">
        <v>23296</v>
      </c>
      <c r="B68565" s="0" t="str">
        <f aca="false">HYPERLINK("https://lindat.mff.cuni.cz/services/teitok/pdtc10/index.php?action=vallex&amp;frame=v-w9354f1", "zbrázdit (v-w9354f1)")</f>
        <v>zbrázdit (v-w9354f1)</v>
      </c>
    </row>
    <row r="68566" customFormat="false" ht="12.8" hidden="false" customHeight="false" outlineLevel="0" collapsed="false">
      <c r="B68566" s="0" t="s">
        <v>7</v>
      </c>
    </row>
    <row r="68567" customFormat="false" ht="12.8" hidden="false" customHeight="false" outlineLevel="0" collapsed="false">
      <c r="B68567" s="0" t="s">
        <v>14</v>
      </c>
    </row>
    <row r="68569" customFormat="false" ht="12.8" hidden="false" customHeight="false" outlineLevel="0" collapsed="false">
      <c r="A68569" s="0" t="s">
        <v>23297</v>
      </c>
      <c r="B68569" s="0" t="str">
        <f aca="false">HYPERLINK("https://lindat.mff.cuni.cz/services/teitok/pdtc10/index.php?action=vallex&amp;frame=v-w9354f2", "zbrázdit (v-w9354f2)")</f>
        <v>zbrázdit (v-w9354f2)</v>
      </c>
    </row>
    <row r="68570" customFormat="false" ht="12.8" hidden="false" customHeight="false" outlineLevel="0" collapsed="false">
      <c r="B68570" s="0" t="s">
        <v>7</v>
      </c>
    </row>
    <row r="68571" customFormat="false" ht="12.8" hidden="false" customHeight="false" outlineLevel="0" collapsed="false">
      <c r="B68571" s="0" t="s">
        <v>14</v>
      </c>
    </row>
    <row r="68573" customFormat="false" ht="12.8" hidden="false" customHeight="false" outlineLevel="0" collapsed="false">
      <c r="A68573" s="0" t="s">
        <v>23298</v>
      </c>
      <c r="B68573" s="0" t="str">
        <f aca="false">HYPERLINK("https://lindat.mff.cuni.cz/services/teitok/pdtc10/index.php?action=vallex&amp;frame=v-w9361f1", "zbudovat (v-w9361f1)")</f>
        <v>zbudovat (v-w9361f1)</v>
      </c>
    </row>
    <row r="68574" customFormat="false" ht="12.8" hidden="false" customHeight="false" outlineLevel="0" collapsed="false">
      <c r="B68574" s="0" t="s">
        <v>7</v>
      </c>
      <c r="D68574" s="0" t="s">
        <v>591</v>
      </c>
      <c r="E68574" s="0" t="s">
        <v>14491</v>
      </c>
      <c r="F68574" s="0" t="s">
        <v>14491</v>
      </c>
    </row>
    <row r="68575" customFormat="false" ht="12.8" hidden="false" customHeight="false" outlineLevel="0" collapsed="false">
      <c r="B68575" s="0" t="s">
        <v>14</v>
      </c>
      <c r="D68575" s="0" t="s">
        <v>593</v>
      </c>
      <c r="E68575" s="0" t="s">
        <v>14493</v>
      </c>
      <c r="F68575" s="0" t="s">
        <v>14493</v>
      </c>
    </row>
    <row r="68576" customFormat="false" ht="12.8" hidden="false" customHeight="false" outlineLevel="0" collapsed="false">
      <c r="B68576" s="0" t="s">
        <v>35</v>
      </c>
      <c r="D68576" s="0" t="s">
        <v>595</v>
      </c>
      <c r="E68576" s="0" t="s">
        <v>8048</v>
      </c>
      <c r="F68576" s="0" t="s">
        <v>8048</v>
      </c>
    </row>
    <row r="68578" customFormat="false" ht="12.8" hidden="false" customHeight="false" outlineLevel="0" collapsed="false">
      <c r="A68578" s="0" t="s">
        <v>23299</v>
      </c>
      <c r="B68578" s="0" t="str">
        <f aca="false">HYPERLINK("https://lindat.mff.cuni.cz/services/teitok/pdtc10/index.php?action=vallex&amp;frame=v-w9362f1", "zbuntovat (v-w9362f1)")</f>
        <v>zbuntovat (v-w9362f1)</v>
      </c>
    </row>
    <row r="68579" customFormat="false" ht="12.8" hidden="false" customHeight="false" outlineLevel="0" collapsed="false">
      <c r="B68579" s="0" t="s">
        <v>7</v>
      </c>
    </row>
    <row r="68580" customFormat="false" ht="12.8" hidden="false" customHeight="false" outlineLevel="0" collapsed="false">
      <c r="B68580" s="0" t="s">
        <v>14</v>
      </c>
    </row>
    <row r="68582" customFormat="false" ht="12.8" hidden="false" customHeight="false" outlineLevel="0" collapsed="false">
      <c r="A68582" s="0" t="s">
        <v>23300</v>
      </c>
      <c r="B68582" s="0" t="str">
        <f aca="false">HYPERLINK("https://lindat.mff.cuni.cz/services/teitok/pdtc10/index.php?action=vallex&amp;frame=v-w9363f2", "zbystřit (v-w9363f2)")</f>
        <v>zbystřit (v-w9363f2)</v>
      </c>
    </row>
    <row r="68583" customFormat="false" ht="12.8" hidden="false" customHeight="false" outlineLevel="0" collapsed="false">
      <c r="B68583" s="0" t="s">
        <v>7</v>
      </c>
    </row>
    <row r="68584" customFormat="false" ht="12.8" hidden="false" customHeight="false" outlineLevel="0" collapsed="false">
      <c r="B68584" s="0" t="s">
        <v>14</v>
      </c>
    </row>
    <row r="68586" customFormat="false" ht="12.8" hidden="false" customHeight="false" outlineLevel="0" collapsed="false">
      <c r="A68586" s="0" t="s">
        <v>23301</v>
      </c>
      <c r="B68586" s="0" t="str">
        <f aca="false">HYPERLINK("https://lindat.mff.cuni.cz/services/teitok/pdtc10/index.php?action=vallex&amp;frame=v-w9363f3", "zbystřit (v-w9363f3)")</f>
        <v>zbystřit (v-w9363f3)</v>
      </c>
    </row>
    <row r="68587" customFormat="false" ht="12.8" hidden="false" customHeight="false" outlineLevel="0" collapsed="false">
      <c r="B68587" s="0" t="s">
        <v>7</v>
      </c>
    </row>
    <row r="68588" customFormat="false" ht="12.8" hidden="false" customHeight="false" outlineLevel="0" collapsed="false">
      <c r="B68588" s="0" t="s">
        <v>14</v>
      </c>
    </row>
    <row r="68590" customFormat="false" ht="12.8" hidden="false" customHeight="false" outlineLevel="0" collapsed="false">
      <c r="A68590" s="0" t="s">
        <v>23302</v>
      </c>
      <c r="B68590" s="0" t="str">
        <f aca="false">HYPERLINK("https://lindat.mff.cuni.cz/services/teitok/pdtc10/index.php?action=vallex&amp;frame=v-w9363f1", "zbystřit (v-w9363f1)")</f>
        <v>zbystřit (v-w9363f1)</v>
      </c>
    </row>
    <row r="68591" customFormat="false" ht="12.8" hidden="false" customHeight="false" outlineLevel="0" collapsed="false">
      <c r="B68591" s="0" t="s">
        <v>7</v>
      </c>
    </row>
    <row r="68593" customFormat="false" ht="12.8" hidden="false" customHeight="false" outlineLevel="0" collapsed="false">
      <c r="A68593" s="0" t="s">
        <v>23303</v>
      </c>
      <c r="B68593" s="0" t="str">
        <f aca="false">HYPERLINK("https://lindat.mff.cuni.cz/services/teitok/pdtc10/index.php?action=vallex&amp;frame=v-w9340f1", "zbít (v-w9340f1)")</f>
        <v>zbít (v-w9340f1)</v>
      </c>
    </row>
    <row r="68594" customFormat="false" ht="12.8" hidden="false" customHeight="false" outlineLevel="0" collapsed="false">
      <c r="B68594" s="0" t="s">
        <v>7</v>
      </c>
      <c r="C68594" s="0" t="s">
        <v>184</v>
      </c>
      <c r="D68594" s="0" t="s">
        <v>569</v>
      </c>
      <c r="E68594" s="0" t="s">
        <v>108</v>
      </c>
      <c r="F68594" s="0" t="s">
        <v>108</v>
      </c>
    </row>
    <row r="68595" customFormat="false" ht="12.8" hidden="false" customHeight="false" outlineLevel="0" collapsed="false">
      <c r="B68595" s="0" t="s">
        <v>14</v>
      </c>
      <c r="C68595" s="0" t="s">
        <v>33</v>
      </c>
      <c r="D68595" s="0" t="s">
        <v>120</v>
      </c>
      <c r="E68595" s="0" t="s">
        <v>625</v>
      </c>
      <c r="F68595" s="0" t="s">
        <v>625</v>
      </c>
    </row>
    <row r="68597" customFormat="false" ht="12.8" hidden="false" customHeight="false" outlineLevel="0" collapsed="false">
      <c r="A68597" s="0" t="s">
        <v>23304</v>
      </c>
      <c r="B68597" s="0" t="str">
        <f aca="false">HYPERLINK("https://lindat.mff.cuni.cz/services/teitok/pdtc10/index.php?action=vallex&amp;frame=v-w9364f2", "zbýt (v-w9364f2)")</f>
        <v>zbýt (v-w9364f2)</v>
      </c>
    </row>
    <row r="68598" customFormat="false" ht="12.8" hidden="false" customHeight="false" outlineLevel="0" collapsed="false">
      <c r="B68598" s="0" t="s">
        <v>265</v>
      </c>
      <c r="C68598" s="0" t="s">
        <v>23305</v>
      </c>
      <c r="D68598" s="0" t="s">
        <v>23306</v>
      </c>
      <c r="E68598" s="0" t="s">
        <v>23306</v>
      </c>
      <c r="F68598" s="0" t="s">
        <v>23306</v>
      </c>
    </row>
    <row r="68599" customFormat="false" ht="12.8" hidden="false" customHeight="false" outlineLevel="0" collapsed="false">
      <c r="B68599" s="0" t="s">
        <v>142</v>
      </c>
      <c r="C68599" s="0" t="s">
        <v>5092</v>
      </c>
      <c r="D68599" s="0" t="s">
        <v>23307</v>
      </c>
      <c r="E68599" s="0" t="s">
        <v>23307</v>
      </c>
      <c r="F68599" s="0" t="s">
        <v>23307</v>
      </c>
    </row>
    <row r="68601" customFormat="false" ht="12.8" hidden="false" customHeight="false" outlineLevel="0" collapsed="false">
      <c r="A68601" s="0" t="s">
        <v>23308</v>
      </c>
      <c r="B68601" s="0" t="str">
        <f aca="false">HYPERLINK("https://lindat.mff.cuni.cz/services/teitok/pdtc10/index.php?action=vallex&amp;frame=v-w9364f4", "zbýt (v-w9364f4)")</f>
        <v>zbýt (v-w9364f4)</v>
      </c>
    </row>
    <row r="68602" customFormat="false" ht="12.8" hidden="false" customHeight="false" outlineLevel="0" collapsed="false">
      <c r="B68602" s="0" t="s">
        <v>7</v>
      </c>
    </row>
    <row r="68603" customFormat="false" ht="12.8" hidden="false" customHeight="false" outlineLevel="0" collapsed="false">
      <c r="B68603" s="0" t="s">
        <v>9574</v>
      </c>
    </row>
    <row r="68605" customFormat="false" ht="12.8" hidden="false" customHeight="false" outlineLevel="0" collapsed="false">
      <c r="A68605" s="0" t="s">
        <v>23309</v>
      </c>
      <c r="B68605" s="0" t="str">
        <f aca="false">HYPERLINK("https://lindat.mff.cuni.cz/services/teitok/pdtc10/index.php?action=vallex&amp;frame=v-w9364f5", "zbýt (v-w9364f5)")</f>
        <v>zbýt (v-w9364f5)</v>
      </c>
    </row>
    <row r="68606" customFormat="false" ht="12.8" hidden="false" customHeight="false" outlineLevel="0" collapsed="false">
      <c r="B68606" s="0" t="s">
        <v>7</v>
      </c>
      <c r="C68606" s="0" t="s">
        <v>1371</v>
      </c>
    </row>
    <row r="68607" customFormat="false" ht="12.8" hidden="false" customHeight="false" outlineLevel="0" collapsed="false">
      <c r="B68607" s="0" t="s">
        <v>23310</v>
      </c>
      <c r="C68607" s="0" t="s">
        <v>14013</v>
      </c>
    </row>
    <row r="68609" customFormat="false" ht="12.8" hidden="false" customHeight="false" outlineLevel="0" collapsed="false">
      <c r="A68609" s="0" t="s">
        <v>23311</v>
      </c>
      <c r="B68609" s="0" t="str">
        <f aca="false">HYPERLINK("https://lindat.mff.cuni.cz/services/teitok/pdtc10/index.php?action=vallex&amp;frame=v-w9364f6_ZU", "zbýt (v-w9364f6_ZU)")</f>
        <v>zbýt (v-w9364f6_ZU)</v>
      </c>
    </row>
    <row r="68610" customFormat="false" ht="12.8" hidden="false" customHeight="false" outlineLevel="0" collapsed="false">
      <c r="B68610" s="0" t="s">
        <v>7</v>
      </c>
    </row>
    <row r="68611" customFormat="false" ht="12.8" hidden="false" customHeight="false" outlineLevel="0" collapsed="false">
      <c r="B68611" s="0" t="s">
        <v>23135</v>
      </c>
    </row>
    <row r="68613" customFormat="false" ht="12.8" hidden="false" customHeight="false" outlineLevel="0" collapsed="false">
      <c r="A68613" s="0" t="s">
        <v>23311</v>
      </c>
      <c r="B68613" s="0" t="str">
        <f aca="false">HYPERLINK("https://lindat.mff.cuni.cz/services/teitok/pdtc10/index.php?action=vallex&amp;frame=v-w9364f1", "zbýt (v-w9364f1) - substituted with v-w9364f6_ZU")</f>
        <v>zbýt (v-w9364f1) - substituted with v-w9364f6_ZU</v>
      </c>
    </row>
    <row r="68614" customFormat="false" ht="12.8" hidden="false" customHeight="false" outlineLevel="0" collapsed="false">
      <c r="B68614" s="0" t="s">
        <v>7</v>
      </c>
      <c r="C68614" s="0" t="s">
        <v>23312</v>
      </c>
      <c r="D68614" s="0" t="s">
        <v>16</v>
      </c>
      <c r="E68614" s="0" t="s">
        <v>16</v>
      </c>
      <c r="F68614" s="0" t="s">
        <v>16</v>
      </c>
    </row>
    <row r="68615" customFormat="false" ht="12.8" hidden="false" customHeight="false" outlineLevel="0" collapsed="false">
      <c r="B68615" s="0" t="s">
        <v>23135</v>
      </c>
      <c r="C68615" s="0" t="s">
        <v>23313</v>
      </c>
      <c r="D68615" s="0" t="s">
        <v>23314</v>
      </c>
      <c r="E68615" s="0" t="s">
        <v>23314</v>
      </c>
      <c r="F68615" s="0" t="s">
        <v>23314</v>
      </c>
    </row>
    <row r="68617" customFormat="false" ht="12.8" hidden="false" customHeight="false" outlineLevel="0" collapsed="false">
      <c r="A68617" s="0" t="s">
        <v>23315</v>
      </c>
      <c r="B68617" s="0" t="str">
        <f aca="false">HYPERLINK("https://lindat.mff.cuni.cz/services/teitok/pdtc10/index.php?action=vallex&amp;frame=v-w9364f3", "zbýt (v-w9364f3)")</f>
        <v>zbýt (v-w9364f3)</v>
      </c>
    </row>
    <row r="68618" customFormat="false" ht="12.8" hidden="false" customHeight="false" outlineLevel="0" collapsed="false">
      <c r="B68618" s="0" t="s">
        <v>7</v>
      </c>
    </row>
    <row r="68619" customFormat="false" ht="12.8" hidden="false" customHeight="false" outlineLevel="0" collapsed="false">
      <c r="B68619" s="0" t="s">
        <v>11</v>
      </c>
    </row>
    <row r="68621" customFormat="false" ht="12.8" hidden="false" customHeight="false" outlineLevel="0" collapsed="false">
      <c r="A68621" s="0" t="s">
        <v>23316</v>
      </c>
      <c r="B68621" s="0" t="str">
        <f aca="false">HYPERLINK("https://lindat.mff.cuni.cz/services/teitok/pdtc10/index.php?action=vallex&amp;frame=v-w9367f1", "zbývat (v-w9367f1)")</f>
        <v>zbývat (v-w9367f1)</v>
      </c>
    </row>
    <row r="68622" customFormat="false" ht="12.8" hidden="false" customHeight="false" outlineLevel="0" collapsed="false">
      <c r="B68622" s="0" t="s">
        <v>1069</v>
      </c>
      <c r="C68622" s="0" t="s">
        <v>23317</v>
      </c>
      <c r="D68622" s="0" t="s">
        <v>23306</v>
      </c>
      <c r="E68622" s="0" t="s">
        <v>23306</v>
      </c>
      <c r="F68622" s="0" t="s">
        <v>23306</v>
      </c>
    </row>
    <row r="68623" customFormat="false" ht="12.8" hidden="false" customHeight="false" outlineLevel="0" collapsed="false">
      <c r="B68623" s="0" t="s">
        <v>142</v>
      </c>
      <c r="C68623" s="0" t="s">
        <v>23318</v>
      </c>
      <c r="D68623" s="0" t="s">
        <v>23307</v>
      </c>
      <c r="E68623" s="0" t="s">
        <v>23307</v>
      </c>
      <c r="F68623" s="0" t="s">
        <v>23307</v>
      </c>
    </row>
    <row r="68625" customFormat="false" ht="12.8" hidden="false" customHeight="false" outlineLevel="0" collapsed="false">
      <c r="A68625" s="0" t="s">
        <v>23319</v>
      </c>
      <c r="B68625" s="0" t="str">
        <f aca="false">HYPERLINK("https://lindat.mff.cuni.cz/services/teitok/pdtc10/index.php?action=vallex&amp;frame=v-w9367f3", "zbývat (v-w9367f3)")</f>
        <v>zbývat (v-w9367f3)</v>
      </c>
    </row>
    <row r="68626" customFormat="false" ht="12.8" hidden="false" customHeight="false" outlineLevel="0" collapsed="false">
      <c r="B68626" s="0" t="s">
        <v>7</v>
      </c>
      <c r="D68626" s="0" t="s">
        <v>23306</v>
      </c>
      <c r="E68626" s="0" t="s">
        <v>23306</v>
      </c>
      <c r="F68626" s="0" t="s">
        <v>23306</v>
      </c>
    </row>
    <row r="68627" customFormat="false" ht="12.8" hidden="false" customHeight="false" outlineLevel="0" collapsed="false">
      <c r="B68627" s="0" t="s">
        <v>9574</v>
      </c>
      <c r="D68627" s="0" t="s">
        <v>23307</v>
      </c>
      <c r="E68627" s="0" t="s">
        <v>23307</v>
      </c>
      <c r="F68627" s="0" t="s">
        <v>23307</v>
      </c>
    </row>
    <row r="68629" customFormat="false" ht="12.8" hidden="false" customHeight="false" outlineLevel="0" collapsed="false">
      <c r="A68629" s="0" t="s">
        <v>23320</v>
      </c>
      <c r="B68629" s="0" t="str">
        <f aca="false">HYPERLINK("https://lindat.mff.cuni.cz/services/teitok/pdtc10/index.php?action=vallex&amp;frame=v-w9367f4", "zbývat (v-w9367f4)")</f>
        <v>zbývat (v-w9367f4)</v>
      </c>
    </row>
    <row r="68630" customFormat="false" ht="12.8" hidden="false" customHeight="false" outlineLevel="0" collapsed="false">
      <c r="B68630" s="0" t="s">
        <v>7</v>
      </c>
    </row>
    <row r="68631" customFormat="false" ht="12.8" hidden="false" customHeight="false" outlineLevel="0" collapsed="false">
      <c r="B68631" s="0" t="s">
        <v>41</v>
      </c>
    </row>
    <row r="68633" customFormat="false" ht="12.8" hidden="false" customHeight="false" outlineLevel="0" collapsed="false">
      <c r="A68633" s="0" t="s">
        <v>23321</v>
      </c>
      <c r="B68633" s="0" t="str">
        <f aca="false">HYPERLINK("https://lindat.mff.cuni.cz/services/teitok/pdtc10/index.php?action=vallex&amp;frame=v-w9367f2", "zbývat (v-w9367f2)")</f>
        <v>zbývat (v-w9367f2)</v>
      </c>
    </row>
    <row r="68634" customFormat="false" ht="12.8" hidden="false" customHeight="false" outlineLevel="0" collapsed="false">
      <c r="B68634" s="0" t="s">
        <v>7</v>
      </c>
      <c r="C68634" s="0" t="s">
        <v>23322</v>
      </c>
      <c r="D68634" s="0" t="s">
        <v>16</v>
      </c>
      <c r="E68634" s="0" t="s">
        <v>16</v>
      </c>
      <c r="F68634" s="0" t="s">
        <v>16</v>
      </c>
    </row>
    <row r="68635" customFormat="false" ht="12.8" hidden="false" customHeight="false" outlineLevel="0" collapsed="false">
      <c r="B68635" s="0" t="s">
        <v>581</v>
      </c>
      <c r="D68635" s="0" t="s">
        <v>23314</v>
      </c>
      <c r="E68635" s="0" t="s">
        <v>23314</v>
      </c>
      <c r="F68635" s="0" t="s">
        <v>23314</v>
      </c>
    </row>
    <row r="68637" customFormat="false" ht="12.8" hidden="false" customHeight="false" outlineLevel="0" collapsed="false">
      <c r="A68637" s="0" t="s">
        <v>23323</v>
      </c>
      <c r="B68637" s="0" t="str">
        <f aca="false">HYPERLINK("https://lindat.mff.cuni.cz/services/teitok/pdtc10/index.php?action=vallex&amp;frame=v-w9367f5", "zbývat (v-w9367f5)")</f>
        <v>zbývat (v-w9367f5)</v>
      </c>
    </row>
    <row r="68638" customFormat="false" ht="12.8" hidden="false" customHeight="false" outlineLevel="0" collapsed="false">
      <c r="B68638" s="0" t="s">
        <v>7</v>
      </c>
    </row>
    <row r="68639" customFormat="false" ht="12.8" hidden="false" customHeight="false" outlineLevel="0" collapsed="false">
      <c r="B68639" s="0" t="s">
        <v>11</v>
      </c>
    </row>
    <row r="68641" customFormat="false" ht="12.8" hidden="false" customHeight="false" outlineLevel="0" collapsed="false">
      <c r="A68641" s="0" t="s">
        <v>23324</v>
      </c>
      <c r="B68641" s="0" t="str">
        <f aca="false">HYPERLINK("https://lindat.mff.cuni.cz/services/teitok/pdtc10/index.php?action=vallex&amp;frame=v-whsa_1303hsa_1304", "zběhnout (v-whsa_1303hsa_1304)")</f>
        <v>zběhnout (v-whsa_1303hsa_1304)</v>
      </c>
    </row>
    <row r="68642" customFormat="false" ht="12.8" hidden="false" customHeight="false" outlineLevel="0" collapsed="false">
      <c r="B68642" s="0" t="s">
        <v>7</v>
      </c>
    </row>
    <row r="68643" customFormat="false" ht="12.8" hidden="false" customHeight="false" outlineLevel="0" collapsed="false">
      <c r="B68643" s="0" t="s">
        <v>459</v>
      </c>
    </row>
    <row r="68645" customFormat="false" ht="12.8" hidden="false" customHeight="false" outlineLevel="0" collapsed="false">
      <c r="A68645" s="0" t="s">
        <v>23325</v>
      </c>
      <c r="B68645" s="0" t="str">
        <f aca="false">HYPERLINK("https://lindat.mff.cuni.cz/services/teitok/pdtc10/index.php?action=vallex&amp;frame=v-w12356_MMf1_MM", "zcestovat (v-w12356_MMf1_MM)")</f>
        <v>zcestovat (v-w12356_MMf1_MM)</v>
      </c>
    </row>
    <row r="68646" customFormat="false" ht="12.8" hidden="false" customHeight="false" outlineLevel="0" collapsed="false">
      <c r="B68646" s="0" t="s">
        <v>7</v>
      </c>
    </row>
    <row r="68647" customFormat="false" ht="12.8" hidden="false" customHeight="false" outlineLevel="0" collapsed="false">
      <c r="B68647" s="0" t="s">
        <v>14</v>
      </c>
    </row>
    <row r="68649" customFormat="false" ht="12.8" hidden="false" customHeight="false" outlineLevel="0" collapsed="false">
      <c r="A68649" s="0" t="s">
        <v>23326</v>
      </c>
      <c r="B68649" s="0" t="str">
        <f aca="false">HYPERLINK("https://lindat.mff.cuni.cz/services/teitok/pdtc10/index.php?action=vallex&amp;frame=v-w9491f1", "zchladit (v-w9491f1)")</f>
        <v>zchladit (v-w9491f1)</v>
      </c>
    </row>
    <row r="68650" customFormat="false" ht="12.8" hidden="false" customHeight="false" outlineLevel="0" collapsed="false">
      <c r="B68650" s="0" t="s">
        <v>7</v>
      </c>
    </row>
    <row r="68651" customFormat="false" ht="12.8" hidden="false" customHeight="false" outlineLevel="0" collapsed="false">
      <c r="B68651" s="0" t="s">
        <v>14</v>
      </c>
    </row>
    <row r="68652" customFormat="false" ht="12.8" hidden="false" customHeight="false" outlineLevel="0" collapsed="false">
      <c r="B68652" s="0" t="s">
        <v>35</v>
      </c>
    </row>
    <row r="68653" customFormat="false" ht="12.8" hidden="false" customHeight="false" outlineLevel="0" collapsed="false">
      <c r="B68653" s="0" t="s">
        <v>84</v>
      </c>
    </row>
    <row r="68655" customFormat="false" ht="12.8" hidden="false" customHeight="false" outlineLevel="0" collapsed="false">
      <c r="A68655" s="0" t="s">
        <v>23327</v>
      </c>
      <c r="B68655" s="0" t="str">
        <f aca="false">HYPERLINK("https://lindat.mff.cuni.cz/services/teitok/pdtc10/index.php?action=vallex&amp;frame=v-w9491f2", "zchladit (v-w9491f2)")</f>
        <v>zchladit (v-w9491f2)</v>
      </c>
    </row>
    <row r="68656" customFormat="false" ht="12.8" hidden="false" customHeight="false" outlineLevel="0" collapsed="false">
      <c r="B68656" s="0" t="s">
        <v>7</v>
      </c>
      <c r="C68656" s="0" t="s">
        <v>184</v>
      </c>
      <c r="D68656" s="0" t="s">
        <v>4161</v>
      </c>
      <c r="E68656" s="0" t="s">
        <v>4161</v>
      </c>
      <c r="F68656" s="0" t="s">
        <v>4161</v>
      </c>
    </row>
    <row r="68657" customFormat="false" ht="12.8" hidden="false" customHeight="false" outlineLevel="0" collapsed="false">
      <c r="B68657" s="0" t="s">
        <v>14</v>
      </c>
      <c r="C68657" s="0" t="s">
        <v>461</v>
      </c>
      <c r="D68657" s="0" t="s">
        <v>9299</v>
      </c>
      <c r="E68657" s="0" t="s">
        <v>9299</v>
      </c>
      <c r="F68657" s="0" t="s">
        <v>9299</v>
      </c>
    </row>
    <row r="68659" customFormat="false" ht="12.8" hidden="false" customHeight="false" outlineLevel="0" collapsed="false">
      <c r="A68659" s="0" t="s">
        <v>23328</v>
      </c>
      <c r="B68659" s="0" t="str">
        <f aca="false">HYPERLINK("https://lindat.mff.cuni.cz/services/teitok/pdtc10/index.php?action=vallex&amp;frame=v-whsa_753hsa_754", "zchladit se (v-whsa_753hsa_754)")</f>
        <v>zchladit se (v-whsa_753hsa_754)</v>
      </c>
    </row>
    <row r="68660" customFormat="false" ht="12.8" hidden="false" customHeight="false" outlineLevel="0" collapsed="false">
      <c r="B68660" s="0" t="s">
        <v>7</v>
      </c>
    </row>
    <row r="68662" customFormat="false" ht="12.8" hidden="false" customHeight="false" outlineLevel="0" collapsed="false">
      <c r="A68662" s="0" t="s">
        <v>23329</v>
      </c>
      <c r="B68662" s="0" t="str">
        <f aca="false">HYPERLINK("https://lindat.mff.cuni.cz/services/teitok/pdtc10/index.php?action=vallex&amp;frame=v-w9492f1", "zchladnout (v-w9492f1)")</f>
        <v>zchladnout (v-w9492f1)</v>
      </c>
    </row>
    <row r="68663" customFormat="false" ht="12.8" hidden="false" customHeight="false" outlineLevel="0" collapsed="false">
      <c r="B68663" s="0" t="s">
        <v>7</v>
      </c>
      <c r="C68663" s="0" t="s">
        <v>247</v>
      </c>
      <c r="D68663" s="0" t="s">
        <v>7922</v>
      </c>
      <c r="E68663" s="0" t="s">
        <v>7922</v>
      </c>
      <c r="F68663" s="0" t="s">
        <v>7922</v>
      </c>
    </row>
    <row r="68664" customFormat="false" ht="12.8" hidden="false" customHeight="false" outlineLevel="0" collapsed="false">
      <c r="B68664" s="0" t="s">
        <v>63</v>
      </c>
    </row>
    <row r="68665" customFormat="false" ht="12.8" hidden="false" customHeight="false" outlineLevel="0" collapsed="false">
      <c r="B68665" s="0" t="s">
        <v>35</v>
      </c>
    </row>
    <row r="68667" customFormat="false" ht="12.8" hidden="false" customHeight="false" outlineLevel="0" collapsed="false">
      <c r="A68667" s="0" t="s">
        <v>23330</v>
      </c>
      <c r="B68667" s="0" t="str">
        <f aca="false">HYPERLINK("https://lindat.mff.cuni.cz/services/teitok/pdtc10/index.php?action=vallex&amp;frame=v-w9492f2", "zchladnout (v-w9492f2)")</f>
        <v>zchladnout (v-w9492f2)</v>
      </c>
    </row>
    <row r="68668" customFormat="false" ht="12.8" hidden="false" customHeight="false" outlineLevel="0" collapsed="false">
      <c r="B68668" s="0" t="s">
        <v>7</v>
      </c>
      <c r="C68668" s="0" t="s">
        <v>200</v>
      </c>
    </row>
    <row r="68669" customFormat="false" ht="12.8" hidden="false" customHeight="false" outlineLevel="0" collapsed="false">
      <c r="B68669" s="0" t="s">
        <v>41</v>
      </c>
      <c r="C68669" s="0" t="s">
        <v>9635</v>
      </c>
    </row>
    <row r="68671" customFormat="false" ht="12.8" hidden="false" customHeight="false" outlineLevel="0" collapsed="false">
      <c r="A68671" s="0" t="s">
        <v>23331</v>
      </c>
      <c r="B68671" s="0" t="str">
        <f aca="false">HYPERLINK("https://lindat.mff.cuni.cz/services/teitok/pdtc10/index.php?action=vallex&amp;frame=v-whsa_1651hsa_1652", "zchodit (v-whsa_1651hsa_1652)")</f>
        <v>zchodit (v-whsa_1651hsa_1652)</v>
      </c>
    </row>
    <row r="68672" customFormat="false" ht="12.8" hidden="false" customHeight="false" outlineLevel="0" collapsed="false">
      <c r="B68672" s="0" t="s">
        <v>7</v>
      </c>
    </row>
    <row r="68673" customFormat="false" ht="12.8" hidden="false" customHeight="false" outlineLevel="0" collapsed="false">
      <c r="B68673" s="0" t="s">
        <v>14</v>
      </c>
    </row>
    <row r="68675" customFormat="false" ht="12.8" hidden="false" customHeight="false" outlineLevel="0" collapsed="false">
      <c r="A68675" s="0" t="s">
        <v>23332</v>
      </c>
      <c r="B68675" s="0" t="str">
        <f aca="false">HYPERLINK("https://lindat.mff.cuni.cz/services/teitok/pdtc10/index.php?action=vallex&amp;frame=v-w11642_ZUf1_ZU", "zchudnout (v-w11642_ZUf1_ZU)")</f>
        <v>zchudnout (v-w11642_ZUf1_ZU)</v>
      </c>
    </row>
    <row r="68676" customFormat="false" ht="12.8" hidden="false" customHeight="false" outlineLevel="0" collapsed="false">
      <c r="B68676" s="0" t="s">
        <v>7</v>
      </c>
    </row>
    <row r="68678" customFormat="false" ht="12.8" hidden="false" customHeight="false" outlineLevel="0" collapsed="false">
      <c r="A68678" s="0" t="s">
        <v>23333</v>
      </c>
      <c r="B68678" s="0" t="str">
        <f aca="false">HYPERLINK("https://lindat.mff.cuni.cz/services/teitok/pdtc10/index.php?action=vallex&amp;frame=v-w9369f1", "zcizit (v-w9369f1)")</f>
        <v>zcizit (v-w9369f1)</v>
      </c>
    </row>
    <row r="68679" customFormat="false" ht="12.8" hidden="false" customHeight="false" outlineLevel="0" collapsed="false">
      <c r="B68679" s="0" t="s">
        <v>7</v>
      </c>
    </row>
    <row r="68680" customFormat="false" ht="12.8" hidden="false" customHeight="false" outlineLevel="0" collapsed="false">
      <c r="B68680" s="0" t="s">
        <v>14</v>
      </c>
    </row>
    <row r="68681" customFormat="false" ht="12.8" hidden="false" customHeight="false" outlineLevel="0" collapsed="false">
      <c r="B68681" s="0" t="s">
        <v>48</v>
      </c>
    </row>
    <row r="68683" customFormat="false" ht="12.8" hidden="false" customHeight="false" outlineLevel="0" collapsed="false">
      <c r="A68683" s="0" t="s">
        <v>23334</v>
      </c>
      <c r="B68683" s="0" t="str">
        <f aca="false">HYPERLINK("https://lindat.mff.cuni.cz/services/teitok/pdtc10/index.php?action=vallex&amp;frame=v-w10257f2", "zdanit (v-w10257f2)")</f>
        <v>zdanit (v-w10257f2)</v>
      </c>
    </row>
    <row r="68684" customFormat="false" ht="12.8" hidden="false" customHeight="false" outlineLevel="0" collapsed="false">
      <c r="B68684" s="0" t="s">
        <v>7</v>
      </c>
      <c r="C68684" s="0" t="s">
        <v>191</v>
      </c>
      <c r="D68684" s="0" t="s">
        <v>191</v>
      </c>
      <c r="E68684" s="0" t="s">
        <v>191</v>
      </c>
      <c r="F68684" s="0" t="s">
        <v>191</v>
      </c>
    </row>
    <row r="68685" customFormat="false" ht="12.8" hidden="false" customHeight="false" outlineLevel="0" collapsed="false">
      <c r="B68685" s="0" t="s">
        <v>14</v>
      </c>
      <c r="C68685" s="0" t="s">
        <v>23335</v>
      </c>
      <c r="D68685" s="0" t="s">
        <v>23335</v>
      </c>
      <c r="E68685" s="0" t="s">
        <v>23335</v>
      </c>
      <c r="F68685" s="0" t="s">
        <v>23335</v>
      </c>
    </row>
    <row r="68687" customFormat="false" ht="12.8" hidden="false" customHeight="false" outlineLevel="0" collapsed="false">
      <c r="A68687" s="0" t="s">
        <v>23336</v>
      </c>
      <c r="B68687" s="0" t="str">
        <f aca="false">HYPERLINK("https://lindat.mff.cuni.cz/services/teitok/pdtc10/index.php?action=vallex&amp;frame=v-w9375f1", "zdaňovat (v-w9375f1)")</f>
        <v>zdaňovat (v-w9375f1)</v>
      </c>
    </row>
    <row r="68688" customFormat="false" ht="12.8" hidden="false" customHeight="false" outlineLevel="0" collapsed="false">
      <c r="B68688" s="0" t="s">
        <v>7</v>
      </c>
      <c r="C68688" s="0" t="s">
        <v>191</v>
      </c>
      <c r="D68688" s="0" t="s">
        <v>191</v>
      </c>
      <c r="E68688" s="0" t="s">
        <v>191</v>
      </c>
      <c r="F68688" s="0" t="s">
        <v>191</v>
      </c>
    </row>
    <row r="68689" customFormat="false" ht="12.8" hidden="false" customHeight="false" outlineLevel="0" collapsed="false">
      <c r="B68689" s="0" t="s">
        <v>14</v>
      </c>
      <c r="C68689" s="0" t="s">
        <v>23337</v>
      </c>
      <c r="D68689" s="0" t="s">
        <v>23335</v>
      </c>
      <c r="E68689" s="0" t="s">
        <v>23335</v>
      </c>
      <c r="F68689" s="0" t="s">
        <v>23335</v>
      </c>
    </row>
    <row r="68691" customFormat="false" ht="12.8" hidden="false" customHeight="false" outlineLevel="0" collapsed="false">
      <c r="A68691" s="0" t="s">
        <v>23338</v>
      </c>
      <c r="B68691" s="0" t="str">
        <f aca="false">HYPERLINK("https://lindat.mff.cuni.cz/services/teitok/pdtc10/index.php?action=vallex&amp;frame=v-w9376f1", "zdařit se (v-w9376f1)")</f>
        <v>zdařit se (v-w9376f1)</v>
      </c>
    </row>
    <row r="68692" customFormat="false" ht="12.8" hidden="false" customHeight="false" outlineLevel="0" collapsed="false">
      <c r="B68692" s="0" t="s">
        <v>603</v>
      </c>
      <c r="C68692" s="0" t="s">
        <v>23339</v>
      </c>
      <c r="D68692" s="0" t="s">
        <v>1495</v>
      </c>
      <c r="E68692" s="0" t="s">
        <v>1495</v>
      </c>
      <c r="F68692" s="0" t="s">
        <v>1495</v>
      </c>
    </row>
    <row r="68693" customFormat="false" ht="12.8" hidden="false" customHeight="false" outlineLevel="0" collapsed="false">
      <c r="B68693" s="0" t="s">
        <v>9897</v>
      </c>
      <c r="C68693" s="0" t="s">
        <v>23340</v>
      </c>
      <c r="D68693" s="0" t="s">
        <v>1497</v>
      </c>
      <c r="E68693" s="0" t="s">
        <v>1497</v>
      </c>
      <c r="F68693" s="0" t="s">
        <v>1497</v>
      </c>
    </row>
    <row r="68695" customFormat="false" ht="12.8" hidden="false" customHeight="false" outlineLevel="0" collapsed="false">
      <c r="A68695" s="0" t="s">
        <v>23341</v>
      </c>
      <c r="B68695" s="0" t="str">
        <f aca="false">HYPERLINK("https://lindat.mff.cuni.cz/services/teitok/pdtc10/index.php?action=vallex&amp;frame=v-whsa_679hsa_680", "zdechnout (v-whsa_679hsa_680)")</f>
        <v>zdechnout (v-whsa_679hsa_680)</v>
      </c>
    </row>
    <row r="68696" customFormat="false" ht="12.8" hidden="false" customHeight="false" outlineLevel="0" collapsed="false">
      <c r="B68696" s="0" t="s">
        <v>7</v>
      </c>
    </row>
    <row r="68698" customFormat="false" ht="12.8" hidden="false" customHeight="false" outlineLevel="0" collapsed="false">
      <c r="A68698" s="0" t="s">
        <v>23342</v>
      </c>
      <c r="B68698" s="0" t="str">
        <f aca="false">HYPERLINK("https://lindat.mff.cuni.cz/services/teitok/pdtc10/index.php?action=vallex&amp;frame=v-w11061f2", "zdecimovat (v-w11061f2)")</f>
        <v>zdecimovat (v-w11061f2)</v>
      </c>
    </row>
    <row r="68699" customFormat="false" ht="12.8" hidden="false" customHeight="false" outlineLevel="0" collapsed="false">
      <c r="B68699" s="0" t="s">
        <v>7</v>
      </c>
      <c r="C68699" s="0" t="s">
        <v>191</v>
      </c>
      <c r="D68699" s="0" t="s">
        <v>335</v>
      </c>
      <c r="E68699" s="0" t="s">
        <v>335</v>
      </c>
      <c r="F68699" s="0" t="s">
        <v>335</v>
      </c>
    </row>
    <row r="68700" customFormat="false" ht="12.8" hidden="false" customHeight="false" outlineLevel="0" collapsed="false">
      <c r="B68700" s="0" t="s">
        <v>14</v>
      </c>
      <c r="C68700" s="0" t="s">
        <v>155</v>
      </c>
      <c r="D68700" s="0" t="s">
        <v>33</v>
      </c>
      <c r="E68700" s="0" t="s">
        <v>33</v>
      </c>
      <c r="F68700" s="0" t="s">
        <v>33</v>
      </c>
    </row>
    <row r="68702" customFormat="false" ht="12.8" hidden="false" customHeight="false" outlineLevel="0" collapsed="false">
      <c r="A68702" s="0" t="s">
        <v>23343</v>
      </c>
      <c r="B68702" s="0" t="str">
        <f aca="false">HYPERLINK("https://lindat.mff.cuni.cz/services/teitok/pdtc10/index.php?action=vallex&amp;frame=v-w9381f1", "zdeformovat (v-w9381f1)")</f>
        <v>zdeformovat (v-w9381f1)</v>
      </c>
    </row>
    <row r="68703" customFormat="false" ht="12.8" hidden="false" customHeight="false" outlineLevel="0" collapsed="false">
      <c r="B68703" s="0" t="s">
        <v>7</v>
      </c>
    </row>
    <row r="68704" customFormat="false" ht="12.8" hidden="false" customHeight="false" outlineLevel="0" collapsed="false">
      <c r="B68704" s="0" t="s">
        <v>14</v>
      </c>
    </row>
    <row r="68706" customFormat="false" ht="12.8" hidden="false" customHeight="false" outlineLevel="0" collapsed="false">
      <c r="A68706" s="0" t="s">
        <v>23344</v>
      </c>
      <c r="B68706" s="0" t="str">
        <f aca="false">HYPERLINK("https://lindat.mff.cuni.cz/services/teitok/pdtc10/index.php?action=vallex&amp;frame=v-w9381f2_ZU", "zdeformovat (v-w9381f2_ZU)")</f>
        <v>zdeformovat (v-w9381f2_ZU)</v>
      </c>
    </row>
    <row r="68707" customFormat="false" ht="12.8" hidden="false" customHeight="false" outlineLevel="0" collapsed="false">
      <c r="B68707" s="0" t="s">
        <v>7</v>
      </c>
    </row>
    <row r="68708" customFormat="false" ht="12.8" hidden="false" customHeight="false" outlineLevel="0" collapsed="false">
      <c r="B68708" s="0" t="s">
        <v>14</v>
      </c>
    </row>
    <row r="68710" customFormat="false" ht="12.8" hidden="false" customHeight="false" outlineLevel="0" collapsed="false">
      <c r="A68710" s="0" t="s">
        <v>23345</v>
      </c>
      <c r="B68710" s="0" t="str">
        <f aca="false">HYPERLINK("https://lindat.mff.cuni.cz/services/teitok/pdtc10/index.php?action=vallex&amp;frame=v-w11643_ZUf1_ZU", "zdeformovat se (v-w11643_ZUf1_ZU)")</f>
        <v>zdeformovat se (v-w11643_ZUf1_ZU)</v>
      </c>
    </row>
    <row r="68711" customFormat="false" ht="12.8" hidden="false" customHeight="false" outlineLevel="0" collapsed="false">
      <c r="B68711" s="0" t="s">
        <v>7</v>
      </c>
      <c r="C68711" s="0" t="s">
        <v>6311</v>
      </c>
      <c r="D68711" s="0" t="s">
        <v>6207</v>
      </c>
      <c r="E68711" s="0" t="s">
        <v>6207</v>
      </c>
      <c r="F68711" s="0" t="s">
        <v>6207</v>
      </c>
    </row>
    <row r="68713" customFormat="false" ht="12.8" hidden="false" customHeight="false" outlineLevel="0" collapsed="false">
      <c r="A68713" s="0" t="s">
        <v>23346</v>
      </c>
      <c r="B68713" s="0" t="str">
        <f aca="false">HYPERLINK("https://lindat.mff.cuni.cz/services/teitok/pdtc10/index.php?action=vallex&amp;frame=v-w9382f1", "zdemolovat (v-w9382f1)")</f>
        <v>zdemolovat (v-w9382f1)</v>
      </c>
    </row>
    <row r="68714" customFormat="false" ht="12.8" hidden="false" customHeight="false" outlineLevel="0" collapsed="false">
      <c r="B68714" s="0" t="s">
        <v>7</v>
      </c>
      <c r="C68714" s="0" t="s">
        <v>5351</v>
      </c>
      <c r="D68714" s="0" t="s">
        <v>1549</v>
      </c>
      <c r="E68714" s="0" t="s">
        <v>1550</v>
      </c>
      <c r="F68714" s="0" t="s">
        <v>1550</v>
      </c>
    </row>
    <row r="68715" customFormat="false" ht="12.8" hidden="false" customHeight="false" outlineLevel="0" collapsed="false">
      <c r="B68715" s="0" t="s">
        <v>14</v>
      </c>
      <c r="C68715" s="0" t="s">
        <v>74</v>
      </c>
      <c r="D68715" s="0" t="s">
        <v>1164</v>
      </c>
      <c r="E68715" s="0" t="s">
        <v>1551</v>
      </c>
      <c r="F68715" s="0" t="s">
        <v>1551</v>
      </c>
    </row>
    <row r="68717" customFormat="false" ht="12.8" hidden="false" customHeight="false" outlineLevel="0" collapsed="false">
      <c r="A68717" s="0" t="s">
        <v>23347</v>
      </c>
      <c r="B68717" s="0" t="str">
        <f aca="false">HYPERLINK("https://lindat.mff.cuni.cz/services/teitok/pdtc10/index.php?action=vallex&amp;frame=v-whsa_1226hsa_1227", "zdeptat (v-whsa_1226hsa_1227)")</f>
        <v>zdeptat (v-whsa_1226hsa_1227)</v>
      </c>
    </row>
    <row r="68718" customFormat="false" ht="12.8" hidden="false" customHeight="false" outlineLevel="0" collapsed="false">
      <c r="B68718" s="0" t="s">
        <v>7</v>
      </c>
      <c r="D68718" s="0" t="s">
        <v>1549</v>
      </c>
      <c r="E68718" s="0" t="s">
        <v>1550</v>
      </c>
      <c r="F68718" s="0" t="s">
        <v>1550</v>
      </c>
    </row>
    <row r="68719" customFormat="false" ht="12.8" hidden="false" customHeight="false" outlineLevel="0" collapsed="false">
      <c r="B68719" s="0" t="s">
        <v>14</v>
      </c>
      <c r="C68719" s="0" t="s">
        <v>155</v>
      </c>
      <c r="D68719" s="0" t="s">
        <v>1164</v>
      </c>
      <c r="E68719" s="0" t="s">
        <v>1551</v>
      </c>
      <c r="F68719" s="0" t="s">
        <v>1551</v>
      </c>
    </row>
    <row r="68721" customFormat="false" ht="12.8" hidden="false" customHeight="false" outlineLevel="0" collapsed="false">
      <c r="A68721" s="0" t="s">
        <v>23348</v>
      </c>
      <c r="B68721" s="0" t="str">
        <f aca="false">HYPERLINK("https://lindat.mff.cuni.cz/services/teitok/pdtc10/index.php?action=vallex&amp;frame=v-w10205f3", "zdesetinásobit (v-w10205f3)")</f>
        <v>zdesetinásobit (v-w10205f3)</v>
      </c>
    </row>
    <row r="68722" customFormat="false" ht="12.8" hidden="false" customHeight="false" outlineLevel="0" collapsed="false">
      <c r="B68722" s="0" t="s">
        <v>7</v>
      </c>
    </row>
    <row r="68723" customFormat="false" ht="12.8" hidden="false" customHeight="false" outlineLevel="0" collapsed="false">
      <c r="B68723" s="0" t="s">
        <v>14</v>
      </c>
    </row>
    <row r="68725" customFormat="false" ht="12.8" hidden="false" customHeight="false" outlineLevel="0" collapsed="false">
      <c r="A68725" s="0" t="s">
        <v>23349</v>
      </c>
      <c r="B68725" s="0" t="str">
        <f aca="false">HYPERLINK("https://lindat.mff.cuni.cz/services/teitok/pdtc10/index.php?action=vallex&amp;frame=v-w11261f1", "zdesetinásobit se (v-w11261f1)")</f>
        <v>zdesetinásobit se (v-w11261f1)</v>
      </c>
    </row>
    <row r="68726" customFormat="false" ht="12.8" hidden="false" customHeight="false" outlineLevel="0" collapsed="false">
      <c r="B68726" s="0" t="s">
        <v>7</v>
      </c>
      <c r="C68726" s="0" t="s">
        <v>23350</v>
      </c>
    </row>
    <row r="68727" customFormat="false" ht="12.8" hidden="false" customHeight="false" outlineLevel="0" collapsed="false">
      <c r="B68727" s="0" t="s">
        <v>63</v>
      </c>
      <c r="C68727" s="0" t="s">
        <v>6938</v>
      </c>
    </row>
    <row r="68728" customFormat="false" ht="12.8" hidden="false" customHeight="false" outlineLevel="0" collapsed="false">
      <c r="B68728" s="0" t="s">
        <v>35</v>
      </c>
      <c r="C68728" s="0" t="s">
        <v>6939</v>
      </c>
    </row>
    <row r="68730" customFormat="false" ht="12.8" hidden="false" customHeight="false" outlineLevel="0" collapsed="false">
      <c r="A68730" s="0" t="s">
        <v>23351</v>
      </c>
      <c r="B68730" s="0" t="str">
        <f aca="false">HYPERLINK("https://lindat.mff.cuni.cz/services/teitok/pdtc10/index.php?action=vallex&amp;frame=v-w10943f2", "zdevastovat (v-w10943f2)")</f>
        <v>zdevastovat (v-w10943f2)</v>
      </c>
    </row>
    <row r="68731" customFormat="false" ht="12.8" hidden="false" customHeight="false" outlineLevel="0" collapsed="false">
      <c r="B68731" s="0" t="s">
        <v>7</v>
      </c>
    </row>
    <row r="68732" customFormat="false" ht="12.8" hidden="false" customHeight="false" outlineLevel="0" collapsed="false">
      <c r="B68732" s="0" t="s">
        <v>14</v>
      </c>
    </row>
    <row r="68734" customFormat="false" ht="12.8" hidden="false" customHeight="false" outlineLevel="0" collapsed="false">
      <c r="A68734" s="0" t="s">
        <v>23352</v>
      </c>
      <c r="B68734" s="0" t="str">
        <f aca="false">HYPERLINK("https://lindat.mff.cuni.cz/services/teitok/pdtc10/index.php?action=vallex&amp;frame=v-w9385f1", "zdiskreditovat (v-w9385f1)")</f>
        <v>zdiskreditovat (v-w9385f1)</v>
      </c>
    </row>
    <row r="68735" customFormat="false" ht="12.8" hidden="false" customHeight="false" outlineLevel="0" collapsed="false">
      <c r="B68735" s="0" t="s">
        <v>7</v>
      </c>
      <c r="C68735" s="0" t="s">
        <v>46</v>
      </c>
      <c r="D68735" s="0" t="s">
        <v>184</v>
      </c>
      <c r="E68735" s="0" t="s">
        <v>184</v>
      </c>
      <c r="F68735" s="0" t="s">
        <v>184</v>
      </c>
    </row>
    <row r="68736" customFormat="false" ht="12.8" hidden="false" customHeight="false" outlineLevel="0" collapsed="false">
      <c r="B68736" s="0" t="s">
        <v>14</v>
      </c>
      <c r="C68736" s="0" t="s">
        <v>33</v>
      </c>
      <c r="D68736" s="0" t="s">
        <v>1610</v>
      </c>
      <c r="E68736" s="0" t="s">
        <v>1610</v>
      </c>
      <c r="F68736" s="0" t="s">
        <v>1610</v>
      </c>
    </row>
    <row r="68738" customFormat="false" ht="12.8" hidden="false" customHeight="false" outlineLevel="0" collapsed="false">
      <c r="A68738" s="0" t="s">
        <v>23353</v>
      </c>
      <c r="B68738" s="0" t="str">
        <f aca="false">HYPERLINK("https://lindat.mff.cuni.cz/services/teitok/pdtc10/index.php?action=vallex&amp;frame=v-w10134f2", "zdivočet (v-w10134f2)")</f>
        <v>zdivočet (v-w10134f2)</v>
      </c>
    </row>
    <row r="68739" customFormat="false" ht="12.8" hidden="false" customHeight="false" outlineLevel="0" collapsed="false">
      <c r="B68739" s="0" t="s">
        <v>7</v>
      </c>
    </row>
    <row r="68741" customFormat="false" ht="12.8" hidden="false" customHeight="false" outlineLevel="0" collapsed="false">
      <c r="A68741" s="0" t="s">
        <v>23354</v>
      </c>
      <c r="B68741" s="0" t="str">
        <f aca="false">HYPERLINK("https://lindat.mff.cuni.cz/services/teitok/pdtc10/index.php?action=vallex&amp;frame=v-w9387f1", "zdobit (v-w9387f1)")</f>
        <v>zdobit (v-w9387f1)</v>
      </c>
    </row>
    <row r="68742" customFormat="false" ht="12.8" hidden="false" customHeight="false" outlineLevel="0" collapsed="false">
      <c r="B68742" s="0" t="s">
        <v>7</v>
      </c>
      <c r="C68742" s="0" t="s">
        <v>4183</v>
      </c>
      <c r="D68742" s="0" t="s">
        <v>20315</v>
      </c>
      <c r="E68742" s="0" t="s">
        <v>20315</v>
      </c>
      <c r="F68742" s="0" t="s">
        <v>20315</v>
      </c>
    </row>
    <row r="68743" customFormat="false" ht="12.8" hidden="false" customHeight="false" outlineLevel="0" collapsed="false">
      <c r="B68743" s="0" t="s">
        <v>14</v>
      </c>
      <c r="C68743" s="0" t="s">
        <v>115</v>
      </c>
      <c r="D68743" s="0" t="s">
        <v>1209</v>
      </c>
      <c r="E68743" s="0" t="s">
        <v>1209</v>
      </c>
      <c r="F68743" s="0" t="s">
        <v>1209</v>
      </c>
    </row>
    <row r="68745" customFormat="false" ht="12.8" hidden="false" customHeight="false" outlineLevel="0" collapsed="false">
      <c r="A68745" s="0" t="s">
        <v>23355</v>
      </c>
      <c r="B68745" s="0" t="str">
        <f aca="false">HYPERLINK("https://lindat.mff.cuni.cz/services/teitok/pdtc10/index.php?action=vallex&amp;frame=v-w9387hsa_1400", "zdobit (v-w9387hsa_1400)")</f>
        <v>zdobit (v-w9387hsa_1400)</v>
      </c>
    </row>
    <row r="68746" customFormat="false" ht="12.8" hidden="false" customHeight="false" outlineLevel="0" collapsed="false">
      <c r="B68746" s="0" t="s">
        <v>7</v>
      </c>
    </row>
    <row r="68747" customFormat="false" ht="12.8" hidden="false" customHeight="false" outlineLevel="0" collapsed="false">
      <c r="B68747" s="0" t="s">
        <v>14</v>
      </c>
    </row>
    <row r="68749" customFormat="false" ht="12.8" hidden="false" customHeight="false" outlineLevel="0" collapsed="false">
      <c r="A68749" s="0" t="s">
        <v>23356</v>
      </c>
      <c r="B68749" s="0" t="str">
        <f aca="false">HYPERLINK("https://lindat.mff.cuni.cz/services/teitok/pdtc10/index.php?action=vallex&amp;frame=v-w9389f1", "zdokonalit (v-w9389f1)")</f>
        <v>zdokonalit (v-w9389f1)</v>
      </c>
    </row>
    <row r="68750" customFormat="false" ht="12.8" hidden="false" customHeight="false" outlineLevel="0" collapsed="false">
      <c r="B68750" s="0" t="s">
        <v>7</v>
      </c>
      <c r="C68750" s="0" t="s">
        <v>4116</v>
      </c>
      <c r="D68750" s="0" t="s">
        <v>5017</v>
      </c>
      <c r="E68750" s="0" t="s">
        <v>5017</v>
      </c>
      <c r="F68750" s="0" t="s">
        <v>5017</v>
      </c>
    </row>
    <row r="68751" customFormat="false" ht="12.8" hidden="false" customHeight="false" outlineLevel="0" collapsed="false">
      <c r="B68751" s="0" t="s">
        <v>14</v>
      </c>
      <c r="C68751" s="0" t="s">
        <v>4733</v>
      </c>
      <c r="D68751" s="0" t="s">
        <v>5018</v>
      </c>
      <c r="E68751" s="0" t="s">
        <v>5018</v>
      </c>
      <c r="F68751" s="0" t="s">
        <v>5018</v>
      </c>
    </row>
    <row r="68753" customFormat="false" ht="12.8" hidden="false" customHeight="false" outlineLevel="0" collapsed="false">
      <c r="A68753" s="0" t="s">
        <v>23357</v>
      </c>
      <c r="B68753" s="0" t="str">
        <f aca="false">HYPERLINK("https://lindat.mff.cuni.cz/services/teitok/pdtc10/index.php?action=vallex&amp;frame=v-whsa_750hsa_751", "zdokonalit se (v-whsa_750hsa_751)")</f>
        <v>zdokonalit se (v-whsa_750hsa_751)</v>
      </c>
    </row>
    <row r="68754" customFormat="false" ht="12.8" hidden="false" customHeight="false" outlineLevel="0" collapsed="false">
      <c r="B68754" s="0" t="s">
        <v>7</v>
      </c>
    </row>
    <row r="68755" customFormat="false" ht="12.8" hidden="false" customHeight="false" outlineLevel="0" collapsed="false">
      <c r="B68755" s="0" t="s">
        <v>706</v>
      </c>
    </row>
    <row r="68757" customFormat="false" ht="12.8" hidden="false" customHeight="false" outlineLevel="0" collapsed="false">
      <c r="A68757" s="0" t="s">
        <v>23358</v>
      </c>
      <c r="B68757" s="0" t="str">
        <f aca="false">HYPERLINK("https://lindat.mff.cuni.cz/services/teitok/pdtc10/index.php?action=vallex&amp;frame=v-w9391f1", "zdokonalovat (v-w9391f1)")</f>
        <v>zdokonalovat (v-w9391f1)</v>
      </c>
    </row>
    <row r="68758" customFormat="false" ht="12.8" hidden="false" customHeight="false" outlineLevel="0" collapsed="false">
      <c r="B68758" s="0" t="s">
        <v>7</v>
      </c>
      <c r="C68758" s="0" t="s">
        <v>4116</v>
      </c>
      <c r="D68758" s="0" t="s">
        <v>5017</v>
      </c>
      <c r="E68758" s="0" t="s">
        <v>5017</v>
      </c>
      <c r="F68758" s="0" t="s">
        <v>5017</v>
      </c>
    </row>
    <row r="68759" customFormat="false" ht="12.8" hidden="false" customHeight="false" outlineLevel="0" collapsed="false">
      <c r="B68759" s="0" t="s">
        <v>14</v>
      </c>
      <c r="C68759" s="0" t="s">
        <v>1631</v>
      </c>
      <c r="D68759" s="0" t="s">
        <v>5018</v>
      </c>
      <c r="E68759" s="0" t="s">
        <v>5018</v>
      </c>
      <c r="F68759" s="0" t="s">
        <v>5018</v>
      </c>
    </row>
    <row r="68761" customFormat="false" ht="12.8" hidden="false" customHeight="false" outlineLevel="0" collapsed="false">
      <c r="A68761" s="0" t="s">
        <v>23359</v>
      </c>
      <c r="B68761" s="0" t="str">
        <f aca="false">HYPERLINK("https://lindat.mff.cuni.cz/services/teitok/pdtc10/index.php?action=vallex&amp;frame=v-w9392f1", "zdokonalovat se (v-w9392f1)")</f>
        <v>zdokonalovat se (v-w9392f1)</v>
      </c>
    </row>
    <row r="68762" customFormat="false" ht="12.8" hidden="false" customHeight="false" outlineLevel="0" collapsed="false">
      <c r="B68762" s="0" t="s">
        <v>7</v>
      </c>
    </row>
    <row r="68763" customFormat="false" ht="12.8" hidden="false" customHeight="false" outlineLevel="0" collapsed="false">
      <c r="B68763" s="0" t="s">
        <v>706</v>
      </c>
    </row>
    <row r="68765" customFormat="false" ht="12.8" hidden="false" customHeight="false" outlineLevel="0" collapsed="false">
      <c r="A68765" s="0" t="s">
        <v>23360</v>
      </c>
      <c r="B68765" s="0" t="str">
        <f aca="false">HYPERLINK("https://lindat.mff.cuni.cz/services/teitok/pdtc10/index.php?action=vallex&amp;frame=v-w9394f1", "zdolat (v-w9394f1)")</f>
        <v>zdolat (v-w9394f1)</v>
      </c>
    </row>
    <row r="68766" customFormat="false" ht="12.8" hidden="false" customHeight="false" outlineLevel="0" collapsed="false">
      <c r="B68766" s="0" t="s">
        <v>7</v>
      </c>
      <c r="C68766" s="0" t="s">
        <v>184</v>
      </c>
      <c r="D68766" s="0" t="s">
        <v>113</v>
      </c>
      <c r="E68766" s="0" t="s">
        <v>113</v>
      </c>
      <c r="F68766" s="0" t="s">
        <v>113</v>
      </c>
    </row>
    <row r="68767" customFormat="false" ht="12.8" hidden="false" customHeight="false" outlineLevel="0" collapsed="false">
      <c r="B68767" s="0" t="s">
        <v>14</v>
      </c>
      <c r="C68767" s="0" t="s">
        <v>624</v>
      </c>
      <c r="D68767" s="0" t="s">
        <v>487</v>
      </c>
      <c r="E68767" s="0" t="s">
        <v>487</v>
      </c>
      <c r="F68767" s="0" t="s">
        <v>487</v>
      </c>
    </row>
    <row r="68769" customFormat="false" ht="12.8" hidden="false" customHeight="false" outlineLevel="0" collapsed="false">
      <c r="A68769" s="0" t="s">
        <v>23361</v>
      </c>
      <c r="B68769" s="0" t="str">
        <f aca="false">HYPERLINK("https://lindat.mff.cuni.cz/services/teitok/pdtc10/index.php?action=vallex&amp;frame=v-w9395f1", "zdolávat (v-w9395f1)")</f>
        <v>zdolávat (v-w9395f1)</v>
      </c>
    </row>
    <row r="68770" customFormat="false" ht="12.8" hidden="false" customHeight="false" outlineLevel="0" collapsed="false">
      <c r="B68770" s="0" t="s">
        <v>7</v>
      </c>
    </row>
    <row r="68771" customFormat="false" ht="12.8" hidden="false" customHeight="false" outlineLevel="0" collapsed="false">
      <c r="B68771" s="0" t="s">
        <v>14</v>
      </c>
    </row>
    <row r="68773" customFormat="false" ht="12.8" hidden="false" customHeight="false" outlineLevel="0" collapsed="false">
      <c r="A68773" s="0" t="s">
        <v>23362</v>
      </c>
      <c r="B68773" s="0" t="str">
        <f aca="false">HYPERLINK("https://lindat.mff.cuni.cz/services/teitok/pdtc10/index.php?action=vallex&amp;frame=v-w9395f2", "zdolávat (v-w9395f2)")</f>
        <v>zdolávat (v-w9395f2)</v>
      </c>
    </row>
    <row r="68774" customFormat="false" ht="12.8" hidden="false" customHeight="false" outlineLevel="0" collapsed="false">
      <c r="B68774" s="0" t="s">
        <v>7</v>
      </c>
      <c r="D68774" s="0" t="s">
        <v>113</v>
      </c>
      <c r="E68774" s="0" t="s">
        <v>113</v>
      </c>
      <c r="F68774" s="0" t="s">
        <v>113</v>
      </c>
    </row>
    <row r="68775" customFormat="false" ht="12.8" hidden="false" customHeight="false" outlineLevel="0" collapsed="false">
      <c r="B68775" s="0" t="s">
        <v>14</v>
      </c>
      <c r="D68775" s="0" t="s">
        <v>487</v>
      </c>
      <c r="E68775" s="0" t="s">
        <v>487</v>
      </c>
      <c r="F68775" s="0" t="s">
        <v>487</v>
      </c>
    </row>
    <row r="68777" customFormat="false" ht="12.8" hidden="false" customHeight="false" outlineLevel="0" collapsed="false">
      <c r="A68777" s="0" t="s">
        <v>23363</v>
      </c>
      <c r="B68777" s="0" t="str">
        <f aca="false">HYPERLINK("https://lindat.mff.cuni.cz/services/teitok/pdtc10/index.php?action=vallex&amp;frame=v-w9396f1", "zdomácnět (v-w9396f1)")</f>
        <v>zdomácnět (v-w9396f1)</v>
      </c>
    </row>
    <row r="68778" customFormat="false" ht="12.8" hidden="false" customHeight="false" outlineLevel="0" collapsed="false">
      <c r="B68778" s="0" t="s">
        <v>7</v>
      </c>
    </row>
    <row r="68780" customFormat="false" ht="12.8" hidden="false" customHeight="false" outlineLevel="0" collapsed="false">
      <c r="A68780" s="0" t="s">
        <v>23364</v>
      </c>
      <c r="B68780" s="0" t="str">
        <f aca="false">HYPERLINK("https://lindat.mff.cuni.cz/services/teitok/pdtc10/index.php?action=vallex&amp;frame=v-w11644_ZUf1_ZU", "zdostupnit (v-w11644_ZUf1_ZU)")</f>
        <v>zdostupnit (v-w11644_ZUf1_ZU)</v>
      </c>
    </row>
    <row r="68781" customFormat="false" ht="12.8" hidden="false" customHeight="false" outlineLevel="0" collapsed="false">
      <c r="B68781" s="0" t="s">
        <v>7</v>
      </c>
    </row>
    <row r="68782" customFormat="false" ht="12.8" hidden="false" customHeight="false" outlineLevel="0" collapsed="false">
      <c r="B68782" s="0" t="s">
        <v>14</v>
      </c>
    </row>
    <row r="68783" customFormat="false" ht="12.8" hidden="false" customHeight="false" outlineLevel="0" collapsed="false">
      <c r="B68783" s="0" t="s">
        <v>48</v>
      </c>
    </row>
    <row r="68785" customFormat="false" ht="12.8" hidden="false" customHeight="false" outlineLevel="0" collapsed="false">
      <c r="A68785" s="0" t="s">
        <v>23365</v>
      </c>
      <c r="B68785" s="0" t="str">
        <f aca="false">HYPERLINK("https://lindat.mff.cuni.cz/services/teitok/pdtc10/index.php?action=vallex&amp;frame=v-w9398f1", "zdramatizovat (v-w9398f1)")</f>
        <v>zdramatizovat (v-w9398f1)</v>
      </c>
    </row>
    <row r="68786" customFormat="false" ht="12.8" hidden="false" customHeight="false" outlineLevel="0" collapsed="false">
      <c r="B68786" s="0" t="s">
        <v>7</v>
      </c>
    </row>
    <row r="68787" customFormat="false" ht="12.8" hidden="false" customHeight="false" outlineLevel="0" collapsed="false">
      <c r="B68787" s="0" t="s">
        <v>14</v>
      </c>
    </row>
    <row r="68789" customFormat="false" ht="12.8" hidden="false" customHeight="false" outlineLevel="0" collapsed="false">
      <c r="A68789" s="0" t="s">
        <v>23366</v>
      </c>
      <c r="B68789" s="0" t="str">
        <f aca="false">HYPERLINK("https://lindat.mff.cuni.cz/services/teitok/pdtc10/index.php?action=vallex&amp;frame=v-w9399f1", "zdravit (v-w9399f1)")</f>
        <v>zdravit (v-w9399f1)</v>
      </c>
    </row>
    <row r="68790" customFormat="false" ht="12.8" hidden="false" customHeight="false" outlineLevel="0" collapsed="false">
      <c r="B68790" s="0" t="s">
        <v>7</v>
      </c>
      <c r="E68790" s="0" t="s">
        <v>1874</v>
      </c>
      <c r="F68790" s="0" t="s">
        <v>1874</v>
      </c>
    </row>
    <row r="68791" customFormat="false" ht="12.8" hidden="false" customHeight="false" outlineLevel="0" collapsed="false">
      <c r="B68791" s="0" t="s">
        <v>14</v>
      </c>
      <c r="E68791" s="0" t="s">
        <v>2641</v>
      </c>
      <c r="F68791" s="0" t="s">
        <v>2641</v>
      </c>
    </row>
    <row r="68793" customFormat="false" ht="12.8" hidden="false" customHeight="false" outlineLevel="0" collapsed="false">
      <c r="A68793" s="0" t="s">
        <v>23367</v>
      </c>
      <c r="B68793" s="0" t="str">
        <f aca="false">HYPERLINK("https://lindat.mff.cuni.cz/services/teitok/pdtc10/index.php?action=vallex&amp;frame=v-whsa_343hsa_344", "zdravit se (v-whsa_343hsa_344)")</f>
        <v>zdravit se (v-whsa_343hsa_344)</v>
      </c>
    </row>
    <row r="68794" customFormat="false" ht="12.8" hidden="false" customHeight="false" outlineLevel="0" collapsed="false">
      <c r="B68794" s="0" t="s">
        <v>7</v>
      </c>
    </row>
    <row r="68795" customFormat="false" ht="12.8" hidden="false" customHeight="false" outlineLevel="0" collapsed="false">
      <c r="B68795" s="0" t="s">
        <v>548</v>
      </c>
    </row>
    <row r="68797" customFormat="false" ht="12.8" hidden="false" customHeight="false" outlineLevel="0" collapsed="false">
      <c r="A68797" s="0" t="s">
        <v>23368</v>
      </c>
      <c r="B68797" s="0" t="str">
        <f aca="false">HYPERLINK("https://lindat.mff.cuni.cz/services/teitok/pdtc10/index.php?action=vallex&amp;frame=v-w9401f1", "zdražit (v-w9401f1)")</f>
        <v>zdražit (v-w9401f1)</v>
      </c>
    </row>
    <row r="68798" customFormat="false" ht="12.8" hidden="false" customHeight="false" outlineLevel="0" collapsed="false">
      <c r="B68798" s="0" t="s">
        <v>7</v>
      </c>
      <c r="C68798" s="0" t="s">
        <v>23369</v>
      </c>
      <c r="D68798" s="0" t="s">
        <v>6436</v>
      </c>
      <c r="E68798" s="0" t="s">
        <v>6436</v>
      </c>
      <c r="F68798" s="0" t="s">
        <v>6436</v>
      </c>
    </row>
    <row r="68799" customFormat="false" ht="12.8" hidden="false" customHeight="false" outlineLevel="0" collapsed="false">
      <c r="B68799" s="0" t="s">
        <v>14</v>
      </c>
      <c r="C68799" s="0" t="s">
        <v>16473</v>
      </c>
      <c r="D68799" s="0" t="s">
        <v>6437</v>
      </c>
      <c r="E68799" s="0" t="s">
        <v>6437</v>
      </c>
      <c r="F68799" s="0" t="s">
        <v>6437</v>
      </c>
    </row>
    <row r="68800" customFormat="false" ht="12.8" hidden="false" customHeight="false" outlineLevel="0" collapsed="false">
      <c r="B68800" s="0" t="s">
        <v>35</v>
      </c>
      <c r="C68800" s="0" t="s">
        <v>23370</v>
      </c>
      <c r="D68800" s="0" t="s">
        <v>6438</v>
      </c>
      <c r="E68800" s="0" t="s">
        <v>6438</v>
      </c>
      <c r="F68800" s="0" t="s">
        <v>6438</v>
      </c>
    </row>
    <row r="68801" customFormat="false" ht="12.8" hidden="false" customHeight="false" outlineLevel="0" collapsed="false">
      <c r="B68801" s="0" t="s">
        <v>84</v>
      </c>
      <c r="C68801" s="0" t="s">
        <v>23371</v>
      </c>
      <c r="D68801" s="0" t="s">
        <v>6440</v>
      </c>
      <c r="E68801" s="0" t="s">
        <v>6440</v>
      </c>
      <c r="F68801" s="0" t="s">
        <v>6440</v>
      </c>
    </row>
    <row r="68803" customFormat="false" ht="12.8" hidden="false" customHeight="false" outlineLevel="0" collapsed="false">
      <c r="A68803" s="0" t="s">
        <v>23372</v>
      </c>
      <c r="B68803" s="0" t="str">
        <f aca="false">HYPERLINK("https://lindat.mff.cuni.cz/services/teitok/pdtc10/index.php?action=vallex&amp;frame=v-w9401f2_ZU", "zdražit (v-w9401f2_ZU)")</f>
        <v>zdražit (v-w9401f2_ZU)</v>
      </c>
    </row>
    <row r="68804" customFormat="false" ht="12.8" hidden="false" customHeight="false" outlineLevel="0" collapsed="false">
      <c r="B68804" s="0" t="s">
        <v>7</v>
      </c>
      <c r="C68804" s="0" t="s">
        <v>1371</v>
      </c>
    </row>
    <row r="68805" customFormat="false" ht="12.8" hidden="false" customHeight="false" outlineLevel="0" collapsed="false">
      <c r="B68805" s="0" t="s">
        <v>63</v>
      </c>
      <c r="C68805" s="0" t="s">
        <v>10567</v>
      </c>
    </row>
    <row r="68806" customFormat="false" ht="12.8" hidden="false" customHeight="false" outlineLevel="0" collapsed="false">
      <c r="B68806" s="0" t="s">
        <v>35</v>
      </c>
    </row>
    <row r="68808" customFormat="false" ht="12.8" hidden="false" customHeight="false" outlineLevel="0" collapsed="false">
      <c r="A68808" s="0" t="s">
        <v>23373</v>
      </c>
      <c r="B68808" s="0" t="str">
        <f aca="false">HYPERLINK("https://lindat.mff.cuni.cz/services/teitok/pdtc10/index.php?action=vallex&amp;frame=v-w9403f1", "zdražovat (v-w9403f1)")</f>
        <v>zdražovat (v-w9403f1)</v>
      </c>
    </row>
    <row r="68809" customFormat="false" ht="12.8" hidden="false" customHeight="false" outlineLevel="0" collapsed="false">
      <c r="B68809" s="0" t="s">
        <v>7</v>
      </c>
      <c r="C68809" s="0" t="s">
        <v>3293</v>
      </c>
      <c r="D68809" s="0" t="s">
        <v>6436</v>
      </c>
      <c r="E68809" s="0" t="s">
        <v>6436</v>
      </c>
      <c r="F68809" s="0" t="s">
        <v>6436</v>
      </c>
    </row>
    <row r="68810" customFormat="false" ht="12.8" hidden="false" customHeight="false" outlineLevel="0" collapsed="false">
      <c r="B68810" s="0" t="s">
        <v>14</v>
      </c>
      <c r="C68810" s="0" t="s">
        <v>3295</v>
      </c>
      <c r="D68810" s="0" t="s">
        <v>6437</v>
      </c>
      <c r="E68810" s="0" t="s">
        <v>6437</v>
      </c>
      <c r="F68810" s="0" t="s">
        <v>6437</v>
      </c>
    </row>
    <row r="68811" customFormat="false" ht="12.8" hidden="false" customHeight="false" outlineLevel="0" collapsed="false">
      <c r="B68811" s="0" t="s">
        <v>35</v>
      </c>
      <c r="D68811" s="0" t="s">
        <v>6438</v>
      </c>
      <c r="E68811" s="0" t="s">
        <v>6438</v>
      </c>
      <c r="F68811" s="0" t="s">
        <v>6438</v>
      </c>
    </row>
    <row r="68812" customFormat="false" ht="12.8" hidden="false" customHeight="false" outlineLevel="0" collapsed="false">
      <c r="B68812" s="0" t="s">
        <v>84</v>
      </c>
      <c r="D68812" s="0" t="s">
        <v>6440</v>
      </c>
      <c r="E68812" s="0" t="s">
        <v>6440</v>
      </c>
      <c r="F68812" s="0" t="s">
        <v>6440</v>
      </c>
    </row>
    <row r="68814" customFormat="false" ht="12.8" hidden="false" customHeight="false" outlineLevel="0" collapsed="false">
      <c r="A68814" s="0" t="s">
        <v>23374</v>
      </c>
      <c r="B68814" s="0" t="str">
        <f aca="false">HYPERLINK("https://lindat.mff.cuni.cz/services/teitok/pdtc10/index.php?action=vallex&amp;frame=v-w11111f2", "zdrhnout (v-w11111f2)")</f>
        <v>zdrhnout (v-w11111f2)</v>
      </c>
    </row>
    <row r="68815" customFormat="false" ht="12.8" hidden="false" customHeight="false" outlineLevel="0" collapsed="false">
      <c r="B68815" s="0" t="s">
        <v>7</v>
      </c>
    </row>
    <row r="68816" customFormat="false" ht="12.8" hidden="false" customHeight="false" outlineLevel="0" collapsed="false">
      <c r="B68816" s="0" t="s">
        <v>11530</v>
      </c>
    </row>
    <row r="68818" customFormat="false" ht="12.8" hidden="false" customHeight="false" outlineLevel="0" collapsed="false">
      <c r="A68818" s="0" t="s">
        <v>23375</v>
      </c>
      <c r="B68818" s="0" t="str">
        <f aca="false">HYPERLINK("https://lindat.mff.cuni.cz/services/teitok/pdtc10/index.php?action=vallex&amp;frame=v-w9405f1", "zdrsnit (v-w9405f1)")</f>
        <v>zdrsnit (v-w9405f1)</v>
      </c>
    </row>
    <row r="68819" customFormat="false" ht="12.8" hidden="false" customHeight="false" outlineLevel="0" collapsed="false">
      <c r="B68819" s="0" t="s">
        <v>7</v>
      </c>
    </row>
    <row r="68820" customFormat="false" ht="12.8" hidden="false" customHeight="false" outlineLevel="0" collapsed="false">
      <c r="B68820" s="0" t="s">
        <v>14</v>
      </c>
    </row>
    <row r="68822" customFormat="false" ht="12.8" hidden="false" customHeight="false" outlineLevel="0" collapsed="false">
      <c r="A68822" s="0" t="s">
        <v>23376</v>
      </c>
      <c r="B68822" s="0" t="str">
        <f aca="false">HYPERLINK("https://lindat.mff.cuni.cz/services/teitok/pdtc10/index.php?action=vallex&amp;frame=v-w11645_ZUf1_ZU", "zdrsnět (v-w11645_ZUf1_ZU)")</f>
        <v>zdrsnět (v-w11645_ZUf1_ZU)</v>
      </c>
    </row>
    <row r="68823" customFormat="false" ht="12.8" hidden="false" customHeight="false" outlineLevel="0" collapsed="false">
      <c r="B68823" s="0" t="s">
        <v>7</v>
      </c>
      <c r="C68823" s="0" t="s">
        <v>6311</v>
      </c>
    </row>
    <row r="68825" customFormat="false" ht="12.8" hidden="false" customHeight="false" outlineLevel="0" collapsed="false">
      <c r="A68825" s="0" t="s">
        <v>23377</v>
      </c>
      <c r="B68825" s="0" t="str">
        <f aca="false">HYPERLINK("https://lindat.mff.cuni.cz/services/teitok/pdtc10/index.php?action=vallex&amp;frame=v-w10275f2", "zdrtit (v-w10275f2)")</f>
        <v>zdrtit (v-w10275f2)</v>
      </c>
    </row>
    <row r="68826" customFormat="false" ht="12.8" hidden="false" customHeight="false" outlineLevel="0" collapsed="false">
      <c r="B68826" s="0" t="s">
        <v>7</v>
      </c>
      <c r="C68826" s="0" t="s">
        <v>7860</v>
      </c>
      <c r="D68826" s="0" t="s">
        <v>23378</v>
      </c>
      <c r="E68826" s="0" t="s">
        <v>23379</v>
      </c>
      <c r="F68826" s="0" t="s">
        <v>23379</v>
      </c>
    </row>
    <row r="68827" customFormat="false" ht="12.8" hidden="false" customHeight="false" outlineLevel="0" collapsed="false">
      <c r="B68827" s="0" t="s">
        <v>14</v>
      </c>
      <c r="D68827" s="0" t="s">
        <v>12709</v>
      </c>
      <c r="E68827" s="0" t="s">
        <v>23380</v>
      </c>
      <c r="F68827" s="0" t="s">
        <v>23380</v>
      </c>
    </row>
    <row r="68829" customFormat="false" ht="12.8" hidden="false" customHeight="false" outlineLevel="0" collapsed="false">
      <c r="A68829" s="0" t="s">
        <v>23381</v>
      </c>
      <c r="B68829" s="0" t="str">
        <f aca="false">HYPERLINK("https://lindat.mff.cuni.cz/services/teitok/pdtc10/index.php?action=vallex&amp;frame=v-w9397f1", "zdráhat se (v-w9397f1)")</f>
        <v>zdráhat se (v-w9397f1)</v>
      </c>
    </row>
    <row r="68830" customFormat="false" ht="12.8" hidden="false" customHeight="false" outlineLevel="0" collapsed="false">
      <c r="B68830" s="0" t="s">
        <v>7</v>
      </c>
      <c r="C68830" s="0" t="s">
        <v>498</v>
      </c>
    </row>
    <row r="68831" customFormat="false" ht="12.8" hidden="false" customHeight="false" outlineLevel="0" collapsed="false">
      <c r="B68831" s="0" t="s">
        <v>23382</v>
      </c>
    </row>
    <row r="68833" customFormat="false" ht="12.8" hidden="false" customHeight="false" outlineLevel="0" collapsed="false">
      <c r="A68833" s="0" t="s">
        <v>23383</v>
      </c>
      <c r="B68833" s="0" t="str">
        <f aca="false">HYPERLINK("https://lindat.mff.cuni.cz/services/teitok/pdtc10/index.php?action=vallex&amp;frame=v-w11646_ZUf1_ZU", "zdržet (v-w11646_ZUf1_ZU)")</f>
        <v>zdržet (v-w11646_ZUf1_ZU)</v>
      </c>
    </row>
    <row r="68834" customFormat="false" ht="12.8" hidden="false" customHeight="false" outlineLevel="0" collapsed="false">
      <c r="B68834" s="0" t="s">
        <v>7</v>
      </c>
      <c r="C68834" s="0" t="s">
        <v>4116</v>
      </c>
      <c r="D68834" s="0" t="s">
        <v>392</v>
      </c>
      <c r="E68834" s="0" t="s">
        <v>392</v>
      </c>
      <c r="F68834" s="0" t="s">
        <v>392</v>
      </c>
    </row>
    <row r="68835" customFormat="false" ht="12.8" hidden="false" customHeight="false" outlineLevel="0" collapsed="false">
      <c r="B68835" s="0" t="s">
        <v>14</v>
      </c>
      <c r="C68835" s="0" t="s">
        <v>6202</v>
      </c>
      <c r="D68835" s="0" t="s">
        <v>394</v>
      </c>
      <c r="E68835" s="0" t="s">
        <v>394</v>
      </c>
      <c r="F68835" s="0" t="s">
        <v>394</v>
      </c>
    </row>
    <row r="68837" customFormat="false" ht="12.8" hidden="false" customHeight="false" outlineLevel="0" collapsed="false">
      <c r="A68837" s="0" t="s">
        <v>23384</v>
      </c>
      <c r="B68837" s="0" t="str">
        <f aca="false">HYPERLINK("https://lindat.mff.cuni.cz/services/teitok/pdtc10/index.php?action=vallex&amp;frame=v-w9409f1", "zdržet se (v-w9409f1)")</f>
        <v>zdržet se (v-w9409f1)</v>
      </c>
    </row>
    <row r="68838" customFormat="false" ht="12.8" hidden="false" customHeight="false" outlineLevel="0" collapsed="false">
      <c r="B68838" s="0" t="s">
        <v>7</v>
      </c>
      <c r="C68838" s="0" t="s">
        <v>46</v>
      </c>
      <c r="D68838" s="0" t="s">
        <v>46</v>
      </c>
      <c r="E68838" s="0" t="s">
        <v>46</v>
      </c>
      <c r="F68838" s="0" t="s">
        <v>46</v>
      </c>
    </row>
    <row r="68839" customFormat="false" ht="12.8" hidden="false" customHeight="false" outlineLevel="0" collapsed="false">
      <c r="B68839" s="0" t="s">
        <v>1087</v>
      </c>
      <c r="C68839" s="0" t="s">
        <v>115</v>
      </c>
      <c r="D68839" s="0" t="s">
        <v>115</v>
      </c>
      <c r="E68839" s="0" t="s">
        <v>115</v>
      </c>
      <c r="F68839" s="0" t="s">
        <v>115</v>
      </c>
    </row>
    <row r="68841" customFormat="false" ht="12.8" hidden="false" customHeight="false" outlineLevel="0" collapsed="false">
      <c r="A68841" s="0" t="s">
        <v>23385</v>
      </c>
      <c r="B68841" s="0" t="str">
        <f aca="false">HYPERLINK("https://lindat.mff.cuni.cz/services/teitok/pdtc10/index.php?action=vallex&amp;frame=v-w9409f2", "zdržet se (v-w9409f2)")</f>
        <v>zdržet se (v-w9409f2)</v>
      </c>
    </row>
    <row r="68842" customFormat="false" ht="12.8" hidden="false" customHeight="false" outlineLevel="0" collapsed="false">
      <c r="B68842" s="0" t="s">
        <v>7</v>
      </c>
      <c r="D68842" s="0" t="s">
        <v>2901</v>
      </c>
      <c r="E68842" s="0" t="s">
        <v>2901</v>
      </c>
      <c r="F68842" s="0" t="s">
        <v>2901</v>
      </c>
    </row>
    <row r="68843" customFormat="false" ht="12.8" hidden="false" customHeight="false" outlineLevel="0" collapsed="false">
      <c r="B68843" s="0" t="s">
        <v>11</v>
      </c>
      <c r="D68843" s="0" t="s">
        <v>2903</v>
      </c>
      <c r="E68843" s="0" t="s">
        <v>2903</v>
      </c>
      <c r="F68843" s="0" t="s">
        <v>2903</v>
      </c>
    </row>
    <row r="68845" customFormat="false" ht="12.8" hidden="false" customHeight="false" outlineLevel="0" collapsed="false">
      <c r="A68845" s="0" t="s">
        <v>23386</v>
      </c>
      <c r="B68845" s="0" t="str">
        <f aca="false">HYPERLINK("https://lindat.mff.cuni.cz/services/teitok/pdtc10/index.php?action=vallex&amp;frame=v-w9409f3", "zdržet se (v-w9409f3)")</f>
        <v>zdržet se (v-w9409f3)</v>
      </c>
    </row>
    <row r="68846" customFormat="false" ht="12.8" hidden="false" customHeight="false" outlineLevel="0" collapsed="false">
      <c r="B68846" s="0" t="s">
        <v>7</v>
      </c>
      <c r="C68846" s="0" t="s">
        <v>23387</v>
      </c>
    </row>
    <row r="68848" customFormat="false" ht="12.8" hidden="false" customHeight="false" outlineLevel="0" collapsed="false">
      <c r="A68848" s="0" t="s">
        <v>23388</v>
      </c>
      <c r="B68848" s="0" t="str">
        <f aca="false">HYPERLINK("https://lindat.mff.cuni.cz/services/teitok/pdtc10/index.php?action=vallex&amp;frame=v-w9410f2", "zdržovat (v-w9410f2)")</f>
        <v>zdržovat (v-w9410f2)</v>
      </c>
    </row>
    <row r="68849" customFormat="false" ht="12.8" hidden="false" customHeight="false" outlineLevel="0" collapsed="false">
      <c r="B68849" s="0" t="s">
        <v>7</v>
      </c>
      <c r="C68849" s="0" t="s">
        <v>1261</v>
      </c>
    </row>
    <row r="68850" customFormat="false" ht="12.8" hidden="false" customHeight="false" outlineLevel="0" collapsed="false">
      <c r="B68850" s="0" t="s">
        <v>23389</v>
      </c>
      <c r="C68850" s="0" t="s">
        <v>4407</v>
      </c>
    </row>
    <row r="68851" customFormat="false" ht="12.8" hidden="false" customHeight="false" outlineLevel="0" collapsed="false">
      <c r="B68851" s="0" t="s">
        <v>81</v>
      </c>
    </row>
    <row r="68853" customFormat="false" ht="12.8" hidden="false" customHeight="false" outlineLevel="0" collapsed="false">
      <c r="A68853" s="0" t="s">
        <v>23390</v>
      </c>
      <c r="B68853" s="0" t="str">
        <f aca="false">HYPERLINK("https://lindat.mff.cuni.cz/services/teitok/pdtc10/index.php?action=vallex&amp;frame=v-w9410f1", "zdržovat (v-w9410f1)")</f>
        <v>zdržovat (v-w9410f1)</v>
      </c>
    </row>
    <row r="68854" customFormat="false" ht="12.8" hidden="false" customHeight="false" outlineLevel="0" collapsed="false">
      <c r="B68854" s="0" t="s">
        <v>7</v>
      </c>
      <c r="C68854" s="0" t="s">
        <v>1154</v>
      </c>
      <c r="D68854" s="0" t="s">
        <v>392</v>
      </c>
      <c r="E68854" s="0" t="s">
        <v>392</v>
      </c>
      <c r="F68854" s="0" t="s">
        <v>392</v>
      </c>
    </row>
    <row r="68855" customFormat="false" ht="12.8" hidden="false" customHeight="false" outlineLevel="0" collapsed="false">
      <c r="B68855" s="0" t="s">
        <v>14</v>
      </c>
      <c r="C68855" s="0" t="s">
        <v>2887</v>
      </c>
      <c r="D68855" s="0" t="s">
        <v>394</v>
      </c>
      <c r="E68855" s="0" t="s">
        <v>394</v>
      </c>
      <c r="F68855" s="0" t="s">
        <v>394</v>
      </c>
    </row>
    <row r="68857" customFormat="false" ht="12.8" hidden="false" customHeight="false" outlineLevel="0" collapsed="false">
      <c r="A68857" s="0" t="s">
        <v>23391</v>
      </c>
      <c r="B68857" s="0" t="str">
        <f aca="false">HYPERLINK("https://lindat.mff.cuni.cz/services/teitok/pdtc10/index.php?action=vallex&amp;frame=v-w9411f1", "zdržovat se (v-w9411f1)")</f>
        <v>zdržovat se (v-w9411f1)</v>
      </c>
    </row>
    <row r="68858" customFormat="false" ht="12.8" hidden="false" customHeight="false" outlineLevel="0" collapsed="false">
      <c r="B68858" s="0" t="s">
        <v>7</v>
      </c>
      <c r="C68858" s="0" t="s">
        <v>2911</v>
      </c>
      <c r="D68858" s="0" t="s">
        <v>2901</v>
      </c>
      <c r="E68858" s="0" t="s">
        <v>2901</v>
      </c>
      <c r="F68858" s="0" t="s">
        <v>2901</v>
      </c>
    </row>
    <row r="68859" customFormat="false" ht="12.8" hidden="false" customHeight="false" outlineLevel="0" collapsed="false">
      <c r="B68859" s="0" t="s">
        <v>11</v>
      </c>
      <c r="C68859" s="0" t="s">
        <v>12588</v>
      </c>
      <c r="D68859" s="0" t="s">
        <v>2903</v>
      </c>
      <c r="E68859" s="0" t="s">
        <v>2903</v>
      </c>
      <c r="F68859" s="0" t="s">
        <v>2903</v>
      </c>
    </row>
    <row r="68861" customFormat="false" ht="12.8" hidden="false" customHeight="false" outlineLevel="0" collapsed="false">
      <c r="A68861" s="0" t="s">
        <v>23392</v>
      </c>
      <c r="B68861" s="0" t="str">
        <f aca="false">HYPERLINK("https://lindat.mff.cuni.cz/services/teitok/pdtc10/index.php?action=vallex&amp;frame=v-w11714_ZUf1_ZU", "zdvihat (v-w11714_ZUf1_ZU)")</f>
        <v>zdvihat (v-w11714_ZUf1_ZU)</v>
      </c>
    </row>
    <row r="68862" customFormat="false" ht="12.8" hidden="false" customHeight="false" outlineLevel="0" collapsed="false">
      <c r="B68862" s="0" t="s">
        <v>7</v>
      </c>
    </row>
    <row r="68863" customFormat="false" ht="12.8" hidden="false" customHeight="false" outlineLevel="0" collapsed="false">
      <c r="B68863" s="0" t="s">
        <v>14</v>
      </c>
    </row>
    <row r="68865" customFormat="false" ht="12.8" hidden="false" customHeight="false" outlineLevel="0" collapsed="false">
      <c r="A68865" s="0" t="s">
        <v>23393</v>
      </c>
      <c r="B68865" s="0" t="str">
        <f aca="false">HYPERLINK("https://lindat.mff.cuni.cz/services/teitok/pdtc10/index.php?action=vallex&amp;frame=v-w11055f2", "zdvihnout (v-w11055f2)")</f>
        <v>zdvihnout (v-w11055f2)</v>
      </c>
    </row>
    <row r="68866" customFormat="false" ht="12.8" hidden="false" customHeight="false" outlineLevel="0" collapsed="false">
      <c r="B68866" s="0" t="s">
        <v>7</v>
      </c>
    </row>
    <row r="68867" customFormat="false" ht="12.8" hidden="false" customHeight="false" outlineLevel="0" collapsed="false">
      <c r="B68867" s="0" t="s">
        <v>14</v>
      </c>
    </row>
    <row r="68868" customFormat="false" ht="12.8" hidden="false" customHeight="false" outlineLevel="0" collapsed="false">
      <c r="B68868" s="0" t="s">
        <v>35</v>
      </c>
    </row>
    <row r="68869" customFormat="false" ht="12.8" hidden="false" customHeight="false" outlineLevel="0" collapsed="false">
      <c r="B68869" s="0" t="s">
        <v>84</v>
      </c>
    </row>
    <row r="68871" customFormat="false" ht="12.8" hidden="false" customHeight="false" outlineLevel="0" collapsed="false">
      <c r="A68871" s="0" t="s">
        <v>23394</v>
      </c>
      <c r="B68871" s="0" t="str">
        <f aca="false">HYPERLINK("https://lindat.mff.cuni.cz/services/teitok/pdtc10/index.php?action=vallex&amp;frame=v-w11055hsa_565", "zdvihnout (v-w11055hsa_565)")</f>
        <v>zdvihnout (v-w11055hsa_565)</v>
      </c>
    </row>
    <row r="68872" customFormat="false" ht="12.8" hidden="false" customHeight="false" outlineLevel="0" collapsed="false">
      <c r="B68872" s="0" t="s">
        <v>7</v>
      </c>
      <c r="C68872" s="0" t="s">
        <v>335</v>
      </c>
      <c r="D68872" s="0" t="s">
        <v>460</v>
      </c>
      <c r="E68872" s="0" t="s">
        <v>460</v>
      </c>
      <c r="F68872" s="0" t="s">
        <v>460</v>
      </c>
    </row>
    <row r="68873" customFormat="false" ht="12.8" hidden="false" customHeight="false" outlineLevel="0" collapsed="false">
      <c r="B68873" s="0" t="s">
        <v>14</v>
      </c>
      <c r="C68873" s="0" t="s">
        <v>120</v>
      </c>
      <c r="D68873" s="0" t="s">
        <v>624</v>
      </c>
      <c r="E68873" s="0" t="s">
        <v>624</v>
      </c>
      <c r="F68873" s="0" t="s">
        <v>624</v>
      </c>
    </row>
    <row r="68875" customFormat="false" ht="12.8" hidden="false" customHeight="false" outlineLevel="0" collapsed="false">
      <c r="A68875" s="0" t="s">
        <v>23395</v>
      </c>
      <c r="B68875" s="0" t="str">
        <f aca="false">HYPERLINK("https://lindat.mff.cuni.cz/services/teitok/pdtc10/index.php?action=vallex&amp;frame=v-w11055f3_ZU", "zdvihnout (v-w11055f3_ZU)")</f>
        <v>zdvihnout (v-w11055f3_ZU)</v>
      </c>
    </row>
    <row r="68876" customFormat="false" ht="12.8" hidden="false" customHeight="false" outlineLevel="0" collapsed="false">
      <c r="B68876" s="0" t="s">
        <v>7</v>
      </c>
      <c r="C68876" s="0" t="s">
        <v>191</v>
      </c>
      <c r="D68876" s="0" t="s">
        <v>460</v>
      </c>
      <c r="E68876" s="0" t="s">
        <v>460</v>
      </c>
      <c r="F68876" s="0" t="s">
        <v>460</v>
      </c>
    </row>
    <row r="68877" customFormat="false" ht="12.8" hidden="false" customHeight="false" outlineLevel="0" collapsed="false">
      <c r="B68877" s="0" t="s">
        <v>14</v>
      </c>
      <c r="C68877" s="0" t="s">
        <v>47</v>
      </c>
      <c r="D68877" s="0" t="s">
        <v>624</v>
      </c>
      <c r="E68877" s="0" t="s">
        <v>624</v>
      </c>
      <c r="F68877" s="0" t="s">
        <v>624</v>
      </c>
    </row>
    <row r="68879" customFormat="false" ht="12.8" hidden="false" customHeight="false" outlineLevel="0" collapsed="false">
      <c r="A68879" s="0" t="s">
        <v>23395</v>
      </c>
      <c r="B68879" s="0" t="str">
        <f aca="false">HYPERLINK("https://lindat.mff.cuni.cz/services/teitok/pdtc10/index.php?action=vallex&amp;frame=v-w11055hsa_566", "zdvihnout (v-w11055hsa_566) - substituted with v-w11055f3_ZU")</f>
        <v>zdvihnout (v-w11055hsa_566) - substituted with v-w11055f3_ZU</v>
      </c>
    </row>
    <row r="68880" customFormat="false" ht="12.8" hidden="false" customHeight="false" outlineLevel="0" collapsed="false">
      <c r="B68880" s="0" t="s">
        <v>7</v>
      </c>
    </row>
    <row r="68881" customFormat="false" ht="12.8" hidden="false" customHeight="false" outlineLevel="0" collapsed="false">
      <c r="B68881" s="0" t="s">
        <v>14</v>
      </c>
    </row>
    <row r="68883" customFormat="false" ht="12.8" hidden="false" customHeight="false" outlineLevel="0" collapsed="false">
      <c r="A68883" s="0" t="s">
        <v>23396</v>
      </c>
      <c r="B68883" s="0" t="str">
        <f aca="false">HYPERLINK("https://lindat.mff.cuni.cz/services/teitok/pdtc10/index.php?action=vallex&amp;frame=v-w9422f1", "zdvojnásobit (v-w9422f1)")</f>
        <v>zdvojnásobit (v-w9422f1)</v>
      </c>
    </row>
    <row r="68884" customFormat="false" ht="12.8" hidden="false" customHeight="false" outlineLevel="0" collapsed="false">
      <c r="B68884" s="0" t="s">
        <v>7</v>
      </c>
      <c r="C68884" s="0" t="s">
        <v>21</v>
      </c>
      <c r="D68884" s="0" t="s">
        <v>7524</v>
      </c>
      <c r="E68884" s="0" t="s">
        <v>7524</v>
      </c>
      <c r="F68884" s="0" t="s">
        <v>7524</v>
      </c>
    </row>
    <row r="68885" customFormat="false" ht="12.8" hidden="false" customHeight="false" outlineLevel="0" collapsed="false">
      <c r="B68885" s="0" t="s">
        <v>14</v>
      </c>
      <c r="C68885" s="0" t="s">
        <v>452</v>
      </c>
      <c r="D68885" s="0" t="s">
        <v>210</v>
      </c>
      <c r="E68885" s="0" t="s">
        <v>210</v>
      </c>
      <c r="F68885" s="0" t="s">
        <v>210</v>
      </c>
    </row>
    <row r="68886" customFormat="false" ht="12.8" hidden="false" customHeight="false" outlineLevel="0" collapsed="false">
      <c r="B68886" s="0" t="s">
        <v>35</v>
      </c>
      <c r="C68886" s="0" t="s">
        <v>23397</v>
      </c>
      <c r="D68886" s="0" t="s">
        <v>23398</v>
      </c>
      <c r="E68886" s="0" t="s">
        <v>23398</v>
      </c>
      <c r="F68886" s="0" t="s">
        <v>23398</v>
      </c>
    </row>
    <row r="68887" customFormat="false" ht="12.8" hidden="false" customHeight="false" outlineLevel="0" collapsed="false">
      <c r="B68887" s="0" t="s">
        <v>84</v>
      </c>
      <c r="C68887" s="0" t="s">
        <v>23399</v>
      </c>
      <c r="D68887" s="0" t="s">
        <v>23400</v>
      </c>
      <c r="E68887" s="0" t="s">
        <v>23400</v>
      </c>
      <c r="F68887" s="0" t="s">
        <v>23400</v>
      </c>
    </row>
    <row r="68889" customFormat="false" ht="12.8" hidden="false" customHeight="false" outlineLevel="0" collapsed="false">
      <c r="A68889" s="0" t="s">
        <v>23401</v>
      </c>
      <c r="B68889" s="0" t="str">
        <f aca="false">HYPERLINK("https://lindat.mff.cuni.cz/services/teitok/pdtc10/index.php?action=vallex&amp;frame=v-w9423f1", "zdvojnásobit se (v-w9423f1)")</f>
        <v>zdvojnásobit se (v-w9423f1)</v>
      </c>
    </row>
    <row r="68890" customFormat="false" ht="12.8" hidden="false" customHeight="false" outlineLevel="0" collapsed="false">
      <c r="B68890" s="0" t="s">
        <v>7</v>
      </c>
      <c r="C68890" s="0" t="s">
        <v>6750</v>
      </c>
      <c r="D68890" s="0" t="s">
        <v>23402</v>
      </c>
      <c r="E68890" s="0" t="s">
        <v>23402</v>
      </c>
      <c r="F68890" s="0" t="s">
        <v>23402</v>
      </c>
    </row>
    <row r="68891" customFormat="false" ht="12.8" hidden="false" customHeight="false" outlineLevel="0" collapsed="false">
      <c r="B68891" s="0" t="s">
        <v>63</v>
      </c>
      <c r="C68891" s="0" t="s">
        <v>23403</v>
      </c>
      <c r="D68891" s="0" t="s">
        <v>23404</v>
      </c>
      <c r="E68891" s="0" t="s">
        <v>23404</v>
      </c>
      <c r="F68891" s="0" t="s">
        <v>23404</v>
      </c>
    </row>
    <row r="68892" customFormat="false" ht="12.8" hidden="false" customHeight="false" outlineLevel="0" collapsed="false">
      <c r="B68892" s="0" t="s">
        <v>35</v>
      </c>
      <c r="C68892" s="0" t="s">
        <v>23397</v>
      </c>
      <c r="D68892" s="0" t="s">
        <v>23398</v>
      </c>
      <c r="E68892" s="0" t="s">
        <v>23398</v>
      </c>
      <c r="F68892" s="0" t="s">
        <v>23398</v>
      </c>
    </row>
    <row r="68894" customFormat="false" ht="12.8" hidden="false" customHeight="false" outlineLevel="0" collapsed="false">
      <c r="A68894" s="0" t="s">
        <v>23405</v>
      </c>
      <c r="B68894" s="0" t="str">
        <f aca="false">HYPERLINK("https://lindat.mff.cuni.cz/services/teitok/pdtc10/index.php?action=vallex&amp;frame=v-w9424f1", "zdvojnásobovat (v-w9424f1)")</f>
        <v>zdvojnásobovat (v-w9424f1)</v>
      </c>
    </row>
    <row r="68895" customFormat="false" ht="12.8" hidden="false" customHeight="false" outlineLevel="0" collapsed="false">
      <c r="B68895" s="0" t="s">
        <v>7</v>
      </c>
      <c r="C68895" s="0" t="s">
        <v>21</v>
      </c>
      <c r="D68895" s="0" t="s">
        <v>7524</v>
      </c>
      <c r="E68895" s="0" t="s">
        <v>7524</v>
      </c>
      <c r="F68895" s="0" t="s">
        <v>7524</v>
      </c>
    </row>
    <row r="68896" customFormat="false" ht="12.8" hidden="false" customHeight="false" outlineLevel="0" collapsed="false">
      <c r="B68896" s="0" t="s">
        <v>14</v>
      </c>
      <c r="C68896" s="0" t="s">
        <v>24</v>
      </c>
      <c r="D68896" s="0" t="s">
        <v>210</v>
      </c>
      <c r="E68896" s="0" t="s">
        <v>210</v>
      </c>
      <c r="F68896" s="0" t="s">
        <v>210</v>
      </c>
    </row>
    <row r="68897" customFormat="false" ht="12.8" hidden="false" customHeight="false" outlineLevel="0" collapsed="false">
      <c r="B68897" s="0" t="s">
        <v>35</v>
      </c>
      <c r="C68897" s="0" t="s">
        <v>6246</v>
      </c>
      <c r="D68897" s="0" t="s">
        <v>23398</v>
      </c>
      <c r="E68897" s="0" t="s">
        <v>23398</v>
      </c>
      <c r="F68897" s="0" t="s">
        <v>23398</v>
      </c>
    </row>
    <row r="68898" customFormat="false" ht="12.8" hidden="false" customHeight="false" outlineLevel="0" collapsed="false">
      <c r="B68898" s="0" t="s">
        <v>84</v>
      </c>
      <c r="C68898" s="0" t="s">
        <v>11007</v>
      </c>
      <c r="D68898" s="0" t="s">
        <v>23400</v>
      </c>
      <c r="E68898" s="0" t="s">
        <v>23400</v>
      </c>
      <c r="F68898" s="0" t="s">
        <v>23400</v>
      </c>
    </row>
    <row r="68900" customFormat="false" ht="12.8" hidden="false" customHeight="false" outlineLevel="0" collapsed="false">
      <c r="A68900" s="0" t="s">
        <v>23406</v>
      </c>
      <c r="B68900" s="0" t="str">
        <f aca="false">HYPERLINK("https://lindat.mff.cuni.cz/services/teitok/pdtc10/index.php?action=vallex&amp;frame=v-w9425f1", "zdvojnásobovat se (v-w9425f1)")</f>
        <v>zdvojnásobovat se (v-w9425f1)</v>
      </c>
    </row>
    <row r="68901" customFormat="false" ht="12.8" hidden="false" customHeight="false" outlineLevel="0" collapsed="false">
      <c r="B68901" s="0" t="s">
        <v>7</v>
      </c>
      <c r="D68901" s="0" t="s">
        <v>23402</v>
      </c>
      <c r="E68901" s="0" t="s">
        <v>23402</v>
      </c>
      <c r="F68901" s="0" t="s">
        <v>23402</v>
      </c>
    </row>
    <row r="68902" customFormat="false" ht="12.8" hidden="false" customHeight="false" outlineLevel="0" collapsed="false">
      <c r="B68902" s="0" t="s">
        <v>63</v>
      </c>
      <c r="D68902" s="0" t="s">
        <v>23404</v>
      </c>
      <c r="E68902" s="0" t="s">
        <v>23404</v>
      </c>
      <c r="F68902" s="0" t="s">
        <v>23404</v>
      </c>
    </row>
    <row r="68903" customFormat="false" ht="12.8" hidden="false" customHeight="false" outlineLevel="0" collapsed="false">
      <c r="B68903" s="0" t="s">
        <v>35</v>
      </c>
      <c r="D68903" s="0" t="s">
        <v>23398</v>
      </c>
      <c r="E68903" s="0" t="s">
        <v>23398</v>
      </c>
      <c r="F68903" s="0" t="s">
        <v>23398</v>
      </c>
    </row>
    <row r="68905" customFormat="false" ht="12.8" hidden="false" customHeight="false" outlineLevel="0" collapsed="false">
      <c r="A68905" s="0" t="s">
        <v>23407</v>
      </c>
      <c r="B68905" s="0" t="str">
        <f aca="false">HYPERLINK("https://lindat.mff.cuni.cz/services/teitok/pdtc10/index.php?action=vallex&amp;frame=v-w9378f6_ZU", "zdát se (v-w9378f6_ZU)")</f>
        <v>zdát se (v-w9378f6_ZU)</v>
      </c>
    </row>
    <row r="68906" customFormat="false" ht="12.8" hidden="false" customHeight="false" outlineLevel="0" collapsed="false">
      <c r="B68906" s="0" t="s">
        <v>23408</v>
      </c>
      <c r="C68906" s="0" t="s">
        <v>23409</v>
      </c>
      <c r="D68906" s="0" t="s">
        <v>451</v>
      </c>
      <c r="E68906" s="0" t="s">
        <v>451</v>
      </c>
      <c r="F68906" s="0" t="s">
        <v>451</v>
      </c>
    </row>
    <row r="68907" customFormat="false" ht="12.8" hidden="false" customHeight="false" outlineLevel="0" collapsed="false">
      <c r="B68907" s="0" t="s">
        <v>23410</v>
      </c>
      <c r="C68907" s="0" t="s">
        <v>23411</v>
      </c>
      <c r="D68907" s="0" t="s">
        <v>453</v>
      </c>
      <c r="E68907" s="0" t="s">
        <v>453</v>
      </c>
      <c r="F68907" s="0" t="s">
        <v>453</v>
      </c>
    </row>
    <row r="68908" customFormat="false" ht="12.8" hidden="false" customHeight="false" outlineLevel="0" collapsed="false">
      <c r="B68908" s="0" t="s">
        <v>23412</v>
      </c>
      <c r="C68908" s="0" t="s">
        <v>23413</v>
      </c>
      <c r="D68908" s="0" t="s">
        <v>455</v>
      </c>
      <c r="E68908" s="0" t="s">
        <v>455</v>
      </c>
      <c r="F68908" s="0" t="s">
        <v>455</v>
      </c>
    </row>
    <row r="68910" customFormat="false" ht="12.8" hidden="false" customHeight="false" outlineLevel="0" collapsed="false">
      <c r="A68910" s="0" t="s">
        <v>23407</v>
      </c>
      <c r="B68910" s="0" t="str">
        <f aca="false">HYPERLINK("https://lindat.mff.cuni.cz/services/teitok/pdtc10/index.php?action=vallex&amp;frame=v-w9378f2", "zdát se (v-w9378f2) - substituted with v-w9378f6_ZU")</f>
        <v>zdát se (v-w9378f2) - substituted with v-w9378f6_ZU</v>
      </c>
    </row>
    <row r="68911" customFormat="false" ht="12.8" hidden="false" customHeight="false" outlineLevel="0" collapsed="false">
      <c r="B68911" s="0" t="s">
        <v>23408</v>
      </c>
      <c r="C68911" s="0" t="s">
        <v>23414</v>
      </c>
    </row>
    <row r="68912" customFormat="false" ht="12.8" hidden="false" customHeight="false" outlineLevel="0" collapsed="false">
      <c r="B68912" s="0" t="s">
        <v>23410</v>
      </c>
      <c r="C68912" s="0" t="s">
        <v>7291</v>
      </c>
    </row>
    <row r="68913" customFormat="false" ht="12.8" hidden="false" customHeight="false" outlineLevel="0" collapsed="false">
      <c r="B68913" s="0" t="s">
        <v>23412</v>
      </c>
      <c r="C68913" s="0" t="s">
        <v>23415</v>
      </c>
    </row>
    <row r="68915" customFormat="false" ht="12.8" hidden="false" customHeight="false" outlineLevel="0" collapsed="false">
      <c r="A68915" s="0" t="s">
        <v>23416</v>
      </c>
      <c r="B68915" s="0" t="str">
        <f aca="false">HYPERLINK("https://lindat.mff.cuni.cz/services/teitok/pdtc10/index.php?action=vallex&amp;frame=v-w9378f3", "zdát se (v-w9378f3)")</f>
        <v>zdát se (v-w9378f3)</v>
      </c>
    </row>
    <row r="68916" customFormat="false" ht="12.8" hidden="false" customHeight="false" outlineLevel="0" collapsed="false">
      <c r="B68916" s="0" t="s">
        <v>603</v>
      </c>
      <c r="C68916" s="0" t="s">
        <v>23417</v>
      </c>
    </row>
    <row r="68917" customFormat="false" ht="12.8" hidden="false" customHeight="false" outlineLevel="0" collapsed="false">
      <c r="B68917" s="0" t="s">
        <v>13961</v>
      </c>
      <c r="C68917" s="0" t="s">
        <v>19973</v>
      </c>
    </row>
    <row r="68918" customFormat="false" ht="12.8" hidden="false" customHeight="false" outlineLevel="0" collapsed="false">
      <c r="B68918" s="0" t="s">
        <v>16036</v>
      </c>
      <c r="C68918" s="0" t="s">
        <v>20249</v>
      </c>
    </row>
    <row r="68920" customFormat="false" ht="12.8" hidden="false" customHeight="false" outlineLevel="0" collapsed="false">
      <c r="A68920" s="0" t="s">
        <v>23418</v>
      </c>
      <c r="B68920" s="0" t="str">
        <f aca="false">HYPERLINK("https://lindat.mff.cuni.cz/services/teitok/pdtc10/index.php?action=vallex&amp;frame=v-w9378f4", "zdát se (v-w9378f4)")</f>
        <v>zdát se (v-w9378f4)</v>
      </c>
    </row>
    <row r="68921" customFormat="false" ht="12.8" hidden="false" customHeight="false" outlineLevel="0" collapsed="false">
      <c r="B68921" s="0" t="s">
        <v>603</v>
      </c>
      <c r="C68921" s="0" t="s">
        <v>200</v>
      </c>
    </row>
    <row r="68922" customFormat="false" ht="12.8" hidden="false" customHeight="false" outlineLevel="0" collapsed="false">
      <c r="B68922" s="0" t="s">
        <v>5095</v>
      </c>
      <c r="C68922" s="0" t="s">
        <v>195</v>
      </c>
    </row>
    <row r="68924" customFormat="false" ht="12.8" hidden="false" customHeight="false" outlineLevel="0" collapsed="false">
      <c r="A68924" s="0" t="s">
        <v>23419</v>
      </c>
      <c r="B68924" s="0" t="str">
        <f aca="false">HYPERLINK("https://lindat.mff.cuni.cz/services/teitok/pdtc10/index.php?action=vallex&amp;frame=v-w9378f1", "zdát se (v-w9378f1)")</f>
        <v>zdát se (v-w9378f1)</v>
      </c>
    </row>
    <row r="68925" customFormat="false" ht="12.8" hidden="false" customHeight="false" outlineLevel="0" collapsed="false">
      <c r="B68925" s="0" t="s">
        <v>603</v>
      </c>
      <c r="C68925" s="0" t="s">
        <v>23420</v>
      </c>
      <c r="D68925" s="0" t="s">
        <v>13951</v>
      </c>
      <c r="E68925" s="0" t="s">
        <v>13951</v>
      </c>
      <c r="F68925" s="0" t="s">
        <v>13951</v>
      </c>
    </row>
    <row r="68926" customFormat="false" ht="12.8" hidden="false" customHeight="false" outlineLevel="0" collapsed="false">
      <c r="B68926" s="0" t="s">
        <v>4316</v>
      </c>
      <c r="C68926" s="0" t="s">
        <v>23421</v>
      </c>
      <c r="D68926" s="0" t="s">
        <v>1551</v>
      </c>
      <c r="E68926" s="0" t="s">
        <v>1551</v>
      </c>
      <c r="F68926" s="0" t="s">
        <v>1551</v>
      </c>
    </row>
    <row r="68928" customFormat="false" ht="12.8" hidden="false" customHeight="false" outlineLevel="0" collapsed="false">
      <c r="A68928" s="0" t="s">
        <v>23422</v>
      </c>
      <c r="B68928" s="0" t="str">
        <f aca="false">HYPERLINK("https://lindat.mff.cuni.cz/services/teitok/pdtc10/index.php?action=vallex&amp;frame=v-w9378f5", "zdát se (v-w9378f5)")</f>
        <v>zdát se (v-w9378f5)</v>
      </c>
    </row>
    <row r="68929" customFormat="false" ht="12.8" hidden="false" customHeight="false" outlineLevel="0" collapsed="false">
      <c r="B68929" s="0" t="s">
        <v>603</v>
      </c>
    </row>
    <row r="68930" customFormat="false" ht="12.8" hidden="false" customHeight="false" outlineLevel="0" collapsed="false">
      <c r="B68930" s="0" t="s">
        <v>23423</v>
      </c>
    </row>
    <row r="68932" customFormat="false" ht="12.8" hidden="false" customHeight="false" outlineLevel="0" collapsed="false">
      <c r="A68932" s="0" t="s">
        <v>23424</v>
      </c>
      <c r="B68932" s="0" t="str">
        <f aca="false">HYPERLINK("https://lindat.mff.cuni.cz/services/teitok/pdtc10/index.php?action=vallex&amp;frame=v-w12126_ZUf2_ZU", "zdít (v-w12126_ZUf2_ZU)")</f>
        <v>zdít (v-w12126_ZUf2_ZU)</v>
      </c>
    </row>
    <row r="68933" customFormat="false" ht="12.8" hidden="false" customHeight="false" outlineLevel="0" collapsed="false">
      <c r="B68933" s="0" t="s">
        <v>7</v>
      </c>
    </row>
    <row r="68934" customFormat="false" ht="12.8" hidden="false" customHeight="false" outlineLevel="0" collapsed="false">
      <c r="B68934" s="0" t="s">
        <v>14</v>
      </c>
    </row>
    <row r="68935" customFormat="false" ht="12.8" hidden="false" customHeight="false" outlineLevel="0" collapsed="false">
      <c r="B68935" s="0" t="s">
        <v>35</v>
      </c>
    </row>
    <row r="68937" customFormat="false" ht="12.8" hidden="false" customHeight="false" outlineLevel="0" collapsed="false">
      <c r="A68937" s="0" t="s">
        <v>23424</v>
      </c>
      <c r="B68937" s="0" t="str">
        <f aca="false">HYPERLINK("https://lindat.mff.cuni.cz/services/teitok/pdtc10/index.php?action=vallex&amp;frame=v-w12126_ZUf1_ZU", "zdít (v-w12126_ZUf1_ZU) - substituted with v-w12126_ZUf2_ZU")</f>
        <v>zdít (v-w12126_ZUf1_ZU) - substituted with v-w12126_ZUf2_ZU</v>
      </c>
    </row>
    <row r="68938" customFormat="false" ht="12.8" hidden="false" customHeight="false" outlineLevel="0" collapsed="false">
      <c r="B68938" s="0" t="s">
        <v>7</v>
      </c>
    </row>
    <row r="68939" customFormat="false" ht="12.8" hidden="false" customHeight="false" outlineLevel="0" collapsed="false">
      <c r="B68939" s="0" t="s">
        <v>14</v>
      </c>
    </row>
    <row r="68940" customFormat="false" ht="12.8" hidden="false" customHeight="false" outlineLevel="0" collapsed="false">
      <c r="B68940" s="0" t="s">
        <v>35</v>
      </c>
    </row>
    <row r="68942" customFormat="false" ht="12.8" hidden="false" customHeight="false" outlineLevel="0" collapsed="false">
      <c r="A68942" s="0" t="s">
        <v>23425</v>
      </c>
      <c r="B68942" s="0" t="str">
        <f aca="false">HYPERLINK("https://lindat.mff.cuni.cz/services/teitok/pdtc10/index.php?action=vallex&amp;frame=v-w9380hsa_403", "zdědit (v-w9380hsa_403)")</f>
        <v>zdědit (v-w9380hsa_403)</v>
      </c>
    </row>
    <row r="68943" customFormat="false" ht="12.8" hidden="false" customHeight="false" outlineLevel="0" collapsed="false">
      <c r="B68943" s="0" t="s">
        <v>7</v>
      </c>
      <c r="C68943" s="0" t="s">
        <v>623</v>
      </c>
      <c r="D68943" s="0" t="s">
        <v>623</v>
      </c>
      <c r="E68943" s="0" t="s">
        <v>623</v>
      </c>
      <c r="F68943" s="0" t="s">
        <v>623</v>
      </c>
    </row>
    <row r="68944" customFormat="false" ht="12.8" hidden="false" customHeight="false" outlineLevel="0" collapsed="false">
      <c r="B68944" s="0" t="s">
        <v>14</v>
      </c>
      <c r="C68944" s="0" t="s">
        <v>74</v>
      </c>
      <c r="D68944" s="0" t="s">
        <v>74</v>
      </c>
      <c r="E68944" s="0" t="s">
        <v>74</v>
      </c>
      <c r="F68944" s="0" t="s">
        <v>74</v>
      </c>
    </row>
    <row r="68945" customFormat="false" ht="12.8" hidden="false" customHeight="false" outlineLevel="0" collapsed="false">
      <c r="B68945" s="0" t="s">
        <v>441</v>
      </c>
    </row>
    <row r="68947" customFormat="false" ht="12.8" hidden="false" customHeight="false" outlineLevel="0" collapsed="false">
      <c r="A68947" s="0" t="s">
        <v>23425</v>
      </c>
      <c r="B68947" s="0" t="str">
        <f aca="false">HYPERLINK("https://lindat.mff.cuni.cz/services/teitok/pdtc10/index.php?action=vallex&amp;frame=v-w9380f1", "zdědit (v-w9380f1) - substituted with v-w9380hsa_403")</f>
        <v>zdědit (v-w9380f1) - substituted with v-w9380hsa_403</v>
      </c>
    </row>
    <row r="68948" customFormat="false" ht="12.8" hidden="false" customHeight="false" outlineLevel="0" collapsed="false">
      <c r="B68948" s="0" t="s">
        <v>7</v>
      </c>
      <c r="C68948" s="0" t="s">
        <v>623</v>
      </c>
    </row>
    <row r="68949" customFormat="false" ht="12.8" hidden="false" customHeight="false" outlineLevel="0" collapsed="false">
      <c r="B68949" s="0" t="s">
        <v>14</v>
      </c>
      <c r="C68949" s="0" t="s">
        <v>74</v>
      </c>
    </row>
    <row r="68950" customFormat="false" ht="12.8" hidden="false" customHeight="false" outlineLevel="0" collapsed="false">
      <c r="B68950" s="0" t="s">
        <v>441</v>
      </c>
    </row>
    <row r="68952" customFormat="false" ht="12.8" hidden="false" customHeight="false" outlineLevel="0" collapsed="false">
      <c r="A68952" s="0" t="s">
        <v>23426</v>
      </c>
      <c r="B68952" s="0" t="str">
        <f aca="false">HYPERLINK("https://lindat.mff.cuni.cz/services/teitok/pdtc10/index.php?action=vallex&amp;frame=v-w11093f3", "zděsit (v-w11093f3)")</f>
        <v>zděsit (v-w11093f3)</v>
      </c>
    </row>
    <row r="68953" customFormat="false" ht="12.8" hidden="false" customHeight="false" outlineLevel="0" collapsed="false">
      <c r="B68953" s="0" t="s">
        <v>7</v>
      </c>
      <c r="C68953" s="0" t="s">
        <v>46</v>
      </c>
      <c r="D68953" s="0" t="s">
        <v>3576</v>
      </c>
      <c r="E68953" s="0" t="s">
        <v>3576</v>
      </c>
      <c r="F68953" s="0" t="s">
        <v>3576</v>
      </c>
    </row>
    <row r="68954" customFormat="false" ht="12.8" hidden="false" customHeight="false" outlineLevel="0" collapsed="false">
      <c r="B68954" s="0" t="s">
        <v>14</v>
      </c>
      <c r="C68954" s="0" t="s">
        <v>47</v>
      </c>
      <c r="D68954" s="0" t="s">
        <v>2641</v>
      </c>
      <c r="E68954" s="0" t="s">
        <v>2641</v>
      </c>
      <c r="F68954" s="0" t="s">
        <v>2641</v>
      </c>
    </row>
    <row r="68956" customFormat="false" ht="12.8" hidden="false" customHeight="false" outlineLevel="0" collapsed="false">
      <c r="A68956" s="0" t="s">
        <v>23427</v>
      </c>
      <c r="B68956" s="0" t="str">
        <f aca="false">HYPERLINK("https://lindat.mff.cuni.cz/services/teitok/pdtc10/index.php?action=vallex&amp;frame=v-w11459f1", "zděsit se (v-w11459f1)")</f>
        <v>zděsit se (v-w11459f1)</v>
      </c>
    </row>
    <row r="68957" customFormat="false" ht="12.8" hidden="false" customHeight="false" outlineLevel="0" collapsed="false">
      <c r="B68957" s="0" t="s">
        <v>7</v>
      </c>
      <c r="D68957" s="0" t="s">
        <v>23428</v>
      </c>
      <c r="E68957" s="0" t="s">
        <v>23428</v>
      </c>
      <c r="F68957" s="0" t="s">
        <v>23428</v>
      </c>
    </row>
    <row r="68959" customFormat="false" ht="12.8" hidden="false" customHeight="false" outlineLevel="0" collapsed="false">
      <c r="A68959" s="0" t="s">
        <v>23429</v>
      </c>
      <c r="B68959" s="0" t="str">
        <f aca="false">HYPERLINK("https://lindat.mff.cuni.cz/services/teitok/pdtc10/index.php?action=vallex&amp;frame=v-whsa_922hsa_923", "zdřímnout si (v-whsa_922hsa_923)")</f>
        <v>zdřímnout si (v-whsa_922hsa_923)</v>
      </c>
    </row>
    <row r="68960" customFormat="false" ht="12.8" hidden="false" customHeight="false" outlineLevel="0" collapsed="false">
      <c r="B68960" s="0" t="s">
        <v>7</v>
      </c>
    </row>
    <row r="68962" customFormat="false" ht="12.8" hidden="false" customHeight="false" outlineLevel="0" collapsed="false">
      <c r="A68962" s="0" t="s">
        <v>23430</v>
      </c>
      <c r="B68962" s="0" t="str">
        <f aca="false">HYPERLINK("https://lindat.mff.cuni.cz/services/teitok/pdtc10/index.php?action=vallex&amp;frame=v-w9413f1", "zdůraznit (v-w9413f1)")</f>
        <v>zdůraznit (v-w9413f1)</v>
      </c>
    </row>
    <row r="68963" customFormat="false" ht="12.8" hidden="false" customHeight="false" outlineLevel="0" collapsed="false">
      <c r="B68963" s="0" t="s">
        <v>7</v>
      </c>
      <c r="C68963" s="0" t="s">
        <v>315</v>
      </c>
      <c r="D68963" s="0" t="s">
        <v>4677</v>
      </c>
      <c r="E68963" s="0" t="s">
        <v>4677</v>
      </c>
      <c r="F68963" s="0" t="s">
        <v>4677</v>
      </c>
    </row>
    <row r="68964" customFormat="false" ht="12.8" hidden="false" customHeight="false" outlineLevel="0" collapsed="false">
      <c r="B68964" s="0" t="s">
        <v>23431</v>
      </c>
      <c r="C68964" s="0" t="s">
        <v>3965</v>
      </c>
      <c r="D68964" s="0" t="s">
        <v>10088</v>
      </c>
      <c r="E68964" s="0" t="s">
        <v>10088</v>
      </c>
      <c r="F68964" s="0" t="s">
        <v>10088</v>
      </c>
    </row>
    <row r="68965" customFormat="false" ht="12.8" hidden="false" customHeight="false" outlineLevel="0" collapsed="false">
      <c r="B68965" s="0" t="s">
        <v>106</v>
      </c>
    </row>
    <row r="68967" customFormat="false" ht="12.8" hidden="false" customHeight="false" outlineLevel="0" collapsed="false">
      <c r="A68967" s="0" t="s">
        <v>23432</v>
      </c>
      <c r="B68967" s="0" t="str">
        <f aca="false">HYPERLINK("https://lindat.mff.cuni.cz/services/teitok/pdtc10/index.php?action=vallex&amp;frame=v-w9413f2", "zdůraznit (v-w9413f2)")</f>
        <v>zdůraznit (v-w9413f2)</v>
      </c>
    </row>
    <row r="68968" customFormat="false" ht="12.8" hidden="false" customHeight="false" outlineLevel="0" collapsed="false">
      <c r="B68968" s="0" t="s">
        <v>7</v>
      </c>
      <c r="C68968" s="0" t="s">
        <v>3410</v>
      </c>
    </row>
    <row r="68969" customFormat="false" ht="12.8" hidden="false" customHeight="false" outlineLevel="0" collapsed="false">
      <c r="B68969" s="0" t="s">
        <v>14</v>
      </c>
      <c r="C68969" s="0" t="s">
        <v>1720</v>
      </c>
    </row>
    <row r="68971" customFormat="false" ht="12.8" hidden="false" customHeight="false" outlineLevel="0" collapsed="false">
      <c r="A68971" s="0" t="s">
        <v>23433</v>
      </c>
      <c r="B68971" s="0" t="str">
        <f aca="false">HYPERLINK("https://lindat.mff.cuni.cz/services/teitok/pdtc10/index.php?action=vallex&amp;frame=v-w9415f1", "zdůrazňovat (v-w9415f1)")</f>
        <v>zdůrazňovat (v-w9415f1)</v>
      </c>
    </row>
    <row r="68972" customFormat="false" ht="12.8" hidden="false" customHeight="false" outlineLevel="0" collapsed="false">
      <c r="B68972" s="0" t="s">
        <v>7</v>
      </c>
      <c r="C68972" s="0" t="s">
        <v>2051</v>
      </c>
      <c r="D68972" s="0" t="s">
        <v>4677</v>
      </c>
      <c r="E68972" s="0" t="s">
        <v>4677</v>
      </c>
      <c r="F68972" s="0" t="s">
        <v>4677</v>
      </c>
    </row>
    <row r="68973" customFormat="false" ht="12.8" hidden="false" customHeight="false" outlineLevel="0" collapsed="false">
      <c r="B68973" s="0" t="s">
        <v>23434</v>
      </c>
      <c r="C68973" s="0" t="s">
        <v>13547</v>
      </c>
      <c r="D68973" s="0" t="s">
        <v>10088</v>
      </c>
      <c r="E68973" s="0" t="s">
        <v>10088</v>
      </c>
      <c r="F68973" s="0" t="s">
        <v>10088</v>
      </c>
    </row>
    <row r="68974" customFormat="false" ht="12.8" hidden="false" customHeight="false" outlineLevel="0" collapsed="false">
      <c r="B68974" s="0" t="s">
        <v>106</v>
      </c>
      <c r="C68974" s="0" t="s">
        <v>5001</v>
      </c>
    </row>
    <row r="68976" customFormat="false" ht="12.8" hidden="false" customHeight="false" outlineLevel="0" collapsed="false">
      <c r="A68976" s="0" t="s">
        <v>23435</v>
      </c>
      <c r="B68976" s="0" t="str">
        <f aca="false">HYPERLINK("https://lindat.mff.cuni.cz/services/teitok/pdtc10/index.php?action=vallex&amp;frame=v-w9415f2", "zdůrazňovat (v-w9415f2)")</f>
        <v>zdůrazňovat (v-w9415f2)</v>
      </c>
    </row>
    <row r="68977" customFormat="false" ht="12.8" hidden="false" customHeight="false" outlineLevel="0" collapsed="false">
      <c r="B68977" s="0" t="s">
        <v>7</v>
      </c>
      <c r="C68977" s="0" t="s">
        <v>56</v>
      </c>
    </row>
    <row r="68978" customFormat="false" ht="12.8" hidden="false" customHeight="false" outlineLevel="0" collapsed="false">
      <c r="B68978" s="0" t="s">
        <v>14</v>
      </c>
      <c r="C68978" s="0" t="s">
        <v>6496</v>
      </c>
    </row>
    <row r="68980" customFormat="false" ht="12.8" hidden="false" customHeight="false" outlineLevel="0" collapsed="false">
      <c r="A68980" s="0" t="s">
        <v>23436</v>
      </c>
      <c r="B68980" s="0" t="str">
        <f aca="false">HYPERLINK("https://lindat.mff.cuni.cz/services/teitok/pdtc10/index.php?action=vallex&amp;frame=v-w9418f1", "zdůvodnit (v-w9418f1)")</f>
        <v>zdůvodnit (v-w9418f1)</v>
      </c>
    </row>
    <row r="68981" customFormat="false" ht="12.8" hidden="false" customHeight="false" outlineLevel="0" collapsed="false">
      <c r="B68981" s="0" t="s">
        <v>7</v>
      </c>
      <c r="C68981" s="0" t="s">
        <v>149</v>
      </c>
      <c r="D68981" s="0" t="s">
        <v>133</v>
      </c>
      <c r="E68981" s="0" t="s">
        <v>133</v>
      </c>
      <c r="F68981" s="0" t="s">
        <v>133</v>
      </c>
    </row>
    <row r="68982" customFormat="false" ht="12.8" hidden="false" customHeight="false" outlineLevel="0" collapsed="false">
      <c r="B68982" s="0" t="s">
        <v>17542</v>
      </c>
      <c r="C68982" s="0" t="s">
        <v>466</v>
      </c>
      <c r="D68982" s="0" t="s">
        <v>136</v>
      </c>
      <c r="E68982" s="0" t="s">
        <v>136</v>
      </c>
      <c r="F68982" s="0" t="s">
        <v>136</v>
      </c>
    </row>
    <row r="68984" customFormat="false" ht="12.8" hidden="false" customHeight="false" outlineLevel="0" collapsed="false">
      <c r="A68984" s="0" t="s">
        <v>23437</v>
      </c>
      <c r="B68984" s="0" t="str">
        <f aca="false">HYPERLINK("https://lindat.mff.cuni.cz/services/teitok/pdtc10/index.php?action=vallex&amp;frame=v-w9420f1", "zdůvodňovat (v-w9420f1)")</f>
        <v>zdůvodňovat (v-w9420f1)</v>
      </c>
    </row>
    <row r="68985" customFormat="false" ht="12.8" hidden="false" customHeight="false" outlineLevel="0" collapsed="false">
      <c r="B68985" s="0" t="s">
        <v>7</v>
      </c>
      <c r="C68985" s="0" t="s">
        <v>113</v>
      </c>
      <c r="D68985" s="0" t="s">
        <v>133</v>
      </c>
      <c r="E68985" s="0" t="s">
        <v>133</v>
      </c>
      <c r="F68985" s="0" t="s">
        <v>133</v>
      </c>
    </row>
    <row r="68986" customFormat="false" ht="12.8" hidden="false" customHeight="false" outlineLevel="0" collapsed="false">
      <c r="B68986" s="0" t="s">
        <v>172</v>
      </c>
      <c r="C68986" s="0" t="s">
        <v>1170</v>
      </c>
      <c r="D68986" s="0" t="s">
        <v>136</v>
      </c>
      <c r="E68986" s="0" t="s">
        <v>136</v>
      </c>
      <c r="F68986" s="0" t="s">
        <v>136</v>
      </c>
    </row>
    <row r="68988" customFormat="false" ht="12.8" hidden="false" customHeight="false" outlineLevel="0" collapsed="false">
      <c r="A68988" s="0" t="s">
        <v>23438</v>
      </c>
      <c r="B68988" s="0" t="str">
        <f aca="false">HYPERLINK("https://lindat.mff.cuni.cz/services/teitok/pdtc10/index.php?action=vallex&amp;frame=v-whsa_787hsa_788", "zedničit (v-whsa_787hsa_788)")</f>
        <v>zedničit (v-whsa_787hsa_788)</v>
      </c>
    </row>
    <row r="68989" customFormat="false" ht="12.8" hidden="false" customHeight="false" outlineLevel="0" collapsed="false">
      <c r="B68989" s="0" t="s">
        <v>7</v>
      </c>
    </row>
    <row r="68990" customFormat="false" ht="12.8" hidden="false" customHeight="false" outlineLevel="0" collapsed="false">
      <c r="B68990" s="0" t="s">
        <v>14</v>
      </c>
    </row>
    <row r="68992" customFormat="false" ht="12.8" hidden="false" customHeight="false" outlineLevel="0" collapsed="false">
      <c r="A68992" s="0" t="s">
        <v>23439</v>
      </c>
      <c r="B68992" s="0" t="str">
        <f aca="false">HYPERLINK("https://lindat.mff.cuni.cz/services/teitok/pdtc10/index.php?action=vallex&amp;frame=v-w11083f2", "zefektivnit (v-w11083f2)")</f>
        <v>zefektivnit (v-w11083f2)</v>
      </c>
    </row>
    <row r="68993" customFormat="false" ht="12.8" hidden="false" customHeight="false" outlineLevel="0" collapsed="false">
      <c r="B68993" s="0" t="s">
        <v>7</v>
      </c>
    </row>
    <row r="68994" customFormat="false" ht="12.8" hidden="false" customHeight="false" outlineLevel="0" collapsed="false">
      <c r="B68994" s="0" t="s">
        <v>14</v>
      </c>
    </row>
    <row r="68996" customFormat="false" ht="12.8" hidden="false" customHeight="false" outlineLevel="0" collapsed="false">
      <c r="A68996" s="0" t="s">
        <v>23440</v>
      </c>
      <c r="B68996" s="0" t="str">
        <f aca="false">HYPERLINK("https://lindat.mff.cuni.cz/services/teitok/pdtc10/index.php?action=vallex&amp;frame=v-w9428f1", "zefektivňovat (v-w9428f1)")</f>
        <v>zefektivňovat (v-w9428f1)</v>
      </c>
    </row>
    <row r="68997" customFormat="false" ht="12.8" hidden="false" customHeight="false" outlineLevel="0" collapsed="false">
      <c r="B68997" s="0" t="s">
        <v>7</v>
      </c>
    </row>
    <row r="68998" customFormat="false" ht="12.8" hidden="false" customHeight="false" outlineLevel="0" collapsed="false">
      <c r="B68998" s="0" t="s">
        <v>14</v>
      </c>
    </row>
    <row r="69000" customFormat="false" ht="12.8" hidden="false" customHeight="false" outlineLevel="0" collapsed="false">
      <c r="A69000" s="0" t="s">
        <v>23441</v>
      </c>
      <c r="B69000" s="0" t="str">
        <f aca="false">HYPERLINK("https://lindat.mff.cuni.cz/services/teitok/pdtc10/index.php?action=vallex&amp;frame=v-w9429f1", "zelenat se (v-w9429f1)")</f>
        <v>zelenat se (v-w9429f1)</v>
      </c>
    </row>
    <row r="69001" customFormat="false" ht="12.8" hidden="false" customHeight="false" outlineLevel="0" collapsed="false">
      <c r="B69001" s="0" t="s">
        <v>7</v>
      </c>
    </row>
    <row r="69003" customFormat="false" ht="12.8" hidden="false" customHeight="false" outlineLevel="0" collapsed="false">
      <c r="A69003" s="0" t="s">
        <v>23442</v>
      </c>
      <c r="B69003" s="0" t="str">
        <f aca="false">HYPERLINK("https://lindat.mff.cuni.cz/services/teitok/pdtc10/index.php?action=vallex&amp;frame=v-w9429f2", "zelenat se (v-w9429f2)")</f>
        <v>zelenat se (v-w9429f2)</v>
      </c>
    </row>
    <row r="69004" customFormat="false" ht="12.8" hidden="false" customHeight="false" outlineLevel="0" collapsed="false">
      <c r="B69004" s="0" t="s">
        <v>7</v>
      </c>
    </row>
    <row r="69006" customFormat="false" ht="12.8" hidden="false" customHeight="false" outlineLevel="0" collapsed="false">
      <c r="A69006" s="0" t="s">
        <v>23443</v>
      </c>
      <c r="B69006" s="0" t="str">
        <f aca="false">HYPERLINK("https://lindat.mff.cuni.cz/services/teitok/pdtc10/index.php?action=vallex&amp;frame=v-w12223_ZUf1_ZU", "zemdlévat (v-w12223_ZUf1_ZU)")</f>
        <v>zemdlévat (v-w12223_ZUf1_ZU)</v>
      </c>
    </row>
    <row r="69007" customFormat="false" ht="12.8" hidden="false" customHeight="false" outlineLevel="0" collapsed="false">
      <c r="B69007" s="0" t="s">
        <v>7</v>
      </c>
    </row>
    <row r="69009" customFormat="false" ht="12.8" hidden="false" customHeight="false" outlineLevel="0" collapsed="false">
      <c r="A69009" s="0" t="s">
        <v>23444</v>
      </c>
      <c r="B69009" s="0" t="str">
        <f aca="false">HYPERLINK("https://lindat.mff.cuni.cz/services/teitok/pdtc10/index.php?action=vallex&amp;frame=v-w9430f1", "zemřít (v-w9430f1)")</f>
        <v>zemřít (v-w9430f1)</v>
      </c>
    </row>
    <row r="69010" customFormat="false" ht="12.8" hidden="false" customHeight="false" outlineLevel="0" collapsed="false">
      <c r="B69010" s="0" t="s">
        <v>7</v>
      </c>
      <c r="C69010" s="0" t="s">
        <v>23445</v>
      </c>
      <c r="D69010" s="0" t="s">
        <v>8602</v>
      </c>
      <c r="E69010" s="0" t="s">
        <v>8602</v>
      </c>
      <c r="F69010" s="0" t="s">
        <v>8602</v>
      </c>
    </row>
    <row r="69012" customFormat="false" ht="12.8" hidden="false" customHeight="false" outlineLevel="0" collapsed="false">
      <c r="A69012" s="0" t="s">
        <v>23446</v>
      </c>
      <c r="B69012" s="0" t="str">
        <f aca="false">HYPERLINK("https://lindat.mff.cuni.cz/services/teitok/pdtc10/index.php?action=vallex&amp;frame=v-w9431f1", "zepsout (v-w9431f1)")</f>
        <v>zepsout (v-w9431f1)</v>
      </c>
    </row>
    <row r="69013" customFormat="false" ht="12.8" hidden="false" customHeight="false" outlineLevel="0" collapsed="false">
      <c r="B69013" s="0" t="s">
        <v>7</v>
      </c>
    </row>
    <row r="69014" customFormat="false" ht="12.8" hidden="false" customHeight="false" outlineLevel="0" collapsed="false">
      <c r="B69014" s="0" t="s">
        <v>14</v>
      </c>
    </row>
    <row r="69016" customFormat="false" ht="12.8" hidden="false" customHeight="false" outlineLevel="0" collapsed="false">
      <c r="A69016" s="0" t="s">
        <v>23447</v>
      </c>
      <c r="B69016" s="0" t="str">
        <f aca="false">HYPERLINK("https://lindat.mff.cuni.cz/services/teitok/pdtc10/index.php?action=vallex&amp;frame=v-w9432f1", "zeptat se (v-w9432f1)")</f>
        <v>zeptat se (v-w9432f1)</v>
      </c>
    </row>
    <row r="69017" customFormat="false" ht="12.8" hidden="false" customHeight="false" outlineLevel="0" collapsed="false">
      <c r="B69017" s="0" t="s">
        <v>7</v>
      </c>
      <c r="C69017" s="0" t="s">
        <v>23448</v>
      </c>
      <c r="D69017" s="0" t="s">
        <v>2534</v>
      </c>
      <c r="E69017" s="0" t="s">
        <v>2534</v>
      </c>
      <c r="F69017" s="0" t="s">
        <v>2534</v>
      </c>
    </row>
    <row r="69018" customFormat="false" ht="12.8" hidden="false" customHeight="false" outlineLevel="0" collapsed="false">
      <c r="B69018" s="0" t="s">
        <v>9024</v>
      </c>
      <c r="C69018" s="0" t="s">
        <v>10904</v>
      </c>
      <c r="D69018" s="0" t="s">
        <v>2537</v>
      </c>
      <c r="E69018" s="0" t="s">
        <v>2537</v>
      </c>
      <c r="F69018" s="0" t="s">
        <v>2537</v>
      </c>
    </row>
    <row r="69019" customFormat="false" ht="12.8" hidden="false" customHeight="false" outlineLevel="0" collapsed="false">
      <c r="B69019" s="0" t="s">
        <v>2538</v>
      </c>
      <c r="C69019" s="0" t="s">
        <v>23449</v>
      </c>
      <c r="D69019" s="0" t="s">
        <v>2540</v>
      </c>
      <c r="E69019" s="0" t="s">
        <v>2540</v>
      </c>
      <c r="F69019" s="0" t="s">
        <v>2540</v>
      </c>
    </row>
    <row r="69021" customFormat="false" ht="12.8" hidden="false" customHeight="false" outlineLevel="0" collapsed="false">
      <c r="A69021" s="0" t="s">
        <v>23450</v>
      </c>
      <c r="B69021" s="0" t="str">
        <f aca="false">HYPERLINK("https://lindat.mff.cuni.cz/services/teitok/pdtc10/index.php?action=vallex&amp;frame=v-w11264f1", "zesilovat (v-w11264f1)")</f>
        <v>zesilovat (v-w11264f1)</v>
      </c>
    </row>
    <row r="69022" customFormat="false" ht="12.8" hidden="false" customHeight="false" outlineLevel="0" collapsed="false">
      <c r="B69022" s="0" t="s">
        <v>7</v>
      </c>
    </row>
    <row r="69023" customFormat="false" ht="12.8" hidden="false" customHeight="false" outlineLevel="0" collapsed="false">
      <c r="B69023" s="0" t="s">
        <v>63</v>
      </c>
    </row>
    <row r="69024" customFormat="false" ht="12.8" hidden="false" customHeight="false" outlineLevel="0" collapsed="false">
      <c r="B69024" s="0" t="s">
        <v>35</v>
      </c>
    </row>
    <row r="69026" customFormat="false" ht="12.8" hidden="false" customHeight="false" outlineLevel="0" collapsed="false">
      <c r="A69026" s="0" t="s">
        <v>23451</v>
      </c>
      <c r="B69026" s="0" t="str">
        <f aca="false">HYPERLINK("https://lindat.mff.cuni.cz/services/teitok/pdtc10/index.php?action=vallex&amp;frame=v-w11264f2", "zesilovat (v-w11264f2)")</f>
        <v>zesilovat (v-w11264f2)</v>
      </c>
    </row>
    <row r="69027" customFormat="false" ht="12.8" hidden="false" customHeight="false" outlineLevel="0" collapsed="false">
      <c r="B69027" s="0" t="s">
        <v>7</v>
      </c>
      <c r="C69027" s="0" t="s">
        <v>6910</v>
      </c>
    </row>
    <row r="69029" customFormat="false" ht="12.8" hidden="false" customHeight="false" outlineLevel="0" collapsed="false">
      <c r="A69029" s="0" t="s">
        <v>23452</v>
      </c>
      <c r="B69029" s="0" t="str">
        <f aca="false">HYPERLINK("https://lindat.mff.cuni.cz/services/teitok/pdtc10/index.php?action=vallex&amp;frame=v-w11264f4_ZU", "zesilovat (v-w11264f4_ZU)")</f>
        <v>zesilovat (v-w11264f4_ZU)</v>
      </c>
    </row>
    <row r="69030" customFormat="false" ht="12.8" hidden="false" customHeight="false" outlineLevel="0" collapsed="false">
      <c r="B69030" s="0" t="s">
        <v>7</v>
      </c>
      <c r="C69030" s="0" t="s">
        <v>191</v>
      </c>
    </row>
    <row r="69031" customFormat="false" ht="12.8" hidden="false" customHeight="false" outlineLevel="0" collapsed="false">
      <c r="B69031" s="0" t="s">
        <v>14</v>
      </c>
      <c r="C69031" s="0" t="s">
        <v>47</v>
      </c>
    </row>
    <row r="69032" customFormat="false" ht="12.8" hidden="false" customHeight="false" outlineLevel="0" collapsed="false">
      <c r="B69032" s="0" t="s">
        <v>35</v>
      </c>
    </row>
    <row r="69033" customFormat="false" ht="12.8" hidden="false" customHeight="false" outlineLevel="0" collapsed="false">
      <c r="B69033" s="0" t="s">
        <v>84</v>
      </c>
    </row>
    <row r="69035" customFormat="false" ht="12.8" hidden="false" customHeight="false" outlineLevel="0" collapsed="false">
      <c r="A69035" s="0" t="s">
        <v>23452</v>
      </c>
      <c r="B69035" s="0" t="str">
        <f aca="false">HYPERLINK("https://lindat.mff.cuni.cz/services/teitok/pdtc10/index.php?action=vallex&amp;frame=v-w11264f3_ZU", "zesilovat (v-w11264f3_ZU) - substituted with v-w11264f4_ZU")</f>
        <v>zesilovat (v-w11264f3_ZU) - substituted with v-w11264f4_ZU</v>
      </c>
    </row>
    <row r="69036" customFormat="false" ht="12.8" hidden="false" customHeight="false" outlineLevel="0" collapsed="false">
      <c r="B69036" s="0" t="s">
        <v>7</v>
      </c>
    </row>
    <row r="69037" customFormat="false" ht="12.8" hidden="false" customHeight="false" outlineLevel="0" collapsed="false">
      <c r="B69037" s="0" t="s">
        <v>14</v>
      </c>
    </row>
    <row r="69038" customFormat="false" ht="12.8" hidden="false" customHeight="false" outlineLevel="0" collapsed="false">
      <c r="B69038" s="0" t="s">
        <v>35</v>
      </c>
    </row>
    <row r="69039" customFormat="false" ht="12.8" hidden="false" customHeight="false" outlineLevel="0" collapsed="false">
      <c r="B69039" s="0" t="s">
        <v>84</v>
      </c>
    </row>
    <row r="69041" customFormat="false" ht="12.8" hidden="false" customHeight="false" outlineLevel="0" collapsed="false">
      <c r="A69041" s="0" t="s">
        <v>23452</v>
      </c>
      <c r="B69041" s="0" t="str">
        <f aca="false">HYPERLINK("https://lindat.mff.cuni.cz/services/teitok/pdtc10/index.php?action=vallex&amp;frame=v-w11264hsa_1323", "zesilovat (v-w11264hsa_1323) - substituted with v-w11264f4_ZU")</f>
        <v>zesilovat (v-w11264hsa_1323) - substituted with v-w11264f4_ZU</v>
      </c>
    </row>
    <row r="69042" customFormat="false" ht="12.8" hidden="false" customHeight="false" outlineLevel="0" collapsed="false">
      <c r="B69042" s="0" t="s">
        <v>7</v>
      </c>
    </row>
    <row r="69043" customFormat="false" ht="12.8" hidden="false" customHeight="false" outlineLevel="0" collapsed="false">
      <c r="B69043" s="0" t="s">
        <v>14</v>
      </c>
    </row>
    <row r="69044" customFormat="false" ht="12.8" hidden="false" customHeight="false" outlineLevel="0" collapsed="false">
      <c r="B69044" s="0" t="s">
        <v>35</v>
      </c>
    </row>
    <row r="69045" customFormat="false" ht="12.8" hidden="false" customHeight="false" outlineLevel="0" collapsed="false">
      <c r="B69045" s="0" t="s">
        <v>84</v>
      </c>
    </row>
    <row r="69047" customFormat="false" ht="12.8" hidden="false" customHeight="false" outlineLevel="0" collapsed="false">
      <c r="A69047" s="0" t="s">
        <v>23453</v>
      </c>
      <c r="B69047" s="0" t="str">
        <f aca="false">HYPERLINK("https://lindat.mff.cuni.cz/services/teitok/pdtc10/index.php?action=vallex&amp;frame=v-w9436f1", "zesilovat se (v-w9436f1)")</f>
        <v>zesilovat se (v-w9436f1)</v>
      </c>
    </row>
    <row r="69048" customFormat="false" ht="12.8" hidden="false" customHeight="false" outlineLevel="0" collapsed="false">
      <c r="B69048" s="0" t="s">
        <v>7</v>
      </c>
    </row>
    <row r="69049" customFormat="false" ht="12.8" hidden="false" customHeight="false" outlineLevel="0" collapsed="false">
      <c r="B69049" s="0" t="s">
        <v>63</v>
      </c>
    </row>
    <row r="69050" customFormat="false" ht="12.8" hidden="false" customHeight="false" outlineLevel="0" collapsed="false">
      <c r="B69050" s="0" t="s">
        <v>35</v>
      </c>
    </row>
    <row r="69052" customFormat="false" ht="12.8" hidden="false" customHeight="false" outlineLevel="0" collapsed="false">
      <c r="A69052" s="0" t="s">
        <v>23454</v>
      </c>
      <c r="B69052" s="0" t="str">
        <f aca="false">HYPERLINK("https://lindat.mff.cuni.cz/services/teitok/pdtc10/index.php?action=vallex&amp;frame=v-whsa_1206f1_ZU", "zeslabit (v-whsa_1206f1_ZU)")</f>
        <v>zeslabit (v-whsa_1206f1_ZU)</v>
      </c>
    </row>
    <row r="69053" customFormat="false" ht="12.8" hidden="false" customHeight="false" outlineLevel="0" collapsed="false">
      <c r="B69053" s="0" t="s">
        <v>7</v>
      </c>
      <c r="C69053" s="0" t="s">
        <v>191</v>
      </c>
      <c r="D69053" s="0" t="s">
        <v>23455</v>
      </c>
      <c r="E69053" s="0" t="s">
        <v>23455</v>
      </c>
      <c r="F69053" s="0" t="s">
        <v>23455</v>
      </c>
    </row>
    <row r="69054" customFormat="false" ht="12.8" hidden="false" customHeight="false" outlineLevel="0" collapsed="false">
      <c r="B69054" s="0" t="s">
        <v>14</v>
      </c>
      <c r="C69054" s="0" t="s">
        <v>155</v>
      </c>
      <c r="D69054" s="0" t="s">
        <v>23456</v>
      </c>
      <c r="E69054" s="0" t="s">
        <v>23456</v>
      </c>
      <c r="F69054" s="0" t="s">
        <v>23456</v>
      </c>
    </row>
    <row r="69055" customFormat="false" ht="12.8" hidden="false" customHeight="false" outlineLevel="0" collapsed="false">
      <c r="B69055" s="0" t="s">
        <v>35</v>
      </c>
      <c r="D69055" s="0" t="s">
        <v>23457</v>
      </c>
      <c r="E69055" s="0" t="s">
        <v>23457</v>
      </c>
      <c r="F69055" s="0" t="s">
        <v>23457</v>
      </c>
    </row>
    <row r="69056" customFormat="false" ht="12.8" hidden="false" customHeight="false" outlineLevel="0" collapsed="false">
      <c r="B69056" s="0" t="s">
        <v>84</v>
      </c>
      <c r="D69056" s="0" t="s">
        <v>23458</v>
      </c>
      <c r="E69056" s="0" t="s">
        <v>23458</v>
      </c>
      <c r="F69056" s="0" t="s">
        <v>23458</v>
      </c>
    </row>
    <row r="69058" customFormat="false" ht="12.8" hidden="false" customHeight="false" outlineLevel="0" collapsed="false">
      <c r="A69058" s="0" t="s">
        <v>23454</v>
      </c>
      <c r="B69058" s="0" t="str">
        <f aca="false">HYPERLINK("https://lindat.mff.cuni.cz/services/teitok/pdtc10/index.php?action=vallex&amp;frame=v-whsa_1206hsa_1207", "zeslabit (v-whsa_1206hsa_1207) - substituted with v-whsa_1206f1_ZU")</f>
        <v>zeslabit (v-whsa_1206hsa_1207) - substituted with v-whsa_1206f1_ZU</v>
      </c>
    </row>
    <row r="69059" customFormat="false" ht="12.8" hidden="false" customHeight="false" outlineLevel="0" collapsed="false">
      <c r="B69059" s="0" t="s">
        <v>7</v>
      </c>
    </row>
    <row r="69060" customFormat="false" ht="12.8" hidden="false" customHeight="false" outlineLevel="0" collapsed="false">
      <c r="B69060" s="0" t="s">
        <v>14</v>
      </c>
    </row>
    <row r="69061" customFormat="false" ht="12.8" hidden="false" customHeight="false" outlineLevel="0" collapsed="false">
      <c r="B69061" s="0" t="s">
        <v>35</v>
      </c>
    </row>
    <row r="69062" customFormat="false" ht="12.8" hidden="false" customHeight="false" outlineLevel="0" collapsed="false">
      <c r="B69062" s="0" t="s">
        <v>84</v>
      </c>
    </row>
    <row r="69064" customFormat="false" ht="12.8" hidden="false" customHeight="false" outlineLevel="0" collapsed="false">
      <c r="A69064" s="0" t="s">
        <v>23459</v>
      </c>
      <c r="B69064" s="0" t="str">
        <f aca="false">HYPERLINK("https://lindat.mff.cuni.cz/services/teitok/pdtc10/index.php?action=vallex&amp;frame=v-w9439f1", "zeslabovat (v-w9439f1)")</f>
        <v>zeslabovat (v-w9439f1)</v>
      </c>
    </row>
    <row r="69065" customFormat="false" ht="12.8" hidden="false" customHeight="false" outlineLevel="0" collapsed="false">
      <c r="B69065" s="0" t="s">
        <v>7</v>
      </c>
      <c r="C69065" s="0" t="s">
        <v>191</v>
      </c>
    </row>
    <row r="69066" customFormat="false" ht="12.8" hidden="false" customHeight="false" outlineLevel="0" collapsed="false">
      <c r="B69066" s="0" t="s">
        <v>14</v>
      </c>
      <c r="C69066" s="0" t="s">
        <v>155</v>
      </c>
    </row>
    <row r="69067" customFormat="false" ht="12.8" hidden="false" customHeight="false" outlineLevel="0" collapsed="false">
      <c r="B69067" s="0" t="s">
        <v>35</v>
      </c>
    </row>
    <row r="69068" customFormat="false" ht="12.8" hidden="false" customHeight="false" outlineLevel="0" collapsed="false">
      <c r="B69068" s="0" t="s">
        <v>84</v>
      </c>
    </row>
    <row r="69070" customFormat="false" ht="12.8" hidden="false" customHeight="false" outlineLevel="0" collapsed="false">
      <c r="A69070" s="0" t="s">
        <v>23460</v>
      </c>
      <c r="B69070" s="0" t="str">
        <f aca="false">HYPERLINK("https://lindat.mff.cuni.cz/services/teitok/pdtc10/index.php?action=vallex&amp;frame=v-w10781f2", "zeslábnout (v-w10781f2)")</f>
        <v>zeslábnout (v-w10781f2)</v>
      </c>
    </row>
    <row r="69071" customFormat="false" ht="12.8" hidden="false" customHeight="false" outlineLevel="0" collapsed="false">
      <c r="B69071" s="0" t="s">
        <v>7</v>
      </c>
      <c r="C69071" s="0" t="s">
        <v>23461</v>
      </c>
      <c r="D69071" s="0" t="s">
        <v>9110</v>
      </c>
      <c r="E69071" s="0" t="s">
        <v>9111</v>
      </c>
      <c r="F69071" s="0" t="s">
        <v>9111</v>
      </c>
    </row>
    <row r="69072" customFormat="false" ht="12.8" hidden="false" customHeight="false" outlineLevel="0" collapsed="false">
      <c r="B69072" s="0" t="s">
        <v>63</v>
      </c>
      <c r="C69072" s="0" t="s">
        <v>23462</v>
      </c>
      <c r="D69072" s="0" t="s">
        <v>9635</v>
      </c>
      <c r="E69072" s="0" t="s">
        <v>23463</v>
      </c>
      <c r="F69072" s="0" t="s">
        <v>23463</v>
      </c>
    </row>
    <row r="69073" customFormat="false" ht="12.8" hidden="false" customHeight="false" outlineLevel="0" collapsed="false">
      <c r="B69073" s="0" t="s">
        <v>35</v>
      </c>
      <c r="C69073" s="0" t="s">
        <v>6939</v>
      </c>
      <c r="E69073" s="0" t="s">
        <v>23464</v>
      </c>
      <c r="F69073" s="0" t="s">
        <v>23464</v>
      </c>
    </row>
    <row r="69075" customFormat="false" ht="12.8" hidden="false" customHeight="false" outlineLevel="0" collapsed="false">
      <c r="A69075" s="0" t="s">
        <v>23465</v>
      </c>
      <c r="B69075" s="0" t="str">
        <f aca="false">HYPERLINK("https://lindat.mff.cuni.cz/services/teitok/pdtc10/index.php?action=vallex&amp;frame=v-w11073f2", "zesměšnit (v-w11073f2)")</f>
        <v>zesměšnit (v-w11073f2)</v>
      </c>
    </row>
    <row r="69076" customFormat="false" ht="12.8" hidden="false" customHeight="false" outlineLevel="0" collapsed="false">
      <c r="B69076" s="0" t="s">
        <v>7</v>
      </c>
      <c r="D69076" s="0" t="s">
        <v>460</v>
      </c>
      <c r="E69076" s="0" t="s">
        <v>460</v>
      </c>
      <c r="F69076" s="0" t="s">
        <v>460</v>
      </c>
    </row>
    <row r="69077" customFormat="false" ht="12.8" hidden="false" customHeight="false" outlineLevel="0" collapsed="false">
      <c r="B69077" s="0" t="s">
        <v>14</v>
      </c>
      <c r="D69077" s="0" t="s">
        <v>9295</v>
      </c>
      <c r="E69077" s="0" t="s">
        <v>9295</v>
      </c>
      <c r="F69077" s="0" t="s">
        <v>9295</v>
      </c>
    </row>
    <row r="69079" customFormat="false" ht="12.8" hidden="false" customHeight="false" outlineLevel="0" collapsed="false">
      <c r="A69079" s="0" t="s">
        <v>23466</v>
      </c>
      <c r="B69079" s="0" t="str">
        <f aca="false">HYPERLINK("https://lindat.mff.cuni.cz/services/teitok/pdtc10/index.php?action=vallex&amp;frame=v-w9441f1", "zesměšňovat (v-w9441f1)")</f>
        <v>zesměšňovat (v-w9441f1)</v>
      </c>
    </row>
    <row r="69080" customFormat="false" ht="12.8" hidden="false" customHeight="false" outlineLevel="0" collapsed="false">
      <c r="B69080" s="0" t="s">
        <v>7</v>
      </c>
      <c r="D69080" s="0" t="s">
        <v>184</v>
      </c>
      <c r="E69080" s="0" t="s">
        <v>184</v>
      </c>
      <c r="F69080" s="0" t="s">
        <v>184</v>
      </c>
    </row>
    <row r="69081" customFormat="false" ht="12.8" hidden="false" customHeight="false" outlineLevel="0" collapsed="false">
      <c r="B69081" s="0" t="s">
        <v>14</v>
      </c>
      <c r="D69081" s="0" t="s">
        <v>1610</v>
      </c>
      <c r="E69081" s="0" t="s">
        <v>1610</v>
      </c>
      <c r="F69081" s="0" t="s">
        <v>1610</v>
      </c>
    </row>
    <row r="69083" customFormat="false" ht="12.8" hidden="false" customHeight="false" outlineLevel="0" collapsed="false">
      <c r="A69083" s="0" t="s">
        <v>23467</v>
      </c>
      <c r="B69083" s="0" t="str">
        <f aca="false">HYPERLINK("https://lindat.mff.cuni.cz/services/teitok/pdtc10/index.php?action=vallex&amp;frame=v-w9445f1", "zestručnit (v-w9445f1)")</f>
        <v>zestručnit (v-w9445f1)</v>
      </c>
    </row>
    <row r="69084" customFormat="false" ht="12.8" hidden="false" customHeight="false" outlineLevel="0" collapsed="false">
      <c r="B69084" s="0" t="s">
        <v>7</v>
      </c>
    </row>
    <row r="69085" customFormat="false" ht="12.8" hidden="false" customHeight="false" outlineLevel="0" collapsed="false">
      <c r="B69085" s="0" t="s">
        <v>14</v>
      </c>
    </row>
    <row r="69086" customFormat="false" ht="12.8" hidden="false" customHeight="false" outlineLevel="0" collapsed="false">
      <c r="B69086" s="0" t="s">
        <v>35</v>
      </c>
    </row>
    <row r="69087" customFormat="false" ht="12.8" hidden="false" customHeight="false" outlineLevel="0" collapsed="false">
      <c r="B69087" s="0" t="s">
        <v>84</v>
      </c>
    </row>
    <row r="69089" customFormat="false" ht="12.8" hidden="false" customHeight="false" outlineLevel="0" collapsed="false">
      <c r="A69089" s="0" t="s">
        <v>23468</v>
      </c>
      <c r="B69089" s="0" t="str">
        <f aca="false">HYPERLINK("https://lindat.mff.cuni.cz/services/teitok/pdtc10/index.php?action=vallex&amp;frame=v-w9442f1", "zestárnout (v-w9442f1)")</f>
        <v>zestárnout (v-w9442f1)</v>
      </c>
    </row>
    <row r="69090" customFormat="false" ht="12.8" hidden="false" customHeight="false" outlineLevel="0" collapsed="false">
      <c r="B69090" s="0" t="s">
        <v>7</v>
      </c>
      <c r="C69090" s="0" t="s">
        <v>200</v>
      </c>
      <c r="D69090" s="0" t="s">
        <v>8473</v>
      </c>
      <c r="E69090" s="0" t="s">
        <v>8473</v>
      </c>
      <c r="F69090" s="0" t="s">
        <v>8473</v>
      </c>
    </row>
    <row r="69092" customFormat="false" ht="12.8" hidden="false" customHeight="false" outlineLevel="0" collapsed="false">
      <c r="A69092" s="0" t="s">
        <v>23469</v>
      </c>
      <c r="B69092" s="0" t="str">
        <f aca="false">HYPERLINK("https://lindat.mff.cuni.cz/services/teitok/pdtc10/index.php?action=vallex&amp;frame=v-w9443f1", "zestátnit (v-w9443f1)")</f>
        <v>zestátnit (v-w9443f1)</v>
      </c>
    </row>
    <row r="69093" customFormat="false" ht="12.8" hidden="false" customHeight="false" outlineLevel="0" collapsed="false">
      <c r="B69093" s="0" t="s">
        <v>7</v>
      </c>
      <c r="C69093" s="0" t="s">
        <v>191</v>
      </c>
      <c r="D69093" s="0" t="s">
        <v>569</v>
      </c>
      <c r="E69093" s="0" t="s">
        <v>569</v>
      </c>
      <c r="F69093" s="0" t="s">
        <v>569</v>
      </c>
    </row>
    <row r="69094" customFormat="false" ht="12.8" hidden="false" customHeight="false" outlineLevel="0" collapsed="false">
      <c r="B69094" s="0" t="s">
        <v>14</v>
      </c>
      <c r="C69094" s="0" t="s">
        <v>155</v>
      </c>
      <c r="D69094" s="0" t="s">
        <v>461</v>
      </c>
      <c r="E69094" s="0" t="s">
        <v>461</v>
      </c>
      <c r="F69094" s="0" t="s">
        <v>461</v>
      </c>
    </row>
    <row r="69096" customFormat="false" ht="12.8" hidden="false" customHeight="false" outlineLevel="0" collapsed="false">
      <c r="A69096" s="0" t="s">
        <v>23470</v>
      </c>
      <c r="B69096" s="0" t="str">
        <f aca="false">HYPERLINK("https://lindat.mff.cuni.cz/services/teitok/pdtc10/index.php?action=vallex&amp;frame=v-w9444f1", "zestátňovat (v-w9444f1)")</f>
        <v>zestátňovat (v-w9444f1)</v>
      </c>
    </row>
    <row r="69097" customFormat="false" ht="12.8" hidden="false" customHeight="false" outlineLevel="0" collapsed="false">
      <c r="B69097" s="0" t="s">
        <v>7</v>
      </c>
    </row>
    <row r="69098" customFormat="false" ht="12.8" hidden="false" customHeight="false" outlineLevel="0" collapsed="false">
      <c r="B69098" s="0" t="s">
        <v>14</v>
      </c>
    </row>
    <row r="69100" customFormat="false" ht="12.8" hidden="false" customHeight="false" outlineLevel="0" collapsed="false">
      <c r="A69100" s="0" t="s">
        <v>23471</v>
      </c>
      <c r="B69100" s="0" t="str">
        <f aca="false">HYPERLINK("https://lindat.mff.cuni.cz/services/teitok/pdtc10/index.php?action=vallex&amp;frame=v-w9434f2", "zesílit (v-w9434f2)")</f>
        <v>zesílit (v-w9434f2)</v>
      </c>
    </row>
    <row r="69101" customFormat="false" ht="12.8" hidden="false" customHeight="false" outlineLevel="0" collapsed="false">
      <c r="B69101" s="0" t="s">
        <v>7</v>
      </c>
      <c r="C69101" s="0" t="s">
        <v>13191</v>
      </c>
      <c r="D69101" s="0" t="s">
        <v>6436</v>
      </c>
      <c r="E69101" s="0" t="s">
        <v>6436</v>
      </c>
      <c r="F69101" s="0" t="s">
        <v>6436</v>
      </c>
    </row>
    <row r="69102" customFormat="false" ht="12.8" hidden="false" customHeight="false" outlineLevel="0" collapsed="false">
      <c r="B69102" s="0" t="s">
        <v>14</v>
      </c>
      <c r="C69102" s="0" t="s">
        <v>2013</v>
      </c>
      <c r="D69102" s="0" t="s">
        <v>6437</v>
      </c>
      <c r="E69102" s="0" t="s">
        <v>6437</v>
      </c>
      <c r="F69102" s="0" t="s">
        <v>6437</v>
      </c>
    </row>
    <row r="69103" customFormat="false" ht="12.8" hidden="false" customHeight="false" outlineLevel="0" collapsed="false">
      <c r="B69103" s="0" t="s">
        <v>35</v>
      </c>
      <c r="D69103" s="0" t="s">
        <v>6438</v>
      </c>
      <c r="E69103" s="0" t="s">
        <v>6438</v>
      </c>
      <c r="F69103" s="0" t="s">
        <v>6438</v>
      </c>
    </row>
    <row r="69104" customFormat="false" ht="12.8" hidden="false" customHeight="false" outlineLevel="0" collapsed="false">
      <c r="B69104" s="0" t="s">
        <v>84</v>
      </c>
      <c r="D69104" s="0" t="s">
        <v>6440</v>
      </c>
      <c r="E69104" s="0" t="s">
        <v>6440</v>
      </c>
      <c r="F69104" s="0" t="s">
        <v>6440</v>
      </c>
    </row>
    <row r="69106" customFormat="false" ht="12.8" hidden="false" customHeight="false" outlineLevel="0" collapsed="false">
      <c r="A69106" s="0" t="s">
        <v>23472</v>
      </c>
      <c r="B69106" s="0" t="str">
        <f aca="false">HYPERLINK("https://lindat.mff.cuni.cz/services/teitok/pdtc10/index.php?action=vallex&amp;frame=v-w9434f1", "zesílit (v-w9434f1)")</f>
        <v>zesílit (v-w9434f1)</v>
      </c>
    </row>
    <row r="69107" customFormat="false" ht="12.8" hidden="false" customHeight="false" outlineLevel="0" collapsed="false">
      <c r="B69107" s="0" t="s">
        <v>7</v>
      </c>
      <c r="C69107" s="0" t="s">
        <v>23473</v>
      </c>
      <c r="D69107" s="0" t="s">
        <v>13934</v>
      </c>
      <c r="E69107" s="0" t="s">
        <v>13935</v>
      </c>
      <c r="F69107" s="0" t="s">
        <v>13935</v>
      </c>
    </row>
    <row r="69108" customFormat="false" ht="12.8" hidden="false" customHeight="false" outlineLevel="0" collapsed="false">
      <c r="B69108" s="0" t="s">
        <v>63</v>
      </c>
      <c r="C69108" s="0" t="s">
        <v>23474</v>
      </c>
    </row>
    <row r="69109" customFormat="false" ht="12.8" hidden="false" customHeight="false" outlineLevel="0" collapsed="false">
      <c r="B69109" s="0" t="s">
        <v>35</v>
      </c>
      <c r="C69109" s="0" t="s">
        <v>1526</v>
      </c>
    </row>
    <row r="69111" customFormat="false" ht="12.8" hidden="false" customHeight="false" outlineLevel="0" collapsed="false">
      <c r="A69111" s="0" t="s">
        <v>23475</v>
      </c>
      <c r="B69111" s="0" t="str">
        <f aca="false">HYPERLINK("https://lindat.mff.cuni.cz/services/teitok/pdtc10/index.php?action=vallex&amp;frame=v-w9450f2", "zet (v-w9450f2)")</f>
        <v>zet (v-w9450f2)</v>
      </c>
    </row>
    <row r="69112" customFormat="false" ht="12.8" hidden="false" customHeight="false" outlineLevel="0" collapsed="false">
      <c r="B69112" s="0" t="s">
        <v>7</v>
      </c>
      <c r="F69112" s="0" t="s">
        <v>6633</v>
      </c>
    </row>
    <row r="69113" customFormat="false" ht="12.8" hidden="false" customHeight="false" outlineLevel="0" collapsed="false">
      <c r="B69113" s="0" t="s">
        <v>11</v>
      </c>
    </row>
    <row r="69115" customFormat="false" ht="12.8" hidden="false" customHeight="false" outlineLevel="0" collapsed="false">
      <c r="A69115" s="0" t="s">
        <v>23476</v>
      </c>
      <c r="B69115" s="0" t="str">
        <f aca="false">HYPERLINK("https://lindat.mff.cuni.cz/services/teitok/pdtc10/index.php?action=vallex&amp;frame=v-w9450f1", "zet (v-w9450f1)")</f>
        <v>zet (v-w9450f1)</v>
      </c>
    </row>
    <row r="69116" customFormat="false" ht="12.8" hidden="false" customHeight="false" outlineLevel="0" collapsed="false">
      <c r="B69116" s="0" t="s">
        <v>7</v>
      </c>
    </row>
    <row r="69117" customFormat="false" ht="12.8" hidden="false" customHeight="false" outlineLevel="0" collapsed="false">
      <c r="B69117" s="0" t="s">
        <v>23477</v>
      </c>
    </row>
    <row r="69119" customFormat="false" ht="12.8" hidden="false" customHeight="false" outlineLevel="0" collapsed="false">
      <c r="A69119" s="0" t="s">
        <v>23478</v>
      </c>
      <c r="B69119" s="0" t="str">
        <f aca="false">HYPERLINK("https://lindat.mff.cuni.cz/services/teitok/pdtc10/index.php?action=vallex&amp;frame=v-w9453f1", "zevšeobecňovat (v-w9453f1)")</f>
        <v>zevšeobecňovat (v-w9453f1)</v>
      </c>
    </row>
    <row r="69120" customFormat="false" ht="12.8" hidden="false" customHeight="false" outlineLevel="0" collapsed="false">
      <c r="B69120" s="0" t="s">
        <v>7</v>
      </c>
    </row>
    <row r="69121" customFormat="false" ht="12.8" hidden="false" customHeight="false" outlineLevel="0" collapsed="false">
      <c r="B69121" s="0" t="s">
        <v>14</v>
      </c>
      <c r="D69121" s="0" t="s">
        <v>155</v>
      </c>
      <c r="E69121" s="0" t="s">
        <v>155</v>
      </c>
      <c r="F69121" s="0" t="s">
        <v>155</v>
      </c>
    </row>
    <row r="69123" customFormat="false" ht="12.8" hidden="false" customHeight="false" outlineLevel="0" collapsed="false">
      <c r="A69123" s="0" t="s">
        <v>23479</v>
      </c>
      <c r="B69123" s="0" t="str">
        <f aca="false">HYPERLINK("https://lindat.mff.cuni.cz/services/teitok/pdtc10/index.php?action=vallex&amp;frame=v-w10499f4_ZU", "zezelenat (v-w10499f4_ZU)")</f>
        <v>zezelenat (v-w10499f4_ZU)</v>
      </c>
    </row>
    <row r="69124" customFormat="false" ht="12.8" hidden="false" customHeight="false" outlineLevel="0" collapsed="false">
      <c r="B69124" s="0" t="s">
        <v>7</v>
      </c>
    </row>
    <row r="69126" customFormat="false" ht="12.8" hidden="false" customHeight="false" outlineLevel="0" collapsed="false">
      <c r="A69126" s="0" t="s">
        <v>23479</v>
      </c>
      <c r="B69126" s="0" t="str">
        <f aca="false">HYPERLINK("https://lindat.mff.cuni.cz/services/teitok/pdtc10/index.php?action=vallex&amp;frame=v-w10499f3", "zezelenat (v-w10499f3) - substituted with v-w10499f4_ZU")</f>
        <v>zezelenat (v-w10499f3) - substituted with v-w10499f4_ZU</v>
      </c>
    </row>
    <row r="69127" customFormat="false" ht="12.8" hidden="false" customHeight="false" outlineLevel="0" collapsed="false">
      <c r="B69127" s="0" t="s">
        <v>7</v>
      </c>
    </row>
    <row r="69129" customFormat="false" ht="12.8" hidden="false" customHeight="false" outlineLevel="0" collapsed="false">
      <c r="A69129" s="0" t="s">
        <v>23480</v>
      </c>
      <c r="B69129" s="0" t="str">
        <f aca="false">HYPERLINK("https://lindat.mff.cuni.cz/services/teitok/pdtc10/index.php?action=vallex&amp;frame=v-w10974f2", "zečtyřnásobit (v-w10974f2)")</f>
        <v>zečtyřnásobit (v-w10974f2)</v>
      </c>
    </row>
    <row r="69130" customFormat="false" ht="12.8" hidden="false" customHeight="false" outlineLevel="0" collapsed="false">
      <c r="B69130" s="0" t="s">
        <v>7</v>
      </c>
      <c r="D69130" s="0" t="s">
        <v>7524</v>
      </c>
      <c r="E69130" s="0" t="s">
        <v>7524</v>
      </c>
      <c r="F69130" s="0" t="s">
        <v>7524</v>
      </c>
    </row>
    <row r="69131" customFormat="false" ht="12.8" hidden="false" customHeight="false" outlineLevel="0" collapsed="false">
      <c r="B69131" s="0" t="s">
        <v>14</v>
      </c>
      <c r="D69131" s="0" t="s">
        <v>210</v>
      </c>
      <c r="E69131" s="0" t="s">
        <v>210</v>
      </c>
      <c r="F69131" s="0" t="s">
        <v>210</v>
      </c>
    </row>
    <row r="69132" customFormat="false" ht="12.8" hidden="false" customHeight="false" outlineLevel="0" collapsed="false">
      <c r="B69132" s="0" t="s">
        <v>35</v>
      </c>
      <c r="D69132" s="0" t="s">
        <v>23398</v>
      </c>
      <c r="E69132" s="0" t="s">
        <v>23398</v>
      </c>
      <c r="F69132" s="0" t="s">
        <v>23398</v>
      </c>
    </row>
    <row r="69133" customFormat="false" ht="12.8" hidden="false" customHeight="false" outlineLevel="0" collapsed="false">
      <c r="B69133" s="0" t="s">
        <v>84</v>
      </c>
      <c r="D69133" s="0" t="s">
        <v>23400</v>
      </c>
      <c r="E69133" s="0" t="s">
        <v>23400</v>
      </c>
      <c r="F69133" s="0" t="s">
        <v>23400</v>
      </c>
    </row>
    <row r="69135" customFormat="false" ht="12.8" hidden="false" customHeight="false" outlineLevel="0" collapsed="false">
      <c r="A69135" s="0" t="s">
        <v>23481</v>
      </c>
      <c r="B69135" s="0" t="str">
        <f aca="false">HYPERLINK("https://lindat.mff.cuni.cz/services/teitok/pdtc10/index.php?action=vallex&amp;frame=v-w11431f1", "zečtyřnásobit se (v-w11431f1)")</f>
        <v>zečtyřnásobit se (v-w11431f1)</v>
      </c>
    </row>
    <row r="69136" customFormat="false" ht="12.8" hidden="false" customHeight="false" outlineLevel="0" collapsed="false">
      <c r="B69136" s="0" t="s">
        <v>7</v>
      </c>
      <c r="C69136" s="0" t="s">
        <v>396</v>
      </c>
      <c r="D69136" s="0" t="s">
        <v>23402</v>
      </c>
      <c r="E69136" s="0" t="s">
        <v>23402</v>
      </c>
      <c r="F69136" s="0" t="s">
        <v>23402</v>
      </c>
    </row>
    <row r="69138" customFormat="false" ht="12.8" hidden="false" customHeight="false" outlineLevel="0" collapsed="false">
      <c r="A69138" s="0" t="s">
        <v>23482</v>
      </c>
      <c r="B69138" s="0" t="str">
        <f aca="false">HYPERLINK("https://lindat.mff.cuni.cz/services/teitok/pdtc10/index.php?action=vallex&amp;frame=v-w10793f3_ZU", "zešedivět (v-w10793f3_ZU)")</f>
        <v>zešedivět (v-w10793f3_ZU)</v>
      </c>
    </row>
    <row r="69139" customFormat="false" ht="12.8" hidden="false" customHeight="false" outlineLevel="0" collapsed="false">
      <c r="B69139" s="0" t="s">
        <v>7</v>
      </c>
      <c r="D69139" s="0" t="s">
        <v>8473</v>
      </c>
      <c r="E69139" s="0" t="s">
        <v>8473</v>
      </c>
      <c r="F69139" s="0" t="s">
        <v>8473</v>
      </c>
    </row>
    <row r="69141" customFormat="false" ht="12.8" hidden="false" customHeight="false" outlineLevel="0" collapsed="false">
      <c r="A69141" s="0" t="s">
        <v>23482</v>
      </c>
      <c r="B69141" s="0" t="str">
        <f aca="false">HYPERLINK("https://lindat.mff.cuni.cz/services/teitok/pdtc10/index.php?action=vallex&amp;frame=v-w10793f2", "zešedivět (v-w10793f2) - substituted with v-w10793f3_ZU")</f>
        <v>zešedivět (v-w10793f2) - substituted with v-w10793f3_ZU</v>
      </c>
    </row>
    <row r="69142" customFormat="false" ht="12.8" hidden="false" customHeight="false" outlineLevel="0" collapsed="false">
      <c r="B69142" s="0" t="s">
        <v>7</v>
      </c>
    </row>
    <row r="69144" customFormat="false" ht="12.8" hidden="false" customHeight="false" outlineLevel="0" collapsed="false">
      <c r="A69144" s="0" t="s">
        <v>23483</v>
      </c>
      <c r="B69144" s="0" t="str">
        <f aca="false">HYPERLINK("https://lindat.mff.cuni.cz/services/teitok/pdtc10/index.php?action=vallex&amp;frame=v-w9447f1", "zeštíhlet (v-w9447f1)")</f>
        <v>zeštíhlet (v-w9447f1)</v>
      </c>
    </row>
    <row r="69145" customFormat="false" ht="12.8" hidden="false" customHeight="false" outlineLevel="0" collapsed="false">
      <c r="B69145" s="0" t="s">
        <v>7</v>
      </c>
    </row>
    <row r="69146" customFormat="false" ht="12.8" hidden="false" customHeight="false" outlineLevel="0" collapsed="false">
      <c r="B69146" s="0" t="s">
        <v>14</v>
      </c>
    </row>
    <row r="69148" customFormat="false" ht="12.8" hidden="false" customHeight="false" outlineLevel="0" collapsed="false">
      <c r="A69148" s="0" t="s">
        <v>23484</v>
      </c>
      <c r="B69148" s="0" t="str">
        <f aca="false">HYPERLINK("https://lindat.mff.cuni.cz/services/teitok/pdtc10/index.php?action=vallex&amp;frame=v-w9447f2", "zeštíhlet (v-w9447f2)")</f>
        <v>zeštíhlet (v-w9447f2)</v>
      </c>
    </row>
    <row r="69149" customFormat="false" ht="12.8" hidden="false" customHeight="false" outlineLevel="0" collapsed="false">
      <c r="B69149" s="0" t="s">
        <v>7</v>
      </c>
    </row>
    <row r="69151" customFormat="false" ht="12.8" hidden="false" customHeight="false" outlineLevel="0" collapsed="false">
      <c r="A69151" s="0" t="s">
        <v>23485</v>
      </c>
      <c r="B69151" s="0" t="str">
        <f aca="false">HYPERLINK("https://lindat.mff.cuni.cz/services/teitok/pdtc10/index.php?action=vallex&amp;frame=v-w9448f1", "zeštíhlit (v-w9448f1)")</f>
        <v>zeštíhlit (v-w9448f1)</v>
      </c>
    </row>
    <row r="69152" customFormat="false" ht="12.8" hidden="false" customHeight="false" outlineLevel="0" collapsed="false">
      <c r="B69152" s="0" t="s">
        <v>7</v>
      </c>
      <c r="C69152" s="0" t="s">
        <v>184</v>
      </c>
      <c r="D69152" s="0" t="s">
        <v>335</v>
      </c>
      <c r="E69152" s="0" t="s">
        <v>335</v>
      </c>
      <c r="F69152" s="0" t="s">
        <v>335</v>
      </c>
    </row>
    <row r="69153" customFormat="false" ht="12.8" hidden="false" customHeight="false" outlineLevel="0" collapsed="false">
      <c r="B69153" s="0" t="s">
        <v>14</v>
      </c>
      <c r="C69153" s="0" t="s">
        <v>1315</v>
      </c>
      <c r="D69153" s="0" t="s">
        <v>173</v>
      </c>
      <c r="E69153" s="0" t="s">
        <v>173</v>
      </c>
      <c r="F69153" s="0" t="s">
        <v>173</v>
      </c>
    </row>
    <row r="69155" customFormat="false" ht="12.8" hidden="false" customHeight="false" outlineLevel="0" collapsed="false">
      <c r="A69155" s="0" t="s">
        <v>23486</v>
      </c>
      <c r="B69155" s="0" t="str">
        <f aca="false">HYPERLINK("https://lindat.mff.cuni.cz/services/teitok/pdtc10/index.php?action=vallex&amp;frame=v-w11018f2", "zeštíhlovat (v-w11018f2)")</f>
        <v>zeštíhlovat (v-w11018f2)</v>
      </c>
    </row>
    <row r="69156" customFormat="false" ht="12.8" hidden="false" customHeight="false" outlineLevel="0" collapsed="false">
      <c r="B69156" s="0" t="s">
        <v>7</v>
      </c>
      <c r="C69156" s="0" t="s">
        <v>247</v>
      </c>
    </row>
    <row r="69157" customFormat="false" ht="12.8" hidden="false" customHeight="false" outlineLevel="0" collapsed="false">
      <c r="B69157" s="0" t="s">
        <v>14</v>
      </c>
    </row>
    <row r="69159" customFormat="false" ht="12.8" hidden="false" customHeight="false" outlineLevel="0" collapsed="false">
      <c r="A69159" s="0" t="s">
        <v>23487</v>
      </c>
      <c r="B69159" s="0" t="str">
        <f aca="false">HYPERLINK("https://lindat.mff.cuni.cz/services/teitok/pdtc10/index.php?action=vallex&amp;frame=v-w12058_ZUf1_ZU", "zežloutnout (v-w12058_ZUf1_ZU)")</f>
        <v>zežloutnout (v-w12058_ZUf1_ZU)</v>
      </c>
    </row>
    <row r="69160" customFormat="false" ht="12.8" hidden="false" customHeight="false" outlineLevel="0" collapsed="false">
      <c r="B69160" s="0" t="s">
        <v>7</v>
      </c>
    </row>
    <row r="69162" customFormat="false" ht="12.8" hidden="false" customHeight="false" outlineLevel="0" collapsed="false">
      <c r="A69162" s="0" t="s">
        <v>23488</v>
      </c>
      <c r="B69162" s="0" t="str">
        <f aca="false">HYPERLINK("https://lindat.mff.cuni.cz/services/teitok/pdtc10/index.php?action=vallex&amp;frame=v-w9454f1", "zfalšovat (v-w9454f1)")</f>
        <v>zfalšovat (v-w9454f1)</v>
      </c>
    </row>
    <row r="69163" customFormat="false" ht="12.8" hidden="false" customHeight="false" outlineLevel="0" collapsed="false">
      <c r="B69163" s="0" t="s">
        <v>7</v>
      </c>
      <c r="C69163" s="0" t="s">
        <v>184</v>
      </c>
      <c r="D69163" s="0" t="s">
        <v>108</v>
      </c>
      <c r="E69163" s="0" t="s">
        <v>108</v>
      </c>
      <c r="F69163" s="0" t="s">
        <v>108</v>
      </c>
    </row>
    <row r="69164" customFormat="false" ht="12.8" hidden="false" customHeight="false" outlineLevel="0" collapsed="false">
      <c r="B69164" s="0" t="s">
        <v>14</v>
      </c>
      <c r="C69164" s="0" t="s">
        <v>115</v>
      </c>
      <c r="D69164" s="0" t="s">
        <v>1264</v>
      </c>
      <c r="E69164" s="0" t="s">
        <v>1264</v>
      </c>
      <c r="F69164" s="0" t="s">
        <v>1264</v>
      </c>
    </row>
    <row r="69166" customFormat="false" ht="12.8" hidden="false" customHeight="false" outlineLevel="0" collapsed="false">
      <c r="A69166" s="0" t="s">
        <v>23489</v>
      </c>
      <c r="B69166" s="0" t="str">
        <f aca="false">HYPERLINK("https://lindat.mff.cuni.cz/services/teitok/pdtc10/index.php?action=vallex&amp;frame=v-w12375_MMf1_MM", "zfanatizovat (v-w12375_MMf1_MM)")</f>
        <v>zfanatizovat (v-w12375_MMf1_MM)</v>
      </c>
    </row>
    <row r="69167" customFormat="false" ht="12.8" hidden="false" customHeight="false" outlineLevel="0" collapsed="false">
      <c r="B69167" s="0" t="s">
        <v>7</v>
      </c>
    </row>
    <row r="69168" customFormat="false" ht="12.8" hidden="false" customHeight="false" outlineLevel="0" collapsed="false">
      <c r="B69168" s="0" t="s">
        <v>14</v>
      </c>
    </row>
    <row r="69170" customFormat="false" ht="12.8" hidden="false" customHeight="false" outlineLevel="0" collapsed="false">
      <c r="A69170" s="0" t="s">
        <v>23490</v>
      </c>
      <c r="B69170" s="0" t="str">
        <f aca="false">HYPERLINK("https://lindat.mff.cuni.cz/services/teitok/pdtc10/index.php?action=vallex&amp;frame=v-w9455f1", "zfilmovat (v-w9455f1)")</f>
        <v>zfilmovat (v-w9455f1)</v>
      </c>
    </row>
    <row r="69171" customFormat="false" ht="12.8" hidden="false" customHeight="false" outlineLevel="0" collapsed="false">
      <c r="B69171" s="0" t="s">
        <v>7</v>
      </c>
    </row>
    <row r="69172" customFormat="false" ht="12.8" hidden="false" customHeight="false" outlineLevel="0" collapsed="false">
      <c r="B69172" s="0" t="s">
        <v>14</v>
      </c>
    </row>
    <row r="69174" customFormat="false" ht="12.8" hidden="false" customHeight="false" outlineLevel="0" collapsed="false">
      <c r="A69174" s="0" t="s">
        <v>23491</v>
      </c>
      <c r="B69174" s="0" t="str">
        <f aca="false">HYPERLINK("https://lindat.mff.cuni.cz/services/teitok/pdtc10/index.php?action=vallex&amp;frame=v-w9457f2_ZU", "zformovat (v-w9457f2_ZU)")</f>
        <v>zformovat (v-w9457f2_ZU)</v>
      </c>
    </row>
    <row r="69175" customFormat="false" ht="12.8" hidden="false" customHeight="false" outlineLevel="0" collapsed="false">
      <c r="B69175" s="0" t="s">
        <v>7</v>
      </c>
    </row>
    <row r="69176" customFormat="false" ht="12.8" hidden="false" customHeight="false" outlineLevel="0" collapsed="false">
      <c r="B69176" s="0" t="s">
        <v>14</v>
      </c>
    </row>
    <row r="69177" customFormat="false" ht="12.8" hidden="false" customHeight="false" outlineLevel="0" collapsed="false">
      <c r="B69177" s="0" t="s">
        <v>2571</v>
      </c>
    </row>
    <row r="69179" customFormat="false" ht="12.8" hidden="false" customHeight="false" outlineLevel="0" collapsed="false">
      <c r="A69179" s="0" t="s">
        <v>23491</v>
      </c>
      <c r="B69179" s="0" t="str">
        <f aca="false">HYPERLINK("https://lindat.mff.cuni.cz/services/teitok/pdtc10/index.php?action=vallex&amp;frame=v-w9457f1", "zformovat (v-w9457f1) - substituted with v-w9457f2_ZU")</f>
        <v>zformovat (v-w9457f1) - substituted with v-w9457f2_ZU</v>
      </c>
    </row>
    <row r="69180" customFormat="false" ht="12.8" hidden="false" customHeight="false" outlineLevel="0" collapsed="false">
      <c r="B69180" s="0" t="s">
        <v>7</v>
      </c>
    </row>
    <row r="69181" customFormat="false" ht="12.8" hidden="false" customHeight="false" outlineLevel="0" collapsed="false">
      <c r="B69181" s="0" t="s">
        <v>14</v>
      </c>
    </row>
    <row r="69182" customFormat="false" ht="12.8" hidden="false" customHeight="false" outlineLevel="0" collapsed="false">
      <c r="B69182" s="0" t="s">
        <v>2571</v>
      </c>
    </row>
    <row r="69184" customFormat="false" ht="12.8" hidden="false" customHeight="false" outlineLevel="0" collapsed="false">
      <c r="A69184" s="0" t="s">
        <v>23492</v>
      </c>
      <c r="B69184" s="0" t="str">
        <f aca="false">HYPERLINK("https://lindat.mff.cuni.cz/services/teitok/pdtc10/index.php?action=vallex&amp;frame=v-w9458f1", "zformovat se (v-w9458f1)")</f>
        <v>zformovat se (v-w9458f1)</v>
      </c>
    </row>
    <row r="69185" customFormat="false" ht="12.8" hidden="false" customHeight="false" outlineLevel="0" collapsed="false">
      <c r="B69185" s="0" t="s">
        <v>7</v>
      </c>
      <c r="C69185" s="0" t="s">
        <v>2894</v>
      </c>
    </row>
    <row r="69186" customFormat="false" ht="12.8" hidden="false" customHeight="false" outlineLevel="0" collapsed="false">
      <c r="B69186" s="0" t="s">
        <v>581</v>
      </c>
    </row>
    <row r="69188" customFormat="false" ht="12.8" hidden="false" customHeight="false" outlineLevel="0" collapsed="false">
      <c r="A69188" s="0" t="s">
        <v>23493</v>
      </c>
      <c r="B69188" s="0" t="str">
        <f aca="false">HYPERLINK("https://lindat.mff.cuni.cz/services/teitok/pdtc10/index.php?action=vallex&amp;frame=v-w9459f1", "zformulovat (v-w9459f1)")</f>
        <v>zformulovat (v-w9459f1)</v>
      </c>
    </row>
    <row r="69189" customFormat="false" ht="12.8" hidden="false" customHeight="false" outlineLevel="0" collapsed="false">
      <c r="B69189" s="0" t="s">
        <v>7</v>
      </c>
      <c r="C69189" s="0" t="s">
        <v>335</v>
      </c>
      <c r="D69189" s="0" t="s">
        <v>2170</v>
      </c>
      <c r="E69189" s="0" t="s">
        <v>23494</v>
      </c>
      <c r="F69189" s="0" t="s">
        <v>23494</v>
      </c>
    </row>
    <row r="69190" customFormat="false" ht="12.8" hidden="false" customHeight="false" outlineLevel="0" collapsed="false">
      <c r="B69190" s="0" t="s">
        <v>14</v>
      </c>
      <c r="C69190" s="0" t="s">
        <v>78</v>
      </c>
      <c r="D69190" s="0" t="s">
        <v>24</v>
      </c>
      <c r="E69190" s="0" t="s">
        <v>23495</v>
      </c>
      <c r="F69190" s="0" t="s">
        <v>23495</v>
      </c>
    </row>
    <row r="69192" customFormat="false" ht="12.8" hidden="false" customHeight="false" outlineLevel="0" collapsed="false">
      <c r="A69192" s="0" t="s">
        <v>23496</v>
      </c>
      <c r="B69192" s="0" t="str">
        <f aca="false">HYPERLINK("https://lindat.mff.cuni.cz/services/teitok/pdtc10/index.php?action=vallex&amp;frame=v-w9460f1", "zhanobit (v-w9460f1)")</f>
        <v>zhanobit (v-w9460f1)</v>
      </c>
    </row>
    <row r="69193" customFormat="false" ht="12.8" hidden="false" customHeight="false" outlineLevel="0" collapsed="false">
      <c r="B69193" s="0" t="s">
        <v>7</v>
      </c>
    </row>
    <row r="69194" customFormat="false" ht="12.8" hidden="false" customHeight="false" outlineLevel="0" collapsed="false">
      <c r="B69194" s="0" t="s">
        <v>14</v>
      </c>
    </row>
    <row r="69196" customFormat="false" ht="12.8" hidden="false" customHeight="false" outlineLevel="0" collapsed="false">
      <c r="A69196" s="0" t="s">
        <v>23497</v>
      </c>
      <c r="B69196" s="0" t="str">
        <f aca="false">HYPERLINK("https://lindat.mff.cuni.cz/services/teitok/pdtc10/index.php?action=vallex&amp;frame=v-w9461f2", "zhasnout (v-w9461f2)")</f>
        <v>zhasnout (v-w9461f2)</v>
      </c>
    </row>
    <row r="69197" customFormat="false" ht="12.8" hidden="false" customHeight="false" outlineLevel="0" collapsed="false">
      <c r="B69197" s="0" t="s">
        <v>7</v>
      </c>
    </row>
    <row r="69198" customFormat="false" ht="12.8" hidden="false" customHeight="false" outlineLevel="0" collapsed="false">
      <c r="B69198" s="0" t="s">
        <v>14</v>
      </c>
    </row>
    <row r="69200" customFormat="false" ht="12.8" hidden="false" customHeight="false" outlineLevel="0" collapsed="false">
      <c r="A69200" s="0" t="s">
        <v>23498</v>
      </c>
      <c r="B69200" s="0" t="str">
        <f aca="false">HYPERLINK("https://lindat.mff.cuni.cz/services/teitok/pdtc10/index.php?action=vallex&amp;frame=v-w9461f1", "zhasnout (v-w9461f1)")</f>
        <v>zhasnout (v-w9461f1)</v>
      </c>
    </row>
    <row r="69201" customFormat="false" ht="12.8" hidden="false" customHeight="false" outlineLevel="0" collapsed="false">
      <c r="B69201" s="0" t="s">
        <v>7</v>
      </c>
      <c r="C69201" s="0" t="s">
        <v>247</v>
      </c>
      <c r="D69201" s="0" t="s">
        <v>3676</v>
      </c>
      <c r="E69201" s="0" t="s">
        <v>3676</v>
      </c>
      <c r="F69201" s="0" t="s">
        <v>3676</v>
      </c>
    </row>
    <row r="69203" customFormat="false" ht="12.8" hidden="false" customHeight="false" outlineLevel="0" collapsed="false">
      <c r="A69203" s="0" t="s">
        <v>23499</v>
      </c>
      <c r="B69203" s="0" t="str">
        <f aca="false">HYPERLINK("https://lindat.mff.cuni.cz/services/teitok/pdtc10/index.php?action=vallex&amp;frame=v-w9461hsa_1803", "zhasnout (v-w9461hsa_1803)")</f>
        <v>zhasnout (v-w9461hsa_1803)</v>
      </c>
    </row>
    <row r="69204" customFormat="false" ht="12.8" hidden="false" customHeight="false" outlineLevel="0" collapsed="false">
      <c r="B69204" s="0" t="s">
        <v>7</v>
      </c>
    </row>
    <row r="69206" customFormat="false" ht="12.8" hidden="false" customHeight="false" outlineLevel="0" collapsed="false">
      <c r="A69206" s="0" t="s">
        <v>23500</v>
      </c>
      <c r="B69206" s="0" t="str">
        <f aca="false">HYPERLINK("https://lindat.mff.cuni.cz/services/teitok/pdtc10/index.php?action=vallex&amp;frame=v-w12387_MMf1_MM", "zhasnout se (v-w12387_MMf1_MM)")</f>
        <v>zhasnout se (v-w12387_MMf1_MM)</v>
      </c>
    </row>
    <row r="69207" customFormat="false" ht="12.8" hidden="false" customHeight="false" outlineLevel="0" collapsed="false">
      <c r="B69207" s="0" t="s">
        <v>7</v>
      </c>
    </row>
    <row r="69209" customFormat="false" ht="12.8" hidden="false" customHeight="false" outlineLevel="0" collapsed="false">
      <c r="A69209" s="0" t="s">
        <v>23501</v>
      </c>
      <c r="B69209" s="0" t="str">
        <f aca="false">HYPERLINK("https://lindat.mff.cuni.cz/services/teitok/pdtc10/index.php?action=vallex&amp;frame=v-w10174f2", "zhasínat (v-w10174f2)")</f>
        <v>zhasínat (v-w10174f2)</v>
      </c>
    </row>
    <row r="69210" customFormat="false" ht="12.8" hidden="false" customHeight="false" outlineLevel="0" collapsed="false">
      <c r="B69210" s="0" t="s">
        <v>7</v>
      </c>
    </row>
    <row r="69211" customFormat="false" ht="12.8" hidden="false" customHeight="false" outlineLevel="0" collapsed="false">
      <c r="B69211" s="0" t="s">
        <v>14</v>
      </c>
    </row>
    <row r="69213" customFormat="false" ht="12.8" hidden="false" customHeight="false" outlineLevel="0" collapsed="false">
      <c r="A69213" s="0" t="s">
        <v>23502</v>
      </c>
      <c r="B69213" s="0" t="str">
        <f aca="false">HYPERLINK("https://lindat.mff.cuni.cz/services/teitok/pdtc10/index.php?action=vallex&amp;frame=v-w10888f3_MM", "zhatit (v-w10888f3_MM)")</f>
        <v>zhatit (v-w10888f3_MM)</v>
      </c>
    </row>
    <row r="69214" customFormat="false" ht="12.8" hidden="false" customHeight="false" outlineLevel="0" collapsed="false">
      <c r="B69214" s="0" t="s">
        <v>7</v>
      </c>
    </row>
    <row r="69215" customFormat="false" ht="12.8" hidden="false" customHeight="false" outlineLevel="0" collapsed="false">
      <c r="B69215" s="0" t="s">
        <v>4100</v>
      </c>
    </row>
    <row r="69216" customFormat="false" ht="12.8" hidden="false" customHeight="false" outlineLevel="0" collapsed="false">
      <c r="B69216" s="0" t="s">
        <v>106</v>
      </c>
    </row>
    <row r="69218" customFormat="false" ht="12.8" hidden="false" customHeight="false" outlineLevel="0" collapsed="false">
      <c r="A69218" s="0" t="s">
        <v>23502</v>
      </c>
      <c r="B69218" s="0" t="str">
        <f aca="false">HYPERLINK("https://lindat.mff.cuni.cz/services/teitok/pdtc10/index.php?action=vallex&amp;frame=v-w10888f2", "zhatit (v-w10888f2) - substituted with v-w10888f3_MM")</f>
        <v>zhatit (v-w10888f2) - substituted with v-w10888f3_MM</v>
      </c>
    </row>
    <row r="69219" customFormat="false" ht="12.8" hidden="false" customHeight="false" outlineLevel="0" collapsed="false">
      <c r="B69219" s="0" t="s">
        <v>7</v>
      </c>
      <c r="C69219" s="0" t="s">
        <v>460</v>
      </c>
      <c r="D69219" s="0" t="s">
        <v>252</v>
      </c>
      <c r="E69219" s="0" t="s">
        <v>253</v>
      </c>
      <c r="F69219" s="0" t="s">
        <v>253</v>
      </c>
    </row>
    <row r="69220" customFormat="false" ht="12.8" hidden="false" customHeight="false" outlineLevel="0" collapsed="false">
      <c r="B69220" s="0" t="s">
        <v>4100</v>
      </c>
      <c r="C69220" s="0" t="s">
        <v>89</v>
      </c>
      <c r="D69220" s="0" t="s">
        <v>255</v>
      </c>
      <c r="E69220" s="0" t="s">
        <v>256</v>
      </c>
      <c r="F69220" s="0" t="s">
        <v>256</v>
      </c>
    </row>
    <row r="69221" customFormat="false" ht="12.8" hidden="false" customHeight="false" outlineLevel="0" collapsed="false">
      <c r="B69221" s="0" t="s">
        <v>106</v>
      </c>
    </row>
    <row r="69223" customFormat="false" ht="12.8" hidden="false" customHeight="false" outlineLevel="0" collapsed="false">
      <c r="A69223" s="0" t="s">
        <v>23503</v>
      </c>
      <c r="B69223" s="0" t="str">
        <f aca="false">HYPERLINK("https://lindat.mff.cuni.cz/services/teitok/pdtc10/index.php?action=vallex&amp;frame=v-w9462f1", "zhlavovat (v-w9462f1)")</f>
        <v>zhlavovat (v-w9462f1)</v>
      </c>
    </row>
    <row r="69224" customFormat="false" ht="12.8" hidden="false" customHeight="false" outlineLevel="0" collapsed="false">
      <c r="B69224" s="0" t="s">
        <v>7</v>
      </c>
    </row>
    <row r="69225" customFormat="false" ht="12.8" hidden="false" customHeight="false" outlineLevel="0" collapsed="false">
      <c r="B69225" s="0" t="s">
        <v>14</v>
      </c>
    </row>
    <row r="69227" customFormat="false" ht="12.8" hidden="false" customHeight="false" outlineLevel="0" collapsed="false">
      <c r="A69227" s="0" t="s">
        <v>23504</v>
      </c>
      <c r="B69227" s="0" t="str">
        <f aca="false">HYPERLINK("https://lindat.mff.cuni.cz/services/teitok/pdtc10/index.php?action=vallex&amp;frame=v-w9463f3_ZU", "zhlédnout (v-w9463f3_ZU)")</f>
        <v>zhlédnout (v-w9463f3_ZU)</v>
      </c>
    </row>
    <row r="69228" customFormat="false" ht="12.8" hidden="false" customHeight="false" outlineLevel="0" collapsed="false">
      <c r="B69228" s="0" t="s">
        <v>7</v>
      </c>
      <c r="C69228" s="0" t="s">
        <v>845</v>
      </c>
      <c r="D69228" s="0" t="s">
        <v>16156</v>
      </c>
      <c r="E69228" s="0" t="s">
        <v>16156</v>
      </c>
      <c r="F69228" s="0" t="s">
        <v>16156</v>
      </c>
    </row>
    <row r="69229" customFormat="false" ht="12.8" hidden="false" customHeight="false" outlineLevel="0" collapsed="false">
      <c r="B69229" s="0" t="s">
        <v>14</v>
      </c>
      <c r="C69229" s="0" t="s">
        <v>2726</v>
      </c>
      <c r="D69229" s="0" t="s">
        <v>16158</v>
      </c>
      <c r="E69229" s="0" t="s">
        <v>16158</v>
      </c>
      <c r="F69229" s="0" t="s">
        <v>16158</v>
      </c>
    </row>
    <row r="69231" customFormat="false" ht="12.8" hidden="false" customHeight="false" outlineLevel="0" collapsed="false">
      <c r="A69231" s="0" t="s">
        <v>23504</v>
      </c>
      <c r="B69231" s="0" t="str">
        <f aca="false">HYPERLINK("https://lindat.mff.cuni.cz/services/teitok/pdtc10/index.php?action=vallex&amp;frame=v-w9463f1", "zhlédnout (v-w9463f1) - substituted with v-w9463f3_ZU")</f>
        <v>zhlédnout (v-w9463f1) - substituted with v-w9463f3_ZU</v>
      </c>
    </row>
    <row r="69232" customFormat="false" ht="12.8" hidden="false" customHeight="false" outlineLevel="0" collapsed="false">
      <c r="B69232" s="0" t="s">
        <v>7</v>
      </c>
      <c r="C69232" s="0" t="s">
        <v>845</v>
      </c>
    </row>
    <row r="69233" customFormat="false" ht="12.8" hidden="false" customHeight="false" outlineLevel="0" collapsed="false">
      <c r="B69233" s="0" t="s">
        <v>14</v>
      </c>
      <c r="C69233" s="0" t="s">
        <v>2726</v>
      </c>
    </row>
    <row r="69235" customFormat="false" ht="12.8" hidden="false" customHeight="false" outlineLevel="0" collapsed="false">
      <c r="A69235" s="0" t="s">
        <v>23505</v>
      </c>
      <c r="B69235" s="0" t="str">
        <f aca="false">HYPERLINK("https://lindat.mff.cuni.cz/services/teitok/pdtc10/index.php?action=vallex&amp;frame=v-w9463f2", "zhlédnout (v-w9463f2)")</f>
        <v>zhlédnout (v-w9463f2)</v>
      </c>
    </row>
    <row r="69236" customFormat="false" ht="12.8" hidden="false" customHeight="false" outlineLevel="0" collapsed="false">
      <c r="B69236" s="0" t="s">
        <v>7</v>
      </c>
    </row>
    <row r="69237" customFormat="false" ht="12.8" hidden="false" customHeight="false" outlineLevel="0" collapsed="false">
      <c r="B69237" s="0" t="s">
        <v>14</v>
      </c>
    </row>
    <row r="69239" customFormat="false" ht="12.8" hidden="false" customHeight="false" outlineLevel="0" collapsed="false">
      <c r="A69239" s="0" t="s">
        <v>23506</v>
      </c>
      <c r="B69239" s="0" t="str">
        <f aca="false">HYPERLINK("https://lindat.mff.cuni.cz/services/teitok/pdtc10/index.php?action=vallex&amp;frame=v-w9465f1", "zhlížet se (v-w9465f1)")</f>
        <v>zhlížet se (v-w9465f1)</v>
      </c>
    </row>
    <row r="69240" customFormat="false" ht="12.8" hidden="false" customHeight="false" outlineLevel="0" collapsed="false">
      <c r="B69240" s="0" t="s">
        <v>7</v>
      </c>
    </row>
    <row r="69241" customFormat="false" ht="12.8" hidden="false" customHeight="false" outlineLevel="0" collapsed="false">
      <c r="B69241" s="0" t="s">
        <v>387</v>
      </c>
    </row>
    <row r="69243" customFormat="false" ht="12.8" hidden="false" customHeight="false" outlineLevel="0" collapsed="false">
      <c r="A69243" s="0" t="s">
        <v>23507</v>
      </c>
      <c r="B69243" s="0" t="str">
        <f aca="false">HYPERLINK("https://lindat.mff.cuni.cz/services/teitok/pdtc10/index.php?action=vallex&amp;frame=v-w10777f2", "zhmotnit (v-w10777f2)")</f>
        <v>zhmotnit (v-w10777f2)</v>
      </c>
    </row>
    <row r="69244" customFormat="false" ht="12.8" hidden="false" customHeight="false" outlineLevel="0" collapsed="false">
      <c r="B69244" s="0" t="s">
        <v>7</v>
      </c>
    </row>
    <row r="69245" customFormat="false" ht="12.8" hidden="false" customHeight="false" outlineLevel="0" collapsed="false">
      <c r="B69245" s="0" t="s">
        <v>14</v>
      </c>
    </row>
    <row r="69247" customFormat="false" ht="12.8" hidden="false" customHeight="false" outlineLevel="0" collapsed="false">
      <c r="A69247" s="0" t="s">
        <v>23508</v>
      </c>
      <c r="B69247" s="0" t="str">
        <f aca="false">HYPERLINK("https://lindat.mff.cuni.cz/services/teitok/pdtc10/index.php?action=vallex&amp;frame=v-w9466f1", "zhmotňovat se (v-w9466f1)")</f>
        <v>zhmotňovat se (v-w9466f1)</v>
      </c>
    </row>
    <row r="69248" customFormat="false" ht="12.8" hidden="false" customHeight="false" outlineLevel="0" collapsed="false">
      <c r="B69248" s="0" t="s">
        <v>7</v>
      </c>
    </row>
    <row r="69250" customFormat="false" ht="12.8" hidden="false" customHeight="false" outlineLevel="0" collapsed="false">
      <c r="A69250" s="0" t="s">
        <v>23509</v>
      </c>
      <c r="B69250" s="0" t="str">
        <f aca="false">HYPERLINK("https://lindat.mff.cuni.cz/services/teitok/pdtc10/index.php?action=vallex&amp;frame=v-w9468f1", "zhodnocovat (v-w9468f1)")</f>
        <v>zhodnocovat (v-w9468f1)</v>
      </c>
    </row>
    <row r="69251" customFormat="false" ht="12.8" hidden="false" customHeight="false" outlineLevel="0" collapsed="false">
      <c r="B69251" s="0" t="s">
        <v>7</v>
      </c>
      <c r="D69251" s="0" t="s">
        <v>3664</v>
      </c>
      <c r="E69251" s="0" t="s">
        <v>3664</v>
      </c>
      <c r="F69251" s="0" t="s">
        <v>3664</v>
      </c>
    </row>
    <row r="69252" customFormat="false" ht="12.8" hidden="false" customHeight="false" outlineLevel="0" collapsed="false">
      <c r="B69252" s="0" t="s">
        <v>1520</v>
      </c>
      <c r="D69252" s="0" t="s">
        <v>899</v>
      </c>
      <c r="E69252" s="0" t="s">
        <v>899</v>
      </c>
      <c r="F69252" s="0" t="s">
        <v>899</v>
      </c>
    </row>
    <row r="69254" customFormat="false" ht="12.8" hidden="false" customHeight="false" outlineLevel="0" collapsed="false">
      <c r="A69254" s="0" t="s">
        <v>23510</v>
      </c>
      <c r="B69254" s="0" t="str">
        <f aca="false">HYPERLINK("https://lindat.mff.cuni.cz/services/teitok/pdtc10/index.php?action=vallex&amp;frame=v-whsa_172f1_ZU", "zhodnocovat se (v-whsa_172f1_ZU)")</f>
        <v>zhodnocovat se (v-whsa_172f1_ZU)</v>
      </c>
    </row>
    <row r="69255" customFormat="false" ht="12.8" hidden="false" customHeight="false" outlineLevel="0" collapsed="false">
      <c r="B69255" s="0" t="s">
        <v>7</v>
      </c>
      <c r="C69255" s="0" t="s">
        <v>4651</v>
      </c>
    </row>
    <row r="69256" customFormat="false" ht="12.8" hidden="false" customHeight="false" outlineLevel="0" collapsed="false">
      <c r="B69256" s="0" t="s">
        <v>63</v>
      </c>
    </row>
    <row r="69258" customFormat="false" ht="12.8" hidden="false" customHeight="false" outlineLevel="0" collapsed="false">
      <c r="A69258" s="0" t="s">
        <v>23510</v>
      </c>
      <c r="B69258" s="0" t="str">
        <f aca="false">HYPERLINK("https://lindat.mff.cuni.cz/services/teitok/pdtc10/index.php?action=vallex&amp;frame=v-whsa_172hsa_173", "zhodnocovat se (v-whsa_172hsa_173) - substituted with v-whsa_172f1_ZU")</f>
        <v>zhodnocovat se (v-whsa_172hsa_173) - substituted with v-whsa_172f1_ZU</v>
      </c>
    </row>
    <row r="69259" customFormat="false" ht="12.8" hidden="false" customHeight="false" outlineLevel="0" collapsed="false">
      <c r="B69259" s="0" t="s">
        <v>7</v>
      </c>
    </row>
    <row r="69260" customFormat="false" ht="12.8" hidden="false" customHeight="false" outlineLevel="0" collapsed="false">
      <c r="B69260" s="0" t="s">
        <v>63</v>
      </c>
    </row>
    <row r="69262" customFormat="false" ht="12.8" hidden="false" customHeight="false" outlineLevel="0" collapsed="false">
      <c r="A69262" s="0" t="s">
        <v>23511</v>
      </c>
      <c r="B69262" s="0" t="str">
        <f aca="false">HYPERLINK("https://lindat.mff.cuni.cz/services/teitok/pdtc10/index.php?action=vallex&amp;frame=v-w9469f2", "zhodnotit (v-w9469f2)")</f>
        <v>zhodnotit (v-w9469f2)</v>
      </c>
    </row>
    <row r="69263" customFormat="false" ht="12.8" hidden="false" customHeight="false" outlineLevel="0" collapsed="false">
      <c r="B69263" s="0" t="s">
        <v>7</v>
      </c>
    </row>
    <row r="69264" customFormat="false" ht="12.8" hidden="false" customHeight="false" outlineLevel="0" collapsed="false">
      <c r="B69264" s="0" t="s">
        <v>14</v>
      </c>
    </row>
    <row r="69265" customFormat="false" ht="12.8" hidden="false" customHeight="false" outlineLevel="0" collapsed="false">
      <c r="B69265" s="0" t="s">
        <v>23512</v>
      </c>
    </row>
    <row r="69267" customFormat="false" ht="12.8" hidden="false" customHeight="false" outlineLevel="0" collapsed="false">
      <c r="A69267" s="0" t="s">
        <v>23513</v>
      </c>
      <c r="B69267" s="0" t="str">
        <f aca="false">HYPERLINK("https://lindat.mff.cuni.cz/services/teitok/pdtc10/index.php?action=vallex&amp;frame=v-w9469f1", "zhodnotit (v-w9469f1)")</f>
        <v>zhodnotit (v-w9469f1)</v>
      </c>
    </row>
    <row r="69268" customFormat="false" ht="12.8" hidden="false" customHeight="false" outlineLevel="0" collapsed="false">
      <c r="B69268" s="0" t="s">
        <v>7</v>
      </c>
      <c r="C69268" s="0" t="s">
        <v>1509</v>
      </c>
      <c r="D69268" s="0" t="s">
        <v>92</v>
      </c>
      <c r="E69268" s="0" t="s">
        <v>92</v>
      </c>
      <c r="F69268" s="0" t="s">
        <v>92</v>
      </c>
    </row>
    <row r="69269" customFormat="false" ht="12.8" hidden="false" customHeight="false" outlineLevel="0" collapsed="false">
      <c r="B69269" s="0" t="s">
        <v>1520</v>
      </c>
      <c r="C69269" s="0" t="s">
        <v>22169</v>
      </c>
      <c r="D69269" s="0" t="s">
        <v>95</v>
      </c>
      <c r="E69269" s="0" t="s">
        <v>95</v>
      </c>
      <c r="F69269" s="0" t="s">
        <v>95</v>
      </c>
    </row>
    <row r="69271" customFormat="false" ht="12.8" hidden="false" customHeight="false" outlineLevel="0" collapsed="false">
      <c r="A69271" s="0" t="s">
        <v>23514</v>
      </c>
      <c r="B69271" s="0" t="str">
        <f aca="false">HYPERLINK("https://lindat.mff.cuni.cz/services/teitok/pdtc10/index.php?action=vallex&amp;frame=v-w9469f3_ZU", "zhodnotit (v-w9469f3_ZU)")</f>
        <v>zhodnotit (v-w9469f3_ZU)</v>
      </c>
    </row>
    <row r="69272" customFormat="false" ht="12.8" hidden="false" customHeight="false" outlineLevel="0" collapsed="false">
      <c r="B69272" s="0" t="s">
        <v>7</v>
      </c>
      <c r="C69272" s="0" t="s">
        <v>4651</v>
      </c>
    </row>
    <row r="69273" customFormat="false" ht="12.8" hidden="false" customHeight="false" outlineLevel="0" collapsed="false">
      <c r="B69273" s="0" t="s">
        <v>63</v>
      </c>
    </row>
    <row r="69275" customFormat="false" ht="12.8" hidden="false" customHeight="false" outlineLevel="0" collapsed="false">
      <c r="A69275" s="0" t="s">
        <v>23515</v>
      </c>
      <c r="B69275" s="0" t="str">
        <f aca="false">HYPERLINK("https://lindat.mff.cuni.cz/services/teitok/pdtc10/index.php?action=vallex&amp;frame=v-whsa_352hsa_353", "zhodnotit se (v-whsa_352hsa_353)")</f>
        <v>zhodnotit se (v-whsa_352hsa_353)</v>
      </c>
    </row>
    <row r="69276" customFormat="false" ht="12.8" hidden="false" customHeight="false" outlineLevel="0" collapsed="false">
      <c r="B69276" s="0" t="s">
        <v>7</v>
      </c>
      <c r="C69276" s="0" t="s">
        <v>4651</v>
      </c>
    </row>
    <row r="69277" customFormat="false" ht="12.8" hidden="false" customHeight="false" outlineLevel="0" collapsed="false">
      <c r="B69277" s="0" t="s">
        <v>63</v>
      </c>
    </row>
    <row r="69279" customFormat="false" ht="12.8" hidden="false" customHeight="false" outlineLevel="0" collapsed="false">
      <c r="A69279" s="0" t="s">
        <v>23516</v>
      </c>
      <c r="B69279" s="0" t="str">
        <f aca="false">HYPERLINK("https://lindat.mff.cuni.cz/services/teitok/pdtc10/index.php?action=vallex&amp;frame=v-whsa_999hsa_1000", "zhojit (v-whsa_999hsa_1000)")</f>
        <v>zhojit (v-whsa_999hsa_1000)</v>
      </c>
    </row>
    <row r="69280" customFormat="false" ht="12.8" hidden="false" customHeight="false" outlineLevel="0" collapsed="false">
      <c r="B69280" s="0" t="s">
        <v>7</v>
      </c>
      <c r="D69280" s="0" t="s">
        <v>4732</v>
      </c>
      <c r="E69280" s="0" t="s">
        <v>4732</v>
      </c>
      <c r="F69280" s="0" t="s">
        <v>4732</v>
      </c>
    </row>
    <row r="69281" customFormat="false" ht="12.8" hidden="false" customHeight="false" outlineLevel="0" collapsed="false">
      <c r="B69281" s="0" t="s">
        <v>14</v>
      </c>
      <c r="C69281" s="0" t="s">
        <v>567</v>
      </c>
      <c r="D69281" s="0" t="s">
        <v>4737</v>
      </c>
      <c r="E69281" s="0" t="s">
        <v>4737</v>
      </c>
      <c r="F69281" s="0" t="s">
        <v>4737</v>
      </c>
    </row>
    <row r="69283" customFormat="false" ht="12.8" hidden="false" customHeight="false" outlineLevel="0" collapsed="false">
      <c r="A69283" s="0" t="s">
        <v>23517</v>
      </c>
      <c r="B69283" s="0" t="str">
        <f aca="false">HYPERLINK("https://lindat.mff.cuni.cz/services/teitok/pdtc10/index.php?action=vallex&amp;frame=v-w9471f1", "zhoršit (v-w9471f1)")</f>
        <v>zhoršit (v-w9471f1)</v>
      </c>
    </row>
    <row r="69284" customFormat="false" ht="12.8" hidden="false" customHeight="false" outlineLevel="0" collapsed="false">
      <c r="B69284" s="0" t="s">
        <v>7</v>
      </c>
      <c r="C69284" s="0" t="s">
        <v>23518</v>
      </c>
      <c r="D69284" s="0" t="s">
        <v>2012</v>
      </c>
      <c r="E69284" s="0" t="s">
        <v>15127</v>
      </c>
      <c r="F69284" s="0" t="s">
        <v>23519</v>
      </c>
    </row>
    <row r="69285" customFormat="false" ht="12.8" hidden="false" customHeight="false" outlineLevel="0" collapsed="false">
      <c r="B69285" s="0" t="s">
        <v>14</v>
      </c>
      <c r="C69285" s="0" t="s">
        <v>11793</v>
      </c>
      <c r="D69285" s="0" t="s">
        <v>11703</v>
      </c>
      <c r="E69285" s="0" t="s">
        <v>15128</v>
      </c>
      <c r="F69285" s="0" t="s">
        <v>23520</v>
      </c>
    </row>
    <row r="69287" customFormat="false" ht="12.8" hidden="false" customHeight="false" outlineLevel="0" collapsed="false">
      <c r="A69287" s="0" t="s">
        <v>23521</v>
      </c>
      <c r="B69287" s="0" t="str">
        <f aca="false">HYPERLINK("https://lindat.mff.cuni.cz/services/teitok/pdtc10/index.php?action=vallex&amp;frame=v-w9472f1", "zhoršit se (v-w9472f1)")</f>
        <v>zhoršit se (v-w9472f1)</v>
      </c>
    </row>
    <row r="69288" customFormat="false" ht="12.8" hidden="false" customHeight="false" outlineLevel="0" collapsed="false">
      <c r="B69288" s="0" t="s">
        <v>7</v>
      </c>
      <c r="C69288" s="0" t="s">
        <v>19877</v>
      </c>
      <c r="D69288" s="0" t="s">
        <v>23522</v>
      </c>
      <c r="E69288" s="0" t="s">
        <v>23522</v>
      </c>
      <c r="F69288" s="0" t="s">
        <v>23522</v>
      </c>
    </row>
    <row r="69290" customFormat="false" ht="12.8" hidden="false" customHeight="false" outlineLevel="0" collapsed="false">
      <c r="A69290" s="0" t="s">
        <v>23523</v>
      </c>
      <c r="B69290" s="0" t="str">
        <f aca="false">HYPERLINK("https://lindat.mff.cuni.cz/services/teitok/pdtc10/index.php?action=vallex&amp;frame=v-w9474f1", "zhoršovat (v-w9474f1)")</f>
        <v>zhoršovat (v-w9474f1)</v>
      </c>
    </row>
    <row r="69291" customFormat="false" ht="12.8" hidden="false" customHeight="false" outlineLevel="0" collapsed="false">
      <c r="B69291" s="0" t="s">
        <v>7</v>
      </c>
      <c r="C69291" s="0" t="s">
        <v>12330</v>
      </c>
      <c r="D69291" s="0" t="s">
        <v>2012</v>
      </c>
      <c r="E69291" s="0" t="s">
        <v>2012</v>
      </c>
      <c r="F69291" s="0" t="s">
        <v>2012</v>
      </c>
    </row>
    <row r="69292" customFormat="false" ht="12.8" hidden="false" customHeight="false" outlineLevel="0" collapsed="false">
      <c r="B69292" s="0" t="s">
        <v>14</v>
      </c>
      <c r="C69292" s="0" t="s">
        <v>23524</v>
      </c>
      <c r="D69292" s="0" t="s">
        <v>11703</v>
      </c>
      <c r="E69292" s="0" t="s">
        <v>11703</v>
      </c>
      <c r="F69292" s="0" t="s">
        <v>11703</v>
      </c>
    </row>
    <row r="69294" customFormat="false" ht="12.8" hidden="false" customHeight="false" outlineLevel="0" collapsed="false">
      <c r="A69294" s="0" t="s">
        <v>23525</v>
      </c>
      <c r="B69294" s="0" t="str">
        <f aca="false">HYPERLINK("https://lindat.mff.cuni.cz/services/teitok/pdtc10/index.php?action=vallex&amp;frame=v-w9475f1", "zhoršovat se (v-w9475f1)")</f>
        <v>zhoršovat se (v-w9475f1)</v>
      </c>
    </row>
    <row r="69295" customFormat="false" ht="12.8" hidden="false" customHeight="false" outlineLevel="0" collapsed="false">
      <c r="B69295" s="0" t="s">
        <v>7</v>
      </c>
      <c r="C69295" s="0" t="s">
        <v>23526</v>
      </c>
      <c r="D69295" s="0" t="s">
        <v>23522</v>
      </c>
      <c r="E69295" s="0" t="s">
        <v>23522</v>
      </c>
      <c r="F69295" s="0" t="s">
        <v>23522</v>
      </c>
    </row>
    <row r="69297" customFormat="false" ht="12.8" hidden="false" customHeight="false" outlineLevel="0" collapsed="false">
      <c r="A69297" s="0" t="s">
        <v>23527</v>
      </c>
      <c r="B69297" s="0" t="str">
        <f aca="false">HYPERLINK("https://lindat.mff.cuni.cz/services/teitok/pdtc10/index.php?action=vallex&amp;frame=v-whsa_1081hsa_1082", "zhospodárnit (v-whsa_1081hsa_1082)")</f>
        <v>zhospodárnit (v-whsa_1081hsa_1082)</v>
      </c>
    </row>
    <row r="69298" customFormat="false" ht="12.8" hidden="false" customHeight="false" outlineLevel="0" collapsed="false">
      <c r="B69298" s="0" t="s">
        <v>7</v>
      </c>
      <c r="C69298" s="0" t="s">
        <v>191</v>
      </c>
      <c r="D69298" s="0" t="s">
        <v>335</v>
      </c>
      <c r="E69298" s="0" t="s">
        <v>335</v>
      </c>
      <c r="F69298" s="0" t="s">
        <v>335</v>
      </c>
    </row>
    <row r="69299" customFormat="false" ht="12.8" hidden="false" customHeight="false" outlineLevel="0" collapsed="false">
      <c r="B69299" s="0" t="s">
        <v>14</v>
      </c>
      <c r="C69299" s="0" t="s">
        <v>567</v>
      </c>
      <c r="D69299" s="0" t="s">
        <v>173</v>
      </c>
      <c r="E69299" s="0" t="s">
        <v>173</v>
      </c>
      <c r="F69299" s="0" t="s">
        <v>173</v>
      </c>
    </row>
    <row r="69301" customFormat="false" ht="12.8" hidden="false" customHeight="false" outlineLevel="0" collapsed="false">
      <c r="A69301" s="0" t="s">
        <v>23528</v>
      </c>
      <c r="B69301" s="0" t="str">
        <f aca="false">HYPERLINK("https://lindat.mff.cuni.cz/services/teitok/pdtc10/index.php?action=vallex&amp;frame=v-w9476f1", "zhostit se (v-w9476f1)")</f>
        <v>zhostit se (v-w9476f1)</v>
      </c>
    </row>
    <row r="69302" customFormat="false" ht="12.8" hidden="false" customHeight="false" outlineLevel="0" collapsed="false">
      <c r="B69302" s="0" t="s">
        <v>7</v>
      </c>
    </row>
    <row r="69303" customFormat="false" ht="12.8" hidden="false" customHeight="false" outlineLevel="0" collapsed="false">
      <c r="B69303" s="0" t="s">
        <v>1087</v>
      </c>
    </row>
    <row r="69305" customFormat="false" ht="12.8" hidden="false" customHeight="false" outlineLevel="0" collapsed="false">
      <c r="A69305" s="0" t="s">
        <v>23529</v>
      </c>
      <c r="B69305" s="0" t="str">
        <f aca="false">HYPERLINK("https://lindat.mff.cuni.cz/services/teitok/pdtc10/index.php?action=vallex&amp;frame=v-w9478f1", "zhotovit (v-w9478f1)")</f>
        <v>zhotovit (v-w9478f1)</v>
      </c>
    </row>
    <row r="69306" customFormat="false" ht="12.8" hidden="false" customHeight="false" outlineLevel="0" collapsed="false">
      <c r="B69306" s="0" t="s">
        <v>7</v>
      </c>
      <c r="C69306" s="0" t="s">
        <v>46</v>
      </c>
      <c r="D69306" s="0" t="s">
        <v>23530</v>
      </c>
      <c r="E69306" s="0" t="s">
        <v>23530</v>
      </c>
      <c r="F69306" s="0" t="s">
        <v>23530</v>
      </c>
    </row>
    <row r="69307" customFormat="false" ht="12.8" hidden="false" customHeight="false" outlineLevel="0" collapsed="false">
      <c r="B69307" s="0" t="s">
        <v>14</v>
      </c>
      <c r="C69307" s="0" t="s">
        <v>47</v>
      </c>
      <c r="D69307" s="0" t="s">
        <v>23531</v>
      </c>
      <c r="E69307" s="0" t="s">
        <v>23531</v>
      </c>
      <c r="F69307" s="0" t="s">
        <v>23531</v>
      </c>
    </row>
    <row r="69308" customFormat="false" ht="12.8" hidden="false" customHeight="false" outlineLevel="0" collapsed="false">
      <c r="B69308" s="0" t="s">
        <v>35</v>
      </c>
      <c r="D69308" s="0" t="s">
        <v>5460</v>
      </c>
      <c r="E69308" s="0" t="s">
        <v>5460</v>
      </c>
      <c r="F69308" s="0" t="s">
        <v>5460</v>
      </c>
    </row>
    <row r="69310" customFormat="false" ht="12.8" hidden="false" customHeight="false" outlineLevel="0" collapsed="false">
      <c r="A69310" s="0" t="s">
        <v>23532</v>
      </c>
      <c r="B69310" s="0" t="str">
        <f aca="false">HYPERLINK("https://lindat.mff.cuni.cz/services/teitok/pdtc10/index.php?action=vallex&amp;frame=v-w12249_ZUf1_ZU", "zhotovovat (v-w12249_ZUf1_ZU)")</f>
        <v>zhotovovat (v-w12249_ZUf1_ZU)</v>
      </c>
    </row>
    <row r="69311" customFormat="false" ht="12.8" hidden="false" customHeight="false" outlineLevel="0" collapsed="false">
      <c r="B69311" s="0" t="s">
        <v>7</v>
      </c>
    </row>
    <row r="69312" customFormat="false" ht="12.8" hidden="false" customHeight="false" outlineLevel="0" collapsed="false">
      <c r="B69312" s="0" t="s">
        <v>14</v>
      </c>
    </row>
    <row r="69313" customFormat="false" ht="12.8" hidden="false" customHeight="false" outlineLevel="0" collapsed="false">
      <c r="B69313" s="0" t="s">
        <v>35</v>
      </c>
    </row>
    <row r="69315" customFormat="false" ht="12.8" hidden="false" customHeight="false" outlineLevel="0" collapsed="false">
      <c r="A69315" s="0" t="s">
        <v>23533</v>
      </c>
      <c r="B69315" s="0" t="str">
        <f aca="false">HYPERLINK("https://lindat.mff.cuni.cz/services/teitok/pdtc10/index.php?action=vallex&amp;frame=v-w11240f1", "zhoupnout se (v-w11240f1)")</f>
        <v>zhoupnout se (v-w11240f1)</v>
      </c>
    </row>
    <row r="69316" customFormat="false" ht="12.8" hidden="false" customHeight="false" outlineLevel="0" collapsed="false">
      <c r="B69316" s="0" t="s">
        <v>7</v>
      </c>
    </row>
    <row r="69318" customFormat="false" ht="12.8" hidden="false" customHeight="false" outlineLevel="0" collapsed="false">
      <c r="A69318" s="0" t="s">
        <v>23534</v>
      </c>
      <c r="B69318" s="0" t="str">
        <f aca="false">HYPERLINK("https://lindat.mff.cuni.cz/services/teitok/pdtc10/index.php?action=vallex&amp;frame=v-w9481f1", "zhoustnout (v-w9481f1)")</f>
        <v>zhoustnout (v-w9481f1)</v>
      </c>
    </row>
    <row r="69319" customFormat="false" ht="12.8" hidden="false" customHeight="false" outlineLevel="0" collapsed="false">
      <c r="B69319" s="0" t="s">
        <v>7</v>
      </c>
    </row>
    <row r="69321" customFormat="false" ht="12.8" hidden="false" customHeight="false" outlineLevel="0" collapsed="false">
      <c r="A69321" s="0" t="s">
        <v>23535</v>
      </c>
      <c r="B69321" s="0" t="str">
        <f aca="false">HYPERLINK("https://lindat.mff.cuni.cz/services/teitok/pdtc10/index.php?action=vallex&amp;frame=v-w11043f2", "zhořknout (v-w11043f2)")</f>
        <v>zhořknout (v-w11043f2)</v>
      </c>
    </row>
    <row r="69322" customFormat="false" ht="12.8" hidden="false" customHeight="false" outlineLevel="0" collapsed="false">
      <c r="B69322" s="0" t="s">
        <v>7</v>
      </c>
      <c r="C69322" s="0" t="s">
        <v>247</v>
      </c>
    </row>
    <row r="69324" customFormat="false" ht="12.8" hidden="false" customHeight="false" outlineLevel="0" collapsed="false">
      <c r="A69324" s="0" t="s">
        <v>23536</v>
      </c>
      <c r="B69324" s="0" t="str">
        <f aca="false">HYPERLINK("https://lindat.mff.cuni.cz/services/teitok/pdtc10/index.php?action=vallex&amp;frame=v-w9483f3_ZU", "zhroutit se (v-w9483f3_ZU)")</f>
        <v>zhroutit se (v-w9483f3_ZU)</v>
      </c>
    </row>
    <row r="69325" customFormat="false" ht="12.8" hidden="false" customHeight="false" outlineLevel="0" collapsed="false">
      <c r="B69325" s="0" t="s">
        <v>7</v>
      </c>
      <c r="C69325" s="0" t="s">
        <v>3282</v>
      </c>
      <c r="D69325" s="0" t="s">
        <v>9114</v>
      </c>
      <c r="E69325" s="0" t="s">
        <v>4615</v>
      </c>
      <c r="F69325" s="0" t="s">
        <v>4615</v>
      </c>
    </row>
    <row r="69326" customFormat="false" ht="12.8" hidden="false" customHeight="false" outlineLevel="0" collapsed="false">
      <c r="B69326" s="0" t="s">
        <v>4624</v>
      </c>
      <c r="C69326" s="0" t="s">
        <v>23537</v>
      </c>
      <c r="D69326" s="0" t="s">
        <v>9116</v>
      </c>
      <c r="E69326" s="0" t="s">
        <v>4618</v>
      </c>
      <c r="F69326" s="0" t="s">
        <v>4618</v>
      </c>
    </row>
    <row r="69327" customFormat="false" ht="12.8" hidden="false" customHeight="false" outlineLevel="0" collapsed="false">
      <c r="B69327" s="0" t="s">
        <v>35</v>
      </c>
      <c r="C69327" s="0" t="s">
        <v>6246</v>
      </c>
      <c r="D69327" s="0" t="s">
        <v>9118</v>
      </c>
      <c r="E69327" s="0" t="s">
        <v>4621</v>
      </c>
      <c r="F69327" s="0" t="s">
        <v>4621</v>
      </c>
    </row>
    <row r="69329" customFormat="false" ht="12.8" hidden="false" customHeight="false" outlineLevel="0" collapsed="false">
      <c r="A69329" s="0" t="s">
        <v>23538</v>
      </c>
      <c r="B69329" s="0" t="str">
        <f aca="false">HYPERLINK("https://lindat.mff.cuni.cz/services/teitok/pdtc10/index.php?action=vallex&amp;frame=v-w9483f1", "zhroutit se (v-w9483f1)")</f>
        <v>zhroutit se (v-w9483f1)</v>
      </c>
    </row>
    <row r="69330" customFormat="false" ht="12.8" hidden="false" customHeight="false" outlineLevel="0" collapsed="false">
      <c r="B69330" s="0" t="s">
        <v>7</v>
      </c>
      <c r="C69330" s="0" t="s">
        <v>13964</v>
      </c>
      <c r="F69330" s="0" t="s">
        <v>8860</v>
      </c>
    </row>
    <row r="69332" customFormat="false" ht="12.8" hidden="false" customHeight="false" outlineLevel="0" collapsed="false">
      <c r="A69332" s="0" t="s">
        <v>23539</v>
      </c>
      <c r="B69332" s="0" t="str">
        <f aca="false">HYPERLINK("https://lindat.mff.cuni.cz/services/teitok/pdtc10/index.php?action=vallex&amp;frame=v-w9483f2", "zhroutit se (v-w9483f2)")</f>
        <v>zhroutit se (v-w9483f2)</v>
      </c>
    </row>
    <row r="69333" customFormat="false" ht="12.8" hidden="false" customHeight="false" outlineLevel="0" collapsed="false">
      <c r="B69333" s="0" t="s">
        <v>7</v>
      </c>
      <c r="C69333" s="0" t="s">
        <v>23540</v>
      </c>
      <c r="D69333" s="0" t="s">
        <v>1902</v>
      </c>
      <c r="E69333" s="0" t="s">
        <v>1902</v>
      </c>
      <c r="F69333" s="0" t="s">
        <v>1902</v>
      </c>
    </row>
    <row r="69335" customFormat="false" ht="12.8" hidden="false" customHeight="false" outlineLevel="0" collapsed="false">
      <c r="A69335" s="0" t="s">
        <v>23541</v>
      </c>
      <c r="B69335" s="0" t="str">
        <f aca="false">HYPERLINK("https://lindat.mff.cuni.cz/services/teitok/pdtc10/index.php?action=vallex&amp;frame=v-w9483hsa_442", "zhroutit se (v-w9483hsa_442)")</f>
        <v>zhroutit se (v-w9483hsa_442)</v>
      </c>
    </row>
    <row r="69336" customFormat="false" ht="12.8" hidden="false" customHeight="false" outlineLevel="0" collapsed="false">
      <c r="B69336" s="0" t="s">
        <v>7</v>
      </c>
    </row>
    <row r="69338" customFormat="false" ht="12.8" hidden="false" customHeight="false" outlineLevel="0" collapsed="false">
      <c r="A69338" s="0" t="s">
        <v>23542</v>
      </c>
      <c r="B69338" s="0" t="str">
        <f aca="false">HYPERLINK("https://lindat.mff.cuni.cz/services/teitok/pdtc10/index.php?action=vallex&amp;frame=v-whsa_2041hsa_2042", "zhrozit se (v-whsa_2041hsa_2042)")</f>
        <v>zhrozit se (v-whsa_2041hsa_2042)</v>
      </c>
    </row>
    <row r="69339" customFormat="false" ht="12.8" hidden="false" customHeight="false" outlineLevel="0" collapsed="false">
      <c r="B69339" s="0" t="s">
        <v>7</v>
      </c>
    </row>
    <row r="69340" customFormat="false" ht="12.8" hidden="false" customHeight="false" outlineLevel="0" collapsed="false">
      <c r="B69340" s="0" t="s">
        <v>3620</v>
      </c>
    </row>
    <row r="69342" customFormat="false" ht="12.8" hidden="false" customHeight="false" outlineLevel="0" collapsed="false">
      <c r="A69342" s="0" t="s">
        <v>23543</v>
      </c>
      <c r="B69342" s="0" t="str">
        <f aca="false">HYPERLINK("https://lindat.mff.cuni.cz/services/teitok/pdtc10/index.php?action=vallex&amp;frame=v-w9484f1", "zhrudkovatět (v-w9484f1)")</f>
        <v>zhrudkovatět (v-w9484f1)</v>
      </c>
    </row>
    <row r="69343" customFormat="false" ht="12.8" hidden="false" customHeight="false" outlineLevel="0" collapsed="false">
      <c r="B69343" s="0" t="s">
        <v>7</v>
      </c>
    </row>
    <row r="69345" customFormat="false" ht="12.8" hidden="false" customHeight="false" outlineLevel="0" collapsed="false">
      <c r="A69345" s="0" t="s">
        <v>23544</v>
      </c>
      <c r="B69345" s="0" t="str">
        <f aca="false">HYPERLINK("https://lindat.mff.cuni.cz/services/teitok/pdtc10/index.php?action=vallex&amp;frame=v-w9486f1", "zhubnout (v-w9486f1)")</f>
        <v>zhubnout (v-w9486f1)</v>
      </c>
    </row>
    <row r="69346" customFormat="false" ht="12.8" hidden="false" customHeight="false" outlineLevel="0" collapsed="false">
      <c r="B69346" s="0" t="s">
        <v>7</v>
      </c>
    </row>
    <row r="69347" customFormat="false" ht="12.8" hidden="false" customHeight="false" outlineLevel="0" collapsed="false">
      <c r="B69347" s="0" t="s">
        <v>63</v>
      </c>
    </row>
    <row r="69348" customFormat="false" ht="12.8" hidden="false" customHeight="false" outlineLevel="0" collapsed="false">
      <c r="B69348" s="0" t="s">
        <v>35</v>
      </c>
    </row>
    <row r="69350" customFormat="false" ht="12.8" hidden="false" customHeight="false" outlineLevel="0" collapsed="false">
      <c r="A69350" s="0" t="s">
        <v>23545</v>
      </c>
      <c r="B69350" s="0" t="str">
        <f aca="false">HYPERLINK("https://lindat.mff.cuni.cz/services/teitok/pdtc10/index.php?action=vallex&amp;frame=v-w9487f1", "zhumanizovat (v-w9487f1)")</f>
        <v>zhumanizovat (v-w9487f1)</v>
      </c>
    </row>
    <row r="69351" customFormat="false" ht="12.8" hidden="false" customHeight="false" outlineLevel="0" collapsed="false">
      <c r="B69351" s="0" t="s">
        <v>7</v>
      </c>
    </row>
    <row r="69352" customFormat="false" ht="12.8" hidden="false" customHeight="false" outlineLevel="0" collapsed="false">
      <c r="B69352" s="0" t="s">
        <v>14</v>
      </c>
    </row>
    <row r="69354" customFormat="false" ht="12.8" hidden="false" customHeight="false" outlineLevel="0" collapsed="false">
      <c r="A69354" s="0" t="s">
        <v>23546</v>
      </c>
      <c r="B69354" s="0" t="str">
        <f aca="false">HYPERLINK("https://lindat.mff.cuni.cz/services/teitok/pdtc10/index.php?action=vallex&amp;frame=v-w11999_ZUf1_ZU", "zhuntovat (v-w11999_ZUf1_ZU)")</f>
        <v>zhuntovat (v-w11999_ZUf1_ZU)</v>
      </c>
    </row>
    <row r="69355" customFormat="false" ht="12.8" hidden="false" customHeight="false" outlineLevel="0" collapsed="false">
      <c r="B69355" s="0" t="s">
        <v>7</v>
      </c>
    </row>
    <row r="69356" customFormat="false" ht="12.8" hidden="false" customHeight="false" outlineLevel="0" collapsed="false">
      <c r="B69356" s="0" t="s">
        <v>14</v>
      </c>
    </row>
    <row r="69358" customFormat="false" ht="12.8" hidden="false" customHeight="false" outlineLevel="0" collapsed="false">
      <c r="A69358" s="0" t="s">
        <v>23547</v>
      </c>
      <c r="B69358" s="0" t="str">
        <f aca="false">HYPERLINK("https://lindat.mff.cuni.cz/services/teitok/pdtc10/index.php?action=vallex&amp;frame=v-w9488f1", "zhušťovat (v-w9488f1)")</f>
        <v>zhušťovat (v-w9488f1)</v>
      </c>
    </row>
    <row r="69359" customFormat="false" ht="12.8" hidden="false" customHeight="false" outlineLevel="0" collapsed="false">
      <c r="B69359" s="0" t="s">
        <v>7</v>
      </c>
    </row>
    <row r="69360" customFormat="false" ht="12.8" hidden="false" customHeight="false" outlineLevel="0" collapsed="false">
      <c r="B69360" s="0" t="s">
        <v>14</v>
      </c>
    </row>
    <row r="69362" customFormat="false" ht="12.8" hidden="false" customHeight="false" outlineLevel="0" collapsed="false">
      <c r="A69362" s="0" t="s">
        <v>23548</v>
      </c>
      <c r="B69362" s="0" t="str">
        <f aca="false">HYPERLINK("https://lindat.mff.cuni.cz/services/teitok/pdtc10/index.php?action=vallex&amp;frame=v-w9488f2", "zhušťovat (v-w9488f2)")</f>
        <v>zhušťovat (v-w9488f2)</v>
      </c>
    </row>
    <row r="69363" customFormat="false" ht="12.8" hidden="false" customHeight="false" outlineLevel="0" collapsed="false">
      <c r="B69363" s="0" t="s">
        <v>7</v>
      </c>
    </row>
    <row r="69364" customFormat="false" ht="12.8" hidden="false" customHeight="false" outlineLevel="0" collapsed="false">
      <c r="B69364" s="0" t="s">
        <v>14</v>
      </c>
    </row>
    <row r="69366" customFormat="false" ht="12.8" hidden="false" customHeight="false" outlineLevel="0" collapsed="false">
      <c r="A69366" s="0" t="s">
        <v>23549</v>
      </c>
      <c r="B69366" s="0" t="str">
        <f aca="false">HYPERLINK("https://lindat.mff.cuni.cz/services/teitok/pdtc10/index.php?action=vallex&amp;frame=v-w10753f2", "zhypnotizovat (v-w10753f2)")</f>
        <v>zhypnotizovat (v-w10753f2)</v>
      </c>
    </row>
    <row r="69367" customFormat="false" ht="12.8" hidden="false" customHeight="false" outlineLevel="0" collapsed="false">
      <c r="B69367" s="0" t="s">
        <v>7</v>
      </c>
      <c r="C69367" s="0" t="s">
        <v>191</v>
      </c>
      <c r="D69367" s="0" t="s">
        <v>31</v>
      </c>
      <c r="E69367" s="0" t="s">
        <v>31</v>
      </c>
      <c r="F69367" s="0" t="s">
        <v>31</v>
      </c>
    </row>
    <row r="69368" customFormat="false" ht="12.8" hidden="false" customHeight="false" outlineLevel="0" collapsed="false">
      <c r="B69368" s="0" t="s">
        <v>14</v>
      </c>
      <c r="C69368" s="0" t="s">
        <v>567</v>
      </c>
      <c r="D69368" s="0" t="s">
        <v>78</v>
      </c>
      <c r="E69368" s="0" t="s">
        <v>78</v>
      </c>
      <c r="F69368" s="0" t="s">
        <v>78</v>
      </c>
    </row>
    <row r="69370" customFormat="false" ht="12.8" hidden="false" customHeight="false" outlineLevel="0" collapsed="false">
      <c r="A69370" s="0" t="s">
        <v>23550</v>
      </c>
      <c r="B69370" s="0" t="str">
        <f aca="false">HYPERLINK("https://lindat.mff.cuni.cz/services/teitok/pdtc10/index.php?action=vallex&amp;frame=v-w9490f1", "zhysterizovat (v-w9490f1)")</f>
        <v>zhysterizovat (v-w9490f1)</v>
      </c>
    </row>
    <row r="69371" customFormat="false" ht="12.8" hidden="false" customHeight="false" outlineLevel="0" collapsed="false">
      <c r="B69371" s="0" t="s">
        <v>7</v>
      </c>
    </row>
    <row r="69372" customFormat="false" ht="12.8" hidden="false" customHeight="false" outlineLevel="0" collapsed="false">
      <c r="B69372" s="0" t="s">
        <v>14</v>
      </c>
    </row>
    <row r="69374" customFormat="false" ht="12.8" hidden="false" customHeight="false" outlineLevel="0" collapsed="false">
      <c r="A69374" s="0" t="s">
        <v>23551</v>
      </c>
      <c r="B69374" s="0" t="str">
        <f aca="false">HYPERLINK("https://lindat.mff.cuni.cz/services/teitok/pdtc10/index.php?action=vallex&amp;frame=v-w9489f1", "zhýčkat (v-w9489f1)")</f>
        <v>zhýčkat (v-w9489f1)</v>
      </c>
    </row>
    <row r="69375" customFormat="false" ht="12.8" hidden="false" customHeight="false" outlineLevel="0" collapsed="false">
      <c r="B69375" s="0" t="s">
        <v>7</v>
      </c>
    </row>
    <row r="69376" customFormat="false" ht="12.8" hidden="false" customHeight="false" outlineLevel="0" collapsed="false">
      <c r="B69376" s="0" t="s">
        <v>14</v>
      </c>
    </row>
    <row r="69378" customFormat="false" ht="12.8" hidden="false" customHeight="false" outlineLevel="0" collapsed="false">
      <c r="A69378" s="0" t="s">
        <v>23552</v>
      </c>
      <c r="B69378" s="0" t="str">
        <f aca="false">HYPERLINK("https://lindat.mff.cuni.cz/services/teitok/pdtc10/index.php?action=vallex&amp;frame=v-w9485f1", "zhřešit (v-w9485f1)")</f>
        <v>zhřešit (v-w9485f1)</v>
      </c>
    </row>
    <row r="69379" customFormat="false" ht="12.8" hidden="false" customHeight="false" outlineLevel="0" collapsed="false">
      <c r="B69379" s="0" t="s">
        <v>7</v>
      </c>
    </row>
    <row r="69381" customFormat="false" ht="12.8" hidden="false" customHeight="false" outlineLevel="0" collapsed="false">
      <c r="A69381" s="0" t="s">
        <v>23553</v>
      </c>
      <c r="B69381" s="0" t="str">
        <f aca="false">HYPERLINK("https://lindat.mff.cuni.cz/services/teitok/pdtc10/index.php?action=vallex&amp;frame=v-w9493f1", "zideologizovat (v-w9493f1)")</f>
        <v>zideologizovat (v-w9493f1)</v>
      </c>
    </row>
    <row r="69382" customFormat="false" ht="12.8" hidden="false" customHeight="false" outlineLevel="0" collapsed="false">
      <c r="B69382" s="0" t="s">
        <v>7</v>
      </c>
    </row>
    <row r="69383" customFormat="false" ht="12.8" hidden="false" customHeight="false" outlineLevel="0" collapsed="false">
      <c r="B69383" s="0" t="s">
        <v>14</v>
      </c>
    </row>
    <row r="69385" customFormat="false" ht="12.8" hidden="false" customHeight="false" outlineLevel="0" collapsed="false">
      <c r="A69385" s="0" t="s">
        <v>23554</v>
      </c>
      <c r="B69385" s="0" t="str">
        <f aca="false">HYPERLINK("https://lindat.mff.cuni.cz/services/teitok/pdtc10/index.php?action=vallex&amp;frame=v-w9494f1", "zinscenovat (v-w9494f1)")</f>
        <v>zinscenovat (v-w9494f1)</v>
      </c>
    </row>
    <row r="69386" customFormat="false" ht="12.8" hidden="false" customHeight="false" outlineLevel="0" collapsed="false">
      <c r="B69386" s="0" t="s">
        <v>7</v>
      </c>
      <c r="C69386" s="0" t="s">
        <v>22</v>
      </c>
      <c r="D69386" s="0" t="s">
        <v>23555</v>
      </c>
      <c r="E69386" s="0" t="s">
        <v>23555</v>
      </c>
      <c r="F69386" s="0" t="s">
        <v>23555</v>
      </c>
    </row>
    <row r="69387" customFormat="false" ht="12.8" hidden="false" customHeight="false" outlineLevel="0" collapsed="false">
      <c r="B69387" s="0" t="s">
        <v>14</v>
      </c>
      <c r="C69387" s="0" t="s">
        <v>488</v>
      </c>
      <c r="D69387" s="0" t="s">
        <v>2823</v>
      </c>
      <c r="E69387" s="0" t="s">
        <v>2823</v>
      </c>
      <c r="F69387" s="0" t="s">
        <v>2823</v>
      </c>
    </row>
    <row r="69389" customFormat="false" ht="12.8" hidden="false" customHeight="false" outlineLevel="0" collapsed="false">
      <c r="A69389" s="0" t="s">
        <v>23556</v>
      </c>
      <c r="B69389" s="0" t="str">
        <f aca="false">HYPERLINK("https://lindat.mff.cuni.cz/services/teitok/pdtc10/index.php?action=vallex&amp;frame=v-whsa_964hsa_965", "zintenzivňovat (v-whsa_964hsa_965)")</f>
        <v>zintenzivňovat (v-whsa_964hsa_965)</v>
      </c>
    </row>
    <row r="69390" customFormat="false" ht="12.8" hidden="false" customHeight="false" outlineLevel="0" collapsed="false">
      <c r="B69390" s="0" t="s">
        <v>7</v>
      </c>
      <c r="C69390" s="0" t="s">
        <v>504</v>
      </c>
    </row>
    <row r="69391" customFormat="false" ht="12.8" hidden="false" customHeight="false" outlineLevel="0" collapsed="false">
      <c r="B69391" s="0" t="s">
        <v>14</v>
      </c>
      <c r="C69391" s="0" t="s">
        <v>173</v>
      </c>
    </row>
    <row r="69393" customFormat="false" ht="12.8" hidden="false" customHeight="false" outlineLevel="0" collapsed="false">
      <c r="A69393" s="0" t="s">
        <v>23557</v>
      </c>
      <c r="B69393" s="0" t="str">
        <f aca="false">HYPERLINK("https://lindat.mff.cuni.cz/services/teitok/pdtc10/index.php?action=vallex&amp;frame=v-w9496f2_ZU", "zintenzívnit (v-w9496f2_ZU)")</f>
        <v>zintenzívnit (v-w9496f2_ZU)</v>
      </c>
    </row>
    <row r="69394" customFormat="false" ht="12.8" hidden="false" customHeight="false" outlineLevel="0" collapsed="false">
      <c r="B69394" s="0" t="s">
        <v>7</v>
      </c>
      <c r="D69394" s="0" t="s">
        <v>10610</v>
      </c>
      <c r="E69394" s="0" t="s">
        <v>10610</v>
      </c>
      <c r="F69394" s="0" t="s">
        <v>10610</v>
      </c>
    </row>
    <row r="69395" customFormat="false" ht="12.8" hidden="false" customHeight="false" outlineLevel="0" collapsed="false">
      <c r="B69395" s="0" t="s">
        <v>14</v>
      </c>
      <c r="C69395" s="0" t="s">
        <v>1170</v>
      </c>
      <c r="D69395" s="0" t="s">
        <v>5103</v>
      </c>
      <c r="E69395" s="0" t="s">
        <v>5103</v>
      </c>
      <c r="F69395" s="0" t="s">
        <v>5103</v>
      </c>
    </row>
    <row r="69397" customFormat="false" ht="12.8" hidden="false" customHeight="false" outlineLevel="0" collapsed="false">
      <c r="A69397" s="0" t="s">
        <v>23557</v>
      </c>
      <c r="B69397" s="0" t="str">
        <f aca="false">HYPERLINK("https://lindat.mff.cuni.cz/services/teitok/pdtc10/index.php?action=vallex&amp;frame=v-w9496f1", "zintenzívnit (v-w9496f1) - substituted with v-w9496f2_ZU")</f>
        <v>zintenzívnit (v-w9496f1) - substituted with v-w9496f2_ZU</v>
      </c>
    </row>
    <row r="69398" customFormat="false" ht="12.8" hidden="false" customHeight="false" outlineLevel="0" collapsed="false">
      <c r="B69398" s="0" t="s">
        <v>7</v>
      </c>
      <c r="C69398" s="0" t="s">
        <v>23558</v>
      </c>
    </row>
    <row r="69399" customFormat="false" ht="12.8" hidden="false" customHeight="false" outlineLevel="0" collapsed="false">
      <c r="B69399" s="0" t="s">
        <v>14</v>
      </c>
      <c r="C69399" s="0" t="s">
        <v>1170</v>
      </c>
    </row>
    <row r="69401" customFormat="false" ht="12.8" hidden="false" customHeight="false" outlineLevel="0" collapsed="false">
      <c r="A69401" s="0" t="s">
        <v>23559</v>
      </c>
      <c r="B69401" s="0" t="str">
        <f aca="false">HYPERLINK("https://lindat.mff.cuni.cz/services/teitok/pdtc10/index.php?action=vallex&amp;frame=v-whsa_867hsa_868", "zintenzívnit se (v-whsa_867hsa_868)")</f>
        <v>zintenzívnit se (v-whsa_867hsa_868)</v>
      </c>
    </row>
    <row r="69402" customFormat="false" ht="12.8" hidden="false" customHeight="false" outlineLevel="0" collapsed="false">
      <c r="B69402" s="0" t="s">
        <v>7</v>
      </c>
    </row>
    <row r="69404" customFormat="false" ht="12.8" hidden="false" customHeight="false" outlineLevel="0" collapsed="false">
      <c r="A69404" s="0" t="s">
        <v>23560</v>
      </c>
      <c r="B69404" s="0" t="str">
        <f aca="false">HYPERLINK("https://lindat.mff.cuni.cz/services/teitok/pdtc10/index.php?action=vallex&amp;frame=v-w11303f1", "zintenzívňovat (v-w11303f1)")</f>
        <v>zintenzívňovat (v-w11303f1)</v>
      </c>
    </row>
    <row r="69405" customFormat="false" ht="12.8" hidden="false" customHeight="false" outlineLevel="0" collapsed="false">
      <c r="B69405" s="0" t="s">
        <v>7</v>
      </c>
    </row>
    <row r="69406" customFormat="false" ht="12.8" hidden="false" customHeight="false" outlineLevel="0" collapsed="false">
      <c r="B69406" s="0" t="s">
        <v>14</v>
      </c>
    </row>
    <row r="69408" customFormat="false" ht="12.8" hidden="false" customHeight="false" outlineLevel="0" collapsed="false">
      <c r="A69408" s="0" t="s">
        <v>23561</v>
      </c>
      <c r="B69408" s="0" t="str">
        <f aca="false">HYPERLINK("https://lindat.mff.cuni.cz/services/teitok/pdtc10/index.php?action=vallex&amp;frame=v-w10755f2", "zintrikovat (v-w10755f2)")</f>
        <v>zintrikovat (v-w10755f2)</v>
      </c>
    </row>
    <row r="69409" customFormat="false" ht="12.8" hidden="false" customHeight="false" outlineLevel="0" collapsed="false">
      <c r="B69409" s="0" t="s">
        <v>7</v>
      </c>
    </row>
    <row r="69410" customFormat="false" ht="12.8" hidden="false" customHeight="false" outlineLevel="0" collapsed="false">
      <c r="B69410" s="0" t="s">
        <v>14</v>
      </c>
    </row>
    <row r="69412" customFormat="false" ht="12.8" hidden="false" customHeight="false" outlineLevel="0" collapsed="false">
      <c r="A69412" s="0" t="s">
        <v>23562</v>
      </c>
      <c r="B69412" s="0" t="str">
        <f aca="false">HYPERLINK("https://lindat.mff.cuni.cz/services/teitok/pdtc10/index.php?action=vallex&amp;frame=v-w9505f1", "zjasňovat se (v-w9505f1)")</f>
        <v>zjasňovat se (v-w9505f1)</v>
      </c>
    </row>
    <row r="69413" customFormat="false" ht="12.8" hidden="false" customHeight="false" outlineLevel="0" collapsed="false">
      <c r="B69413" s="0" t="s">
        <v>7</v>
      </c>
    </row>
    <row r="69415" customFormat="false" ht="12.8" hidden="false" customHeight="false" outlineLevel="0" collapsed="false">
      <c r="A69415" s="0" t="s">
        <v>23563</v>
      </c>
      <c r="B69415" s="0" t="str">
        <f aca="false">HYPERLINK("https://lindat.mff.cuni.cz/services/teitok/pdtc10/index.php?action=vallex&amp;frame=v-w9507f2", "zjednat (v-w9507f2)")</f>
        <v>zjednat (v-w9507f2)</v>
      </c>
    </row>
    <row r="69416" customFormat="false" ht="12.8" hidden="false" customHeight="false" outlineLevel="0" collapsed="false">
      <c r="B69416" s="0" t="s">
        <v>7</v>
      </c>
    </row>
    <row r="69417" customFormat="false" ht="12.8" hidden="false" customHeight="false" outlineLevel="0" collapsed="false">
      <c r="B69417" s="0" t="s">
        <v>14</v>
      </c>
    </row>
    <row r="69419" customFormat="false" ht="12.8" hidden="false" customHeight="false" outlineLevel="0" collapsed="false">
      <c r="A69419" s="0" t="s">
        <v>23564</v>
      </c>
      <c r="B69419" s="0" t="str">
        <f aca="false">HYPERLINK("https://lindat.mff.cuni.cz/services/teitok/pdtc10/index.php?action=vallex&amp;frame=v-w9507f3_ZU", "zjednat (v-w9507f3_ZU)")</f>
        <v>zjednat (v-w9507f3_ZU)</v>
      </c>
    </row>
    <row r="69420" customFormat="false" ht="12.8" hidden="false" customHeight="false" outlineLevel="0" collapsed="false">
      <c r="B69420" s="0" t="s">
        <v>7</v>
      </c>
    </row>
    <row r="69421" customFormat="false" ht="12.8" hidden="false" customHeight="false" outlineLevel="0" collapsed="false">
      <c r="B69421" s="0" t="s">
        <v>23565</v>
      </c>
    </row>
    <row r="69423" customFormat="false" ht="12.8" hidden="false" customHeight="false" outlineLevel="0" collapsed="false">
      <c r="A69423" s="0" t="s">
        <v>23564</v>
      </c>
      <c r="B69423" s="0" t="str">
        <f aca="false">HYPERLINK("https://lindat.mff.cuni.cz/services/teitok/pdtc10/index.php?action=vallex&amp;frame=v-w9507f1", "zjednat (v-w9507f1) - substituted with v-w9507f3_ZU")</f>
        <v>zjednat (v-w9507f1) - substituted with v-w9507f3_ZU</v>
      </c>
    </row>
    <row r="69424" customFormat="false" ht="12.8" hidden="false" customHeight="false" outlineLevel="0" collapsed="false">
      <c r="B69424" s="0" t="s">
        <v>7</v>
      </c>
    </row>
    <row r="69425" customFormat="false" ht="12.8" hidden="false" customHeight="false" outlineLevel="0" collapsed="false">
      <c r="B69425" s="0" t="s">
        <v>23565</v>
      </c>
    </row>
    <row r="69427" customFormat="false" ht="12.8" hidden="false" customHeight="false" outlineLevel="0" collapsed="false">
      <c r="A69427" s="0" t="s">
        <v>23566</v>
      </c>
      <c r="B69427" s="0" t="str">
        <f aca="false">HYPERLINK("https://lindat.mff.cuni.cz/services/teitok/pdtc10/index.php?action=vallex&amp;frame=v-w9507hsa_1973", "zjednat (v-w9507hsa_1973)")</f>
        <v>zjednat (v-w9507hsa_1973)</v>
      </c>
    </row>
    <row r="69428" customFormat="false" ht="12.8" hidden="false" customHeight="false" outlineLevel="0" collapsed="false">
      <c r="B69428" s="0" t="s">
        <v>7</v>
      </c>
    </row>
    <row r="69429" customFormat="false" ht="12.8" hidden="false" customHeight="false" outlineLevel="0" collapsed="false">
      <c r="B69429" s="0" t="s">
        <v>14</v>
      </c>
    </row>
    <row r="69431" customFormat="false" ht="12.8" hidden="false" customHeight="false" outlineLevel="0" collapsed="false">
      <c r="A69431" s="0" t="s">
        <v>23567</v>
      </c>
      <c r="B69431" s="0" t="str">
        <f aca="false">HYPERLINK("https://lindat.mff.cuni.cz/services/teitok/pdtc10/index.php?action=vallex&amp;frame=v-w9510f2", "zjednodušit (v-w9510f2)")</f>
        <v>zjednodušit (v-w9510f2)</v>
      </c>
    </row>
    <row r="69432" customFormat="false" ht="12.8" hidden="false" customHeight="false" outlineLevel="0" collapsed="false">
      <c r="B69432" s="0" t="s">
        <v>7</v>
      </c>
    </row>
    <row r="69433" customFormat="false" ht="12.8" hidden="false" customHeight="false" outlineLevel="0" collapsed="false">
      <c r="B69433" s="0" t="s">
        <v>14</v>
      </c>
    </row>
    <row r="69434" customFormat="false" ht="12.8" hidden="false" customHeight="false" outlineLevel="0" collapsed="false">
      <c r="B69434" s="0" t="s">
        <v>106</v>
      </c>
    </row>
    <row r="69436" customFormat="false" ht="12.8" hidden="false" customHeight="false" outlineLevel="0" collapsed="false">
      <c r="A69436" s="0" t="s">
        <v>23568</v>
      </c>
      <c r="B69436" s="0" t="str">
        <f aca="false">HYPERLINK("https://lindat.mff.cuni.cz/services/teitok/pdtc10/index.php?action=vallex&amp;frame=v-w9510f1", "zjednodušit (v-w9510f1)")</f>
        <v>zjednodušit (v-w9510f1)</v>
      </c>
    </row>
    <row r="69437" customFormat="false" ht="12.8" hidden="false" customHeight="false" outlineLevel="0" collapsed="false">
      <c r="B69437" s="0" t="s">
        <v>7</v>
      </c>
      <c r="C69437" s="0" t="s">
        <v>335</v>
      </c>
      <c r="D69437" s="0" t="s">
        <v>335</v>
      </c>
      <c r="E69437" s="0" t="s">
        <v>335</v>
      </c>
      <c r="F69437" s="0" t="s">
        <v>335</v>
      </c>
    </row>
    <row r="69438" customFormat="false" ht="12.8" hidden="false" customHeight="false" outlineLevel="0" collapsed="false">
      <c r="B69438" s="0" t="s">
        <v>14</v>
      </c>
      <c r="C69438" s="0" t="s">
        <v>173</v>
      </c>
      <c r="D69438" s="0" t="s">
        <v>173</v>
      </c>
      <c r="E69438" s="0" t="s">
        <v>173</v>
      </c>
      <c r="F69438" s="0" t="s">
        <v>173</v>
      </c>
    </row>
    <row r="69439" customFormat="false" ht="12.8" hidden="false" customHeight="false" outlineLevel="0" collapsed="false">
      <c r="B69439" s="0" t="s">
        <v>35</v>
      </c>
    </row>
    <row r="69440" customFormat="false" ht="12.8" hidden="false" customHeight="false" outlineLevel="0" collapsed="false">
      <c r="B69440" s="0" t="s">
        <v>37</v>
      </c>
    </row>
    <row r="69442" customFormat="false" ht="12.8" hidden="false" customHeight="false" outlineLevel="0" collapsed="false">
      <c r="A69442" s="0" t="s">
        <v>23569</v>
      </c>
      <c r="B69442" s="0" t="str">
        <f aca="false">HYPERLINK("https://lindat.mff.cuni.cz/services/teitok/pdtc10/index.php?action=vallex&amp;frame=v-w9511f1", "zjednodušit se (v-w9511f1)")</f>
        <v>zjednodušit se (v-w9511f1)</v>
      </c>
    </row>
    <row r="69443" customFormat="false" ht="12.8" hidden="false" customHeight="false" outlineLevel="0" collapsed="false">
      <c r="B69443" s="0" t="s">
        <v>7</v>
      </c>
    </row>
    <row r="69444" customFormat="false" ht="12.8" hidden="false" customHeight="false" outlineLevel="0" collapsed="false">
      <c r="B69444" s="0" t="s">
        <v>63</v>
      </c>
    </row>
    <row r="69445" customFormat="false" ht="12.8" hidden="false" customHeight="false" outlineLevel="0" collapsed="false">
      <c r="B69445" s="0" t="s">
        <v>35</v>
      </c>
    </row>
    <row r="69447" customFormat="false" ht="12.8" hidden="false" customHeight="false" outlineLevel="0" collapsed="false">
      <c r="A69447" s="0" t="s">
        <v>23570</v>
      </c>
      <c r="B69447" s="0" t="str">
        <f aca="false">HYPERLINK("https://lindat.mff.cuni.cz/services/teitok/pdtc10/index.php?action=vallex&amp;frame=v-w9512f2", "zjednodušovat (v-w9512f2)")</f>
        <v>zjednodušovat (v-w9512f2)</v>
      </c>
    </row>
    <row r="69448" customFormat="false" ht="12.8" hidden="false" customHeight="false" outlineLevel="0" collapsed="false">
      <c r="B69448" s="0" t="s">
        <v>7</v>
      </c>
    </row>
    <row r="69449" customFormat="false" ht="12.8" hidden="false" customHeight="false" outlineLevel="0" collapsed="false">
      <c r="B69449" s="0" t="s">
        <v>14</v>
      </c>
      <c r="C69449" s="0" t="s">
        <v>33</v>
      </c>
    </row>
    <row r="69450" customFormat="false" ht="12.8" hidden="false" customHeight="false" outlineLevel="0" collapsed="false">
      <c r="B69450" s="0" t="s">
        <v>106</v>
      </c>
    </row>
    <row r="69452" customFormat="false" ht="12.8" hidden="false" customHeight="false" outlineLevel="0" collapsed="false">
      <c r="A69452" s="0" t="s">
        <v>23571</v>
      </c>
      <c r="B69452" s="0" t="str">
        <f aca="false">HYPERLINK("https://lindat.mff.cuni.cz/services/teitok/pdtc10/index.php?action=vallex&amp;frame=v-w9512f1", "zjednodušovat (v-w9512f1)")</f>
        <v>zjednodušovat (v-w9512f1)</v>
      </c>
    </row>
    <row r="69453" customFormat="false" ht="12.8" hidden="false" customHeight="false" outlineLevel="0" collapsed="false">
      <c r="B69453" s="0" t="s">
        <v>7</v>
      </c>
      <c r="D69453" s="0" t="s">
        <v>335</v>
      </c>
      <c r="E69453" s="0" t="s">
        <v>335</v>
      </c>
      <c r="F69453" s="0" t="s">
        <v>335</v>
      </c>
    </row>
    <row r="69454" customFormat="false" ht="12.8" hidden="false" customHeight="false" outlineLevel="0" collapsed="false">
      <c r="B69454" s="0" t="s">
        <v>14</v>
      </c>
      <c r="D69454" s="0" t="s">
        <v>173</v>
      </c>
      <c r="E69454" s="0" t="s">
        <v>173</v>
      </c>
      <c r="F69454" s="0" t="s">
        <v>173</v>
      </c>
    </row>
    <row r="69455" customFormat="false" ht="12.8" hidden="false" customHeight="false" outlineLevel="0" collapsed="false">
      <c r="B69455" s="0" t="s">
        <v>35</v>
      </c>
    </row>
    <row r="69456" customFormat="false" ht="12.8" hidden="false" customHeight="false" outlineLevel="0" collapsed="false">
      <c r="B69456" s="0" t="s">
        <v>37</v>
      </c>
    </row>
    <row r="69458" customFormat="false" ht="12.8" hidden="false" customHeight="false" outlineLevel="0" collapsed="false">
      <c r="A69458" s="0" t="s">
        <v>23572</v>
      </c>
      <c r="B69458" s="0" t="str">
        <f aca="false">HYPERLINK("https://lindat.mff.cuni.cz/services/teitok/pdtc10/index.php?action=vallex&amp;frame=v-w9508f1", "zjednávat (v-w9508f1)")</f>
        <v>zjednávat (v-w9508f1)</v>
      </c>
    </row>
    <row r="69459" customFormat="false" ht="12.8" hidden="false" customHeight="false" outlineLevel="0" collapsed="false">
      <c r="B69459" s="0" t="s">
        <v>7</v>
      </c>
    </row>
    <row r="69460" customFormat="false" ht="12.8" hidden="false" customHeight="false" outlineLevel="0" collapsed="false">
      <c r="B69460" s="0" t="s">
        <v>14</v>
      </c>
    </row>
    <row r="69462" customFormat="false" ht="12.8" hidden="false" customHeight="false" outlineLevel="0" collapsed="false">
      <c r="A69462" s="0" t="s">
        <v>23573</v>
      </c>
      <c r="B69462" s="0" t="str">
        <f aca="false">HYPERLINK("https://lindat.mff.cuni.cz/services/teitok/pdtc10/index.php?action=vallex&amp;frame=v-w9508f2", "zjednávat (v-w9508f2)")</f>
        <v>zjednávat (v-w9508f2)</v>
      </c>
    </row>
    <row r="69463" customFormat="false" ht="12.8" hidden="false" customHeight="false" outlineLevel="0" collapsed="false">
      <c r="B69463" s="0" t="s">
        <v>7</v>
      </c>
    </row>
    <row r="69464" customFormat="false" ht="12.8" hidden="false" customHeight="false" outlineLevel="0" collapsed="false">
      <c r="B69464" s="0" t="s">
        <v>23574</v>
      </c>
    </row>
    <row r="69466" customFormat="false" ht="12.8" hidden="false" customHeight="false" outlineLevel="0" collapsed="false">
      <c r="A69466" s="0" t="s">
        <v>23575</v>
      </c>
      <c r="B69466" s="0" t="str">
        <f aca="false">HYPERLINK("https://lindat.mff.cuni.cz/services/teitok/pdtc10/index.php?action=vallex&amp;frame=v-w10877f2", "zjemnit (v-w10877f2)")</f>
        <v>zjemnit (v-w10877f2)</v>
      </c>
    </row>
    <row r="69467" customFormat="false" ht="12.8" hidden="false" customHeight="false" outlineLevel="0" collapsed="false">
      <c r="B69467" s="0" t="s">
        <v>7</v>
      </c>
    </row>
    <row r="69468" customFormat="false" ht="12.8" hidden="false" customHeight="false" outlineLevel="0" collapsed="false">
      <c r="B69468" s="0" t="s">
        <v>14</v>
      </c>
    </row>
    <row r="69470" customFormat="false" ht="12.8" hidden="false" customHeight="false" outlineLevel="0" collapsed="false">
      <c r="A69470" s="0" t="s">
        <v>23576</v>
      </c>
      <c r="B69470" s="0" t="str">
        <f aca="false">HYPERLINK("https://lindat.mff.cuni.cz/services/teitok/pdtc10/index.php?action=vallex&amp;frame=v-w9513f2", "zjevit se (v-w9513f2)")</f>
        <v>zjevit se (v-w9513f2)</v>
      </c>
    </row>
    <row r="69471" customFormat="false" ht="12.8" hidden="false" customHeight="false" outlineLevel="0" collapsed="false">
      <c r="B69471" s="0" t="s">
        <v>7</v>
      </c>
      <c r="C69471" s="0" t="s">
        <v>23577</v>
      </c>
      <c r="E69471" s="0" t="s">
        <v>1715</v>
      </c>
      <c r="F69471" s="0" t="s">
        <v>1715</v>
      </c>
    </row>
    <row r="69472" customFormat="false" ht="12.8" hidden="false" customHeight="false" outlineLevel="0" collapsed="false">
      <c r="B69472" s="0" t="s">
        <v>119</v>
      </c>
      <c r="C69472" s="0" t="s">
        <v>23578</v>
      </c>
    </row>
    <row r="69474" customFormat="false" ht="12.8" hidden="false" customHeight="false" outlineLevel="0" collapsed="false">
      <c r="A69474" s="0" t="s">
        <v>23579</v>
      </c>
      <c r="B69474" s="0" t="str">
        <f aca="false">HYPERLINK("https://lindat.mff.cuni.cz/services/teitok/pdtc10/index.php?action=vallex&amp;frame=v-w9513f1", "zjevit se (v-w9513f1)")</f>
        <v>zjevit se (v-w9513f1)</v>
      </c>
    </row>
    <row r="69475" customFormat="false" ht="12.8" hidden="false" customHeight="false" outlineLevel="0" collapsed="false">
      <c r="B69475" s="0" t="s">
        <v>7</v>
      </c>
      <c r="E69475" s="0" t="s">
        <v>7650</v>
      </c>
      <c r="F69475" s="0" t="s">
        <v>7650</v>
      </c>
    </row>
    <row r="69476" customFormat="false" ht="12.8" hidden="false" customHeight="false" outlineLevel="0" collapsed="false">
      <c r="B69476" s="0" t="s">
        <v>11</v>
      </c>
    </row>
    <row r="69478" customFormat="false" ht="12.8" hidden="false" customHeight="false" outlineLevel="0" collapsed="false">
      <c r="A69478" s="0" t="s">
        <v>23580</v>
      </c>
      <c r="B69478" s="0" t="str">
        <f aca="false">HYPERLINK("https://lindat.mff.cuni.cz/services/teitok/pdtc10/index.php?action=vallex&amp;frame=v-w9514f1", "zjevovat se (v-w9514f1)")</f>
        <v>zjevovat se (v-w9514f1)</v>
      </c>
    </row>
    <row r="69479" customFormat="false" ht="12.8" hidden="false" customHeight="false" outlineLevel="0" collapsed="false">
      <c r="B69479" s="0" t="s">
        <v>7</v>
      </c>
      <c r="D69479" s="0" t="s">
        <v>1715</v>
      </c>
      <c r="E69479" s="0" t="s">
        <v>1715</v>
      </c>
      <c r="F69479" s="0" t="s">
        <v>1715</v>
      </c>
    </row>
    <row r="69480" customFormat="false" ht="12.8" hidden="false" customHeight="false" outlineLevel="0" collapsed="false">
      <c r="B69480" s="0" t="s">
        <v>119</v>
      </c>
    </row>
    <row r="69482" customFormat="false" ht="12.8" hidden="false" customHeight="false" outlineLevel="0" collapsed="false">
      <c r="A69482" s="0" t="s">
        <v>23581</v>
      </c>
      <c r="B69482" s="0" t="str">
        <f aca="false">HYPERLINK("https://lindat.mff.cuni.cz/services/teitok/pdtc10/index.php?action=vallex&amp;frame=v-w9515f2", "zjistit (v-w9515f2)")</f>
        <v>zjistit (v-w9515f2)</v>
      </c>
    </row>
    <row r="69483" customFormat="false" ht="12.8" hidden="false" customHeight="false" outlineLevel="0" collapsed="false">
      <c r="B69483" s="0" t="s">
        <v>7</v>
      </c>
      <c r="C69483" s="0" t="s">
        <v>23582</v>
      </c>
      <c r="D69483" s="0" t="s">
        <v>2256</v>
      </c>
      <c r="E69483" s="0" t="s">
        <v>2256</v>
      </c>
      <c r="F69483" s="0" t="s">
        <v>2256</v>
      </c>
    </row>
    <row r="69484" customFormat="false" ht="12.8" hidden="false" customHeight="false" outlineLevel="0" collapsed="false">
      <c r="B69484" s="0" t="s">
        <v>23583</v>
      </c>
      <c r="C69484" s="0" t="s">
        <v>23584</v>
      </c>
      <c r="D69484" s="0" t="s">
        <v>2259</v>
      </c>
      <c r="E69484" s="0" t="s">
        <v>2259</v>
      </c>
      <c r="F69484" s="0" t="s">
        <v>2259</v>
      </c>
    </row>
    <row r="69485" customFormat="false" ht="12.8" hidden="false" customHeight="false" outlineLevel="0" collapsed="false">
      <c r="B69485" s="0" t="s">
        <v>9391</v>
      </c>
      <c r="C69485" s="0" t="s">
        <v>23585</v>
      </c>
      <c r="D69485" s="0" t="s">
        <v>2258</v>
      </c>
      <c r="E69485" s="0" t="s">
        <v>2258</v>
      </c>
      <c r="F69485" s="0" t="s">
        <v>2258</v>
      </c>
    </row>
    <row r="69486" customFormat="false" ht="12.8" hidden="false" customHeight="false" outlineLevel="0" collapsed="false">
      <c r="B69486" s="0" t="s">
        <v>23586</v>
      </c>
      <c r="C69486" s="0" t="s">
        <v>2480</v>
      </c>
      <c r="D69486" s="0" t="s">
        <v>2260</v>
      </c>
      <c r="E69486" s="0" t="s">
        <v>2260</v>
      </c>
      <c r="F69486" s="0" t="s">
        <v>2260</v>
      </c>
    </row>
    <row r="69488" customFormat="false" ht="12.8" hidden="false" customHeight="false" outlineLevel="0" collapsed="false">
      <c r="A69488" s="0" t="s">
        <v>23587</v>
      </c>
      <c r="B69488" s="0" t="str">
        <f aca="false">HYPERLINK("https://lindat.mff.cuni.cz/services/teitok/pdtc10/index.php?action=vallex&amp;frame=v-w9515f1", "zjistit (v-w9515f1)")</f>
        <v>zjistit (v-w9515f1)</v>
      </c>
    </row>
    <row r="69489" customFormat="false" ht="12.8" hidden="false" customHeight="false" outlineLevel="0" collapsed="false">
      <c r="B69489" s="0" t="s">
        <v>7</v>
      </c>
      <c r="C69489" s="0" t="s">
        <v>23588</v>
      </c>
      <c r="D69489" s="0" t="s">
        <v>2998</v>
      </c>
      <c r="E69489" s="0" t="s">
        <v>23589</v>
      </c>
      <c r="F69489" s="0" t="s">
        <v>23589</v>
      </c>
    </row>
    <row r="69490" customFormat="false" ht="12.8" hidden="false" customHeight="false" outlineLevel="0" collapsed="false">
      <c r="B69490" s="0" t="s">
        <v>1520</v>
      </c>
      <c r="C69490" s="0" t="s">
        <v>23590</v>
      </c>
      <c r="D69490" s="0" t="s">
        <v>3001</v>
      </c>
      <c r="E69490" s="0" t="s">
        <v>23591</v>
      </c>
      <c r="F69490" s="0" t="s">
        <v>23591</v>
      </c>
    </row>
    <row r="69492" customFormat="false" ht="12.8" hidden="false" customHeight="false" outlineLevel="0" collapsed="false">
      <c r="A69492" s="0" t="s">
        <v>23592</v>
      </c>
      <c r="B69492" s="0" t="str">
        <f aca="false">HYPERLINK("https://lindat.mff.cuni.cz/services/teitok/pdtc10/index.php?action=vallex&amp;frame=v-w11149f2", "zjitřit (v-w11149f2)")</f>
        <v>zjitřit (v-w11149f2)</v>
      </c>
    </row>
    <row r="69493" customFormat="false" ht="12.8" hidden="false" customHeight="false" outlineLevel="0" collapsed="false">
      <c r="B69493" s="0" t="s">
        <v>7</v>
      </c>
      <c r="C69493" s="0" t="s">
        <v>126</v>
      </c>
    </row>
    <row r="69494" customFormat="false" ht="12.8" hidden="false" customHeight="false" outlineLevel="0" collapsed="false">
      <c r="B69494" s="0" t="s">
        <v>14</v>
      </c>
      <c r="C69494" s="0" t="s">
        <v>493</v>
      </c>
    </row>
    <row r="69496" customFormat="false" ht="12.8" hidden="false" customHeight="false" outlineLevel="0" collapsed="false">
      <c r="A69496" s="0" t="s">
        <v>23593</v>
      </c>
      <c r="B69496" s="0" t="str">
        <f aca="false">HYPERLINK("https://lindat.mff.cuni.cz/services/teitok/pdtc10/index.php?action=vallex&amp;frame=v-w11151f2", "zjitřovat (v-w11151f2)")</f>
        <v>zjitřovat (v-w11151f2)</v>
      </c>
    </row>
    <row r="69497" customFormat="false" ht="12.8" hidden="false" customHeight="false" outlineLevel="0" collapsed="false">
      <c r="B69497" s="0" t="s">
        <v>7</v>
      </c>
    </row>
    <row r="69498" customFormat="false" ht="12.8" hidden="false" customHeight="false" outlineLevel="0" collapsed="false">
      <c r="B69498" s="0" t="s">
        <v>14</v>
      </c>
    </row>
    <row r="69500" customFormat="false" ht="12.8" hidden="false" customHeight="false" outlineLevel="0" collapsed="false">
      <c r="A69500" s="0" t="s">
        <v>23594</v>
      </c>
      <c r="B69500" s="0" t="str">
        <f aca="false">HYPERLINK("https://lindat.mff.cuni.cz/services/teitok/pdtc10/index.php?action=vallex&amp;frame=v-w9521f1", "zjizvit (v-w9521f1)")</f>
        <v>zjizvit (v-w9521f1)</v>
      </c>
    </row>
    <row r="69501" customFormat="false" ht="12.8" hidden="false" customHeight="false" outlineLevel="0" collapsed="false">
      <c r="B69501" s="0" t="s">
        <v>7</v>
      </c>
    </row>
    <row r="69502" customFormat="false" ht="12.8" hidden="false" customHeight="false" outlineLevel="0" collapsed="false">
      <c r="B69502" s="0" t="s">
        <v>14</v>
      </c>
    </row>
    <row r="69504" customFormat="false" ht="12.8" hidden="false" customHeight="false" outlineLevel="0" collapsed="false">
      <c r="A69504" s="0" t="s">
        <v>23595</v>
      </c>
      <c r="B69504" s="0" t="str">
        <f aca="false">HYPERLINK("https://lindat.mff.cuni.cz/services/teitok/pdtc10/index.php?action=vallex&amp;frame=v-w9520f2", "zjišťovat (v-w9520f2)")</f>
        <v>zjišťovat (v-w9520f2)</v>
      </c>
    </row>
    <row r="69505" customFormat="false" ht="12.8" hidden="false" customHeight="false" outlineLevel="0" collapsed="false">
      <c r="B69505" s="0" t="s">
        <v>7</v>
      </c>
      <c r="C69505" s="0" t="s">
        <v>14089</v>
      </c>
      <c r="D69505" s="0" t="s">
        <v>2256</v>
      </c>
      <c r="E69505" s="0" t="s">
        <v>2256</v>
      </c>
      <c r="F69505" s="0" t="s">
        <v>2256</v>
      </c>
    </row>
    <row r="69506" customFormat="false" ht="12.8" hidden="false" customHeight="false" outlineLevel="0" collapsed="false">
      <c r="B69506" s="0" t="s">
        <v>23583</v>
      </c>
      <c r="C69506" s="0" t="s">
        <v>23596</v>
      </c>
      <c r="D69506" s="0" t="s">
        <v>2259</v>
      </c>
      <c r="E69506" s="0" t="s">
        <v>2259</v>
      </c>
      <c r="F69506" s="0" t="s">
        <v>2259</v>
      </c>
    </row>
    <row r="69507" customFormat="false" ht="12.8" hidden="false" customHeight="false" outlineLevel="0" collapsed="false">
      <c r="B69507" s="0" t="s">
        <v>23597</v>
      </c>
      <c r="C69507" s="0" t="s">
        <v>23598</v>
      </c>
      <c r="D69507" s="0" t="s">
        <v>2258</v>
      </c>
      <c r="E69507" s="0" t="s">
        <v>2258</v>
      </c>
      <c r="F69507" s="0" t="s">
        <v>2258</v>
      </c>
    </row>
    <row r="69508" customFormat="false" ht="12.8" hidden="false" customHeight="false" outlineLevel="0" collapsed="false">
      <c r="B69508" s="0" t="s">
        <v>23586</v>
      </c>
      <c r="D69508" s="0" t="s">
        <v>2260</v>
      </c>
      <c r="E69508" s="0" t="s">
        <v>2260</v>
      </c>
      <c r="F69508" s="0" t="s">
        <v>2260</v>
      </c>
    </row>
    <row r="69510" customFormat="false" ht="12.8" hidden="false" customHeight="false" outlineLevel="0" collapsed="false">
      <c r="A69510" s="0" t="s">
        <v>23599</v>
      </c>
      <c r="B69510" s="0" t="str">
        <f aca="false">HYPERLINK("https://lindat.mff.cuni.cz/services/teitok/pdtc10/index.php?action=vallex&amp;frame=v-w9520f1", "zjišťovat (v-w9520f1)")</f>
        <v>zjišťovat (v-w9520f1)</v>
      </c>
    </row>
    <row r="69511" customFormat="false" ht="12.8" hidden="false" customHeight="false" outlineLevel="0" collapsed="false">
      <c r="B69511" s="0" t="s">
        <v>7</v>
      </c>
      <c r="C69511" s="0" t="s">
        <v>23600</v>
      </c>
      <c r="D69511" s="0" t="s">
        <v>92</v>
      </c>
      <c r="E69511" s="0" t="s">
        <v>92</v>
      </c>
      <c r="F69511" s="0" t="s">
        <v>92</v>
      </c>
    </row>
    <row r="69512" customFormat="false" ht="12.8" hidden="false" customHeight="false" outlineLevel="0" collapsed="false">
      <c r="B69512" s="0" t="s">
        <v>23601</v>
      </c>
      <c r="C69512" s="0" t="s">
        <v>23602</v>
      </c>
      <c r="D69512" s="0" t="s">
        <v>95</v>
      </c>
      <c r="E69512" s="0" t="s">
        <v>95</v>
      </c>
      <c r="F69512" s="0" t="s">
        <v>95</v>
      </c>
    </row>
    <row r="69514" customFormat="false" ht="12.8" hidden="false" customHeight="false" outlineLevel="0" collapsed="false">
      <c r="A69514" s="0" t="s">
        <v>23603</v>
      </c>
      <c r="B69514" s="0" t="str">
        <f aca="false">HYPERLINK("https://lindat.mff.cuni.cz/services/teitok/pdtc10/index.php?action=vallex&amp;frame=v-w11089f2", "zkalit (v-w11089f2)")</f>
        <v>zkalit (v-w11089f2)</v>
      </c>
    </row>
    <row r="69515" customFormat="false" ht="12.8" hidden="false" customHeight="false" outlineLevel="0" collapsed="false">
      <c r="B69515" s="0" t="s">
        <v>7</v>
      </c>
    </row>
    <row r="69516" customFormat="false" ht="12.8" hidden="false" customHeight="false" outlineLevel="0" collapsed="false">
      <c r="B69516" s="0" t="s">
        <v>14</v>
      </c>
    </row>
    <row r="69518" customFormat="false" ht="12.8" hidden="false" customHeight="false" outlineLevel="0" collapsed="false">
      <c r="A69518" s="0" t="s">
        <v>23604</v>
      </c>
      <c r="B69518" s="0" t="str">
        <f aca="false">HYPERLINK("https://lindat.mff.cuni.cz/services/teitok/pdtc10/index.php?action=vallex&amp;frame=v-whsa_286f1_ZU", "zkapalnit (v-whsa_286f1_ZU)")</f>
        <v>zkapalnit (v-whsa_286f1_ZU)</v>
      </c>
    </row>
    <row r="69519" customFormat="false" ht="12.8" hidden="false" customHeight="false" outlineLevel="0" collapsed="false">
      <c r="B69519" s="0" t="s">
        <v>7</v>
      </c>
    </row>
    <row r="69520" customFormat="false" ht="12.8" hidden="false" customHeight="false" outlineLevel="0" collapsed="false">
      <c r="B69520" s="0" t="s">
        <v>14</v>
      </c>
      <c r="C69520" s="0" t="s">
        <v>47</v>
      </c>
    </row>
    <row r="69522" customFormat="false" ht="12.8" hidden="false" customHeight="false" outlineLevel="0" collapsed="false">
      <c r="A69522" s="0" t="s">
        <v>23604</v>
      </c>
      <c r="B69522" s="0" t="str">
        <f aca="false">HYPERLINK("https://lindat.mff.cuni.cz/services/teitok/pdtc10/index.php?action=vallex&amp;frame=v-whsa_286hsa_287", "zkapalnit (v-whsa_286hsa_287) - substituted with v-whsa_286f1_ZU")</f>
        <v>zkapalnit (v-whsa_286hsa_287) - substituted with v-whsa_286f1_ZU</v>
      </c>
    </row>
    <row r="69523" customFormat="false" ht="12.8" hidden="false" customHeight="false" outlineLevel="0" collapsed="false">
      <c r="B69523" s="0" t="s">
        <v>7</v>
      </c>
    </row>
    <row r="69524" customFormat="false" ht="12.8" hidden="false" customHeight="false" outlineLevel="0" collapsed="false">
      <c r="B69524" s="0" t="s">
        <v>14</v>
      </c>
    </row>
    <row r="69526" customFormat="false" ht="12.8" hidden="false" customHeight="false" outlineLevel="0" collapsed="false">
      <c r="A69526" s="0" t="s">
        <v>23605</v>
      </c>
      <c r="B69526" s="0" t="str">
        <f aca="false">HYPERLINK("https://lindat.mff.cuni.cz/services/teitok/pdtc10/index.php?action=vallex&amp;frame=v-w9523f1", "zkazit (v-w9523f1)")</f>
        <v>zkazit (v-w9523f1)</v>
      </c>
    </row>
    <row r="69527" customFormat="false" ht="12.8" hidden="false" customHeight="false" outlineLevel="0" collapsed="false">
      <c r="B69527" s="0" t="s">
        <v>7</v>
      </c>
      <c r="C69527" s="0" t="s">
        <v>1287</v>
      </c>
      <c r="D69527" s="0" t="s">
        <v>4999</v>
      </c>
      <c r="E69527" s="0" t="s">
        <v>4999</v>
      </c>
      <c r="F69527" s="0" t="s">
        <v>23606</v>
      </c>
    </row>
    <row r="69528" customFormat="false" ht="12.8" hidden="false" customHeight="false" outlineLevel="0" collapsed="false">
      <c r="B69528" s="0" t="s">
        <v>14</v>
      </c>
      <c r="C69528" s="0" t="s">
        <v>24</v>
      </c>
      <c r="D69528" s="0" t="s">
        <v>1264</v>
      </c>
      <c r="E69528" s="0" t="s">
        <v>1264</v>
      </c>
      <c r="F69528" s="0" t="s">
        <v>23607</v>
      </c>
    </row>
    <row r="69529" customFormat="false" ht="12.8" hidden="false" customHeight="false" outlineLevel="0" collapsed="false">
      <c r="B69529" s="0" t="s">
        <v>106</v>
      </c>
    </row>
    <row r="69531" customFormat="false" ht="12.8" hidden="false" customHeight="false" outlineLevel="0" collapsed="false">
      <c r="A69531" s="0" t="s">
        <v>23608</v>
      </c>
      <c r="B69531" s="0" t="str">
        <f aca="false">HYPERLINK("https://lindat.mff.cuni.cz/services/teitok/pdtc10/index.php?action=vallex&amp;frame=v-w11647_ZUf1_ZU", "zkazit se (v-w11647_ZUf1_ZU)")</f>
        <v>zkazit se (v-w11647_ZUf1_ZU)</v>
      </c>
    </row>
    <row r="69532" customFormat="false" ht="12.8" hidden="false" customHeight="false" outlineLevel="0" collapsed="false">
      <c r="B69532" s="0" t="s">
        <v>7</v>
      </c>
      <c r="C69532" s="0" t="s">
        <v>396</v>
      </c>
      <c r="D69532" s="0" t="s">
        <v>396</v>
      </c>
      <c r="E69532" s="0" t="s">
        <v>396</v>
      </c>
      <c r="F69532" s="0" t="s">
        <v>396</v>
      </c>
    </row>
    <row r="69534" customFormat="false" ht="12.8" hidden="false" customHeight="false" outlineLevel="0" collapsed="false">
      <c r="A69534" s="0" t="s">
        <v>23609</v>
      </c>
      <c r="B69534" s="0" t="str">
        <f aca="false">HYPERLINK("https://lindat.mff.cuni.cz/services/teitok/pdtc10/index.php?action=vallex&amp;frame=v-w9526f1", "zklamat (v-w9526f1)")</f>
        <v>zklamat (v-w9526f1)</v>
      </c>
    </row>
    <row r="69535" customFormat="false" ht="12.8" hidden="false" customHeight="false" outlineLevel="0" collapsed="false">
      <c r="B69535" s="0" t="s">
        <v>15165</v>
      </c>
      <c r="C69535" s="0" t="s">
        <v>16307</v>
      </c>
      <c r="D69535" s="0" t="s">
        <v>88</v>
      </c>
      <c r="E69535" s="0" t="s">
        <v>88</v>
      </c>
      <c r="F69535" s="0" t="s">
        <v>88</v>
      </c>
    </row>
    <row r="69536" customFormat="false" ht="12.8" hidden="false" customHeight="false" outlineLevel="0" collapsed="false">
      <c r="B69536" s="0" t="s">
        <v>14</v>
      </c>
      <c r="C69536" s="0" t="s">
        <v>23610</v>
      </c>
      <c r="D69536" s="0" t="s">
        <v>15166</v>
      </c>
      <c r="E69536" s="0" t="s">
        <v>15166</v>
      </c>
      <c r="F69536" s="0" t="s">
        <v>15166</v>
      </c>
    </row>
    <row r="69538" customFormat="false" ht="12.8" hidden="false" customHeight="false" outlineLevel="0" collapsed="false">
      <c r="A69538" s="0" t="s">
        <v>23611</v>
      </c>
      <c r="B69538" s="0" t="str">
        <f aca="false">HYPERLINK("https://lindat.mff.cuni.cz/services/teitok/pdtc10/index.php?action=vallex&amp;frame=v-w9526f2", "zklamat (v-w9526f2)")</f>
        <v>zklamat (v-w9526f2)</v>
      </c>
    </row>
    <row r="69539" customFormat="false" ht="12.8" hidden="false" customHeight="false" outlineLevel="0" collapsed="false">
      <c r="B69539" s="0" t="s">
        <v>7</v>
      </c>
      <c r="C69539" s="0" t="s">
        <v>2074</v>
      </c>
    </row>
    <row r="69541" customFormat="false" ht="12.8" hidden="false" customHeight="false" outlineLevel="0" collapsed="false">
      <c r="A69541" s="0" t="s">
        <v>23612</v>
      </c>
      <c r="B69541" s="0" t="str">
        <f aca="false">HYPERLINK("https://lindat.mff.cuni.cz/services/teitok/pdtc10/index.php?action=vallex&amp;frame=v-w9528f1", "zklidnit (v-w9528f1)")</f>
        <v>zklidnit (v-w9528f1)</v>
      </c>
    </row>
    <row r="69542" customFormat="false" ht="12.8" hidden="false" customHeight="false" outlineLevel="0" collapsed="false">
      <c r="B69542" s="0" t="s">
        <v>7</v>
      </c>
      <c r="D69542" s="0" t="s">
        <v>1167</v>
      </c>
      <c r="E69542" s="0" t="s">
        <v>1167</v>
      </c>
      <c r="F69542" s="0" t="s">
        <v>1167</v>
      </c>
    </row>
    <row r="69543" customFormat="false" ht="12.8" hidden="false" customHeight="false" outlineLevel="0" collapsed="false">
      <c r="B69543" s="0" t="s">
        <v>14</v>
      </c>
      <c r="D69543" s="0" t="s">
        <v>1168</v>
      </c>
      <c r="E69543" s="0" t="s">
        <v>1168</v>
      </c>
      <c r="F69543" s="0" t="s">
        <v>1168</v>
      </c>
    </row>
    <row r="69545" customFormat="false" ht="12.8" hidden="false" customHeight="false" outlineLevel="0" collapsed="false">
      <c r="A69545" s="0" t="s">
        <v>23613</v>
      </c>
      <c r="B69545" s="0" t="str">
        <f aca="false">HYPERLINK("https://lindat.mff.cuni.cz/services/teitok/pdtc10/index.php?action=vallex&amp;frame=v-w11326f2", "zklidnit se (v-w11326f2)")</f>
        <v>zklidnit se (v-w11326f2)</v>
      </c>
    </row>
    <row r="69546" customFormat="false" ht="12.8" hidden="false" customHeight="false" outlineLevel="0" collapsed="false">
      <c r="B69546" s="0" t="s">
        <v>7</v>
      </c>
      <c r="C69546" s="0" t="s">
        <v>3693</v>
      </c>
      <c r="D69546" s="0" t="s">
        <v>16430</v>
      </c>
      <c r="E69546" s="0" t="s">
        <v>16430</v>
      </c>
      <c r="F69546" s="0" t="s">
        <v>16430</v>
      </c>
    </row>
    <row r="69548" customFormat="false" ht="12.8" hidden="false" customHeight="false" outlineLevel="0" collapsed="false">
      <c r="A69548" s="0" t="s">
        <v>23614</v>
      </c>
      <c r="B69548" s="0" t="str">
        <f aca="false">HYPERLINK("https://lindat.mff.cuni.cz/services/teitok/pdtc10/index.php?action=vallex&amp;frame=v-w10466f2", "zkolabovat (v-w10466f2)")</f>
        <v>zkolabovat (v-w10466f2)</v>
      </c>
    </row>
    <row r="69549" customFormat="false" ht="12.8" hidden="false" customHeight="false" outlineLevel="0" collapsed="false">
      <c r="B69549" s="0" t="s">
        <v>7</v>
      </c>
    </row>
    <row r="69551" customFormat="false" ht="12.8" hidden="false" customHeight="false" outlineLevel="0" collapsed="false">
      <c r="A69551" s="0" t="s">
        <v>23615</v>
      </c>
      <c r="B69551" s="0" t="str">
        <f aca="false">HYPERLINK("https://lindat.mff.cuni.cz/services/teitok/pdtc10/index.php?action=vallex&amp;frame=v-w9529f1", "zkolaudovat (v-w9529f1)")</f>
        <v>zkolaudovat (v-w9529f1)</v>
      </c>
    </row>
    <row r="69552" customFormat="false" ht="12.8" hidden="false" customHeight="false" outlineLevel="0" collapsed="false">
      <c r="B69552" s="0" t="s">
        <v>7</v>
      </c>
    </row>
    <row r="69553" customFormat="false" ht="12.8" hidden="false" customHeight="false" outlineLevel="0" collapsed="false">
      <c r="B69553" s="0" t="s">
        <v>165</v>
      </c>
    </row>
    <row r="69555" customFormat="false" ht="12.8" hidden="false" customHeight="false" outlineLevel="0" collapsed="false">
      <c r="A69555" s="0" t="s">
        <v>23616</v>
      </c>
      <c r="B69555" s="0" t="str">
        <f aca="false">HYPERLINK("https://lindat.mff.cuni.cz/services/teitok/pdtc10/index.php?action=vallex&amp;frame=v-w9530f1", "zkombinovat (v-w9530f1)")</f>
        <v>zkombinovat (v-w9530f1)</v>
      </c>
    </row>
    <row r="69556" customFormat="false" ht="12.8" hidden="false" customHeight="false" outlineLevel="0" collapsed="false">
      <c r="B69556" s="0" t="s">
        <v>7</v>
      </c>
      <c r="C69556" s="0" t="s">
        <v>1627</v>
      </c>
    </row>
    <row r="69557" customFormat="false" ht="12.8" hidden="false" customHeight="false" outlineLevel="0" collapsed="false">
      <c r="B69557" s="0" t="s">
        <v>14</v>
      </c>
      <c r="C69557" s="0" t="s">
        <v>3615</v>
      </c>
    </row>
    <row r="69558" customFormat="false" ht="12.8" hidden="false" customHeight="false" outlineLevel="0" collapsed="false">
      <c r="B69558" s="0" t="s">
        <v>3086</v>
      </c>
      <c r="C69558" s="0" t="s">
        <v>4724</v>
      </c>
    </row>
    <row r="69560" customFormat="false" ht="12.8" hidden="false" customHeight="false" outlineLevel="0" collapsed="false">
      <c r="A69560" s="0" t="s">
        <v>23617</v>
      </c>
      <c r="B69560" s="0" t="str">
        <f aca="false">HYPERLINK("https://lindat.mff.cuni.cz/services/teitok/pdtc10/index.php?action=vallex&amp;frame=v-w11678_ZUf1_ZU", "zkomolit (v-w11678_ZUf1_ZU)")</f>
        <v>zkomolit (v-w11678_ZUf1_ZU)</v>
      </c>
    </row>
    <row r="69561" customFormat="false" ht="12.8" hidden="false" customHeight="false" outlineLevel="0" collapsed="false">
      <c r="B69561" s="0" t="s">
        <v>7</v>
      </c>
    </row>
    <row r="69562" customFormat="false" ht="12.8" hidden="false" customHeight="false" outlineLevel="0" collapsed="false">
      <c r="B69562" s="0" t="s">
        <v>14</v>
      </c>
    </row>
    <row r="69563" customFormat="false" ht="12.8" hidden="false" customHeight="false" outlineLevel="0" collapsed="false">
      <c r="B69563" s="0" t="s">
        <v>84</v>
      </c>
    </row>
    <row r="69564" customFormat="false" ht="12.8" hidden="false" customHeight="false" outlineLevel="0" collapsed="false">
      <c r="B69564" s="0" t="s">
        <v>35</v>
      </c>
    </row>
    <row r="69566" customFormat="false" ht="12.8" hidden="false" customHeight="false" outlineLevel="0" collapsed="false">
      <c r="A69566" s="0" t="s">
        <v>23618</v>
      </c>
      <c r="B69566" s="0" t="str">
        <f aca="false">HYPERLINK("https://lindat.mff.cuni.cz/services/teitok/pdtc10/index.php?action=vallex&amp;frame=v-w10302f2", "zkompletovat (v-w10302f2)")</f>
        <v>zkompletovat (v-w10302f2)</v>
      </c>
    </row>
    <row r="69567" customFormat="false" ht="12.8" hidden="false" customHeight="false" outlineLevel="0" collapsed="false">
      <c r="B69567" s="0" t="s">
        <v>7</v>
      </c>
    </row>
    <row r="69568" customFormat="false" ht="12.8" hidden="false" customHeight="false" outlineLevel="0" collapsed="false">
      <c r="B69568" s="0" t="s">
        <v>14</v>
      </c>
    </row>
    <row r="69570" customFormat="false" ht="12.8" hidden="false" customHeight="false" outlineLevel="0" collapsed="false">
      <c r="A69570" s="0" t="s">
        <v>23619</v>
      </c>
      <c r="B69570" s="0" t="str">
        <f aca="false">HYPERLINK("https://lindat.mff.cuni.cz/services/teitok/pdtc10/index.php?action=vallex&amp;frame=v-w9531f3_ZU", "zkomplikovat (v-w9531f3_ZU)")</f>
        <v>zkomplikovat (v-w9531f3_ZU)</v>
      </c>
    </row>
    <row r="69571" customFormat="false" ht="12.8" hidden="false" customHeight="false" outlineLevel="0" collapsed="false">
      <c r="B69571" s="0" t="s">
        <v>7</v>
      </c>
    </row>
    <row r="69572" customFormat="false" ht="12.8" hidden="false" customHeight="false" outlineLevel="0" collapsed="false">
      <c r="B69572" s="0" t="s">
        <v>14</v>
      </c>
    </row>
    <row r="69573" customFormat="false" ht="12.8" hidden="false" customHeight="false" outlineLevel="0" collapsed="false">
      <c r="B69573" s="0" t="s">
        <v>106</v>
      </c>
    </row>
    <row r="69575" customFormat="false" ht="12.8" hidden="false" customHeight="false" outlineLevel="0" collapsed="false">
      <c r="A69575" s="0" t="s">
        <v>23619</v>
      </c>
      <c r="B69575" s="0" t="str">
        <f aca="false">HYPERLINK("https://lindat.mff.cuni.cz/services/teitok/pdtc10/index.php?action=vallex&amp;frame=v-w9531f1", "zkomplikovat (v-w9531f1) - substituted with v-w9531f3_ZU")</f>
        <v>zkomplikovat (v-w9531f1) - substituted with v-w9531f3_ZU</v>
      </c>
    </row>
    <row r="69576" customFormat="false" ht="12.8" hidden="false" customHeight="false" outlineLevel="0" collapsed="false">
      <c r="B69576" s="0" t="s">
        <v>7</v>
      </c>
      <c r="C69576" s="0" t="s">
        <v>7052</v>
      </c>
    </row>
    <row r="69577" customFormat="false" ht="12.8" hidden="false" customHeight="false" outlineLevel="0" collapsed="false">
      <c r="B69577" s="0" t="s">
        <v>14</v>
      </c>
      <c r="C69577" s="0" t="s">
        <v>23620</v>
      </c>
    </row>
    <row r="69578" customFormat="false" ht="12.8" hidden="false" customHeight="false" outlineLevel="0" collapsed="false">
      <c r="B69578" s="0" t="s">
        <v>106</v>
      </c>
      <c r="C69578" s="0" t="s">
        <v>1861</v>
      </c>
    </row>
    <row r="69580" customFormat="false" ht="12.8" hidden="false" customHeight="false" outlineLevel="0" collapsed="false">
      <c r="A69580" s="0" t="s">
        <v>23619</v>
      </c>
      <c r="B69580" s="0" t="str">
        <f aca="false">HYPERLINK("https://lindat.mff.cuni.cz/services/teitok/pdtc10/index.php?action=vallex&amp;frame=v-w9531f2_ZU", "zkomplikovat (v-w9531f2_ZU) - substituted with v-w9531f3_ZU")</f>
        <v>zkomplikovat (v-w9531f2_ZU) - substituted with v-w9531f3_ZU</v>
      </c>
    </row>
    <row r="69581" customFormat="false" ht="12.8" hidden="false" customHeight="false" outlineLevel="0" collapsed="false">
      <c r="B69581" s="0" t="s">
        <v>7</v>
      </c>
    </row>
    <row r="69582" customFormat="false" ht="12.8" hidden="false" customHeight="false" outlineLevel="0" collapsed="false">
      <c r="B69582" s="0" t="s">
        <v>14</v>
      </c>
    </row>
    <row r="69583" customFormat="false" ht="12.8" hidden="false" customHeight="false" outlineLevel="0" collapsed="false">
      <c r="B69583" s="0" t="s">
        <v>106</v>
      </c>
    </row>
    <row r="69585" customFormat="false" ht="12.8" hidden="false" customHeight="false" outlineLevel="0" collapsed="false">
      <c r="A69585" s="0" t="s">
        <v>23621</v>
      </c>
      <c r="B69585" s="0" t="str">
        <f aca="false">HYPERLINK("https://lindat.mff.cuni.cz/services/teitok/pdtc10/index.php?action=vallex&amp;frame=v-whsa_1153hsa_1154", "zkomplikovat se (v-whsa_1153hsa_1154)")</f>
        <v>zkomplikovat se (v-whsa_1153hsa_1154)</v>
      </c>
    </row>
    <row r="69586" customFormat="false" ht="12.8" hidden="false" customHeight="false" outlineLevel="0" collapsed="false">
      <c r="B69586" s="0" t="s">
        <v>7</v>
      </c>
      <c r="C69586" s="0" t="s">
        <v>7671</v>
      </c>
      <c r="D69586" s="0" t="s">
        <v>23522</v>
      </c>
      <c r="E69586" s="0" t="s">
        <v>23522</v>
      </c>
      <c r="F69586" s="0" t="s">
        <v>23522</v>
      </c>
    </row>
    <row r="69588" customFormat="false" ht="12.8" hidden="false" customHeight="false" outlineLevel="0" collapsed="false">
      <c r="A69588" s="0" t="s">
        <v>23622</v>
      </c>
      <c r="B69588" s="0" t="str">
        <f aca="false">HYPERLINK("https://lindat.mff.cuni.cz/services/teitok/pdtc10/index.php?action=vallex&amp;frame=v-w9532f1", "zkomponovat (v-w9532f1)")</f>
        <v>zkomponovat (v-w9532f1)</v>
      </c>
    </row>
    <row r="69589" customFormat="false" ht="12.8" hidden="false" customHeight="false" outlineLevel="0" collapsed="false">
      <c r="B69589" s="0" t="s">
        <v>7</v>
      </c>
    </row>
    <row r="69590" customFormat="false" ht="12.8" hidden="false" customHeight="false" outlineLevel="0" collapsed="false">
      <c r="B69590" s="0" t="s">
        <v>14</v>
      </c>
    </row>
    <row r="69592" customFormat="false" ht="12.8" hidden="false" customHeight="false" outlineLevel="0" collapsed="false">
      <c r="A69592" s="0" t="s">
        <v>23623</v>
      </c>
      <c r="B69592" s="0" t="str">
        <f aca="false">HYPERLINK("https://lindat.mff.cuni.cz/services/teitok/pdtc10/index.php?action=vallex&amp;frame=v-w9533f1", "zkoncentrovat se (v-w9533f1)")</f>
        <v>zkoncentrovat se (v-w9533f1)</v>
      </c>
    </row>
    <row r="69593" customFormat="false" ht="12.8" hidden="false" customHeight="false" outlineLevel="0" collapsed="false">
      <c r="B69593" s="0" t="s">
        <v>7</v>
      </c>
    </row>
    <row r="69594" customFormat="false" ht="12.8" hidden="false" customHeight="false" outlineLevel="0" collapsed="false">
      <c r="B69594" s="0" t="s">
        <v>63</v>
      </c>
    </row>
    <row r="69596" customFormat="false" ht="12.8" hidden="false" customHeight="false" outlineLevel="0" collapsed="false">
      <c r="A69596" s="0" t="s">
        <v>23624</v>
      </c>
      <c r="B69596" s="0" t="str">
        <f aca="false">HYPERLINK("https://lindat.mff.cuni.cz/services/teitok/pdtc10/index.php?action=vallex&amp;frame=v-w10644f2", "zkoncipovat (v-w10644f2)")</f>
        <v>zkoncipovat (v-w10644f2)</v>
      </c>
    </row>
    <row r="69597" customFormat="false" ht="12.8" hidden="false" customHeight="false" outlineLevel="0" collapsed="false">
      <c r="B69597" s="0" t="s">
        <v>7</v>
      </c>
      <c r="D69597" s="0" t="s">
        <v>3803</v>
      </c>
      <c r="E69597" s="0" t="s">
        <v>3803</v>
      </c>
      <c r="F69597" s="0" t="s">
        <v>3803</v>
      </c>
    </row>
    <row r="69598" customFormat="false" ht="12.8" hidden="false" customHeight="false" outlineLevel="0" collapsed="false">
      <c r="B69598" s="0" t="s">
        <v>14</v>
      </c>
      <c r="D69598" s="0" t="s">
        <v>1467</v>
      </c>
      <c r="E69598" s="0" t="s">
        <v>1467</v>
      </c>
      <c r="F69598" s="0" t="s">
        <v>1467</v>
      </c>
    </row>
    <row r="69599" customFormat="false" ht="12.8" hidden="false" customHeight="false" outlineLevel="0" collapsed="false">
      <c r="B69599" s="0" t="s">
        <v>35</v>
      </c>
    </row>
    <row r="69601" customFormat="false" ht="12.8" hidden="false" customHeight="false" outlineLevel="0" collapsed="false">
      <c r="A69601" s="0" t="s">
        <v>23625</v>
      </c>
      <c r="B69601" s="0" t="str">
        <f aca="false">HYPERLINK("https://lindat.mff.cuni.cz/services/teitok/pdtc10/index.php?action=vallex&amp;frame=v-w9534f1", "zkonfiskovat (v-w9534f1)")</f>
        <v>zkonfiskovat (v-w9534f1)</v>
      </c>
    </row>
    <row r="69602" customFormat="false" ht="12.8" hidden="false" customHeight="false" outlineLevel="0" collapsed="false">
      <c r="B69602" s="0" t="s">
        <v>7</v>
      </c>
      <c r="C69602" s="0" t="s">
        <v>3918</v>
      </c>
      <c r="D69602" s="0" t="s">
        <v>3051</v>
      </c>
      <c r="E69602" s="0" t="s">
        <v>3051</v>
      </c>
      <c r="F69602" s="0" t="s">
        <v>3051</v>
      </c>
    </row>
    <row r="69603" customFormat="false" ht="12.8" hidden="false" customHeight="false" outlineLevel="0" collapsed="false">
      <c r="B69603" s="0" t="s">
        <v>14</v>
      </c>
      <c r="C69603" s="0" t="s">
        <v>1605</v>
      </c>
      <c r="D69603" s="0" t="s">
        <v>2394</v>
      </c>
      <c r="E69603" s="0" t="s">
        <v>2394</v>
      </c>
      <c r="F69603" s="0" t="s">
        <v>2394</v>
      </c>
    </row>
    <row r="69605" customFormat="false" ht="12.8" hidden="false" customHeight="false" outlineLevel="0" collapsed="false">
      <c r="A69605" s="0" t="s">
        <v>23626</v>
      </c>
      <c r="B69605" s="0" t="str">
        <f aca="false">HYPERLINK("https://lindat.mff.cuni.cz/services/teitok/pdtc10/index.php?action=vallex&amp;frame=v-w11349f1", "zkonsolidovat (v-w11349f1)")</f>
        <v>zkonsolidovat (v-w11349f1)</v>
      </c>
    </row>
    <row r="69606" customFormat="false" ht="12.8" hidden="false" customHeight="false" outlineLevel="0" collapsed="false">
      <c r="B69606" s="0" t="s">
        <v>7</v>
      </c>
      <c r="C69606" s="0" t="s">
        <v>1332</v>
      </c>
    </row>
    <row r="69607" customFormat="false" ht="12.8" hidden="false" customHeight="false" outlineLevel="0" collapsed="false">
      <c r="B69607" s="0" t="s">
        <v>14</v>
      </c>
      <c r="C69607" s="0" t="s">
        <v>89</v>
      </c>
    </row>
    <row r="69609" customFormat="false" ht="12.8" hidden="false" customHeight="false" outlineLevel="0" collapsed="false">
      <c r="A69609" s="0" t="s">
        <v>23627</v>
      </c>
      <c r="B69609" s="0" t="str">
        <f aca="false">HYPERLINK("https://lindat.mff.cuni.cz/services/teitok/pdtc10/index.php?action=vallex&amp;frame=v-w9535f2_ZU", "zkonsolidovat se (v-w9535f2_ZU)")</f>
        <v>zkonsolidovat se (v-w9535f2_ZU)</v>
      </c>
    </row>
    <row r="69610" customFormat="false" ht="12.8" hidden="false" customHeight="false" outlineLevel="0" collapsed="false">
      <c r="B69610" s="0" t="s">
        <v>7</v>
      </c>
    </row>
    <row r="69612" customFormat="false" ht="12.8" hidden="false" customHeight="false" outlineLevel="0" collapsed="false">
      <c r="A69612" s="0" t="s">
        <v>23627</v>
      </c>
      <c r="B69612" s="0" t="str">
        <f aca="false">HYPERLINK("https://lindat.mff.cuni.cz/services/teitok/pdtc10/index.php?action=vallex&amp;frame=v-w9535f1", "zkonsolidovat se (v-w9535f1) - substituted with v-w9535f2_ZU")</f>
        <v>zkonsolidovat se (v-w9535f1) - substituted with v-w9535f2_ZU</v>
      </c>
    </row>
    <row r="69613" customFormat="false" ht="12.8" hidden="false" customHeight="false" outlineLevel="0" collapsed="false">
      <c r="B69613" s="0" t="s">
        <v>7</v>
      </c>
    </row>
    <row r="69615" customFormat="false" ht="12.8" hidden="false" customHeight="false" outlineLevel="0" collapsed="false">
      <c r="A69615" s="0" t="s">
        <v>23628</v>
      </c>
      <c r="B69615" s="0" t="str">
        <f aca="false">HYPERLINK("https://lindat.mff.cuni.cz/services/teitok/pdtc10/index.php?action=vallex&amp;frame=v-w9536f1", "zkonstruovat (v-w9536f1)")</f>
        <v>zkonstruovat (v-w9536f1)</v>
      </c>
    </row>
    <row r="69616" customFormat="false" ht="12.8" hidden="false" customHeight="false" outlineLevel="0" collapsed="false">
      <c r="B69616" s="0" t="s">
        <v>7</v>
      </c>
      <c r="C69616" s="0" t="s">
        <v>14784</v>
      </c>
      <c r="D69616" s="0" t="s">
        <v>4799</v>
      </c>
      <c r="E69616" s="0" t="s">
        <v>10877</v>
      </c>
      <c r="F69616" s="0" t="s">
        <v>10877</v>
      </c>
    </row>
    <row r="69617" customFormat="false" ht="12.8" hidden="false" customHeight="false" outlineLevel="0" collapsed="false">
      <c r="B69617" s="0" t="s">
        <v>14</v>
      </c>
      <c r="C69617" s="0" t="s">
        <v>21363</v>
      </c>
      <c r="D69617" s="0" t="s">
        <v>4801</v>
      </c>
      <c r="E69617" s="0" t="s">
        <v>10879</v>
      </c>
      <c r="F69617" s="0" t="s">
        <v>10879</v>
      </c>
    </row>
    <row r="69618" customFormat="false" ht="12.8" hidden="false" customHeight="false" outlineLevel="0" collapsed="false">
      <c r="B69618" s="0" t="s">
        <v>35</v>
      </c>
      <c r="C69618" s="0" t="s">
        <v>5459</v>
      </c>
      <c r="D69618" s="0" t="s">
        <v>5460</v>
      </c>
      <c r="E69618" s="0" t="s">
        <v>10746</v>
      </c>
      <c r="F69618" s="0" t="s">
        <v>10746</v>
      </c>
    </row>
    <row r="69620" customFormat="false" ht="12.8" hidden="false" customHeight="false" outlineLevel="0" collapsed="false">
      <c r="A69620" s="0" t="s">
        <v>23629</v>
      </c>
      <c r="B69620" s="0" t="str">
        <f aca="false">HYPERLINK("https://lindat.mff.cuni.cz/services/teitok/pdtc10/index.php?action=vallex&amp;frame=v-w11194f3", "zkontaktovat (v-w11194f3)")</f>
        <v>zkontaktovat (v-w11194f3)</v>
      </c>
    </row>
    <row r="69621" customFormat="false" ht="12.8" hidden="false" customHeight="false" outlineLevel="0" collapsed="false">
      <c r="B69621" s="0" t="s">
        <v>7</v>
      </c>
    </row>
    <row r="69622" customFormat="false" ht="12.8" hidden="false" customHeight="false" outlineLevel="0" collapsed="false">
      <c r="B69622" s="0" t="s">
        <v>14</v>
      </c>
    </row>
    <row r="69624" customFormat="false" ht="12.8" hidden="false" customHeight="false" outlineLevel="0" collapsed="false">
      <c r="A69624" s="0" t="s">
        <v>23630</v>
      </c>
      <c r="B69624" s="0" t="str">
        <f aca="false">HYPERLINK("https://lindat.mff.cuni.cz/services/teitok/pdtc10/index.php?action=vallex&amp;frame=v-w9537f1", "zkontrolovat (v-w9537f1)")</f>
        <v>zkontrolovat (v-w9537f1)</v>
      </c>
    </row>
    <row r="69625" customFormat="false" ht="12.8" hidden="false" customHeight="false" outlineLevel="0" collapsed="false">
      <c r="B69625" s="0" t="s">
        <v>7</v>
      </c>
      <c r="C69625" s="0" t="s">
        <v>2560</v>
      </c>
      <c r="D69625" s="0" t="s">
        <v>12368</v>
      </c>
      <c r="E69625" s="0" t="s">
        <v>12368</v>
      </c>
      <c r="F69625" s="0" t="s">
        <v>12368</v>
      </c>
    </row>
    <row r="69626" customFormat="false" ht="12.8" hidden="false" customHeight="false" outlineLevel="0" collapsed="false">
      <c r="B69626" s="0" t="s">
        <v>12922</v>
      </c>
      <c r="C69626" s="0" t="s">
        <v>7856</v>
      </c>
      <c r="D69626" s="0" t="s">
        <v>12370</v>
      </c>
      <c r="E69626" s="0" t="s">
        <v>12370</v>
      </c>
      <c r="F69626" s="0" t="s">
        <v>12370</v>
      </c>
    </row>
    <row r="69628" customFormat="false" ht="12.8" hidden="false" customHeight="false" outlineLevel="0" collapsed="false">
      <c r="A69628" s="0" t="s">
        <v>23631</v>
      </c>
      <c r="B69628" s="0" t="str">
        <f aca="false">HYPERLINK("https://lindat.mff.cuni.cz/services/teitok/pdtc10/index.php?action=vallex&amp;frame=v-w10077f2", "zkonvertovat (v-w10077f2)")</f>
        <v>zkonvertovat (v-w10077f2)</v>
      </c>
    </row>
    <row r="69629" customFormat="false" ht="12.8" hidden="false" customHeight="false" outlineLevel="0" collapsed="false">
      <c r="B69629" s="0" t="s">
        <v>7</v>
      </c>
    </row>
    <row r="69630" customFormat="false" ht="12.8" hidden="false" customHeight="false" outlineLevel="0" collapsed="false">
      <c r="B69630" s="0" t="s">
        <v>14</v>
      </c>
    </row>
    <row r="69631" customFormat="false" ht="12.8" hidden="false" customHeight="false" outlineLevel="0" collapsed="false">
      <c r="B69631" s="0" t="s">
        <v>35</v>
      </c>
    </row>
    <row r="69632" customFormat="false" ht="12.8" hidden="false" customHeight="false" outlineLevel="0" collapsed="false">
      <c r="B69632" s="0" t="s">
        <v>9483</v>
      </c>
    </row>
    <row r="69634" customFormat="false" ht="12.8" hidden="false" customHeight="false" outlineLevel="0" collapsed="false">
      <c r="A69634" s="0" t="s">
        <v>23632</v>
      </c>
      <c r="B69634" s="0" t="str">
        <f aca="false">HYPERLINK("https://lindat.mff.cuni.cz/services/teitok/pdtc10/index.php?action=vallex&amp;frame=v-w11648_ZUf3_ZU", "zkonzistentnit (v-w11648_ZUf3_ZU)")</f>
        <v>zkonzistentnit (v-w11648_ZUf3_ZU)</v>
      </c>
    </row>
    <row r="69635" customFormat="false" ht="12.8" hidden="false" customHeight="false" outlineLevel="0" collapsed="false">
      <c r="B69635" s="0" t="s">
        <v>7</v>
      </c>
      <c r="C69635" s="0" t="s">
        <v>3293</v>
      </c>
    </row>
    <row r="69636" customFormat="false" ht="12.8" hidden="false" customHeight="false" outlineLevel="0" collapsed="false">
      <c r="B69636" s="0" t="s">
        <v>14</v>
      </c>
      <c r="C69636" s="0" t="s">
        <v>3295</v>
      </c>
    </row>
    <row r="69637" customFormat="false" ht="12.8" hidden="false" customHeight="false" outlineLevel="0" collapsed="false">
      <c r="B69637" s="0" t="s">
        <v>207</v>
      </c>
    </row>
    <row r="69638" customFormat="false" ht="12.8" hidden="false" customHeight="false" outlineLevel="0" collapsed="false">
      <c r="B69638" s="0" t="s">
        <v>15649</v>
      </c>
    </row>
    <row r="69640" customFormat="false" ht="12.8" hidden="false" customHeight="false" outlineLevel="0" collapsed="false">
      <c r="A69640" s="0" t="s">
        <v>23632</v>
      </c>
      <c r="B69640" s="0" t="str">
        <f aca="false">HYPERLINK("https://lindat.mff.cuni.cz/services/teitok/pdtc10/index.php?action=vallex&amp;frame=v-w11648_ZUf1_ZU", "zkonzistentnit (v-w11648_ZUf1_ZU) - substituted with v-w11648_ZUf3_ZU")</f>
        <v>zkonzistentnit (v-w11648_ZUf1_ZU) - substituted with v-w11648_ZUf3_ZU</v>
      </c>
    </row>
    <row r="69641" customFormat="false" ht="12.8" hidden="false" customHeight="false" outlineLevel="0" collapsed="false">
      <c r="B69641" s="0" t="s">
        <v>7</v>
      </c>
    </row>
    <row r="69642" customFormat="false" ht="12.8" hidden="false" customHeight="false" outlineLevel="0" collapsed="false">
      <c r="B69642" s="0" t="s">
        <v>14</v>
      </c>
    </row>
    <row r="69643" customFormat="false" ht="12.8" hidden="false" customHeight="false" outlineLevel="0" collapsed="false">
      <c r="B69643" s="0" t="s">
        <v>207</v>
      </c>
    </row>
    <row r="69644" customFormat="false" ht="12.8" hidden="false" customHeight="false" outlineLevel="0" collapsed="false">
      <c r="B69644" s="0" t="s">
        <v>15649</v>
      </c>
    </row>
    <row r="69646" customFormat="false" ht="12.8" hidden="false" customHeight="false" outlineLevel="0" collapsed="false">
      <c r="A69646" s="0" t="s">
        <v>23632</v>
      </c>
      <c r="B69646" s="0" t="str">
        <f aca="false">HYPERLINK("https://lindat.mff.cuni.cz/services/teitok/pdtc10/index.php?action=vallex&amp;frame=v-w11648_ZUf2_ZU", "zkonzistentnit (v-w11648_ZUf2_ZU) - substituted with v-w11648_ZUf3_ZU")</f>
        <v>zkonzistentnit (v-w11648_ZUf2_ZU) - substituted with v-w11648_ZUf3_ZU</v>
      </c>
    </row>
    <row r="69647" customFormat="false" ht="12.8" hidden="false" customHeight="false" outlineLevel="0" collapsed="false">
      <c r="B69647" s="0" t="s">
        <v>7</v>
      </c>
    </row>
    <row r="69648" customFormat="false" ht="12.8" hidden="false" customHeight="false" outlineLevel="0" collapsed="false">
      <c r="B69648" s="0" t="s">
        <v>14</v>
      </c>
    </row>
    <row r="69649" customFormat="false" ht="12.8" hidden="false" customHeight="false" outlineLevel="0" collapsed="false">
      <c r="B69649" s="0" t="s">
        <v>207</v>
      </c>
    </row>
    <row r="69650" customFormat="false" ht="12.8" hidden="false" customHeight="false" outlineLevel="0" collapsed="false">
      <c r="B69650" s="0" t="s">
        <v>15649</v>
      </c>
    </row>
    <row r="69652" customFormat="false" ht="12.8" hidden="false" customHeight="false" outlineLevel="0" collapsed="false">
      <c r="A69652" s="0" t="s">
        <v>23633</v>
      </c>
      <c r="B69652" s="0" t="str">
        <f aca="false">HYPERLINK("https://lindat.mff.cuni.cz/services/teitok/pdtc10/index.php?action=vallex&amp;frame=v-w12335_MMf1_MM", "zkonzolidovat (v-w12335_MMf1_MM)")</f>
        <v>zkonzolidovat (v-w12335_MMf1_MM)</v>
      </c>
    </row>
    <row r="69653" customFormat="false" ht="12.8" hidden="false" customHeight="false" outlineLevel="0" collapsed="false">
      <c r="B69653" s="0" t="s">
        <v>7</v>
      </c>
    </row>
    <row r="69654" customFormat="false" ht="12.8" hidden="false" customHeight="false" outlineLevel="0" collapsed="false">
      <c r="B69654" s="0" t="s">
        <v>14</v>
      </c>
    </row>
    <row r="69656" customFormat="false" ht="12.8" hidden="false" customHeight="false" outlineLevel="0" collapsed="false">
      <c r="A69656" s="0" t="s">
        <v>23634</v>
      </c>
      <c r="B69656" s="0" t="str">
        <f aca="false">HYPERLINK("https://lindat.mff.cuni.cz/services/teitok/pdtc10/index.php?action=vallex&amp;frame=v-w9538f1", "zkonzumovat (v-w9538f1)")</f>
        <v>zkonzumovat (v-w9538f1)</v>
      </c>
    </row>
    <row r="69657" customFormat="false" ht="12.8" hidden="false" customHeight="false" outlineLevel="0" collapsed="false">
      <c r="B69657" s="0" t="s">
        <v>7</v>
      </c>
    </row>
    <row r="69658" customFormat="false" ht="12.8" hidden="false" customHeight="false" outlineLevel="0" collapsed="false">
      <c r="B69658" s="0" t="s">
        <v>14</v>
      </c>
    </row>
    <row r="69660" customFormat="false" ht="12.8" hidden="false" customHeight="false" outlineLevel="0" collapsed="false">
      <c r="A69660" s="0" t="s">
        <v>23635</v>
      </c>
      <c r="B69660" s="0" t="str">
        <f aca="false">HYPERLINK("https://lindat.mff.cuni.cz/services/teitok/pdtc10/index.php?action=vallex&amp;frame=v-w9539f1", "zkoordinovat (v-w9539f1)")</f>
        <v>zkoordinovat (v-w9539f1)</v>
      </c>
    </row>
    <row r="69661" customFormat="false" ht="12.8" hidden="false" customHeight="false" outlineLevel="0" collapsed="false">
      <c r="B69661" s="0" t="s">
        <v>7</v>
      </c>
      <c r="C69661" s="0" t="s">
        <v>88</v>
      </c>
      <c r="D69661" s="0" t="s">
        <v>460</v>
      </c>
      <c r="E69661" s="0" t="s">
        <v>460</v>
      </c>
      <c r="F69661" s="0" t="s">
        <v>460</v>
      </c>
    </row>
    <row r="69662" customFormat="false" ht="12.8" hidden="false" customHeight="false" outlineLevel="0" collapsed="false">
      <c r="B69662" s="0" t="s">
        <v>14</v>
      </c>
      <c r="C69662" s="0" t="s">
        <v>4865</v>
      </c>
      <c r="D69662" s="0" t="s">
        <v>4866</v>
      </c>
      <c r="E69662" s="0" t="s">
        <v>4866</v>
      </c>
      <c r="F69662" s="0" t="s">
        <v>4866</v>
      </c>
    </row>
    <row r="69663" customFormat="false" ht="12.8" hidden="false" customHeight="false" outlineLevel="0" collapsed="false">
      <c r="B69663" s="0" t="s">
        <v>3086</v>
      </c>
      <c r="C69663" s="0" t="s">
        <v>38</v>
      </c>
      <c r="D69663" s="0" t="s">
        <v>1527</v>
      </c>
      <c r="E69663" s="0" t="s">
        <v>1527</v>
      </c>
      <c r="F69663" s="0" t="s">
        <v>1527</v>
      </c>
    </row>
    <row r="69665" customFormat="false" ht="12.8" hidden="false" customHeight="false" outlineLevel="0" collapsed="false">
      <c r="A69665" s="0" t="s">
        <v>23636</v>
      </c>
      <c r="B69665" s="0" t="str">
        <f aca="false">HYPERLINK("https://lindat.mff.cuni.cz/services/teitok/pdtc10/index.php?action=vallex&amp;frame=v-w11022f2", "zkopat (v-w11022f2)")</f>
        <v>zkopat (v-w11022f2)</v>
      </c>
    </row>
    <row r="69666" customFormat="false" ht="12.8" hidden="false" customHeight="false" outlineLevel="0" collapsed="false">
      <c r="B69666" s="0" t="s">
        <v>7</v>
      </c>
    </row>
    <row r="69667" customFormat="false" ht="12.8" hidden="false" customHeight="false" outlineLevel="0" collapsed="false">
      <c r="B69667" s="0" t="s">
        <v>14</v>
      </c>
    </row>
    <row r="69669" customFormat="false" ht="12.8" hidden="false" customHeight="false" outlineLevel="0" collapsed="false">
      <c r="A69669" s="0" t="s">
        <v>23637</v>
      </c>
      <c r="B69669" s="0" t="str">
        <f aca="false">HYPERLINK("https://lindat.mff.cuni.cz/services/teitok/pdtc10/index.php?action=vallex&amp;frame=v-w10689f4_ZU", "zkopírovat (v-w10689f4_ZU)")</f>
        <v>zkopírovat (v-w10689f4_ZU)</v>
      </c>
    </row>
    <row r="69670" customFormat="false" ht="12.8" hidden="false" customHeight="false" outlineLevel="0" collapsed="false">
      <c r="B69670" s="0" t="s">
        <v>7</v>
      </c>
    </row>
    <row r="69671" customFormat="false" ht="12.8" hidden="false" customHeight="false" outlineLevel="0" collapsed="false">
      <c r="B69671" s="0" t="s">
        <v>14</v>
      </c>
    </row>
    <row r="69673" customFormat="false" ht="12.8" hidden="false" customHeight="false" outlineLevel="0" collapsed="false">
      <c r="A69673" s="0" t="s">
        <v>23637</v>
      </c>
      <c r="B69673" s="0" t="str">
        <f aca="false">HYPERLINK("https://lindat.mff.cuni.cz/services/teitok/pdtc10/index.php?action=vallex&amp;frame=v-w10689f2", "zkopírovat (v-w10689f2) - substituted with v-w10689f4_ZU")</f>
        <v>zkopírovat (v-w10689f2) - substituted with v-w10689f4_ZU</v>
      </c>
    </row>
    <row r="69674" customFormat="false" ht="12.8" hidden="false" customHeight="false" outlineLevel="0" collapsed="false">
      <c r="B69674" s="0" t="s">
        <v>7</v>
      </c>
      <c r="D69674" s="0" t="s">
        <v>113</v>
      </c>
      <c r="E69674" s="0" t="s">
        <v>113</v>
      </c>
      <c r="F69674" s="0" t="s">
        <v>113</v>
      </c>
    </row>
    <row r="69675" customFormat="false" ht="12.8" hidden="false" customHeight="false" outlineLevel="0" collapsed="false">
      <c r="B69675" s="0" t="s">
        <v>14</v>
      </c>
      <c r="D69675" s="0" t="s">
        <v>624</v>
      </c>
      <c r="E69675" s="0" t="s">
        <v>624</v>
      </c>
      <c r="F69675" s="0" t="s">
        <v>624</v>
      </c>
    </row>
    <row r="69677" customFormat="false" ht="12.8" hidden="false" customHeight="false" outlineLevel="0" collapsed="false">
      <c r="A69677" s="0" t="s">
        <v>23638</v>
      </c>
      <c r="B69677" s="0" t="str">
        <f aca="false">HYPERLINK("https://lindat.mff.cuni.cz/services/teitok/pdtc10/index.php?action=vallex&amp;frame=v-w10689f3_ZU", "zkopírovat (v-w10689f3_ZU)")</f>
        <v>zkopírovat (v-w10689f3_ZU)</v>
      </c>
    </row>
    <row r="69678" customFormat="false" ht="12.8" hidden="false" customHeight="false" outlineLevel="0" collapsed="false">
      <c r="B69678" s="0" t="s">
        <v>7</v>
      </c>
    </row>
    <row r="69679" customFormat="false" ht="12.8" hidden="false" customHeight="false" outlineLevel="0" collapsed="false">
      <c r="B69679" s="0" t="s">
        <v>14</v>
      </c>
    </row>
    <row r="69681" customFormat="false" ht="12.8" hidden="false" customHeight="false" outlineLevel="0" collapsed="false">
      <c r="A69681" s="0" t="s">
        <v>23639</v>
      </c>
      <c r="B69681" s="0" t="str">
        <f aca="false">HYPERLINK("https://lindat.mff.cuni.cz/services/teitok/pdtc10/index.php?action=vallex&amp;frame=v-w10776f2", "zkorigovat (v-w10776f2)")</f>
        <v>zkorigovat (v-w10776f2)</v>
      </c>
    </row>
    <row r="69682" customFormat="false" ht="12.8" hidden="false" customHeight="false" outlineLevel="0" collapsed="false">
      <c r="B69682" s="0" t="s">
        <v>7</v>
      </c>
      <c r="D69682" s="0" t="s">
        <v>3610</v>
      </c>
      <c r="E69682" s="0" t="s">
        <v>3610</v>
      </c>
      <c r="F69682" s="0" t="s">
        <v>3610</v>
      </c>
    </row>
    <row r="69683" customFormat="false" ht="12.8" hidden="false" customHeight="false" outlineLevel="0" collapsed="false">
      <c r="B69683" s="0" t="s">
        <v>14</v>
      </c>
      <c r="D69683" s="0" t="s">
        <v>4884</v>
      </c>
      <c r="E69683" s="0" t="s">
        <v>4884</v>
      </c>
      <c r="F69683" s="0" t="s">
        <v>4884</v>
      </c>
    </row>
    <row r="69684" customFormat="false" ht="12.8" hidden="false" customHeight="false" outlineLevel="0" collapsed="false">
      <c r="B69684" s="0" t="s">
        <v>84</v>
      </c>
    </row>
    <row r="69686" customFormat="false" ht="12.8" hidden="false" customHeight="false" outlineLevel="0" collapsed="false">
      <c r="A69686" s="0" t="s">
        <v>23640</v>
      </c>
      <c r="B69686" s="0" t="str">
        <f aca="false">HYPERLINK("https://lindat.mff.cuni.cz/services/teitok/pdtc10/index.php?action=vallex&amp;frame=v-w9541f1", "zkorumpovat (v-w9541f1)")</f>
        <v>zkorumpovat (v-w9541f1)</v>
      </c>
    </row>
    <row r="69687" customFormat="false" ht="12.8" hidden="false" customHeight="false" outlineLevel="0" collapsed="false">
      <c r="B69687" s="0" t="s">
        <v>7</v>
      </c>
    </row>
    <row r="69688" customFormat="false" ht="12.8" hidden="false" customHeight="false" outlineLevel="0" collapsed="false">
      <c r="B69688" s="0" t="s">
        <v>14</v>
      </c>
    </row>
    <row r="69690" customFormat="false" ht="12.8" hidden="false" customHeight="false" outlineLevel="0" collapsed="false">
      <c r="A69690" s="0" t="s">
        <v>23641</v>
      </c>
      <c r="B69690" s="0" t="str">
        <f aca="false">HYPERLINK("https://lindat.mff.cuni.cz/services/teitok/pdtc10/index.php?action=vallex&amp;frame=v-w9543f1", "zkoumat (v-w9543f1)")</f>
        <v>zkoumat (v-w9543f1)</v>
      </c>
    </row>
    <row r="69691" customFormat="false" ht="12.8" hidden="false" customHeight="false" outlineLevel="0" collapsed="false">
      <c r="B69691" s="0" t="s">
        <v>7</v>
      </c>
      <c r="C69691" s="0" t="s">
        <v>23642</v>
      </c>
      <c r="D69691" s="0" t="s">
        <v>12368</v>
      </c>
      <c r="E69691" s="0" t="s">
        <v>12368</v>
      </c>
      <c r="F69691" s="0" t="s">
        <v>12368</v>
      </c>
    </row>
    <row r="69692" customFormat="false" ht="12.8" hidden="false" customHeight="false" outlineLevel="0" collapsed="false">
      <c r="B69692" s="0" t="s">
        <v>2030</v>
      </c>
      <c r="C69692" s="0" t="s">
        <v>23643</v>
      </c>
      <c r="D69692" s="0" t="s">
        <v>12370</v>
      </c>
      <c r="E69692" s="0" t="s">
        <v>12370</v>
      </c>
      <c r="F69692" s="0" t="s">
        <v>12370</v>
      </c>
    </row>
    <row r="69694" customFormat="false" ht="12.8" hidden="false" customHeight="false" outlineLevel="0" collapsed="false">
      <c r="A69694" s="0" t="s">
        <v>23644</v>
      </c>
      <c r="B69694" s="0" t="str">
        <f aca="false">HYPERLINK("https://lindat.mff.cuni.cz/services/teitok/pdtc10/index.php?action=vallex&amp;frame=v-w9544f6", "zkoušet (v-w9544f6)")</f>
        <v>zkoušet (v-w9544f6)</v>
      </c>
    </row>
    <row r="69695" customFormat="false" ht="12.8" hidden="false" customHeight="false" outlineLevel="0" collapsed="false">
      <c r="B69695" s="0" t="s">
        <v>7</v>
      </c>
    </row>
    <row r="69696" customFormat="false" ht="12.8" hidden="false" customHeight="false" outlineLevel="0" collapsed="false">
      <c r="B69696" s="0" t="s">
        <v>14</v>
      </c>
    </row>
    <row r="69697" customFormat="false" ht="12.8" hidden="false" customHeight="false" outlineLevel="0" collapsed="false">
      <c r="B69697" s="0" t="s">
        <v>122</v>
      </c>
    </row>
    <row r="69699" customFormat="false" ht="12.8" hidden="false" customHeight="false" outlineLevel="0" collapsed="false">
      <c r="A69699" s="0" t="s">
        <v>23645</v>
      </c>
      <c r="B69699" s="0" t="str">
        <f aca="false">HYPERLINK("https://lindat.mff.cuni.cz/services/teitok/pdtc10/index.php?action=vallex&amp;frame=v-w9544f8_ZU", "zkoušet (v-w9544f8_ZU)")</f>
        <v>zkoušet (v-w9544f8_ZU)</v>
      </c>
    </row>
    <row r="69700" customFormat="false" ht="12.8" hidden="false" customHeight="false" outlineLevel="0" collapsed="false">
      <c r="B69700" s="0" t="s">
        <v>7</v>
      </c>
    </row>
    <row r="69701" customFormat="false" ht="12.8" hidden="false" customHeight="false" outlineLevel="0" collapsed="false">
      <c r="B69701" s="0" t="s">
        <v>14</v>
      </c>
    </row>
    <row r="69702" customFormat="false" ht="12.8" hidden="false" customHeight="false" outlineLevel="0" collapsed="false">
      <c r="B69702" s="0" t="s">
        <v>23646</v>
      </c>
    </row>
    <row r="69704" customFormat="false" ht="12.8" hidden="false" customHeight="false" outlineLevel="0" collapsed="false">
      <c r="A69704" s="0" t="s">
        <v>23645</v>
      </c>
      <c r="B69704" s="0" t="str">
        <f aca="false">HYPERLINK("https://lindat.mff.cuni.cz/services/teitok/pdtc10/index.php?action=vallex&amp;frame=v-w9544f4", "zkoušet (v-w9544f4) - substituted with v-w9544f8_ZU")</f>
        <v>zkoušet (v-w9544f4) - substituted with v-w9544f8_ZU</v>
      </c>
    </row>
    <row r="69705" customFormat="false" ht="12.8" hidden="false" customHeight="false" outlineLevel="0" collapsed="false">
      <c r="B69705" s="0" t="s">
        <v>7</v>
      </c>
    </row>
    <row r="69706" customFormat="false" ht="12.8" hidden="false" customHeight="false" outlineLevel="0" collapsed="false">
      <c r="B69706" s="0" t="s">
        <v>14</v>
      </c>
    </row>
    <row r="69707" customFormat="false" ht="12.8" hidden="false" customHeight="false" outlineLevel="0" collapsed="false">
      <c r="B69707" s="0" t="s">
        <v>23646</v>
      </c>
    </row>
    <row r="69709" customFormat="false" ht="12.8" hidden="false" customHeight="false" outlineLevel="0" collapsed="false">
      <c r="A69709" s="0" t="s">
        <v>23645</v>
      </c>
      <c r="B69709" s="0" t="str">
        <f aca="false">HYPERLINK("https://lindat.mff.cuni.cz/services/teitok/pdtc10/index.php?action=vallex&amp;frame=v-w9544hsa_1673", "zkoušet (v-w9544hsa_1673) - substituted with v-w9544f8_ZU")</f>
        <v>zkoušet (v-w9544hsa_1673) - substituted with v-w9544f8_ZU</v>
      </c>
    </row>
    <row r="69710" customFormat="false" ht="12.8" hidden="false" customHeight="false" outlineLevel="0" collapsed="false">
      <c r="B69710" s="0" t="s">
        <v>7</v>
      </c>
    </row>
    <row r="69711" customFormat="false" ht="12.8" hidden="false" customHeight="false" outlineLevel="0" collapsed="false">
      <c r="B69711" s="0" t="s">
        <v>14</v>
      </c>
    </row>
    <row r="69712" customFormat="false" ht="12.8" hidden="false" customHeight="false" outlineLevel="0" collapsed="false">
      <c r="B69712" s="0" t="s">
        <v>23646</v>
      </c>
    </row>
    <row r="69714" customFormat="false" ht="12.8" hidden="false" customHeight="false" outlineLevel="0" collapsed="false">
      <c r="A69714" s="0" t="s">
        <v>23647</v>
      </c>
      <c r="B69714" s="0" t="str">
        <f aca="false">HYPERLINK("https://lindat.mff.cuni.cz/services/teitok/pdtc10/index.php?action=vallex&amp;frame=v-w9544f2", "zkoušet (v-w9544f2)")</f>
        <v>zkoušet (v-w9544f2)</v>
      </c>
    </row>
    <row r="69715" customFormat="false" ht="12.8" hidden="false" customHeight="false" outlineLevel="0" collapsed="false">
      <c r="B69715" s="0" t="s">
        <v>7</v>
      </c>
    </row>
    <row r="69716" customFormat="false" ht="12.8" hidden="false" customHeight="false" outlineLevel="0" collapsed="false">
      <c r="B69716" s="0" t="s">
        <v>306</v>
      </c>
    </row>
    <row r="69718" customFormat="false" ht="12.8" hidden="false" customHeight="false" outlineLevel="0" collapsed="false">
      <c r="A69718" s="0" t="s">
        <v>23648</v>
      </c>
      <c r="B69718" s="0" t="str">
        <f aca="false">HYPERLINK("https://lindat.mff.cuni.cz/services/teitok/pdtc10/index.php?action=vallex&amp;frame=v-w9544f5", "zkoušet (v-w9544f5)")</f>
        <v>zkoušet (v-w9544f5)</v>
      </c>
    </row>
    <row r="69719" customFormat="false" ht="12.8" hidden="false" customHeight="false" outlineLevel="0" collapsed="false">
      <c r="B69719" s="0" t="s">
        <v>7</v>
      </c>
      <c r="C69719" s="0" t="s">
        <v>7950</v>
      </c>
    </row>
    <row r="69720" customFormat="false" ht="12.8" hidden="false" customHeight="false" outlineLevel="0" collapsed="false">
      <c r="B69720" s="0" t="s">
        <v>14</v>
      </c>
      <c r="C69720" s="0" t="s">
        <v>7951</v>
      </c>
    </row>
    <row r="69722" customFormat="false" ht="12.8" hidden="false" customHeight="false" outlineLevel="0" collapsed="false">
      <c r="A69722" s="0" t="s">
        <v>23649</v>
      </c>
      <c r="B69722" s="0" t="str">
        <f aca="false">HYPERLINK("https://lindat.mff.cuni.cz/services/teitok/pdtc10/index.php?action=vallex&amp;frame=v-w9544f3", "zkoušet (v-w9544f3)")</f>
        <v>zkoušet (v-w9544f3)</v>
      </c>
    </row>
    <row r="69723" customFormat="false" ht="12.8" hidden="false" customHeight="false" outlineLevel="0" collapsed="false">
      <c r="B69723" s="0" t="s">
        <v>7</v>
      </c>
    </row>
    <row r="69724" customFormat="false" ht="12.8" hidden="false" customHeight="false" outlineLevel="0" collapsed="false">
      <c r="B69724" s="0" t="s">
        <v>14</v>
      </c>
    </row>
    <row r="69726" customFormat="false" ht="12.8" hidden="false" customHeight="false" outlineLevel="0" collapsed="false">
      <c r="A69726" s="0" t="s">
        <v>23650</v>
      </c>
      <c r="B69726" s="0" t="str">
        <f aca="false">HYPERLINK("https://lindat.mff.cuni.cz/services/teitok/pdtc10/index.php?action=vallex&amp;frame=v-w9544f7_ZU", "zkoušet (v-w9544f7_ZU)")</f>
        <v>zkoušet (v-w9544f7_ZU)</v>
      </c>
    </row>
    <row r="69727" customFormat="false" ht="12.8" hidden="false" customHeight="false" outlineLevel="0" collapsed="false">
      <c r="B69727" s="0" t="s">
        <v>7</v>
      </c>
      <c r="C69727" s="0" t="s">
        <v>7950</v>
      </c>
      <c r="D69727" s="0" t="s">
        <v>23651</v>
      </c>
      <c r="E69727" s="0" t="s">
        <v>23651</v>
      </c>
      <c r="F69727" s="0" t="s">
        <v>23651</v>
      </c>
    </row>
    <row r="69728" customFormat="false" ht="12.8" hidden="false" customHeight="false" outlineLevel="0" collapsed="false">
      <c r="B69728" s="0" t="s">
        <v>23652</v>
      </c>
      <c r="C69728" s="0" t="s">
        <v>7951</v>
      </c>
      <c r="D69728" s="0" t="s">
        <v>23653</v>
      </c>
      <c r="E69728" s="0" t="s">
        <v>23653</v>
      </c>
      <c r="F69728" s="0" t="s">
        <v>23653</v>
      </c>
    </row>
    <row r="69730" customFormat="false" ht="12.8" hidden="false" customHeight="false" outlineLevel="0" collapsed="false">
      <c r="A69730" s="0" t="s">
        <v>23650</v>
      </c>
      <c r="B69730" s="0" t="str">
        <f aca="false">HYPERLINK("https://lindat.mff.cuni.cz/services/teitok/pdtc10/index.php?action=vallex&amp;frame=v-w9544f1", "zkoušet (v-w9544f1) - substituted with v-w9544f7_ZU")</f>
        <v>zkoušet (v-w9544f1) - substituted with v-w9544f7_ZU</v>
      </c>
    </row>
    <row r="69731" customFormat="false" ht="12.8" hidden="false" customHeight="false" outlineLevel="0" collapsed="false">
      <c r="B69731" s="0" t="s">
        <v>7</v>
      </c>
      <c r="C69731" s="0" t="s">
        <v>23654</v>
      </c>
    </row>
    <row r="69732" customFormat="false" ht="12.8" hidden="false" customHeight="false" outlineLevel="0" collapsed="false">
      <c r="B69732" s="0" t="s">
        <v>23652</v>
      </c>
      <c r="C69732" s="0" t="s">
        <v>4749</v>
      </c>
    </row>
    <row r="69734" customFormat="false" ht="12.8" hidden="false" customHeight="false" outlineLevel="0" collapsed="false">
      <c r="A69734" s="0" t="s">
        <v>23655</v>
      </c>
      <c r="B69734" s="0" t="str">
        <f aca="false">HYPERLINK("https://lindat.mff.cuni.cz/services/teitok/pdtc10/index.php?action=vallex&amp;frame=v-w9545f1", "zkoušet si (v-w9545f1)")</f>
        <v>zkoušet si (v-w9545f1)</v>
      </c>
    </row>
    <row r="69735" customFormat="false" ht="12.8" hidden="false" customHeight="false" outlineLevel="0" collapsed="false">
      <c r="B69735" s="0" t="s">
        <v>7</v>
      </c>
    </row>
    <row r="69736" customFormat="false" ht="12.8" hidden="false" customHeight="false" outlineLevel="0" collapsed="false">
      <c r="B69736" s="0" t="s">
        <v>14</v>
      </c>
    </row>
    <row r="69738" customFormat="false" ht="12.8" hidden="false" customHeight="false" outlineLevel="0" collapsed="false">
      <c r="A69738" s="0" t="s">
        <v>23656</v>
      </c>
      <c r="B69738" s="0" t="str">
        <f aca="false">HYPERLINK("https://lindat.mff.cuni.cz/services/teitok/pdtc10/index.php?action=vallex&amp;frame=v-w9550f1", "zkrachovat (v-w9550f1)")</f>
        <v>zkrachovat (v-w9550f1)</v>
      </c>
    </row>
    <row r="69739" customFormat="false" ht="12.8" hidden="false" customHeight="false" outlineLevel="0" collapsed="false">
      <c r="B69739" s="0" t="s">
        <v>7</v>
      </c>
      <c r="C69739" s="0" t="s">
        <v>23657</v>
      </c>
      <c r="D69739" s="0" t="s">
        <v>1902</v>
      </c>
      <c r="E69739" s="0" t="s">
        <v>1902</v>
      </c>
      <c r="F69739" s="0" t="s">
        <v>1902</v>
      </c>
    </row>
    <row r="69741" customFormat="false" ht="12.8" hidden="false" customHeight="false" outlineLevel="0" collapsed="false">
      <c r="A69741" s="0" t="s">
        <v>23658</v>
      </c>
      <c r="B69741" s="0" t="str">
        <f aca="false">HYPERLINK("https://lindat.mff.cuni.cz/services/teitok/pdtc10/index.php?action=vallex&amp;frame=v-w9549f1", "zkracovat (v-w9549f1)")</f>
        <v>zkracovat (v-w9549f1)</v>
      </c>
    </row>
    <row r="69742" customFormat="false" ht="12.8" hidden="false" customHeight="false" outlineLevel="0" collapsed="false">
      <c r="B69742" s="0" t="s">
        <v>7</v>
      </c>
      <c r="C69742" s="0" t="s">
        <v>3293</v>
      </c>
      <c r="D69742" s="0" t="s">
        <v>1801</v>
      </c>
      <c r="E69742" s="0" t="s">
        <v>8818</v>
      </c>
      <c r="F69742" s="0" t="s">
        <v>8818</v>
      </c>
    </row>
    <row r="69743" customFormat="false" ht="12.8" hidden="false" customHeight="false" outlineLevel="0" collapsed="false">
      <c r="B69743" s="0" t="s">
        <v>14</v>
      </c>
      <c r="C69743" s="0" t="s">
        <v>18574</v>
      </c>
      <c r="D69743" s="0" t="s">
        <v>11451</v>
      </c>
      <c r="E69743" s="0" t="s">
        <v>8819</v>
      </c>
      <c r="F69743" s="0" t="s">
        <v>8819</v>
      </c>
    </row>
    <row r="69744" customFormat="false" ht="12.8" hidden="false" customHeight="false" outlineLevel="0" collapsed="false">
      <c r="B69744" s="0" t="s">
        <v>35</v>
      </c>
      <c r="C69744" s="0" t="s">
        <v>23659</v>
      </c>
      <c r="D69744" s="0" t="s">
        <v>23660</v>
      </c>
      <c r="E69744" s="0" t="s">
        <v>23661</v>
      </c>
      <c r="F69744" s="0" t="s">
        <v>23661</v>
      </c>
    </row>
    <row r="69745" customFormat="false" ht="12.8" hidden="false" customHeight="false" outlineLevel="0" collapsed="false">
      <c r="B69745" s="0" t="s">
        <v>84</v>
      </c>
      <c r="C69745" s="0" t="s">
        <v>23662</v>
      </c>
      <c r="D69745" s="0" t="s">
        <v>23663</v>
      </c>
      <c r="E69745" s="0" t="s">
        <v>23664</v>
      </c>
      <c r="F69745" s="0" t="s">
        <v>23664</v>
      </c>
    </row>
    <row r="69747" customFormat="false" ht="12.8" hidden="false" customHeight="false" outlineLevel="0" collapsed="false">
      <c r="A69747" s="0" t="s">
        <v>23665</v>
      </c>
      <c r="B69747" s="0" t="str">
        <f aca="false">HYPERLINK("https://lindat.mff.cuni.cz/services/teitok/pdtc10/index.php?action=vallex&amp;frame=v-w9555f1", "zkreslit (v-w9555f1)")</f>
        <v>zkreslit (v-w9555f1)</v>
      </c>
    </row>
    <row r="69748" customFormat="false" ht="12.8" hidden="false" customHeight="false" outlineLevel="0" collapsed="false">
      <c r="B69748" s="0" t="s">
        <v>7</v>
      </c>
      <c r="C69748" s="0" t="s">
        <v>460</v>
      </c>
      <c r="D69748" s="0" t="s">
        <v>1263</v>
      </c>
      <c r="E69748" s="0" t="s">
        <v>1263</v>
      </c>
      <c r="F69748" s="0" t="s">
        <v>1263</v>
      </c>
    </row>
    <row r="69749" customFormat="false" ht="12.8" hidden="false" customHeight="false" outlineLevel="0" collapsed="false">
      <c r="B69749" s="0" t="s">
        <v>14</v>
      </c>
      <c r="C69749" s="0" t="s">
        <v>1405</v>
      </c>
      <c r="D69749" s="0" t="s">
        <v>2666</v>
      </c>
      <c r="E69749" s="0" t="s">
        <v>2666</v>
      </c>
      <c r="F69749" s="0" t="s">
        <v>2666</v>
      </c>
    </row>
    <row r="69751" customFormat="false" ht="12.8" hidden="false" customHeight="false" outlineLevel="0" collapsed="false">
      <c r="A69751" s="0" t="s">
        <v>23666</v>
      </c>
      <c r="B69751" s="0" t="str">
        <f aca="false">HYPERLINK("https://lindat.mff.cuni.cz/services/teitok/pdtc10/index.php?action=vallex&amp;frame=v-w9556f1", "zkreslovat (v-w9556f1)")</f>
        <v>zkreslovat (v-w9556f1)</v>
      </c>
    </row>
    <row r="69752" customFormat="false" ht="12.8" hidden="false" customHeight="false" outlineLevel="0" collapsed="false">
      <c r="B69752" s="0" t="s">
        <v>7</v>
      </c>
      <c r="C69752" s="0" t="s">
        <v>88</v>
      </c>
      <c r="D69752" s="0" t="s">
        <v>465</v>
      </c>
      <c r="E69752" s="0" t="s">
        <v>465</v>
      </c>
      <c r="F69752" s="0" t="s">
        <v>465</v>
      </c>
    </row>
    <row r="69753" customFormat="false" ht="12.8" hidden="false" customHeight="false" outlineLevel="0" collapsed="false">
      <c r="B69753" s="0" t="s">
        <v>54</v>
      </c>
      <c r="C69753" s="0" t="s">
        <v>487</v>
      </c>
      <c r="D69753" s="0" t="s">
        <v>7007</v>
      </c>
      <c r="E69753" s="0" t="s">
        <v>7007</v>
      </c>
      <c r="F69753" s="0" t="s">
        <v>7007</v>
      </c>
    </row>
    <row r="69755" customFormat="false" ht="12.8" hidden="false" customHeight="false" outlineLevel="0" collapsed="false">
      <c r="A69755" s="0" t="s">
        <v>23667</v>
      </c>
      <c r="B69755" s="0" t="str">
        <f aca="false">HYPERLINK("https://lindat.mff.cuni.cz/services/teitok/pdtc10/index.php?action=vallex&amp;frame=v-w10934f2", "zkritizovat (v-w10934f2)")</f>
        <v>zkritizovat (v-w10934f2)</v>
      </c>
    </row>
    <row r="69756" customFormat="false" ht="12.8" hidden="false" customHeight="false" outlineLevel="0" collapsed="false">
      <c r="B69756" s="0" t="s">
        <v>7</v>
      </c>
      <c r="D69756" s="0" t="s">
        <v>12386</v>
      </c>
      <c r="E69756" s="0" t="s">
        <v>12386</v>
      </c>
      <c r="F69756" s="0" t="s">
        <v>12386</v>
      </c>
    </row>
    <row r="69757" customFormat="false" ht="12.8" hidden="false" customHeight="false" outlineLevel="0" collapsed="false">
      <c r="B69757" s="0" t="s">
        <v>172</v>
      </c>
      <c r="C69757" s="0" t="s">
        <v>567</v>
      </c>
      <c r="D69757" s="0" t="s">
        <v>23668</v>
      </c>
      <c r="E69757" s="0" t="s">
        <v>23668</v>
      </c>
      <c r="F69757" s="0" t="s">
        <v>23668</v>
      </c>
    </row>
    <row r="69759" customFormat="false" ht="12.8" hidden="false" customHeight="false" outlineLevel="0" collapsed="false">
      <c r="A69759" s="0" t="s">
        <v>23669</v>
      </c>
      <c r="B69759" s="0" t="str">
        <f aca="false">HYPERLINK("https://lindat.mff.cuni.cz/services/teitok/pdtc10/index.php?action=vallex&amp;frame=v-w9557f1", "zkrotit (v-w9557f1)")</f>
        <v>zkrotit (v-w9557f1)</v>
      </c>
    </row>
    <row r="69760" customFormat="false" ht="12.8" hidden="false" customHeight="false" outlineLevel="0" collapsed="false">
      <c r="B69760" s="0" t="s">
        <v>7</v>
      </c>
    </row>
    <row r="69761" customFormat="false" ht="12.8" hidden="false" customHeight="false" outlineLevel="0" collapsed="false">
      <c r="B69761" s="0" t="s">
        <v>14</v>
      </c>
    </row>
    <row r="69763" customFormat="false" ht="12.8" hidden="false" customHeight="false" outlineLevel="0" collapsed="false">
      <c r="A69763" s="0" t="s">
        <v>23670</v>
      </c>
      <c r="B69763" s="0" t="str">
        <f aca="false">HYPERLINK("https://lindat.mff.cuni.cz/services/teitok/pdtc10/index.php?action=vallex&amp;frame=v-w9557f2", "zkrotit (v-w9557f2)")</f>
        <v>zkrotit (v-w9557f2)</v>
      </c>
    </row>
    <row r="69764" customFormat="false" ht="12.8" hidden="false" customHeight="false" outlineLevel="0" collapsed="false">
      <c r="B69764" s="0" t="s">
        <v>7</v>
      </c>
      <c r="C69764" s="0" t="s">
        <v>46</v>
      </c>
      <c r="D69764" s="0" t="s">
        <v>113</v>
      </c>
      <c r="E69764" s="0" t="s">
        <v>113</v>
      </c>
      <c r="F69764" s="0" t="s">
        <v>113</v>
      </c>
    </row>
    <row r="69765" customFormat="false" ht="12.8" hidden="false" customHeight="false" outlineLevel="0" collapsed="false">
      <c r="B69765" s="0" t="s">
        <v>14</v>
      </c>
      <c r="C69765" s="0" t="s">
        <v>33</v>
      </c>
      <c r="D69765" s="0" t="s">
        <v>2666</v>
      </c>
      <c r="E69765" s="0" t="s">
        <v>2666</v>
      </c>
      <c r="F69765" s="0" t="s">
        <v>2666</v>
      </c>
    </row>
    <row r="69767" customFormat="false" ht="12.8" hidden="false" customHeight="false" outlineLevel="0" collapsed="false">
      <c r="A69767" s="0" t="s">
        <v>23671</v>
      </c>
      <c r="B69767" s="0" t="str">
        <f aca="false">HYPERLINK("https://lindat.mff.cuni.cz/services/teitok/pdtc10/index.php?action=vallex&amp;frame=v-w11914_ZUf1_ZU", "zkrouhnout (v-w11914_ZUf1_ZU)")</f>
        <v>zkrouhnout (v-w11914_ZUf1_ZU)</v>
      </c>
    </row>
    <row r="69768" customFormat="false" ht="12.8" hidden="false" customHeight="false" outlineLevel="0" collapsed="false">
      <c r="B69768" s="0" t="s">
        <v>7</v>
      </c>
    </row>
    <row r="69769" customFormat="false" ht="12.8" hidden="false" customHeight="false" outlineLevel="0" collapsed="false">
      <c r="B69769" s="0" t="s">
        <v>14</v>
      </c>
    </row>
    <row r="69771" customFormat="false" ht="12.8" hidden="false" customHeight="false" outlineLevel="0" collapsed="false">
      <c r="A69771" s="0" t="s">
        <v>23672</v>
      </c>
      <c r="B69771" s="0" t="str">
        <f aca="false">HYPERLINK("https://lindat.mff.cuni.cz/services/teitok/pdtc10/index.php?action=vallex&amp;frame=v-w11344f2", "zkroutit se (v-w11344f2)")</f>
        <v>zkroutit se (v-w11344f2)</v>
      </c>
    </row>
    <row r="69772" customFormat="false" ht="12.8" hidden="false" customHeight="false" outlineLevel="0" collapsed="false">
      <c r="B69772" s="0" t="s">
        <v>7</v>
      </c>
      <c r="C69772" s="0" t="s">
        <v>1378</v>
      </c>
      <c r="D69772" s="0" t="s">
        <v>708</v>
      </c>
      <c r="E69772" s="0" t="s">
        <v>708</v>
      </c>
      <c r="F69772" s="0" t="s">
        <v>708</v>
      </c>
    </row>
    <row r="69774" customFormat="false" ht="12.8" hidden="false" customHeight="false" outlineLevel="0" collapsed="false">
      <c r="A69774" s="0" t="s">
        <v>23673</v>
      </c>
      <c r="B69774" s="0" t="str">
        <f aca="false">HYPERLINK("https://lindat.mff.cuni.cz/services/teitok/pdtc10/index.php?action=vallex&amp;frame=v-w10790f2", "zkrvavit (v-w10790f2)")</f>
        <v>zkrvavit (v-w10790f2)</v>
      </c>
    </row>
    <row r="69775" customFormat="false" ht="12.8" hidden="false" customHeight="false" outlineLevel="0" collapsed="false">
      <c r="B69775" s="0" t="s">
        <v>7</v>
      </c>
    </row>
    <row r="69776" customFormat="false" ht="12.8" hidden="false" customHeight="false" outlineLevel="0" collapsed="false">
      <c r="B69776" s="0" t="s">
        <v>14</v>
      </c>
    </row>
    <row r="69778" customFormat="false" ht="12.8" hidden="false" customHeight="false" outlineLevel="0" collapsed="false">
      <c r="A69778" s="0" t="s">
        <v>23674</v>
      </c>
      <c r="B69778" s="0" t="str">
        <f aca="false">HYPERLINK("https://lindat.mff.cuni.cz/services/teitok/pdtc10/index.php?action=vallex&amp;frame=v-w9553f1", "zkrátit (v-w9553f1)")</f>
        <v>zkrátit (v-w9553f1)</v>
      </c>
    </row>
    <row r="69779" customFormat="false" ht="12.8" hidden="false" customHeight="false" outlineLevel="0" collapsed="false">
      <c r="B69779" s="0" t="s">
        <v>7</v>
      </c>
      <c r="C69779" s="0" t="s">
        <v>11928</v>
      </c>
      <c r="D69779" s="0" t="s">
        <v>1801</v>
      </c>
      <c r="E69779" s="0" t="s">
        <v>8818</v>
      </c>
      <c r="F69779" s="0" t="s">
        <v>8818</v>
      </c>
    </row>
    <row r="69780" customFormat="false" ht="12.8" hidden="false" customHeight="false" outlineLevel="0" collapsed="false">
      <c r="B69780" s="0" t="s">
        <v>14</v>
      </c>
      <c r="C69780" s="0" t="s">
        <v>10873</v>
      </c>
      <c r="D69780" s="0" t="s">
        <v>11451</v>
      </c>
      <c r="E69780" s="0" t="s">
        <v>8819</v>
      </c>
      <c r="F69780" s="0" t="s">
        <v>8819</v>
      </c>
    </row>
    <row r="69781" customFormat="false" ht="12.8" hidden="false" customHeight="false" outlineLevel="0" collapsed="false">
      <c r="B69781" s="0" t="s">
        <v>35</v>
      </c>
      <c r="C69781" s="0" t="s">
        <v>23660</v>
      </c>
      <c r="D69781" s="0" t="s">
        <v>23660</v>
      </c>
      <c r="E69781" s="0" t="s">
        <v>23661</v>
      </c>
      <c r="F69781" s="0" t="s">
        <v>23661</v>
      </c>
    </row>
    <row r="69782" customFormat="false" ht="12.8" hidden="false" customHeight="false" outlineLevel="0" collapsed="false">
      <c r="B69782" s="0" t="s">
        <v>84</v>
      </c>
      <c r="C69782" s="0" t="s">
        <v>23663</v>
      </c>
      <c r="D69782" s="0" t="s">
        <v>23663</v>
      </c>
      <c r="E69782" s="0" t="s">
        <v>23664</v>
      </c>
      <c r="F69782" s="0" t="s">
        <v>23664</v>
      </c>
    </row>
    <row r="69784" customFormat="false" ht="12.8" hidden="false" customHeight="false" outlineLevel="0" collapsed="false">
      <c r="A69784" s="0" t="s">
        <v>23675</v>
      </c>
      <c r="B69784" s="0" t="str">
        <f aca="false">HYPERLINK("https://lindat.mff.cuni.cz/services/teitok/pdtc10/index.php?action=vallex&amp;frame=v-w9553f2", "zkrátit (v-w9553f2)")</f>
        <v>zkrátit (v-w9553f2)</v>
      </c>
    </row>
    <row r="69785" customFormat="false" ht="12.8" hidden="false" customHeight="false" outlineLevel="0" collapsed="false">
      <c r="B69785" s="0" t="s">
        <v>7</v>
      </c>
    </row>
    <row r="69786" customFormat="false" ht="12.8" hidden="false" customHeight="false" outlineLevel="0" collapsed="false">
      <c r="B69786" s="0" t="s">
        <v>81</v>
      </c>
    </row>
    <row r="69787" customFormat="false" ht="12.8" hidden="false" customHeight="false" outlineLevel="0" collapsed="false">
      <c r="B69787" s="0" t="s">
        <v>2721</v>
      </c>
    </row>
    <row r="69789" customFormat="false" ht="12.8" hidden="false" customHeight="false" outlineLevel="0" collapsed="false">
      <c r="A69789" s="0" t="s">
        <v>23676</v>
      </c>
      <c r="B69789" s="0" t="str">
        <f aca="false">HYPERLINK("https://lindat.mff.cuni.cz/services/teitok/pdtc10/index.php?action=vallex&amp;frame=v-w9554f1", "zkrátit se (v-w9554f1)")</f>
        <v>zkrátit se (v-w9554f1)</v>
      </c>
    </row>
    <row r="69790" customFormat="false" ht="12.8" hidden="false" customHeight="false" outlineLevel="0" collapsed="false">
      <c r="B69790" s="0" t="s">
        <v>7</v>
      </c>
      <c r="D69790" s="0" t="s">
        <v>396</v>
      </c>
      <c r="E69790" s="0" t="s">
        <v>396</v>
      </c>
      <c r="F69790" s="0" t="s">
        <v>396</v>
      </c>
    </row>
    <row r="69791" customFormat="false" ht="12.8" hidden="false" customHeight="false" outlineLevel="0" collapsed="false">
      <c r="B69791" s="0" t="s">
        <v>63</v>
      </c>
    </row>
    <row r="69792" customFormat="false" ht="12.8" hidden="false" customHeight="false" outlineLevel="0" collapsed="false">
      <c r="B69792" s="0" t="s">
        <v>35</v>
      </c>
    </row>
    <row r="69794" customFormat="false" ht="12.8" hidden="false" customHeight="false" outlineLevel="0" collapsed="false">
      <c r="A69794" s="0" t="s">
        <v>23677</v>
      </c>
      <c r="B69794" s="0" t="str">
        <f aca="false">HYPERLINK("https://lindat.mff.cuni.cz/services/teitok/pdtc10/index.php?action=vallex&amp;frame=v-w9552f1", "zkrášlit (v-w9552f1)")</f>
        <v>zkrášlit (v-w9552f1)</v>
      </c>
    </row>
    <row r="69795" customFormat="false" ht="12.8" hidden="false" customHeight="false" outlineLevel="0" collapsed="false">
      <c r="B69795" s="0" t="s">
        <v>7</v>
      </c>
    </row>
    <row r="69796" customFormat="false" ht="12.8" hidden="false" customHeight="false" outlineLevel="0" collapsed="false">
      <c r="B69796" s="0" t="s">
        <v>14</v>
      </c>
    </row>
    <row r="69798" customFormat="false" ht="12.8" hidden="false" customHeight="false" outlineLevel="0" collapsed="false">
      <c r="A69798" s="0" t="s">
        <v>23678</v>
      </c>
      <c r="B69798" s="0" t="str">
        <f aca="false">HYPERLINK("https://lindat.mff.cuni.cz/services/teitok/pdtc10/index.php?action=vallex&amp;frame=v-w9559f1", "zkultivovat (v-w9559f1)")</f>
        <v>zkultivovat (v-w9559f1)</v>
      </c>
    </row>
    <row r="69799" customFormat="false" ht="12.8" hidden="false" customHeight="false" outlineLevel="0" collapsed="false">
      <c r="B69799" s="0" t="s">
        <v>7</v>
      </c>
    </row>
    <row r="69800" customFormat="false" ht="12.8" hidden="false" customHeight="false" outlineLevel="0" collapsed="false">
      <c r="B69800" s="0" t="s">
        <v>14</v>
      </c>
    </row>
    <row r="69802" customFormat="false" ht="12.8" hidden="false" customHeight="false" outlineLevel="0" collapsed="false">
      <c r="A69802" s="0" t="s">
        <v>23679</v>
      </c>
      <c r="B69802" s="0" t="str">
        <f aca="false">HYPERLINK("https://lindat.mff.cuni.cz/services/teitok/pdtc10/index.php?action=vallex&amp;frame=v-w9560f2", "zkusit (v-w9560f2)")</f>
        <v>zkusit (v-w9560f2)</v>
      </c>
    </row>
    <row r="69803" customFormat="false" ht="12.8" hidden="false" customHeight="false" outlineLevel="0" collapsed="false">
      <c r="B69803" s="0" t="s">
        <v>7</v>
      </c>
    </row>
    <row r="69804" customFormat="false" ht="12.8" hidden="false" customHeight="false" outlineLevel="0" collapsed="false">
      <c r="B69804" s="0" t="s">
        <v>14</v>
      </c>
    </row>
    <row r="69805" customFormat="false" ht="12.8" hidden="false" customHeight="false" outlineLevel="0" collapsed="false">
      <c r="B69805" s="0" t="s">
        <v>122</v>
      </c>
    </row>
    <row r="69807" customFormat="false" ht="12.8" hidden="false" customHeight="false" outlineLevel="0" collapsed="false">
      <c r="A69807" s="0" t="s">
        <v>23680</v>
      </c>
      <c r="B69807" s="0" t="str">
        <f aca="false">HYPERLINK("https://lindat.mff.cuni.cz/services/teitok/pdtc10/index.php?action=vallex&amp;frame=v-w9560f1", "zkusit (v-w9560f1)")</f>
        <v>zkusit (v-w9560f1)</v>
      </c>
    </row>
    <row r="69808" customFormat="false" ht="12.8" hidden="false" customHeight="false" outlineLevel="0" collapsed="false">
      <c r="B69808" s="0" t="s">
        <v>7</v>
      </c>
      <c r="C69808" s="0" t="s">
        <v>10869</v>
      </c>
      <c r="D69808" s="0" t="s">
        <v>1111</v>
      </c>
      <c r="E69808" s="0" t="s">
        <v>1111</v>
      </c>
      <c r="F69808" s="0" t="s">
        <v>1111</v>
      </c>
    </row>
    <row r="69809" customFormat="false" ht="12.8" hidden="false" customHeight="false" outlineLevel="0" collapsed="false">
      <c r="B69809" s="0" t="s">
        <v>23652</v>
      </c>
      <c r="C69809" s="0" t="s">
        <v>23681</v>
      </c>
      <c r="D69809" s="0" t="s">
        <v>3860</v>
      </c>
      <c r="E69809" s="0" t="s">
        <v>3860</v>
      </c>
      <c r="F69809" s="0" t="s">
        <v>3860</v>
      </c>
    </row>
    <row r="69811" customFormat="false" ht="12.8" hidden="false" customHeight="false" outlineLevel="0" collapsed="false">
      <c r="A69811" s="0" t="s">
        <v>23682</v>
      </c>
      <c r="B69811" s="0" t="str">
        <f aca="false">HYPERLINK("https://lindat.mff.cuni.cz/services/teitok/pdtc10/index.php?action=vallex&amp;frame=v-w9560f3", "zkusit (v-w9560f3)")</f>
        <v>zkusit (v-w9560f3)</v>
      </c>
    </row>
    <row r="69812" customFormat="false" ht="12.8" hidden="false" customHeight="false" outlineLevel="0" collapsed="false">
      <c r="B69812" s="0" t="s">
        <v>7</v>
      </c>
      <c r="C69812" s="0" t="s">
        <v>7950</v>
      </c>
    </row>
    <row r="69813" customFormat="false" ht="12.8" hidden="false" customHeight="false" outlineLevel="0" collapsed="false">
      <c r="B69813" s="0" t="s">
        <v>306</v>
      </c>
      <c r="C69813" s="0" t="s">
        <v>7951</v>
      </c>
    </row>
    <row r="69815" customFormat="false" ht="12.8" hidden="false" customHeight="false" outlineLevel="0" collapsed="false">
      <c r="A69815" s="0" t="s">
        <v>23683</v>
      </c>
      <c r="B69815" s="0" t="str">
        <f aca="false">HYPERLINK("https://lindat.mff.cuni.cz/services/teitok/pdtc10/index.php?action=vallex&amp;frame=v-w9560f4", "zkusit (v-w9560f4)")</f>
        <v>zkusit (v-w9560f4)</v>
      </c>
    </row>
    <row r="69816" customFormat="false" ht="12.8" hidden="false" customHeight="false" outlineLevel="0" collapsed="false">
      <c r="B69816" s="0" t="s">
        <v>7</v>
      </c>
      <c r="D69816" s="0" t="s">
        <v>1111</v>
      </c>
      <c r="E69816" s="0" t="s">
        <v>1111</v>
      </c>
      <c r="F69816" s="0" t="s">
        <v>1111</v>
      </c>
    </row>
    <row r="69817" customFormat="false" ht="12.8" hidden="false" customHeight="false" outlineLevel="0" collapsed="false">
      <c r="B69817" s="0" t="s">
        <v>14</v>
      </c>
      <c r="D69817" s="0" t="s">
        <v>3860</v>
      </c>
      <c r="E69817" s="0" t="s">
        <v>3860</v>
      </c>
      <c r="F69817" s="0" t="s">
        <v>3860</v>
      </c>
    </row>
    <row r="69819" customFormat="false" ht="12.8" hidden="false" customHeight="false" outlineLevel="0" collapsed="false">
      <c r="A69819" s="0" t="s">
        <v>23684</v>
      </c>
      <c r="B69819" s="0" t="str">
        <f aca="false">HYPERLINK("https://lindat.mff.cuni.cz/services/teitok/pdtc10/index.php?action=vallex&amp;frame=v-w9560f5", "zkusit (v-w9560f5)")</f>
        <v>zkusit (v-w9560f5)</v>
      </c>
    </row>
    <row r="69820" customFormat="false" ht="12.8" hidden="false" customHeight="false" outlineLevel="0" collapsed="false">
      <c r="B69820" s="0" t="s">
        <v>7</v>
      </c>
    </row>
    <row r="69821" customFormat="false" ht="12.8" hidden="false" customHeight="false" outlineLevel="0" collapsed="false">
      <c r="B69821" s="0" t="s">
        <v>23685</v>
      </c>
    </row>
    <row r="69822" customFormat="false" ht="12.8" hidden="false" customHeight="false" outlineLevel="0" collapsed="false">
      <c r="B69822" s="0" t="s">
        <v>14</v>
      </c>
    </row>
    <row r="69824" customFormat="false" ht="12.8" hidden="false" customHeight="false" outlineLevel="0" collapsed="false">
      <c r="A69824" s="0" t="s">
        <v>23686</v>
      </c>
      <c r="B69824" s="0" t="str">
        <f aca="false">HYPERLINK("https://lindat.mff.cuni.cz/services/teitok/pdtc10/index.php?action=vallex&amp;frame=v-w9560hsa_1238", "zkusit (v-w9560hsa_1238)")</f>
        <v>zkusit (v-w9560hsa_1238)</v>
      </c>
    </row>
    <row r="69825" customFormat="false" ht="12.8" hidden="false" customHeight="false" outlineLevel="0" collapsed="false">
      <c r="B69825" s="0" t="s">
        <v>7</v>
      </c>
      <c r="C69825" s="0" t="s">
        <v>7950</v>
      </c>
      <c r="D69825" s="0" t="s">
        <v>376</v>
      </c>
      <c r="E69825" s="0" t="s">
        <v>376</v>
      </c>
      <c r="F69825" s="0" t="s">
        <v>376</v>
      </c>
    </row>
    <row r="69826" customFormat="false" ht="12.8" hidden="false" customHeight="false" outlineLevel="0" collapsed="false">
      <c r="B69826" s="0" t="s">
        <v>306</v>
      </c>
      <c r="C69826" s="0" t="s">
        <v>7951</v>
      </c>
      <c r="D69826" s="0" t="s">
        <v>379</v>
      </c>
      <c r="E69826" s="0" t="s">
        <v>379</v>
      </c>
      <c r="F69826" s="0" t="s">
        <v>379</v>
      </c>
    </row>
    <row r="69828" customFormat="false" ht="12.8" hidden="false" customHeight="false" outlineLevel="0" collapsed="false">
      <c r="A69828" s="0" t="s">
        <v>23687</v>
      </c>
      <c r="B69828" s="0" t="str">
        <f aca="false">HYPERLINK("https://lindat.mff.cuni.cz/services/teitok/pdtc10/index.php?action=vallex&amp;frame=v-w9560f6_ZU", "zkusit (v-w9560f6_ZU)")</f>
        <v>zkusit (v-w9560f6_ZU)</v>
      </c>
    </row>
    <row r="69829" customFormat="false" ht="12.8" hidden="false" customHeight="false" outlineLevel="0" collapsed="false">
      <c r="B69829" s="0" t="s">
        <v>7</v>
      </c>
    </row>
    <row r="69830" customFormat="false" ht="12.8" hidden="false" customHeight="false" outlineLevel="0" collapsed="false">
      <c r="B69830" s="0" t="s">
        <v>739</v>
      </c>
    </row>
    <row r="69832" customFormat="false" ht="12.8" hidden="false" customHeight="false" outlineLevel="0" collapsed="false">
      <c r="A69832" s="0" t="s">
        <v>23687</v>
      </c>
      <c r="B69832" s="0" t="str">
        <f aca="false">HYPERLINK("https://lindat.mff.cuni.cz/services/teitok/pdtc10/index.php?action=vallex&amp;frame=v-w9560hsa_2015", "zkusit (v-w9560hsa_2015) - substituted with v-w9560f6_ZU")</f>
        <v>zkusit (v-w9560hsa_2015) - substituted with v-w9560f6_ZU</v>
      </c>
    </row>
    <row r="69833" customFormat="false" ht="12.8" hidden="false" customHeight="false" outlineLevel="0" collapsed="false">
      <c r="B69833" s="0" t="s">
        <v>7</v>
      </c>
    </row>
    <row r="69834" customFormat="false" ht="12.8" hidden="false" customHeight="false" outlineLevel="0" collapsed="false">
      <c r="B69834" s="0" t="s">
        <v>739</v>
      </c>
    </row>
    <row r="69836" customFormat="false" ht="12.8" hidden="false" customHeight="false" outlineLevel="0" collapsed="false">
      <c r="A69836" s="0" t="s">
        <v>23688</v>
      </c>
      <c r="B69836" s="0" t="str">
        <f aca="false">HYPERLINK("https://lindat.mff.cuni.cz/services/teitok/pdtc10/index.php?action=vallex&amp;frame=v-w9561f1", "zkusit si (v-w9561f1)")</f>
        <v>zkusit si (v-w9561f1)</v>
      </c>
    </row>
    <row r="69837" customFormat="false" ht="12.8" hidden="false" customHeight="false" outlineLevel="0" collapsed="false">
      <c r="B69837" s="0" t="s">
        <v>7</v>
      </c>
    </row>
    <row r="69838" customFormat="false" ht="12.8" hidden="false" customHeight="false" outlineLevel="0" collapsed="false">
      <c r="B69838" s="0" t="s">
        <v>306</v>
      </c>
    </row>
    <row r="69840" customFormat="false" ht="12.8" hidden="false" customHeight="false" outlineLevel="0" collapsed="false">
      <c r="A69840" s="0" t="s">
        <v>23689</v>
      </c>
      <c r="B69840" s="0" t="str">
        <f aca="false">HYPERLINK("https://lindat.mff.cuni.cz/services/teitok/pdtc10/index.php?action=vallex&amp;frame=v-w9561f2", "zkusit si (v-w9561f2)")</f>
        <v>zkusit si (v-w9561f2)</v>
      </c>
    </row>
    <row r="69841" customFormat="false" ht="12.8" hidden="false" customHeight="false" outlineLevel="0" collapsed="false">
      <c r="B69841" s="0" t="s">
        <v>7</v>
      </c>
    </row>
    <row r="69842" customFormat="false" ht="12.8" hidden="false" customHeight="false" outlineLevel="0" collapsed="false">
      <c r="B69842" s="0" t="s">
        <v>23685</v>
      </c>
    </row>
    <row r="69843" customFormat="false" ht="12.8" hidden="false" customHeight="false" outlineLevel="0" collapsed="false">
      <c r="B69843" s="0" t="s">
        <v>14</v>
      </c>
    </row>
    <row r="69845" customFormat="false" ht="12.8" hidden="false" customHeight="false" outlineLevel="0" collapsed="false">
      <c r="A69845" s="0" t="s">
        <v>23690</v>
      </c>
      <c r="B69845" s="0" t="str">
        <f aca="false">HYPERLINK("https://lindat.mff.cuni.cz/services/teitok/pdtc10/index.php?action=vallex&amp;frame=v-w9565f1", "zkvalitnit (v-w9565f1)")</f>
        <v>zkvalitnit (v-w9565f1)</v>
      </c>
    </row>
    <row r="69846" customFormat="false" ht="12.8" hidden="false" customHeight="false" outlineLevel="0" collapsed="false">
      <c r="B69846" s="0" t="s">
        <v>7</v>
      </c>
      <c r="C69846" s="0" t="s">
        <v>23</v>
      </c>
      <c r="D69846" s="0" t="s">
        <v>5017</v>
      </c>
      <c r="E69846" s="0" t="s">
        <v>5017</v>
      </c>
      <c r="F69846" s="0" t="s">
        <v>5017</v>
      </c>
    </row>
    <row r="69847" customFormat="false" ht="12.8" hidden="false" customHeight="false" outlineLevel="0" collapsed="false">
      <c r="B69847" s="0" t="s">
        <v>14</v>
      </c>
      <c r="C69847" s="0" t="s">
        <v>4884</v>
      </c>
      <c r="D69847" s="0" t="s">
        <v>5018</v>
      </c>
      <c r="E69847" s="0" t="s">
        <v>5018</v>
      </c>
      <c r="F69847" s="0" t="s">
        <v>5018</v>
      </c>
    </row>
    <row r="69848" customFormat="false" ht="12.8" hidden="false" customHeight="false" outlineLevel="0" collapsed="false">
      <c r="B69848" s="0" t="s">
        <v>35</v>
      </c>
      <c r="D69848" s="0" t="s">
        <v>17935</v>
      </c>
      <c r="E69848" s="0" t="s">
        <v>17935</v>
      </c>
      <c r="F69848" s="0" t="s">
        <v>17935</v>
      </c>
    </row>
    <row r="69849" customFormat="false" ht="12.8" hidden="false" customHeight="false" outlineLevel="0" collapsed="false">
      <c r="B69849" s="0" t="s">
        <v>84</v>
      </c>
      <c r="D69849" s="0" t="s">
        <v>17936</v>
      </c>
      <c r="E69849" s="0" t="s">
        <v>17936</v>
      </c>
      <c r="F69849" s="0" t="s">
        <v>17936</v>
      </c>
    </row>
    <row r="69851" customFormat="false" ht="12.8" hidden="false" customHeight="false" outlineLevel="0" collapsed="false">
      <c r="A69851" s="0" t="s">
        <v>23691</v>
      </c>
      <c r="B69851" s="0" t="str">
        <f aca="false">HYPERLINK("https://lindat.mff.cuni.cz/services/teitok/pdtc10/index.php?action=vallex&amp;frame=v-w9567f1", "zkvalitňovat (v-w9567f1)")</f>
        <v>zkvalitňovat (v-w9567f1)</v>
      </c>
    </row>
    <row r="69852" customFormat="false" ht="12.8" hidden="false" customHeight="false" outlineLevel="0" collapsed="false">
      <c r="B69852" s="0" t="s">
        <v>7</v>
      </c>
      <c r="C69852" s="0" t="s">
        <v>23</v>
      </c>
      <c r="D69852" s="0" t="s">
        <v>5017</v>
      </c>
      <c r="E69852" s="0" t="s">
        <v>5017</v>
      </c>
      <c r="F69852" s="0" t="s">
        <v>5017</v>
      </c>
    </row>
    <row r="69853" customFormat="false" ht="12.8" hidden="false" customHeight="false" outlineLevel="0" collapsed="false">
      <c r="B69853" s="0" t="s">
        <v>14</v>
      </c>
      <c r="C69853" s="0" t="s">
        <v>4884</v>
      </c>
      <c r="D69853" s="0" t="s">
        <v>5018</v>
      </c>
      <c r="E69853" s="0" t="s">
        <v>5018</v>
      </c>
      <c r="F69853" s="0" t="s">
        <v>5018</v>
      </c>
    </row>
    <row r="69854" customFormat="false" ht="12.8" hidden="false" customHeight="false" outlineLevel="0" collapsed="false">
      <c r="B69854" s="0" t="s">
        <v>35</v>
      </c>
      <c r="D69854" s="0" t="s">
        <v>17935</v>
      </c>
      <c r="E69854" s="0" t="s">
        <v>17935</v>
      </c>
      <c r="F69854" s="0" t="s">
        <v>17935</v>
      </c>
    </row>
    <row r="69855" customFormat="false" ht="12.8" hidden="false" customHeight="false" outlineLevel="0" collapsed="false">
      <c r="B69855" s="0" t="s">
        <v>84</v>
      </c>
      <c r="D69855" s="0" t="s">
        <v>17936</v>
      </c>
      <c r="E69855" s="0" t="s">
        <v>17936</v>
      </c>
      <c r="F69855" s="0" t="s">
        <v>17936</v>
      </c>
    </row>
    <row r="69857" customFormat="false" ht="12.8" hidden="false" customHeight="false" outlineLevel="0" collapsed="false">
      <c r="A69857" s="0" t="s">
        <v>23692</v>
      </c>
      <c r="B69857" s="0" t="str">
        <f aca="false">HYPERLINK("https://lindat.mff.cuni.cz/services/teitok/pdtc10/index.php?action=vallex&amp;frame=v-w12133_ZUf1_ZU", "zkysnout (v-w12133_ZUf1_ZU)")</f>
        <v>zkysnout (v-w12133_ZUf1_ZU)</v>
      </c>
    </row>
    <row r="69858" customFormat="false" ht="12.8" hidden="false" customHeight="false" outlineLevel="0" collapsed="false">
      <c r="B69858" s="0" t="s">
        <v>7</v>
      </c>
    </row>
    <row r="69859" customFormat="false" ht="12.8" hidden="false" customHeight="false" outlineLevel="0" collapsed="false">
      <c r="B69859" s="0" t="s">
        <v>1059</v>
      </c>
    </row>
    <row r="69861" customFormat="false" ht="12.8" hidden="false" customHeight="false" outlineLevel="0" collapsed="false">
      <c r="A69861" s="0" t="s">
        <v>23693</v>
      </c>
      <c r="B69861" s="0" t="str">
        <f aca="false">HYPERLINK("https://lindat.mff.cuni.cz/services/teitok/pdtc10/index.php?action=vallex&amp;frame=v-w9558f1", "zkřivit (v-w9558f1)")</f>
        <v>zkřivit (v-w9558f1)</v>
      </c>
    </row>
    <row r="69862" customFormat="false" ht="12.8" hidden="false" customHeight="false" outlineLevel="0" collapsed="false">
      <c r="B69862" s="0" t="s">
        <v>7</v>
      </c>
    </row>
    <row r="69863" customFormat="false" ht="12.8" hidden="false" customHeight="false" outlineLevel="0" collapsed="false">
      <c r="B69863" s="0" t="s">
        <v>14</v>
      </c>
    </row>
    <row r="69865" customFormat="false" ht="12.8" hidden="false" customHeight="false" outlineLevel="0" collapsed="false">
      <c r="A69865" s="0" t="s">
        <v>23694</v>
      </c>
      <c r="B69865" s="0" t="str">
        <f aca="false">HYPERLINK("https://lindat.mff.cuni.cz/services/teitok/pdtc10/index.php?action=vallex&amp;frame=v-w10995f2", "zkřížit (v-w10995f2)")</f>
        <v>zkřížit (v-w10995f2)</v>
      </c>
    </row>
    <row r="69866" customFormat="false" ht="12.8" hidden="false" customHeight="false" outlineLevel="0" collapsed="false">
      <c r="B69866" s="0" t="s">
        <v>7</v>
      </c>
      <c r="E69866" s="0" t="s">
        <v>253</v>
      </c>
      <c r="F69866" s="0" t="s">
        <v>253</v>
      </c>
    </row>
    <row r="69867" customFormat="false" ht="12.8" hidden="false" customHeight="false" outlineLevel="0" collapsed="false">
      <c r="B69867" s="0" t="s">
        <v>14</v>
      </c>
      <c r="E69867" s="0" t="s">
        <v>256</v>
      </c>
      <c r="F69867" s="0" t="s">
        <v>256</v>
      </c>
    </row>
    <row r="69869" customFormat="false" ht="12.8" hidden="false" customHeight="false" outlineLevel="0" collapsed="false">
      <c r="A69869" s="0" t="s">
        <v>23695</v>
      </c>
      <c r="B69869" s="0" t="str">
        <f aca="false">HYPERLINK("https://lindat.mff.cuni.cz/services/teitok/pdtc10/index.php?action=vallex&amp;frame=v-w10995f3_ZU", "zkřížit (v-w10995f3_ZU)")</f>
        <v>zkřížit (v-w10995f3_ZU)</v>
      </c>
    </row>
    <row r="69870" customFormat="false" ht="12.8" hidden="false" customHeight="false" outlineLevel="0" collapsed="false">
      <c r="B69870" s="0" t="s">
        <v>7</v>
      </c>
    </row>
    <row r="69871" customFormat="false" ht="12.8" hidden="false" customHeight="false" outlineLevel="0" collapsed="false">
      <c r="B69871" s="0" t="s">
        <v>14</v>
      </c>
    </row>
    <row r="69872" customFormat="false" ht="12.8" hidden="false" customHeight="false" outlineLevel="0" collapsed="false">
      <c r="B69872" s="0" t="s">
        <v>10606</v>
      </c>
    </row>
    <row r="69874" customFormat="false" ht="12.8" hidden="false" customHeight="false" outlineLevel="0" collapsed="false">
      <c r="A69874" s="0" t="s">
        <v>23695</v>
      </c>
      <c r="B69874" s="0" t="str">
        <f aca="false">HYPERLINK("https://lindat.mff.cuni.cz/services/teitok/pdtc10/index.php?action=vallex&amp;frame=v-w10995hsa_1034", "zkřížit (v-w10995hsa_1034) - substituted with v-w10995f3_ZU")</f>
        <v>zkřížit (v-w10995hsa_1034) - substituted with v-w10995f3_ZU</v>
      </c>
    </row>
    <row r="69875" customFormat="false" ht="12.8" hidden="false" customHeight="false" outlineLevel="0" collapsed="false">
      <c r="B69875" s="0" t="s">
        <v>7</v>
      </c>
    </row>
    <row r="69876" customFormat="false" ht="12.8" hidden="false" customHeight="false" outlineLevel="0" collapsed="false">
      <c r="B69876" s="0" t="s">
        <v>14</v>
      </c>
    </row>
    <row r="69877" customFormat="false" ht="12.8" hidden="false" customHeight="false" outlineLevel="0" collapsed="false">
      <c r="B69877" s="0" t="s">
        <v>10606</v>
      </c>
    </row>
    <row r="69879" customFormat="false" ht="12.8" hidden="false" customHeight="false" outlineLevel="0" collapsed="false">
      <c r="A69879" s="0" t="s">
        <v>23696</v>
      </c>
      <c r="B69879" s="0" t="str">
        <f aca="false">HYPERLINK("https://lindat.mff.cuni.cz/services/teitok/pdtc10/index.php?action=vallex&amp;frame=v-whsa_1018hsa_1019", "zlegalizovat (v-whsa_1018hsa_1019)")</f>
        <v>zlegalizovat (v-whsa_1018hsa_1019)</v>
      </c>
    </row>
    <row r="69880" customFormat="false" ht="12.8" hidden="false" customHeight="false" outlineLevel="0" collapsed="false">
      <c r="B69880" s="0" t="s">
        <v>7</v>
      </c>
      <c r="C69880" s="0" t="s">
        <v>191</v>
      </c>
    </row>
    <row r="69881" customFormat="false" ht="12.8" hidden="false" customHeight="false" outlineLevel="0" collapsed="false">
      <c r="B69881" s="0" t="s">
        <v>14</v>
      </c>
      <c r="C69881" s="0" t="s">
        <v>47</v>
      </c>
    </row>
    <row r="69883" customFormat="false" ht="12.8" hidden="false" customHeight="false" outlineLevel="0" collapsed="false">
      <c r="A69883" s="0" t="s">
        <v>23697</v>
      </c>
      <c r="B69883" s="0" t="str">
        <f aca="false">HYPERLINK("https://lindat.mff.cuni.cz/services/teitok/pdtc10/index.php?action=vallex&amp;frame=v-w10204f2", "zlehčit (v-w10204f2)")</f>
        <v>zlehčit (v-w10204f2)</v>
      </c>
    </row>
    <row r="69884" customFormat="false" ht="12.8" hidden="false" customHeight="false" outlineLevel="0" collapsed="false">
      <c r="B69884" s="0" t="s">
        <v>7</v>
      </c>
      <c r="C69884" s="0" t="s">
        <v>113</v>
      </c>
      <c r="D69884" s="0" t="s">
        <v>171</v>
      </c>
      <c r="E69884" s="0" t="s">
        <v>171</v>
      </c>
      <c r="F69884" s="0" t="s">
        <v>171</v>
      </c>
    </row>
    <row r="69885" customFormat="false" ht="12.8" hidden="false" customHeight="false" outlineLevel="0" collapsed="false">
      <c r="B69885" s="0" t="s">
        <v>172</v>
      </c>
      <c r="C69885" s="0" t="s">
        <v>78</v>
      </c>
      <c r="D69885" s="0" t="s">
        <v>174</v>
      </c>
      <c r="E69885" s="0" t="s">
        <v>174</v>
      </c>
      <c r="F69885" s="0" t="s">
        <v>174</v>
      </c>
    </row>
    <row r="69887" customFormat="false" ht="12.8" hidden="false" customHeight="false" outlineLevel="0" collapsed="false">
      <c r="A69887" s="0" t="s">
        <v>23698</v>
      </c>
      <c r="B69887" s="0" t="str">
        <f aca="false">HYPERLINK("https://lindat.mff.cuni.cz/services/teitok/pdtc10/index.php?action=vallex&amp;frame=v-w9572f1", "zlehčovat (v-w9572f1)")</f>
        <v>zlehčovat (v-w9572f1)</v>
      </c>
    </row>
    <row r="69888" customFormat="false" ht="12.8" hidden="false" customHeight="false" outlineLevel="0" collapsed="false">
      <c r="B69888" s="0" t="s">
        <v>7</v>
      </c>
      <c r="C69888" s="0" t="s">
        <v>200</v>
      </c>
      <c r="D69888" s="0" t="s">
        <v>171</v>
      </c>
      <c r="E69888" s="0" t="s">
        <v>171</v>
      </c>
      <c r="F69888" s="0" t="s">
        <v>171</v>
      </c>
    </row>
    <row r="69889" customFormat="false" ht="12.8" hidden="false" customHeight="false" outlineLevel="0" collapsed="false">
      <c r="B69889" s="0" t="s">
        <v>172</v>
      </c>
      <c r="C69889" s="0" t="s">
        <v>400</v>
      </c>
      <c r="D69889" s="0" t="s">
        <v>174</v>
      </c>
      <c r="E69889" s="0" t="s">
        <v>174</v>
      </c>
      <c r="F69889" s="0" t="s">
        <v>174</v>
      </c>
    </row>
    <row r="69891" customFormat="false" ht="12.8" hidden="false" customHeight="false" outlineLevel="0" collapsed="false">
      <c r="A69891" s="0" t="s">
        <v>23699</v>
      </c>
      <c r="B69891" s="0" t="str">
        <f aca="false">HYPERLINK("https://lindat.mff.cuni.cz/services/teitok/pdtc10/index.php?action=vallex&amp;frame=v-w10215f2", "zlenivět (v-w10215f2)")</f>
        <v>zlenivět (v-w10215f2)</v>
      </c>
    </row>
    <row r="69892" customFormat="false" ht="12.8" hidden="false" customHeight="false" outlineLevel="0" collapsed="false">
      <c r="B69892" s="0" t="s">
        <v>7</v>
      </c>
    </row>
    <row r="69894" customFormat="false" ht="12.8" hidden="false" customHeight="false" outlineLevel="0" collapsed="false">
      <c r="A69894" s="0" t="s">
        <v>23700</v>
      </c>
      <c r="B69894" s="0" t="str">
        <f aca="false">HYPERLINK("https://lindat.mff.cuni.cz/services/teitok/pdtc10/index.php?action=vallex&amp;frame=v-w9574f1", "zlepšit (v-w9574f1)")</f>
        <v>zlepšit (v-w9574f1)</v>
      </c>
    </row>
    <row r="69895" customFormat="false" ht="12.8" hidden="false" customHeight="false" outlineLevel="0" collapsed="false">
      <c r="B69895" s="0" t="s">
        <v>7</v>
      </c>
      <c r="C69895" s="0" t="s">
        <v>23701</v>
      </c>
      <c r="D69895" s="0" t="s">
        <v>5017</v>
      </c>
      <c r="E69895" s="0" t="s">
        <v>23702</v>
      </c>
      <c r="F69895" s="0" t="s">
        <v>23702</v>
      </c>
    </row>
    <row r="69896" customFormat="false" ht="12.8" hidden="false" customHeight="false" outlineLevel="0" collapsed="false">
      <c r="B69896" s="0" t="s">
        <v>14</v>
      </c>
      <c r="C69896" s="0" t="s">
        <v>23703</v>
      </c>
      <c r="D69896" s="0" t="s">
        <v>5018</v>
      </c>
      <c r="E69896" s="0" t="s">
        <v>23704</v>
      </c>
      <c r="F69896" s="0" t="s">
        <v>23704</v>
      </c>
    </row>
    <row r="69897" customFormat="false" ht="12.8" hidden="false" customHeight="false" outlineLevel="0" collapsed="false">
      <c r="B69897" s="0" t="s">
        <v>35</v>
      </c>
      <c r="C69897" s="0" t="s">
        <v>23705</v>
      </c>
      <c r="D69897" s="0" t="s">
        <v>17935</v>
      </c>
      <c r="E69897" s="0" t="s">
        <v>17935</v>
      </c>
      <c r="F69897" s="0" t="s">
        <v>17935</v>
      </c>
    </row>
    <row r="69898" customFormat="false" ht="12.8" hidden="false" customHeight="false" outlineLevel="0" collapsed="false">
      <c r="B69898" s="0" t="s">
        <v>84</v>
      </c>
      <c r="C69898" s="0" t="s">
        <v>17936</v>
      </c>
      <c r="D69898" s="0" t="s">
        <v>17936</v>
      </c>
      <c r="E69898" s="0" t="s">
        <v>17936</v>
      </c>
      <c r="F69898" s="0" t="s">
        <v>17936</v>
      </c>
    </row>
    <row r="69900" customFormat="false" ht="12.8" hidden="false" customHeight="false" outlineLevel="0" collapsed="false">
      <c r="A69900" s="0" t="s">
        <v>23706</v>
      </c>
      <c r="B69900" s="0" t="str">
        <f aca="false">HYPERLINK("https://lindat.mff.cuni.cz/services/teitok/pdtc10/index.php?action=vallex&amp;frame=v-w9575f1", "zlepšit se (v-w9575f1)")</f>
        <v>zlepšit se (v-w9575f1)</v>
      </c>
    </row>
    <row r="69901" customFormat="false" ht="12.8" hidden="false" customHeight="false" outlineLevel="0" collapsed="false">
      <c r="B69901" s="0" t="s">
        <v>7</v>
      </c>
      <c r="C69901" s="0" t="s">
        <v>23707</v>
      </c>
      <c r="D69901" s="0" t="s">
        <v>23708</v>
      </c>
      <c r="E69901" s="0" t="s">
        <v>23708</v>
      </c>
      <c r="F69901" s="0" t="s">
        <v>23708</v>
      </c>
    </row>
    <row r="69902" customFormat="false" ht="12.8" hidden="false" customHeight="false" outlineLevel="0" collapsed="false">
      <c r="B69902" s="0" t="s">
        <v>63</v>
      </c>
      <c r="C69902" s="0" t="s">
        <v>23709</v>
      </c>
      <c r="D69902" s="0" t="s">
        <v>23710</v>
      </c>
      <c r="E69902" s="0" t="s">
        <v>23710</v>
      </c>
      <c r="F69902" s="0" t="s">
        <v>23710</v>
      </c>
    </row>
    <row r="69903" customFormat="false" ht="12.8" hidden="false" customHeight="false" outlineLevel="0" collapsed="false">
      <c r="B69903" s="0" t="s">
        <v>35</v>
      </c>
      <c r="C69903" s="0" t="s">
        <v>23711</v>
      </c>
      <c r="D69903" s="0" t="s">
        <v>23712</v>
      </c>
      <c r="E69903" s="0" t="s">
        <v>23712</v>
      </c>
      <c r="F69903" s="0" t="s">
        <v>23712</v>
      </c>
    </row>
    <row r="69905" customFormat="false" ht="12.8" hidden="false" customHeight="false" outlineLevel="0" collapsed="false">
      <c r="A69905" s="0" t="s">
        <v>23713</v>
      </c>
      <c r="B69905" s="0" t="str">
        <f aca="false">HYPERLINK("https://lindat.mff.cuni.cz/services/teitok/pdtc10/index.php?action=vallex&amp;frame=v-w9577f1", "zlepšovat (v-w9577f1)")</f>
        <v>zlepšovat (v-w9577f1)</v>
      </c>
    </row>
    <row r="69906" customFormat="false" ht="12.8" hidden="false" customHeight="false" outlineLevel="0" collapsed="false">
      <c r="B69906" s="0" t="s">
        <v>7</v>
      </c>
      <c r="C69906" s="0" t="s">
        <v>23714</v>
      </c>
      <c r="D69906" s="0" t="s">
        <v>5017</v>
      </c>
      <c r="E69906" s="0" t="s">
        <v>5017</v>
      </c>
      <c r="F69906" s="0" t="s">
        <v>5017</v>
      </c>
    </row>
    <row r="69907" customFormat="false" ht="12.8" hidden="false" customHeight="false" outlineLevel="0" collapsed="false">
      <c r="B69907" s="0" t="s">
        <v>14</v>
      </c>
      <c r="C69907" s="0" t="s">
        <v>14109</v>
      </c>
      <c r="D69907" s="0" t="s">
        <v>5018</v>
      </c>
      <c r="E69907" s="0" t="s">
        <v>5018</v>
      </c>
      <c r="F69907" s="0" t="s">
        <v>5018</v>
      </c>
    </row>
    <row r="69908" customFormat="false" ht="12.8" hidden="false" customHeight="false" outlineLevel="0" collapsed="false">
      <c r="B69908" s="0" t="s">
        <v>35</v>
      </c>
      <c r="C69908" s="0" t="s">
        <v>4253</v>
      </c>
      <c r="D69908" s="0" t="s">
        <v>17935</v>
      </c>
      <c r="E69908" s="0" t="s">
        <v>17935</v>
      </c>
      <c r="F69908" s="0" t="s">
        <v>17935</v>
      </c>
    </row>
    <row r="69909" customFormat="false" ht="12.8" hidden="false" customHeight="false" outlineLevel="0" collapsed="false">
      <c r="B69909" s="0" t="s">
        <v>84</v>
      </c>
      <c r="D69909" s="0" t="s">
        <v>17936</v>
      </c>
      <c r="E69909" s="0" t="s">
        <v>17936</v>
      </c>
      <c r="F69909" s="0" t="s">
        <v>17936</v>
      </c>
    </row>
    <row r="69911" customFormat="false" ht="12.8" hidden="false" customHeight="false" outlineLevel="0" collapsed="false">
      <c r="A69911" s="0" t="s">
        <v>23715</v>
      </c>
      <c r="B69911" s="0" t="str">
        <f aca="false">HYPERLINK("https://lindat.mff.cuni.cz/services/teitok/pdtc10/index.php?action=vallex&amp;frame=v-w9578f2", "zlepšovat se (v-w9578f2)")</f>
        <v>zlepšovat se (v-w9578f2)</v>
      </c>
    </row>
    <row r="69912" customFormat="false" ht="12.8" hidden="false" customHeight="false" outlineLevel="0" collapsed="false">
      <c r="B69912" s="0" t="s">
        <v>7</v>
      </c>
    </row>
    <row r="69913" customFormat="false" ht="12.8" hidden="false" customHeight="false" outlineLevel="0" collapsed="false">
      <c r="B69913" s="0" t="s">
        <v>706</v>
      </c>
    </row>
    <row r="69914" customFormat="false" ht="12.8" hidden="false" customHeight="false" outlineLevel="0" collapsed="false">
      <c r="B69914" s="0" t="s">
        <v>35</v>
      </c>
    </row>
    <row r="69915" customFormat="false" ht="12.8" hidden="false" customHeight="false" outlineLevel="0" collapsed="false">
      <c r="B69915" s="0" t="s">
        <v>84</v>
      </c>
    </row>
    <row r="69917" customFormat="false" ht="12.8" hidden="false" customHeight="false" outlineLevel="0" collapsed="false">
      <c r="A69917" s="0" t="s">
        <v>23716</v>
      </c>
      <c r="B69917" s="0" t="str">
        <f aca="false">HYPERLINK("https://lindat.mff.cuni.cz/services/teitok/pdtc10/index.php?action=vallex&amp;frame=v-w9578f1", "zlepšovat se (v-w9578f1)")</f>
        <v>zlepšovat se (v-w9578f1)</v>
      </c>
    </row>
    <row r="69918" customFormat="false" ht="12.8" hidden="false" customHeight="false" outlineLevel="0" collapsed="false">
      <c r="B69918" s="0" t="s">
        <v>7</v>
      </c>
      <c r="C69918" s="0" t="s">
        <v>23717</v>
      </c>
      <c r="D69918" s="0" t="s">
        <v>23718</v>
      </c>
      <c r="E69918" s="0" t="s">
        <v>23718</v>
      </c>
      <c r="F69918" s="0" t="s">
        <v>23718</v>
      </c>
    </row>
    <row r="69919" customFormat="false" ht="12.8" hidden="false" customHeight="false" outlineLevel="0" collapsed="false">
      <c r="B69919" s="0" t="s">
        <v>63</v>
      </c>
      <c r="D69919" s="0" t="s">
        <v>4496</v>
      </c>
      <c r="E69919" s="0" t="s">
        <v>4496</v>
      </c>
      <c r="F69919" s="0" t="s">
        <v>4496</v>
      </c>
    </row>
    <row r="69920" customFormat="false" ht="12.8" hidden="false" customHeight="false" outlineLevel="0" collapsed="false">
      <c r="B69920" s="0" t="s">
        <v>35</v>
      </c>
      <c r="D69920" s="0" t="s">
        <v>4497</v>
      </c>
      <c r="E69920" s="0" t="s">
        <v>4497</v>
      </c>
      <c r="F69920" s="0" t="s">
        <v>4497</v>
      </c>
    </row>
    <row r="69922" customFormat="false" ht="12.8" hidden="false" customHeight="false" outlineLevel="0" collapsed="false">
      <c r="A69922" s="0" t="s">
        <v>23719</v>
      </c>
      <c r="B69922" s="0" t="str">
        <f aca="false">HYPERLINK("https://lindat.mff.cuni.cz/services/teitok/pdtc10/index.php?action=vallex&amp;frame=v-w9580f1", "zlevnit (v-w9580f1)")</f>
        <v>zlevnit (v-w9580f1)</v>
      </c>
    </row>
    <row r="69923" customFormat="false" ht="12.8" hidden="false" customHeight="false" outlineLevel="0" collapsed="false">
      <c r="B69923" s="0" t="s">
        <v>7</v>
      </c>
      <c r="C69923" s="0" t="s">
        <v>1456</v>
      </c>
      <c r="D69923" s="0" t="s">
        <v>9101</v>
      </c>
      <c r="E69923" s="0" t="s">
        <v>9101</v>
      </c>
      <c r="F69923" s="0" t="s">
        <v>9101</v>
      </c>
    </row>
    <row r="69924" customFormat="false" ht="12.8" hidden="false" customHeight="false" outlineLevel="0" collapsed="false">
      <c r="B69924" s="0" t="s">
        <v>14</v>
      </c>
      <c r="C69924" s="0" t="s">
        <v>23720</v>
      </c>
      <c r="D69924" s="0" t="s">
        <v>9102</v>
      </c>
      <c r="E69924" s="0" t="s">
        <v>9102</v>
      </c>
      <c r="F69924" s="0" t="s">
        <v>9102</v>
      </c>
    </row>
    <row r="69925" customFormat="false" ht="12.8" hidden="false" customHeight="false" outlineLevel="0" collapsed="false">
      <c r="B69925" s="0" t="s">
        <v>35</v>
      </c>
      <c r="C69925" s="0" t="s">
        <v>23721</v>
      </c>
      <c r="D69925" s="0" t="s">
        <v>9103</v>
      </c>
      <c r="E69925" s="0" t="s">
        <v>9103</v>
      </c>
      <c r="F69925" s="0" t="s">
        <v>9103</v>
      </c>
    </row>
    <row r="69926" customFormat="false" ht="12.8" hidden="false" customHeight="false" outlineLevel="0" collapsed="false">
      <c r="B69926" s="0" t="s">
        <v>84</v>
      </c>
      <c r="C69926" s="0" t="s">
        <v>23722</v>
      </c>
      <c r="D69926" s="0" t="s">
        <v>9104</v>
      </c>
      <c r="E69926" s="0" t="s">
        <v>9104</v>
      </c>
      <c r="F69926" s="0" t="s">
        <v>9104</v>
      </c>
    </row>
    <row r="69928" customFormat="false" ht="12.8" hidden="false" customHeight="false" outlineLevel="0" collapsed="false">
      <c r="A69928" s="0" t="s">
        <v>23723</v>
      </c>
      <c r="B69928" s="0" t="str">
        <f aca="false">HYPERLINK("https://lindat.mff.cuni.cz/services/teitok/pdtc10/index.php?action=vallex&amp;frame=v-w9580f2_ZU", "zlevnit (v-w9580f2_ZU)")</f>
        <v>zlevnit (v-w9580f2_ZU)</v>
      </c>
    </row>
    <row r="69929" customFormat="false" ht="12.8" hidden="false" customHeight="false" outlineLevel="0" collapsed="false">
      <c r="B69929" s="0" t="s">
        <v>7</v>
      </c>
      <c r="C69929" s="0" t="s">
        <v>10603</v>
      </c>
    </row>
    <row r="69930" customFormat="false" ht="12.8" hidden="false" customHeight="false" outlineLevel="0" collapsed="false">
      <c r="B69930" s="0" t="s">
        <v>63</v>
      </c>
      <c r="C69930" s="0" t="s">
        <v>9578</v>
      </c>
    </row>
    <row r="69931" customFormat="false" ht="12.8" hidden="false" customHeight="false" outlineLevel="0" collapsed="false">
      <c r="B69931" s="0" t="s">
        <v>35</v>
      </c>
    </row>
    <row r="69933" customFormat="false" ht="12.8" hidden="false" customHeight="false" outlineLevel="0" collapsed="false">
      <c r="A69933" s="0" t="s">
        <v>23724</v>
      </c>
      <c r="B69933" s="0" t="str">
        <f aca="false">HYPERLINK("https://lindat.mff.cuni.cz/services/teitok/pdtc10/index.php?action=vallex&amp;frame=v-w9582f1", "zlevňovat (v-w9582f1)")</f>
        <v>zlevňovat (v-w9582f1)</v>
      </c>
    </row>
    <row r="69934" customFormat="false" ht="12.8" hidden="false" customHeight="false" outlineLevel="0" collapsed="false">
      <c r="B69934" s="0" t="s">
        <v>7</v>
      </c>
      <c r="D69934" s="0" t="s">
        <v>9101</v>
      </c>
      <c r="E69934" s="0" t="s">
        <v>9101</v>
      </c>
      <c r="F69934" s="0" t="s">
        <v>9101</v>
      </c>
    </row>
    <row r="69935" customFormat="false" ht="12.8" hidden="false" customHeight="false" outlineLevel="0" collapsed="false">
      <c r="B69935" s="0" t="s">
        <v>14</v>
      </c>
      <c r="D69935" s="0" t="s">
        <v>9102</v>
      </c>
      <c r="E69935" s="0" t="s">
        <v>9102</v>
      </c>
      <c r="F69935" s="0" t="s">
        <v>9102</v>
      </c>
    </row>
    <row r="69936" customFormat="false" ht="12.8" hidden="false" customHeight="false" outlineLevel="0" collapsed="false">
      <c r="B69936" s="0" t="s">
        <v>35</v>
      </c>
      <c r="D69936" s="0" t="s">
        <v>9103</v>
      </c>
      <c r="E69936" s="0" t="s">
        <v>9103</v>
      </c>
      <c r="F69936" s="0" t="s">
        <v>9103</v>
      </c>
    </row>
    <row r="69937" customFormat="false" ht="12.8" hidden="false" customHeight="false" outlineLevel="0" collapsed="false">
      <c r="B69937" s="0" t="s">
        <v>84</v>
      </c>
      <c r="D69937" s="0" t="s">
        <v>9104</v>
      </c>
      <c r="E69937" s="0" t="s">
        <v>9104</v>
      </c>
      <c r="F69937" s="0" t="s">
        <v>9104</v>
      </c>
    </row>
    <row r="69939" customFormat="false" ht="12.8" hidden="false" customHeight="false" outlineLevel="0" collapsed="false">
      <c r="A69939" s="0" t="s">
        <v>23725</v>
      </c>
      <c r="B69939" s="0" t="str">
        <f aca="false">HYPERLINK("https://lindat.mff.cuni.cz/services/teitok/pdtc10/index.php?action=vallex&amp;frame=v-w10683f2", "zliberalizovat (v-w10683f2)")</f>
        <v>zliberalizovat (v-w10683f2)</v>
      </c>
    </row>
    <row r="69940" customFormat="false" ht="12.8" hidden="false" customHeight="false" outlineLevel="0" collapsed="false">
      <c r="B69940" s="0" t="s">
        <v>7</v>
      </c>
      <c r="C69940" s="0" t="s">
        <v>184</v>
      </c>
      <c r="D69940" s="0" t="s">
        <v>569</v>
      </c>
      <c r="E69940" s="0" t="s">
        <v>569</v>
      </c>
      <c r="F69940" s="0" t="s">
        <v>569</v>
      </c>
    </row>
    <row r="69941" customFormat="false" ht="12.8" hidden="false" customHeight="false" outlineLevel="0" collapsed="false">
      <c r="B69941" s="0" t="s">
        <v>14</v>
      </c>
      <c r="C69941" s="0" t="s">
        <v>74</v>
      </c>
      <c r="D69941" s="0" t="s">
        <v>89</v>
      </c>
      <c r="E69941" s="0" t="s">
        <v>89</v>
      </c>
      <c r="F69941" s="0" t="s">
        <v>89</v>
      </c>
    </row>
    <row r="69943" customFormat="false" ht="12.8" hidden="false" customHeight="false" outlineLevel="0" collapsed="false">
      <c r="A69943" s="0" t="s">
        <v>23726</v>
      </c>
      <c r="B69943" s="0" t="str">
        <f aca="false">HYPERLINK("https://lindat.mff.cuni.cz/services/teitok/pdtc10/index.php?action=vallex&amp;frame=v-whsa_1013hsa_1014", "zlidovět (v-whsa_1013hsa_1014)")</f>
        <v>zlidovět (v-whsa_1013hsa_1014)</v>
      </c>
    </row>
    <row r="69944" customFormat="false" ht="12.8" hidden="false" customHeight="false" outlineLevel="0" collapsed="false">
      <c r="B69944" s="0" t="s">
        <v>7</v>
      </c>
      <c r="C69944" s="0" t="s">
        <v>200</v>
      </c>
    </row>
    <row r="69946" customFormat="false" ht="12.8" hidden="false" customHeight="false" outlineLevel="0" collapsed="false">
      <c r="A69946" s="0" t="s">
        <v>23727</v>
      </c>
      <c r="B69946" s="0" t="str">
        <f aca="false">HYPERLINK("https://lindat.mff.cuni.cz/services/teitok/pdtc10/index.php?action=vallex&amp;frame=v-w9584f1", "zlikvidovat (v-w9584f1)")</f>
        <v>zlikvidovat (v-w9584f1)</v>
      </c>
    </row>
    <row r="69947" customFormat="false" ht="12.8" hidden="false" customHeight="false" outlineLevel="0" collapsed="false">
      <c r="B69947" s="0" t="s">
        <v>7</v>
      </c>
      <c r="C69947" s="0" t="s">
        <v>3042</v>
      </c>
      <c r="D69947" s="0" t="s">
        <v>1549</v>
      </c>
      <c r="E69947" s="0" t="s">
        <v>1550</v>
      </c>
      <c r="F69947" s="0" t="s">
        <v>1550</v>
      </c>
    </row>
    <row r="69948" customFormat="false" ht="12.8" hidden="false" customHeight="false" outlineLevel="0" collapsed="false">
      <c r="B69948" s="0" t="s">
        <v>14</v>
      </c>
      <c r="C69948" s="0" t="s">
        <v>20416</v>
      </c>
      <c r="D69948" s="0" t="s">
        <v>1164</v>
      </c>
      <c r="E69948" s="0" t="s">
        <v>1551</v>
      </c>
      <c r="F69948" s="0" t="s">
        <v>1551</v>
      </c>
    </row>
    <row r="69950" customFormat="false" ht="12.8" hidden="false" customHeight="false" outlineLevel="0" collapsed="false">
      <c r="A69950" s="0" t="s">
        <v>23728</v>
      </c>
      <c r="B69950" s="0" t="str">
        <f aca="false">HYPERLINK("https://lindat.mff.cuni.cz/services/teitok/pdtc10/index.php?action=vallex&amp;frame=v-w9587f4_MM", "zlobit (v-w9587f4_MM)")</f>
        <v>zlobit (v-w9587f4_MM)</v>
      </c>
    </row>
    <row r="69951" customFormat="false" ht="12.8" hidden="false" customHeight="false" outlineLevel="0" collapsed="false">
      <c r="B69951" s="0" t="s">
        <v>641</v>
      </c>
    </row>
    <row r="69952" customFormat="false" ht="12.8" hidden="false" customHeight="false" outlineLevel="0" collapsed="false">
      <c r="B69952" s="0" t="s">
        <v>14</v>
      </c>
    </row>
    <row r="69954" customFormat="false" ht="12.8" hidden="false" customHeight="false" outlineLevel="0" collapsed="false">
      <c r="A69954" s="0" t="s">
        <v>23728</v>
      </c>
      <c r="B69954" s="0" t="str">
        <f aca="false">HYPERLINK("https://lindat.mff.cuni.cz/services/teitok/pdtc10/index.php?action=vallex&amp;frame=v-w9587f2", "zlobit (v-w9587f2) - substituted with v-w9587f4_MM")</f>
        <v>zlobit (v-w9587f2) - substituted with v-w9587f4_MM</v>
      </c>
    </row>
    <row r="69955" customFormat="false" ht="12.8" hidden="false" customHeight="false" outlineLevel="0" collapsed="false">
      <c r="B69955" s="0" t="s">
        <v>641</v>
      </c>
      <c r="C69955" s="0" t="s">
        <v>3709</v>
      </c>
      <c r="D69955" s="0" t="s">
        <v>3710</v>
      </c>
      <c r="E69955" s="0" t="s">
        <v>3711</v>
      </c>
      <c r="F69955" s="0" t="s">
        <v>3711</v>
      </c>
    </row>
    <row r="69956" customFormat="false" ht="12.8" hidden="false" customHeight="false" outlineLevel="0" collapsed="false">
      <c r="B69956" s="0" t="s">
        <v>14</v>
      </c>
      <c r="C69956" s="0" t="s">
        <v>78</v>
      </c>
      <c r="D69956" s="0" t="s">
        <v>3712</v>
      </c>
      <c r="E69956" s="0" t="s">
        <v>461</v>
      </c>
      <c r="F69956" s="0" t="s">
        <v>461</v>
      </c>
    </row>
    <row r="69958" customFormat="false" ht="12.8" hidden="false" customHeight="false" outlineLevel="0" collapsed="false">
      <c r="A69958" s="0" t="s">
        <v>23728</v>
      </c>
      <c r="B69958" s="0" t="str">
        <f aca="false">HYPERLINK("https://lindat.mff.cuni.cz/services/teitok/pdtc10/index.php?action=vallex&amp;frame=v-w9587f3_ZU", "zlobit (v-w9587f3_ZU) - substituted with v-w9587f4_MM")</f>
        <v>zlobit (v-w9587f3_ZU) - substituted with v-w9587f4_MM</v>
      </c>
    </row>
    <row r="69959" customFormat="false" ht="12.8" hidden="false" customHeight="false" outlineLevel="0" collapsed="false">
      <c r="B69959" s="0" t="s">
        <v>641</v>
      </c>
    </row>
    <row r="69960" customFormat="false" ht="12.8" hidden="false" customHeight="false" outlineLevel="0" collapsed="false">
      <c r="B69960" s="0" t="s">
        <v>14</v>
      </c>
    </row>
    <row r="69962" customFormat="false" ht="12.8" hidden="false" customHeight="false" outlineLevel="0" collapsed="false">
      <c r="A69962" s="0" t="s">
        <v>23729</v>
      </c>
      <c r="B69962" s="0" t="str">
        <f aca="false">HYPERLINK("https://lindat.mff.cuni.cz/services/teitok/pdtc10/index.php?action=vallex&amp;frame=v-w9587f1", "zlobit (v-w9587f1)")</f>
        <v>zlobit (v-w9587f1)</v>
      </c>
    </row>
    <row r="69963" customFormat="false" ht="12.8" hidden="false" customHeight="false" outlineLevel="0" collapsed="false">
      <c r="B69963" s="0" t="s">
        <v>7</v>
      </c>
    </row>
    <row r="69964" customFormat="false" ht="12.8" hidden="false" customHeight="false" outlineLevel="0" collapsed="false">
      <c r="B69964" s="0" t="s">
        <v>297</v>
      </c>
    </row>
    <row r="69966" customFormat="false" ht="12.8" hidden="false" customHeight="false" outlineLevel="0" collapsed="false">
      <c r="A69966" s="0" t="s">
        <v>23730</v>
      </c>
      <c r="B69966" s="0" t="str">
        <f aca="false">HYPERLINK("https://lindat.mff.cuni.cz/services/teitok/pdtc10/index.php?action=vallex&amp;frame=v-w9588f1", "zlobit se (v-w9588f1)")</f>
        <v>zlobit se (v-w9588f1)</v>
      </c>
    </row>
    <row r="69967" customFormat="false" ht="12.8" hidden="false" customHeight="false" outlineLevel="0" collapsed="false">
      <c r="B69967" s="0" t="s">
        <v>7</v>
      </c>
    </row>
    <row r="69968" customFormat="false" ht="12.8" hidden="false" customHeight="false" outlineLevel="0" collapsed="false">
      <c r="B69968" s="0" t="s">
        <v>600</v>
      </c>
      <c r="C69968" s="0" t="s">
        <v>74</v>
      </c>
    </row>
    <row r="69970" customFormat="false" ht="12.8" hidden="false" customHeight="false" outlineLevel="0" collapsed="false">
      <c r="A69970" s="0" t="s">
        <v>23731</v>
      </c>
      <c r="B69970" s="0" t="str">
        <f aca="false">HYPERLINK("https://lindat.mff.cuni.cz/services/teitok/pdtc10/index.php?action=vallex&amp;frame=v-w9593f1", "zlomit (v-w9593f1)")</f>
        <v>zlomit (v-w9593f1)</v>
      </c>
    </row>
    <row r="69971" customFormat="false" ht="12.8" hidden="false" customHeight="false" outlineLevel="0" collapsed="false">
      <c r="B69971" s="0" t="s">
        <v>7</v>
      </c>
      <c r="C69971" s="0" t="s">
        <v>1874</v>
      </c>
      <c r="D69971" s="0" t="s">
        <v>2797</v>
      </c>
      <c r="E69971" s="0" t="s">
        <v>2797</v>
      </c>
      <c r="F69971" s="0" t="s">
        <v>2797</v>
      </c>
    </row>
    <row r="69972" customFormat="false" ht="12.8" hidden="false" customHeight="false" outlineLevel="0" collapsed="false">
      <c r="B69972" s="0" t="s">
        <v>14</v>
      </c>
      <c r="C69972" s="0" t="s">
        <v>466</v>
      </c>
      <c r="D69972" s="0" t="s">
        <v>4163</v>
      </c>
      <c r="E69972" s="0" t="s">
        <v>4163</v>
      </c>
      <c r="F69972" s="0" t="s">
        <v>4163</v>
      </c>
    </row>
    <row r="69973" customFormat="false" ht="12.8" hidden="false" customHeight="false" outlineLevel="0" collapsed="false">
      <c r="B69973" s="0" t="s">
        <v>2773</v>
      </c>
      <c r="C69973" s="0" t="s">
        <v>4724</v>
      </c>
      <c r="D69973" s="0" t="s">
        <v>13112</v>
      </c>
      <c r="E69973" s="0" t="s">
        <v>13112</v>
      </c>
      <c r="F69973" s="0" t="s">
        <v>13112</v>
      </c>
    </row>
    <row r="69975" customFormat="false" ht="12.8" hidden="false" customHeight="false" outlineLevel="0" collapsed="false">
      <c r="A69975" s="0" t="s">
        <v>23732</v>
      </c>
      <c r="B69975" s="0" t="str">
        <f aca="false">HYPERLINK("https://lindat.mff.cuni.cz/services/teitok/pdtc10/index.php?action=vallex&amp;frame=v-w9593f2", "zlomit (v-w9593f2)")</f>
        <v>zlomit (v-w9593f2)</v>
      </c>
    </row>
    <row r="69976" customFormat="false" ht="12.8" hidden="false" customHeight="false" outlineLevel="0" collapsed="false">
      <c r="B69976" s="0" t="s">
        <v>7</v>
      </c>
      <c r="C69976" s="0" t="s">
        <v>157</v>
      </c>
      <c r="D69976" s="0" t="s">
        <v>1549</v>
      </c>
      <c r="E69976" s="0" t="s">
        <v>1550</v>
      </c>
      <c r="F69976" s="0" t="s">
        <v>1550</v>
      </c>
    </row>
    <row r="69977" customFormat="false" ht="12.8" hidden="false" customHeight="false" outlineLevel="0" collapsed="false">
      <c r="B69977" s="0" t="s">
        <v>14</v>
      </c>
      <c r="C69977" s="0" t="s">
        <v>152</v>
      </c>
      <c r="D69977" s="0" t="s">
        <v>1164</v>
      </c>
      <c r="E69977" s="0" t="s">
        <v>1551</v>
      </c>
      <c r="F69977" s="0" t="s">
        <v>1551</v>
      </c>
    </row>
    <row r="69979" customFormat="false" ht="12.8" hidden="false" customHeight="false" outlineLevel="0" collapsed="false">
      <c r="A69979" s="0" t="s">
        <v>23733</v>
      </c>
      <c r="B69979" s="0" t="str">
        <f aca="false">HYPERLINK("https://lindat.mff.cuni.cz/services/teitok/pdtc10/index.php?action=vallex&amp;frame=v-w9593f3", "zlomit (v-w9593f3)")</f>
        <v>zlomit (v-w9593f3)</v>
      </c>
    </row>
    <row r="69980" customFormat="false" ht="12.8" hidden="false" customHeight="false" outlineLevel="0" collapsed="false">
      <c r="B69980" s="0" t="s">
        <v>7</v>
      </c>
    </row>
    <row r="69981" customFormat="false" ht="12.8" hidden="false" customHeight="false" outlineLevel="0" collapsed="false">
      <c r="B69981" s="0" t="s">
        <v>5257</v>
      </c>
    </row>
    <row r="69982" customFormat="false" ht="12.8" hidden="false" customHeight="false" outlineLevel="0" collapsed="false">
      <c r="B69982" s="0" t="s">
        <v>223</v>
      </c>
    </row>
    <row r="69984" customFormat="false" ht="12.8" hidden="false" customHeight="false" outlineLevel="0" collapsed="false">
      <c r="A69984" s="0" t="s">
        <v>23734</v>
      </c>
      <c r="B69984" s="0" t="str">
        <f aca="false">HYPERLINK("https://lindat.mff.cuni.cz/services/teitok/pdtc10/index.php?action=vallex&amp;frame=v-w9593f4_ZU", "zlomit (v-w9593f4_ZU)")</f>
        <v>zlomit (v-w9593f4_ZU)</v>
      </c>
    </row>
    <row r="69985" customFormat="false" ht="12.8" hidden="false" customHeight="false" outlineLevel="0" collapsed="false">
      <c r="B69985" s="0" t="s">
        <v>7</v>
      </c>
      <c r="C69985" s="0" t="s">
        <v>157</v>
      </c>
    </row>
    <row r="69986" customFormat="false" ht="12.8" hidden="false" customHeight="false" outlineLevel="0" collapsed="false">
      <c r="B69986" s="0" t="s">
        <v>3142</v>
      </c>
      <c r="C69986" s="0" t="s">
        <v>23735</v>
      </c>
    </row>
    <row r="69987" customFormat="false" ht="12.8" hidden="false" customHeight="false" outlineLevel="0" collapsed="false">
      <c r="B69987" s="0" t="s">
        <v>142</v>
      </c>
    </row>
    <row r="69989" customFormat="false" ht="12.8" hidden="false" customHeight="false" outlineLevel="0" collapsed="false">
      <c r="A69989" s="0" t="s">
        <v>23734</v>
      </c>
      <c r="B69989" s="0" t="str">
        <f aca="false">HYPERLINK("https://lindat.mff.cuni.cz/services/teitok/pdtc10/index.php?action=vallex&amp;frame=v-w9593hsa_1056", "zlomit (v-w9593hsa_1056) - substituted with v-w9593f4_ZU")</f>
        <v>zlomit (v-w9593hsa_1056) - substituted with v-w9593f4_ZU</v>
      </c>
    </row>
    <row r="69990" customFormat="false" ht="12.8" hidden="false" customHeight="false" outlineLevel="0" collapsed="false">
      <c r="B69990" s="0" t="s">
        <v>7</v>
      </c>
    </row>
    <row r="69991" customFormat="false" ht="12.8" hidden="false" customHeight="false" outlineLevel="0" collapsed="false">
      <c r="B69991" s="0" t="s">
        <v>3142</v>
      </c>
    </row>
    <row r="69992" customFormat="false" ht="12.8" hidden="false" customHeight="false" outlineLevel="0" collapsed="false">
      <c r="B69992" s="0" t="s">
        <v>142</v>
      </c>
    </row>
    <row r="69994" customFormat="false" ht="12.8" hidden="false" customHeight="false" outlineLevel="0" collapsed="false">
      <c r="A69994" s="0" t="s">
        <v>23736</v>
      </c>
      <c r="B69994" s="0" t="str">
        <f aca="false">HYPERLINK("https://lindat.mff.cuni.cz/services/teitok/pdtc10/index.php?action=vallex&amp;frame=v-w9594f1", "zlomit se (v-w9594f1)")</f>
        <v>zlomit se (v-w9594f1)</v>
      </c>
    </row>
    <row r="69995" customFormat="false" ht="12.8" hidden="false" customHeight="false" outlineLevel="0" collapsed="false">
      <c r="B69995" s="0" t="s">
        <v>7</v>
      </c>
      <c r="C69995" s="0" t="s">
        <v>247</v>
      </c>
      <c r="D69995" s="0" t="s">
        <v>10626</v>
      </c>
      <c r="E69995" s="0" t="s">
        <v>10626</v>
      </c>
      <c r="F69995" s="0" t="s">
        <v>10626</v>
      </c>
    </row>
    <row r="69997" customFormat="false" ht="12.8" hidden="false" customHeight="false" outlineLevel="0" collapsed="false">
      <c r="A69997" s="0" t="s">
        <v>23737</v>
      </c>
      <c r="B69997" s="0" t="str">
        <f aca="false">HYPERLINK("https://lindat.mff.cuni.cz/services/teitok/pdtc10/index.php?action=vallex&amp;frame=v-w9595f1", "zlořečit (v-w9595f1)")</f>
        <v>zlořečit (v-w9595f1)</v>
      </c>
    </row>
    <row r="69998" customFormat="false" ht="12.8" hidden="false" customHeight="false" outlineLevel="0" collapsed="false">
      <c r="B69998" s="0" t="s">
        <v>7</v>
      </c>
      <c r="D69998" s="0" t="s">
        <v>10827</v>
      </c>
      <c r="E69998" s="0" t="s">
        <v>10827</v>
      </c>
      <c r="F69998" s="0" t="s">
        <v>10827</v>
      </c>
    </row>
    <row r="69999" customFormat="false" ht="12.8" hidden="false" customHeight="false" outlineLevel="0" collapsed="false">
      <c r="B69999" s="0" t="s">
        <v>48</v>
      </c>
      <c r="D69999" s="0" t="s">
        <v>23738</v>
      </c>
      <c r="E69999" s="0" t="s">
        <v>23738</v>
      </c>
      <c r="F69999" s="0" t="s">
        <v>23738</v>
      </c>
    </row>
    <row r="70000" customFormat="false" ht="12.8" hidden="false" customHeight="false" outlineLevel="0" collapsed="false">
      <c r="B70000" s="0" t="s">
        <v>16370</v>
      </c>
      <c r="D70000" s="0" t="s">
        <v>23739</v>
      </c>
      <c r="E70000" s="0" t="s">
        <v>23739</v>
      </c>
      <c r="F70000" s="0" t="s">
        <v>23739</v>
      </c>
    </row>
    <row r="70002" customFormat="false" ht="12.8" hidden="false" customHeight="false" outlineLevel="0" collapsed="false">
      <c r="A70002" s="0" t="s">
        <v>23740</v>
      </c>
      <c r="B70002" s="0" t="str">
        <f aca="false">HYPERLINK("https://lindat.mff.cuni.cz/services/teitok/pdtc10/index.php?action=vallex&amp;frame=v-w9569hsa_191", "zlákat (v-w9569hsa_191)")</f>
        <v>zlákat (v-w9569hsa_191)</v>
      </c>
    </row>
    <row r="70003" customFormat="false" ht="12.8" hidden="false" customHeight="false" outlineLevel="0" collapsed="false">
      <c r="B70003" s="0" t="s">
        <v>7</v>
      </c>
    </row>
    <row r="70004" customFormat="false" ht="12.8" hidden="false" customHeight="false" outlineLevel="0" collapsed="false">
      <c r="B70004" s="0" t="s">
        <v>81</v>
      </c>
    </row>
    <row r="70005" customFormat="false" ht="12.8" hidden="false" customHeight="false" outlineLevel="0" collapsed="false">
      <c r="B70005" s="0" t="s">
        <v>23741</v>
      </c>
    </row>
    <row r="70007" customFormat="false" ht="12.8" hidden="false" customHeight="false" outlineLevel="0" collapsed="false">
      <c r="A70007" s="0" t="s">
        <v>23740</v>
      </c>
      <c r="B70007" s="0" t="str">
        <f aca="false">HYPERLINK("https://lindat.mff.cuni.cz/services/teitok/pdtc10/index.php?action=vallex&amp;frame=v-w9569f1", "zlákat (v-w9569f1) - substituted with v-w9569hsa_191")</f>
        <v>zlákat (v-w9569f1) - substituted with v-w9569hsa_191</v>
      </c>
    </row>
    <row r="70008" customFormat="false" ht="12.8" hidden="false" customHeight="false" outlineLevel="0" collapsed="false">
      <c r="B70008" s="0" t="s">
        <v>7</v>
      </c>
      <c r="C70008" s="0" t="s">
        <v>46</v>
      </c>
      <c r="D70008" s="0" t="s">
        <v>5251</v>
      </c>
      <c r="E70008" s="0" t="s">
        <v>5251</v>
      </c>
      <c r="F70008" s="0" t="s">
        <v>5251</v>
      </c>
    </row>
    <row r="70009" customFormat="false" ht="12.8" hidden="false" customHeight="false" outlineLevel="0" collapsed="false">
      <c r="B70009" s="0" t="s">
        <v>81</v>
      </c>
      <c r="C70009" s="0" t="s">
        <v>4967</v>
      </c>
      <c r="D70009" s="0" t="s">
        <v>5253</v>
      </c>
      <c r="E70009" s="0" t="s">
        <v>5253</v>
      </c>
      <c r="F70009" s="0" t="s">
        <v>5253</v>
      </c>
    </row>
    <row r="70010" customFormat="false" ht="12.8" hidden="false" customHeight="false" outlineLevel="0" collapsed="false">
      <c r="B70010" s="0" t="s">
        <v>23741</v>
      </c>
      <c r="C70010" s="0" t="s">
        <v>3427</v>
      </c>
      <c r="D70010" s="0" t="s">
        <v>5254</v>
      </c>
      <c r="E70010" s="0" t="s">
        <v>5254</v>
      </c>
      <c r="F70010" s="0" t="s">
        <v>5254</v>
      </c>
    </row>
    <row r="70012" customFormat="false" ht="12.8" hidden="false" customHeight="false" outlineLevel="0" collapsed="false">
      <c r="A70012" s="0" t="s">
        <v>23742</v>
      </c>
      <c r="B70012" s="0" t="str">
        <f aca="false">HYPERLINK("https://lindat.mff.cuni.cz/services/teitok/pdtc10/index.php?action=vallex&amp;frame=v-w10634f2", "zlámat (v-w10634f2)")</f>
        <v>zlámat (v-w10634f2)</v>
      </c>
    </row>
    <row r="70013" customFormat="false" ht="12.8" hidden="false" customHeight="false" outlineLevel="0" collapsed="false">
      <c r="B70013" s="0" t="s">
        <v>7</v>
      </c>
    </row>
    <row r="70014" customFormat="false" ht="12.8" hidden="false" customHeight="false" outlineLevel="0" collapsed="false">
      <c r="B70014" s="0" t="s">
        <v>14</v>
      </c>
    </row>
    <row r="70015" customFormat="false" ht="12.8" hidden="false" customHeight="false" outlineLevel="0" collapsed="false">
      <c r="B70015" s="0" t="s">
        <v>2773</v>
      </c>
    </row>
    <row r="70017" customFormat="false" ht="12.8" hidden="false" customHeight="false" outlineLevel="0" collapsed="false">
      <c r="A70017" s="0" t="s">
        <v>23743</v>
      </c>
      <c r="B70017" s="0" t="str">
        <f aca="false">HYPERLINK("https://lindat.mff.cuni.cz/services/teitok/pdtc10/index.php?action=vallex&amp;frame=v-w9583f1", "zlíbit se (v-w9583f1)")</f>
        <v>zlíbit se (v-w9583f1)</v>
      </c>
    </row>
    <row r="70018" customFormat="false" ht="12.8" hidden="false" customHeight="false" outlineLevel="0" collapsed="false">
      <c r="B70018" s="0" t="s">
        <v>603</v>
      </c>
    </row>
    <row r="70019" customFormat="false" ht="12.8" hidden="false" customHeight="false" outlineLevel="0" collapsed="false">
      <c r="B70019" s="0" t="s">
        <v>5095</v>
      </c>
    </row>
    <row r="70021" customFormat="false" ht="12.8" hidden="false" customHeight="false" outlineLevel="0" collapsed="false">
      <c r="A70021" s="0" t="s">
        <v>23744</v>
      </c>
      <c r="B70021" s="0" t="str">
        <f aca="false">HYPERLINK("https://lindat.mff.cuni.cz/services/teitok/pdtc10/index.php?action=vallex&amp;frame=v-w9599f1", "zmalomyslnět (v-w9599f1)")</f>
        <v>zmalomyslnět (v-w9599f1)</v>
      </c>
    </row>
    <row r="70022" customFormat="false" ht="12.8" hidden="false" customHeight="false" outlineLevel="0" collapsed="false">
      <c r="B70022" s="0" t="s">
        <v>7</v>
      </c>
    </row>
    <row r="70024" customFormat="false" ht="12.8" hidden="false" customHeight="false" outlineLevel="0" collapsed="false">
      <c r="A70024" s="0" t="s">
        <v>23745</v>
      </c>
      <c r="B70024" s="0" t="str">
        <f aca="false">HYPERLINK("https://lindat.mff.cuni.cz/services/teitok/pdtc10/index.php?action=vallex&amp;frame=v-w9597f1", "zmalátnit (v-w9597f1)")</f>
        <v>zmalátnit (v-w9597f1)</v>
      </c>
    </row>
    <row r="70025" customFormat="false" ht="12.8" hidden="false" customHeight="false" outlineLevel="0" collapsed="false">
      <c r="B70025" s="0" t="s">
        <v>7</v>
      </c>
    </row>
    <row r="70026" customFormat="false" ht="12.8" hidden="false" customHeight="false" outlineLevel="0" collapsed="false">
      <c r="B70026" s="0" t="s">
        <v>14</v>
      </c>
    </row>
    <row r="70028" customFormat="false" ht="12.8" hidden="false" customHeight="false" outlineLevel="0" collapsed="false">
      <c r="A70028" s="0" t="s">
        <v>23746</v>
      </c>
      <c r="B70028" s="0" t="str">
        <f aca="false">HYPERLINK("https://lindat.mff.cuni.cz/services/teitok/pdtc10/index.php?action=vallex&amp;frame=v-w9598f1", "zmalířštět (v-w9598f1)")</f>
        <v>zmalířštět (v-w9598f1)</v>
      </c>
    </row>
    <row r="70029" customFormat="false" ht="12.8" hidden="false" customHeight="false" outlineLevel="0" collapsed="false">
      <c r="B70029" s="0" t="s">
        <v>7</v>
      </c>
    </row>
    <row r="70031" customFormat="false" ht="12.8" hidden="false" customHeight="false" outlineLevel="0" collapsed="false">
      <c r="A70031" s="0" t="s">
        <v>23747</v>
      </c>
      <c r="B70031" s="0" t="str">
        <f aca="false">HYPERLINK("https://lindat.mff.cuni.cz/services/teitok/pdtc10/index.php?action=vallex&amp;frame=v-w9601f1", "zmanipulovat (v-w9601f1)")</f>
        <v>zmanipulovat (v-w9601f1)</v>
      </c>
    </row>
    <row r="70032" customFormat="false" ht="12.8" hidden="false" customHeight="false" outlineLevel="0" collapsed="false">
      <c r="B70032" s="0" t="s">
        <v>7</v>
      </c>
      <c r="C70032" s="0" t="s">
        <v>118</v>
      </c>
      <c r="D70032" s="0" t="s">
        <v>1637</v>
      </c>
      <c r="E70032" s="0" t="s">
        <v>1637</v>
      </c>
      <c r="F70032" s="0" t="s">
        <v>1637</v>
      </c>
    </row>
    <row r="70033" customFormat="false" ht="12.8" hidden="false" customHeight="false" outlineLevel="0" collapsed="false">
      <c r="B70033" s="0" t="s">
        <v>14</v>
      </c>
      <c r="C70033" s="0" t="s">
        <v>7728</v>
      </c>
      <c r="D70033" s="0" t="s">
        <v>462</v>
      </c>
      <c r="E70033" s="0" t="s">
        <v>462</v>
      </c>
      <c r="F70033" s="0" t="s">
        <v>462</v>
      </c>
    </row>
    <row r="70035" customFormat="false" ht="12.8" hidden="false" customHeight="false" outlineLevel="0" collapsed="false">
      <c r="A70035" s="0" t="s">
        <v>23748</v>
      </c>
      <c r="B70035" s="0" t="str">
        <f aca="false">HYPERLINK("https://lindat.mff.cuni.cz/services/teitok/pdtc10/index.php?action=vallex&amp;frame=v-w9603f1", "zmapovat (v-w9603f1)")</f>
        <v>zmapovat (v-w9603f1)</v>
      </c>
    </row>
    <row r="70036" customFormat="false" ht="12.8" hidden="false" customHeight="false" outlineLevel="0" collapsed="false">
      <c r="B70036" s="0" t="s">
        <v>7</v>
      </c>
    </row>
    <row r="70037" customFormat="false" ht="12.8" hidden="false" customHeight="false" outlineLevel="0" collapsed="false">
      <c r="B70037" s="0" t="s">
        <v>14</v>
      </c>
    </row>
    <row r="70039" customFormat="false" ht="12.8" hidden="false" customHeight="false" outlineLevel="0" collapsed="false">
      <c r="A70039" s="0" t="s">
        <v>23749</v>
      </c>
      <c r="B70039" s="0" t="str">
        <f aca="false">HYPERLINK("https://lindat.mff.cuni.cz/services/teitok/pdtc10/index.php?action=vallex&amp;frame=v-w9604f1", "zmarnit (v-w9604f1)")</f>
        <v>zmarnit (v-w9604f1)</v>
      </c>
    </row>
    <row r="70040" customFormat="false" ht="12.8" hidden="false" customHeight="false" outlineLevel="0" collapsed="false">
      <c r="B70040" s="0" t="s">
        <v>7</v>
      </c>
    </row>
    <row r="70041" customFormat="false" ht="12.8" hidden="false" customHeight="false" outlineLevel="0" collapsed="false">
      <c r="B70041" s="0" t="s">
        <v>14</v>
      </c>
    </row>
    <row r="70043" customFormat="false" ht="12.8" hidden="false" customHeight="false" outlineLevel="0" collapsed="false">
      <c r="A70043" s="0" t="s">
        <v>23750</v>
      </c>
      <c r="B70043" s="0" t="str">
        <f aca="false">HYPERLINK("https://lindat.mff.cuni.cz/services/teitok/pdtc10/index.php?action=vallex&amp;frame=v-whsa_590f1_ZU", "zmasakrovat (v-whsa_590f1_ZU)")</f>
        <v>zmasakrovat (v-whsa_590f1_ZU)</v>
      </c>
    </row>
    <row r="70044" customFormat="false" ht="12.8" hidden="false" customHeight="false" outlineLevel="0" collapsed="false">
      <c r="B70044" s="0" t="s">
        <v>7</v>
      </c>
      <c r="D70044" s="0" t="s">
        <v>1549</v>
      </c>
      <c r="E70044" s="0" t="s">
        <v>1550</v>
      </c>
      <c r="F70044" s="0" t="s">
        <v>1550</v>
      </c>
    </row>
    <row r="70045" customFormat="false" ht="12.8" hidden="false" customHeight="false" outlineLevel="0" collapsed="false">
      <c r="B70045" s="0" t="s">
        <v>14</v>
      </c>
      <c r="C70045" s="0" t="s">
        <v>47</v>
      </c>
      <c r="D70045" s="0" t="s">
        <v>1164</v>
      </c>
      <c r="E70045" s="0" t="s">
        <v>1551</v>
      </c>
      <c r="F70045" s="0" t="s">
        <v>1551</v>
      </c>
    </row>
    <row r="70047" customFormat="false" ht="12.8" hidden="false" customHeight="false" outlineLevel="0" collapsed="false">
      <c r="A70047" s="0" t="s">
        <v>23750</v>
      </c>
      <c r="B70047" s="0" t="str">
        <f aca="false">HYPERLINK("https://lindat.mff.cuni.cz/services/teitok/pdtc10/index.php?action=vallex&amp;frame=v-whsa_590hsa_591", "zmasakrovat (v-whsa_590hsa_591) - substituted with v-whsa_590f1_ZU")</f>
        <v>zmasakrovat (v-whsa_590hsa_591) - substituted with v-whsa_590f1_ZU</v>
      </c>
    </row>
    <row r="70048" customFormat="false" ht="12.8" hidden="false" customHeight="false" outlineLevel="0" collapsed="false">
      <c r="B70048" s="0" t="s">
        <v>7</v>
      </c>
    </row>
    <row r="70049" customFormat="false" ht="12.8" hidden="false" customHeight="false" outlineLevel="0" collapsed="false">
      <c r="B70049" s="0" t="s">
        <v>14</v>
      </c>
    </row>
    <row r="70051" customFormat="false" ht="12.8" hidden="false" customHeight="false" outlineLevel="0" collapsed="false">
      <c r="A70051" s="0" t="s">
        <v>23751</v>
      </c>
      <c r="B70051" s="0" t="str">
        <f aca="false">HYPERLINK("https://lindat.mff.cuni.cz/services/teitok/pdtc10/index.php?action=vallex&amp;frame=v-w12032_ZUf1_ZU", "zmačknout (v-w12032_ZUf1_ZU)")</f>
        <v>zmačknout (v-w12032_ZUf1_ZU)</v>
      </c>
    </row>
    <row r="70052" customFormat="false" ht="12.8" hidden="false" customHeight="false" outlineLevel="0" collapsed="false">
      <c r="B70052" s="0" t="s">
        <v>7</v>
      </c>
    </row>
    <row r="70053" customFormat="false" ht="12.8" hidden="false" customHeight="false" outlineLevel="0" collapsed="false">
      <c r="B70053" s="0" t="s">
        <v>14</v>
      </c>
    </row>
    <row r="70055" customFormat="false" ht="12.8" hidden="false" customHeight="false" outlineLevel="0" collapsed="false">
      <c r="A70055" s="0" t="s">
        <v>23752</v>
      </c>
      <c r="B70055" s="0" t="str">
        <f aca="false">HYPERLINK("https://lindat.mff.cuni.cz/services/teitok/pdtc10/index.php?action=vallex&amp;frame=v-w9606f1", "zmařit (v-w9606f1)")</f>
        <v>zmařit (v-w9606f1)</v>
      </c>
    </row>
    <row r="70056" customFormat="false" ht="12.8" hidden="false" customHeight="false" outlineLevel="0" collapsed="false">
      <c r="B70056" s="0" t="s">
        <v>7</v>
      </c>
      <c r="C70056" s="0" t="s">
        <v>23753</v>
      </c>
      <c r="D70056" s="0" t="s">
        <v>252</v>
      </c>
      <c r="E70056" s="0" t="s">
        <v>253</v>
      </c>
      <c r="F70056" s="0" t="s">
        <v>253</v>
      </c>
    </row>
    <row r="70057" customFormat="false" ht="12.8" hidden="false" customHeight="false" outlineLevel="0" collapsed="false">
      <c r="B70057" s="0" t="s">
        <v>8101</v>
      </c>
      <c r="C70057" s="0" t="s">
        <v>8089</v>
      </c>
      <c r="D70057" s="0" t="s">
        <v>255</v>
      </c>
      <c r="E70057" s="0" t="s">
        <v>256</v>
      </c>
      <c r="F70057" s="0" t="s">
        <v>256</v>
      </c>
    </row>
    <row r="70058" customFormat="false" ht="12.8" hidden="false" customHeight="false" outlineLevel="0" collapsed="false">
      <c r="B70058" s="0" t="s">
        <v>106</v>
      </c>
    </row>
    <row r="70060" customFormat="false" ht="12.8" hidden="false" customHeight="false" outlineLevel="0" collapsed="false">
      <c r="A70060" s="0" t="s">
        <v>23754</v>
      </c>
      <c r="B70060" s="0" t="str">
        <f aca="false">HYPERLINK("https://lindat.mff.cuni.cz/services/teitok/pdtc10/index.php?action=vallex&amp;frame=v-w9606f2", "zmařit (v-w9606f2)")</f>
        <v>zmařit (v-w9606f2)</v>
      </c>
    </row>
    <row r="70061" customFormat="false" ht="12.8" hidden="false" customHeight="false" outlineLevel="0" collapsed="false">
      <c r="B70061" s="0" t="s">
        <v>7</v>
      </c>
      <c r="C70061" s="0" t="s">
        <v>23755</v>
      </c>
      <c r="D70061" s="0" t="s">
        <v>252</v>
      </c>
      <c r="E70061" s="0" t="s">
        <v>253</v>
      </c>
      <c r="F70061" s="0" t="s">
        <v>253</v>
      </c>
    </row>
    <row r="70062" customFormat="false" ht="12.8" hidden="false" customHeight="false" outlineLevel="0" collapsed="false">
      <c r="B70062" s="0" t="s">
        <v>14</v>
      </c>
      <c r="C70062" s="0" t="s">
        <v>110</v>
      </c>
      <c r="D70062" s="0" t="s">
        <v>255</v>
      </c>
      <c r="E70062" s="0" t="s">
        <v>256</v>
      </c>
      <c r="F70062" s="0" t="s">
        <v>256</v>
      </c>
    </row>
    <row r="70064" customFormat="false" ht="12.8" hidden="false" customHeight="false" outlineLevel="0" collapsed="false">
      <c r="A70064" s="0" t="s">
        <v>23756</v>
      </c>
      <c r="B70064" s="0" t="str">
        <f aca="false">HYPERLINK("https://lindat.mff.cuni.cz/services/teitok/pdtc10/index.php?action=vallex&amp;frame=v-w9610f1", "zmehnout (v-w9610f1)")</f>
        <v>zmehnout (v-w9610f1)</v>
      </c>
    </row>
    <row r="70065" customFormat="false" ht="12.8" hidden="false" customHeight="false" outlineLevel="0" collapsed="false">
      <c r="B70065" s="0" t="s">
        <v>603</v>
      </c>
    </row>
    <row r="70067" customFormat="false" ht="12.8" hidden="false" customHeight="false" outlineLevel="0" collapsed="false">
      <c r="A70067" s="0" t="s">
        <v>23757</v>
      </c>
      <c r="B70067" s="0" t="str">
        <f aca="false">HYPERLINK("https://lindat.mff.cuni.cz/services/teitok/pdtc10/index.php?action=vallex&amp;frame=v-w9618f1", "zmenšit (v-w9618f1)")</f>
        <v>zmenšit (v-w9618f1)</v>
      </c>
    </row>
    <row r="70068" customFormat="false" ht="12.8" hidden="false" customHeight="false" outlineLevel="0" collapsed="false">
      <c r="B70068" s="0" t="s">
        <v>7</v>
      </c>
      <c r="C70068" s="0" t="s">
        <v>2220</v>
      </c>
      <c r="D70068" s="0" t="s">
        <v>9101</v>
      </c>
      <c r="E70068" s="0" t="s">
        <v>8863</v>
      </c>
      <c r="F70068" s="0" t="s">
        <v>8863</v>
      </c>
    </row>
    <row r="70069" customFormat="false" ht="12.8" hidden="false" customHeight="false" outlineLevel="0" collapsed="false">
      <c r="B70069" s="0" t="s">
        <v>14</v>
      </c>
      <c r="C70069" s="0" t="s">
        <v>23758</v>
      </c>
      <c r="D70069" s="0" t="s">
        <v>9102</v>
      </c>
      <c r="E70069" s="0" t="s">
        <v>8865</v>
      </c>
      <c r="F70069" s="0" t="s">
        <v>8865</v>
      </c>
    </row>
    <row r="70070" customFormat="false" ht="12.8" hidden="false" customHeight="false" outlineLevel="0" collapsed="false">
      <c r="B70070" s="0" t="s">
        <v>35</v>
      </c>
      <c r="C70070" s="0" t="s">
        <v>23759</v>
      </c>
      <c r="D70070" s="0" t="s">
        <v>9103</v>
      </c>
      <c r="E70070" s="0" t="s">
        <v>8867</v>
      </c>
      <c r="F70070" s="0" t="s">
        <v>8867</v>
      </c>
    </row>
    <row r="70071" customFormat="false" ht="12.8" hidden="false" customHeight="false" outlineLevel="0" collapsed="false">
      <c r="B70071" s="0" t="s">
        <v>84</v>
      </c>
      <c r="C70071" s="0" t="s">
        <v>23760</v>
      </c>
      <c r="D70071" s="0" t="s">
        <v>9104</v>
      </c>
      <c r="E70071" s="0" t="s">
        <v>8869</v>
      </c>
      <c r="F70071" s="0" t="s">
        <v>8869</v>
      </c>
    </row>
    <row r="70073" customFormat="false" ht="12.8" hidden="false" customHeight="false" outlineLevel="0" collapsed="false">
      <c r="A70073" s="0" t="s">
        <v>23761</v>
      </c>
      <c r="B70073" s="0" t="str">
        <f aca="false">HYPERLINK("https://lindat.mff.cuni.cz/services/teitok/pdtc10/index.php?action=vallex&amp;frame=v-w9619f1", "zmenšit se (v-w9619f1)")</f>
        <v>zmenšit se (v-w9619f1)</v>
      </c>
    </row>
    <row r="70074" customFormat="false" ht="12.8" hidden="false" customHeight="false" outlineLevel="0" collapsed="false">
      <c r="B70074" s="0" t="s">
        <v>7</v>
      </c>
      <c r="C70074" s="0" t="s">
        <v>23762</v>
      </c>
      <c r="D70074" s="0" t="s">
        <v>9114</v>
      </c>
      <c r="E70074" s="0" t="s">
        <v>4615</v>
      </c>
      <c r="F70074" s="0" t="s">
        <v>4615</v>
      </c>
    </row>
    <row r="70075" customFormat="false" ht="12.8" hidden="false" customHeight="false" outlineLevel="0" collapsed="false">
      <c r="B70075" s="0" t="s">
        <v>63</v>
      </c>
      <c r="C70075" s="0" t="s">
        <v>23763</v>
      </c>
      <c r="D70075" s="0" t="s">
        <v>9116</v>
      </c>
      <c r="E70075" s="0" t="s">
        <v>4618</v>
      </c>
      <c r="F70075" s="0" t="s">
        <v>4618</v>
      </c>
    </row>
    <row r="70076" customFormat="false" ht="12.8" hidden="false" customHeight="false" outlineLevel="0" collapsed="false">
      <c r="B70076" s="0" t="s">
        <v>35</v>
      </c>
      <c r="C70076" s="0" t="s">
        <v>23764</v>
      </c>
      <c r="D70076" s="0" t="s">
        <v>9118</v>
      </c>
      <c r="E70076" s="0" t="s">
        <v>4621</v>
      </c>
      <c r="F70076" s="0" t="s">
        <v>4621</v>
      </c>
    </row>
    <row r="70078" customFormat="false" ht="12.8" hidden="false" customHeight="false" outlineLevel="0" collapsed="false">
      <c r="A70078" s="0" t="s">
        <v>23765</v>
      </c>
      <c r="B70078" s="0" t="str">
        <f aca="false">HYPERLINK("https://lindat.mff.cuni.cz/services/teitok/pdtc10/index.php?action=vallex&amp;frame=v-w9621f1", "zmenšovat (v-w9621f1)")</f>
        <v>zmenšovat (v-w9621f1)</v>
      </c>
    </row>
    <row r="70079" customFormat="false" ht="12.8" hidden="false" customHeight="false" outlineLevel="0" collapsed="false">
      <c r="B70079" s="0" t="s">
        <v>7</v>
      </c>
      <c r="C70079" s="0" t="s">
        <v>23766</v>
      </c>
      <c r="D70079" s="0" t="s">
        <v>9101</v>
      </c>
      <c r="E70079" s="0" t="s">
        <v>8863</v>
      </c>
      <c r="F70079" s="0" t="s">
        <v>8863</v>
      </c>
    </row>
    <row r="70080" customFormat="false" ht="12.8" hidden="false" customHeight="false" outlineLevel="0" collapsed="false">
      <c r="B70080" s="0" t="s">
        <v>14</v>
      </c>
      <c r="C70080" s="0" t="s">
        <v>23767</v>
      </c>
      <c r="D70080" s="0" t="s">
        <v>9102</v>
      </c>
      <c r="E70080" s="0" t="s">
        <v>8865</v>
      </c>
      <c r="F70080" s="0" t="s">
        <v>8865</v>
      </c>
    </row>
    <row r="70081" customFormat="false" ht="12.8" hidden="false" customHeight="false" outlineLevel="0" collapsed="false">
      <c r="B70081" s="0" t="s">
        <v>35</v>
      </c>
      <c r="C70081" s="0" t="s">
        <v>11969</v>
      </c>
      <c r="D70081" s="0" t="s">
        <v>9103</v>
      </c>
      <c r="E70081" s="0" t="s">
        <v>8867</v>
      </c>
      <c r="F70081" s="0" t="s">
        <v>8867</v>
      </c>
    </row>
    <row r="70082" customFormat="false" ht="12.8" hidden="false" customHeight="false" outlineLevel="0" collapsed="false">
      <c r="B70082" s="0" t="s">
        <v>84</v>
      </c>
      <c r="C70082" s="0" t="s">
        <v>23768</v>
      </c>
      <c r="D70082" s="0" t="s">
        <v>9104</v>
      </c>
      <c r="E70082" s="0" t="s">
        <v>8869</v>
      </c>
      <c r="F70082" s="0" t="s">
        <v>8869</v>
      </c>
    </row>
    <row r="70084" customFormat="false" ht="12.8" hidden="false" customHeight="false" outlineLevel="0" collapsed="false">
      <c r="A70084" s="0" t="s">
        <v>23769</v>
      </c>
      <c r="B70084" s="0" t="str">
        <f aca="false">HYPERLINK("https://lindat.mff.cuni.cz/services/teitok/pdtc10/index.php?action=vallex&amp;frame=v-w11451f1", "zmenšovat se (v-w11451f1)")</f>
        <v>zmenšovat se (v-w11451f1)</v>
      </c>
    </row>
    <row r="70085" customFormat="false" ht="12.8" hidden="false" customHeight="false" outlineLevel="0" collapsed="false">
      <c r="B70085" s="0" t="s">
        <v>7</v>
      </c>
      <c r="C70085" s="0" t="s">
        <v>23770</v>
      </c>
      <c r="D70085" s="0" t="s">
        <v>9114</v>
      </c>
      <c r="E70085" s="0" t="s">
        <v>4615</v>
      </c>
      <c r="F70085" s="0" t="s">
        <v>4615</v>
      </c>
    </row>
    <row r="70086" customFormat="false" ht="12.8" hidden="false" customHeight="false" outlineLevel="0" collapsed="false">
      <c r="B70086" s="0" t="s">
        <v>63</v>
      </c>
      <c r="C70086" s="0" t="s">
        <v>23771</v>
      </c>
      <c r="D70086" s="0" t="s">
        <v>9116</v>
      </c>
      <c r="E70086" s="0" t="s">
        <v>4618</v>
      </c>
      <c r="F70086" s="0" t="s">
        <v>4618</v>
      </c>
    </row>
    <row r="70087" customFormat="false" ht="12.8" hidden="false" customHeight="false" outlineLevel="0" collapsed="false">
      <c r="B70087" s="0" t="s">
        <v>35</v>
      </c>
      <c r="C70087" s="0" t="s">
        <v>23772</v>
      </c>
      <c r="D70087" s="0" t="s">
        <v>9118</v>
      </c>
      <c r="E70087" s="0" t="s">
        <v>4621</v>
      </c>
      <c r="F70087" s="0" t="s">
        <v>4621</v>
      </c>
    </row>
    <row r="70089" customFormat="false" ht="12.8" hidden="false" customHeight="false" outlineLevel="0" collapsed="false">
      <c r="A70089" s="0" t="s">
        <v>23773</v>
      </c>
      <c r="B70089" s="0" t="str">
        <f aca="false">HYPERLINK("https://lindat.mff.cuni.cz/services/teitok/pdtc10/index.php?action=vallex&amp;frame=v-whsa_728f1_ZU", "zmeškat (v-whsa_728f1_ZU)")</f>
        <v>zmeškat (v-whsa_728f1_ZU)</v>
      </c>
    </row>
    <row r="70090" customFormat="false" ht="12.8" hidden="false" customHeight="false" outlineLevel="0" collapsed="false">
      <c r="B70090" s="0" t="s">
        <v>7</v>
      </c>
    </row>
    <row r="70091" customFormat="false" ht="12.8" hidden="false" customHeight="false" outlineLevel="0" collapsed="false">
      <c r="B70091" s="0" t="s">
        <v>54</v>
      </c>
    </row>
    <row r="70093" customFormat="false" ht="12.8" hidden="false" customHeight="false" outlineLevel="0" collapsed="false">
      <c r="A70093" s="0" t="s">
        <v>23773</v>
      </c>
      <c r="B70093" s="0" t="str">
        <f aca="false">HYPERLINK("https://lindat.mff.cuni.cz/services/teitok/pdtc10/index.php?action=vallex&amp;frame=v-whsa_728hsa_729", "zmeškat (v-whsa_728hsa_729) - substituted with v-whsa_728f1_ZU")</f>
        <v>zmeškat (v-whsa_728hsa_729) - substituted with v-whsa_728f1_ZU</v>
      </c>
    </row>
    <row r="70094" customFormat="false" ht="12.8" hidden="false" customHeight="false" outlineLevel="0" collapsed="false">
      <c r="B70094" s="0" t="s">
        <v>7</v>
      </c>
      <c r="C70094" s="0" t="s">
        <v>1874</v>
      </c>
      <c r="D70094" s="0" t="s">
        <v>16539</v>
      </c>
      <c r="E70094" s="0" t="s">
        <v>16539</v>
      </c>
      <c r="F70094" s="0" t="s">
        <v>16539</v>
      </c>
    </row>
    <row r="70095" customFormat="false" ht="12.8" hidden="false" customHeight="false" outlineLevel="0" collapsed="false">
      <c r="B70095" s="0" t="s">
        <v>54</v>
      </c>
      <c r="C70095" s="0" t="s">
        <v>493</v>
      </c>
      <c r="D70095" s="0" t="s">
        <v>16540</v>
      </c>
      <c r="E70095" s="0" t="s">
        <v>16540</v>
      </c>
      <c r="F70095" s="0" t="s">
        <v>16540</v>
      </c>
    </row>
    <row r="70097" customFormat="false" ht="12.8" hidden="false" customHeight="false" outlineLevel="0" collapsed="false">
      <c r="A70097" s="0" t="s">
        <v>23774</v>
      </c>
      <c r="B70097" s="0" t="str">
        <f aca="false">HYPERLINK("https://lindat.mff.cuni.cz/services/teitok/pdtc10/index.php?action=vallex&amp;frame=v-w10462f2", "zminimalizovat (v-w10462f2)")</f>
        <v>zminimalizovat (v-w10462f2)</v>
      </c>
    </row>
    <row r="70098" customFormat="false" ht="12.8" hidden="false" customHeight="false" outlineLevel="0" collapsed="false">
      <c r="B70098" s="0" t="s">
        <v>7</v>
      </c>
    </row>
    <row r="70099" customFormat="false" ht="12.8" hidden="false" customHeight="false" outlineLevel="0" collapsed="false">
      <c r="B70099" s="0" t="s">
        <v>14</v>
      </c>
    </row>
    <row r="70100" customFormat="false" ht="12.8" hidden="false" customHeight="false" outlineLevel="0" collapsed="false">
      <c r="B70100" s="0" t="s">
        <v>35</v>
      </c>
    </row>
    <row r="70101" customFormat="false" ht="12.8" hidden="false" customHeight="false" outlineLevel="0" collapsed="false">
      <c r="B70101" s="0" t="s">
        <v>84</v>
      </c>
    </row>
    <row r="70103" customFormat="false" ht="12.8" hidden="false" customHeight="false" outlineLevel="0" collapsed="false">
      <c r="A70103" s="0" t="s">
        <v>23775</v>
      </c>
      <c r="B70103" s="0" t="str">
        <f aca="false">HYPERLINK("https://lindat.mff.cuni.cz/services/teitok/pdtc10/index.php?action=vallex&amp;frame=v-w9638f1", "zmizet (v-w9638f1)")</f>
        <v>zmizet (v-w9638f1)</v>
      </c>
    </row>
    <row r="70104" customFormat="false" ht="12.8" hidden="false" customHeight="false" outlineLevel="0" collapsed="false">
      <c r="B70104" s="0" t="s">
        <v>7</v>
      </c>
      <c r="C70104" s="0" t="s">
        <v>23776</v>
      </c>
      <c r="D70104" s="0" t="s">
        <v>5380</v>
      </c>
      <c r="E70104" s="0" t="s">
        <v>5380</v>
      </c>
      <c r="F70104" s="0" t="s">
        <v>5380</v>
      </c>
    </row>
    <row r="70106" customFormat="false" ht="12.8" hidden="false" customHeight="false" outlineLevel="0" collapsed="false">
      <c r="A70106" s="0" t="s">
        <v>23777</v>
      </c>
      <c r="B70106" s="0" t="str">
        <f aca="false">HYPERLINK("https://lindat.mff.cuni.cz/services/teitok/pdtc10/index.php?action=vallex&amp;frame=v-w9627f2_ZU", "zmiňovat (v-w9627f2_ZU)")</f>
        <v>zmiňovat (v-w9627f2_ZU)</v>
      </c>
    </row>
    <row r="70107" customFormat="false" ht="12.8" hidden="false" customHeight="false" outlineLevel="0" collapsed="false">
      <c r="B70107" s="0" t="s">
        <v>7</v>
      </c>
      <c r="C70107" s="0" t="s">
        <v>113</v>
      </c>
      <c r="D70107" s="0" t="s">
        <v>10017</v>
      </c>
      <c r="E70107" s="0" t="s">
        <v>10017</v>
      </c>
      <c r="F70107" s="0" t="s">
        <v>10017</v>
      </c>
    </row>
    <row r="70108" customFormat="false" ht="12.8" hidden="false" customHeight="false" outlineLevel="0" collapsed="false">
      <c r="B70108" s="0" t="s">
        <v>8144</v>
      </c>
      <c r="C70108" s="0" t="s">
        <v>74</v>
      </c>
      <c r="D70108" s="0" t="s">
        <v>3440</v>
      </c>
      <c r="E70108" s="0" t="s">
        <v>3440</v>
      </c>
      <c r="F70108" s="0" t="s">
        <v>3440</v>
      </c>
    </row>
    <row r="70109" customFormat="false" ht="12.8" hidden="false" customHeight="false" outlineLevel="0" collapsed="false">
      <c r="B70109" s="0" t="s">
        <v>106</v>
      </c>
      <c r="D70109" s="0" t="s">
        <v>1165</v>
      </c>
      <c r="E70109" s="0" t="s">
        <v>1165</v>
      </c>
      <c r="F70109" s="0" t="s">
        <v>1165</v>
      </c>
    </row>
    <row r="70111" customFormat="false" ht="12.8" hidden="false" customHeight="false" outlineLevel="0" collapsed="false">
      <c r="A70111" s="0" t="s">
        <v>23777</v>
      </c>
      <c r="B70111" s="0" t="str">
        <f aca="false">HYPERLINK("https://lindat.mff.cuni.cz/services/teitok/pdtc10/index.php?action=vallex&amp;frame=v-w9627f1", "zmiňovat (v-w9627f1) - substituted with v-w9627f2_ZU")</f>
        <v>zmiňovat (v-w9627f1) - substituted with v-w9627f2_ZU</v>
      </c>
    </row>
    <row r="70112" customFormat="false" ht="12.8" hidden="false" customHeight="false" outlineLevel="0" collapsed="false">
      <c r="B70112" s="0" t="s">
        <v>7</v>
      </c>
      <c r="C70112" s="0" t="s">
        <v>1643</v>
      </c>
    </row>
    <row r="70113" customFormat="false" ht="12.8" hidden="false" customHeight="false" outlineLevel="0" collapsed="false">
      <c r="B70113" s="0" t="s">
        <v>8144</v>
      </c>
      <c r="C70113" s="0" t="s">
        <v>7435</v>
      </c>
    </row>
    <row r="70114" customFormat="false" ht="12.8" hidden="false" customHeight="false" outlineLevel="0" collapsed="false">
      <c r="B70114" s="0" t="s">
        <v>106</v>
      </c>
    </row>
    <row r="70116" customFormat="false" ht="12.8" hidden="false" customHeight="false" outlineLevel="0" collapsed="false">
      <c r="A70116" s="0" t="s">
        <v>23778</v>
      </c>
      <c r="B70116" s="0" t="str">
        <f aca="false">HYPERLINK("https://lindat.mff.cuni.cz/services/teitok/pdtc10/index.php?action=vallex&amp;frame=v-w9627hsa_372", "zmiňovat (v-w9627hsa_372)")</f>
        <v>zmiňovat (v-w9627hsa_372)</v>
      </c>
    </row>
    <row r="70117" customFormat="false" ht="12.8" hidden="false" customHeight="false" outlineLevel="0" collapsed="false">
      <c r="B70117" s="0" t="s">
        <v>7</v>
      </c>
    </row>
    <row r="70118" customFormat="false" ht="12.8" hidden="false" customHeight="false" outlineLevel="0" collapsed="false">
      <c r="B70118" s="0" t="s">
        <v>14</v>
      </c>
    </row>
    <row r="70119" customFormat="false" ht="12.8" hidden="false" customHeight="false" outlineLevel="0" collapsed="false">
      <c r="B70119" s="0" t="s">
        <v>22531</v>
      </c>
    </row>
    <row r="70121" customFormat="false" ht="12.8" hidden="false" customHeight="false" outlineLevel="0" collapsed="false">
      <c r="A70121" s="0" t="s">
        <v>23779</v>
      </c>
      <c r="B70121" s="0" t="str">
        <f aca="false">HYPERLINK("https://lindat.mff.cuni.cz/services/teitok/pdtc10/index.php?action=vallex&amp;frame=v-w9628f1", "zmiňovat se (v-w9628f1)")</f>
        <v>zmiňovat se (v-w9628f1)</v>
      </c>
    </row>
    <row r="70122" customFormat="false" ht="12.8" hidden="false" customHeight="false" outlineLevel="0" collapsed="false">
      <c r="B70122" s="0" t="s">
        <v>7</v>
      </c>
      <c r="C70122" s="0" t="s">
        <v>23780</v>
      </c>
      <c r="D70122" s="0" t="s">
        <v>10017</v>
      </c>
      <c r="E70122" s="0" t="s">
        <v>10017</v>
      </c>
      <c r="F70122" s="0" t="s">
        <v>10017</v>
      </c>
    </row>
    <row r="70123" customFormat="false" ht="12.8" hidden="false" customHeight="false" outlineLevel="0" collapsed="false">
      <c r="B70123" s="0" t="s">
        <v>1130</v>
      </c>
      <c r="C70123" s="0" t="s">
        <v>8532</v>
      </c>
      <c r="D70123" s="0" t="s">
        <v>3440</v>
      </c>
      <c r="E70123" s="0" t="s">
        <v>3440</v>
      </c>
      <c r="F70123" s="0" t="s">
        <v>3440</v>
      </c>
    </row>
    <row r="70124" customFormat="false" ht="12.8" hidden="false" customHeight="false" outlineLevel="0" collapsed="false">
      <c r="B70124" s="0" t="s">
        <v>106</v>
      </c>
      <c r="D70124" s="0" t="s">
        <v>1165</v>
      </c>
      <c r="E70124" s="0" t="s">
        <v>1165</v>
      </c>
      <c r="F70124" s="0" t="s">
        <v>1165</v>
      </c>
    </row>
    <row r="70126" customFormat="false" ht="12.8" hidden="false" customHeight="false" outlineLevel="0" collapsed="false">
      <c r="A70126" s="0" t="s">
        <v>23781</v>
      </c>
      <c r="B70126" s="0" t="str">
        <f aca="false">HYPERLINK("https://lindat.mff.cuni.cz/services/teitok/pdtc10/index.php?action=vallex&amp;frame=v-w9628f2", "zmiňovat se (v-w9628f2)")</f>
        <v>zmiňovat se (v-w9628f2)</v>
      </c>
    </row>
    <row r="70127" customFormat="false" ht="12.8" hidden="false" customHeight="false" outlineLevel="0" collapsed="false">
      <c r="B70127" s="0" t="s">
        <v>7</v>
      </c>
      <c r="D70127" s="0" t="s">
        <v>23782</v>
      </c>
      <c r="E70127" s="0" t="s">
        <v>10017</v>
      </c>
      <c r="F70127" s="0" t="s">
        <v>10017</v>
      </c>
    </row>
    <row r="70128" customFormat="false" ht="12.8" hidden="false" customHeight="false" outlineLevel="0" collapsed="false">
      <c r="B70128" s="0" t="s">
        <v>19766</v>
      </c>
      <c r="D70128" s="0" t="s">
        <v>23783</v>
      </c>
      <c r="E70128" s="0" t="s">
        <v>10020</v>
      </c>
      <c r="F70128" s="0" t="s">
        <v>10020</v>
      </c>
    </row>
    <row r="70129" customFormat="false" ht="12.8" hidden="false" customHeight="false" outlineLevel="0" collapsed="false">
      <c r="B70129" s="0" t="s">
        <v>363</v>
      </c>
      <c r="D70129" s="0" t="s">
        <v>23784</v>
      </c>
      <c r="E70129" s="0" t="s">
        <v>3440</v>
      </c>
      <c r="F70129" s="0" t="s">
        <v>3440</v>
      </c>
    </row>
    <row r="70130" customFormat="false" ht="12.8" hidden="false" customHeight="false" outlineLevel="0" collapsed="false">
      <c r="B70130" s="0" t="s">
        <v>106</v>
      </c>
      <c r="D70130" s="0" t="s">
        <v>23785</v>
      </c>
      <c r="E70130" s="0" t="s">
        <v>1165</v>
      </c>
      <c r="F70130" s="0" t="s">
        <v>1165</v>
      </c>
    </row>
    <row r="70132" customFormat="false" ht="12.8" hidden="false" customHeight="false" outlineLevel="0" collapsed="false">
      <c r="A70132" s="0" t="s">
        <v>23786</v>
      </c>
      <c r="B70132" s="0" t="str">
        <f aca="false">HYPERLINK("https://lindat.mff.cuni.cz/services/teitok/pdtc10/index.php?action=vallex&amp;frame=v-whsa_88hsa_89", "zmlknout (v-whsa_88hsa_89)")</f>
        <v>zmlknout (v-whsa_88hsa_89)</v>
      </c>
    </row>
    <row r="70133" customFormat="false" ht="12.8" hidden="false" customHeight="false" outlineLevel="0" collapsed="false">
      <c r="B70133" s="0" t="s">
        <v>7</v>
      </c>
    </row>
    <row r="70135" customFormat="false" ht="12.8" hidden="false" customHeight="false" outlineLevel="0" collapsed="false">
      <c r="A70135" s="0" t="s">
        <v>23787</v>
      </c>
      <c r="B70135" s="0" t="str">
        <f aca="false">HYPERLINK("https://lindat.mff.cuni.cz/services/teitok/pdtc10/index.php?action=vallex&amp;frame=v-w9639f1", "zmlátit (v-w9639f1)")</f>
        <v>zmlátit (v-w9639f1)</v>
      </c>
    </row>
    <row r="70136" customFormat="false" ht="12.8" hidden="false" customHeight="false" outlineLevel="0" collapsed="false">
      <c r="B70136" s="0" t="s">
        <v>7</v>
      </c>
    </row>
    <row r="70137" customFormat="false" ht="12.8" hidden="false" customHeight="false" outlineLevel="0" collapsed="false">
      <c r="B70137" s="0" t="s">
        <v>14</v>
      </c>
    </row>
    <row r="70139" customFormat="false" ht="12.8" hidden="false" customHeight="false" outlineLevel="0" collapsed="false">
      <c r="A70139" s="0" t="s">
        <v>23788</v>
      </c>
      <c r="B70139" s="0" t="str">
        <f aca="false">HYPERLINK("https://lindat.mff.cuni.cz/services/teitok/pdtc10/index.php?action=vallex&amp;frame=v-w9640f1", "zmnohonásobit (v-w9640f1)")</f>
        <v>zmnohonásobit (v-w9640f1)</v>
      </c>
    </row>
    <row r="70140" customFormat="false" ht="12.8" hidden="false" customHeight="false" outlineLevel="0" collapsed="false">
      <c r="B70140" s="0" t="s">
        <v>7</v>
      </c>
    </row>
    <row r="70141" customFormat="false" ht="12.8" hidden="false" customHeight="false" outlineLevel="0" collapsed="false">
      <c r="B70141" s="0" t="s">
        <v>14</v>
      </c>
    </row>
    <row r="70143" customFormat="false" ht="12.8" hidden="false" customHeight="false" outlineLevel="0" collapsed="false">
      <c r="A70143" s="0" t="s">
        <v>23789</v>
      </c>
      <c r="B70143" s="0" t="str">
        <f aca="false">HYPERLINK("https://lindat.mff.cuni.cz/services/teitok/pdtc10/index.php?action=vallex&amp;frame=v-w9641f1", "zmobilizovat (v-w9641f1)")</f>
        <v>zmobilizovat (v-w9641f1)</v>
      </c>
    </row>
    <row r="70144" customFormat="false" ht="12.8" hidden="false" customHeight="false" outlineLevel="0" collapsed="false">
      <c r="B70144" s="0" t="s">
        <v>7</v>
      </c>
      <c r="C70144" s="0" t="s">
        <v>4651</v>
      </c>
      <c r="D70144" s="0" t="s">
        <v>504</v>
      </c>
      <c r="E70144" s="0" t="s">
        <v>504</v>
      </c>
      <c r="F70144" s="0" t="s">
        <v>504</v>
      </c>
    </row>
    <row r="70145" customFormat="false" ht="12.8" hidden="false" customHeight="false" outlineLevel="0" collapsed="false">
      <c r="B70145" s="0" t="s">
        <v>14</v>
      </c>
      <c r="C70145" s="0" t="s">
        <v>6901</v>
      </c>
      <c r="D70145" s="0" t="s">
        <v>1146</v>
      </c>
      <c r="E70145" s="0" t="s">
        <v>1146</v>
      </c>
      <c r="F70145" s="0" t="s">
        <v>1146</v>
      </c>
    </row>
    <row r="70147" customFormat="false" ht="12.8" hidden="false" customHeight="false" outlineLevel="0" collapsed="false">
      <c r="A70147" s="0" t="s">
        <v>23790</v>
      </c>
      <c r="B70147" s="0" t="str">
        <f aca="false">HYPERLINK("https://lindat.mff.cuni.cz/services/teitok/pdtc10/index.php?action=vallex&amp;frame=v-w9642f1", "zmoci (v-w9642f1)")</f>
        <v>zmoci (v-w9642f1)</v>
      </c>
    </row>
    <row r="70148" customFormat="false" ht="12.8" hidden="false" customHeight="false" outlineLevel="0" collapsed="false">
      <c r="B70148" s="0" t="s">
        <v>7</v>
      </c>
      <c r="E70148" s="0" t="s">
        <v>23791</v>
      </c>
      <c r="F70148" s="0" t="s">
        <v>23791</v>
      </c>
    </row>
    <row r="70149" customFormat="false" ht="12.8" hidden="false" customHeight="false" outlineLevel="0" collapsed="false">
      <c r="B70149" s="0" t="s">
        <v>14</v>
      </c>
      <c r="E70149" s="0" t="s">
        <v>23792</v>
      </c>
      <c r="F70149" s="0" t="s">
        <v>23792</v>
      </c>
    </row>
    <row r="70151" customFormat="false" ht="12.8" hidden="false" customHeight="false" outlineLevel="0" collapsed="false">
      <c r="A70151" s="0" t="s">
        <v>23793</v>
      </c>
      <c r="B70151" s="0" t="str">
        <f aca="false">HYPERLINK("https://lindat.mff.cuni.cz/services/teitok/pdtc10/index.php?action=vallex&amp;frame=v-w9642hsa_798", "zmoci (v-w9642hsa_798)")</f>
        <v>zmoci (v-w9642hsa_798)</v>
      </c>
    </row>
    <row r="70152" customFormat="false" ht="12.8" hidden="false" customHeight="false" outlineLevel="0" collapsed="false">
      <c r="B70152" s="0" t="s">
        <v>7</v>
      </c>
      <c r="F70152" s="0" t="s">
        <v>335</v>
      </c>
    </row>
    <row r="70153" customFormat="false" ht="12.8" hidden="false" customHeight="false" outlineLevel="0" collapsed="false">
      <c r="B70153" s="0" t="s">
        <v>14</v>
      </c>
      <c r="C70153" s="0" t="s">
        <v>110</v>
      </c>
      <c r="F70153" s="0" t="s">
        <v>461</v>
      </c>
    </row>
    <row r="70155" customFormat="false" ht="12.8" hidden="false" customHeight="false" outlineLevel="0" collapsed="false">
      <c r="A70155" s="0" t="s">
        <v>23794</v>
      </c>
      <c r="B70155" s="0" t="str">
        <f aca="false">HYPERLINK("https://lindat.mff.cuni.cz/services/teitok/pdtc10/index.php?action=vallex&amp;frame=v-w9643f1", "zmoci se (v-w9643f1)")</f>
        <v>zmoci se (v-w9643f1)</v>
      </c>
    </row>
    <row r="70156" customFormat="false" ht="12.8" hidden="false" customHeight="false" outlineLevel="0" collapsed="false">
      <c r="B70156" s="0" t="s">
        <v>7</v>
      </c>
      <c r="E70156" s="0" t="s">
        <v>23795</v>
      </c>
      <c r="F70156" s="0" t="s">
        <v>23795</v>
      </c>
    </row>
    <row r="70157" customFormat="false" ht="12.8" hidden="false" customHeight="false" outlineLevel="0" collapsed="false">
      <c r="B70157" s="0" t="s">
        <v>41</v>
      </c>
      <c r="E70157" s="0" t="s">
        <v>23796</v>
      </c>
      <c r="F70157" s="0" t="s">
        <v>23796</v>
      </c>
    </row>
    <row r="70159" customFormat="false" ht="12.8" hidden="false" customHeight="false" outlineLevel="0" collapsed="false">
      <c r="A70159" s="0" t="s">
        <v>23797</v>
      </c>
      <c r="B70159" s="0" t="str">
        <f aca="false">HYPERLINK("https://lindat.mff.cuni.cz/services/teitok/pdtc10/index.php?action=vallex&amp;frame=v-w9647f1", "zmocnit (v-w9647f1)")</f>
        <v>zmocnit (v-w9647f1)</v>
      </c>
    </row>
    <row r="70160" customFormat="false" ht="12.8" hidden="false" customHeight="false" outlineLevel="0" collapsed="false">
      <c r="B70160" s="0" t="s">
        <v>7</v>
      </c>
    </row>
    <row r="70161" customFormat="false" ht="12.8" hidden="false" customHeight="false" outlineLevel="0" collapsed="false">
      <c r="B70161" s="0" t="s">
        <v>9005</v>
      </c>
    </row>
    <row r="70162" customFormat="false" ht="12.8" hidden="false" customHeight="false" outlineLevel="0" collapsed="false">
      <c r="B70162" s="0" t="s">
        <v>81</v>
      </c>
    </row>
    <row r="70164" customFormat="false" ht="12.8" hidden="false" customHeight="false" outlineLevel="0" collapsed="false">
      <c r="A70164" s="0" t="s">
        <v>23798</v>
      </c>
      <c r="B70164" s="0" t="str">
        <f aca="false">HYPERLINK("https://lindat.mff.cuni.cz/services/teitok/pdtc10/index.php?action=vallex&amp;frame=v-w9648f1", "zmocnit se (v-w9648f1)")</f>
        <v>zmocnit se (v-w9648f1)</v>
      </c>
    </row>
    <row r="70165" customFormat="false" ht="12.8" hidden="false" customHeight="false" outlineLevel="0" collapsed="false">
      <c r="B70165" s="0" t="s">
        <v>7</v>
      </c>
      <c r="C70165" s="0" t="s">
        <v>1287</v>
      </c>
      <c r="D70165" s="0" t="s">
        <v>309</v>
      </c>
      <c r="E70165" s="0" t="s">
        <v>309</v>
      </c>
      <c r="F70165" s="0" t="s">
        <v>309</v>
      </c>
    </row>
    <row r="70166" customFormat="false" ht="12.8" hidden="false" customHeight="false" outlineLevel="0" collapsed="false">
      <c r="B70166" s="0" t="s">
        <v>1087</v>
      </c>
      <c r="C70166" s="0" t="s">
        <v>1210</v>
      </c>
      <c r="D70166" s="0" t="s">
        <v>3662</v>
      </c>
      <c r="E70166" s="0" t="s">
        <v>3662</v>
      </c>
      <c r="F70166" s="0" t="s">
        <v>3662</v>
      </c>
    </row>
    <row r="70168" customFormat="false" ht="12.8" hidden="false" customHeight="false" outlineLevel="0" collapsed="false">
      <c r="A70168" s="0" t="s">
        <v>23799</v>
      </c>
      <c r="B70168" s="0" t="str">
        <f aca="false">HYPERLINK("https://lindat.mff.cuni.cz/services/teitok/pdtc10/index.php?action=vallex&amp;frame=v-w9648f2", "zmocnit se (v-w9648f2)")</f>
        <v>zmocnit se (v-w9648f2)</v>
      </c>
    </row>
    <row r="70169" customFormat="false" ht="12.8" hidden="false" customHeight="false" outlineLevel="0" collapsed="false">
      <c r="B70169" s="0" t="s">
        <v>7</v>
      </c>
    </row>
    <row r="70170" customFormat="false" ht="12.8" hidden="false" customHeight="false" outlineLevel="0" collapsed="false">
      <c r="B70170" s="0" t="s">
        <v>1087</v>
      </c>
    </row>
    <row r="70172" customFormat="false" ht="12.8" hidden="false" customHeight="false" outlineLevel="0" collapsed="false">
      <c r="A70172" s="0" t="s">
        <v>23800</v>
      </c>
      <c r="B70172" s="0" t="str">
        <f aca="false">HYPERLINK("https://lindat.mff.cuni.cz/services/teitok/pdtc10/index.php?action=vallex&amp;frame=v-w9648f3", "zmocnit se (v-w9648f3)")</f>
        <v>zmocnit se (v-w9648f3)</v>
      </c>
    </row>
    <row r="70173" customFormat="false" ht="12.8" hidden="false" customHeight="false" outlineLevel="0" collapsed="false">
      <c r="B70173" s="0" t="s">
        <v>23801</v>
      </c>
    </row>
    <row r="70174" customFormat="false" ht="12.8" hidden="false" customHeight="false" outlineLevel="0" collapsed="false">
      <c r="B70174" s="0" t="s">
        <v>1087</v>
      </c>
    </row>
    <row r="70176" customFormat="false" ht="12.8" hidden="false" customHeight="false" outlineLevel="0" collapsed="false">
      <c r="A70176" s="0" t="s">
        <v>23802</v>
      </c>
      <c r="B70176" s="0" t="str">
        <f aca="false">HYPERLINK("https://lindat.mff.cuni.cz/services/teitok/pdtc10/index.php?action=vallex&amp;frame=v-w10768f2", "zmocňovat (v-w10768f2)")</f>
        <v>zmocňovat (v-w10768f2)</v>
      </c>
    </row>
    <row r="70177" customFormat="false" ht="12.8" hidden="false" customHeight="false" outlineLevel="0" collapsed="false">
      <c r="B70177" s="0" t="s">
        <v>7</v>
      </c>
      <c r="C70177" s="0" t="s">
        <v>623</v>
      </c>
    </row>
    <row r="70178" customFormat="false" ht="12.8" hidden="false" customHeight="false" outlineLevel="0" collapsed="false">
      <c r="B70178" s="0" t="s">
        <v>9005</v>
      </c>
      <c r="C70178" s="0" t="s">
        <v>461</v>
      </c>
    </row>
    <row r="70179" customFormat="false" ht="12.8" hidden="false" customHeight="false" outlineLevel="0" collapsed="false">
      <c r="B70179" s="0" t="s">
        <v>81</v>
      </c>
    </row>
    <row r="70181" customFormat="false" ht="12.8" hidden="false" customHeight="false" outlineLevel="0" collapsed="false">
      <c r="A70181" s="0" t="s">
        <v>23803</v>
      </c>
      <c r="B70181" s="0" t="str">
        <f aca="false">HYPERLINK("https://lindat.mff.cuni.cz/services/teitok/pdtc10/index.php?action=vallex&amp;frame=v-w11381f1", "zmocňovat se (v-w11381f1)")</f>
        <v>zmocňovat se (v-w11381f1)</v>
      </c>
    </row>
    <row r="70182" customFormat="false" ht="12.8" hidden="false" customHeight="false" outlineLevel="0" collapsed="false">
      <c r="B70182" s="0" t="s">
        <v>7</v>
      </c>
    </row>
    <row r="70183" customFormat="false" ht="12.8" hidden="false" customHeight="false" outlineLevel="0" collapsed="false">
      <c r="B70183" s="0" t="s">
        <v>1087</v>
      </c>
    </row>
    <row r="70185" customFormat="false" ht="12.8" hidden="false" customHeight="false" outlineLevel="0" collapsed="false">
      <c r="A70185" s="0" t="s">
        <v>23804</v>
      </c>
      <c r="B70185" s="0" t="str">
        <f aca="false">HYPERLINK("https://lindat.mff.cuni.cz/services/teitok/pdtc10/index.php?action=vallex&amp;frame=v-w9649f1", "zmodernizovat (v-w9649f1)")</f>
        <v>zmodernizovat (v-w9649f1)</v>
      </c>
    </row>
    <row r="70186" customFormat="false" ht="12.8" hidden="false" customHeight="false" outlineLevel="0" collapsed="false">
      <c r="B70186" s="0" t="s">
        <v>7</v>
      </c>
      <c r="C70186" s="0" t="s">
        <v>1142</v>
      </c>
      <c r="D70186" s="0" t="s">
        <v>73</v>
      </c>
      <c r="E70186" s="0" t="s">
        <v>73</v>
      </c>
      <c r="F70186" s="0" t="s">
        <v>73</v>
      </c>
    </row>
    <row r="70187" customFormat="false" ht="12.8" hidden="false" customHeight="false" outlineLevel="0" collapsed="false">
      <c r="B70187" s="0" t="s">
        <v>14</v>
      </c>
      <c r="C70187" s="0" t="s">
        <v>6202</v>
      </c>
      <c r="D70187" s="0" t="s">
        <v>75</v>
      </c>
      <c r="E70187" s="0" t="s">
        <v>75</v>
      </c>
      <c r="F70187" s="0" t="s">
        <v>75</v>
      </c>
    </row>
    <row r="70189" customFormat="false" ht="12.8" hidden="false" customHeight="false" outlineLevel="0" collapsed="false">
      <c r="A70189" s="0" t="s">
        <v>23805</v>
      </c>
      <c r="B70189" s="0" t="str">
        <f aca="false">HYPERLINK("https://lindat.mff.cuni.cz/services/teitok/pdtc10/index.php?action=vallex&amp;frame=v-whsa_1904hsa_1905", "zmoknout (v-whsa_1904hsa_1905)")</f>
        <v>zmoknout (v-whsa_1904hsa_1905)</v>
      </c>
    </row>
    <row r="70190" customFormat="false" ht="12.8" hidden="false" customHeight="false" outlineLevel="0" collapsed="false">
      <c r="B70190" s="0" t="s">
        <v>7</v>
      </c>
    </row>
    <row r="70192" customFormat="false" ht="12.8" hidden="false" customHeight="false" outlineLevel="0" collapsed="false">
      <c r="A70192" s="0" t="s">
        <v>23806</v>
      </c>
      <c r="B70192" s="0" t="str">
        <f aca="false">HYPERLINK("https://lindat.mff.cuni.cz/services/teitok/pdtc10/index.php?action=vallex&amp;frame=v-w11189f2", "zmonopolizovat (v-w11189f2)")</f>
        <v>zmonopolizovat (v-w11189f2)</v>
      </c>
    </row>
    <row r="70193" customFormat="false" ht="12.8" hidden="false" customHeight="false" outlineLevel="0" collapsed="false">
      <c r="B70193" s="0" t="s">
        <v>7</v>
      </c>
      <c r="C70193" s="0" t="s">
        <v>335</v>
      </c>
    </row>
    <row r="70194" customFormat="false" ht="12.8" hidden="false" customHeight="false" outlineLevel="0" collapsed="false">
      <c r="B70194" s="0" t="s">
        <v>14</v>
      </c>
      <c r="C70194" s="0" t="s">
        <v>384</v>
      </c>
    </row>
    <row r="70196" customFormat="false" ht="12.8" hidden="false" customHeight="false" outlineLevel="0" collapsed="false">
      <c r="A70196" s="0" t="s">
        <v>23807</v>
      </c>
      <c r="B70196" s="0" t="str">
        <f aca="false">HYPERLINK("https://lindat.mff.cuni.cz/services/teitok/pdtc10/index.php?action=vallex&amp;frame=v-w12062_ZUf1_ZU", "zmotat (v-w12062_ZUf1_ZU)")</f>
        <v>zmotat (v-w12062_ZUf1_ZU)</v>
      </c>
    </row>
    <row r="70197" customFormat="false" ht="12.8" hidden="false" customHeight="false" outlineLevel="0" collapsed="false">
      <c r="B70197" s="0" t="s">
        <v>7</v>
      </c>
    </row>
    <row r="70198" customFormat="false" ht="12.8" hidden="false" customHeight="false" outlineLevel="0" collapsed="false">
      <c r="B70198" s="0" t="s">
        <v>14</v>
      </c>
    </row>
    <row r="70200" customFormat="false" ht="12.8" hidden="false" customHeight="false" outlineLevel="0" collapsed="false">
      <c r="A70200" s="0" t="s">
        <v>23808</v>
      </c>
      <c r="B70200" s="0" t="str">
        <f aca="false">HYPERLINK("https://lindat.mff.cuni.cz/services/teitok/pdtc10/index.php?action=vallex&amp;frame=v-w9651hsa_114", "zmrazit (v-w9651hsa_114)")</f>
        <v>zmrazit (v-w9651hsa_114)</v>
      </c>
    </row>
    <row r="70201" customFormat="false" ht="12.8" hidden="false" customHeight="false" outlineLevel="0" collapsed="false">
      <c r="B70201" s="0" t="s">
        <v>7</v>
      </c>
    </row>
    <row r="70202" customFormat="false" ht="12.8" hidden="false" customHeight="false" outlineLevel="0" collapsed="false">
      <c r="B70202" s="0" t="s">
        <v>14</v>
      </c>
    </row>
    <row r="70203" customFormat="false" ht="12.8" hidden="false" customHeight="false" outlineLevel="0" collapsed="false">
      <c r="B70203" s="0" t="s">
        <v>84</v>
      </c>
    </row>
    <row r="70205" customFormat="false" ht="12.8" hidden="false" customHeight="false" outlineLevel="0" collapsed="false">
      <c r="A70205" s="0" t="s">
        <v>23808</v>
      </c>
      <c r="B70205" s="0" t="str">
        <f aca="false">HYPERLINK("https://lindat.mff.cuni.cz/services/teitok/pdtc10/index.php?action=vallex&amp;frame=v-w9651f1", "zmrazit (v-w9651f1) - substituted with v-w9651hsa_114")</f>
        <v>zmrazit (v-w9651f1) - substituted with v-w9651hsa_114</v>
      </c>
    </row>
    <row r="70206" customFormat="false" ht="12.8" hidden="false" customHeight="false" outlineLevel="0" collapsed="false">
      <c r="B70206" s="0" t="s">
        <v>7</v>
      </c>
      <c r="C70206" s="0" t="s">
        <v>108</v>
      </c>
    </row>
    <row r="70207" customFormat="false" ht="12.8" hidden="false" customHeight="false" outlineLevel="0" collapsed="false">
      <c r="B70207" s="0" t="s">
        <v>14</v>
      </c>
      <c r="C70207" s="0" t="s">
        <v>159</v>
      </c>
    </row>
    <row r="70208" customFormat="false" ht="12.8" hidden="false" customHeight="false" outlineLevel="0" collapsed="false">
      <c r="B70208" s="0" t="s">
        <v>84</v>
      </c>
    </row>
    <row r="70210" customFormat="false" ht="12.8" hidden="false" customHeight="false" outlineLevel="0" collapsed="false">
      <c r="A70210" s="0" t="s">
        <v>23809</v>
      </c>
      <c r="B70210" s="0" t="str">
        <f aca="false">HYPERLINK("https://lindat.mff.cuni.cz/services/teitok/pdtc10/index.php?action=vallex&amp;frame=v-w10256f3", "zmrazovat (v-w10256f3)")</f>
        <v>zmrazovat (v-w10256f3)</v>
      </c>
    </row>
    <row r="70211" customFormat="false" ht="12.8" hidden="false" customHeight="false" outlineLevel="0" collapsed="false">
      <c r="B70211" s="0" t="s">
        <v>7</v>
      </c>
      <c r="C70211" s="0" t="s">
        <v>335</v>
      </c>
      <c r="D70211" s="0" t="s">
        <v>392</v>
      </c>
      <c r="E70211" s="0" t="s">
        <v>392</v>
      </c>
      <c r="F70211" s="0" t="s">
        <v>392</v>
      </c>
    </row>
    <row r="70212" customFormat="false" ht="12.8" hidden="false" customHeight="false" outlineLevel="0" collapsed="false">
      <c r="B70212" s="0" t="s">
        <v>14</v>
      </c>
      <c r="C70212" s="0" t="s">
        <v>78</v>
      </c>
      <c r="D70212" s="0" t="s">
        <v>394</v>
      </c>
      <c r="E70212" s="0" t="s">
        <v>394</v>
      </c>
      <c r="F70212" s="0" t="s">
        <v>394</v>
      </c>
    </row>
    <row r="70214" customFormat="false" ht="12.8" hidden="false" customHeight="false" outlineLevel="0" collapsed="false">
      <c r="A70214" s="0" t="s">
        <v>23810</v>
      </c>
      <c r="B70214" s="0" t="str">
        <f aca="false">HYPERLINK("https://lindat.mff.cuni.cz/services/teitok/pdtc10/index.php?action=vallex&amp;frame=v-w9653f1", "zmrzačit (v-w9653f1)")</f>
        <v>zmrzačit (v-w9653f1)</v>
      </c>
    </row>
    <row r="70215" customFormat="false" ht="12.8" hidden="false" customHeight="false" outlineLevel="0" collapsed="false">
      <c r="B70215" s="0" t="s">
        <v>7</v>
      </c>
    </row>
    <row r="70216" customFormat="false" ht="12.8" hidden="false" customHeight="false" outlineLevel="0" collapsed="false">
      <c r="B70216" s="0" t="s">
        <v>14</v>
      </c>
    </row>
    <row r="70218" customFormat="false" ht="12.8" hidden="false" customHeight="false" outlineLevel="0" collapsed="false">
      <c r="A70218" s="0" t="s">
        <v>23811</v>
      </c>
      <c r="B70218" s="0" t="str">
        <f aca="false">HYPERLINK("https://lindat.mff.cuni.cz/services/teitok/pdtc10/index.php?action=vallex&amp;frame=v-whsa_2061hsa_2062", "zmrznout (v-whsa_2061hsa_2062)")</f>
        <v>zmrznout (v-whsa_2061hsa_2062)</v>
      </c>
    </row>
    <row r="70219" customFormat="false" ht="12.8" hidden="false" customHeight="false" outlineLevel="0" collapsed="false">
      <c r="B70219" s="0" t="s">
        <v>7</v>
      </c>
    </row>
    <row r="70221" customFormat="false" ht="12.8" hidden="false" customHeight="false" outlineLevel="0" collapsed="false">
      <c r="A70221" s="0" t="s">
        <v>23812</v>
      </c>
      <c r="B70221" s="0" t="str">
        <f aca="false">HYPERLINK("https://lindat.mff.cuni.cz/services/teitok/pdtc10/index.php?action=vallex&amp;frame=v-w10119f2", "zmutovat (v-w10119f2)")</f>
        <v>zmutovat (v-w10119f2)</v>
      </c>
    </row>
    <row r="70222" customFormat="false" ht="12.8" hidden="false" customHeight="false" outlineLevel="0" collapsed="false">
      <c r="B70222" s="0" t="s">
        <v>7</v>
      </c>
      <c r="D70222" s="0" t="s">
        <v>6207</v>
      </c>
      <c r="E70222" s="0" t="s">
        <v>6207</v>
      </c>
      <c r="F70222" s="0" t="s">
        <v>6207</v>
      </c>
    </row>
    <row r="70223" customFormat="false" ht="12.8" hidden="false" customHeight="false" outlineLevel="0" collapsed="false">
      <c r="B70223" s="0" t="s">
        <v>13030</v>
      </c>
      <c r="C70223" s="0" t="s">
        <v>47</v>
      </c>
      <c r="D70223" s="0" t="s">
        <v>6211</v>
      </c>
      <c r="E70223" s="0" t="s">
        <v>6211</v>
      </c>
      <c r="F70223" s="0" t="s">
        <v>6211</v>
      </c>
    </row>
    <row r="70224" customFormat="false" ht="12.8" hidden="false" customHeight="false" outlineLevel="0" collapsed="false">
      <c r="B70224" s="0" t="s">
        <v>35</v>
      </c>
      <c r="D70224" s="0" t="s">
        <v>6214</v>
      </c>
      <c r="E70224" s="0" t="s">
        <v>6214</v>
      </c>
      <c r="F70224" s="0" t="s">
        <v>6214</v>
      </c>
    </row>
    <row r="70226" customFormat="false" ht="12.8" hidden="false" customHeight="false" outlineLevel="0" collapsed="false">
      <c r="A70226" s="0" t="s">
        <v>23813</v>
      </c>
      <c r="B70226" s="0" t="str">
        <f aca="false">HYPERLINK("https://lindat.mff.cuni.cz/services/teitok/pdtc10/index.php?action=vallex&amp;frame=v-whsa_1842hsa_1843", "zmužnět (v-whsa_1842hsa_1843)")</f>
        <v>zmužnět (v-whsa_1842hsa_1843)</v>
      </c>
    </row>
    <row r="70227" customFormat="false" ht="12.8" hidden="false" customHeight="false" outlineLevel="0" collapsed="false">
      <c r="B70227" s="0" t="s">
        <v>7</v>
      </c>
    </row>
    <row r="70229" customFormat="false" ht="12.8" hidden="false" customHeight="false" outlineLevel="0" collapsed="false">
      <c r="A70229" s="0" t="s">
        <v>23814</v>
      </c>
      <c r="B70229" s="0" t="str">
        <f aca="false">HYPERLINK("https://lindat.mff.cuni.cz/services/teitok/pdtc10/index.php?action=vallex&amp;frame=v-w11886_ZUf1_ZU", "zmydlit (v-w11886_ZUf1_ZU)")</f>
        <v>zmydlit (v-w11886_ZUf1_ZU)</v>
      </c>
    </row>
    <row r="70230" customFormat="false" ht="12.8" hidden="false" customHeight="false" outlineLevel="0" collapsed="false">
      <c r="B70230" s="0" t="s">
        <v>7</v>
      </c>
    </row>
    <row r="70231" customFormat="false" ht="12.8" hidden="false" customHeight="false" outlineLevel="0" collapsed="false">
      <c r="B70231" s="0" t="s">
        <v>14</v>
      </c>
    </row>
    <row r="70233" customFormat="false" ht="12.8" hidden="false" customHeight="false" outlineLevel="0" collapsed="false">
      <c r="A70233" s="0" t="s">
        <v>23815</v>
      </c>
      <c r="B70233" s="0" t="str">
        <f aca="false">HYPERLINK("https://lindat.mff.cuni.cz/services/teitok/pdtc10/index.php?action=vallex&amp;frame=v-whsa_1334hsa_1335", "zmáchat (v-whsa_1334hsa_1335)")</f>
        <v>zmáchat (v-whsa_1334hsa_1335)</v>
      </c>
    </row>
    <row r="70234" customFormat="false" ht="12.8" hidden="false" customHeight="false" outlineLevel="0" collapsed="false">
      <c r="B70234" s="0" t="s">
        <v>7</v>
      </c>
    </row>
    <row r="70235" customFormat="false" ht="12.8" hidden="false" customHeight="false" outlineLevel="0" collapsed="false">
      <c r="B70235" s="0" t="s">
        <v>14</v>
      </c>
    </row>
    <row r="70237" customFormat="false" ht="12.8" hidden="false" customHeight="false" outlineLevel="0" collapsed="false">
      <c r="A70237" s="0" t="s">
        <v>23816</v>
      </c>
      <c r="B70237" s="0" t="str">
        <f aca="false">HYPERLINK("https://lindat.mff.cuni.cz/services/teitok/pdtc10/index.php?action=vallex&amp;frame=v-w9607f1", "zmást (v-w9607f1)")</f>
        <v>zmást (v-w9607f1)</v>
      </c>
    </row>
    <row r="70238" customFormat="false" ht="12.8" hidden="false" customHeight="false" outlineLevel="0" collapsed="false">
      <c r="B70238" s="0" t="s">
        <v>7</v>
      </c>
      <c r="C70238" s="0" t="s">
        <v>5848</v>
      </c>
      <c r="D70238" s="0" t="s">
        <v>4342</v>
      </c>
      <c r="E70238" s="0" t="s">
        <v>4342</v>
      </c>
      <c r="F70238" s="0" t="s">
        <v>4342</v>
      </c>
    </row>
    <row r="70239" customFormat="false" ht="12.8" hidden="false" customHeight="false" outlineLevel="0" collapsed="false">
      <c r="B70239" s="0" t="s">
        <v>14</v>
      </c>
      <c r="C70239" s="0" t="s">
        <v>4586</v>
      </c>
      <c r="D70239" s="0" t="s">
        <v>4586</v>
      </c>
      <c r="E70239" s="0" t="s">
        <v>4586</v>
      </c>
      <c r="F70239" s="0" t="s">
        <v>4586</v>
      </c>
    </row>
    <row r="70241" customFormat="false" ht="12.8" hidden="false" customHeight="false" outlineLevel="0" collapsed="false">
      <c r="A70241" s="0" t="s">
        <v>23817</v>
      </c>
      <c r="B70241" s="0" t="str">
        <f aca="false">HYPERLINK("https://lindat.mff.cuni.cz/services/teitok/pdtc10/index.php?action=vallex&amp;frame=v-w12163_ZUf1_ZU", "zmátořit se (v-w12163_ZUf1_ZU)")</f>
        <v>zmátořit se (v-w12163_ZUf1_ZU)</v>
      </c>
    </row>
    <row r="70242" customFormat="false" ht="12.8" hidden="false" customHeight="false" outlineLevel="0" collapsed="false">
      <c r="B70242" s="0" t="s">
        <v>7</v>
      </c>
    </row>
    <row r="70243" customFormat="false" ht="12.8" hidden="false" customHeight="false" outlineLevel="0" collapsed="false">
      <c r="B70243" s="0" t="s">
        <v>581</v>
      </c>
    </row>
    <row r="70245" customFormat="false" ht="12.8" hidden="false" customHeight="false" outlineLevel="0" collapsed="false">
      <c r="A70245" s="0" t="s">
        <v>23818</v>
      </c>
      <c r="B70245" s="0" t="str">
        <f aca="false">HYPERLINK("https://lindat.mff.cuni.cz/services/teitok/pdtc10/index.php?action=vallex&amp;frame=v-w9596f1", "zmáčknout (v-w9596f1)")</f>
        <v>zmáčknout (v-w9596f1)</v>
      </c>
    </row>
    <row r="70246" customFormat="false" ht="12.8" hidden="false" customHeight="false" outlineLevel="0" collapsed="false">
      <c r="B70246" s="0" t="s">
        <v>7</v>
      </c>
      <c r="C70246" s="0" t="s">
        <v>184</v>
      </c>
      <c r="D70246" s="0" t="s">
        <v>126</v>
      </c>
      <c r="E70246" s="0" t="s">
        <v>126</v>
      </c>
      <c r="F70246" s="0" t="s">
        <v>126</v>
      </c>
    </row>
    <row r="70247" customFormat="false" ht="12.8" hidden="false" customHeight="false" outlineLevel="0" collapsed="false">
      <c r="B70247" s="0" t="s">
        <v>14</v>
      </c>
      <c r="C70247" s="0" t="s">
        <v>115</v>
      </c>
      <c r="D70247" s="0" t="s">
        <v>3249</v>
      </c>
      <c r="E70247" s="0" t="s">
        <v>3249</v>
      </c>
      <c r="F70247" s="0" t="s">
        <v>3249</v>
      </c>
    </row>
    <row r="70249" customFormat="false" ht="12.8" hidden="false" customHeight="false" outlineLevel="0" collapsed="false">
      <c r="A70249" s="0" t="s">
        <v>23819</v>
      </c>
      <c r="B70249" s="0" t="str">
        <f aca="false">HYPERLINK("https://lindat.mff.cuni.cz/services/teitok/pdtc10/index.php?action=vallex&amp;frame=v-w9624f1", "zmínit (v-w9624f1)")</f>
        <v>zmínit (v-w9624f1)</v>
      </c>
    </row>
    <row r="70250" customFormat="false" ht="12.8" hidden="false" customHeight="false" outlineLevel="0" collapsed="false">
      <c r="B70250" s="0" t="s">
        <v>7</v>
      </c>
      <c r="C70250" s="0" t="s">
        <v>23820</v>
      </c>
      <c r="D70250" s="0" t="s">
        <v>10017</v>
      </c>
      <c r="E70250" s="0" t="s">
        <v>10017</v>
      </c>
      <c r="F70250" s="0" t="s">
        <v>10017</v>
      </c>
    </row>
    <row r="70251" customFormat="false" ht="12.8" hidden="false" customHeight="false" outlineLevel="0" collapsed="false">
      <c r="B70251" s="0" t="s">
        <v>8144</v>
      </c>
      <c r="C70251" s="0" t="s">
        <v>23821</v>
      </c>
      <c r="D70251" s="0" t="s">
        <v>3440</v>
      </c>
      <c r="E70251" s="0" t="s">
        <v>3440</v>
      </c>
      <c r="F70251" s="0" t="s">
        <v>3440</v>
      </c>
    </row>
    <row r="70252" customFormat="false" ht="12.8" hidden="false" customHeight="false" outlineLevel="0" collapsed="false">
      <c r="B70252" s="0" t="s">
        <v>106</v>
      </c>
      <c r="D70252" s="0" t="s">
        <v>1165</v>
      </c>
      <c r="E70252" s="0" t="s">
        <v>1165</v>
      </c>
      <c r="F70252" s="0" t="s">
        <v>1165</v>
      </c>
    </row>
    <row r="70254" customFormat="false" ht="12.8" hidden="false" customHeight="false" outlineLevel="0" collapsed="false">
      <c r="A70254" s="0" t="s">
        <v>23822</v>
      </c>
      <c r="B70254" s="0" t="str">
        <f aca="false">HYPERLINK("https://lindat.mff.cuni.cz/services/teitok/pdtc10/index.php?action=vallex&amp;frame=v-w9625f1", "zmínit se (v-w9625f1)")</f>
        <v>zmínit se (v-w9625f1)</v>
      </c>
    </row>
    <row r="70255" customFormat="false" ht="12.8" hidden="false" customHeight="false" outlineLevel="0" collapsed="false">
      <c r="B70255" s="0" t="s">
        <v>7</v>
      </c>
      <c r="C70255" s="0" t="s">
        <v>10044</v>
      </c>
      <c r="D70255" s="0" t="s">
        <v>10017</v>
      </c>
      <c r="E70255" s="0" t="s">
        <v>10017</v>
      </c>
      <c r="F70255" s="0" t="s">
        <v>10017</v>
      </c>
    </row>
    <row r="70256" customFormat="false" ht="12.8" hidden="false" customHeight="false" outlineLevel="0" collapsed="false">
      <c r="B70256" s="0" t="s">
        <v>11133</v>
      </c>
      <c r="C70256" s="0" t="s">
        <v>7201</v>
      </c>
      <c r="D70256" s="0" t="s">
        <v>3440</v>
      </c>
      <c r="E70256" s="0" t="s">
        <v>3440</v>
      </c>
      <c r="F70256" s="0" t="s">
        <v>3440</v>
      </c>
    </row>
    <row r="70257" customFormat="false" ht="12.8" hidden="false" customHeight="false" outlineLevel="0" collapsed="false">
      <c r="B70257" s="0" t="s">
        <v>106</v>
      </c>
      <c r="D70257" s="0" t="s">
        <v>1165</v>
      </c>
      <c r="E70257" s="0" t="s">
        <v>1165</v>
      </c>
      <c r="F70257" s="0" t="s">
        <v>1165</v>
      </c>
    </row>
    <row r="70259" customFormat="false" ht="12.8" hidden="false" customHeight="false" outlineLevel="0" collapsed="false">
      <c r="A70259" s="0" t="s">
        <v>23823</v>
      </c>
      <c r="B70259" s="0" t="str">
        <f aca="false">HYPERLINK("https://lindat.mff.cuni.cz/services/teitok/pdtc10/index.php?action=vallex&amp;frame=v-w9625f2", "zmínit se (v-w9625f2)")</f>
        <v>zmínit se (v-w9625f2)</v>
      </c>
    </row>
    <row r="70260" customFormat="false" ht="12.8" hidden="false" customHeight="false" outlineLevel="0" collapsed="false">
      <c r="B70260" s="0" t="s">
        <v>7</v>
      </c>
      <c r="C70260" s="0" t="s">
        <v>1287</v>
      </c>
      <c r="D70260" s="0" t="s">
        <v>23782</v>
      </c>
      <c r="E70260" s="0" t="s">
        <v>10017</v>
      </c>
      <c r="F70260" s="0" t="s">
        <v>10017</v>
      </c>
    </row>
    <row r="70261" customFormat="false" ht="12.8" hidden="false" customHeight="false" outlineLevel="0" collapsed="false">
      <c r="B70261" s="0" t="s">
        <v>19766</v>
      </c>
      <c r="C70261" s="0" t="s">
        <v>23824</v>
      </c>
      <c r="D70261" s="0" t="s">
        <v>23783</v>
      </c>
      <c r="E70261" s="0" t="s">
        <v>10020</v>
      </c>
      <c r="F70261" s="0" t="s">
        <v>10020</v>
      </c>
    </row>
    <row r="70262" customFormat="false" ht="12.8" hidden="false" customHeight="false" outlineLevel="0" collapsed="false">
      <c r="B70262" s="0" t="s">
        <v>363</v>
      </c>
      <c r="D70262" s="0" t="s">
        <v>3440</v>
      </c>
      <c r="E70262" s="0" t="s">
        <v>3440</v>
      </c>
      <c r="F70262" s="0" t="s">
        <v>3440</v>
      </c>
    </row>
    <row r="70263" customFormat="false" ht="12.8" hidden="false" customHeight="false" outlineLevel="0" collapsed="false">
      <c r="B70263" s="0" t="s">
        <v>106</v>
      </c>
      <c r="D70263" s="0" t="s">
        <v>23785</v>
      </c>
      <c r="E70263" s="0" t="s">
        <v>1165</v>
      </c>
      <c r="F70263" s="0" t="s">
        <v>1165</v>
      </c>
    </row>
    <row r="70265" customFormat="false" ht="12.8" hidden="false" customHeight="false" outlineLevel="0" collapsed="false">
      <c r="A70265" s="0" t="s">
        <v>23825</v>
      </c>
      <c r="B70265" s="0" t="str">
        <f aca="false">HYPERLINK("https://lindat.mff.cuni.cz/services/teitok/pdtc10/index.php?action=vallex&amp;frame=v-w9629f1", "zmírat (v-w9629f1)")</f>
        <v>zmírat (v-w9629f1)</v>
      </c>
    </row>
    <row r="70266" customFormat="false" ht="12.8" hidden="false" customHeight="false" outlineLevel="0" collapsed="false">
      <c r="B70266" s="0" t="s">
        <v>7</v>
      </c>
    </row>
    <row r="70268" customFormat="false" ht="12.8" hidden="false" customHeight="false" outlineLevel="0" collapsed="false">
      <c r="A70268" s="0" t="s">
        <v>23826</v>
      </c>
      <c r="B70268" s="0" t="str">
        <f aca="false">HYPERLINK("https://lindat.mff.cuni.cz/services/teitok/pdtc10/index.php?action=vallex&amp;frame=v-w9632f1", "zmírnit (v-w9632f1)")</f>
        <v>zmírnit (v-w9632f1)</v>
      </c>
    </row>
    <row r="70269" customFormat="false" ht="12.8" hidden="false" customHeight="false" outlineLevel="0" collapsed="false">
      <c r="B70269" s="0" t="s">
        <v>7</v>
      </c>
      <c r="C70269" s="0" t="s">
        <v>23827</v>
      </c>
      <c r="D70269" s="0" t="s">
        <v>1789</v>
      </c>
      <c r="E70269" s="0" t="s">
        <v>1789</v>
      </c>
      <c r="F70269" s="0" t="s">
        <v>1789</v>
      </c>
    </row>
    <row r="70270" customFormat="false" ht="12.8" hidden="false" customHeight="false" outlineLevel="0" collapsed="false">
      <c r="B70270" s="0" t="s">
        <v>14</v>
      </c>
      <c r="C70270" s="0" t="s">
        <v>23828</v>
      </c>
      <c r="D70270" s="0" t="s">
        <v>23829</v>
      </c>
      <c r="E70270" s="0" t="s">
        <v>23829</v>
      </c>
      <c r="F70270" s="0" t="s">
        <v>23829</v>
      </c>
    </row>
    <row r="70271" customFormat="false" ht="12.8" hidden="false" customHeight="false" outlineLevel="0" collapsed="false">
      <c r="B70271" s="0" t="s">
        <v>35</v>
      </c>
      <c r="C70271" s="0" t="s">
        <v>23830</v>
      </c>
    </row>
    <row r="70272" customFormat="false" ht="12.8" hidden="false" customHeight="false" outlineLevel="0" collapsed="false">
      <c r="B70272" s="0" t="s">
        <v>84</v>
      </c>
      <c r="C70272" s="0" t="s">
        <v>23831</v>
      </c>
    </row>
    <row r="70274" customFormat="false" ht="12.8" hidden="false" customHeight="false" outlineLevel="0" collapsed="false">
      <c r="A70274" s="0" t="s">
        <v>23832</v>
      </c>
      <c r="B70274" s="0" t="str">
        <f aca="false">HYPERLINK("https://lindat.mff.cuni.cz/services/teitok/pdtc10/index.php?action=vallex&amp;frame=v-w9633f1", "zmírnit se (v-w9633f1)")</f>
        <v>zmírnit se (v-w9633f1)</v>
      </c>
    </row>
    <row r="70275" customFormat="false" ht="12.8" hidden="false" customHeight="false" outlineLevel="0" collapsed="false">
      <c r="B70275" s="0" t="s">
        <v>7</v>
      </c>
      <c r="C70275" s="0" t="s">
        <v>23833</v>
      </c>
      <c r="D70275" s="0" t="s">
        <v>7922</v>
      </c>
      <c r="E70275" s="0" t="s">
        <v>7922</v>
      </c>
      <c r="F70275" s="0" t="s">
        <v>7922</v>
      </c>
    </row>
    <row r="70277" customFormat="false" ht="12.8" hidden="false" customHeight="false" outlineLevel="0" collapsed="false">
      <c r="A70277" s="0" t="s">
        <v>23834</v>
      </c>
      <c r="B70277" s="0" t="str">
        <f aca="false">HYPERLINK("https://lindat.mff.cuni.cz/services/teitok/pdtc10/index.php?action=vallex&amp;frame=v-w9631f1", "zmírnět (v-w9631f1)")</f>
        <v>zmírnět (v-w9631f1)</v>
      </c>
    </row>
    <row r="70278" customFormat="false" ht="12.8" hidden="false" customHeight="false" outlineLevel="0" collapsed="false">
      <c r="B70278" s="0" t="s">
        <v>7</v>
      </c>
      <c r="D70278" s="0" t="s">
        <v>12495</v>
      </c>
      <c r="E70278" s="0" t="s">
        <v>12495</v>
      </c>
      <c r="F70278" s="0" t="s">
        <v>12495</v>
      </c>
    </row>
    <row r="70279" customFormat="false" ht="12.8" hidden="false" customHeight="false" outlineLevel="0" collapsed="false">
      <c r="B70279" s="0" t="s">
        <v>14</v>
      </c>
      <c r="D70279" s="0" t="s">
        <v>453</v>
      </c>
      <c r="E70279" s="0" t="s">
        <v>453</v>
      </c>
      <c r="F70279" s="0" t="s">
        <v>453</v>
      </c>
    </row>
    <row r="70280" customFormat="false" ht="12.8" hidden="false" customHeight="false" outlineLevel="0" collapsed="false">
      <c r="B70280" s="0" t="s">
        <v>35</v>
      </c>
    </row>
    <row r="70281" customFormat="false" ht="12.8" hidden="false" customHeight="false" outlineLevel="0" collapsed="false">
      <c r="B70281" s="0" t="s">
        <v>84</v>
      </c>
    </row>
    <row r="70283" customFormat="false" ht="12.8" hidden="false" customHeight="false" outlineLevel="0" collapsed="false">
      <c r="A70283" s="0" t="s">
        <v>23835</v>
      </c>
      <c r="B70283" s="0" t="str">
        <f aca="false">HYPERLINK("https://lindat.mff.cuni.cz/services/teitok/pdtc10/index.php?action=vallex&amp;frame=v-w9634f1", "zmírňovat (v-w9634f1)")</f>
        <v>zmírňovat (v-w9634f1)</v>
      </c>
    </row>
    <row r="70284" customFormat="false" ht="12.8" hidden="false" customHeight="false" outlineLevel="0" collapsed="false">
      <c r="B70284" s="0" t="s">
        <v>7</v>
      </c>
      <c r="C70284" s="0" t="s">
        <v>23836</v>
      </c>
      <c r="D70284" s="0" t="s">
        <v>12495</v>
      </c>
      <c r="E70284" s="0" t="s">
        <v>12495</v>
      </c>
      <c r="F70284" s="0" t="s">
        <v>12495</v>
      </c>
    </row>
    <row r="70285" customFormat="false" ht="12.8" hidden="false" customHeight="false" outlineLevel="0" collapsed="false">
      <c r="B70285" s="0" t="s">
        <v>14</v>
      </c>
      <c r="C70285" s="0" t="s">
        <v>23837</v>
      </c>
      <c r="D70285" s="0" t="s">
        <v>453</v>
      </c>
      <c r="E70285" s="0" t="s">
        <v>453</v>
      </c>
      <c r="F70285" s="0" t="s">
        <v>453</v>
      </c>
    </row>
    <row r="70286" customFormat="false" ht="12.8" hidden="false" customHeight="false" outlineLevel="0" collapsed="false">
      <c r="B70286" s="0" t="s">
        <v>35</v>
      </c>
    </row>
    <row r="70287" customFormat="false" ht="12.8" hidden="false" customHeight="false" outlineLevel="0" collapsed="false">
      <c r="B70287" s="0" t="s">
        <v>84</v>
      </c>
      <c r="C70287" s="0" t="s">
        <v>17944</v>
      </c>
    </row>
    <row r="70289" customFormat="false" ht="12.8" hidden="false" customHeight="false" outlineLevel="0" collapsed="false">
      <c r="A70289" s="0" t="s">
        <v>23838</v>
      </c>
      <c r="B70289" s="0" t="str">
        <f aca="false">HYPERLINK("https://lindat.mff.cuni.cz/services/teitok/pdtc10/index.php?action=vallex&amp;frame=v-w11649_ZUf1_ZU", "zmírňovat se (v-w11649_ZUf1_ZU)")</f>
        <v>zmírňovat se (v-w11649_ZUf1_ZU)</v>
      </c>
    </row>
    <row r="70290" customFormat="false" ht="12.8" hidden="false" customHeight="false" outlineLevel="0" collapsed="false">
      <c r="B70290" s="0" t="s">
        <v>7</v>
      </c>
      <c r="C70290" s="0" t="s">
        <v>4651</v>
      </c>
      <c r="D70290" s="0" t="s">
        <v>7922</v>
      </c>
      <c r="E70290" s="0" t="s">
        <v>7922</v>
      </c>
      <c r="F70290" s="0" t="s">
        <v>7922</v>
      </c>
    </row>
    <row r="70292" customFormat="false" ht="12.8" hidden="false" customHeight="false" outlineLevel="0" collapsed="false">
      <c r="A70292" s="0" t="s">
        <v>23839</v>
      </c>
      <c r="B70292" s="0" t="str">
        <f aca="false">HYPERLINK("https://lindat.mff.cuni.cz/services/teitok/pdtc10/index.php?action=vallex&amp;frame=v-whsa_788f1_ZU", "zmítat (v-whsa_788f1_ZU)")</f>
        <v>zmítat (v-whsa_788f1_ZU)</v>
      </c>
    </row>
    <row r="70293" customFormat="false" ht="12.8" hidden="false" customHeight="false" outlineLevel="0" collapsed="false">
      <c r="B70293" s="0" t="s">
        <v>7</v>
      </c>
      <c r="C70293" s="0" t="s">
        <v>23840</v>
      </c>
      <c r="D70293" s="0" t="s">
        <v>7860</v>
      </c>
      <c r="E70293" s="0" t="s">
        <v>7860</v>
      </c>
      <c r="F70293" s="0" t="s">
        <v>7860</v>
      </c>
    </row>
    <row r="70294" customFormat="false" ht="12.8" hidden="false" customHeight="false" outlineLevel="0" collapsed="false">
      <c r="B70294" s="0" t="s">
        <v>216</v>
      </c>
      <c r="C70294" s="0" t="s">
        <v>47</v>
      </c>
      <c r="D70294" s="0" t="s">
        <v>47</v>
      </c>
      <c r="E70294" s="0" t="s">
        <v>47</v>
      </c>
      <c r="F70294" s="0" t="s">
        <v>47</v>
      </c>
    </row>
    <row r="70296" customFormat="false" ht="12.8" hidden="false" customHeight="false" outlineLevel="0" collapsed="false">
      <c r="A70296" s="0" t="s">
        <v>23839</v>
      </c>
      <c r="B70296" s="0" t="str">
        <f aca="false">HYPERLINK("https://lindat.mff.cuni.cz/services/teitok/pdtc10/index.php?action=vallex&amp;frame=v-whsa_788hsa_789", "zmítat (v-whsa_788hsa_789) - substituted with v-whsa_788f1_ZU")</f>
        <v>zmítat (v-whsa_788hsa_789) - substituted with v-whsa_788f1_ZU</v>
      </c>
    </row>
    <row r="70297" customFormat="false" ht="12.8" hidden="false" customHeight="false" outlineLevel="0" collapsed="false">
      <c r="B70297" s="0" t="s">
        <v>7</v>
      </c>
    </row>
    <row r="70298" customFormat="false" ht="12.8" hidden="false" customHeight="false" outlineLevel="0" collapsed="false">
      <c r="B70298" s="0" t="s">
        <v>216</v>
      </c>
    </row>
    <row r="70300" customFormat="false" ht="12.8" hidden="false" customHeight="false" outlineLevel="0" collapsed="false">
      <c r="A70300" s="0" t="s">
        <v>23841</v>
      </c>
      <c r="B70300" s="0" t="str">
        <f aca="false">HYPERLINK("https://lindat.mff.cuni.cz/services/teitok/pdtc10/index.php?action=vallex&amp;frame=v-w9636f1", "zmítat se (v-w9636f1)")</f>
        <v>zmítat se (v-w9636f1)</v>
      </c>
    </row>
    <row r="70301" customFormat="false" ht="12.8" hidden="false" customHeight="false" outlineLevel="0" collapsed="false">
      <c r="B70301" s="0" t="s">
        <v>7</v>
      </c>
      <c r="F70301" s="0" t="s">
        <v>200</v>
      </c>
    </row>
    <row r="70302" customFormat="false" ht="12.8" hidden="false" customHeight="false" outlineLevel="0" collapsed="false">
      <c r="B70302" s="0" t="s">
        <v>2804</v>
      </c>
    </row>
    <row r="70304" customFormat="false" ht="12.8" hidden="false" customHeight="false" outlineLevel="0" collapsed="false">
      <c r="A70304" s="0" t="s">
        <v>23842</v>
      </c>
      <c r="B70304" s="0" t="str">
        <f aca="false">HYPERLINK("https://lindat.mff.cuni.cz/services/teitok/pdtc10/index.php?action=vallex&amp;frame=v-w9654f1", "zmýlit se (v-w9654f1)")</f>
        <v>zmýlit se (v-w9654f1)</v>
      </c>
    </row>
    <row r="70305" customFormat="false" ht="12.8" hidden="false" customHeight="false" outlineLevel="0" collapsed="false">
      <c r="B70305" s="0" t="s">
        <v>7</v>
      </c>
      <c r="C70305" s="0" t="s">
        <v>113</v>
      </c>
      <c r="D70305" s="0" t="s">
        <v>113</v>
      </c>
      <c r="E70305" s="0" t="s">
        <v>113</v>
      </c>
      <c r="F70305" s="0" t="s">
        <v>113</v>
      </c>
    </row>
    <row r="70307" customFormat="false" ht="12.8" hidden="false" customHeight="false" outlineLevel="0" collapsed="false">
      <c r="A70307" s="0" t="s">
        <v>23843</v>
      </c>
      <c r="B70307" s="0" t="str">
        <f aca="false">HYPERLINK("https://lindat.mff.cuni.cz/services/teitok/pdtc10/index.php?action=vallex&amp;frame=v-w12324_MMf1_MM", "změknout (v-w12324_MMf1_MM)")</f>
        <v>změknout (v-w12324_MMf1_MM)</v>
      </c>
    </row>
    <row r="70308" customFormat="false" ht="12.8" hidden="false" customHeight="false" outlineLevel="0" collapsed="false">
      <c r="B70308" s="0" t="s">
        <v>7</v>
      </c>
    </row>
    <row r="70310" customFormat="false" ht="12.8" hidden="false" customHeight="false" outlineLevel="0" collapsed="false">
      <c r="A70310" s="0" t="s">
        <v>23844</v>
      </c>
      <c r="B70310" s="0" t="str">
        <f aca="false">HYPERLINK("https://lindat.mff.cuni.cz/services/teitok/pdtc10/index.php?action=vallex&amp;frame=v-w9611f1", "změkčit (v-w9611f1)")</f>
        <v>změkčit (v-w9611f1)</v>
      </c>
    </row>
    <row r="70311" customFormat="false" ht="12.8" hidden="false" customHeight="false" outlineLevel="0" collapsed="false">
      <c r="B70311" s="0" t="s">
        <v>7</v>
      </c>
    </row>
    <row r="70312" customFormat="false" ht="12.8" hidden="false" customHeight="false" outlineLevel="0" collapsed="false">
      <c r="B70312" s="0" t="s">
        <v>14</v>
      </c>
    </row>
    <row r="70313" customFormat="false" ht="12.8" hidden="false" customHeight="false" outlineLevel="0" collapsed="false">
      <c r="B70313" s="0" t="s">
        <v>35</v>
      </c>
    </row>
    <row r="70314" customFormat="false" ht="12.8" hidden="false" customHeight="false" outlineLevel="0" collapsed="false">
      <c r="B70314" s="0" t="s">
        <v>4831</v>
      </c>
    </row>
    <row r="70316" customFormat="false" ht="12.8" hidden="false" customHeight="false" outlineLevel="0" collapsed="false">
      <c r="A70316" s="0" t="s">
        <v>23845</v>
      </c>
      <c r="B70316" s="0" t="str">
        <f aca="false">HYPERLINK("https://lindat.mff.cuni.cz/services/teitok/pdtc10/index.php?action=vallex&amp;frame=v-w9612f1", "změkčovat (v-w9612f1)")</f>
        <v>změkčovat (v-w9612f1)</v>
      </c>
    </row>
    <row r="70317" customFormat="false" ht="12.8" hidden="false" customHeight="false" outlineLevel="0" collapsed="false">
      <c r="B70317" s="0" t="s">
        <v>7</v>
      </c>
    </row>
    <row r="70318" customFormat="false" ht="12.8" hidden="false" customHeight="false" outlineLevel="0" collapsed="false">
      <c r="B70318" s="0" t="s">
        <v>14</v>
      </c>
    </row>
    <row r="70320" customFormat="false" ht="12.8" hidden="false" customHeight="false" outlineLevel="0" collapsed="false">
      <c r="A70320" s="0" t="s">
        <v>23846</v>
      </c>
      <c r="B70320" s="0" t="str">
        <f aca="false">HYPERLINK("https://lindat.mff.cuni.cz/services/teitok/pdtc10/index.php?action=vallex&amp;frame=v-w9615f1", "změnit (v-w9615f1)")</f>
        <v>změnit (v-w9615f1)</v>
      </c>
    </row>
    <row r="70321" customFormat="false" ht="12.8" hidden="false" customHeight="false" outlineLevel="0" collapsed="false">
      <c r="B70321" s="0" t="s">
        <v>7</v>
      </c>
      <c r="C70321" s="0" t="s">
        <v>23847</v>
      </c>
      <c r="D70321" s="0" t="s">
        <v>32</v>
      </c>
      <c r="E70321" s="0" t="s">
        <v>32</v>
      </c>
      <c r="F70321" s="0" t="s">
        <v>32</v>
      </c>
    </row>
    <row r="70322" customFormat="false" ht="12.8" hidden="false" customHeight="false" outlineLevel="0" collapsed="false">
      <c r="B70322" s="0" t="s">
        <v>14</v>
      </c>
      <c r="C70322" s="0" t="s">
        <v>23848</v>
      </c>
      <c r="D70322" s="0" t="s">
        <v>34</v>
      </c>
      <c r="E70322" s="0" t="s">
        <v>34</v>
      </c>
      <c r="F70322" s="0" t="s">
        <v>34</v>
      </c>
    </row>
    <row r="70323" customFormat="false" ht="12.8" hidden="false" customHeight="false" outlineLevel="0" collapsed="false">
      <c r="B70323" s="0" t="s">
        <v>35</v>
      </c>
      <c r="C70323" s="0" t="s">
        <v>23849</v>
      </c>
      <c r="D70323" s="0" t="s">
        <v>36</v>
      </c>
      <c r="E70323" s="0" t="s">
        <v>36</v>
      </c>
      <c r="F70323" s="0" t="s">
        <v>36</v>
      </c>
    </row>
    <row r="70324" customFormat="false" ht="12.8" hidden="false" customHeight="false" outlineLevel="0" collapsed="false">
      <c r="B70324" s="0" t="s">
        <v>4831</v>
      </c>
      <c r="C70324" s="0" t="s">
        <v>23850</v>
      </c>
      <c r="D70324" s="0" t="s">
        <v>39</v>
      </c>
      <c r="E70324" s="0" t="s">
        <v>39</v>
      </c>
      <c r="F70324" s="0" t="s">
        <v>39</v>
      </c>
    </row>
    <row r="70326" customFormat="false" ht="12.8" hidden="false" customHeight="false" outlineLevel="0" collapsed="false">
      <c r="A70326" s="0" t="s">
        <v>23851</v>
      </c>
      <c r="B70326" s="0" t="str">
        <f aca="false">HYPERLINK("https://lindat.mff.cuni.cz/services/teitok/pdtc10/index.php?action=vallex&amp;frame=v-w9615f3", "změnit (v-w9615f3)")</f>
        <v>změnit (v-w9615f3)</v>
      </c>
    </row>
    <row r="70327" customFormat="false" ht="12.8" hidden="false" customHeight="false" outlineLevel="0" collapsed="false">
      <c r="B70327" s="0" t="s">
        <v>7</v>
      </c>
    </row>
    <row r="70328" customFormat="false" ht="12.8" hidden="false" customHeight="false" outlineLevel="0" collapsed="false">
      <c r="B70328" s="0" t="s">
        <v>14</v>
      </c>
    </row>
    <row r="70329" customFormat="false" ht="12.8" hidden="false" customHeight="false" outlineLevel="0" collapsed="false">
      <c r="B70329" s="0" t="s">
        <v>586</v>
      </c>
    </row>
    <row r="70331" customFormat="false" ht="12.8" hidden="false" customHeight="false" outlineLevel="0" collapsed="false">
      <c r="A70331" s="0" t="s">
        <v>23852</v>
      </c>
      <c r="B70331" s="0" t="str">
        <f aca="false">HYPERLINK("https://lindat.mff.cuni.cz/services/teitok/pdtc10/index.php?action=vallex&amp;frame=v-w9615f4_ZU", "změnit (v-w9615f4_ZU)")</f>
        <v>změnit (v-w9615f4_ZU)</v>
      </c>
    </row>
    <row r="70332" customFormat="false" ht="12.8" hidden="false" customHeight="false" outlineLevel="0" collapsed="false">
      <c r="B70332" s="0" t="s">
        <v>7</v>
      </c>
      <c r="C70332" s="0" t="s">
        <v>7215</v>
      </c>
    </row>
    <row r="70333" customFormat="false" ht="12.8" hidden="false" customHeight="false" outlineLevel="0" collapsed="false">
      <c r="B70333" s="0" t="s">
        <v>14</v>
      </c>
      <c r="C70333" s="0" t="s">
        <v>1620</v>
      </c>
    </row>
    <row r="70334" customFormat="false" ht="12.8" hidden="false" customHeight="false" outlineLevel="0" collapsed="false">
      <c r="B70334" s="0" t="s">
        <v>550</v>
      </c>
    </row>
    <row r="70336" customFormat="false" ht="12.8" hidden="false" customHeight="false" outlineLevel="0" collapsed="false">
      <c r="A70336" s="0" t="s">
        <v>23853</v>
      </c>
      <c r="B70336" s="0" t="str">
        <f aca="false">HYPERLINK("https://lindat.mff.cuni.cz/services/teitok/pdtc10/index.php?action=vallex&amp;frame=v-w9615f2", "změnit (v-w9615f2)")</f>
        <v>změnit (v-w9615f2)</v>
      </c>
    </row>
    <row r="70337" customFormat="false" ht="12.8" hidden="false" customHeight="false" outlineLevel="0" collapsed="false">
      <c r="B70337" s="0" t="s">
        <v>7</v>
      </c>
    </row>
    <row r="70338" customFormat="false" ht="12.8" hidden="false" customHeight="false" outlineLevel="0" collapsed="false">
      <c r="B70338" s="0" t="s">
        <v>23854</v>
      </c>
    </row>
    <row r="70339" customFormat="false" ht="12.8" hidden="false" customHeight="false" outlineLevel="0" collapsed="false">
      <c r="B70339" s="0" t="s">
        <v>14</v>
      </c>
    </row>
    <row r="70341" customFormat="false" ht="12.8" hidden="false" customHeight="false" outlineLevel="0" collapsed="false">
      <c r="A70341" s="0" t="s">
        <v>23855</v>
      </c>
      <c r="B70341" s="0" t="str">
        <f aca="false">HYPERLINK("https://lindat.mff.cuni.cz/services/teitok/pdtc10/index.php?action=vallex&amp;frame=v-w9615f5_ZU", "změnit (v-w9615f5_ZU)")</f>
        <v>změnit (v-w9615f5_ZU)</v>
      </c>
    </row>
    <row r="70342" customFormat="false" ht="12.8" hidden="false" customHeight="false" outlineLevel="0" collapsed="false">
      <c r="B70342" s="0" t="s">
        <v>7</v>
      </c>
    </row>
    <row r="70343" customFormat="false" ht="12.8" hidden="false" customHeight="false" outlineLevel="0" collapsed="false">
      <c r="B70343" s="0" t="s">
        <v>23856</v>
      </c>
    </row>
    <row r="70344" customFormat="false" ht="12.8" hidden="false" customHeight="false" outlineLevel="0" collapsed="false">
      <c r="B70344" s="0" t="s">
        <v>14</v>
      </c>
    </row>
    <row r="70346" customFormat="false" ht="12.8" hidden="false" customHeight="false" outlineLevel="0" collapsed="false">
      <c r="A70346" s="0" t="s">
        <v>23855</v>
      </c>
      <c r="B70346" s="0" t="str">
        <f aca="false">HYPERLINK("https://lindat.mff.cuni.cz/services/teitok/pdtc10/index.php?action=vallex&amp;frame=v-w9615hsa_1646", "změnit (v-w9615hsa_1646) - substituted with v-w9615f5_ZU")</f>
        <v>změnit (v-w9615hsa_1646) - substituted with v-w9615f5_ZU</v>
      </c>
    </row>
    <row r="70347" customFormat="false" ht="12.8" hidden="false" customHeight="false" outlineLevel="0" collapsed="false">
      <c r="B70347" s="0" t="s">
        <v>7</v>
      </c>
    </row>
    <row r="70348" customFormat="false" ht="12.8" hidden="false" customHeight="false" outlineLevel="0" collapsed="false">
      <c r="B70348" s="0" t="s">
        <v>23856</v>
      </c>
    </row>
    <row r="70349" customFormat="false" ht="12.8" hidden="false" customHeight="false" outlineLevel="0" collapsed="false">
      <c r="B70349" s="0" t="s">
        <v>14</v>
      </c>
    </row>
    <row r="70351" customFormat="false" ht="12.8" hidden="false" customHeight="false" outlineLevel="0" collapsed="false">
      <c r="A70351" s="0" t="s">
        <v>23857</v>
      </c>
      <c r="B70351" s="0" t="str">
        <f aca="false">HYPERLINK("https://lindat.mff.cuni.cz/services/teitok/pdtc10/index.php?action=vallex&amp;frame=v-w9616f1", "změnit se (v-w9616f1)")</f>
        <v>změnit se (v-w9616f1)</v>
      </c>
    </row>
    <row r="70352" customFormat="false" ht="12.8" hidden="false" customHeight="false" outlineLevel="0" collapsed="false">
      <c r="B70352" s="0" t="s">
        <v>7</v>
      </c>
      <c r="C70352" s="0" t="s">
        <v>23858</v>
      </c>
      <c r="D70352" s="0" t="s">
        <v>6207</v>
      </c>
      <c r="E70352" s="0" t="s">
        <v>6207</v>
      </c>
      <c r="F70352" s="0" t="s">
        <v>6208</v>
      </c>
    </row>
    <row r="70353" customFormat="false" ht="12.8" hidden="false" customHeight="false" outlineLevel="0" collapsed="false">
      <c r="B70353" s="0" t="s">
        <v>13030</v>
      </c>
      <c r="C70353" s="0" t="s">
        <v>23859</v>
      </c>
      <c r="D70353" s="0" t="s">
        <v>6211</v>
      </c>
      <c r="E70353" s="0" t="s">
        <v>6211</v>
      </c>
      <c r="F70353" s="0" t="s">
        <v>6212</v>
      </c>
    </row>
    <row r="70354" customFormat="false" ht="12.8" hidden="false" customHeight="false" outlineLevel="0" collapsed="false">
      <c r="B70354" s="0" t="s">
        <v>35</v>
      </c>
      <c r="C70354" s="0" t="s">
        <v>23860</v>
      </c>
      <c r="D70354" s="0" t="s">
        <v>6214</v>
      </c>
      <c r="E70354" s="0" t="s">
        <v>6214</v>
      </c>
      <c r="F70354" s="0" t="s">
        <v>6215</v>
      </c>
    </row>
    <row r="70356" customFormat="false" ht="12.8" hidden="false" customHeight="false" outlineLevel="0" collapsed="false">
      <c r="A70356" s="0" t="s">
        <v>23861</v>
      </c>
      <c r="B70356" s="0" t="str">
        <f aca="false">HYPERLINK("https://lindat.mff.cuni.cz/services/teitok/pdtc10/index.php?action=vallex&amp;frame=v-w9623f2", "změřit (v-w9623f2)")</f>
        <v>změřit (v-w9623f2)</v>
      </c>
    </row>
    <row r="70357" customFormat="false" ht="12.8" hidden="false" customHeight="false" outlineLevel="0" collapsed="false">
      <c r="B70357" s="0" t="s">
        <v>7</v>
      </c>
    </row>
    <row r="70358" customFormat="false" ht="12.8" hidden="false" customHeight="false" outlineLevel="0" collapsed="false">
      <c r="B70358" s="0" t="s">
        <v>14</v>
      </c>
    </row>
    <row r="70359" customFormat="false" ht="12.8" hidden="false" customHeight="false" outlineLevel="0" collapsed="false">
      <c r="B70359" s="0" t="s">
        <v>3086</v>
      </c>
    </row>
    <row r="70361" customFormat="false" ht="12.8" hidden="false" customHeight="false" outlineLevel="0" collapsed="false">
      <c r="A70361" s="0" t="s">
        <v>23862</v>
      </c>
      <c r="B70361" s="0" t="str">
        <f aca="false">HYPERLINK("https://lindat.mff.cuni.cz/services/teitok/pdtc10/index.php?action=vallex&amp;frame=v-w9623f1", "změřit (v-w9623f1)")</f>
        <v>změřit (v-w9623f1)</v>
      </c>
    </row>
    <row r="70362" customFormat="false" ht="12.8" hidden="false" customHeight="false" outlineLevel="0" collapsed="false">
      <c r="B70362" s="0" t="s">
        <v>7</v>
      </c>
      <c r="C70362" s="0" t="s">
        <v>10511</v>
      </c>
      <c r="D70362" s="0" t="s">
        <v>6222</v>
      </c>
      <c r="E70362" s="0" t="s">
        <v>6222</v>
      </c>
      <c r="F70362" s="0" t="s">
        <v>6222</v>
      </c>
    </row>
    <row r="70363" customFormat="false" ht="12.8" hidden="false" customHeight="false" outlineLevel="0" collapsed="false">
      <c r="B70363" s="0" t="s">
        <v>14</v>
      </c>
      <c r="C70363" s="0" t="s">
        <v>152</v>
      </c>
      <c r="D70363" s="0" t="s">
        <v>342</v>
      </c>
      <c r="E70363" s="0" t="s">
        <v>342</v>
      </c>
      <c r="F70363" s="0" t="s">
        <v>342</v>
      </c>
    </row>
    <row r="70365" customFormat="false" ht="12.8" hidden="false" customHeight="false" outlineLevel="0" collapsed="false">
      <c r="A70365" s="0" t="s">
        <v>23863</v>
      </c>
      <c r="B70365" s="0" t="str">
        <f aca="false">HYPERLINK("https://lindat.mff.cuni.cz/services/teitok/pdtc10/index.php?action=vallex&amp;frame=v-w9661f1", "znamenat (v-w9661f1)")</f>
        <v>znamenat (v-w9661f1)</v>
      </c>
    </row>
    <row r="70366" customFormat="false" ht="12.8" hidden="false" customHeight="false" outlineLevel="0" collapsed="false">
      <c r="B70366" s="0" t="s">
        <v>632</v>
      </c>
      <c r="C70366" s="0" t="s">
        <v>23864</v>
      </c>
      <c r="D70366" s="0" t="s">
        <v>7712</v>
      </c>
      <c r="E70366" s="0" t="s">
        <v>7712</v>
      </c>
      <c r="F70366" s="0" t="s">
        <v>7712</v>
      </c>
    </row>
    <row r="70367" customFormat="false" ht="12.8" hidden="false" customHeight="false" outlineLevel="0" collapsed="false">
      <c r="B70367" s="0" t="s">
        <v>23865</v>
      </c>
      <c r="C70367" s="0" t="s">
        <v>23866</v>
      </c>
      <c r="D70367" s="0" t="s">
        <v>2033</v>
      </c>
      <c r="E70367" s="0" t="s">
        <v>2033</v>
      </c>
      <c r="F70367" s="0" t="s">
        <v>2033</v>
      </c>
    </row>
    <row r="70369" customFormat="false" ht="12.8" hidden="false" customHeight="false" outlineLevel="0" collapsed="false">
      <c r="A70369" s="0" t="s">
        <v>23867</v>
      </c>
      <c r="B70369" s="0" t="str">
        <f aca="false">HYPERLINK("https://lindat.mff.cuni.cz/services/teitok/pdtc10/index.php?action=vallex&amp;frame=v-w9661f2", "znamenat (v-w9661f2)")</f>
        <v>znamenat (v-w9661f2)</v>
      </c>
    </row>
    <row r="70370" customFormat="false" ht="12.8" hidden="false" customHeight="false" outlineLevel="0" collapsed="false">
      <c r="B70370" s="0" t="s">
        <v>7</v>
      </c>
    </row>
    <row r="70371" customFormat="false" ht="12.8" hidden="false" customHeight="false" outlineLevel="0" collapsed="false">
      <c r="B70371" s="0" t="s">
        <v>6431</v>
      </c>
    </row>
    <row r="70372" customFormat="false" ht="12.8" hidden="false" customHeight="false" outlineLevel="0" collapsed="false">
      <c r="B70372" s="0" t="s">
        <v>363</v>
      </c>
    </row>
    <row r="70373" customFormat="false" ht="12.8" hidden="false" customHeight="false" outlineLevel="0" collapsed="false">
      <c r="B70373" s="0" t="s">
        <v>106</v>
      </c>
    </row>
    <row r="70375" customFormat="false" ht="12.8" hidden="false" customHeight="false" outlineLevel="0" collapsed="false">
      <c r="A70375" s="0" t="s">
        <v>23868</v>
      </c>
      <c r="B70375" s="0" t="str">
        <f aca="false">HYPERLINK("https://lindat.mff.cuni.cz/services/teitok/pdtc10/index.php?action=vallex&amp;frame=v-w10951f3", "značit (v-w10951f3)")</f>
        <v>značit (v-w10951f3)</v>
      </c>
    </row>
    <row r="70376" customFormat="false" ht="12.8" hidden="false" customHeight="false" outlineLevel="0" collapsed="false">
      <c r="B70376" s="0" t="s">
        <v>632</v>
      </c>
      <c r="C70376" s="0" t="s">
        <v>23869</v>
      </c>
      <c r="D70376" s="0" t="s">
        <v>4179</v>
      </c>
      <c r="E70376" s="0" t="s">
        <v>4179</v>
      </c>
      <c r="F70376" s="0" t="s">
        <v>4179</v>
      </c>
    </row>
    <row r="70377" customFormat="false" ht="12.8" hidden="false" customHeight="false" outlineLevel="0" collapsed="false">
      <c r="B70377" s="0" t="s">
        <v>23865</v>
      </c>
      <c r="C70377" s="0" t="s">
        <v>23870</v>
      </c>
      <c r="D70377" s="0" t="s">
        <v>4181</v>
      </c>
      <c r="E70377" s="0" t="s">
        <v>4181</v>
      </c>
      <c r="F70377" s="0" t="s">
        <v>4181</v>
      </c>
    </row>
    <row r="70379" customFormat="false" ht="12.8" hidden="false" customHeight="false" outlineLevel="0" collapsed="false">
      <c r="A70379" s="0" t="s">
        <v>23871</v>
      </c>
      <c r="B70379" s="0" t="str">
        <f aca="false">HYPERLINK("https://lindat.mff.cuni.cz/services/teitok/pdtc10/index.php?action=vallex&amp;frame=v-w10951f4", "značit (v-w10951f4)")</f>
        <v>značit (v-w10951f4)</v>
      </c>
    </row>
    <row r="70380" customFormat="false" ht="12.8" hidden="false" customHeight="false" outlineLevel="0" collapsed="false">
      <c r="B70380" s="0" t="s">
        <v>7</v>
      </c>
      <c r="D70380" s="0" t="s">
        <v>46</v>
      </c>
      <c r="E70380" s="0" t="s">
        <v>46</v>
      </c>
      <c r="F70380" s="0" t="s">
        <v>46</v>
      </c>
    </row>
    <row r="70381" customFormat="false" ht="12.8" hidden="false" customHeight="false" outlineLevel="0" collapsed="false">
      <c r="B70381" s="0" t="s">
        <v>14</v>
      </c>
      <c r="D70381" s="0" t="s">
        <v>6903</v>
      </c>
      <c r="E70381" s="0" t="s">
        <v>6903</v>
      </c>
      <c r="F70381" s="0" t="s">
        <v>6903</v>
      </c>
    </row>
    <row r="70383" customFormat="false" ht="12.8" hidden="false" customHeight="false" outlineLevel="0" collapsed="false">
      <c r="A70383" s="0" t="s">
        <v>23872</v>
      </c>
      <c r="B70383" s="0" t="str">
        <f aca="false">HYPERLINK("https://lindat.mff.cuni.cz/services/teitok/pdtc10/index.php?action=vallex&amp;frame=v-w9690f1", "znechucovat (v-w9690f1)")</f>
        <v>znechucovat (v-w9690f1)</v>
      </c>
    </row>
    <row r="70384" customFormat="false" ht="12.8" hidden="false" customHeight="false" outlineLevel="0" collapsed="false">
      <c r="B70384" s="0" t="s">
        <v>7</v>
      </c>
      <c r="D70384" s="0" t="s">
        <v>3710</v>
      </c>
      <c r="E70384" s="0" t="s">
        <v>3711</v>
      </c>
      <c r="F70384" s="0" t="s">
        <v>3711</v>
      </c>
    </row>
    <row r="70385" customFormat="false" ht="12.8" hidden="false" customHeight="false" outlineLevel="0" collapsed="false">
      <c r="B70385" s="0" t="s">
        <v>14</v>
      </c>
      <c r="D70385" s="0" t="s">
        <v>3712</v>
      </c>
      <c r="E70385" s="0" t="s">
        <v>461</v>
      </c>
      <c r="F70385" s="0" t="s">
        <v>461</v>
      </c>
    </row>
    <row r="70387" customFormat="false" ht="12.8" hidden="false" customHeight="false" outlineLevel="0" collapsed="false">
      <c r="A70387" s="0" t="s">
        <v>23873</v>
      </c>
      <c r="B70387" s="0" t="str">
        <f aca="false">HYPERLINK("https://lindat.mff.cuni.cz/services/teitok/pdtc10/index.php?action=vallex&amp;frame=v-w9691f1", "znechutit (v-w9691f1)")</f>
        <v>znechutit (v-w9691f1)</v>
      </c>
    </row>
    <row r="70388" customFormat="false" ht="12.8" hidden="false" customHeight="false" outlineLevel="0" collapsed="false">
      <c r="B70388" s="0" t="s">
        <v>7</v>
      </c>
      <c r="C70388" s="0" t="s">
        <v>3711</v>
      </c>
      <c r="D70388" s="0" t="s">
        <v>3710</v>
      </c>
      <c r="E70388" s="0" t="s">
        <v>3711</v>
      </c>
      <c r="F70388" s="0" t="s">
        <v>3711</v>
      </c>
    </row>
    <row r="70389" customFormat="false" ht="12.8" hidden="false" customHeight="false" outlineLevel="0" collapsed="false">
      <c r="B70389" s="0" t="s">
        <v>14</v>
      </c>
      <c r="C70389" s="0" t="s">
        <v>23874</v>
      </c>
      <c r="D70389" s="0" t="s">
        <v>3712</v>
      </c>
      <c r="E70389" s="0" t="s">
        <v>461</v>
      </c>
      <c r="F70389" s="0" t="s">
        <v>461</v>
      </c>
    </row>
    <row r="70391" customFormat="false" ht="12.8" hidden="false" customHeight="false" outlineLevel="0" collapsed="false">
      <c r="A70391" s="0" t="s">
        <v>23875</v>
      </c>
      <c r="B70391" s="0" t="str">
        <f aca="false">HYPERLINK("https://lindat.mff.cuni.cz/services/teitok/pdtc10/index.php?action=vallex&amp;frame=v-whsa_383hsa_384", "znegovat (v-whsa_383hsa_384)")</f>
        <v>znegovat (v-whsa_383hsa_384)</v>
      </c>
    </row>
    <row r="70392" customFormat="false" ht="12.8" hidden="false" customHeight="false" outlineLevel="0" collapsed="false">
      <c r="B70392" s="0" t="s">
        <v>7</v>
      </c>
      <c r="D70392" s="0" t="s">
        <v>149</v>
      </c>
      <c r="E70392" s="0" t="s">
        <v>149</v>
      </c>
      <c r="F70392" s="0" t="s">
        <v>149</v>
      </c>
    </row>
    <row r="70393" customFormat="false" ht="12.8" hidden="false" customHeight="false" outlineLevel="0" collapsed="false">
      <c r="B70393" s="0" t="s">
        <v>14</v>
      </c>
      <c r="C70393" s="0" t="s">
        <v>155</v>
      </c>
      <c r="D70393" s="0" t="s">
        <v>159</v>
      </c>
      <c r="E70393" s="0" t="s">
        <v>159</v>
      </c>
      <c r="F70393" s="0" t="s">
        <v>159</v>
      </c>
    </row>
    <row r="70395" customFormat="false" ht="12.8" hidden="false" customHeight="false" outlineLevel="0" collapsed="false">
      <c r="A70395" s="0" t="s">
        <v>23876</v>
      </c>
      <c r="B70395" s="0" t="str">
        <f aca="false">HYPERLINK("https://lindat.mff.cuni.cz/services/teitok/pdtc10/index.php?action=vallex&amp;frame=v-w9687f1", "znehodnocovat (v-w9687f1)")</f>
        <v>znehodnocovat (v-w9687f1)</v>
      </c>
    </row>
    <row r="70396" customFormat="false" ht="12.8" hidden="false" customHeight="false" outlineLevel="0" collapsed="false">
      <c r="B70396" s="0" t="s">
        <v>7</v>
      </c>
      <c r="C70396" s="0" t="s">
        <v>191</v>
      </c>
      <c r="D70396" s="0" t="s">
        <v>23877</v>
      </c>
      <c r="E70396" s="0" t="s">
        <v>23878</v>
      </c>
      <c r="F70396" s="0" t="s">
        <v>23878</v>
      </c>
    </row>
    <row r="70397" customFormat="false" ht="12.8" hidden="false" customHeight="false" outlineLevel="0" collapsed="false">
      <c r="B70397" s="0" t="s">
        <v>14</v>
      </c>
      <c r="C70397" s="0" t="s">
        <v>155</v>
      </c>
      <c r="D70397" s="0" t="s">
        <v>22733</v>
      </c>
      <c r="E70397" s="0" t="s">
        <v>12227</v>
      </c>
      <c r="F70397" s="0" t="s">
        <v>12227</v>
      </c>
    </row>
    <row r="70399" customFormat="false" ht="12.8" hidden="false" customHeight="false" outlineLevel="0" collapsed="false">
      <c r="A70399" s="0" t="s">
        <v>23879</v>
      </c>
      <c r="B70399" s="0" t="str">
        <f aca="false">HYPERLINK("https://lindat.mff.cuni.cz/services/teitok/pdtc10/index.php?action=vallex&amp;frame=v-w9688f1", "znehodnotit (v-w9688f1)")</f>
        <v>znehodnotit (v-w9688f1)</v>
      </c>
    </row>
    <row r="70400" customFormat="false" ht="12.8" hidden="false" customHeight="false" outlineLevel="0" collapsed="false">
      <c r="B70400" s="0" t="s">
        <v>7</v>
      </c>
      <c r="C70400" s="0" t="s">
        <v>191</v>
      </c>
      <c r="D70400" s="0" t="s">
        <v>335</v>
      </c>
      <c r="E70400" s="0" t="s">
        <v>335</v>
      </c>
      <c r="F70400" s="0" t="s">
        <v>335</v>
      </c>
    </row>
    <row r="70401" customFormat="false" ht="12.8" hidden="false" customHeight="false" outlineLevel="0" collapsed="false">
      <c r="B70401" s="0" t="s">
        <v>14</v>
      </c>
      <c r="C70401" s="0" t="s">
        <v>115</v>
      </c>
      <c r="D70401" s="0" t="s">
        <v>33</v>
      </c>
      <c r="E70401" s="0" t="s">
        <v>33</v>
      </c>
      <c r="F70401" s="0" t="s">
        <v>33</v>
      </c>
    </row>
    <row r="70403" customFormat="false" ht="12.8" hidden="false" customHeight="false" outlineLevel="0" collapsed="false">
      <c r="A70403" s="0" t="s">
        <v>23880</v>
      </c>
      <c r="B70403" s="0" t="str">
        <f aca="false">HYPERLINK("https://lindat.mff.cuni.cz/services/teitok/pdtc10/index.php?action=vallex&amp;frame=v-w9688f2", "znehodnotit (v-w9688f2)")</f>
        <v>znehodnotit (v-w9688f2)</v>
      </c>
    </row>
    <row r="70404" customFormat="false" ht="12.8" hidden="false" customHeight="false" outlineLevel="0" collapsed="false">
      <c r="B70404" s="0" t="s">
        <v>7</v>
      </c>
      <c r="C70404" s="0" t="s">
        <v>623</v>
      </c>
    </row>
    <row r="70405" customFormat="false" ht="12.8" hidden="false" customHeight="false" outlineLevel="0" collapsed="false">
      <c r="B70405" s="0" t="s">
        <v>14</v>
      </c>
      <c r="C70405" s="0" t="s">
        <v>1315</v>
      </c>
    </row>
    <row r="70407" customFormat="false" ht="12.8" hidden="false" customHeight="false" outlineLevel="0" collapsed="false">
      <c r="A70407" s="0" t="s">
        <v>23881</v>
      </c>
      <c r="B70407" s="0" t="str">
        <f aca="false">HYPERLINK("https://lindat.mff.cuni.cz/services/teitok/pdtc10/index.php?action=vallex&amp;frame=v-w9689f1", "znehodnotit se (v-w9689f1)")</f>
        <v>znehodnotit se (v-w9689f1)</v>
      </c>
    </row>
    <row r="70408" customFormat="false" ht="12.8" hidden="false" customHeight="false" outlineLevel="0" collapsed="false">
      <c r="B70408" s="0" t="s">
        <v>7</v>
      </c>
    </row>
    <row r="70410" customFormat="false" ht="12.8" hidden="false" customHeight="false" outlineLevel="0" collapsed="false">
      <c r="A70410" s="0" t="s">
        <v>23882</v>
      </c>
      <c r="B70410" s="0" t="str">
        <f aca="false">HYPERLINK("https://lindat.mff.cuni.cz/services/teitok/pdtc10/index.php?action=vallex&amp;frame=v-w9693f1", "znejistit (v-w9693f1)")</f>
        <v>znejistit (v-w9693f1)</v>
      </c>
    </row>
    <row r="70411" customFormat="false" ht="12.8" hidden="false" customHeight="false" outlineLevel="0" collapsed="false">
      <c r="B70411" s="0" t="s">
        <v>7</v>
      </c>
      <c r="C70411" s="0" t="s">
        <v>113</v>
      </c>
      <c r="D70411" s="0" t="s">
        <v>23883</v>
      </c>
      <c r="E70411" s="0" t="s">
        <v>23883</v>
      </c>
      <c r="F70411" s="0" t="s">
        <v>23883</v>
      </c>
    </row>
    <row r="70412" customFormat="false" ht="12.8" hidden="false" customHeight="false" outlineLevel="0" collapsed="false">
      <c r="B70412" s="0" t="s">
        <v>14</v>
      </c>
      <c r="C70412" s="0" t="s">
        <v>33</v>
      </c>
      <c r="D70412" s="0" t="s">
        <v>23884</v>
      </c>
      <c r="E70412" s="0" t="s">
        <v>23884</v>
      </c>
      <c r="F70412" s="0" t="s">
        <v>23884</v>
      </c>
    </row>
    <row r="70414" customFormat="false" ht="12.8" hidden="false" customHeight="false" outlineLevel="0" collapsed="false">
      <c r="A70414" s="0" t="s">
        <v>23885</v>
      </c>
      <c r="B70414" s="0" t="str">
        <f aca="false">HYPERLINK("https://lindat.mff.cuni.cz/services/teitok/pdtc10/index.php?action=vallex&amp;frame=v-w9692f2", "znejistět (v-w9692f2)")</f>
        <v>znejistět (v-w9692f2)</v>
      </c>
    </row>
    <row r="70415" customFormat="false" ht="12.8" hidden="false" customHeight="false" outlineLevel="0" collapsed="false">
      <c r="B70415" s="0" t="s">
        <v>7</v>
      </c>
      <c r="C70415" s="0" t="s">
        <v>191</v>
      </c>
      <c r="D70415" s="0" t="s">
        <v>23883</v>
      </c>
      <c r="E70415" s="0" t="s">
        <v>23883</v>
      </c>
      <c r="F70415" s="0" t="s">
        <v>23883</v>
      </c>
    </row>
    <row r="70416" customFormat="false" ht="12.8" hidden="false" customHeight="false" outlineLevel="0" collapsed="false">
      <c r="B70416" s="0" t="s">
        <v>14</v>
      </c>
      <c r="C70416" s="0" t="s">
        <v>567</v>
      </c>
      <c r="D70416" s="0" t="s">
        <v>23884</v>
      </c>
      <c r="E70416" s="0" t="s">
        <v>23884</v>
      </c>
      <c r="F70416" s="0" t="s">
        <v>23884</v>
      </c>
    </row>
    <row r="70418" customFormat="false" ht="12.8" hidden="false" customHeight="false" outlineLevel="0" collapsed="false">
      <c r="A70418" s="0" t="s">
        <v>23886</v>
      </c>
      <c r="B70418" s="0" t="str">
        <f aca="false">HYPERLINK("https://lindat.mff.cuni.cz/services/teitok/pdtc10/index.php?action=vallex&amp;frame=v-w9692f1", "znejistět (v-w9692f1)")</f>
        <v>znejistět (v-w9692f1)</v>
      </c>
    </row>
    <row r="70419" customFormat="false" ht="12.8" hidden="false" customHeight="false" outlineLevel="0" collapsed="false">
      <c r="B70419" s="0" t="s">
        <v>7</v>
      </c>
      <c r="C70419" s="0" t="s">
        <v>5375</v>
      </c>
      <c r="F70419" s="0" t="s">
        <v>21511</v>
      </c>
    </row>
    <row r="70421" customFormat="false" ht="12.8" hidden="false" customHeight="false" outlineLevel="0" collapsed="false">
      <c r="A70421" s="0" t="s">
        <v>23887</v>
      </c>
      <c r="B70421" s="0" t="str">
        <f aca="false">HYPERLINK("https://lindat.mff.cuni.cz/services/teitok/pdtc10/index.php?action=vallex&amp;frame=v-w9694f1", "zneklidnit (v-w9694f1)")</f>
        <v>zneklidnit (v-w9694f1)</v>
      </c>
    </row>
    <row r="70422" customFormat="false" ht="12.8" hidden="false" customHeight="false" outlineLevel="0" collapsed="false">
      <c r="B70422" s="0" t="s">
        <v>7</v>
      </c>
      <c r="C70422" s="0" t="s">
        <v>460</v>
      </c>
      <c r="D70422" s="0" t="s">
        <v>23883</v>
      </c>
      <c r="E70422" s="0" t="s">
        <v>23883</v>
      </c>
      <c r="F70422" s="0" t="s">
        <v>23883</v>
      </c>
    </row>
    <row r="70423" customFormat="false" ht="12.8" hidden="false" customHeight="false" outlineLevel="0" collapsed="false">
      <c r="B70423" s="0" t="s">
        <v>14</v>
      </c>
      <c r="C70423" s="0" t="s">
        <v>23888</v>
      </c>
      <c r="D70423" s="0" t="s">
        <v>23884</v>
      </c>
      <c r="E70423" s="0" t="s">
        <v>23884</v>
      </c>
      <c r="F70423" s="0" t="s">
        <v>23884</v>
      </c>
    </row>
    <row r="70425" customFormat="false" ht="12.8" hidden="false" customHeight="false" outlineLevel="0" collapsed="false">
      <c r="A70425" s="0" t="s">
        <v>23889</v>
      </c>
      <c r="B70425" s="0" t="str">
        <f aca="false">HYPERLINK("https://lindat.mff.cuni.cz/services/teitok/pdtc10/index.php?action=vallex&amp;frame=v-w10874f2", "zneklidnět (v-w10874f2)")</f>
        <v>zneklidnět (v-w10874f2)</v>
      </c>
    </row>
    <row r="70426" customFormat="false" ht="12.8" hidden="false" customHeight="false" outlineLevel="0" collapsed="false">
      <c r="B70426" s="0" t="s">
        <v>7</v>
      </c>
      <c r="F70426" s="0" t="s">
        <v>21511</v>
      </c>
    </row>
    <row r="70428" customFormat="false" ht="12.8" hidden="false" customHeight="false" outlineLevel="0" collapsed="false">
      <c r="A70428" s="0" t="s">
        <v>23890</v>
      </c>
      <c r="B70428" s="0" t="str">
        <f aca="false">HYPERLINK("https://lindat.mff.cuni.cz/services/teitok/pdtc10/index.php?action=vallex&amp;frame=v-w9695f1", "zneklidňovat (v-w9695f1)")</f>
        <v>zneklidňovat (v-w9695f1)</v>
      </c>
    </row>
    <row r="70429" customFormat="false" ht="12.8" hidden="false" customHeight="false" outlineLevel="0" collapsed="false">
      <c r="B70429" s="0" t="s">
        <v>7</v>
      </c>
      <c r="D70429" s="0" t="s">
        <v>23883</v>
      </c>
      <c r="E70429" s="0" t="s">
        <v>23883</v>
      </c>
      <c r="F70429" s="0" t="s">
        <v>23883</v>
      </c>
    </row>
    <row r="70430" customFormat="false" ht="12.8" hidden="false" customHeight="false" outlineLevel="0" collapsed="false">
      <c r="B70430" s="0" t="s">
        <v>14</v>
      </c>
      <c r="D70430" s="0" t="s">
        <v>23884</v>
      </c>
      <c r="E70430" s="0" t="s">
        <v>23884</v>
      </c>
      <c r="F70430" s="0" t="s">
        <v>23884</v>
      </c>
    </row>
    <row r="70432" customFormat="false" ht="12.8" hidden="false" customHeight="false" outlineLevel="0" collapsed="false">
      <c r="A70432" s="0" t="s">
        <v>23891</v>
      </c>
      <c r="B70432" s="0" t="str">
        <f aca="false">HYPERLINK("https://lindat.mff.cuni.cz/services/teitok/pdtc10/index.php?action=vallex&amp;frame=v-w9697f1", "znemožnit (v-w9697f1)")</f>
        <v>znemožnit (v-w9697f1)</v>
      </c>
    </row>
    <row r="70433" customFormat="false" ht="12.8" hidden="false" customHeight="false" outlineLevel="0" collapsed="false">
      <c r="B70433" s="0" t="s">
        <v>7</v>
      </c>
      <c r="C70433" s="0" t="s">
        <v>23892</v>
      </c>
      <c r="D70433" s="0" t="s">
        <v>252</v>
      </c>
      <c r="E70433" s="0" t="s">
        <v>253</v>
      </c>
      <c r="F70433" s="0" t="s">
        <v>253</v>
      </c>
    </row>
    <row r="70434" customFormat="false" ht="12.8" hidden="false" customHeight="false" outlineLevel="0" collapsed="false">
      <c r="B70434" s="0" t="s">
        <v>1394</v>
      </c>
      <c r="C70434" s="0" t="s">
        <v>23893</v>
      </c>
      <c r="D70434" s="0" t="s">
        <v>255</v>
      </c>
      <c r="E70434" s="0" t="s">
        <v>256</v>
      </c>
      <c r="F70434" s="0" t="s">
        <v>256</v>
      </c>
    </row>
    <row r="70435" customFormat="false" ht="12.8" hidden="false" customHeight="false" outlineLevel="0" collapsed="false">
      <c r="B70435" s="0" t="s">
        <v>106</v>
      </c>
      <c r="C70435" s="0" t="s">
        <v>23894</v>
      </c>
    </row>
    <row r="70437" customFormat="false" ht="12.8" hidden="false" customHeight="false" outlineLevel="0" collapsed="false">
      <c r="A70437" s="0" t="s">
        <v>23895</v>
      </c>
      <c r="B70437" s="0" t="str">
        <f aca="false">HYPERLINK("https://lindat.mff.cuni.cz/services/teitok/pdtc10/index.php?action=vallex&amp;frame=v-w9698f1", "znemožňovat (v-w9698f1)")</f>
        <v>znemožňovat (v-w9698f1)</v>
      </c>
    </row>
    <row r="70438" customFormat="false" ht="12.8" hidden="false" customHeight="false" outlineLevel="0" collapsed="false">
      <c r="B70438" s="0" t="s">
        <v>7</v>
      </c>
      <c r="C70438" s="0" t="s">
        <v>113</v>
      </c>
      <c r="D70438" s="0" t="s">
        <v>403</v>
      </c>
      <c r="E70438" s="0" t="s">
        <v>403</v>
      </c>
      <c r="F70438" s="0" t="s">
        <v>403</v>
      </c>
    </row>
    <row r="70439" customFormat="false" ht="12.8" hidden="false" customHeight="false" outlineLevel="0" collapsed="false">
      <c r="B70439" s="0" t="s">
        <v>1394</v>
      </c>
      <c r="C70439" s="0" t="s">
        <v>23896</v>
      </c>
      <c r="D70439" s="0" t="s">
        <v>406</v>
      </c>
      <c r="E70439" s="0" t="s">
        <v>406</v>
      </c>
      <c r="F70439" s="0" t="s">
        <v>406</v>
      </c>
    </row>
    <row r="70440" customFormat="false" ht="12.8" hidden="false" customHeight="false" outlineLevel="0" collapsed="false">
      <c r="B70440" s="0" t="s">
        <v>106</v>
      </c>
      <c r="C70440" s="0" t="s">
        <v>49</v>
      </c>
      <c r="D70440" s="0" t="s">
        <v>408</v>
      </c>
      <c r="E70440" s="0" t="s">
        <v>408</v>
      </c>
      <c r="F70440" s="0" t="s">
        <v>408</v>
      </c>
    </row>
    <row r="70442" customFormat="false" ht="12.8" hidden="false" customHeight="false" outlineLevel="0" collapsed="false">
      <c r="A70442" s="0" t="s">
        <v>23897</v>
      </c>
      <c r="B70442" s="0" t="str">
        <f aca="false">HYPERLINK("https://lindat.mff.cuni.cz/services/teitok/pdtc10/index.php?action=vallex&amp;frame=v-w9701hsa_1274", "znepokojit (v-w9701hsa_1274)")</f>
        <v>znepokojit (v-w9701hsa_1274)</v>
      </c>
    </row>
    <row r="70443" customFormat="false" ht="12.8" hidden="false" customHeight="false" outlineLevel="0" collapsed="false">
      <c r="B70443" s="0" t="s">
        <v>641</v>
      </c>
      <c r="C70443" s="0" t="s">
        <v>194</v>
      </c>
      <c r="D70443" s="0" t="s">
        <v>23883</v>
      </c>
      <c r="E70443" s="0" t="s">
        <v>23883</v>
      </c>
      <c r="F70443" s="0" t="s">
        <v>23883</v>
      </c>
    </row>
    <row r="70444" customFormat="false" ht="12.8" hidden="false" customHeight="false" outlineLevel="0" collapsed="false">
      <c r="B70444" s="0" t="s">
        <v>14</v>
      </c>
      <c r="C70444" s="0" t="s">
        <v>1289</v>
      </c>
      <c r="D70444" s="0" t="s">
        <v>23884</v>
      </c>
      <c r="E70444" s="0" t="s">
        <v>23884</v>
      </c>
      <c r="F70444" s="0" t="s">
        <v>23884</v>
      </c>
    </row>
    <row r="70446" customFormat="false" ht="12.8" hidden="false" customHeight="false" outlineLevel="0" collapsed="false">
      <c r="A70446" s="0" t="s">
        <v>23897</v>
      </c>
      <c r="B70446" s="0" t="str">
        <f aca="false">HYPERLINK("https://lindat.mff.cuni.cz/services/teitok/pdtc10/index.php?action=vallex&amp;frame=v-w9701f1", "znepokojit (v-w9701f1) - substituted with v-w9701hsa_1274")</f>
        <v>znepokojit (v-w9701f1) - substituted with v-w9701hsa_1274</v>
      </c>
    </row>
    <row r="70447" customFormat="false" ht="12.8" hidden="false" customHeight="false" outlineLevel="0" collapsed="false">
      <c r="B70447" s="0" t="s">
        <v>641</v>
      </c>
      <c r="C70447" s="0" t="s">
        <v>23898</v>
      </c>
    </row>
    <row r="70448" customFormat="false" ht="12.8" hidden="false" customHeight="false" outlineLevel="0" collapsed="false">
      <c r="B70448" s="0" t="s">
        <v>14</v>
      </c>
      <c r="C70448" s="0" t="s">
        <v>23899</v>
      </c>
    </row>
    <row r="70450" customFormat="false" ht="12.8" hidden="false" customHeight="false" outlineLevel="0" collapsed="false">
      <c r="A70450" s="0" t="s">
        <v>23900</v>
      </c>
      <c r="B70450" s="0" t="str">
        <f aca="false">HYPERLINK("https://lindat.mff.cuni.cz/services/teitok/pdtc10/index.php?action=vallex&amp;frame=v-w9702f1", "znepokojovat (v-w9702f1)")</f>
        <v>znepokojovat (v-w9702f1)</v>
      </c>
    </row>
    <row r="70451" customFormat="false" ht="12.8" hidden="false" customHeight="false" outlineLevel="0" collapsed="false">
      <c r="B70451" s="0" t="s">
        <v>641</v>
      </c>
      <c r="C70451" s="0" t="s">
        <v>23901</v>
      </c>
      <c r="D70451" s="0" t="s">
        <v>23883</v>
      </c>
      <c r="E70451" s="0" t="s">
        <v>23883</v>
      </c>
      <c r="F70451" s="0" t="s">
        <v>23883</v>
      </c>
    </row>
    <row r="70452" customFormat="false" ht="12.8" hidden="false" customHeight="false" outlineLevel="0" collapsed="false">
      <c r="B70452" s="0" t="s">
        <v>14</v>
      </c>
      <c r="C70452" s="0" t="s">
        <v>23902</v>
      </c>
      <c r="D70452" s="0" t="s">
        <v>23884</v>
      </c>
      <c r="E70452" s="0" t="s">
        <v>23884</v>
      </c>
      <c r="F70452" s="0" t="s">
        <v>23884</v>
      </c>
    </row>
    <row r="70454" customFormat="false" ht="12.8" hidden="false" customHeight="false" outlineLevel="0" collapsed="false">
      <c r="A70454" s="0" t="s">
        <v>23903</v>
      </c>
      <c r="B70454" s="0" t="str">
        <f aca="false">HYPERLINK("https://lindat.mff.cuni.cz/services/teitok/pdtc10/index.php?action=vallex&amp;frame=v-whsa_444f1_ZU", "znepokojovat se (v-whsa_444f1_ZU)")</f>
        <v>znepokojovat se (v-whsa_444f1_ZU)</v>
      </c>
    </row>
    <row r="70455" customFormat="false" ht="12.8" hidden="false" customHeight="false" outlineLevel="0" collapsed="false">
      <c r="B70455" s="0" t="s">
        <v>7</v>
      </c>
      <c r="C70455" s="0" t="s">
        <v>2199</v>
      </c>
      <c r="D70455" s="0" t="s">
        <v>618</v>
      </c>
      <c r="E70455" s="0" t="s">
        <v>618</v>
      </c>
      <c r="F70455" s="0" t="s">
        <v>618</v>
      </c>
    </row>
    <row r="70457" customFormat="false" ht="12.8" hidden="false" customHeight="false" outlineLevel="0" collapsed="false">
      <c r="A70457" s="0" t="s">
        <v>23903</v>
      </c>
      <c r="B70457" s="0" t="str">
        <f aca="false">HYPERLINK("https://lindat.mff.cuni.cz/services/teitok/pdtc10/index.php?action=vallex&amp;frame=v-whsa_444hsa_445", "znepokojovat se (v-whsa_444hsa_445) - substituted with v-whsa_444f1_ZU")</f>
        <v>znepokojovat se (v-whsa_444hsa_445) - substituted with v-whsa_444f1_ZU</v>
      </c>
    </row>
    <row r="70458" customFormat="false" ht="12.8" hidden="false" customHeight="false" outlineLevel="0" collapsed="false">
      <c r="B70458" s="0" t="s">
        <v>7</v>
      </c>
    </row>
    <row r="70460" customFormat="false" ht="12.8" hidden="false" customHeight="false" outlineLevel="0" collapsed="false">
      <c r="A70460" s="0" t="s">
        <v>23904</v>
      </c>
      <c r="B70460" s="0" t="str">
        <f aca="false">HYPERLINK("https://lindat.mff.cuni.cz/services/teitok/pdtc10/index.php?action=vallex&amp;frame=v-w11233f1", "znepřátelit (v-w11233f1)")</f>
        <v>znepřátelit (v-w11233f1)</v>
      </c>
    </row>
    <row r="70461" customFormat="false" ht="12.8" hidden="false" customHeight="false" outlineLevel="0" collapsed="false">
      <c r="B70461" s="0" t="s">
        <v>7</v>
      </c>
      <c r="C70461" s="0" t="s">
        <v>335</v>
      </c>
    </row>
    <row r="70462" customFormat="false" ht="12.8" hidden="false" customHeight="false" outlineLevel="0" collapsed="false">
      <c r="B70462" s="0" t="s">
        <v>14</v>
      </c>
      <c r="C70462" s="0" t="s">
        <v>461</v>
      </c>
    </row>
    <row r="70464" customFormat="false" ht="12.8" hidden="false" customHeight="false" outlineLevel="0" collapsed="false">
      <c r="A70464" s="0" t="s">
        <v>23905</v>
      </c>
      <c r="B70464" s="0" t="str">
        <f aca="false">HYPERLINK("https://lindat.mff.cuni.cz/services/teitok/pdtc10/index.php?action=vallex&amp;frame=v-w9703f1", "znepřátelit si (v-w9703f1)")</f>
        <v>znepřátelit si (v-w9703f1)</v>
      </c>
    </row>
    <row r="70465" customFormat="false" ht="12.8" hidden="false" customHeight="false" outlineLevel="0" collapsed="false">
      <c r="B70465" s="0" t="s">
        <v>7</v>
      </c>
      <c r="C70465" s="0" t="s">
        <v>31</v>
      </c>
      <c r="D70465" s="0" t="s">
        <v>335</v>
      </c>
      <c r="E70465" s="0" t="s">
        <v>335</v>
      </c>
      <c r="F70465" s="0" t="s">
        <v>335</v>
      </c>
    </row>
    <row r="70466" customFormat="false" ht="12.8" hidden="false" customHeight="false" outlineLevel="0" collapsed="false">
      <c r="B70466" s="0" t="s">
        <v>14</v>
      </c>
      <c r="C70466" s="0" t="s">
        <v>1209</v>
      </c>
      <c r="D70466" s="0" t="s">
        <v>461</v>
      </c>
      <c r="E70466" s="0" t="s">
        <v>461</v>
      </c>
      <c r="F70466" s="0" t="s">
        <v>461</v>
      </c>
    </row>
    <row r="70468" customFormat="false" ht="12.8" hidden="false" customHeight="false" outlineLevel="0" collapsed="false">
      <c r="A70468" s="0" t="s">
        <v>23906</v>
      </c>
      <c r="B70468" s="0" t="str">
        <f aca="false">HYPERLINK("https://lindat.mff.cuni.cz/services/teitok/pdtc10/index.php?action=vallex&amp;frame=v-w9704f1", "znepříjemnit (v-w9704f1)")</f>
        <v>znepříjemnit (v-w9704f1)</v>
      </c>
    </row>
    <row r="70469" customFormat="false" ht="12.8" hidden="false" customHeight="false" outlineLevel="0" collapsed="false">
      <c r="B70469" s="0" t="s">
        <v>7</v>
      </c>
    </row>
    <row r="70470" customFormat="false" ht="12.8" hidden="false" customHeight="false" outlineLevel="0" collapsed="false">
      <c r="B70470" s="0" t="s">
        <v>14</v>
      </c>
    </row>
    <row r="70472" customFormat="false" ht="12.8" hidden="false" customHeight="false" outlineLevel="0" collapsed="false">
      <c r="A70472" s="0" t="s">
        <v>23907</v>
      </c>
      <c r="B70472" s="0" t="str">
        <f aca="false">HYPERLINK("https://lindat.mff.cuni.cz/services/teitok/pdtc10/index.php?action=vallex&amp;frame=v-w9705f1", "znepříjemňovat (v-w9705f1)")</f>
        <v>znepříjemňovat (v-w9705f1)</v>
      </c>
    </row>
    <row r="70473" customFormat="false" ht="12.8" hidden="false" customHeight="false" outlineLevel="0" collapsed="false">
      <c r="B70473" s="0" t="s">
        <v>7</v>
      </c>
      <c r="C70473" s="0" t="s">
        <v>3293</v>
      </c>
    </row>
    <row r="70474" customFormat="false" ht="12.8" hidden="false" customHeight="false" outlineLevel="0" collapsed="false">
      <c r="B70474" s="0" t="s">
        <v>14</v>
      </c>
      <c r="C70474" s="0" t="s">
        <v>3295</v>
      </c>
    </row>
    <row r="70476" customFormat="false" ht="12.8" hidden="false" customHeight="false" outlineLevel="0" collapsed="false">
      <c r="A70476" s="0" t="s">
        <v>23908</v>
      </c>
      <c r="B70476" s="0" t="str">
        <f aca="false">HYPERLINK("https://lindat.mff.cuni.cz/services/teitok/pdtc10/index.php?action=vallex&amp;frame=v-w9707f1", "znervóznit (v-w9707f1)")</f>
        <v>znervóznit (v-w9707f1)</v>
      </c>
    </row>
    <row r="70477" customFormat="false" ht="12.8" hidden="false" customHeight="false" outlineLevel="0" collapsed="false">
      <c r="B70477" s="0" t="s">
        <v>7</v>
      </c>
      <c r="C70477" s="0" t="s">
        <v>46</v>
      </c>
      <c r="D70477" s="0" t="s">
        <v>23909</v>
      </c>
      <c r="E70477" s="0" t="s">
        <v>23909</v>
      </c>
      <c r="F70477" s="0" t="s">
        <v>23909</v>
      </c>
    </row>
    <row r="70478" customFormat="false" ht="12.8" hidden="false" customHeight="false" outlineLevel="0" collapsed="false">
      <c r="B70478" s="0" t="s">
        <v>14</v>
      </c>
      <c r="C70478" s="0" t="s">
        <v>47</v>
      </c>
      <c r="D70478" s="0" t="s">
        <v>23910</v>
      </c>
      <c r="E70478" s="0" t="s">
        <v>23910</v>
      </c>
      <c r="F70478" s="0" t="s">
        <v>23910</v>
      </c>
    </row>
    <row r="70480" customFormat="false" ht="12.8" hidden="false" customHeight="false" outlineLevel="0" collapsed="false">
      <c r="A70480" s="0" t="s">
        <v>23911</v>
      </c>
      <c r="B70480" s="0" t="str">
        <f aca="false">HYPERLINK("https://lindat.mff.cuni.cz/services/teitok/pdtc10/index.php?action=vallex&amp;frame=v-w9707f3_ZU", "znervóznit (v-w9707f3_ZU)")</f>
        <v>znervóznit (v-w9707f3_ZU)</v>
      </c>
    </row>
    <row r="70481" customFormat="false" ht="12.8" hidden="false" customHeight="false" outlineLevel="0" collapsed="false">
      <c r="B70481" s="0" t="s">
        <v>7</v>
      </c>
      <c r="D70481" s="0" t="s">
        <v>23912</v>
      </c>
      <c r="E70481" s="0" t="s">
        <v>23912</v>
      </c>
      <c r="F70481" s="0" t="s">
        <v>23912</v>
      </c>
    </row>
    <row r="70482" customFormat="false" ht="12.8" hidden="false" customHeight="false" outlineLevel="0" collapsed="false">
      <c r="B70482" s="0" t="s">
        <v>581</v>
      </c>
      <c r="D70482" s="0" t="s">
        <v>23913</v>
      </c>
      <c r="E70482" s="0" t="s">
        <v>23913</v>
      </c>
      <c r="F70482" s="0" t="s">
        <v>23913</v>
      </c>
    </row>
    <row r="70484" customFormat="false" ht="12.8" hidden="false" customHeight="false" outlineLevel="0" collapsed="false">
      <c r="A70484" s="0" t="s">
        <v>23911</v>
      </c>
      <c r="B70484" s="0" t="str">
        <f aca="false">HYPERLINK("https://lindat.mff.cuni.cz/services/teitok/pdtc10/index.php?action=vallex&amp;frame=v-w9707f2_ZU", "znervóznit (v-w9707f2_ZU) - substituted with v-w9707f3_ZU")</f>
        <v>znervóznit (v-w9707f2_ZU) - substituted with v-w9707f3_ZU</v>
      </c>
    </row>
    <row r="70485" customFormat="false" ht="12.8" hidden="false" customHeight="false" outlineLevel="0" collapsed="false">
      <c r="B70485" s="0" t="s">
        <v>7</v>
      </c>
    </row>
    <row r="70486" customFormat="false" ht="12.8" hidden="false" customHeight="false" outlineLevel="0" collapsed="false">
      <c r="B70486" s="0" t="s">
        <v>581</v>
      </c>
    </row>
    <row r="70488" customFormat="false" ht="12.8" hidden="false" customHeight="false" outlineLevel="0" collapsed="false">
      <c r="A70488" s="0" t="s">
        <v>23914</v>
      </c>
      <c r="B70488" s="0" t="str">
        <f aca="false">HYPERLINK("https://lindat.mff.cuni.cz/services/teitok/pdtc10/index.php?action=vallex&amp;frame=v-w11438f1", "znervóznět (v-w11438f1)")</f>
        <v>znervóznět (v-w11438f1)</v>
      </c>
    </row>
    <row r="70489" customFormat="false" ht="12.8" hidden="false" customHeight="false" outlineLevel="0" collapsed="false">
      <c r="B70489" s="0" t="s">
        <v>7</v>
      </c>
      <c r="C70489" s="0" t="s">
        <v>6311</v>
      </c>
      <c r="F70489" s="0" t="s">
        <v>21511</v>
      </c>
    </row>
    <row r="70491" customFormat="false" ht="12.8" hidden="false" customHeight="false" outlineLevel="0" collapsed="false">
      <c r="A70491" s="0" t="s">
        <v>23915</v>
      </c>
      <c r="B70491" s="0" t="str">
        <f aca="false">HYPERLINK("https://lindat.mff.cuni.cz/services/teitok/pdtc10/index.php?action=vallex&amp;frame=v-w9708f1", "znervózňovat (v-w9708f1)")</f>
        <v>znervózňovat (v-w9708f1)</v>
      </c>
    </row>
    <row r="70492" customFormat="false" ht="12.8" hidden="false" customHeight="false" outlineLevel="0" collapsed="false">
      <c r="B70492" s="0" t="s">
        <v>7</v>
      </c>
      <c r="C70492" s="0" t="s">
        <v>184</v>
      </c>
      <c r="D70492" s="0" t="s">
        <v>23916</v>
      </c>
      <c r="E70492" s="0" t="s">
        <v>23916</v>
      </c>
      <c r="F70492" s="0" t="s">
        <v>23916</v>
      </c>
    </row>
    <row r="70493" customFormat="false" ht="12.8" hidden="false" customHeight="false" outlineLevel="0" collapsed="false">
      <c r="B70493" s="0" t="s">
        <v>14</v>
      </c>
      <c r="C70493" s="0" t="s">
        <v>384</v>
      </c>
      <c r="D70493" s="0" t="s">
        <v>23917</v>
      </c>
      <c r="E70493" s="0" t="s">
        <v>23917</v>
      </c>
      <c r="F70493" s="0" t="s">
        <v>23917</v>
      </c>
    </row>
    <row r="70495" customFormat="false" ht="12.8" hidden="false" customHeight="false" outlineLevel="0" collapsed="false">
      <c r="A70495" s="0" t="s">
        <v>23918</v>
      </c>
      <c r="B70495" s="0" t="str">
        <f aca="false">HYPERLINK("https://lindat.mff.cuni.cz/services/teitok/pdtc10/index.php?action=vallex&amp;frame=v-w10401f2", "znesnadnit (v-w10401f2)")</f>
        <v>znesnadnit (v-w10401f2)</v>
      </c>
    </row>
    <row r="70496" customFormat="false" ht="12.8" hidden="false" customHeight="false" outlineLevel="0" collapsed="false">
      <c r="B70496" s="0" t="s">
        <v>7</v>
      </c>
      <c r="D70496" s="0" t="s">
        <v>2012</v>
      </c>
      <c r="E70496" s="0" t="s">
        <v>2012</v>
      </c>
      <c r="F70496" s="0" t="s">
        <v>2012</v>
      </c>
    </row>
    <row r="70497" customFormat="false" ht="12.8" hidden="false" customHeight="false" outlineLevel="0" collapsed="false">
      <c r="B70497" s="0" t="s">
        <v>306</v>
      </c>
      <c r="D70497" s="0" t="s">
        <v>11703</v>
      </c>
      <c r="E70497" s="0" t="s">
        <v>11703</v>
      </c>
      <c r="F70497" s="0" t="s">
        <v>11703</v>
      </c>
    </row>
    <row r="70498" customFormat="false" ht="12.8" hidden="false" customHeight="false" outlineLevel="0" collapsed="false">
      <c r="B70498" s="0" t="s">
        <v>106</v>
      </c>
    </row>
    <row r="70500" customFormat="false" ht="12.8" hidden="false" customHeight="false" outlineLevel="0" collapsed="false">
      <c r="A70500" s="0" t="s">
        <v>23919</v>
      </c>
      <c r="B70500" s="0" t="str">
        <f aca="false">HYPERLINK("https://lindat.mff.cuni.cz/services/teitok/pdtc10/index.php?action=vallex&amp;frame=v-w9709f1", "znesnadňovat (v-w9709f1)")</f>
        <v>znesnadňovat (v-w9709f1)</v>
      </c>
    </row>
    <row r="70501" customFormat="false" ht="12.8" hidden="false" customHeight="false" outlineLevel="0" collapsed="false">
      <c r="B70501" s="0" t="s">
        <v>7</v>
      </c>
      <c r="C70501" s="0" t="s">
        <v>31</v>
      </c>
      <c r="E70501" s="0" t="s">
        <v>9942</v>
      </c>
      <c r="F70501" s="0" t="s">
        <v>9942</v>
      </c>
    </row>
    <row r="70502" customFormat="false" ht="12.8" hidden="false" customHeight="false" outlineLevel="0" collapsed="false">
      <c r="B70502" s="0" t="s">
        <v>14</v>
      </c>
      <c r="C70502" s="0" t="s">
        <v>78</v>
      </c>
      <c r="E70502" s="0" t="s">
        <v>1632</v>
      </c>
      <c r="F70502" s="0" t="s">
        <v>1632</v>
      </c>
    </row>
    <row r="70503" customFormat="false" ht="12.8" hidden="false" customHeight="false" outlineLevel="0" collapsed="false">
      <c r="B70503" s="0" t="s">
        <v>106</v>
      </c>
    </row>
    <row r="70505" customFormat="false" ht="12.8" hidden="false" customHeight="false" outlineLevel="0" collapsed="false">
      <c r="A70505" s="0" t="s">
        <v>23920</v>
      </c>
      <c r="B70505" s="0" t="str">
        <f aca="false">HYPERLINK("https://lindat.mff.cuni.cz/services/teitok/pdtc10/index.php?action=vallex&amp;frame=v-w9710f1", "znesvěcovat (v-w9710f1)")</f>
        <v>znesvěcovat (v-w9710f1)</v>
      </c>
    </row>
    <row r="70506" customFormat="false" ht="12.8" hidden="false" customHeight="false" outlineLevel="0" collapsed="false">
      <c r="B70506" s="0" t="s">
        <v>7</v>
      </c>
    </row>
    <row r="70507" customFormat="false" ht="12.8" hidden="false" customHeight="false" outlineLevel="0" collapsed="false">
      <c r="B70507" s="0" t="s">
        <v>14</v>
      </c>
    </row>
    <row r="70509" customFormat="false" ht="12.8" hidden="false" customHeight="false" outlineLevel="0" collapsed="false">
      <c r="A70509" s="0" t="s">
        <v>23921</v>
      </c>
      <c r="B70509" s="0" t="str">
        <f aca="false">HYPERLINK("https://lindat.mff.cuni.cz/services/teitok/pdtc10/index.php?action=vallex&amp;frame=v-w9713f1", "znetvořit (v-w9713f1)")</f>
        <v>znetvořit (v-w9713f1)</v>
      </c>
    </row>
    <row r="70510" customFormat="false" ht="12.8" hidden="false" customHeight="false" outlineLevel="0" collapsed="false">
      <c r="B70510" s="0" t="s">
        <v>7</v>
      </c>
    </row>
    <row r="70511" customFormat="false" ht="12.8" hidden="false" customHeight="false" outlineLevel="0" collapsed="false">
      <c r="B70511" s="0" t="s">
        <v>14</v>
      </c>
    </row>
    <row r="70513" customFormat="false" ht="12.8" hidden="false" customHeight="false" outlineLevel="0" collapsed="false">
      <c r="A70513" s="0" t="s">
        <v>23922</v>
      </c>
      <c r="B70513" s="0" t="str">
        <f aca="false">HYPERLINK("https://lindat.mff.cuni.cz/services/teitok/pdtc10/index.php?action=vallex&amp;frame=v-w9714f1", "zneuctít (v-w9714f1)")</f>
        <v>zneuctít (v-w9714f1)</v>
      </c>
    </row>
    <row r="70514" customFormat="false" ht="12.8" hidden="false" customHeight="false" outlineLevel="0" collapsed="false">
      <c r="B70514" s="0" t="s">
        <v>7</v>
      </c>
      <c r="D70514" s="0" t="s">
        <v>184</v>
      </c>
      <c r="E70514" s="0" t="s">
        <v>184</v>
      </c>
      <c r="F70514" s="0" t="s">
        <v>184</v>
      </c>
    </row>
    <row r="70515" customFormat="false" ht="12.8" hidden="false" customHeight="false" outlineLevel="0" collapsed="false">
      <c r="B70515" s="0" t="s">
        <v>14</v>
      </c>
      <c r="D70515" s="0" t="s">
        <v>1610</v>
      </c>
      <c r="E70515" s="0" t="s">
        <v>1610</v>
      </c>
      <c r="F70515" s="0" t="s">
        <v>1610</v>
      </c>
    </row>
    <row r="70517" customFormat="false" ht="12.8" hidden="false" customHeight="false" outlineLevel="0" collapsed="false">
      <c r="A70517" s="0" t="s">
        <v>23923</v>
      </c>
      <c r="B70517" s="0" t="str">
        <f aca="false">HYPERLINK("https://lindat.mff.cuni.cz/services/teitok/pdtc10/index.php?action=vallex&amp;frame=v-w9716f1", "zneužít (v-w9716f1)")</f>
        <v>zneužít (v-w9716f1)</v>
      </c>
    </row>
    <row r="70518" customFormat="false" ht="12.8" hidden="false" customHeight="false" outlineLevel="0" collapsed="false">
      <c r="B70518" s="0" t="s">
        <v>7</v>
      </c>
      <c r="C70518" s="0" t="s">
        <v>208</v>
      </c>
    </row>
    <row r="70519" customFormat="false" ht="12.8" hidden="false" customHeight="false" outlineLevel="0" collapsed="false">
      <c r="B70519" s="0" t="s">
        <v>4381</v>
      </c>
      <c r="C70519" s="0" t="s">
        <v>1555</v>
      </c>
    </row>
    <row r="70521" customFormat="false" ht="12.8" hidden="false" customHeight="false" outlineLevel="0" collapsed="false">
      <c r="A70521" s="0" t="s">
        <v>23924</v>
      </c>
      <c r="B70521" s="0" t="str">
        <f aca="false">HYPERLINK("https://lindat.mff.cuni.cz/services/teitok/pdtc10/index.php?action=vallex&amp;frame=v-w9720f1", "zneužívat (v-w9720f1)")</f>
        <v>zneužívat (v-w9720f1)</v>
      </c>
    </row>
    <row r="70522" customFormat="false" ht="12.8" hidden="false" customHeight="false" outlineLevel="0" collapsed="false">
      <c r="B70522" s="0" t="s">
        <v>7</v>
      </c>
      <c r="C70522" s="0" t="s">
        <v>23925</v>
      </c>
    </row>
    <row r="70523" customFormat="false" ht="12.8" hidden="false" customHeight="false" outlineLevel="0" collapsed="false">
      <c r="B70523" s="0" t="s">
        <v>4381</v>
      </c>
      <c r="C70523" s="0" t="s">
        <v>9852</v>
      </c>
    </row>
    <row r="70525" customFormat="false" ht="12.8" hidden="false" customHeight="false" outlineLevel="0" collapsed="false">
      <c r="A70525" s="0" t="s">
        <v>23926</v>
      </c>
      <c r="B70525" s="0" t="str">
        <f aca="false">HYPERLINK("https://lindat.mff.cuni.cz/services/teitok/pdtc10/index.php?action=vallex&amp;frame=v-w9723f1", "znevažovat (v-w9723f1)")</f>
        <v>znevažovat (v-w9723f1)</v>
      </c>
    </row>
    <row r="70526" customFormat="false" ht="12.8" hidden="false" customHeight="false" outlineLevel="0" collapsed="false">
      <c r="B70526" s="0" t="s">
        <v>7</v>
      </c>
      <c r="C70526" s="0" t="s">
        <v>191</v>
      </c>
      <c r="D70526" s="0" t="s">
        <v>171</v>
      </c>
      <c r="E70526" s="0" t="s">
        <v>171</v>
      </c>
      <c r="F70526" s="0" t="s">
        <v>171</v>
      </c>
    </row>
    <row r="70527" customFormat="false" ht="12.8" hidden="false" customHeight="false" outlineLevel="0" collapsed="false">
      <c r="B70527" s="0" t="s">
        <v>172</v>
      </c>
      <c r="C70527" s="0" t="s">
        <v>115</v>
      </c>
      <c r="D70527" s="0" t="s">
        <v>174</v>
      </c>
      <c r="E70527" s="0" t="s">
        <v>174</v>
      </c>
      <c r="F70527" s="0" t="s">
        <v>174</v>
      </c>
    </row>
    <row r="70529" customFormat="false" ht="12.8" hidden="false" customHeight="false" outlineLevel="0" collapsed="false">
      <c r="A70529" s="0" t="s">
        <v>23927</v>
      </c>
      <c r="B70529" s="0" t="str">
        <f aca="false">HYPERLINK("https://lindat.mff.cuni.cz/services/teitok/pdtc10/index.php?action=vallex&amp;frame=v-w9721f1", "znevážit (v-w9721f1)")</f>
        <v>znevážit (v-w9721f1)</v>
      </c>
    </row>
    <row r="70530" customFormat="false" ht="12.8" hidden="false" customHeight="false" outlineLevel="0" collapsed="false">
      <c r="B70530" s="0" t="s">
        <v>7</v>
      </c>
      <c r="D70530" s="0" t="s">
        <v>7977</v>
      </c>
      <c r="E70530" s="0" t="s">
        <v>7977</v>
      </c>
      <c r="F70530" s="0" t="s">
        <v>7977</v>
      </c>
    </row>
    <row r="70531" customFormat="false" ht="12.8" hidden="false" customHeight="false" outlineLevel="0" collapsed="false">
      <c r="B70531" s="0" t="s">
        <v>172</v>
      </c>
      <c r="D70531" s="0" t="s">
        <v>23928</v>
      </c>
      <c r="E70531" s="0" t="s">
        <v>23928</v>
      </c>
      <c r="F70531" s="0" t="s">
        <v>23928</v>
      </c>
    </row>
    <row r="70533" customFormat="false" ht="12.8" hidden="false" customHeight="false" outlineLevel="0" collapsed="false">
      <c r="A70533" s="0" t="s">
        <v>23929</v>
      </c>
      <c r="B70533" s="0" t="str">
        <f aca="false">HYPERLINK("https://lindat.mff.cuni.cz/services/teitok/pdtc10/index.php?action=vallex&amp;frame=v-w9725f1", "znevýhodnit (v-w9725f1)")</f>
        <v>znevýhodnit (v-w9725f1)</v>
      </c>
    </row>
    <row r="70534" customFormat="false" ht="12.8" hidden="false" customHeight="false" outlineLevel="0" collapsed="false">
      <c r="B70534" s="0" t="s">
        <v>7</v>
      </c>
      <c r="C70534" s="0" t="s">
        <v>46</v>
      </c>
    </row>
    <row r="70535" customFormat="false" ht="12.8" hidden="false" customHeight="false" outlineLevel="0" collapsed="false">
      <c r="B70535" s="0" t="s">
        <v>14</v>
      </c>
      <c r="C70535" s="0" t="s">
        <v>1170</v>
      </c>
    </row>
    <row r="70537" customFormat="false" ht="12.8" hidden="false" customHeight="false" outlineLevel="0" collapsed="false">
      <c r="A70537" s="0" t="s">
        <v>23930</v>
      </c>
      <c r="B70537" s="0" t="str">
        <f aca="false">HYPERLINK("https://lindat.mff.cuni.cz/services/teitok/pdtc10/index.php?action=vallex&amp;frame=v-w9726f1", "znevýhodňovat (v-w9726f1)")</f>
        <v>znevýhodňovat (v-w9726f1)</v>
      </c>
    </row>
    <row r="70538" customFormat="false" ht="12.8" hidden="false" customHeight="false" outlineLevel="0" collapsed="false">
      <c r="B70538" s="0" t="s">
        <v>7</v>
      </c>
    </row>
    <row r="70539" customFormat="false" ht="12.8" hidden="false" customHeight="false" outlineLevel="0" collapsed="false">
      <c r="B70539" s="0" t="s">
        <v>14</v>
      </c>
    </row>
    <row r="70541" customFormat="false" ht="12.8" hidden="false" customHeight="false" outlineLevel="0" collapsed="false">
      <c r="A70541" s="0" t="s">
        <v>23931</v>
      </c>
      <c r="B70541" s="0" t="str">
        <f aca="false">HYPERLINK("https://lindat.mff.cuni.cz/services/teitok/pdtc10/index.php?action=vallex&amp;frame=v-w9678f2_ZU", "znečistit (v-w9678f2_ZU)")</f>
        <v>znečistit (v-w9678f2_ZU)</v>
      </c>
    </row>
    <row r="70542" customFormat="false" ht="12.8" hidden="false" customHeight="false" outlineLevel="0" collapsed="false">
      <c r="B70542" s="0" t="s">
        <v>7</v>
      </c>
    </row>
    <row r="70543" customFormat="false" ht="12.8" hidden="false" customHeight="false" outlineLevel="0" collapsed="false">
      <c r="B70543" s="0" t="s">
        <v>14</v>
      </c>
    </row>
    <row r="70545" customFormat="false" ht="12.8" hidden="false" customHeight="false" outlineLevel="0" collapsed="false">
      <c r="A70545" s="0" t="s">
        <v>23931</v>
      </c>
      <c r="B70545" s="0" t="str">
        <f aca="false">HYPERLINK("https://lindat.mff.cuni.cz/services/teitok/pdtc10/index.php?action=vallex&amp;frame=v-w9678f1", "znečistit (v-w9678f1) - substituted with v-w9678f2_ZU")</f>
        <v>znečistit (v-w9678f1) - substituted with v-w9678f2_ZU</v>
      </c>
    </row>
    <row r="70546" customFormat="false" ht="12.8" hidden="false" customHeight="false" outlineLevel="0" collapsed="false">
      <c r="B70546" s="0" t="s">
        <v>7</v>
      </c>
      <c r="D70546" s="0" t="s">
        <v>108</v>
      </c>
      <c r="E70546" s="0" t="s">
        <v>108</v>
      </c>
      <c r="F70546" s="0" t="s">
        <v>108</v>
      </c>
    </row>
    <row r="70547" customFormat="false" ht="12.8" hidden="false" customHeight="false" outlineLevel="0" collapsed="false">
      <c r="B70547" s="0" t="s">
        <v>14</v>
      </c>
      <c r="D70547" s="0" t="s">
        <v>5146</v>
      </c>
      <c r="E70547" s="0" t="s">
        <v>5146</v>
      </c>
      <c r="F70547" s="0" t="s">
        <v>5146</v>
      </c>
    </row>
    <row r="70549" customFormat="false" ht="12.8" hidden="false" customHeight="false" outlineLevel="0" collapsed="false">
      <c r="A70549" s="0" t="s">
        <v>23932</v>
      </c>
      <c r="B70549" s="0" t="str">
        <f aca="false">HYPERLINK("https://lindat.mff.cuni.cz/services/teitok/pdtc10/index.php?action=vallex&amp;frame=v-w9683f1", "znečišťovat (v-w9683f1)")</f>
        <v>znečišťovat (v-w9683f1)</v>
      </c>
    </row>
    <row r="70550" customFormat="false" ht="12.8" hidden="false" customHeight="false" outlineLevel="0" collapsed="false">
      <c r="B70550" s="0" t="s">
        <v>7</v>
      </c>
      <c r="C70550" s="0" t="s">
        <v>191</v>
      </c>
      <c r="D70550" s="0" t="s">
        <v>113</v>
      </c>
      <c r="E70550" s="0" t="s">
        <v>113</v>
      </c>
      <c r="F70550" s="0" t="s">
        <v>113</v>
      </c>
    </row>
    <row r="70551" customFormat="false" ht="12.8" hidden="false" customHeight="false" outlineLevel="0" collapsed="false">
      <c r="B70551" s="0" t="s">
        <v>14</v>
      </c>
      <c r="D70551" s="0" t="s">
        <v>384</v>
      </c>
      <c r="E70551" s="0" t="s">
        <v>384</v>
      </c>
      <c r="F70551" s="0" t="s">
        <v>384</v>
      </c>
    </row>
    <row r="70553" customFormat="false" ht="12.8" hidden="false" customHeight="false" outlineLevel="0" collapsed="false">
      <c r="A70553" s="0" t="s">
        <v>23933</v>
      </c>
      <c r="B70553" s="0" t="str">
        <f aca="false">HYPERLINK("https://lindat.mff.cuni.cz/services/teitok/pdtc10/index.php?action=vallex&amp;frame=v-w9712f1", "zneškodnit (v-w9712f1)")</f>
        <v>zneškodnit (v-w9712f1)</v>
      </c>
    </row>
    <row r="70554" customFormat="false" ht="12.8" hidden="false" customHeight="false" outlineLevel="0" collapsed="false">
      <c r="B70554" s="0" t="s">
        <v>7</v>
      </c>
      <c r="C70554" s="0" t="s">
        <v>191</v>
      </c>
      <c r="D70554" s="0" t="s">
        <v>1549</v>
      </c>
      <c r="E70554" s="0" t="s">
        <v>1550</v>
      </c>
      <c r="F70554" s="0" t="s">
        <v>1550</v>
      </c>
    </row>
    <row r="70555" customFormat="false" ht="12.8" hidden="false" customHeight="false" outlineLevel="0" collapsed="false">
      <c r="B70555" s="0" t="s">
        <v>14</v>
      </c>
      <c r="C70555" s="0" t="s">
        <v>155</v>
      </c>
      <c r="D70555" s="0" t="s">
        <v>1164</v>
      </c>
      <c r="E70555" s="0" t="s">
        <v>1551</v>
      </c>
      <c r="F70555" s="0" t="s">
        <v>1551</v>
      </c>
    </row>
    <row r="70557" customFormat="false" ht="12.8" hidden="false" customHeight="false" outlineLevel="0" collapsed="false">
      <c r="A70557" s="0" t="s">
        <v>23934</v>
      </c>
      <c r="B70557" s="0" t="str">
        <f aca="false">HYPERLINK("https://lindat.mff.cuni.cz/services/teitok/pdtc10/index.php?action=vallex&amp;frame=v-w9730f1", "znivelizovat (v-w9730f1)")</f>
        <v>znivelizovat (v-w9730f1)</v>
      </c>
    </row>
    <row r="70558" customFormat="false" ht="12.8" hidden="false" customHeight="false" outlineLevel="0" collapsed="false">
      <c r="B70558" s="0" t="s">
        <v>7</v>
      </c>
    </row>
    <row r="70559" customFormat="false" ht="12.8" hidden="false" customHeight="false" outlineLevel="0" collapsed="false">
      <c r="B70559" s="0" t="s">
        <v>14</v>
      </c>
    </row>
    <row r="70561" customFormat="false" ht="12.8" hidden="false" customHeight="false" outlineLevel="0" collapsed="false">
      <c r="A70561" s="0" t="s">
        <v>23935</v>
      </c>
      <c r="B70561" s="0" t="str">
        <f aca="false">HYPERLINK("https://lindat.mff.cuni.cz/services/teitok/pdtc10/index.php?action=vallex&amp;frame=v-w9728f1", "zničit (v-w9728f1)")</f>
        <v>zničit (v-w9728f1)</v>
      </c>
    </row>
    <row r="70562" customFormat="false" ht="12.8" hidden="false" customHeight="false" outlineLevel="0" collapsed="false">
      <c r="B70562" s="0" t="s">
        <v>7</v>
      </c>
      <c r="C70562" s="0" t="s">
        <v>411</v>
      </c>
      <c r="D70562" s="0" t="s">
        <v>1549</v>
      </c>
      <c r="E70562" s="0" t="s">
        <v>1550</v>
      </c>
      <c r="F70562" s="0" t="s">
        <v>1550</v>
      </c>
    </row>
    <row r="70563" customFormat="false" ht="12.8" hidden="false" customHeight="false" outlineLevel="0" collapsed="false">
      <c r="B70563" s="0" t="s">
        <v>232</v>
      </c>
      <c r="C70563" s="0" t="s">
        <v>1625</v>
      </c>
      <c r="D70563" s="0" t="s">
        <v>1164</v>
      </c>
      <c r="E70563" s="0" t="s">
        <v>1551</v>
      </c>
      <c r="F70563" s="0" t="s">
        <v>1551</v>
      </c>
    </row>
    <row r="70565" customFormat="false" ht="12.8" hidden="false" customHeight="false" outlineLevel="0" collapsed="false">
      <c r="A70565" s="0" t="s">
        <v>23936</v>
      </c>
      <c r="B70565" s="0" t="str">
        <f aca="false">HYPERLINK("https://lindat.mff.cuni.cz/services/teitok/pdtc10/index.php?action=vallex&amp;frame=v-w11650_ZUf1_ZU", "zničit se (v-w11650_ZUf1_ZU)")</f>
        <v>zničit se (v-w11650_ZUf1_ZU)</v>
      </c>
    </row>
    <row r="70566" customFormat="false" ht="12.8" hidden="false" customHeight="false" outlineLevel="0" collapsed="false">
      <c r="B70566" s="0" t="s">
        <v>7</v>
      </c>
      <c r="C70566" s="0" t="s">
        <v>1902</v>
      </c>
    </row>
    <row r="70568" customFormat="false" ht="12.8" hidden="false" customHeight="false" outlineLevel="0" collapsed="false">
      <c r="A70568" s="0" t="s">
        <v>23937</v>
      </c>
      <c r="B70568" s="0" t="str">
        <f aca="false">HYPERLINK("https://lindat.mff.cuni.cz/services/teitok/pdtc10/index.php?action=vallex&amp;frame=v-w9731f1", "znormalizovat (v-w9731f1)")</f>
        <v>znormalizovat (v-w9731f1)</v>
      </c>
    </row>
    <row r="70569" customFormat="false" ht="12.8" hidden="false" customHeight="false" outlineLevel="0" collapsed="false">
      <c r="B70569" s="0" t="s">
        <v>7</v>
      </c>
    </row>
    <row r="70570" customFormat="false" ht="12.8" hidden="false" customHeight="false" outlineLevel="0" collapsed="false">
      <c r="B70570" s="0" t="s">
        <v>14</v>
      </c>
    </row>
    <row r="70572" customFormat="false" ht="12.8" hidden="false" customHeight="false" outlineLevel="0" collapsed="false">
      <c r="A70572" s="0" t="s">
        <v>23938</v>
      </c>
      <c r="B70572" s="0" t="str">
        <f aca="false">HYPERLINK("https://lindat.mff.cuni.cz/services/teitok/pdtc10/index.php?action=vallex&amp;frame=v-w9734f1", "znovuobjevit (v-w9734f1)")</f>
        <v>znovuobjevit (v-w9734f1)</v>
      </c>
    </row>
    <row r="70573" customFormat="false" ht="12.8" hidden="false" customHeight="false" outlineLevel="0" collapsed="false">
      <c r="B70573" s="0" t="s">
        <v>7</v>
      </c>
    </row>
    <row r="70574" customFormat="false" ht="12.8" hidden="false" customHeight="false" outlineLevel="0" collapsed="false">
      <c r="B70574" s="0" t="s">
        <v>172</v>
      </c>
    </row>
    <row r="70576" customFormat="false" ht="12.8" hidden="false" customHeight="false" outlineLevel="0" collapsed="false">
      <c r="A70576" s="0" t="s">
        <v>23939</v>
      </c>
      <c r="B70576" s="0" t="str">
        <f aca="false">HYPERLINK("https://lindat.mff.cuni.cz/services/teitok/pdtc10/index.php?action=vallex&amp;frame=v-w9735f1", "znovuobjevovat (v-w9735f1)")</f>
        <v>znovuobjevovat (v-w9735f1)</v>
      </c>
    </row>
    <row r="70577" customFormat="false" ht="12.8" hidden="false" customHeight="false" outlineLevel="0" collapsed="false">
      <c r="B70577" s="0" t="s">
        <v>7</v>
      </c>
      <c r="D70577" s="0" t="s">
        <v>6342</v>
      </c>
      <c r="E70577" s="0" t="s">
        <v>6342</v>
      </c>
      <c r="F70577" s="0" t="s">
        <v>6342</v>
      </c>
    </row>
    <row r="70578" customFormat="false" ht="12.8" hidden="false" customHeight="false" outlineLevel="0" collapsed="false">
      <c r="B70578" s="0" t="s">
        <v>172</v>
      </c>
      <c r="D70578" s="0" t="s">
        <v>6344</v>
      </c>
      <c r="E70578" s="0" t="s">
        <v>6344</v>
      </c>
      <c r="F70578" s="0" t="s">
        <v>6344</v>
      </c>
    </row>
    <row r="70580" customFormat="false" ht="12.8" hidden="false" customHeight="false" outlineLevel="0" collapsed="false">
      <c r="A70580" s="0" t="s">
        <v>23940</v>
      </c>
      <c r="B70580" s="0" t="str">
        <f aca="false">HYPERLINK("https://lindat.mff.cuni.cz/services/teitok/pdtc10/index.php?action=vallex&amp;frame=v-w11210f2", "znovuobnovit (v-w11210f2)")</f>
        <v>znovuobnovit (v-w11210f2)</v>
      </c>
    </row>
    <row r="70581" customFormat="false" ht="12.8" hidden="false" customHeight="false" outlineLevel="0" collapsed="false">
      <c r="B70581" s="0" t="s">
        <v>7</v>
      </c>
    </row>
    <row r="70582" customFormat="false" ht="12.8" hidden="false" customHeight="false" outlineLevel="0" collapsed="false">
      <c r="B70582" s="0" t="s">
        <v>14</v>
      </c>
    </row>
    <row r="70584" customFormat="false" ht="12.8" hidden="false" customHeight="false" outlineLevel="0" collapsed="false">
      <c r="A70584" s="0" t="s">
        <v>23941</v>
      </c>
      <c r="B70584" s="0" t="str">
        <f aca="false">HYPERLINK("https://lindat.mff.cuni.cz/services/teitok/pdtc10/index.php?action=vallex&amp;frame=v-w10537f2", "znovuotevřít (v-w10537f2)")</f>
        <v>znovuotevřít (v-w10537f2)</v>
      </c>
    </row>
    <row r="70585" customFormat="false" ht="12.8" hidden="false" customHeight="false" outlineLevel="0" collapsed="false">
      <c r="B70585" s="0" t="s">
        <v>7</v>
      </c>
      <c r="C70585" s="0" t="s">
        <v>335</v>
      </c>
      <c r="D70585" s="0" t="s">
        <v>23942</v>
      </c>
      <c r="E70585" s="0" t="s">
        <v>23942</v>
      </c>
      <c r="F70585" s="0" t="s">
        <v>23942</v>
      </c>
    </row>
    <row r="70586" customFormat="false" ht="12.8" hidden="false" customHeight="false" outlineLevel="0" collapsed="false">
      <c r="B70586" s="0" t="s">
        <v>14</v>
      </c>
      <c r="C70586" s="0" t="s">
        <v>1405</v>
      </c>
      <c r="D70586" s="0" t="s">
        <v>12991</v>
      </c>
      <c r="E70586" s="0" t="s">
        <v>12991</v>
      </c>
      <c r="F70586" s="0" t="s">
        <v>12991</v>
      </c>
    </row>
    <row r="70588" customFormat="false" ht="12.8" hidden="false" customHeight="false" outlineLevel="0" collapsed="false">
      <c r="A70588" s="0" t="s">
        <v>23943</v>
      </c>
      <c r="B70588" s="0" t="str">
        <f aca="false">HYPERLINK("https://lindat.mff.cuni.cz/services/teitok/pdtc10/index.php?action=vallex&amp;frame=v-w10982f3", "znovuzvolit (v-w10982f3)")</f>
        <v>znovuzvolit (v-w10982f3)</v>
      </c>
    </row>
    <row r="70589" customFormat="false" ht="12.8" hidden="false" customHeight="false" outlineLevel="0" collapsed="false">
      <c r="B70589" s="0" t="s">
        <v>7</v>
      </c>
    </row>
    <row r="70590" customFormat="false" ht="12.8" hidden="false" customHeight="false" outlineLevel="0" collapsed="false">
      <c r="B70590" s="0" t="s">
        <v>232</v>
      </c>
    </row>
    <row r="70591" customFormat="false" ht="12.8" hidden="false" customHeight="false" outlineLevel="0" collapsed="false">
      <c r="B70591" s="0" t="s">
        <v>14787</v>
      </c>
    </row>
    <row r="70593" customFormat="false" ht="12.8" hidden="false" customHeight="false" outlineLevel="0" collapsed="false">
      <c r="A70593" s="0" t="s">
        <v>23944</v>
      </c>
      <c r="B70593" s="0" t="str">
        <f aca="false">HYPERLINK("https://lindat.mff.cuni.cz/services/teitok/pdtc10/index.php?action=vallex&amp;frame=v-w9664f1", "známkovat (v-w9664f1)")</f>
        <v>známkovat (v-w9664f1)</v>
      </c>
    </row>
    <row r="70594" customFormat="false" ht="12.8" hidden="false" customHeight="false" outlineLevel="0" collapsed="false">
      <c r="B70594" s="0" t="s">
        <v>7</v>
      </c>
    </row>
    <row r="70595" customFormat="false" ht="12.8" hidden="false" customHeight="false" outlineLevel="0" collapsed="false">
      <c r="B70595" s="0" t="s">
        <v>14</v>
      </c>
    </row>
    <row r="70597" customFormat="false" ht="12.8" hidden="false" customHeight="false" outlineLevel="0" collapsed="false">
      <c r="A70597" s="0" t="s">
        <v>23945</v>
      </c>
      <c r="B70597" s="0" t="str">
        <f aca="false">HYPERLINK("https://lindat.mff.cuni.cz/services/teitok/pdtc10/index.php?action=vallex&amp;frame=v-w9668f1", "znárodnit (v-w9668f1)")</f>
        <v>znárodnit (v-w9668f1)</v>
      </c>
    </row>
    <row r="70598" customFormat="false" ht="12.8" hidden="false" customHeight="false" outlineLevel="0" collapsed="false">
      <c r="B70598" s="0" t="s">
        <v>7</v>
      </c>
      <c r="C70598" s="0" t="s">
        <v>46</v>
      </c>
      <c r="D70598" s="0" t="s">
        <v>184</v>
      </c>
      <c r="E70598" s="0" t="s">
        <v>184</v>
      </c>
      <c r="F70598" s="0" t="s">
        <v>184</v>
      </c>
    </row>
    <row r="70599" customFormat="false" ht="12.8" hidden="false" customHeight="false" outlineLevel="0" collapsed="false">
      <c r="B70599" s="0" t="s">
        <v>14</v>
      </c>
      <c r="C70599" s="0" t="s">
        <v>567</v>
      </c>
      <c r="D70599" s="0" t="s">
        <v>115</v>
      </c>
      <c r="E70599" s="0" t="s">
        <v>115</v>
      </c>
      <c r="F70599" s="0" t="s">
        <v>115</v>
      </c>
    </row>
    <row r="70601" customFormat="false" ht="12.8" hidden="false" customHeight="false" outlineLevel="0" collapsed="false">
      <c r="A70601" s="0" t="s">
        <v>23946</v>
      </c>
      <c r="B70601" s="0" t="str">
        <f aca="false">HYPERLINK("https://lindat.mff.cuni.cz/services/teitok/pdtc10/index.php?action=vallex&amp;frame=v-w9670f1", "znárodňovat (v-w9670f1)")</f>
        <v>znárodňovat (v-w9670f1)</v>
      </c>
    </row>
    <row r="70602" customFormat="false" ht="12.8" hidden="false" customHeight="false" outlineLevel="0" collapsed="false">
      <c r="B70602" s="0" t="s">
        <v>7</v>
      </c>
      <c r="C70602" s="0" t="s">
        <v>46</v>
      </c>
      <c r="D70602" s="0" t="s">
        <v>184</v>
      </c>
      <c r="E70602" s="0" t="s">
        <v>184</v>
      </c>
      <c r="F70602" s="0" t="s">
        <v>184</v>
      </c>
    </row>
    <row r="70603" customFormat="false" ht="12.8" hidden="false" customHeight="false" outlineLevel="0" collapsed="false">
      <c r="B70603" s="0" t="s">
        <v>14</v>
      </c>
      <c r="C70603" s="0" t="s">
        <v>567</v>
      </c>
      <c r="D70603" s="0" t="s">
        <v>115</v>
      </c>
      <c r="E70603" s="0" t="s">
        <v>115</v>
      </c>
      <c r="F70603" s="0" t="s">
        <v>115</v>
      </c>
    </row>
    <row r="70605" customFormat="false" ht="12.8" hidden="false" customHeight="false" outlineLevel="0" collapsed="false">
      <c r="A70605" s="0" t="s">
        <v>23947</v>
      </c>
      <c r="B70605" s="0" t="str">
        <f aca="false">HYPERLINK("https://lindat.mff.cuni.cz/services/teitok/pdtc10/index.php?action=vallex&amp;frame=v-w9672f1", "znásilnit (v-w9672f1)")</f>
        <v>znásilnit (v-w9672f1)</v>
      </c>
    </row>
    <row r="70606" customFormat="false" ht="12.8" hidden="false" customHeight="false" outlineLevel="0" collapsed="false">
      <c r="B70606" s="0" t="s">
        <v>7</v>
      </c>
      <c r="C70606" s="0" t="s">
        <v>113</v>
      </c>
      <c r="D70606" s="0" t="s">
        <v>2062</v>
      </c>
      <c r="E70606" s="0" t="s">
        <v>2062</v>
      </c>
      <c r="F70606" s="0" t="s">
        <v>2062</v>
      </c>
    </row>
    <row r="70607" customFormat="false" ht="12.8" hidden="false" customHeight="false" outlineLevel="0" collapsed="false">
      <c r="B70607" s="0" t="s">
        <v>14</v>
      </c>
      <c r="C70607" s="0" t="s">
        <v>33</v>
      </c>
      <c r="D70607" s="0" t="s">
        <v>2065</v>
      </c>
      <c r="E70607" s="0" t="s">
        <v>2065</v>
      </c>
      <c r="F70607" s="0" t="s">
        <v>2065</v>
      </c>
    </row>
    <row r="70609" customFormat="false" ht="12.8" hidden="false" customHeight="false" outlineLevel="0" collapsed="false">
      <c r="A70609" s="0" t="s">
        <v>23948</v>
      </c>
      <c r="B70609" s="0" t="str">
        <f aca="false">HYPERLINK("https://lindat.mff.cuni.cz/services/teitok/pdtc10/index.php?action=vallex&amp;frame=v-w9672f2", "znásilnit (v-w9672f2)")</f>
        <v>znásilnit (v-w9672f2)</v>
      </c>
    </row>
    <row r="70610" customFormat="false" ht="12.8" hidden="false" customHeight="false" outlineLevel="0" collapsed="false">
      <c r="B70610" s="0" t="s">
        <v>7</v>
      </c>
      <c r="C70610" s="0" t="s">
        <v>113</v>
      </c>
      <c r="D70610" s="0" t="s">
        <v>113</v>
      </c>
      <c r="E70610" s="0" t="s">
        <v>113</v>
      </c>
      <c r="F70610" s="0" t="s">
        <v>113</v>
      </c>
    </row>
    <row r="70611" customFormat="false" ht="12.8" hidden="false" customHeight="false" outlineLevel="0" collapsed="false">
      <c r="B70611" s="0" t="s">
        <v>14</v>
      </c>
      <c r="C70611" s="0" t="s">
        <v>33</v>
      </c>
      <c r="D70611" s="0" t="s">
        <v>33</v>
      </c>
      <c r="E70611" s="0" t="s">
        <v>33</v>
      </c>
      <c r="F70611" s="0" t="s">
        <v>33</v>
      </c>
    </row>
    <row r="70613" customFormat="false" ht="12.8" hidden="false" customHeight="false" outlineLevel="0" collapsed="false">
      <c r="A70613" s="0" t="s">
        <v>23949</v>
      </c>
      <c r="B70613" s="0" t="str">
        <f aca="false">HYPERLINK("https://lindat.mff.cuni.cz/services/teitok/pdtc10/index.php?action=vallex&amp;frame=v-w9673f1", "znásilňovat (v-w9673f1)")</f>
        <v>znásilňovat (v-w9673f1)</v>
      </c>
    </row>
    <row r="70614" customFormat="false" ht="12.8" hidden="false" customHeight="false" outlineLevel="0" collapsed="false">
      <c r="B70614" s="0" t="s">
        <v>7</v>
      </c>
      <c r="D70614" s="0" t="s">
        <v>113</v>
      </c>
      <c r="E70614" s="0" t="s">
        <v>113</v>
      </c>
      <c r="F70614" s="0" t="s">
        <v>113</v>
      </c>
    </row>
    <row r="70615" customFormat="false" ht="12.8" hidden="false" customHeight="false" outlineLevel="0" collapsed="false">
      <c r="B70615" s="0" t="s">
        <v>14</v>
      </c>
      <c r="D70615" s="0" t="s">
        <v>33</v>
      </c>
      <c r="E70615" s="0" t="s">
        <v>33</v>
      </c>
      <c r="F70615" s="0" t="s">
        <v>33</v>
      </c>
    </row>
    <row r="70617" customFormat="false" ht="12.8" hidden="false" customHeight="false" outlineLevel="0" collapsed="false">
      <c r="A70617" s="0" t="s">
        <v>23950</v>
      </c>
      <c r="B70617" s="0" t="str">
        <f aca="false">HYPERLINK("https://lindat.mff.cuni.cz/services/teitok/pdtc10/index.php?action=vallex&amp;frame=v-w9673f3", "znásilňovat (v-w9673f3)")</f>
        <v>znásilňovat (v-w9673f3)</v>
      </c>
    </row>
    <row r="70618" customFormat="false" ht="12.8" hidden="false" customHeight="false" outlineLevel="0" collapsed="false">
      <c r="B70618" s="0" t="s">
        <v>7</v>
      </c>
      <c r="D70618" s="0" t="s">
        <v>2062</v>
      </c>
      <c r="E70618" s="0" t="s">
        <v>2062</v>
      </c>
      <c r="F70618" s="0" t="s">
        <v>2062</v>
      </c>
    </row>
    <row r="70619" customFormat="false" ht="12.8" hidden="false" customHeight="false" outlineLevel="0" collapsed="false">
      <c r="B70619" s="0" t="s">
        <v>14</v>
      </c>
      <c r="D70619" s="0" t="s">
        <v>2065</v>
      </c>
      <c r="E70619" s="0" t="s">
        <v>2065</v>
      </c>
      <c r="F70619" s="0" t="s">
        <v>2065</v>
      </c>
    </row>
    <row r="70621" customFormat="false" ht="12.8" hidden="false" customHeight="false" outlineLevel="0" collapsed="false">
      <c r="A70621" s="0" t="s">
        <v>23951</v>
      </c>
      <c r="B70621" s="0" t="str">
        <f aca="false">HYPERLINK("https://lindat.mff.cuni.cz/services/teitok/pdtc10/index.php?action=vallex&amp;frame=v-w9674f2_ZU", "znásobit (v-w9674f2_ZU)")</f>
        <v>znásobit (v-w9674f2_ZU)</v>
      </c>
    </row>
    <row r="70622" customFormat="false" ht="12.8" hidden="false" customHeight="false" outlineLevel="0" collapsed="false">
      <c r="B70622" s="0" t="s">
        <v>7</v>
      </c>
      <c r="C70622" s="0" t="s">
        <v>10431</v>
      </c>
      <c r="D70622" s="0" t="s">
        <v>6436</v>
      </c>
      <c r="E70622" s="0" t="s">
        <v>6436</v>
      </c>
      <c r="F70622" s="0" t="s">
        <v>6436</v>
      </c>
    </row>
    <row r="70623" customFormat="false" ht="12.8" hidden="false" customHeight="false" outlineLevel="0" collapsed="false">
      <c r="B70623" s="0" t="s">
        <v>14</v>
      </c>
      <c r="C70623" s="0" t="s">
        <v>3883</v>
      </c>
      <c r="D70623" s="0" t="s">
        <v>6437</v>
      </c>
      <c r="E70623" s="0" t="s">
        <v>6437</v>
      </c>
      <c r="F70623" s="0" t="s">
        <v>6437</v>
      </c>
    </row>
    <row r="70624" customFormat="false" ht="12.8" hidden="false" customHeight="false" outlineLevel="0" collapsed="false">
      <c r="B70624" s="0" t="s">
        <v>35</v>
      </c>
      <c r="C70624" s="0" t="s">
        <v>19994</v>
      </c>
      <c r="D70624" s="0" t="s">
        <v>6438</v>
      </c>
      <c r="E70624" s="0" t="s">
        <v>6438</v>
      </c>
      <c r="F70624" s="0" t="s">
        <v>6438</v>
      </c>
    </row>
    <row r="70625" customFormat="false" ht="12.8" hidden="false" customHeight="false" outlineLevel="0" collapsed="false">
      <c r="B70625" s="0" t="s">
        <v>84</v>
      </c>
      <c r="C70625" s="0" t="s">
        <v>10002</v>
      </c>
      <c r="D70625" s="0" t="s">
        <v>6440</v>
      </c>
      <c r="E70625" s="0" t="s">
        <v>6440</v>
      </c>
      <c r="F70625" s="0" t="s">
        <v>6440</v>
      </c>
    </row>
    <row r="70627" customFormat="false" ht="12.8" hidden="false" customHeight="false" outlineLevel="0" collapsed="false">
      <c r="A70627" s="0" t="s">
        <v>23952</v>
      </c>
      <c r="B70627" s="0" t="str">
        <f aca="false">HYPERLINK("https://lindat.mff.cuni.cz/services/teitok/pdtc10/index.php?action=vallex&amp;frame=v-w9674f1", "znásobit (v-w9674f1)")</f>
        <v>znásobit (v-w9674f1)</v>
      </c>
    </row>
    <row r="70628" customFormat="false" ht="12.8" hidden="false" customHeight="false" outlineLevel="0" collapsed="false">
      <c r="B70628" s="0" t="s">
        <v>7</v>
      </c>
      <c r="C70628" s="0" t="s">
        <v>31</v>
      </c>
      <c r="D70628" s="0" t="s">
        <v>247</v>
      </c>
      <c r="E70628" s="0" t="s">
        <v>247</v>
      </c>
      <c r="F70628" s="0" t="s">
        <v>247</v>
      </c>
    </row>
    <row r="70629" customFormat="false" ht="12.8" hidden="false" customHeight="false" outlineLevel="0" collapsed="false">
      <c r="B70629" s="0" t="s">
        <v>14</v>
      </c>
      <c r="C70629" s="0" t="s">
        <v>33</v>
      </c>
      <c r="D70629" s="0" t="s">
        <v>155</v>
      </c>
      <c r="E70629" s="0" t="s">
        <v>155</v>
      </c>
      <c r="F70629" s="0" t="s">
        <v>155</v>
      </c>
    </row>
    <row r="70631" customFormat="false" ht="12.8" hidden="false" customHeight="false" outlineLevel="0" collapsed="false">
      <c r="A70631" s="0" t="s">
        <v>23953</v>
      </c>
      <c r="B70631" s="0" t="str">
        <f aca="false">HYPERLINK("https://lindat.mff.cuni.cz/services/teitok/pdtc10/index.php?action=vallex&amp;frame=v-w11675_ZUf1_ZU", "znásobit se (v-w11675_ZUf1_ZU)")</f>
        <v>znásobit se (v-w11675_ZUf1_ZU)</v>
      </c>
    </row>
    <row r="70632" customFormat="false" ht="12.8" hidden="false" customHeight="false" outlineLevel="0" collapsed="false">
      <c r="B70632" s="0" t="s">
        <v>7</v>
      </c>
      <c r="C70632" s="0" t="s">
        <v>247</v>
      </c>
      <c r="D70632" s="0" t="s">
        <v>247</v>
      </c>
      <c r="E70632" s="0" t="s">
        <v>247</v>
      </c>
      <c r="F70632" s="0" t="s">
        <v>247</v>
      </c>
    </row>
    <row r="70633" customFormat="false" ht="12.8" hidden="false" customHeight="false" outlineLevel="0" collapsed="false">
      <c r="B70633" s="0" t="s">
        <v>63</v>
      </c>
    </row>
    <row r="70634" customFormat="false" ht="12.8" hidden="false" customHeight="false" outlineLevel="0" collapsed="false">
      <c r="B70634" s="0" t="s">
        <v>35</v>
      </c>
    </row>
    <row r="70636" customFormat="false" ht="12.8" hidden="false" customHeight="false" outlineLevel="0" collapsed="false">
      <c r="A70636" s="0" t="s">
        <v>23954</v>
      </c>
      <c r="B70636" s="0" t="str">
        <f aca="false">HYPERLINK("https://lindat.mff.cuni.cz/services/teitok/pdtc10/index.php?action=vallex&amp;frame=v-w10409f2", "znásobovat (v-w10409f2)")</f>
        <v>znásobovat (v-w10409f2)</v>
      </c>
    </row>
    <row r="70637" customFormat="false" ht="12.8" hidden="false" customHeight="false" outlineLevel="0" collapsed="false">
      <c r="B70637" s="0" t="s">
        <v>7</v>
      </c>
      <c r="C70637" s="0" t="s">
        <v>191</v>
      </c>
      <c r="D70637" s="0" t="s">
        <v>7524</v>
      </c>
      <c r="E70637" s="0" t="s">
        <v>7524</v>
      </c>
      <c r="F70637" s="0" t="s">
        <v>7524</v>
      </c>
    </row>
    <row r="70638" customFormat="false" ht="12.8" hidden="false" customHeight="false" outlineLevel="0" collapsed="false">
      <c r="B70638" s="0" t="s">
        <v>14</v>
      </c>
      <c r="C70638" s="0" t="s">
        <v>155</v>
      </c>
      <c r="D70638" s="0" t="s">
        <v>210</v>
      </c>
      <c r="E70638" s="0" t="s">
        <v>210</v>
      </c>
      <c r="F70638" s="0" t="s">
        <v>210</v>
      </c>
    </row>
    <row r="70640" customFormat="false" ht="12.8" hidden="false" customHeight="false" outlineLevel="0" collapsed="false">
      <c r="A70640" s="0" t="s">
        <v>23955</v>
      </c>
      <c r="B70640" s="0" t="str">
        <f aca="false">HYPERLINK("https://lindat.mff.cuni.cz/services/teitok/pdtc10/index.php?action=vallex&amp;frame=v-whsa_921hsa_922", "znásobovat se (v-whsa_921hsa_922)")</f>
        <v>znásobovat se (v-whsa_921hsa_922)</v>
      </c>
    </row>
    <row r="70641" customFormat="false" ht="12.8" hidden="false" customHeight="false" outlineLevel="0" collapsed="false">
      <c r="B70641" s="0" t="s">
        <v>7</v>
      </c>
      <c r="C70641" s="0" t="s">
        <v>1378</v>
      </c>
      <c r="D70641" s="0" t="s">
        <v>247</v>
      </c>
      <c r="E70641" s="0" t="s">
        <v>247</v>
      </c>
      <c r="F70641" s="0" t="s">
        <v>247</v>
      </c>
    </row>
    <row r="70642" customFormat="false" ht="12.8" hidden="false" customHeight="false" outlineLevel="0" collapsed="false">
      <c r="B70642" s="0" t="s">
        <v>63</v>
      </c>
    </row>
    <row r="70643" customFormat="false" ht="12.8" hidden="false" customHeight="false" outlineLevel="0" collapsed="false">
      <c r="B70643" s="0" t="s">
        <v>35</v>
      </c>
    </row>
    <row r="70645" customFormat="false" ht="12.8" hidden="false" customHeight="false" outlineLevel="0" collapsed="false">
      <c r="A70645" s="0" t="s">
        <v>23956</v>
      </c>
      <c r="B70645" s="0" t="str">
        <f aca="false">HYPERLINK("https://lindat.mff.cuni.cz/services/teitok/pdtc10/index.php?action=vallex&amp;frame=v-w9675f1", "znát (v-w9675f1)")</f>
        <v>znát (v-w9675f1)</v>
      </c>
    </row>
    <row r="70646" customFormat="false" ht="12.8" hidden="false" customHeight="false" outlineLevel="0" collapsed="false">
      <c r="B70646" s="0" t="s">
        <v>7</v>
      </c>
      <c r="C70646" s="0" t="s">
        <v>23957</v>
      </c>
      <c r="D70646" s="0" t="s">
        <v>2256</v>
      </c>
      <c r="E70646" s="0" t="s">
        <v>2256</v>
      </c>
      <c r="F70646" s="0" t="s">
        <v>2256</v>
      </c>
    </row>
    <row r="70647" customFormat="false" ht="12.8" hidden="false" customHeight="false" outlineLevel="0" collapsed="false">
      <c r="B70647" s="0" t="s">
        <v>14</v>
      </c>
      <c r="C70647" s="0" t="s">
        <v>23958</v>
      </c>
      <c r="D70647" s="0" t="s">
        <v>2259</v>
      </c>
      <c r="E70647" s="0" t="s">
        <v>2259</v>
      </c>
      <c r="F70647" s="0" t="s">
        <v>2259</v>
      </c>
    </row>
    <row r="70648" customFormat="false" ht="12.8" hidden="false" customHeight="false" outlineLevel="0" collapsed="false">
      <c r="B70648" s="0" t="s">
        <v>1349</v>
      </c>
      <c r="D70648" s="0" t="s">
        <v>2260</v>
      </c>
      <c r="E70648" s="0" t="s">
        <v>2260</v>
      </c>
      <c r="F70648" s="0" t="s">
        <v>2260</v>
      </c>
    </row>
    <row r="70650" customFormat="false" ht="12.8" hidden="false" customHeight="false" outlineLevel="0" collapsed="false">
      <c r="A70650" s="0" t="s">
        <v>23959</v>
      </c>
      <c r="B70650" s="0" t="str">
        <f aca="false">HYPERLINK("https://lindat.mff.cuni.cz/services/teitok/pdtc10/index.php?action=vallex&amp;frame=v-w9675f6", "znát (v-w9675f6)")</f>
        <v>znát (v-w9675f6)</v>
      </c>
    </row>
    <row r="70651" customFormat="false" ht="12.8" hidden="false" customHeight="false" outlineLevel="0" collapsed="false">
      <c r="B70651" s="0" t="s">
        <v>7</v>
      </c>
      <c r="C70651" s="0" t="s">
        <v>21028</v>
      </c>
      <c r="D70651" s="0" t="s">
        <v>2256</v>
      </c>
      <c r="E70651" s="0" t="s">
        <v>2256</v>
      </c>
      <c r="F70651" s="0" t="s">
        <v>2256</v>
      </c>
    </row>
    <row r="70652" customFormat="false" ht="12.8" hidden="false" customHeight="false" outlineLevel="0" collapsed="false">
      <c r="B70652" s="0" t="s">
        <v>41</v>
      </c>
      <c r="D70652" s="0" t="s">
        <v>2259</v>
      </c>
      <c r="E70652" s="0" t="s">
        <v>2259</v>
      </c>
      <c r="F70652" s="0" t="s">
        <v>2259</v>
      </c>
    </row>
    <row r="70653" customFormat="false" ht="12.8" hidden="false" customHeight="false" outlineLevel="0" collapsed="false">
      <c r="B70653" s="0" t="s">
        <v>1925</v>
      </c>
      <c r="C70653" s="0" t="s">
        <v>23960</v>
      </c>
      <c r="D70653" s="0" t="s">
        <v>2258</v>
      </c>
      <c r="E70653" s="0" t="s">
        <v>2258</v>
      </c>
      <c r="F70653" s="0" t="s">
        <v>2258</v>
      </c>
    </row>
    <row r="70654" customFormat="false" ht="12.8" hidden="false" customHeight="false" outlineLevel="0" collapsed="false">
      <c r="B70654" s="0" t="s">
        <v>1349</v>
      </c>
      <c r="D70654" s="0" t="s">
        <v>2260</v>
      </c>
      <c r="E70654" s="0" t="s">
        <v>2260</v>
      </c>
      <c r="F70654" s="0" t="s">
        <v>2260</v>
      </c>
    </row>
    <row r="70656" customFormat="false" ht="12.8" hidden="false" customHeight="false" outlineLevel="0" collapsed="false">
      <c r="A70656" s="0" t="s">
        <v>23961</v>
      </c>
      <c r="B70656" s="0" t="str">
        <f aca="false">HYPERLINK("https://lindat.mff.cuni.cz/services/teitok/pdtc10/index.php?action=vallex&amp;frame=v-w9675f4", "znát (v-w9675f4)")</f>
        <v>znát (v-w9675f4)</v>
      </c>
    </row>
    <row r="70657" customFormat="false" ht="12.8" hidden="false" customHeight="false" outlineLevel="0" collapsed="false">
      <c r="B70657" s="0" t="s">
        <v>7</v>
      </c>
    </row>
    <row r="70658" customFormat="false" ht="12.8" hidden="false" customHeight="false" outlineLevel="0" collapsed="false">
      <c r="B70658" s="0" t="s">
        <v>14</v>
      </c>
    </row>
    <row r="70659" customFormat="false" ht="12.8" hidden="false" customHeight="false" outlineLevel="0" collapsed="false">
      <c r="B70659" s="0" t="s">
        <v>1358</v>
      </c>
    </row>
    <row r="70661" customFormat="false" ht="12.8" hidden="false" customHeight="false" outlineLevel="0" collapsed="false">
      <c r="A70661" s="0" t="s">
        <v>23962</v>
      </c>
      <c r="B70661" s="0" t="str">
        <f aca="false">HYPERLINK("https://lindat.mff.cuni.cz/services/teitok/pdtc10/index.php?action=vallex&amp;frame=v-w9675f3", "znát (v-w9675f3)")</f>
        <v>znát (v-w9675f3)</v>
      </c>
    </row>
    <row r="70662" customFormat="false" ht="12.8" hidden="false" customHeight="false" outlineLevel="0" collapsed="false">
      <c r="B70662" s="0" t="s">
        <v>7</v>
      </c>
    </row>
    <row r="70663" customFormat="false" ht="12.8" hidden="false" customHeight="false" outlineLevel="0" collapsed="false">
      <c r="B70663" s="0" t="s">
        <v>548</v>
      </c>
    </row>
    <row r="70664" customFormat="false" ht="12.8" hidden="false" customHeight="false" outlineLevel="0" collapsed="false">
      <c r="B70664" s="0" t="s">
        <v>1252</v>
      </c>
    </row>
    <row r="70666" customFormat="false" ht="12.8" hidden="false" customHeight="false" outlineLevel="0" collapsed="false">
      <c r="A70666" s="0" t="s">
        <v>23963</v>
      </c>
      <c r="B70666" s="0" t="str">
        <f aca="false">HYPERLINK("https://lindat.mff.cuni.cz/services/teitok/pdtc10/index.php?action=vallex&amp;frame=v-w9675f2", "znát (v-w9675f2)")</f>
        <v>znát (v-w9675f2)</v>
      </c>
    </row>
    <row r="70667" customFormat="false" ht="12.8" hidden="false" customHeight="false" outlineLevel="0" collapsed="false">
      <c r="B70667" s="0" t="s">
        <v>16737</v>
      </c>
      <c r="C70667" s="0" t="s">
        <v>23964</v>
      </c>
    </row>
    <row r="70668" customFormat="false" ht="12.8" hidden="false" customHeight="false" outlineLevel="0" collapsed="false">
      <c r="B70668" s="0" t="s">
        <v>14</v>
      </c>
      <c r="C70668" s="0" t="s">
        <v>21029</v>
      </c>
    </row>
    <row r="70670" customFormat="false" ht="12.8" hidden="false" customHeight="false" outlineLevel="0" collapsed="false">
      <c r="A70670" s="0" t="s">
        <v>23965</v>
      </c>
      <c r="B70670" s="0" t="str">
        <f aca="false">HYPERLINK("https://lindat.mff.cuni.cz/services/teitok/pdtc10/index.php?action=vallex&amp;frame=v-w9675f5", "znát (v-w9675f5)")</f>
        <v>znát (v-w9675f5)</v>
      </c>
    </row>
    <row r="70671" customFormat="false" ht="12.8" hidden="false" customHeight="false" outlineLevel="0" collapsed="false">
      <c r="B70671" s="0" t="s">
        <v>7</v>
      </c>
      <c r="C70671" s="0" t="s">
        <v>21028</v>
      </c>
      <c r="D70671" s="0" t="s">
        <v>2256</v>
      </c>
      <c r="E70671" s="0" t="s">
        <v>2256</v>
      </c>
      <c r="F70671" s="0" t="s">
        <v>2256</v>
      </c>
    </row>
    <row r="70672" customFormat="false" ht="12.8" hidden="false" customHeight="false" outlineLevel="0" collapsed="false">
      <c r="B70672" s="0" t="s">
        <v>21642</v>
      </c>
      <c r="C70672" s="0" t="s">
        <v>23960</v>
      </c>
      <c r="D70672" s="0" t="s">
        <v>2258</v>
      </c>
      <c r="E70672" s="0" t="s">
        <v>2258</v>
      </c>
      <c r="F70672" s="0" t="s">
        <v>2258</v>
      </c>
    </row>
    <row r="70673" customFormat="false" ht="12.8" hidden="false" customHeight="false" outlineLevel="0" collapsed="false">
      <c r="B70673" s="0" t="s">
        <v>363</v>
      </c>
      <c r="D70673" s="0" t="s">
        <v>2259</v>
      </c>
      <c r="E70673" s="0" t="s">
        <v>2259</v>
      </c>
      <c r="F70673" s="0" t="s">
        <v>2259</v>
      </c>
    </row>
    <row r="70674" customFormat="false" ht="12.8" hidden="false" customHeight="false" outlineLevel="0" collapsed="false">
      <c r="B70674" s="0" t="s">
        <v>1349</v>
      </c>
      <c r="D70674" s="0" t="s">
        <v>2260</v>
      </c>
      <c r="E70674" s="0" t="s">
        <v>2260</v>
      </c>
      <c r="F70674" s="0" t="s">
        <v>2260</v>
      </c>
    </row>
    <row r="70676" customFormat="false" ht="12.8" hidden="false" customHeight="false" outlineLevel="0" collapsed="false">
      <c r="A70676" s="0" t="s">
        <v>23966</v>
      </c>
      <c r="B70676" s="0" t="str">
        <f aca="false">HYPERLINK("https://lindat.mff.cuni.cz/services/teitok/pdtc10/index.php?action=vallex&amp;frame=v-w9676f1", "znát se (v-w9676f1)")</f>
        <v>znát se (v-w9676f1)</v>
      </c>
    </row>
    <row r="70677" customFormat="false" ht="12.8" hidden="false" customHeight="false" outlineLevel="0" collapsed="false">
      <c r="B70677" s="0" t="s">
        <v>7</v>
      </c>
    </row>
    <row r="70678" customFormat="false" ht="12.8" hidden="false" customHeight="false" outlineLevel="0" collapsed="false">
      <c r="B70678" s="0" t="s">
        <v>237</v>
      </c>
    </row>
    <row r="70680" customFormat="false" ht="12.8" hidden="false" customHeight="false" outlineLevel="0" collapsed="false">
      <c r="A70680" s="0" t="s">
        <v>23967</v>
      </c>
      <c r="B70680" s="0" t="str">
        <f aca="false">HYPERLINK("https://lindat.mff.cuni.cz/services/teitok/pdtc10/index.php?action=vallex&amp;frame=v-w9676hsa_167", "znát se (v-w9676hsa_167)")</f>
        <v>znát se (v-w9676hsa_167)</v>
      </c>
    </row>
    <row r="70681" customFormat="false" ht="12.8" hidden="false" customHeight="false" outlineLevel="0" collapsed="false">
      <c r="B70681" s="0" t="s">
        <v>7</v>
      </c>
    </row>
    <row r="70682" customFormat="false" ht="12.8" hidden="false" customHeight="false" outlineLevel="0" collapsed="false">
      <c r="B70682" s="0" t="s">
        <v>548</v>
      </c>
    </row>
    <row r="70684" customFormat="false" ht="12.8" hidden="false" customHeight="false" outlineLevel="0" collapsed="false">
      <c r="A70684" s="0" t="s">
        <v>23968</v>
      </c>
      <c r="B70684" s="0" t="str">
        <f aca="false">HYPERLINK("https://lindat.mff.cuni.cz/services/teitok/pdtc10/index.php?action=vallex&amp;frame=v-w9677f1", "znázorňovat (v-w9677f1)")</f>
        <v>znázorňovat (v-w9677f1)</v>
      </c>
    </row>
    <row r="70685" customFormat="false" ht="12.8" hidden="false" customHeight="false" outlineLevel="0" collapsed="false">
      <c r="B70685" s="0" t="s">
        <v>7</v>
      </c>
      <c r="C70685" s="0" t="s">
        <v>335</v>
      </c>
      <c r="D70685" s="0" t="s">
        <v>1514</v>
      </c>
      <c r="E70685" s="0" t="s">
        <v>1514</v>
      </c>
      <c r="F70685" s="0" t="s">
        <v>1514</v>
      </c>
    </row>
    <row r="70686" customFormat="false" ht="12.8" hidden="false" customHeight="false" outlineLevel="0" collapsed="false">
      <c r="B70686" s="0" t="s">
        <v>14</v>
      </c>
      <c r="C70686" s="0" t="s">
        <v>33</v>
      </c>
      <c r="D70686" s="0" t="s">
        <v>3565</v>
      </c>
      <c r="E70686" s="0" t="s">
        <v>3565</v>
      </c>
      <c r="F70686" s="0" t="s">
        <v>3565</v>
      </c>
    </row>
    <row r="70688" customFormat="false" ht="12.8" hidden="false" customHeight="false" outlineLevel="0" collapsed="false">
      <c r="A70688" s="0" t="s">
        <v>23969</v>
      </c>
      <c r="B70688" s="0" t="str">
        <f aca="false">HYPERLINK("https://lindat.mff.cuni.cz/services/teitok/pdtc10/index.php?action=vallex&amp;frame=v-w9729f4", "znít (v-w9729f4)")</f>
        <v>znít (v-w9729f4)</v>
      </c>
    </row>
    <row r="70689" customFormat="false" ht="12.8" hidden="false" customHeight="false" outlineLevel="0" collapsed="false">
      <c r="B70689" s="0" t="s">
        <v>7</v>
      </c>
      <c r="C70689" s="0" t="s">
        <v>498</v>
      </c>
    </row>
    <row r="70690" customFormat="false" ht="12.8" hidden="false" customHeight="false" outlineLevel="0" collapsed="false">
      <c r="B70690" s="0" t="s">
        <v>41</v>
      </c>
      <c r="C70690" s="0" t="s">
        <v>634</v>
      </c>
    </row>
    <row r="70692" customFormat="false" ht="12.8" hidden="false" customHeight="false" outlineLevel="0" collapsed="false">
      <c r="A70692" s="0" t="s">
        <v>23970</v>
      </c>
      <c r="B70692" s="0" t="str">
        <f aca="false">HYPERLINK("https://lindat.mff.cuni.cz/services/teitok/pdtc10/index.php?action=vallex&amp;frame=v-w9729f5", "znít (v-w9729f5)")</f>
        <v>znít (v-w9729f5)</v>
      </c>
    </row>
    <row r="70693" customFormat="false" ht="12.8" hidden="false" customHeight="false" outlineLevel="0" collapsed="false">
      <c r="B70693" s="0" t="s">
        <v>603</v>
      </c>
    </row>
    <row r="70694" customFormat="false" ht="12.8" hidden="false" customHeight="false" outlineLevel="0" collapsed="false">
      <c r="B70694" s="0" t="s">
        <v>11</v>
      </c>
    </row>
    <row r="70696" customFormat="false" ht="12.8" hidden="false" customHeight="false" outlineLevel="0" collapsed="false">
      <c r="A70696" s="0" t="s">
        <v>23971</v>
      </c>
      <c r="B70696" s="0" t="str">
        <f aca="false">HYPERLINK("https://lindat.mff.cuni.cz/services/teitok/pdtc10/index.php?action=vallex&amp;frame=v-w9729f6_ZU", "znít (v-w9729f6_ZU)")</f>
        <v>znít (v-w9729f6_ZU)</v>
      </c>
    </row>
    <row r="70697" customFormat="false" ht="12.8" hidden="false" customHeight="false" outlineLevel="0" collapsed="false">
      <c r="B70697" s="0" t="s">
        <v>7</v>
      </c>
    </row>
    <row r="70698" customFormat="false" ht="12.8" hidden="false" customHeight="false" outlineLevel="0" collapsed="false">
      <c r="B70698" s="0" t="s">
        <v>662</v>
      </c>
    </row>
    <row r="70700" customFormat="false" ht="12.8" hidden="false" customHeight="false" outlineLevel="0" collapsed="false">
      <c r="A70700" s="0" t="s">
        <v>23971</v>
      </c>
      <c r="B70700" s="0" t="str">
        <f aca="false">HYPERLINK("https://lindat.mff.cuni.cz/services/teitok/pdtc10/index.php?action=vallex&amp;frame=v-w9729f2", "znít (v-w9729f2) - substituted with v-w9729f6_ZU")</f>
        <v>znít (v-w9729f2) - substituted with v-w9729f6_ZU</v>
      </c>
    </row>
    <row r="70701" customFormat="false" ht="12.8" hidden="false" customHeight="false" outlineLevel="0" collapsed="false">
      <c r="B70701" s="0" t="s">
        <v>7</v>
      </c>
      <c r="C70701" s="0" t="s">
        <v>23972</v>
      </c>
      <c r="D70701" s="0" t="s">
        <v>4304</v>
      </c>
      <c r="E70701" s="0" t="s">
        <v>4304</v>
      </c>
      <c r="F70701" s="0" t="s">
        <v>4304</v>
      </c>
    </row>
    <row r="70702" customFormat="false" ht="12.8" hidden="false" customHeight="false" outlineLevel="0" collapsed="false">
      <c r="B70702" s="0" t="s">
        <v>662</v>
      </c>
      <c r="C70702" s="0" t="s">
        <v>23973</v>
      </c>
      <c r="D70702" s="0" t="s">
        <v>4314</v>
      </c>
      <c r="E70702" s="0" t="s">
        <v>4314</v>
      </c>
      <c r="F70702" s="0" t="s">
        <v>4314</v>
      </c>
    </row>
    <row r="70704" customFormat="false" ht="12.8" hidden="false" customHeight="false" outlineLevel="0" collapsed="false">
      <c r="A70704" s="0" t="s">
        <v>23974</v>
      </c>
      <c r="B70704" s="0" t="str">
        <f aca="false">HYPERLINK("https://lindat.mff.cuni.cz/services/teitok/pdtc10/index.php?action=vallex&amp;frame=v-w9729f3", "znít (v-w9729f3)")</f>
        <v>znít (v-w9729f3)</v>
      </c>
    </row>
    <row r="70705" customFormat="false" ht="12.8" hidden="false" customHeight="false" outlineLevel="0" collapsed="false">
      <c r="B70705" s="0" t="s">
        <v>641</v>
      </c>
      <c r="C70705" s="0" t="s">
        <v>23975</v>
      </c>
    </row>
    <row r="70707" customFormat="false" ht="12.8" hidden="false" customHeight="false" outlineLevel="0" collapsed="false">
      <c r="A70707" s="0" t="s">
        <v>23976</v>
      </c>
      <c r="B70707" s="0" t="str">
        <f aca="false">HYPERLINK("https://lindat.mff.cuni.cz/services/teitok/pdtc10/index.php?action=vallex&amp;frame=v-w9729f1", "znít (v-w9729f1)")</f>
        <v>znít (v-w9729f1)</v>
      </c>
    </row>
    <row r="70708" customFormat="false" ht="12.8" hidden="false" customHeight="false" outlineLevel="0" collapsed="false">
      <c r="B70708" s="0" t="s">
        <v>7</v>
      </c>
      <c r="C70708" s="0" t="s">
        <v>23977</v>
      </c>
      <c r="D70708" s="0" t="s">
        <v>1627</v>
      </c>
      <c r="E70708" s="0" t="s">
        <v>1627</v>
      </c>
      <c r="F70708" s="0" t="s">
        <v>1627</v>
      </c>
    </row>
    <row r="70710" customFormat="false" ht="12.8" hidden="false" customHeight="false" outlineLevel="0" collapsed="false">
      <c r="A70710" s="0" t="s">
        <v>23978</v>
      </c>
      <c r="B70710" s="0" t="str">
        <f aca="false">HYPERLINK("https://lindat.mff.cuni.cz/services/teitok/pdtc10/index.php?action=vallex&amp;frame=v-w9696f1", "zněkolikanásobit (v-w9696f1)")</f>
        <v>zněkolikanásobit (v-w9696f1)</v>
      </c>
    </row>
    <row r="70711" customFormat="false" ht="12.8" hidden="false" customHeight="false" outlineLevel="0" collapsed="false">
      <c r="B70711" s="0" t="s">
        <v>7</v>
      </c>
    </row>
    <row r="70712" customFormat="false" ht="12.8" hidden="false" customHeight="false" outlineLevel="0" collapsed="false">
      <c r="B70712" s="0" t="s">
        <v>14</v>
      </c>
    </row>
    <row r="70714" customFormat="false" ht="12.8" hidden="false" customHeight="false" outlineLevel="0" collapsed="false">
      <c r="A70714" s="0" t="s">
        <v>23979</v>
      </c>
      <c r="B70714" s="0" t="str">
        <f aca="false">HYPERLINK("https://lindat.mff.cuni.cz/services/teitok/pdtc10/index.php?action=vallex&amp;frame=v-w9744f1", "zobchodovat (v-w9744f1)")</f>
        <v>zobchodovat (v-w9744f1)</v>
      </c>
    </row>
    <row r="70715" customFormat="false" ht="12.8" hidden="false" customHeight="false" outlineLevel="0" collapsed="false">
      <c r="B70715" s="0" t="s">
        <v>7</v>
      </c>
    </row>
    <row r="70716" customFormat="false" ht="12.8" hidden="false" customHeight="false" outlineLevel="0" collapsed="false">
      <c r="B70716" s="0" t="s">
        <v>14</v>
      </c>
    </row>
    <row r="70717" customFormat="false" ht="12.8" hidden="false" customHeight="false" outlineLevel="0" collapsed="false">
      <c r="B70717" s="0" t="s">
        <v>106</v>
      </c>
    </row>
    <row r="70719" customFormat="false" ht="12.8" hidden="false" customHeight="false" outlineLevel="0" collapsed="false">
      <c r="A70719" s="0" t="s">
        <v>23980</v>
      </c>
      <c r="B70719" s="0" t="str">
        <f aca="false">HYPERLINK("https://lindat.mff.cuni.cz/services/teitok/pdtc10/index.php?action=vallex&amp;frame=v-w10990f2", "zobecňovat (v-w10990f2)")</f>
        <v>zobecňovat (v-w10990f2)</v>
      </c>
    </row>
    <row r="70720" customFormat="false" ht="12.8" hidden="false" customHeight="false" outlineLevel="0" collapsed="false">
      <c r="B70720" s="0" t="s">
        <v>7</v>
      </c>
    </row>
    <row r="70721" customFormat="false" ht="12.8" hidden="false" customHeight="false" outlineLevel="0" collapsed="false">
      <c r="B70721" s="0" t="s">
        <v>232</v>
      </c>
      <c r="C70721" s="0" t="s">
        <v>155</v>
      </c>
      <c r="D70721" s="0" t="s">
        <v>47</v>
      </c>
      <c r="E70721" s="0" t="s">
        <v>155</v>
      </c>
      <c r="F70721" s="0" t="s">
        <v>155</v>
      </c>
    </row>
    <row r="70723" customFormat="false" ht="12.8" hidden="false" customHeight="false" outlineLevel="0" collapsed="false">
      <c r="A70723" s="0" t="s">
        <v>23981</v>
      </c>
      <c r="B70723" s="0" t="str">
        <f aca="false">HYPERLINK("https://lindat.mff.cuni.cz/services/teitok/pdtc10/index.php?action=vallex&amp;frame=v-w9745f1", "zobrazit (v-w9745f1)")</f>
        <v>zobrazit (v-w9745f1)</v>
      </c>
    </row>
    <row r="70724" customFormat="false" ht="12.8" hidden="false" customHeight="false" outlineLevel="0" collapsed="false">
      <c r="B70724" s="0" t="s">
        <v>7</v>
      </c>
      <c r="C70724" s="0" t="s">
        <v>88</v>
      </c>
      <c r="D70724" s="0" t="s">
        <v>4179</v>
      </c>
      <c r="E70724" s="0" t="s">
        <v>4179</v>
      </c>
      <c r="F70724" s="0" t="s">
        <v>4179</v>
      </c>
    </row>
    <row r="70725" customFormat="false" ht="12.8" hidden="false" customHeight="false" outlineLevel="0" collapsed="false">
      <c r="B70725" s="0" t="s">
        <v>14</v>
      </c>
      <c r="C70725" s="0" t="s">
        <v>23982</v>
      </c>
      <c r="D70725" s="0" t="s">
        <v>4181</v>
      </c>
      <c r="E70725" s="0" t="s">
        <v>4181</v>
      </c>
      <c r="F70725" s="0" t="s">
        <v>4181</v>
      </c>
    </row>
    <row r="70727" customFormat="false" ht="12.8" hidden="false" customHeight="false" outlineLevel="0" collapsed="false">
      <c r="A70727" s="0" t="s">
        <v>23983</v>
      </c>
      <c r="B70727" s="0" t="str">
        <f aca="false">HYPERLINK("https://lindat.mff.cuni.cz/services/teitok/pdtc10/index.php?action=vallex&amp;frame=v-w9745hsa_1959", "zobrazit (v-w9745hsa_1959)")</f>
        <v>zobrazit (v-w9745hsa_1959)</v>
      </c>
    </row>
    <row r="70728" customFormat="false" ht="12.8" hidden="false" customHeight="false" outlineLevel="0" collapsed="false">
      <c r="B70728" s="0" t="s">
        <v>7</v>
      </c>
    </row>
    <row r="70729" customFormat="false" ht="12.8" hidden="false" customHeight="false" outlineLevel="0" collapsed="false">
      <c r="B70729" s="0" t="s">
        <v>14</v>
      </c>
    </row>
    <row r="70731" customFormat="false" ht="12.8" hidden="false" customHeight="false" outlineLevel="0" collapsed="false">
      <c r="A70731" s="0" t="s">
        <v>23984</v>
      </c>
      <c r="B70731" s="0" t="str">
        <f aca="false">HYPERLINK("https://lindat.mff.cuni.cz/services/teitok/pdtc10/index.php?action=vallex&amp;frame=v-w11651_ZUf2_ZU", "zobrazit se (v-w11651_ZUf2_ZU)")</f>
        <v>zobrazit se (v-w11651_ZUf2_ZU)</v>
      </c>
    </row>
    <row r="70732" customFormat="false" ht="12.8" hidden="false" customHeight="false" outlineLevel="0" collapsed="false">
      <c r="B70732" s="0" t="s">
        <v>7</v>
      </c>
      <c r="C70732" s="0" t="s">
        <v>88</v>
      </c>
    </row>
    <row r="70733" customFormat="false" ht="12.8" hidden="false" customHeight="false" outlineLevel="0" collapsed="false">
      <c r="B70733" s="0" t="s">
        <v>1059</v>
      </c>
      <c r="C70733" s="0" t="s">
        <v>23985</v>
      </c>
    </row>
    <row r="70735" customFormat="false" ht="12.8" hidden="false" customHeight="false" outlineLevel="0" collapsed="false">
      <c r="A70735" s="0" t="s">
        <v>23984</v>
      </c>
      <c r="B70735" s="0" t="str">
        <f aca="false">HYPERLINK("https://lindat.mff.cuni.cz/services/teitok/pdtc10/index.php?action=vallex&amp;frame=v-w11651_ZUf1_ZU", "zobrazit se (v-w11651_ZUf1_ZU) - substituted with v-w11651_ZUf2_ZU")</f>
        <v>zobrazit se (v-w11651_ZUf1_ZU) - substituted with v-w11651_ZUf2_ZU</v>
      </c>
    </row>
    <row r="70736" customFormat="false" ht="12.8" hidden="false" customHeight="false" outlineLevel="0" collapsed="false">
      <c r="B70736" s="0" t="s">
        <v>7</v>
      </c>
    </row>
    <row r="70737" customFormat="false" ht="12.8" hidden="false" customHeight="false" outlineLevel="0" collapsed="false">
      <c r="B70737" s="0" t="s">
        <v>1059</v>
      </c>
    </row>
    <row r="70739" customFormat="false" ht="12.8" hidden="false" customHeight="false" outlineLevel="0" collapsed="false">
      <c r="A70739" s="0" t="s">
        <v>23986</v>
      </c>
      <c r="B70739" s="0" t="str">
        <f aca="false">HYPERLINK("https://lindat.mff.cuni.cz/services/teitok/pdtc10/index.php?action=vallex&amp;frame=v-w9747f1", "zobrazovat (v-w9747f1)")</f>
        <v>zobrazovat (v-w9747f1)</v>
      </c>
    </row>
    <row r="70740" customFormat="false" ht="12.8" hidden="false" customHeight="false" outlineLevel="0" collapsed="false">
      <c r="B70740" s="0" t="s">
        <v>7</v>
      </c>
      <c r="C70740" s="0" t="s">
        <v>23987</v>
      </c>
      <c r="D70740" s="0" t="s">
        <v>4179</v>
      </c>
      <c r="E70740" s="0" t="s">
        <v>4179</v>
      </c>
      <c r="F70740" s="0" t="s">
        <v>4179</v>
      </c>
    </row>
    <row r="70741" customFormat="false" ht="12.8" hidden="false" customHeight="false" outlineLevel="0" collapsed="false">
      <c r="B70741" s="0" t="s">
        <v>14</v>
      </c>
      <c r="C70741" s="0" t="s">
        <v>23988</v>
      </c>
      <c r="D70741" s="0" t="s">
        <v>4181</v>
      </c>
      <c r="E70741" s="0" t="s">
        <v>4181</v>
      </c>
      <c r="F70741" s="0" t="s">
        <v>4181</v>
      </c>
    </row>
    <row r="70743" customFormat="false" ht="12.8" hidden="false" customHeight="false" outlineLevel="0" collapsed="false">
      <c r="A70743" s="0" t="s">
        <v>23989</v>
      </c>
      <c r="B70743" s="0" t="str">
        <f aca="false">HYPERLINK("https://lindat.mff.cuni.cz/services/teitok/pdtc10/index.php?action=vallex&amp;frame=v-whsa_1937hsa_1938", "zobrazovat se (v-whsa_1937hsa_1938)")</f>
        <v>zobrazovat se (v-whsa_1937hsa_1938)</v>
      </c>
    </row>
    <row r="70744" customFormat="false" ht="12.8" hidden="false" customHeight="false" outlineLevel="0" collapsed="false">
      <c r="B70744" s="0" t="s">
        <v>7</v>
      </c>
    </row>
    <row r="70746" customFormat="false" ht="12.8" hidden="false" customHeight="false" outlineLevel="0" collapsed="false">
      <c r="A70746" s="0" t="s">
        <v>23990</v>
      </c>
      <c r="B70746" s="0" t="str">
        <f aca="false">HYPERLINK("https://lindat.mff.cuni.cz/services/teitok/pdtc10/index.php?action=vallex&amp;frame=v-w11439f1", "zocelit (v-w11439f1)")</f>
        <v>zocelit (v-w11439f1)</v>
      </c>
    </row>
    <row r="70747" customFormat="false" ht="12.8" hidden="false" customHeight="false" outlineLevel="0" collapsed="false">
      <c r="B70747" s="0" t="s">
        <v>7</v>
      </c>
    </row>
    <row r="70748" customFormat="false" ht="12.8" hidden="false" customHeight="false" outlineLevel="0" collapsed="false">
      <c r="B70748" s="0" t="s">
        <v>14</v>
      </c>
    </row>
    <row r="70750" customFormat="false" ht="12.8" hidden="false" customHeight="false" outlineLevel="0" collapsed="false">
      <c r="A70750" s="0" t="s">
        <v>23991</v>
      </c>
      <c r="B70750" s="0" t="str">
        <f aca="false">HYPERLINK("https://lindat.mff.cuni.cz/services/teitok/pdtc10/index.php?action=vallex&amp;frame=v-whsa_548hsa_549", "zocelit se (v-whsa_548hsa_549)")</f>
        <v>zocelit se (v-whsa_548hsa_549)</v>
      </c>
    </row>
    <row r="70751" customFormat="false" ht="12.8" hidden="false" customHeight="false" outlineLevel="0" collapsed="false">
      <c r="B70751" s="0" t="s">
        <v>7</v>
      </c>
    </row>
    <row r="70753" customFormat="false" ht="12.8" hidden="false" customHeight="false" outlineLevel="0" collapsed="false">
      <c r="A70753" s="0" t="s">
        <v>23992</v>
      </c>
      <c r="B70753" s="0" t="str">
        <f aca="false">HYPERLINK("https://lindat.mff.cuni.cz/services/teitok/pdtc10/index.php?action=vallex&amp;frame=v-w9755f1", "zodpovídat (v-w9755f1)")</f>
        <v>zodpovídat (v-w9755f1)</v>
      </c>
    </row>
    <row r="70754" customFormat="false" ht="12.8" hidden="false" customHeight="false" outlineLevel="0" collapsed="false">
      <c r="B70754" s="0" t="s">
        <v>7</v>
      </c>
    </row>
    <row r="70755" customFormat="false" ht="12.8" hidden="false" customHeight="false" outlineLevel="0" collapsed="false">
      <c r="B70755" s="0" t="s">
        <v>491</v>
      </c>
    </row>
    <row r="70756" customFormat="false" ht="12.8" hidden="false" customHeight="false" outlineLevel="0" collapsed="false">
      <c r="B70756" s="0" t="s">
        <v>106</v>
      </c>
    </row>
    <row r="70758" customFormat="false" ht="12.8" hidden="false" customHeight="false" outlineLevel="0" collapsed="false">
      <c r="A70758" s="0" t="s">
        <v>23993</v>
      </c>
      <c r="B70758" s="0" t="str">
        <f aca="false">HYPERLINK("https://lindat.mff.cuni.cz/services/teitok/pdtc10/index.php?action=vallex&amp;frame=v-w9755f2_ZU", "zodpovídat (v-w9755f2_ZU)")</f>
        <v>zodpovídat (v-w9755f2_ZU)</v>
      </c>
    </row>
    <row r="70759" customFormat="false" ht="12.8" hidden="false" customHeight="false" outlineLevel="0" collapsed="false">
      <c r="B70759" s="0" t="s">
        <v>7</v>
      </c>
    </row>
    <row r="70760" customFormat="false" ht="12.8" hidden="false" customHeight="false" outlineLevel="0" collapsed="false">
      <c r="B70760" s="0" t="s">
        <v>106</v>
      </c>
    </row>
    <row r="70761" customFormat="false" ht="12.8" hidden="false" customHeight="false" outlineLevel="0" collapsed="false">
      <c r="B70761" s="0" t="s">
        <v>14</v>
      </c>
    </row>
    <row r="70763" customFormat="false" ht="12.8" hidden="false" customHeight="false" outlineLevel="0" collapsed="false">
      <c r="A70763" s="0" t="s">
        <v>23994</v>
      </c>
      <c r="B70763" s="0" t="str">
        <f aca="false">HYPERLINK("https://lindat.mff.cuni.cz/services/teitok/pdtc10/index.php?action=vallex&amp;frame=v-w9756hsa_67", "zodpovídat se (v-w9756hsa_67)")</f>
        <v>zodpovídat se (v-w9756hsa_67)</v>
      </c>
    </row>
    <row r="70764" customFormat="false" ht="12.8" hidden="false" customHeight="false" outlineLevel="0" collapsed="false">
      <c r="B70764" s="0" t="s">
        <v>7</v>
      </c>
      <c r="E70764" s="0" t="s">
        <v>108</v>
      </c>
      <c r="F70764" s="0" t="s">
        <v>108</v>
      </c>
    </row>
    <row r="70765" customFormat="false" ht="12.8" hidden="false" customHeight="false" outlineLevel="0" collapsed="false">
      <c r="B70765" s="0" t="s">
        <v>23995</v>
      </c>
      <c r="E70765" s="0" t="s">
        <v>120</v>
      </c>
      <c r="F70765" s="0" t="s">
        <v>120</v>
      </c>
    </row>
    <row r="70766" customFormat="false" ht="12.8" hidden="false" customHeight="false" outlineLevel="0" collapsed="false">
      <c r="B70766" s="0" t="s">
        <v>48</v>
      </c>
      <c r="C70766" s="0" t="s">
        <v>3323</v>
      </c>
    </row>
    <row r="70768" customFormat="false" ht="12.8" hidden="false" customHeight="false" outlineLevel="0" collapsed="false">
      <c r="A70768" s="0" t="s">
        <v>23994</v>
      </c>
      <c r="B70768" s="0" t="str">
        <f aca="false">HYPERLINK("https://lindat.mff.cuni.cz/services/teitok/pdtc10/index.php?action=vallex&amp;frame=v-w9756f1", "zodpovídat se (v-w9756f1) - substituted with v-w9756hsa_67")</f>
        <v>zodpovídat se (v-w9756f1) - substituted with v-w9756hsa_67</v>
      </c>
    </row>
    <row r="70769" customFormat="false" ht="12.8" hidden="false" customHeight="false" outlineLevel="0" collapsed="false">
      <c r="B70769" s="0" t="s">
        <v>7</v>
      </c>
    </row>
    <row r="70770" customFormat="false" ht="12.8" hidden="false" customHeight="false" outlineLevel="0" collapsed="false">
      <c r="B70770" s="0" t="s">
        <v>23995</v>
      </c>
    </row>
    <row r="70771" customFormat="false" ht="12.8" hidden="false" customHeight="false" outlineLevel="0" collapsed="false">
      <c r="B70771" s="0" t="s">
        <v>48</v>
      </c>
    </row>
    <row r="70773" customFormat="false" ht="12.8" hidden="false" customHeight="false" outlineLevel="0" collapsed="false">
      <c r="A70773" s="0" t="s">
        <v>23996</v>
      </c>
      <c r="B70773" s="0" t="str">
        <f aca="false">HYPERLINK("https://lindat.mff.cuni.cz/services/teitok/pdtc10/index.php?action=vallex&amp;frame=v-w9750f1", "zodpovědět (v-w9750f1)")</f>
        <v>zodpovědět (v-w9750f1)</v>
      </c>
    </row>
    <row r="70774" customFormat="false" ht="12.8" hidden="false" customHeight="false" outlineLevel="0" collapsed="false">
      <c r="B70774" s="0" t="s">
        <v>7</v>
      </c>
      <c r="C70774" s="0" t="s">
        <v>2170</v>
      </c>
    </row>
    <row r="70775" customFormat="false" ht="12.8" hidden="false" customHeight="false" outlineLevel="0" collapsed="false">
      <c r="B70775" s="0" t="s">
        <v>23997</v>
      </c>
      <c r="C70775" s="0" t="s">
        <v>2887</v>
      </c>
    </row>
    <row r="70776" customFormat="false" ht="12.8" hidden="false" customHeight="false" outlineLevel="0" collapsed="false">
      <c r="B70776" s="0" t="s">
        <v>48</v>
      </c>
    </row>
    <row r="70778" customFormat="false" ht="12.8" hidden="false" customHeight="false" outlineLevel="0" collapsed="false">
      <c r="A70778" s="0" t="s">
        <v>23998</v>
      </c>
      <c r="B70778" s="0" t="str">
        <f aca="false">HYPERLINK("https://lindat.mff.cuni.cz/services/teitok/pdtc10/index.php?action=vallex&amp;frame=v-w9757f1", "zohavit (v-w9757f1)")</f>
        <v>zohavit (v-w9757f1)</v>
      </c>
    </row>
    <row r="70779" customFormat="false" ht="12.8" hidden="false" customHeight="false" outlineLevel="0" collapsed="false">
      <c r="B70779" s="0" t="s">
        <v>7</v>
      </c>
    </row>
    <row r="70780" customFormat="false" ht="12.8" hidden="false" customHeight="false" outlineLevel="0" collapsed="false">
      <c r="B70780" s="0" t="s">
        <v>14</v>
      </c>
    </row>
    <row r="70782" customFormat="false" ht="12.8" hidden="false" customHeight="false" outlineLevel="0" collapsed="false">
      <c r="A70782" s="0" t="s">
        <v>23999</v>
      </c>
      <c r="B70782" s="0" t="str">
        <f aca="false">HYPERLINK("https://lindat.mff.cuni.cz/services/teitok/pdtc10/index.php?action=vallex&amp;frame=v-w9758f1", "zohlednit (v-w9758f1)")</f>
        <v>zohlednit (v-w9758f1)</v>
      </c>
    </row>
    <row r="70783" customFormat="false" ht="12.8" hidden="false" customHeight="false" outlineLevel="0" collapsed="false">
      <c r="B70783" s="0" t="s">
        <v>7</v>
      </c>
      <c r="C70783" s="0" t="s">
        <v>569</v>
      </c>
    </row>
    <row r="70784" customFormat="false" ht="12.8" hidden="false" customHeight="false" outlineLevel="0" collapsed="false">
      <c r="B70784" s="0" t="s">
        <v>1451</v>
      </c>
      <c r="C70784" s="0" t="s">
        <v>1405</v>
      </c>
    </row>
    <row r="70786" customFormat="false" ht="12.8" hidden="false" customHeight="false" outlineLevel="0" collapsed="false">
      <c r="A70786" s="0" t="s">
        <v>24000</v>
      </c>
      <c r="B70786" s="0" t="str">
        <f aca="false">HYPERLINK("https://lindat.mff.cuni.cz/services/teitok/pdtc10/index.php?action=vallex&amp;frame=v-w9759f1", "zohledňovat (v-w9759f1)")</f>
        <v>zohledňovat (v-w9759f1)</v>
      </c>
    </row>
    <row r="70787" customFormat="false" ht="12.8" hidden="false" customHeight="false" outlineLevel="0" collapsed="false">
      <c r="B70787" s="0" t="s">
        <v>7</v>
      </c>
      <c r="C70787" s="0" t="s">
        <v>24001</v>
      </c>
    </row>
    <row r="70788" customFormat="false" ht="12.8" hidden="false" customHeight="false" outlineLevel="0" collapsed="false">
      <c r="B70788" s="0" t="s">
        <v>24002</v>
      </c>
      <c r="C70788" s="0" t="s">
        <v>24003</v>
      </c>
    </row>
    <row r="70790" customFormat="false" ht="12.8" hidden="false" customHeight="false" outlineLevel="0" collapsed="false">
      <c r="A70790" s="0" t="s">
        <v>24004</v>
      </c>
      <c r="B70790" s="0" t="str">
        <f aca="false">HYPERLINK("https://lindat.mff.cuni.cz/services/teitok/pdtc10/index.php?action=vallex&amp;frame=v-w9760f1", "zopakovat (v-w9760f1)")</f>
        <v>zopakovat (v-w9760f1)</v>
      </c>
    </row>
    <row r="70791" customFormat="false" ht="12.8" hidden="false" customHeight="false" outlineLevel="0" collapsed="false">
      <c r="B70791" s="0" t="s">
        <v>7</v>
      </c>
      <c r="C70791" s="0" t="s">
        <v>24005</v>
      </c>
      <c r="D70791" s="0" t="s">
        <v>8901</v>
      </c>
      <c r="E70791" s="0" t="s">
        <v>8901</v>
      </c>
      <c r="F70791" s="0" t="s">
        <v>8901</v>
      </c>
    </row>
    <row r="70792" customFormat="false" ht="12.8" hidden="false" customHeight="false" outlineLevel="0" collapsed="false">
      <c r="B70792" s="0" t="s">
        <v>24006</v>
      </c>
      <c r="C70792" s="0" t="s">
        <v>585</v>
      </c>
      <c r="D70792" s="0" t="s">
        <v>3860</v>
      </c>
      <c r="E70792" s="0" t="s">
        <v>3860</v>
      </c>
      <c r="F70792" s="0" t="s">
        <v>3860</v>
      </c>
    </row>
    <row r="70793" customFormat="false" ht="12.8" hidden="false" customHeight="false" outlineLevel="0" collapsed="false">
      <c r="B70793" s="0" t="s">
        <v>106</v>
      </c>
    </row>
    <row r="70794" customFormat="false" ht="12.8" hidden="false" customHeight="false" outlineLevel="0" collapsed="false">
      <c r="B70794" s="0" t="s">
        <v>8903</v>
      </c>
    </row>
    <row r="70796" customFormat="false" ht="12.8" hidden="false" customHeight="false" outlineLevel="0" collapsed="false">
      <c r="A70796" s="0" t="s">
        <v>24007</v>
      </c>
      <c r="B70796" s="0" t="str">
        <f aca="false">HYPERLINK("https://lindat.mff.cuni.cz/services/teitok/pdtc10/index.php?action=vallex&amp;frame=v-w9760f2", "zopakovat (v-w9760f2)")</f>
        <v>zopakovat (v-w9760f2)</v>
      </c>
    </row>
    <row r="70797" customFormat="false" ht="12.8" hidden="false" customHeight="false" outlineLevel="0" collapsed="false">
      <c r="B70797" s="0" t="s">
        <v>7</v>
      </c>
      <c r="C70797" s="0" t="s">
        <v>14186</v>
      </c>
    </row>
    <row r="70798" customFormat="false" ht="12.8" hidden="false" customHeight="false" outlineLevel="0" collapsed="false">
      <c r="B70798" s="0" t="s">
        <v>8920</v>
      </c>
      <c r="C70798" s="0" t="s">
        <v>466</v>
      </c>
    </row>
    <row r="70799" customFormat="false" ht="12.8" hidden="false" customHeight="false" outlineLevel="0" collapsed="false">
      <c r="B70799" s="0" t="s">
        <v>2767</v>
      </c>
    </row>
    <row r="70801" customFormat="false" ht="12.8" hidden="false" customHeight="false" outlineLevel="0" collapsed="false">
      <c r="A70801" s="0" t="s">
        <v>24008</v>
      </c>
      <c r="B70801" s="0" t="str">
        <f aca="false">HYPERLINK("https://lindat.mff.cuni.cz/services/teitok/pdtc10/index.php?action=vallex&amp;frame=v-w9760f3", "zopakovat (v-w9760f3)")</f>
        <v>zopakovat (v-w9760f3)</v>
      </c>
    </row>
    <row r="70802" customFormat="false" ht="12.8" hidden="false" customHeight="false" outlineLevel="0" collapsed="false">
      <c r="B70802" s="0" t="s">
        <v>7</v>
      </c>
      <c r="C70802" s="0" t="s">
        <v>21035</v>
      </c>
    </row>
    <row r="70803" customFormat="false" ht="12.8" hidden="false" customHeight="false" outlineLevel="0" collapsed="false">
      <c r="B70803" s="0" t="s">
        <v>5525</v>
      </c>
      <c r="C70803" s="0" t="s">
        <v>24009</v>
      </c>
    </row>
    <row r="70804" customFormat="false" ht="12.8" hidden="false" customHeight="false" outlineLevel="0" collapsed="false">
      <c r="B70804" s="0" t="s">
        <v>363</v>
      </c>
    </row>
    <row r="70805" customFormat="false" ht="12.8" hidden="false" customHeight="false" outlineLevel="0" collapsed="false">
      <c r="B70805" s="0" t="s">
        <v>106</v>
      </c>
    </row>
    <row r="70807" customFormat="false" ht="12.8" hidden="false" customHeight="false" outlineLevel="0" collapsed="false">
      <c r="A70807" s="0" t="s">
        <v>24010</v>
      </c>
      <c r="B70807" s="0" t="str">
        <f aca="false">HYPERLINK("https://lindat.mff.cuni.cz/services/teitok/pdtc10/index.php?action=vallex&amp;frame=v-w11652_ZUf1_ZU", "zopakovat se (v-w11652_ZUf1_ZU)")</f>
        <v>zopakovat se (v-w11652_ZUf1_ZU)</v>
      </c>
    </row>
    <row r="70808" customFormat="false" ht="12.8" hidden="false" customHeight="false" outlineLevel="0" collapsed="false">
      <c r="B70808" s="0" t="s">
        <v>7</v>
      </c>
      <c r="C70808" s="0" t="s">
        <v>1715</v>
      </c>
    </row>
    <row r="70810" customFormat="false" ht="12.8" hidden="false" customHeight="false" outlineLevel="0" collapsed="false">
      <c r="A70810" s="0" t="s">
        <v>24011</v>
      </c>
      <c r="B70810" s="0" t="str">
        <f aca="false">HYPERLINK("https://lindat.mff.cuni.cz/services/teitok/pdtc10/index.php?action=vallex&amp;frame=v-w11187f2", "zoptimalizovat (v-w11187f2)")</f>
        <v>zoptimalizovat (v-w11187f2)</v>
      </c>
    </row>
    <row r="70811" customFormat="false" ht="12.8" hidden="false" customHeight="false" outlineLevel="0" collapsed="false">
      <c r="B70811" s="0" t="s">
        <v>7</v>
      </c>
      <c r="C70811" s="0" t="s">
        <v>191</v>
      </c>
    </row>
    <row r="70812" customFormat="false" ht="12.8" hidden="false" customHeight="false" outlineLevel="0" collapsed="false">
      <c r="B70812" s="0" t="s">
        <v>14</v>
      </c>
      <c r="C70812" s="0" t="s">
        <v>155</v>
      </c>
    </row>
    <row r="70814" customFormat="false" ht="12.8" hidden="false" customHeight="false" outlineLevel="0" collapsed="false">
      <c r="A70814" s="0" t="s">
        <v>24012</v>
      </c>
      <c r="B70814" s="0" t="str">
        <f aca="false">HYPERLINK("https://lindat.mff.cuni.cz/services/teitok/pdtc10/index.php?action=vallex&amp;frame=v-w9761f3_ZU", "zorganizovat (v-w9761f3_ZU)")</f>
        <v>zorganizovat (v-w9761f3_ZU)</v>
      </c>
    </row>
    <row r="70815" customFormat="false" ht="12.8" hidden="false" customHeight="false" outlineLevel="0" collapsed="false">
      <c r="B70815" s="0" t="s">
        <v>7</v>
      </c>
    </row>
    <row r="70816" customFormat="false" ht="12.8" hidden="false" customHeight="false" outlineLevel="0" collapsed="false">
      <c r="B70816" s="0" t="s">
        <v>8273</v>
      </c>
    </row>
    <row r="70818" customFormat="false" ht="12.8" hidden="false" customHeight="false" outlineLevel="0" collapsed="false">
      <c r="A70818" s="0" t="s">
        <v>24012</v>
      </c>
      <c r="B70818" s="0" t="str">
        <f aca="false">HYPERLINK("https://lindat.mff.cuni.cz/services/teitok/pdtc10/index.php?action=vallex&amp;frame=v-w9761f1", "zorganizovat (v-w9761f1) - substituted with v-w9761f3_ZU")</f>
        <v>zorganizovat (v-w9761f1) - substituted with v-w9761f3_ZU</v>
      </c>
    </row>
    <row r="70819" customFormat="false" ht="12.8" hidden="false" customHeight="false" outlineLevel="0" collapsed="false">
      <c r="B70819" s="0" t="s">
        <v>7</v>
      </c>
      <c r="C70819" s="0" t="s">
        <v>2199</v>
      </c>
      <c r="D70819" s="0" t="s">
        <v>1292</v>
      </c>
      <c r="E70819" s="0" t="s">
        <v>1292</v>
      </c>
      <c r="F70819" s="0" t="s">
        <v>1292</v>
      </c>
    </row>
    <row r="70820" customFormat="false" ht="12.8" hidden="false" customHeight="false" outlineLevel="0" collapsed="false">
      <c r="B70820" s="0" t="s">
        <v>8273</v>
      </c>
      <c r="C70820" s="0" t="s">
        <v>4344</v>
      </c>
      <c r="D70820" s="0" t="s">
        <v>1294</v>
      </c>
      <c r="E70820" s="0" t="s">
        <v>1294</v>
      </c>
      <c r="F70820" s="0" t="s">
        <v>1294</v>
      </c>
    </row>
    <row r="70822" customFormat="false" ht="12.8" hidden="false" customHeight="false" outlineLevel="0" collapsed="false">
      <c r="A70822" s="0" t="s">
        <v>24012</v>
      </c>
      <c r="B70822" s="0" t="str">
        <f aca="false">HYPERLINK("https://lindat.mff.cuni.cz/services/teitok/pdtc10/index.php?action=vallex&amp;frame=v-w9761f2_ZU", "zorganizovat (v-w9761f2_ZU) - substituted with v-w9761f3_ZU")</f>
        <v>zorganizovat (v-w9761f2_ZU) - substituted with v-w9761f3_ZU</v>
      </c>
    </row>
    <row r="70823" customFormat="false" ht="12.8" hidden="false" customHeight="false" outlineLevel="0" collapsed="false">
      <c r="B70823" s="0" t="s">
        <v>7</v>
      </c>
    </row>
    <row r="70824" customFormat="false" ht="12.8" hidden="false" customHeight="false" outlineLevel="0" collapsed="false">
      <c r="B70824" s="0" t="s">
        <v>8273</v>
      </c>
    </row>
    <row r="70826" customFormat="false" ht="12.8" hidden="false" customHeight="false" outlineLevel="0" collapsed="false">
      <c r="A70826" s="0" t="s">
        <v>24012</v>
      </c>
      <c r="B70826" s="0" t="str">
        <f aca="false">HYPERLINK("https://lindat.mff.cuni.cz/services/teitok/pdtc10/index.php?action=vallex&amp;frame=v-w9761hsa_895", "zorganizovat (v-w9761hsa_895) - substituted with v-w9761f3_ZU")</f>
        <v>zorganizovat (v-w9761hsa_895) - substituted with v-w9761f3_ZU</v>
      </c>
    </row>
    <row r="70827" customFormat="false" ht="12.8" hidden="false" customHeight="false" outlineLevel="0" collapsed="false">
      <c r="B70827" s="0" t="s">
        <v>7</v>
      </c>
    </row>
    <row r="70828" customFormat="false" ht="12.8" hidden="false" customHeight="false" outlineLevel="0" collapsed="false">
      <c r="B70828" s="0" t="s">
        <v>8273</v>
      </c>
    </row>
    <row r="70830" customFormat="false" ht="12.8" hidden="false" customHeight="false" outlineLevel="0" collapsed="false">
      <c r="A70830" s="0" t="s">
        <v>24013</v>
      </c>
      <c r="B70830" s="0" t="str">
        <f aca="false">HYPERLINK("https://lindat.mff.cuni.cz/services/teitok/pdtc10/index.php?action=vallex&amp;frame=v-w9762f1", "zorientovat se (v-w9762f1)")</f>
        <v>zorientovat se (v-w9762f1)</v>
      </c>
    </row>
    <row r="70831" customFormat="false" ht="12.8" hidden="false" customHeight="false" outlineLevel="0" collapsed="false">
      <c r="B70831" s="0" t="s">
        <v>7</v>
      </c>
    </row>
    <row r="70832" customFormat="false" ht="12.8" hidden="false" customHeight="false" outlineLevel="0" collapsed="false">
      <c r="B70832" s="0" t="s">
        <v>11</v>
      </c>
    </row>
    <row r="70834" customFormat="false" ht="12.8" hidden="false" customHeight="false" outlineLevel="0" collapsed="false">
      <c r="A70834" s="0" t="s">
        <v>24014</v>
      </c>
      <c r="B70834" s="0" t="str">
        <f aca="false">HYPERLINK("https://lindat.mff.cuni.cz/services/teitok/pdtc10/index.php?action=vallex&amp;frame=v-w10060f2", "zosnovat (v-w10060f2)")</f>
        <v>zosnovat (v-w10060f2)</v>
      </c>
    </row>
    <row r="70835" customFormat="false" ht="12.8" hidden="false" customHeight="false" outlineLevel="0" collapsed="false">
      <c r="B70835" s="0" t="s">
        <v>7</v>
      </c>
      <c r="C70835" s="0" t="s">
        <v>3918</v>
      </c>
      <c r="D70835" s="0" t="s">
        <v>1292</v>
      </c>
      <c r="E70835" s="0" t="s">
        <v>1292</v>
      </c>
      <c r="F70835" s="0" t="s">
        <v>17071</v>
      </c>
    </row>
    <row r="70836" customFormat="false" ht="12.8" hidden="false" customHeight="false" outlineLevel="0" collapsed="false">
      <c r="B70836" s="0" t="s">
        <v>14</v>
      </c>
      <c r="C70836" s="0" t="s">
        <v>487</v>
      </c>
      <c r="D70836" s="0" t="s">
        <v>1294</v>
      </c>
      <c r="E70836" s="0" t="s">
        <v>1294</v>
      </c>
      <c r="F70836" s="0" t="s">
        <v>11004</v>
      </c>
    </row>
    <row r="70838" customFormat="false" ht="12.8" hidden="false" customHeight="false" outlineLevel="0" collapsed="false">
      <c r="A70838" s="0" t="s">
        <v>24015</v>
      </c>
      <c r="B70838" s="0" t="str">
        <f aca="false">HYPERLINK("https://lindat.mff.cuni.cz/services/teitok/pdtc10/index.php?action=vallex&amp;frame=v-w9765f1", "zosobňovat (v-w9765f1)")</f>
        <v>zosobňovat (v-w9765f1)</v>
      </c>
    </row>
    <row r="70839" customFormat="false" ht="12.8" hidden="false" customHeight="false" outlineLevel="0" collapsed="false">
      <c r="B70839" s="0" t="s">
        <v>7</v>
      </c>
    </row>
    <row r="70840" customFormat="false" ht="12.8" hidden="false" customHeight="false" outlineLevel="0" collapsed="false">
      <c r="B70840" s="0" t="s">
        <v>14</v>
      </c>
    </row>
    <row r="70842" customFormat="false" ht="12.8" hidden="false" customHeight="false" outlineLevel="0" collapsed="false">
      <c r="A70842" s="0" t="s">
        <v>24016</v>
      </c>
      <c r="B70842" s="0" t="str">
        <f aca="false">HYPERLINK("https://lindat.mff.cuni.cz/services/teitok/pdtc10/index.php?action=vallex&amp;frame=v-w9768f1", "zostřit (v-w9768f1)")</f>
        <v>zostřit (v-w9768f1)</v>
      </c>
    </row>
    <row r="70843" customFormat="false" ht="12.8" hidden="false" customHeight="false" outlineLevel="0" collapsed="false">
      <c r="B70843" s="0" t="s">
        <v>7</v>
      </c>
      <c r="C70843" s="0" t="s">
        <v>46</v>
      </c>
      <c r="D70843" s="0" t="s">
        <v>12495</v>
      </c>
      <c r="E70843" s="0" t="s">
        <v>12495</v>
      </c>
      <c r="F70843" s="0" t="s">
        <v>12495</v>
      </c>
    </row>
    <row r="70844" customFormat="false" ht="12.8" hidden="false" customHeight="false" outlineLevel="0" collapsed="false">
      <c r="B70844" s="0" t="s">
        <v>14</v>
      </c>
      <c r="C70844" s="0" t="s">
        <v>115</v>
      </c>
      <c r="D70844" s="0" t="s">
        <v>453</v>
      </c>
      <c r="E70844" s="0" t="s">
        <v>453</v>
      </c>
      <c r="F70844" s="0" t="s">
        <v>453</v>
      </c>
    </row>
    <row r="70846" customFormat="false" ht="12.8" hidden="false" customHeight="false" outlineLevel="0" collapsed="false">
      <c r="A70846" s="0" t="s">
        <v>24017</v>
      </c>
      <c r="B70846" s="0" t="str">
        <f aca="false">HYPERLINK("https://lindat.mff.cuni.cz/services/teitok/pdtc10/index.php?action=vallex&amp;frame=v-whsa_361hsa_362", "zostřit se (v-whsa_361hsa_362)")</f>
        <v>zostřit se (v-whsa_361hsa_362)</v>
      </c>
    </row>
    <row r="70847" customFormat="false" ht="12.8" hidden="false" customHeight="false" outlineLevel="0" collapsed="false">
      <c r="B70847" s="0" t="s">
        <v>7</v>
      </c>
      <c r="C70847" s="0" t="s">
        <v>708</v>
      </c>
      <c r="D70847" s="0" t="s">
        <v>13935</v>
      </c>
      <c r="E70847" s="0" t="s">
        <v>13935</v>
      </c>
      <c r="F70847" s="0" t="s">
        <v>13935</v>
      </c>
    </row>
    <row r="70849" customFormat="false" ht="12.8" hidden="false" customHeight="false" outlineLevel="0" collapsed="false">
      <c r="A70849" s="0" t="s">
        <v>24018</v>
      </c>
      <c r="B70849" s="0" t="str">
        <f aca="false">HYPERLINK("https://lindat.mff.cuni.cz/services/teitok/pdtc10/index.php?action=vallex&amp;frame=v-w9769f1", "zostřovat (v-w9769f1)")</f>
        <v>zostřovat (v-w9769f1)</v>
      </c>
    </row>
    <row r="70850" customFormat="false" ht="12.8" hidden="false" customHeight="false" outlineLevel="0" collapsed="false">
      <c r="B70850" s="0" t="s">
        <v>7</v>
      </c>
      <c r="D70850" s="0" t="s">
        <v>12495</v>
      </c>
      <c r="E70850" s="0" t="s">
        <v>12495</v>
      </c>
      <c r="F70850" s="0" t="s">
        <v>12495</v>
      </c>
    </row>
    <row r="70851" customFormat="false" ht="12.8" hidden="false" customHeight="false" outlineLevel="0" collapsed="false">
      <c r="B70851" s="0" t="s">
        <v>14</v>
      </c>
      <c r="D70851" s="0" t="s">
        <v>453</v>
      </c>
      <c r="E70851" s="0" t="s">
        <v>453</v>
      </c>
      <c r="F70851" s="0" t="s">
        <v>453</v>
      </c>
    </row>
    <row r="70853" customFormat="false" ht="12.8" hidden="false" customHeight="false" outlineLevel="0" collapsed="false">
      <c r="A70853" s="0" t="s">
        <v>24019</v>
      </c>
      <c r="B70853" s="0" t="str">
        <f aca="false">HYPERLINK("https://lindat.mff.cuni.cz/services/teitok/pdtc10/index.php?action=vallex&amp;frame=v-w10542f2", "zotavit (v-w10542f2)")</f>
        <v>zotavit (v-w10542f2)</v>
      </c>
    </row>
    <row r="70854" customFormat="false" ht="12.8" hidden="false" customHeight="false" outlineLevel="0" collapsed="false">
      <c r="B70854" s="0" t="s">
        <v>7</v>
      </c>
    </row>
    <row r="70855" customFormat="false" ht="12.8" hidden="false" customHeight="false" outlineLevel="0" collapsed="false">
      <c r="B70855" s="0" t="s">
        <v>14</v>
      </c>
    </row>
    <row r="70857" customFormat="false" ht="12.8" hidden="false" customHeight="false" outlineLevel="0" collapsed="false">
      <c r="A70857" s="0" t="s">
        <v>24020</v>
      </c>
      <c r="B70857" s="0" t="str">
        <f aca="false">HYPERLINK("https://lindat.mff.cuni.cz/services/teitok/pdtc10/index.php?action=vallex&amp;frame=v-w11338f2", "zotavit se (v-w11338f2)")</f>
        <v>zotavit se (v-w11338f2)</v>
      </c>
    </row>
    <row r="70858" customFormat="false" ht="12.8" hidden="false" customHeight="false" outlineLevel="0" collapsed="false">
      <c r="B70858" s="0" t="s">
        <v>7</v>
      </c>
      <c r="C70858" s="0" t="s">
        <v>24021</v>
      </c>
      <c r="D70858" s="0" t="s">
        <v>1319</v>
      </c>
      <c r="E70858" s="0" t="s">
        <v>1319</v>
      </c>
      <c r="F70858" s="0" t="s">
        <v>1319</v>
      </c>
    </row>
    <row r="70859" customFormat="false" ht="12.8" hidden="false" customHeight="false" outlineLevel="0" collapsed="false">
      <c r="B70859" s="0" t="s">
        <v>581</v>
      </c>
      <c r="C70859" s="0" t="s">
        <v>21348</v>
      </c>
    </row>
    <row r="70861" customFormat="false" ht="12.8" hidden="false" customHeight="false" outlineLevel="0" collapsed="false">
      <c r="A70861" s="0" t="s">
        <v>24022</v>
      </c>
      <c r="B70861" s="0" t="str">
        <f aca="false">HYPERLINK("https://lindat.mff.cuni.cz/services/teitok/pdtc10/index.php?action=vallex&amp;frame=v-w11361f1", "zotavovat se (v-w11361f1)")</f>
        <v>zotavovat se (v-w11361f1)</v>
      </c>
    </row>
    <row r="70862" customFormat="false" ht="12.8" hidden="false" customHeight="false" outlineLevel="0" collapsed="false">
      <c r="B70862" s="0" t="s">
        <v>7</v>
      </c>
      <c r="C70862" s="0" t="s">
        <v>17744</v>
      </c>
      <c r="D70862" s="0" t="s">
        <v>1319</v>
      </c>
      <c r="E70862" s="0" t="s">
        <v>1319</v>
      </c>
      <c r="F70862" s="0" t="s">
        <v>1319</v>
      </c>
    </row>
    <row r="70863" customFormat="false" ht="12.8" hidden="false" customHeight="false" outlineLevel="0" collapsed="false">
      <c r="B70863" s="0" t="s">
        <v>581</v>
      </c>
      <c r="C70863" s="0" t="s">
        <v>4813</v>
      </c>
    </row>
    <row r="70865" customFormat="false" ht="12.8" hidden="false" customHeight="false" outlineLevel="0" collapsed="false">
      <c r="A70865" s="0" t="s">
        <v>24023</v>
      </c>
      <c r="B70865" s="0" t="str">
        <f aca="false">HYPERLINK("https://lindat.mff.cuni.cz/services/teitok/pdtc10/index.php?action=vallex&amp;frame=v-w11345f1", "zoufat si (v-w11345f1)")</f>
        <v>zoufat si (v-w11345f1)</v>
      </c>
    </row>
    <row r="70866" customFormat="false" ht="12.8" hidden="false" customHeight="false" outlineLevel="0" collapsed="false">
      <c r="B70866" s="0" t="s">
        <v>7</v>
      </c>
    </row>
    <row r="70867" customFormat="false" ht="12.8" hidden="false" customHeight="false" outlineLevel="0" collapsed="false">
      <c r="B70867" s="0" t="s">
        <v>3620</v>
      </c>
    </row>
    <row r="70869" customFormat="false" ht="12.8" hidden="false" customHeight="false" outlineLevel="0" collapsed="false">
      <c r="A70869" s="0" t="s">
        <v>24024</v>
      </c>
      <c r="B70869" s="0" t="str">
        <f aca="false">HYPERLINK("https://lindat.mff.cuni.cz/services/teitok/pdtc10/index.php?action=vallex&amp;frame=v-whsa_1699f1_ZU", "zout (v-whsa_1699f1_ZU)")</f>
        <v>zout (v-whsa_1699f1_ZU)</v>
      </c>
    </row>
    <row r="70870" customFormat="false" ht="12.8" hidden="false" customHeight="false" outlineLevel="0" collapsed="false">
      <c r="B70870" s="0" t="s">
        <v>7</v>
      </c>
    </row>
    <row r="70871" customFormat="false" ht="12.8" hidden="false" customHeight="false" outlineLevel="0" collapsed="false">
      <c r="B70871" s="0" t="s">
        <v>14</v>
      </c>
    </row>
    <row r="70873" customFormat="false" ht="12.8" hidden="false" customHeight="false" outlineLevel="0" collapsed="false">
      <c r="A70873" s="0" t="s">
        <v>24024</v>
      </c>
      <c r="B70873" s="0" t="str">
        <f aca="false">HYPERLINK("https://lindat.mff.cuni.cz/services/teitok/pdtc10/index.php?action=vallex&amp;frame=v-whsa_1699hsa_1701", "zout (v-whsa_1699hsa_1701) - substituted with v-whsa_1699f1_ZU")</f>
        <v>zout (v-whsa_1699hsa_1701) - substituted with v-whsa_1699f1_ZU</v>
      </c>
    </row>
    <row r="70874" customFormat="false" ht="12.8" hidden="false" customHeight="false" outlineLevel="0" collapsed="false">
      <c r="B70874" s="0" t="s">
        <v>7</v>
      </c>
    </row>
    <row r="70875" customFormat="false" ht="12.8" hidden="false" customHeight="false" outlineLevel="0" collapsed="false">
      <c r="B70875" s="0" t="s">
        <v>14</v>
      </c>
    </row>
    <row r="70877" customFormat="false" ht="12.8" hidden="false" customHeight="false" outlineLevel="0" collapsed="false">
      <c r="A70877" s="0" t="s">
        <v>24025</v>
      </c>
      <c r="B70877" s="0" t="str">
        <f aca="false">HYPERLINK("https://lindat.mff.cuni.cz/services/teitok/pdtc10/index.php?action=vallex&amp;frame=v-whsa_1699hsa_1700", "zout (v-whsa_1699hsa_1700)")</f>
        <v>zout (v-whsa_1699hsa_1700)</v>
      </c>
    </row>
    <row r="70878" customFormat="false" ht="12.8" hidden="false" customHeight="false" outlineLevel="0" collapsed="false">
      <c r="B70878" s="0" t="s">
        <v>7</v>
      </c>
    </row>
    <row r="70879" customFormat="false" ht="12.8" hidden="false" customHeight="false" outlineLevel="0" collapsed="false">
      <c r="B70879" s="0" t="s">
        <v>14</v>
      </c>
    </row>
    <row r="70880" customFormat="false" ht="12.8" hidden="false" customHeight="false" outlineLevel="0" collapsed="false">
      <c r="B70880" s="0" t="s">
        <v>35</v>
      </c>
    </row>
    <row r="70882" customFormat="false" ht="12.8" hidden="false" customHeight="false" outlineLevel="0" collapsed="false">
      <c r="A70882" s="0" t="s">
        <v>24026</v>
      </c>
      <c r="B70882" s="0" t="str">
        <f aca="false">HYPERLINK("https://lindat.mff.cuni.cz/services/teitok/pdtc10/index.php?action=vallex&amp;frame=v-w12325_MMf1_MM", "zošklivit si (v-w12325_MMf1_MM)")</f>
        <v>zošklivit si (v-w12325_MMf1_MM)</v>
      </c>
    </row>
    <row r="70883" customFormat="false" ht="12.8" hidden="false" customHeight="false" outlineLevel="0" collapsed="false">
      <c r="B70883" s="0" t="s">
        <v>7</v>
      </c>
    </row>
    <row r="70884" customFormat="false" ht="12.8" hidden="false" customHeight="false" outlineLevel="0" collapsed="false">
      <c r="B70884" s="0" t="s">
        <v>14</v>
      </c>
    </row>
    <row r="70886" customFormat="false" ht="12.8" hidden="false" customHeight="false" outlineLevel="0" collapsed="false">
      <c r="A70886" s="0" t="s">
        <v>24027</v>
      </c>
      <c r="B70886" s="0" t="str">
        <f aca="false">HYPERLINK("https://lindat.mff.cuni.cz/services/teitok/pdtc10/index.php?action=vallex&amp;frame=v-w10766f2", "zpanikařit (v-w10766f2)")</f>
        <v>zpanikařit (v-w10766f2)</v>
      </c>
    </row>
    <row r="70887" customFormat="false" ht="12.8" hidden="false" customHeight="false" outlineLevel="0" collapsed="false">
      <c r="B70887" s="0" t="s">
        <v>7</v>
      </c>
      <c r="C70887" s="0" t="s">
        <v>5375</v>
      </c>
      <c r="D70887" s="0" t="s">
        <v>5375</v>
      </c>
      <c r="E70887" s="0" t="s">
        <v>5375</v>
      </c>
      <c r="F70887" s="0" t="s">
        <v>5375</v>
      </c>
    </row>
    <row r="70889" customFormat="false" ht="12.8" hidden="false" customHeight="false" outlineLevel="0" collapsed="false">
      <c r="A70889" s="0" t="s">
        <v>24028</v>
      </c>
      <c r="B70889" s="0" t="str">
        <f aca="false">HYPERLINK("https://lindat.mff.cuni.cz/services/teitok/pdtc10/index.php?action=vallex&amp;frame=v-w9773f1", "zpeněžit (v-w9773f1)")</f>
        <v>zpeněžit (v-w9773f1)</v>
      </c>
    </row>
    <row r="70890" customFormat="false" ht="12.8" hidden="false" customHeight="false" outlineLevel="0" collapsed="false">
      <c r="B70890" s="0" t="s">
        <v>7</v>
      </c>
      <c r="C70890" s="0" t="s">
        <v>118</v>
      </c>
    </row>
    <row r="70891" customFormat="false" ht="12.8" hidden="false" customHeight="false" outlineLevel="0" collapsed="false">
      <c r="B70891" s="0" t="s">
        <v>14</v>
      </c>
      <c r="C70891" s="0" t="s">
        <v>1571</v>
      </c>
    </row>
    <row r="70893" customFormat="false" ht="12.8" hidden="false" customHeight="false" outlineLevel="0" collapsed="false">
      <c r="A70893" s="0" t="s">
        <v>24029</v>
      </c>
      <c r="B70893" s="0" t="str">
        <f aca="false">HYPERLINK("https://lindat.mff.cuni.cz/services/teitok/pdtc10/index.php?action=vallex&amp;frame=v-w12031_ZUf1_ZU", "zpeněžovat (v-w12031_ZUf1_ZU)")</f>
        <v>zpeněžovat (v-w12031_ZUf1_ZU)</v>
      </c>
    </row>
    <row r="70894" customFormat="false" ht="12.8" hidden="false" customHeight="false" outlineLevel="0" collapsed="false">
      <c r="B70894" s="0" t="s">
        <v>7</v>
      </c>
    </row>
    <row r="70895" customFormat="false" ht="12.8" hidden="false" customHeight="false" outlineLevel="0" collapsed="false">
      <c r="B70895" s="0" t="s">
        <v>14</v>
      </c>
    </row>
    <row r="70897" customFormat="false" ht="12.8" hidden="false" customHeight="false" outlineLevel="0" collapsed="false">
      <c r="A70897" s="0" t="s">
        <v>24030</v>
      </c>
      <c r="B70897" s="0" t="str">
        <f aca="false">HYPERLINK("https://lindat.mff.cuni.cz/services/teitok/pdtc10/index.php?action=vallex&amp;frame=v-w9775f1", "zpestřit (v-w9775f1)")</f>
        <v>zpestřit (v-w9775f1)</v>
      </c>
    </row>
    <row r="70898" customFormat="false" ht="12.8" hidden="false" customHeight="false" outlineLevel="0" collapsed="false">
      <c r="B70898" s="0" t="s">
        <v>7</v>
      </c>
      <c r="D70898" s="0" t="s">
        <v>191</v>
      </c>
      <c r="E70898" s="0" t="s">
        <v>191</v>
      </c>
      <c r="F70898" s="0" t="s">
        <v>191</v>
      </c>
    </row>
    <row r="70899" customFormat="false" ht="12.8" hidden="false" customHeight="false" outlineLevel="0" collapsed="false">
      <c r="B70899" s="0" t="s">
        <v>14</v>
      </c>
      <c r="C70899" s="0" t="s">
        <v>1640</v>
      </c>
      <c r="D70899" s="0" t="s">
        <v>7718</v>
      </c>
      <c r="E70899" s="0" t="s">
        <v>7718</v>
      </c>
      <c r="F70899" s="0" t="s">
        <v>7718</v>
      </c>
    </row>
    <row r="70901" customFormat="false" ht="12.8" hidden="false" customHeight="false" outlineLevel="0" collapsed="false">
      <c r="A70901" s="0" t="s">
        <v>24031</v>
      </c>
      <c r="B70901" s="0" t="str">
        <f aca="false">HYPERLINK("https://lindat.mff.cuni.cz/services/teitok/pdtc10/index.php?action=vallex&amp;frame=v-w9776f1", "zpestřovat (v-w9776f1)")</f>
        <v>zpestřovat (v-w9776f1)</v>
      </c>
    </row>
    <row r="70902" customFormat="false" ht="12.8" hidden="false" customHeight="false" outlineLevel="0" collapsed="false">
      <c r="B70902" s="0" t="s">
        <v>7</v>
      </c>
    </row>
    <row r="70903" customFormat="false" ht="12.8" hidden="false" customHeight="false" outlineLevel="0" collapsed="false">
      <c r="B70903" s="0" t="s">
        <v>14</v>
      </c>
    </row>
    <row r="70905" customFormat="false" ht="12.8" hidden="false" customHeight="false" outlineLevel="0" collapsed="false">
      <c r="A70905" s="0" t="s">
        <v>24032</v>
      </c>
      <c r="B70905" s="0" t="str">
        <f aca="false">HYPERLINK("https://lindat.mff.cuni.cz/services/teitok/pdtc10/index.php?action=vallex&amp;frame=v-w9779f1", "zpevnit (v-w9779f1)")</f>
        <v>zpevnit (v-w9779f1)</v>
      </c>
    </row>
    <row r="70906" customFormat="false" ht="12.8" hidden="false" customHeight="false" outlineLevel="0" collapsed="false">
      <c r="B70906" s="0" t="s">
        <v>7</v>
      </c>
      <c r="C70906" s="0" t="s">
        <v>24033</v>
      </c>
      <c r="D70906" s="0" t="s">
        <v>1115</v>
      </c>
      <c r="E70906" s="0" t="s">
        <v>1115</v>
      </c>
      <c r="F70906" s="0" t="s">
        <v>1115</v>
      </c>
    </row>
    <row r="70907" customFormat="false" ht="12.8" hidden="false" customHeight="false" outlineLevel="0" collapsed="false">
      <c r="B70907" s="0" t="s">
        <v>297</v>
      </c>
      <c r="C70907" s="0" t="s">
        <v>24034</v>
      </c>
      <c r="D70907" s="0" t="s">
        <v>47</v>
      </c>
      <c r="E70907" s="0" t="s">
        <v>47</v>
      </c>
      <c r="F70907" s="0" t="s">
        <v>47</v>
      </c>
    </row>
    <row r="70908" customFormat="false" ht="12.8" hidden="false" customHeight="false" outlineLevel="0" collapsed="false">
      <c r="B70908" s="0" t="s">
        <v>35</v>
      </c>
      <c r="C70908" s="0" t="s">
        <v>1526</v>
      </c>
      <c r="D70908" s="0" t="s">
        <v>1526</v>
      </c>
      <c r="E70908" s="0" t="s">
        <v>1526</v>
      </c>
      <c r="F70908" s="0" t="s">
        <v>1526</v>
      </c>
    </row>
    <row r="70909" customFormat="false" ht="12.8" hidden="false" customHeight="false" outlineLevel="0" collapsed="false">
      <c r="B70909" s="0" t="s">
        <v>84</v>
      </c>
      <c r="C70909" s="0" t="s">
        <v>12871</v>
      </c>
      <c r="D70909" s="0" t="s">
        <v>24035</v>
      </c>
      <c r="E70909" s="0" t="s">
        <v>24035</v>
      </c>
      <c r="F70909" s="0" t="s">
        <v>24035</v>
      </c>
    </row>
    <row r="70911" customFormat="false" ht="12.8" hidden="false" customHeight="false" outlineLevel="0" collapsed="false">
      <c r="A70911" s="0" t="s">
        <v>24036</v>
      </c>
      <c r="B70911" s="0" t="str">
        <f aca="false">HYPERLINK("https://lindat.mff.cuni.cz/services/teitok/pdtc10/index.php?action=vallex&amp;frame=v-w9779hsa_25", "zpevnit (v-w9779hsa_25)")</f>
        <v>zpevnit (v-w9779hsa_25)</v>
      </c>
    </row>
    <row r="70912" customFormat="false" ht="12.8" hidden="false" customHeight="false" outlineLevel="0" collapsed="false">
      <c r="B70912" s="0" t="s">
        <v>7</v>
      </c>
      <c r="C70912" s="0" t="s">
        <v>149</v>
      </c>
    </row>
    <row r="70913" customFormat="false" ht="12.8" hidden="false" customHeight="false" outlineLevel="0" collapsed="false">
      <c r="B70913" s="0" t="s">
        <v>14</v>
      </c>
      <c r="C70913" s="0" t="s">
        <v>2788</v>
      </c>
    </row>
    <row r="70915" customFormat="false" ht="12.8" hidden="false" customHeight="false" outlineLevel="0" collapsed="false">
      <c r="A70915" s="0" t="s">
        <v>24037</v>
      </c>
      <c r="B70915" s="0" t="str">
        <f aca="false">HYPERLINK("https://lindat.mff.cuni.cz/services/teitok/pdtc10/index.php?action=vallex&amp;frame=v-w9781f1", "zpevňovat (v-w9781f1)")</f>
        <v>zpevňovat (v-w9781f1)</v>
      </c>
    </row>
    <row r="70916" customFormat="false" ht="12.8" hidden="false" customHeight="false" outlineLevel="0" collapsed="false">
      <c r="B70916" s="0" t="s">
        <v>7</v>
      </c>
      <c r="D70916" s="0" t="s">
        <v>1115</v>
      </c>
      <c r="E70916" s="0" t="s">
        <v>1115</v>
      </c>
      <c r="F70916" s="0" t="s">
        <v>1115</v>
      </c>
    </row>
    <row r="70917" customFormat="false" ht="12.8" hidden="false" customHeight="false" outlineLevel="0" collapsed="false">
      <c r="B70917" s="0" t="s">
        <v>297</v>
      </c>
      <c r="D70917" s="0" t="s">
        <v>47</v>
      </c>
      <c r="E70917" s="0" t="s">
        <v>47</v>
      </c>
      <c r="F70917" s="0" t="s">
        <v>47</v>
      </c>
    </row>
    <row r="70918" customFormat="false" ht="12.8" hidden="false" customHeight="false" outlineLevel="0" collapsed="false">
      <c r="B70918" s="0" t="s">
        <v>35</v>
      </c>
      <c r="D70918" s="0" t="s">
        <v>1526</v>
      </c>
      <c r="E70918" s="0" t="s">
        <v>1526</v>
      </c>
      <c r="F70918" s="0" t="s">
        <v>1526</v>
      </c>
    </row>
    <row r="70919" customFormat="false" ht="12.8" hidden="false" customHeight="false" outlineLevel="0" collapsed="false">
      <c r="B70919" s="0" t="s">
        <v>84</v>
      </c>
      <c r="D70919" s="0" t="s">
        <v>24035</v>
      </c>
      <c r="E70919" s="0" t="s">
        <v>24035</v>
      </c>
      <c r="F70919" s="0" t="s">
        <v>24035</v>
      </c>
    </row>
    <row r="70921" customFormat="false" ht="12.8" hidden="false" customHeight="false" outlineLevel="0" collapsed="false">
      <c r="A70921" s="0" t="s">
        <v>24038</v>
      </c>
      <c r="B70921" s="0" t="str">
        <f aca="false">HYPERLINK("https://lindat.mff.cuni.cz/services/teitok/pdtc10/index.php?action=vallex&amp;frame=v-w9772f1", "zpečetit (v-w9772f1)")</f>
        <v>zpečetit (v-w9772f1)</v>
      </c>
    </row>
    <row r="70922" customFormat="false" ht="12.8" hidden="false" customHeight="false" outlineLevel="0" collapsed="false">
      <c r="B70922" s="0" t="s">
        <v>7</v>
      </c>
    </row>
    <row r="70923" customFormat="false" ht="12.8" hidden="false" customHeight="false" outlineLevel="0" collapsed="false">
      <c r="B70923" s="0" t="s">
        <v>14</v>
      </c>
    </row>
    <row r="70925" customFormat="false" ht="12.8" hidden="false" customHeight="false" outlineLevel="0" collapsed="false">
      <c r="A70925" s="0" t="s">
        <v>24039</v>
      </c>
      <c r="B70925" s="0" t="str">
        <f aca="false">HYPERLINK("https://lindat.mff.cuni.cz/services/teitok/pdtc10/index.php?action=vallex&amp;frame=v-w12395_MMf1_MM", "zplanýrovat (v-w12395_MMf1_MM)")</f>
        <v>zplanýrovat (v-w12395_MMf1_MM)</v>
      </c>
    </row>
    <row r="70926" customFormat="false" ht="12.8" hidden="false" customHeight="false" outlineLevel="0" collapsed="false">
      <c r="B70926" s="0" t="s">
        <v>7</v>
      </c>
    </row>
    <row r="70927" customFormat="false" ht="12.8" hidden="false" customHeight="false" outlineLevel="0" collapsed="false">
      <c r="B70927" s="0" t="s">
        <v>14</v>
      </c>
    </row>
    <row r="70929" customFormat="false" ht="12.8" hidden="false" customHeight="false" outlineLevel="0" collapsed="false">
      <c r="A70929" s="0" t="s">
        <v>24040</v>
      </c>
      <c r="B70929" s="0" t="str">
        <f aca="false">HYPERLINK("https://lindat.mff.cuni.cz/services/teitok/pdtc10/index.php?action=vallex&amp;frame=v-w12372_MMf1_MM", "zplizovat (v-w12372_MMf1_MM)")</f>
        <v>zplizovat (v-w12372_MMf1_MM)</v>
      </c>
    </row>
    <row r="70930" customFormat="false" ht="12.8" hidden="false" customHeight="false" outlineLevel="0" collapsed="false">
      <c r="B70930" s="0" t="s">
        <v>7</v>
      </c>
    </row>
    <row r="70931" customFormat="false" ht="12.8" hidden="false" customHeight="false" outlineLevel="0" collapsed="false">
      <c r="B70931" s="0" t="s">
        <v>14</v>
      </c>
    </row>
    <row r="70933" customFormat="false" ht="12.8" hidden="false" customHeight="false" outlineLevel="0" collapsed="false">
      <c r="A70933" s="0" t="s">
        <v>24041</v>
      </c>
      <c r="B70933" s="0" t="str">
        <f aca="false">HYPERLINK("https://lindat.mff.cuni.cz/services/teitok/pdtc10/index.php?action=vallex&amp;frame=v-whsa_460hsa_461", "zplnoletnit (v-whsa_460hsa_461)")</f>
        <v>zplnoletnit (v-whsa_460hsa_461)</v>
      </c>
    </row>
    <row r="70934" customFormat="false" ht="12.8" hidden="false" customHeight="false" outlineLevel="0" collapsed="false">
      <c r="B70934" s="0" t="s">
        <v>7</v>
      </c>
    </row>
    <row r="70935" customFormat="false" ht="12.8" hidden="false" customHeight="false" outlineLevel="0" collapsed="false">
      <c r="B70935" s="0" t="s">
        <v>14</v>
      </c>
    </row>
    <row r="70937" customFormat="false" ht="12.8" hidden="false" customHeight="false" outlineLevel="0" collapsed="false">
      <c r="A70937" s="0" t="s">
        <v>24042</v>
      </c>
      <c r="B70937" s="0" t="str">
        <f aca="false">HYPERLINK("https://lindat.mff.cuni.cz/services/teitok/pdtc10/index.php?action=vallex&amp;frame=v-w9785f1", "zplnomocnit (v-w9785f1)")</f>
        <v>zplnomocnit (v-w9785f1)</v>
      </c>
    </row>
    <row r="70938" customFormat="false" ht="12.8" hidden="false" customHeight="false" outlineLevel="0" collapsed="false">
      <c r="B70938" s="0" t="s">
        <v>7</v>
      </c>
    </row>
    <row r="70939" customFormat="false" ht="12.8" hidden="false" customHeight="false" outlineLevel="0" collapsed="false">
      <c r="B70939" s="0" t="s">
        <v>9005</v>
      </c>
    </row>
    <row r="70940" customFormat="false" ht="12.8" hidden="false" customHeight="false" outlineLevel="0" collapsed="false">
      <c r="B70940" s="0" t="s">
        <v>81</v>
      </c>
    </row>
    <row r="70942" customFormat="false" ht="12.8" hidden="false" customHeight="false" outlineLevel="0" collapsed="false">
      <c r="A70942" s="0" t="s">
        <v>24043</v>
      </c>
      <c r="B70942" s="0" t="str">
        <f aca="false">HYPERLINK("https://lindat.mff.cuni.cz/services/teitok/pdtc10/index.php?action=vallex&amp;frame=v-w9786f1", "zplnomocňovat (v-w9786f1)")</f>
        <v>zplnomocňovat (v-w9786f1)</v>
      </c>
    </row>
    <row r="70943" customFormat="false" ht="12.8" hidden="false" customHeight="false" outlineLevel="0" collapsed="false">
      <c r="B70943" s="0" t="s">
        <v>7</v>
      </c>
      <c r="C70943" s="0" t="s">
        <v>46</v>
      </c>
    </row>
    <row r="70944" customFormat="false" ht="12.8" hidden="false" customHeight="false" outlineLevel="0" collapsed="false">
      <c r="B70944" s="0" t="s">
        <v>9005</v>
      </c>
      <c r="C70944" s="0" t="s">
        <v>1743</v>
      </c>
    </row>
    <row r="70945" customFormat="false" ht="12.8" hidden="false" customHeight="false" outlineLevel="0" collapsed="false">
      <c r="B70945" s="0" t="s">
        <v>81</v>
      </c>
      <c r="C70945" s="0" t="s">
        <v>2004</v>
      </c>
    </row>
    <row r="70947" customFormat="false" ht="12.8" hidden="false" customHeight="false" outlineLevel="0" collapsed="false">
      <c r="A70947" s="0" t="s">
        <v>24044</v>
      </c>
      <c r="B70947" s="0" t="str">
        <f aca="false">HYPERLINK("https://lindat.mff.cuni.cz/services/teitok/pdtc10/index.php?action=vallex&amp;frame=v-w9787f1", "zplodit (v-w9787f1)")</f>
        <v>zplodit (v-w9787f1)</v>
      </c>
    </row>
    <row r="70948" customFormat="false" ht="12.8" hidden="false" customHeight="false" outlineLevel="0" collapsed="false">
      <c r="B70948" s="0" t="s">
        <v>7</v>
      </c>
      <c r="C70948" s="0" t="s">
        <v>163</v>
      </c>
    </row>
    <row r="70949" customFormat="false" ht="12.8" hidden="false" customHeight="false" outlineLevel="0" collapsed="false">
      <c r="B70949" s="0" t="s">
        <v>14</v>
      </c>
      <c r="C70949" s="0" t="s">
        <v>19364</v>
      </c>
    </row>
    <row r="70951" customFormat="false" ht="12.8" hidden="false" customHeight="false" outlineLevel="0" collapsed="false">
      <c r="A70951" s="0" t="s">
        <v>24045</v>
      </c>
      <c r="B70951" s="0" t="str">
        <f aca="false">HYPERLINK("https://lindat.mff.cuni.cz/services/teitok/pdtc10/index.php?action=vallex&amp;frame=v-w9787f2", "zplodit (v-w9787f2)")</f>
        <v>zplodit (v-w9787f2)</v>
      </c>
    </row>
    <row r="70952" customFormat="false" ht="12.8" hidden="false" customHeight="false" outlineLevel="0" collapsed="false">
      <c r="B70952" s="0" t="s">
        <v>7</v>
      </c>
    </row>
    <row r="70953" customFormat="false" ht="12.8" hidden="false" customHeight="false" outlineLevel="0" collapsed="false">
      <c r="B70953" s="0" t="s">
        <v>14</v>
      </c>
    </row>
    <row r="70955" customFormat="false" ht="12.8" hidden="false" customHeight="false" outlineLevel="0" collapsed="false">
      <c r="A70955" s="0" t="s">
        <v>24046</v>
      </c>
      <c r="B70955" s="0" t="str">
        <f aca="false">HYPERLINK("https://lindat.mff.cuni.cz/services/teitok/pdtc10/index.php?action=vallex&amp;frame=v-w9788f1", "zploštit (v-w9788f1)")</f>
        <v>zploštit (v-w9788f1)</v>
      </c>
    </row>
    <row r="70956" customFormat="false" ht="12.8" hidden="false" customHeight="false" outlineLevel="0" collapsed="false">
      <c r="B70956" s="0" t="s">
        <v>7</v>
      </c>
    </row>
    <row r="70957" customFormat="false" ht="12.8" hidden="false" customHeight="false" outlineLevel="0" collapsed="false">
      <c r="B70957" s="0" t="s">
        <v>14</v>
      </c>
    </row>
    <row r="70959" customFormat="false" ht="12.8" hidden="false" customHeight="false" outlineLevel="0" collapsed="false">
      <c r="A70959" s="0" t="s">
        <v>24047</v>
      </c>
      <c r="B70959" s="0" t="str">
        <f aca="false">HYPERLINK("https://lindat.mff.cuni.cz/services/teitok/pdtc10/index.php?action=vallex&amp;frame=v-w9792f1", "zpochybnit (v-w9792f1)")</f>
        <v>zpochybnit (v-w9792f1)</v>
      </c>
    </row>
    <row r="70960" customFormat="false" ht="12.8" hidden="false" customHeight="false" outlineLevel="0" collapsed="false">
      <c r="B70960" s="0" t="s">
        <v>7</v>
      </c>
      <c r="C70960" s="0" t="s">
        <v>1567</v>
      </c>
      <c r="D70960" s="0" t="s">
        <v>6728</v>
      </c>
      <c r="E70960" s="0" t="s">
        <v>6728</v>
      </c>
      <c r="F70960" s="0" t="s">
        <v>6728</v>
      </c>
    </row>
    <row r="70961" customFormat="false" ht="12.8" hidden="false" customHeight="false" outlineLevel="0" collapsed="false">
      <c r="B70961" s="0" t="s">
        <v>1520</v>
      </c>
      <c r="C70961" s="0" t="s">
        <v>24048</v>
      </c>
      <c r="D70961" s="0" t="s">
        <v>6729</v>
      </c>
      <c r="E70961" s="0" t="s">
        <v>6729</v>
      </c>
      <c r="F70961" s="0" t="s">
        <v>6729</v>
      </c>
    </row>
    <row r="70963" customFormat="false" ht="12.8" hidden="false" customHeight="false" outlineLevel="0" collapsed="false">
      <c r="A70963" s="0" t="s">
        <v>24049</v>
      </c>
      <c r="B70963" s="0" t="str">
        <f aca="false">HYPERLINK("https://lindat.mff.cuni.cz/services/teitok/pdtc10/index.php?action=vallex&amp;frame=v-w9794f1", "zpochybňovat (v-w9794f1)")</f>
        <v>zpochybňovat (v-w9794f1)</v>
      </c>
    </row>
    <row r="70964" customFormat="false" ht="12.8" hidden="false" customHeight="false" outlineLevel="0" collapsed="false">
      <c r="B70964" s="0" t="s">
        <v>7</v>
      </c>
      <c r="C70964" s="0" t="s">
        <v>3591</v>
      </c>
      <c r="D70964" s="0" t="s">
        <v>6728</v>
      </c>
      <c r="E70964" s="0" t="s">
        <v>6728</v>
      </c>
      <c r="F70964" s="0" t="s">
        <v>6728</v>
      </c>
    </row>
    <row r="70965" customFormat="false" ht="12.8" hidden="false" customHeight="false" outlineLevel="0" collapsed="false">
      <c r="B70965" s="0" t="s">
        <v>1520</v>
      </c>
      <c r="C70965" s="0" t="s">
        <v>24050</v>
      </c>
      <c r="D70965" s="0" t="s">
        <v>6729</v>
      </c>
      <c r="E70965" s="0" t="s">
        <v>6729</v>
      </c>
      <c r="F70965" s="0" t="s">
        <v>6729</v>
      </c>
    </row>
    <row r="70967" customFormat="false" ht="12.8" hidden="false" customHeight="false" outlineLevel="0" collapsed="false">
      <c r="A70967" s="0" t="s">
        <v>24051</v>
      </c>
      <c r="B70967" s="0" t="str">
        <f aca="false">HYPERLINK("https://lindat.mff.cuni.cz/services/teitok/pdtc10/index.php?action=vallex&amp;frame=v-whsa_111hsa_112", "zpodobňovat (v-whsa_111hsa_112)")</f>
        <v>zpodobňovat (v-whsa_111hsa_112)</v>
      </c>
    </row>
    <row r="70968" customFormat="false" ht="12.8" hidden="false" customHeight="false" outlineLevel="0" collapsed="false">
      <c r="B70968" s="0" t="s">
        <v>7</v>
      </c>
      <c r="C70968" s="0" t="s">
        <v>569</v>
      </c>
    </row>
    <row r="70969" customFormat="false" ht="12.8" hidden="false" customHeight="false" outlineLevel="0" collapsed="false">
      <c r="B70969" s="0" t="s">
        <v>14</v>
      </c>
      <c r="C70969" s="0" t="s">
        <v>120</v>
      </c>
    </row>
    <row r="70971" customFormat="false" ht="12.8" hidden="false" customHeight="false" outlineLevel="0" collapsed="false">
      <c r="A70971" s="0" t="s">
        <v>24052</v>
      </c>
      <c r="B70971" s="0" t="str">
        <f aca="false">HYPERLINK("https://lindat.mff.cuni.cz/services/teitok/pdtc10/index.php?action=vallex&amp;frame=v-w9790f1", "zpohodlnět (v-w9790f1)")</f>
        <v>zpohodlnět (v-w9790f1)</v>
      </c>
    </row>
    <row r="70972" customFormat="false" ht="12.8" hidden="false" customHeight="false" outlineLevel="0" collapsed="false">
      <c r="B70972" s="0" t="s">
        <v>7</v>
      </c>
    </row>
    <row r="70974" customFormat="false" ht="12.8" hidden="false" customHeight="false" outlineLevel="0" collapsed="false">
      <c r="A70974" s="0" t="s">
        <v>24053</v>
      </c>
      <c r="B70974" s="0" t="str">
        <f aca="false">HYPERLINK("https://lindat.mff.cuni.cz/services/teitok/pdtc10/index.php?action=vallex&amp;frame=v-w9796f1", "zpolitizovat (v-w9796f1)")</f>
        <v>zpolitizovat (v-w9796f1)</v>
      </c>
    </row>
    <row r="70975" customFormat="false" ht="12.8" hidden="false" customHeight="false" outlineLevel="0" collapsed="false">
      <c r="B70975" s="0" t="s">
        <v>7</v>
      </c>
    </row>
    <row r="70976" customFormat="false" ht="12.8" hidden="false" customHeight="false" outlineLevel="0" collapsed="false">
      <c r="B70976" s="0" t="s">
        <v>14</v>
      </c>
    </row>
    <row r="70978" customFormat="false" ht="12.8" hidden="false" customHeight="false" outlineLevel="0" collapsed="false">
      <c r="A70978" s="0" t="s">
        <v>24054</v>
      </c>
      <c r="B70978" s="0" t="str">
        <f aca="false">HYPERLINK("https://lindat.mff.cuni.cz/services/teitok/pdtc10/index.php?action=vallex&amp;frame=v-w9798f1", "zpomalit (v-w9798f1)")</f>
        <v>zpomalit (v-w9798f1)</v>
      </c>
    </row>
    <row r="70979" customFormat="false" ht="12.8" hidden="false" customHeight="false" outlineLevel="0" collapsed="false">
      <c r="B70979" s="0" t="s">
        <v>7</v>
      </c>
      <c r="C70979" s="0" t="s">
        <v>24055</v>
      </c>
      <c r="D70979" s="0" t="s">
        <v>396</v>
      </c>
      <c r="E70979" s="0" t="s">
        <v>396</v>
      </c>
      <c r="F70979" s="0" t="s">
        <v>396</v>
      </c>
    </row>
    <row r="70980" customFormat="false" ht="12.8" hidden="false" customHeight="false" outlineLevel="0" collapsed="false">
      <c r="B70980" s="0" t="s">
        <v>14</v>
      </c>
      <c r="C70980" s="0" t="s">
        <v>1205</v>
      </c>
      <c r="D70980" s="0" t="s">
        <v>3860</v>
      </c>
      <c r="E70980" s="0" t="s">
        <v>3860</v>
      </c>
      <c r="F70980" s="0" t="s">
        <v>3860</v>
      </c>
    </row>
    <row r="70982" customFormat="false" ht="12.8" hidden="false" customHeight="false" outlineLevel="0" collapsed="false">
      <c r="A70982" s="0" t="s">
        <v>24056</v>
      </c>
      <c r="B70982" s="0" t="str">
        <f aca="false">HYPERLINK("https://lindat.mff.cuni.cz/services/teitok/pdtc10/index.php?action=vallex&amp;frame=v-w9798f2_ZU", "zpomalit (v-w9798f2_ZU)")</f>
        <v>zpomalit (v-w9798f2_ZU)</v>
      </c>
    </row>
    <row r="70983" customFormat="false" ht="12.8" hidden="false" customHeight="false" outlineLevel="0" collapsed="false">
      <c r="B70983" s="0" t="s">
        <v>7</v>
      </c>
      <c r="D70983" s="0" t="s">
        <v>9110</v>
      </c>
      <c r="E70983" s="0" t="s">
        <v>9110</v>
      </c>
      <c r="F70983" s="0" t="s">
        <v>9110</v>
      </c>
    </row>
    <row r="70984" customFormat="false" ht="12.8" hidden="false" customHeight="false" outlineLevel="0" collapsed="false">
      <c r="B70984" s="0" t="s">
        <v>63</v>
      </c>
      <c r="D70984" s="0" t="s">
        <v>9635</v>
      </c>
      <c r="E70984" s="0" t="s">
        <v>9635</v>
      </c>
      <c r="F70984" s="0" t="s">
        <v>9635</v>
      </c>
    </row>
    <row r="70985" customFormat="false" ht="12.8" hidden="false" customHeight="false" outlineLevel="0" collapsed="false">
      <c r="B70985" s="0" t="s">
        <v>35</v>
      </c>
    </row>
    <row r="70987" customFormat="false" ht="12.8" hidden="false" customHeight="false" outlineLevel="0" collapsed="false">
      <c r="A70987" s="0" t="s">
        <v>24056</v>
      </c>
      <c r="B70987" s="0" t="str">
        <f aca="false">HYPERLINK("https://lindat.mff.cuni.cz/services/teitok/pdtc10/index.php?action=vallex&amp;frame=v-w9798hsa_620", "zpomalit (v-w9798hsa_620) - substituted with v-w9798f2_ZU")</f>
        <v>zpomalit (v-w9798hsa_620) - substituted with v-w9798f2_ZU</v>
      </c>
    </row>
    <row r="70988" customFormat="false" ht="12.8" hidden="false" customHeight="false" outlineLevel="0" collapsed="false">
      <c r="B70988" s="0" t="s">
        <v>7</v>
      </c>
      <c r="C70988" s="0" t="s">
        <v>10302</v>
      </c>
    </row>
    <row r="70989" customFormat="false" ht="12.8" hidden="false" customHeight="false" outlineLevel="0" collapsed="false">
      <c r="B70989" s="0" t="s">
        <v>63</v>
      </c>
    </row>
    <row r="70990" customFormat="false" ht="12.8" hidden="false" customHeight="false" outlineLevel="0" collapsed="false">
      <c r="B70990" s="0" t="s">
        <v>35</v>
      </c>
    </row>
    <row r="70992" customFormat="false" ht="12.8" hidden="false" customHeight="false" outlineLevel="0" collapsed="false">
      <c r="A70992" s="0" t="s">
        <v>24057</v>
      </c>
      <c r="B70992" s="0" t="str">
        <f aca="false">HYPERLINK("https://lindat.mff.cuni.cz/services/teitok/pdtc10/index.php?action=vallex&amp;frame=v-w9799f1", "zpomalit se (v-w9799f1)")</f>
        <v>zpomalit se (v-w9799f1)</v>
      </c>
    </row>
    <row r="70993" customFormat="false" ht="12.8" hidden="false" customHeight="false" outlineLevel="0" collapsed="false">
      <c r="B70993" s="0" t="s">
        <v>7</v>
      </c>
      <c r="C70993" s="0" t="s">
        <v>3282</v>
      </c>
      <c r="D70993" s="0" t="s">
        <v>7922</v>
      </c>
      <c r="E70993" s="0" t="s">
        <v>7922</v>
      </c>
      <c r="F70993" s="0" t="s">
        <v>7922</v>
      </c>
    </row>
    <row r="70995" customFormat="false" ht="12.8" hidden="false" customHeight="false" outlineLevel="0" collapsed="false">
      <c r="A70995" s="0" t="s">
        <v>24058</v>
      </c>
      <c r="B70995" s="0" t="str">
        <f aca="false">HYPERLINK("https://lindat.mff.cuni.cz/services/teitok/pdtc10/index.php?action=vallex&amp;frame=v-w9799f2_ZU", "zpomalit se (v-w9799f2_ZU)")</f>
        <v>zpomalit se (v-w9799f2_ZU)</v>
      </c>
    </row>
    <row r="70996" customFormat="false" ht="12.8" hidden="false" customHeight="false" outlineLevel="0" collapsed="false">
      <c r="B70996" s="0" t="s">
        <v>7</v>
      </c>
      <c r="C70996" s="0" t="s">
        <v>736</v>
      </c>
      <c r="D70996" s="0" t="s">
        <v>9110</v>
      </c>
      <c r="E70996" s="0" t="s">
        <v>9110</v>
      </c>
      <c r="F70996" s="0" t="s">
        <v>9110</v>
      </c>
    </row>
    <row r="70997" customFormat="false" ht="12.8" hidden="false" customHeight="false" outlineLevel="0" collapsed="false">
      <c r="B70997" s="0" t="s">
        <v>63</v>
      </c>
      <c r="D70997" s="0" t="s">
        <v>9635</v>
      </c>
      <c r="E70997" s="0" t="s">
        <v>9635</v>
      </c>
      <c r="F70997" s="0" t="s">
        <v>9635</v>
      </c>
    </row>
    <row r="70998" customFormat="false" ht="12.8" hidden="false" customHeight="false" outlineLevel="0" collapsed="false">
      <c r="B70998" s="0" t="s">
        <v>35</v>
      </c>
    </row>
    <row r="71000" customFormat="false" ht="12.8" hidden="false" customHeight="false" outlineLevel="0" collapsed="false">
      <c r="A71000" s="0" t="s">
        <v>24058</v>
      </c>
      <c r="B71000" s="0" t="str">
        <f aca="false">HYPERLINK("https://lindat.mff.cuni.cz/services/teitok/pdtc10/index.php?action=vallex&amp;frame=v-w9799hsa_1301", "zpomalit se (v-w9799hsa_1301) - substituted with v-w9799f2_ZU")</f>
        <v>zpomalit se (v-w9799hsa_1301) - substituted with v-w9799f2_ZU</v>
      </c>
    </row>
    <row r="71001" customFormat="false" ht="12.8" hidden="false" customHeight="false" outlineLevel="0" collapsed="false">
      <c r="B71001" s="0" t="s">
        <v>7</v>
      </c>
    </row>
    <row r="71002" customFormat="false" ht="12.8" hidden="false" customHeight="false" outlineLevel="0" collapsed="false">
      <c r="B71002" s="0" t="s">
        <v>63</v>
      </c>
    </row>
    <row r="71003" customFormat="false" ht="12.8" hidden="false" customHeight="false" outlineLevel="0" collapsed="false">
      <c r="B71003" s="0" t="s">
        <v>35</v>
      </c>
    </row>
    <row r="71005" customFormat="false" ht="12.8" hidden="false" customHeight="false" outlineLevel="0" collapsed="false">
      <c r="A71005" s="0" t="s">
        <v>24059</v>
      </c>
      <c r="B71005" s="0" t="str">
        <f aca="false">HYPERLINK("https://lindat.mff.cuni.cz/services/teitok/pdtc10/index.php?action=vallex&amp;frame=v-w9800f1", "zpomalovat (v-w9800f1)")</f>
        <v>zpomalovat (v-w9800f1)</v>
      </c>
    </row>
    <row r="71006" customFormat="false" ht="12.8" hidden="false" customHeight="false" outlineLevel="0" collapsed="false">
      <c r="B71006" s="0" t="s">
        <v>7</v>
      </c>
      <c r="C71006" s="0" t="s">
        <v>1902</v>
      </c>
      <c r="D71006" s="0" t="s">
        <v>396</v>
      </c>
      <c r="E71006" s="0" t="s">
        <v>396</v>
      </c>
      <c r="F71006" s="0" t="s">
        <v>396</v>
      </c>
    </row>
    <row r="71007" customFormat="false" ht="12.8" hidden="false" customHeight="false" outlineLevel="0" collapsed="false">
      <c r="B71007" s="0" t="s">
        <v>14</v>
      </c>
      <c r="C71007" s="0" t="s">
        <v>1605</v>
      </c>
      <c r="D71007" s="0" t="s">
        <v>3860</v>
      </c>
      <c r="E71007" s="0" t="s">
        <v>3860</v>
      </c>
      <c r="F71007" s="0" t="s">
        <v>3860</v>
      </c>
    </row>
    <row r="71009" customFormat="false" ht="12.8" hidden="false" customHeight="false" outlineLevel="0" collapsed="false">
      <c r="A71009" s="0" t="s">
        <v>24060</v>
      </c>
      <c r="B71009" s="0" t="str">
        <f aca="false">HYPERLINK("https://lindat.mff.cuni.cz/services/teitok/pdtc10/index.php?action=vallex&amp;frame=v-w9800f3_ZU", "zpomalovat (v-w9800f3_ZU)")</f>
        <v>zpomalovat (v-w9800f3_ZU)</v>
      </c>
    </row>
    <row r="71010" customFormat="false" ht="12.8" hidden="false" customHeight="false" outlineLevel="0" collapsed="false">
      <c r="B71010" s="0" t="s">
        <v>7</v>
      </c>
      <c r="C71010" s="0" t="s">
        <v>9331</v>
      </c>
      <c r="D71010" s="0" t="s">
        <v>9110</v>
      </c>
      <c r="E71010" s="0" t="s">
        <v>9110</v>
      </c>
      <c r="F71010" s="0" t="s">
        <v>9110</v>
      </c>
    </row>
    <row r="71011" customFormat="false" ht="12.8" hidden="false" customHeight="false" outlineLevel="0" collapsed="false">
      <c r="B71011" s="0" t="s">
        <v>63</v>
      </c>
      <c r="D71011" s="0" t="s">
        <v>9635</v>
      </c>
      <c r="E71011" s="0" t="s">
        <v>9635</v>
      </c>
      <c r="F71011" s="0" t="s">
        <v>9635</v>
      </c>
    </row>
    <row r="71012" customFormat="false" ht="12.8" hidden="false" customHeight="false" outlineLevel="0" collapsed="false">
      <c r="B71012" s="0" t="s">
        <v>35</v>
      </c>
    </row>
    <row r="71014" customFormat="false" ht="12.8" hidden="false" customHeight="false" outlineLevel="0" collapsed="false">
      <c r="A71014" s="0" t="s">
        <v>24060</v>
      </c>
      <c r="B71014" s="0" t="str">
        <f aca="false">HYPERLINK("https://lindat.mff.cuni.cz/services/teitok/pdtc10/index.php?action=vallex&amp;frame=v-w9800f2_ZU", "zpomalovat (v-w9800f2_ZU) - substituted with v-w9800f3_ZU")</f>
        <v>zpomalovat (v-w9800f2_ZU) - substituted with v-w9800f3_ZU</v>
      </c>
    </row>
    <row r="71015" customFormat="false" ht="12.8" hidden="false" customHeight="false" outlineLevel="0" collapsed="false">
      <c r="B71015" s="0" t="s">
        <v>7</v>
      </c>
      <c r="C71015" s="0" t="s">
        <v>24061</v>
      </c>
    </row>
    <row r="71016" customFormat="false" ht="12.8" hidden="false" customHeight="false" outlineLevel="0" collapsed="false">
      <c r="B71016" s="0" t="s">
        <v>63</v>
      </c>
    </row>
    <row r="71017" customFormat="false" ht="12.8" hidden="false" customHeight="false" outlineLevel="0" collapsed="false">
      <c r="B71017" s="0" t="s">
        <v>35</v>
      </c>
    </row>
    <row r="71019" customFormat="false" ht="12.8" hidden="false" customHeight="false" outlineLevel="0" collapsed="false">
      <c r="A71019" s="0" t="s">
        <v>24060</v>
      </c>
      <c r="B71019" s="0" t="str">
        <f aca="false">HYPERLINK("https://lindat.mff.cuni.cz/services/teitok/pdtc10/index.php?action=vallex&amp;frame=v-w9800hsa_311", "zpomalovat (v-w9800hsa_311) - substituted with v-w9800f3_ZU")</f>
        <v>zpomalovat (v-w9800hsa_311) - substituted with v-w9800f3_ZU</v>
      </c>
    </row>
    <row r="71020" customFormat="false" ht="12.8" hidden="false" customHeight="false" outlineLevel="0" collapsed="false">
      <c r="B71020" s="0" t="s">
        <v>7</v>
      </c>
    </row>
    <row r="71021" customFormat="false" ht="12.8" hidden="false" customHeight="false" outlineLevel="0" collapsed="false">
      <c r="B71021" s="0" t="s">
        <v>63</v>
      </c>
    </row>
    <row r="71022" customFormat="false" ht="12.8" hidden="false" customHeight="false" outlineLevel="0" collapsed="false">
      <c r="B71022" s="0" t="s">
        <v>35</v>
      </c>
    </row>
    <row r="71024" customFormat="false" ht="12.8" hidden="false" customHeight="false" outlineLevel="0" collapsed="false">
      <c r="A71024" s="0" t="s">
        <v>24062</v>
      </c>
      <c r="B71024" s="0" t="str">
        <f aca="false">HYPERLINK("https://lindat.mff.cuni.cz/services/teitok/pdtc10/index.php?action=vallex&amp;frame=v-w11653_ZUf2_ZU", "zpomalovat se (v-w11653_ZUf2_ZU)")</f>
        <v>zpomalovat se (v-w11653_ZUf2_ZU)</v>
      </c>
    </row>
    <row r="71025" customFormat="false" ht="12.8" hidden="false" customHeight="false" outlineLevel="0" collapsed="false">
      <c r="B71025" s="0" t="s">
        <v>7</v>
      </c>
      <c r="C71025" s="0" t="s">
        <v>1902</v>
      </c>
      <c r="D71025" s="0" t="s">
        <v>9110</v>
      </c>
      <c r="E71025" s="0" t="s">
        <v>9110</v>
      </c>
      <c r="F71025" s="0" t="s">
        <v>9110</v>
      </c>
    </row>
    <row r="71026" customFormat="false" ht="12.8" hidden="false" customHeight="false" outlineLevel="0" collapsed="false">
      <c r="B71026" s="0" t="s">
        <v>63</v>
      </c>
      <c r="D71026" s="0" t="s">
        <v>9635</v>
      </c>
      <c r="E71026" s="0" t="s">
        <v>9635</v>
      </c>
      <c r="F71026" s="0" t="s">
        <v>9635</v>
      </c>
    </row>
    <row r="71027" customFormat="false" ht="12.8" hidden="false" customHeight="false" outlineLevel="0" collapsed="false">
      <c r="B71027" s="0" t="s">
        <v>35</v>
      </c>
    </row>
    <row r="71029" customFormat="false" ht="12.8" hidden="false" customHeight="false" outlineLevel="0" collapsed="false">
      <c r="A71029" s="0" t="s">
        <v>24062</v>
      </c>
      <c r="B71029" s="0" t="str">
        <f aca="false">HYPERLINK("https://lindat.mff.cuni.cz/services/teitok/pdtc10/index.php?action=vallex&amp;frame=v-w11653_ZUf1_ZU", "zpomalovat se (v-w11653_ZUf1_ZU) - substituted with v-w11653_ZUf2_ZU")</f>
        <v>zpomalovat se (v-w11653_ZUf1_ZU) - substituted with v-w11653_ZUf2_ZU</v>
      </c>
    </row>
    <row r="71030" customFormat="false" ht="12.8" hidden="false" customHeight="false" outlineLevel="0" collapsed="false">
      <c r="B71030" s="0" t="s">
        <v>7</v>
      </c>
      <c r="C71030" s="0" t="s">
        <v>10418</v>
      </c>
    </row>
    <row r="71031" customFormat="false" ht="12.8" hidden="false" customHeight="false" outlineLevel="0" collapsed="false">
      <c r="B71031" s="0" t="s">
        <v>63</v>
      </c>
    </row>
    <row r="71032" customFormat="false" ht="12.8" hidden="false" customHeight="false" outlineLevel="0" collapsed="false">
      <c r="B71032" s="0" t="s">
        <v>35</v>
      </c>
    </row>
    <row r="71034" customFormat="false" ht="12.8" hidden="false" customHeight="false" outlineLevel="0" collapsed="false">
      <c r="A71034" s="0" t="s">
        <v>24062</v>
      </c>
      <c r="B71034" s="0" t="str">
        <f aca="false">HYPERLINK("https://lindat.mff.cuni.cz/services/teitok/pdtc10/index.php?action=vallex&amp;frame=v-w11653_ZUhsa_831", "zpomalovat se (v-w11653_ZUhsa_831) - substituted with v-w11653_ZUf2_ZU")</f>
        <v>zpomalovat se (v-w11653_ZUhsa_831) - substituted with v-w11653_ZUf2_ZU</v>
      </c>
    </row>
    <row r="71035" customFormat="false" ht="12.8" hidden="false" customHeight="false" outlineLevel="0" collapsed="false">
      <c r="B71035" s="0" t="s">
        <v>7</v>
      </c>
    </row>
    <row r="71036" customFormat="false" ht="12.8" hidden="false" customHeight="false" outlineLevel="0" collapsed="false">
      <c r="B71036" s="0" t="s">
        <v>63</v>
      </c>
    </row>
    <row r="71037" customFormat="false" ht="12.8" hidden="false" customHeight="false" outlineLevel="0" collapsed="false">
      <c r="B71037" s="0" t="s">
        <v>35</v>
      </c>
    </row>
    <row r="71039" customFormat="false" ht="12.8" hidden="false" customHeight="false" outlineLevel="0" collapsed="false">
      <c r="A71039" s="0" t="s">
        <v>24063</v>
      </c>
      <c r="B71039" s="0" t="str">
        <f aca="false">HYPERLINK("https://lindat.mff.cuni.cz/services/teitok/pdtc10/index.php?action=vallex&amp;frame=v-w12146_ZUf1_ZU", "zpopelnit (v-w12146_ZUf1_ZU)")</f>
        <v>zpopelnit (v-w12146_ZUf1_ZU)</v>
      </c>
    </row>
    <row r="71040" customFormat="false" ht="12.8" hidden="false" customHeight="false" outlineLevel="0" collapsed="false">
      <c r="B71040" s="0" t="s">
        <v>7</v>
      </c>
    </row>
    <row r="71041" customFormat="false" ht="12.8" hidden="false" customHeight="false" outlineLevel="0" collapsed="false">
      <c r="B71041" s="0" t="s">
        <v>14</v>
      </c>
    </row>
    <row r="71043" customFormat="false" ht="12.8" hidden="false" customHeight="false" outlineLevel="0" collapsed="false">
      <c r="A71043" s="0" t="s">
        <v>24064</v>
      </c>
      <c r="B71043" s="0" t="str">
        <f aca="false">HYPERLINK("https://lindat.mff.cuni.cz/services/teitok/pdtc10/index.php?action=vallex&amp;frame=v-w10955f2", "zpopularizovat (v-w10955f2)")</f>
        <v>zpopularizovat (v-w10955f2)</v>
      </c>
    </row>
    <row r="71044" customFormat="false" ht="12.8" hidden="false" customHeight="false" outlineLevel="0" collapsed="false">
      <c r="B71044" s="0" t="s">
        <v>7</v>
      </c>
      <c r="C71044" s="0" t="s">
        <v>191</v>
      </c>
      <c r="D71044" s="0" t="s">
        <v>157</v>
      </c>
      <c r="E71044" s="0" t="s">
        <v>157</v>
      </c>
      <c r="F71044" s="0" t="s">
        <v>157</v>
      </c>
    </row>
    <row r="71045" customFormat="false" ht="12.8" hidden="false" customHeight="false" outlineLevel="0" collapsed="false">
      <c r="B71045" s="0" t="s">
        <v>14</v>
      </c>
      <c r="C71045" s="0" t="s">
        <v>155</v>
      </c>
      <c r="D71045" s="0" t="s">
        <v>2850</v>
      </c>
      <c r="E71045" s="0" t="s">
        <v>2850</v>
      </c>
      <c r="F71045" s="0" t="s">
        <v>2850</v>
      </c>
    </row>
    <row r="71047" customFormat="false" ht="12.8" hidden="false" customHeight="false" outlineLevel="0" collapsed="false">
      <c r="A71047" s="0" t="s">
        <v>24065</v>
      </c>
      <c r="B71047" s="0" t="str">
        <f aca="false">HYPERLINK("https://lindat.mff.cuni.cz/services/teitok/pdtc10/index.php?action=vallex&amp;frame=v-whsa_726hsa_727", "zpotit se (v-whsa_726hsa_727)")</f>
        <v>zpotit se (v-whsa_726hsa_727)</v>
      </c>
    </row>
    <row r="71048" customFormat="false" ht="12.8" hidden="false" customHeight="false" outlineLevel="0" collapsed="false">
      <c r="B71048" s="0" t="s">
        <v>7</v>
      </c>
      <c r="C71048" s="0" t="s">
        <v>46</v>
      </c>
      <c r="D71048" s="0" t="s">
        <v>184</v>
      </c>
      <c r="E71048" s="0" t="s">
        <v>184</v>
      </c>
      <c r="F71048" s="0" t="s">
        <v>184</v>
      </c>
    </row>
    <row r="71050" customFormat="false" ht="12.8" hidden="false" customHeight="false" outlineLevel="0" collapsed="false">
      <c r="A71050" s="0" t="s">
        <v>24066</v>
      </c>
      <c r="B71050" s="0" t="str">
        <f aca="false">HYPERLINK("https://lindat.mff.cuni.cz/services/teitok/pdtc10/index.php?action=vallex&amp;frame=v-w9802f1", "zpovídat (v-w9802f1)")</f>
        <v>zpovídat (v-w9802f1)</v>
      </c>
    </row>
    <row r="71051" customFormat="false" ht="12.8" hidden="false" customHeight="false" outlineLevel="0" collapsed="false">
      <c r="B71051" s="0" t="s">
        <v>7</v>
      </c>
      <c r="D71051" s="0" t="s">
        <v>2534</v>
      </c>
      <c r="E71051" s="0" t="s">
        <v>2534</v>
      </c>
      <c r="F71051" s="0" t="s">
        <v>2534</v>
      </c>
    </row>
    <row r="71052" customFormat="false" ht="12.8" hidden="false" customHeight="false" outlineLevel="0" collapsed="false">
      <c r="B71052" s="0" t="s">
        <v>81</v>
      </c>
      <c r="D71052" s="0" t="s">
        <v>2540</v>
      </c>
      <c r="E71052" s="0" t="s">
        <v>2540</v>
      </c>
      <c r="F71052" s="0" t="s">
        <v>2540</v>
      </c>
    </row>
    <row r="71053" customFormat="false" ht="12.8" hidden="false" customHeight="false" outlineLevel="0" collapsed="false">
      <c r="B71053" s="0" t="s">
        <v>581</v>
      </c>
      <c r="D71053" s="0" t="s">
        <v>2537</v>
      </c>
      <c r="E71053" s="0" t="s">
        <v>2537</v>
      </c>
      <c r="F71053" s="0" t="s">
        <v>2537</v>
      </c>
    </row>
    <row r="71055" customFormat="false" ht="12.8" hidden="false" customHeight="false" outlineLevel="0" collapsed="false">
      <c r="A71055" s="0" t="s">
        <v>24067</v>
      </c>
      <c r="B71055" s="0" t="str">
        <f aca="false">HYPERLINK("https://lindat.mff.cuni.cz/services/teitok/pdtc10/index.php?action=vallex&amp;frame=v-w9803f1", "zpozdit (v-w9803f1)")</f>
        <v>zpozdit (v-w9803f1)</v>
      </c>
    </row>
    <row r="71056" customFormat="false" ht="12.8" hidden="false" customHeight="false" outlineLevel="0" collapsed="false">
      <c r="B71056" s="0" t="s">
        <v>7</v>
      </c>
      <c r="C71056" s="0" t="s">
        <v>1261</v>
      </c>
      <c r="D71056" s="0" t="s">
        <v>392</v>
      </c>
      <c r="E71056" s="0" t="s">
        <v>392</v>
      </c>
      <c r="F71056" s="0" t="s">
        <v>392</v>
      </c>
    </row>
    <row r="71057" customFormat="false" ht="12.8" hidden="false" customHeight="false" outlineLevel="0" collapsed="false">
      <c r="B71057" s="0" t="s">
        <v>14</v>
      </c>
      <c r="C71057" s="0" t="s">
        <v>4407</v>
      </c>
      <c r="D71057" s="0" t="s">
        <v>394</v>
      </c>
      <c r="E71057" s="0" t="s">
        <v>394</v>
      </c>
      <c r="F71057" s="0" t="s">
        <v>394</v>
      </c>
    </row>
    <row r="71059" customFormat="false" ht="12.8" hidden="false" customHeight="false" outlineLevel="0" collapsed="false">
      <c r="A71059" s="0" t="s">
        <v>24068</v>
      </c>
      <c r="B71059" s="0" t="str">
        <f aca="false">HYPERLINK("https://lindat.mff.cuni.cz/services/teitok/pdtc10/index.php?action=vallex&amp;frame=v-w9804f1", "zpozdit se (v-w9804f1)")</f>
        <v>zpozdit se (v-w9804f1)</v>
      </c>
    </row>
    <row r="71060" customFormat="false" ht="12.8" hidden="false" customHeight="false" outlineLevel="0" collapsed="false">
      <c r="B71060" s="0" t="s">
        <v>7</v>
      </c>
      <c r="C71060" s="0" t="s">
        <v>23387</v>
      </c>
    </row>
    <row r="71062" customFormat="false" ht="12.8" hidden="false" customHeight="false" outlineLevel="0" collapsed="false">
      <c r="A71062" s="0" t="s">
        <v>24069</v>
      </c>
      <c r="B71062" s="0" t="str">
        <f aca="false">HYPERLINK("https://lindat.mff.cuni.cz/services/teitok/pdtc10/index.php?action=vallex&amp;frame=v-w9804hsa_785", "zpozdit se (v-w9804hsa_785)")</f>
        <v>zpozdit se (v-w9804hsa_785)</v>
      </c>
    </row>
    <row r="71063" customFormat="false" ht="12.8" hidden="false" customHeight="false" outlineLevel="0" collapsed="false">
      <c r="B71063" s="0" t="s">
        <v>7</v>
      </c>
      <c r="C71063" s="0" t="s">
        <v>6750</v>
      </c>
    </row>
    <row r="71064" customFormat="false" ht="12.8" hidden="false" customHeight="false" outlineLevel="0" collapsed="false">
      <c r="B71064" s="0" t="s">
        <v>548</v>
      </c>
    </row>
    <row r="71066" customFormat="false" ht="12.8" hidden="false" customHeight="false" outlineLevel="0" collapsed="false">
      <c r="A71066" s="0" t="s">
        <v>24070</v>
      </c>
      <c r="B71066" s="0" t="str">
        <f aca="false">HYPERLINK("https://lindat.mff.cuni.cz/services/teitok/pdtc10/index.php?action=vallex&amp;frame=v-w10386f2", "zpozornět (v-w10386f2)")</f>
        <v>zpozornět (v-w10386f2)</v>
      </c>
    </row>
    <row r="71067" customFormat="false" ht="12.8" hidden="false" customHeight="false" outlineLevel="0" collapsed="false">
      <c r="B71067" s="0" t="s">
        <v>7</v>
      </c>
    </row>
    <row r="71069" customFormat="false" ht="12.8" hidden="false" customHeight="false" outlineLevel="0" collapsed="false">
      <c r="A71069" s="0" t="s">
        <v>24071</v>
      </c>
      <c r="B71069" s="0" t="str">
        <f aca="false">HYPERLINK("https://lindat.mff.cuni.cz/services/teitok/pdtc10/index.php?action=vallex&amp;frame=v-w9805f2_ZU", "zpozorovat (v-w9805f2_ZU)")</f>
        <v>zpozorovat (v-w9805f2_ZU)</v>
      </c>
    </row>
    <row r="71070" customFormat="false" ht="12.8" hidden="false" customHeight="false" outlineLevel="0" collapsed="false">
      <c r="B71070" s="0" t="s">
        <v>7</v>
      </c>
    </row>
    <row r="71071" customFormat="false" ht="12.8" hidden="false" customHeight="false" outlineLevel="0" collapsed="false">
      <c r="B71071" s="0" t="s">
        <v>10836</v>
      </c>
    </row>
    <row r="71073" customFormat="false" ht="12.8" hidden="false" customHeight="false" outlineLevel="0" collapsed="false">
      <c r="A71073" s="0" t="s">
        <v>24071</v>
      </c>
      <c r="B71073" s="0" t="str">
        <f aca="false">HYPERLINK("https://lindat.mff.cuni.cz/services/teitok/pdtc10/index.php?action=vallex&amp;frame=v-w9805f1", "zpozorovat (v-w9805f1) - substituted with v-w9805f2_ZU")</f>
        <v>zpozorovat (v-w9805f1) - substituted with v-w9805f2_ZU</v>
      </c>
    </row>
    <row r="71074" customFormat="false" ht="12.8" hidden="false" customHeight="false" outlineLevel="0" collapsed="false">
      <c r="B71074" s="0" t="s">
        <v>7</v>
      </c>
      <c r="C71074" s="0" t="s">
        <v>465</v>
      </c>
      <c r="D71074" s="0" t="s">
        <v>7732</v>
      </c>
      <c r="E71074" s="0" t="s">
        <v>11354</v>
      </c>
      <c r="F71074" s="0" t="s">
        <v>11354</v>
      </c>
    </row>
    <row r="71075" customFormat="false" ht="12.8" hidden="false" customHeight="false" outlineLevel="0" collapsed="false">
      <c r="B71075" s="0" t="s">
        <v>10836</v>
      </c>
      <c r="C71075" s="0" t="s">
        <v>2641</v>
      </c>
      <c r="D71075" s="0" t="s">
        <v>10974</v>
      </c>
      <c r="E71075" s="0" t="s">
        <v>11355</v>
      </c>
      <c r="F71075" s="0" t="s">
        <v>11355</v>
      </c>
    </row>
    <row r="71077" customFormat="false" ht="12.8" hidden="false" customHeight="false" outlineLevel="0" collapsed="false">
      <c r="A71077" s="0" t="s">
        <v>24072</v>
      </c>
      <c r="B71077" s="0" t="str">
        <f aca="false">HYPERLINK("https://lindat.mff.cuni.cz/services/teitok/pdtc10/index.php?action=vallex&amp;frame=v-w9807f1", "zpožďovat (v-w9807f1)")</f>
        <v>zpožďovat (v-w9807f1)</v>
      </c>
    </row>
    <row r="71078" customFormat="false" ht="12.8" hidden="false" customHeight="false" outlineLevel="0" collapsed="false">
      <c r="B71078" s="0" t="s">
        <v>7</v>
      </c>
      <c r="C71078" s="0" t="s">
        <v>1261</v>
      </c>
      <c r="D71078" s="0" t="s">
        <v>392</v>
      </c>
      <c r="E71078" s="0" t="s">
        <v>392</v>
      </c>
      <c r="F71078" s="0" t="s">
        <v>392</v>
      </c>
    </row>
    <row r="71079" customFormat="false" ht="12.8" hidden="false" customHeight="false" outlineLevel="0" collapsed="false">
      <c r="B71079" s="0" t="s">
        <v>14</v>
      </c>
      <c r="C71079" s="0" t="s">
        <v>4407</v>
      </c>
      <c r="D71079" s="0" t="s">
        <v>394</v>
      </c>
      <c r="E71079" s="0" t="s">
        <v>394</v>
      </c>
      <c r="F71079" s="0" t="s">
        <v>394</v>
      </c>
    </row>
    <row r="71081" customFormat="false" ht="12.8" hidden="false" customHeight="false" outlineLevel="0" collapsed="false">
      <c r="A71081" s="0" t="s">
        <v>24073</v>
      </c>
      <c r="B71081" s="0" t="str">
        <f aca="false">HYPERLINK("https://lindat.mff.cuni.cz/services/teitok/pdtc10/index.php?action=vallex&amp;frame=v-w9808f1", "zpožďovat se (v-w9808f1)")</f>
        <v>zpožďovat se (v-w9808f1)</v>
      </c>
    </row>
    <row r="71082" customFormat="false" ht="12.8" hidden="false" customHeight="false" outlineLevel="0" collapsed="false">
      <c r="B71082" s="0" t="s">
        <v>7</v>
      </c>
    </row>
    <row r="71084" customFormat="false" ht="12.8" hidden="false" customHeight="false" outlineLevel="0" collapsed="false">
      <c r="A71084" s="0" t="s">
        <v>24074</v>
      </c>
      <c r="B71084" s="0" t="str">
        <f aca="false">HYPERLINK("https://lindat.mff.cuni.cz/services/teitok/pdtc10/index.php?action=vallex&amp;frame=v-w9810f1", "zpracovat (v-w9810f1)")</f>
        <v>zpracovat (v-w9810f1)</v>
      </c>
    </row>
    <row r="71085" customFormat="false" ht="12.8" hidden="false" customHeight="false" outlineLevel="0" collapsed="false">
      <c r="B71085" s="0" t="s">
        <v>7</v>
      </c>
      <c r="C71085" s="0" t="s">
        <v>24075</v>
      </c>
      <c r="D71085" s="0" t="s">
        <v>46</v>
      </c>
      <c r="E71085" s="0" t="s">
        <v>24076</v>
      </c>
      <c r="F71085" s="0" t="s">
        <v>24076</v>
      </c>
    </row>
    <row r="71086" customFormat="false" ht="12.8" hidden="false" customHeight="false" outlineLevel="0" collapsed="false">
      <c r="B71086" s="0" t="s">
        <v>14</v>
      </c>
      <c r="C71086" s="0" t="s">
        <v>18938</v>
      </c>
      <c r="D71086" s="0" t="s">
        <v>384</v>
      </c>
      <c r="E71086" s="0" t="s">
        <v>24077</v>
      </c>
      <c r="F71086" s="0" t="s">
        <v>24077</v>
      </c>
    </row>
    <row r="71087" customFormat="false" ht="12.8" hidden="false" customHeight="false" outlineLevel="0" collapsed="false">
      <c r="B71087" s="0" t="s">
        <v>35</v>
      </c>
      <c r="C71087" s="0" t="s">
        <v>5360</v>
      </c>
      <c r="E71087" s="0" t="s">
        <v>1940</v>
      </c>
      <c r="F71087" s="0" t="s">
        <v>1940</v>
      </c>
    </row>
    <row r="71089" customFormat="false" ht="12.8" hidden="false" customHeight="false" outlineLevel="0" collapsed="false">
      <c r="A71089" s="0" t="s">
        <v>24078</v>
      </c>
      <c r="B71089" s="0" t="str">
        <f aca="false">HYPERLINK("https://lindat.mff.cuni.cz/services/teitok/pdtc10/index.php?action=vallex&amp;frame=v-w9810f2", "zpracovat (v-w9810f2)")</f>
        <v>zpracovat (v-w9810f2)</v>
      </c>
    </row>
    <row r="71090" customFormat="false" ht="12.8" hidden="false" customHeight="false" outlineLevel="0" collapsed="false">
      <c r="B71090" s="0" t="s">
        <v>7</v>
      </c>
      <c r="C71090" s="0" t="s">
        <v>24079</v>
      </c>
    </row>
    <row r="71091" customFormat="false" ht="12.8" hidden="false" customHeight="false" outlineLevel="0" collapsed="false">
      <c r="B71091" s="0" t="s">
        <v>14</v>
      </c>
      <c r="C71091" s="0" t="s">
        <v>24080</v>
      </c>
    </row>
    <row r="71092" customFormat="false" ht="12.8" hidden="false" customHeight="false" outlineLevel="0" collapsed="false">
      <c r="B71092" s="0" t="s">
        <v>3993</v>
      </c>
      <c r="C71092" s="0" t="s">
        <v>2112</v>
      </c>
    </row>
    <row r="71094" customFormat="false" ht="12.8" hidden="false" customHeight="false" outlineLevel="0" collapsed="false">
      <c r="A71094" s="0" t="s">
        <v>24081</v>
      </c>
      <c r="B71094" s="0" t="str">
        <f aca="false">HYPERLINK("https://lindat.mff.cuni.cz/services/teitok/pdtc10/index.php?action=vallex&amp;frame=v-w9810f3", "zpracovat (v-w9810f3)")</f>
        <v>zpracovat (v-w9810f3)</v>
      </c>
    </row>
    <row r="71095" customFormat="false" ht="12.8" hidden="false" customHeight="false" outlineLevel="0" collapsed="false">
      <c r="B71095" s="0" t="s">
        <v>7</v>
      </c>
      <c r="C71095" s="0" t="s">
        <v>46</v>
      </c>
    </row>
    <row r="71096" customFormat="false" ht="12.8" hidden="false" customHeight="false" outlineLevel="0" collapsed="false">
      <c r="B71096" s="0" t="s">
        <v>14</v>
      </c>
      <c r="C71096" s="0" t="s">
        <v>47</v>
      </c>
    </row>
    <row r="71098" customFormat="false" ht="12.8" hidden="false" customHeight="false" outlineLevel="0" collapsed="false">
      <c r="A71098" s="0" t="s">
        <v>24082</v>
      </c>
      <c r="B71098" s="0" t="str">
        <f aca="false">HYPERLINK("https://lindat.mff.cuni.cz/services/teitok/pdtc10/index.php?action=vallex&amp;frame=v-w9810f4_ZU", "zpracovat (v-w9810f4_ZU)")</f>
        <v>zpracovat (v-w9810f4_ZU)</v>
      </c>
    </row>
    <row r="71099" customFormat="false" ht="12.8" hidden="false" customHeight="false" outlineLevel="0" collapsed="false">
      <c r="B71099" s="0" t="s">
        <v>7</v>
      </c>
    </row>
    <row r="71100" customFormat="false" ht="12.8" hidden="false" customHeight="false" outlineLevel="0" collapsed="false">
      <c r="B71100" s="0" t="s">
        <v>14</v>
      </c>
    </row>
    <row r="71102" customFormat="false" ht="12.8" hidden="false" customHeight="false" outlineLevel="0" collapsed="false">
      <c r="A71102" s="0" t="s">
        <v>24082</v>
      </c>
      <c r="B71102" s="0" t="str">
        <f aca="false">HYPERLINK("https://lindat.mff.cuni.cz/services/teitok/pdtc10/index.php?action=vallex&amp;frame=v-w9810hsa_1632", "zpracovat (v-w9810hsa_1632) - substituted with v-w9810f4_ZU")</f>
        <v>zpracovat (v-w9810hsa_1632) - substituted with v-w9810f4_ZU</v>
      </c>
    </row>
    <row r="71103" customFormat="false" ht="12.8" hidden="false" customHeight="false" outlineLevel="0" collapsed="false">
      <c r="B71103" s="0" t="s">
        <v>7</v>
      </c>
    </row>
    <row r="71104" customFormat="false" ht="12.8" hidden="false" customHeight="false" outlineLevel="0" collapsed="false">
      <c r="B71104" s="0" t="s">
        <v>14</v>
      </c>
    </row>
    <row r="71106" customFormat="false" ht="12.8" hidden="false" customHeight="false" outlineLevel="0" collapsed="false">
      <c r="A71106" s="0" t="s">
        <v>24083</v>
      </c>
      <c r="B71106" s="0" t="str">
        <f aca="false">HYPERLINK("https://lindat.mff.cuni.cz/services/teitok/pdtc10/index.php?action=vallex&amp;frame=v-w9813f1", "zpracovávat (v-w9813f1)")</f>
        <v>zpracovávat (v-w9813f1)</v>
      </c>
    </row>
    <row r="71107" customFormat="false" ht="12.8" hidden="false" customHeight="false" outlineLevel="0" collapsed="false">
      <c r="B71107" s="0" t="s">
        <v>7</v>
      </c>
      <c r="C71107" s="0" t="s">
        <v>24084</v>
      </c>
      <c r="D71107" s="0" t="s">
        <v>46</v>
      </c>
      <c r="E71107" s="0" t="s">
        <v>46</v>
      </c>
      <c r="F71107" s="0" t="s">
        <v>46</v>
      </c>
    </row>
    <row r="71108" customFormat="false" ht="12.8" hidden="false" customHeight="false" outlineLevel="0" collapsed="false">
      <c r="B71108" s="0" t="s">
        <v>14</v>
      </c>
      <c r="C71108" s="0" t="s">
        <v>1511</v>
      </c>
      <c r="D71108" s="0" t="s">
        <v>384</v>
      </c>
      <c r="E71108" s="0" t="s">
        <v>384</v>
      </c>
      <c r="F71108" s="0" t="s">
        <v>384</v>
      </c>
    </row>
    <row r="71109" customFormat="false" ht="12.8" hidden="false" customHeight="false" outlineLevel="0" collapsed="false">
      <c r="B71109" s="0" t="s">
        <v>35</v>
      </c>
    </row>
    <row r="71111" customFormat="false" ht="12.8" hidden="false" customHeight="false" outlineLevel="0" collapsed="false">
      <c r="A71111" s="0" t="s">
        <v>24085</v>
      </c>
      <c r="B71111" s="0" t="str">
        <f aca="false">HYPERLINK("https://lindat.mff.cuni.cz/services/teitok/pdtc10/index.php?action=vallex&amp;frame=v-w9813hsa_821", "zpracovávat (v-w9813hsa_821)")</f>
        <v>zpracovávat (v-w9813hsa_821)</v>
      </c>
    </row>
    <row r="71112" customFormat="false" ht="12.8" hidden="false" customHeight="false" outlineLevel="0" collapsed="false">
      <c r="B71112" s="0" t="s">
        <v>7</v>
      </c>
      <c r="C71112" s="0" t="s">
        <v>149</v>
      </c>
    </row>
    <row r="71113" customFormat="false" ht="12.8" hidden="false" customHeight="false" outlineLevel="0" collapsed="false">
      <c r="B71113" s="0" t="s">
        <v>14</v>
      </c>
      <c r="C71113" s="0" t="s">
        <v>24</v>
      </c>
    </row>
    <row r="71114" customFormat="false" ht="12.8" hidden="false" customHeight="false" outlineLevel="0" collapsed="false">
      <c r="B71114" s="0" t="s">
        <v>4978</v>
      </c>
      <c r="C71114" s="0" t="s">
        <v>1527</v>
      </c>
    </row>
    <row r="71116" customFormat="false" ht="12.8" hidden="false" customHeight="false" outlineLevel="0" collapsed="false">
      <c r="A71116" s="0" t="s">
        <v>24085</v>
      </c>
      <c r="B71116" s="0" t="str">
        <f aca="false">HYPERLINK("https://lindat.mff.cuni.cz/services/teitok/pdtc10/index.php?action=vallex&amp;frame=v-w9813f3", "zpracovávat (v-w9813f3) - substituted with v-w9813hsa_821")</f>
        <v>zpracovávat (v-w9813f3) - substituted with v-w9813hsa_821</v>
      </c>
    </row>
    <row r="71117" customFormat="false" ht="12.8" hidden="false" customHeight="false" outlineLevel="0" collapsed="false">
      <c r="B71117" s="0" t="s">
        <v>7</v>
      </c>
      <c r="C71117" s="0" t="s">
        <v>24086</v>
      </c>
    </row>
    <row r="71118" customFormat="false" ht="12.8" hidden="false" customHeight="false" outlineLevel="0" collapsed="false">
      <c r="B71118" s="0" t="s">
        <v>14</v>
      </c>
      <c r="C71118" s="0" t="s">
        <v>24087</v>
      </c>
    </row>
    <row r="71119" customFormat="false" ht="12.8" hidden="false" customHeight="false" outlineLevel="0" collapsed="false">
      <c r="B71119" s="0" t="s">
        <v>4978</v>
      </c>
      <c r="C71119" s="0" t="s">
        <v>1527</v>
      </c>
    </row>
    <row r="71121" customFormat="false" ht="12.8" hidden="false" customHeight="false" outlineLevel="0" collapsed="false">
      <c r="A71121" s="0" t="s">
        <v>24088</v>
      </c>
      <c r="B71121" s="0" t="str">
        <f aca="false">HYPERLINK("https://lindat.mff.cuni.cz/services/teitok/pdtc10/index.php?action=vallex&amp;frame=v-w9813f2", "zpracovávat (v-w9813f2)")</f>
        <v>zpracovávat (v-w9813f2)</v>
      </c>
    </row>
    <row r="71122" customFormat="false" ht="12.8" hidden="false" customHeight="false" outlineLevel="0" collapsed="false">
      <c r="B71122" s="0" t="s">
        <v>7</v>
      </c>
    </row>
    <row r="71123" customFormat="false" ht="12.8" hidden="false" customHeight="false" outlineLevel="0" collapsed="false">
      <c r="B71123" s="0" t="s">
        <v>14</v>
      </c>
    </row>
    <row r="71125" customFormat="false" ht="12.8" hidden="false" customHeight="false" outlineLevel="0" collapsed="false">
      <c r="A71125" s="0" t="s">
        <v>24089</v>
      </c>
      <c r="B71125" s="0" t="str">
        <f aca="false">HYPERLINK("https://lindat.mff.cuni.cz/services/teitok/pdtc10/index.php?action=vallex&amp;frame=v-w9813f4_ZU", "zpracovávat (v-w9813f4_ZU)")</f>
        <v>zpracovávat (v-w9813f4_ZU)</v>
      </c>
    </row>
    <row r="71126" customFormat="false" ht="12.8" hidden="false" customHeight="false" outlineLevel="0" collapsed="false">
      <c r="B71126" s="0" t="s">
        <v>7</v>
      </c>
      <c r="C71126" s="0" t="s">
        <v>24090</v>
      </c>
    </row>
    <row r="71127" customFormat="false" ht="12.8" hidden="false" customHeight="false" outlineLevel="0" collapsed="false">
      <c r="B71127" s="0" t="s">
        <v>14</v>
      </c>
      <c r="C71127" s="0" t="s">
        <v>24091</v>
      </c>
    </row>
    <row r="71129" customFormat="false" ht="12.8" hidden="false" customHeight="false" outlineLevel="0" collapsed="false">
      <c r="A71129" s="0" t="s">
        <v>24092</v>
      </c>
      <c r="B71129" s="0" t="str">
        <f aca="false">HYPERLINK("https://lindat.mff.cuni.cz/services/teitok/pdtc10/index.php?action=vallex&amp;frame=v-w9815f1", "zpravit (v-w9815f1)")</f>
        <v>zpravit (v-w9815f1)</v>
      </c>
    </row>
    <row r="71130" customFormat="false" ht="12.8" hidden="false" customHeight="false" outlineLevel="0" collapsed="false">
      <c r="B71130" s="0" t="s">
        <v>7</v>
      </c>
    </row>
    <row r="71131" customFormat="false" ht="12.8" hidden="false" customHeight="false" outlineLevel="0" collapsed="false">
      <c r="B71131" s="0" t="s">
        <v>4187</v>
      </c>
    </row>
    <row r="71132" customFormat="false" ht="12.8" hidden="false" customHeight="false" outlineLevel="0" collapsed="false">
      <c r="B71132" s="0" t="s">
        <v>81</v>
      </c>
    </row>
    <row r="71134" customFormat="false" ht="12.8" hidden="false" customHeight="false" outlineLevel="0" collapsed="false">
      <c r="A71134" s="0" t="s">
        <v>24093</v>
      </c>
      <c r="B71134" s="0" t="str">
        <f aca="false">HYPERLINK("https://lindat.mff.cuni.cz/services/teitok/pdtc10/index.php?action=vallex&amp;frame=v-w9817f1", "zprivatizovat (v-w9817f1)")</f>
        <v>zprivatizovat (v-w9817f1)</v>
      </c>
    </row>
    <row r="71135" customFormat="false" ht="12.8" hidden="false" customHeight="false" outlineLevel="0" collapsed="false">
      <c r="B71135" s="0" t="s">
        <v>7</v>
      </c>
      <c r="C71135" s="0" t="s">
        <v>184</v>
      </c>
      <c r="D71135" s="0" t="s">
        <v>184</v>
      </c>
      <c r="E71135" s="0" t="s">
        <v>184</v>
      </c>
      <c r="F71135" s="0" t="s">
        <v>184</v>
      </c>
    </row>
    <row r="71136" customFormat="false" ht="12.8" hidden="false" customHeight="false" outlineLevel="0" collapsed="false">
      <c r="B71136" s="0" t="s">
        <v>14</v>
      </c>
      <c r="C71136" s="0" t="s">
        <v>4407</v>
      </c>
      <c r="D71136" s="0" t="s">
        <v>33</v>
      </c>
      <c r="E71136" s="0" t="s">
        <v>33</v>
      </c>
      <c r="F71136" s="0" t="s">
        <v>33</v>
      </c>
    </row>
    <row r="71138" customFormat="false" ht="12.8" hidden="false" customHeight="false" outlineLevel="0" collapsed="false">
      <c r="A71138" s="0" t="s">
        <v>24094</v>
      </c>
      <c r="B71138" s="0" t="str">
        <f aca="false">HYPERLINK("https://lindat.mff.cuni.cz/services/teitok/pdtc10/index.php?action=vallex&amp;frame=v-w9818f1", "zprofanovat (v-w9818f1)")</f>
        <v>zprofanovat (v-w9818f1)</v>
      </c>
    </row>
    <row r="71139" customFormat="false" ht="12.8" hidden="false" customHeight="false" outlineLevel="0" collapsed="false">
      <c r="B71139" s="0" t="s">
        <v>7</v>
      </c>
    </row>
    <row r="71140" customFormat="false" ht="12.8" hidden="false" customHeight="false" outlineLevel="0" collapsed="false">
      <c r="B71140" s="0" t="s">
        <v>14</v>
      </c>
    </row>
    <row r="71142" customFormat="false" ht="12.8" hidden="false" customHeight="false" outlineLevel="0" collapsed="false">
      <c r="A71142" s="0" t="s">
        <v>24095</v>
      </c>
      <c r="B71142" s="0" t="str">
        <f aca="false">HYPERLINK("https://lindat.mff.cuni.cz/services/teitok/pdtc10/index.php?action=vallex&amp;frame=v-w11654_ZUf1_ZU", "zpronevěřit (v-w11654_ZUf1_ZU)")</f>
        <v>zpronevěřit (v-w11654_ZUf1_ZU)</v>
      </c>
    </row>
    <row r="71143" customFormat="false" ht="12.8" hidden="false" customHeight="false" outlineLevel="0" collapsed="false">
      <c r="B71143" s="0" t="s">
        <v>7</v>
      </c>
      <c r="C71143" s="0" t="s">
        <v>335</v>
      </c>
      <c r="D71143" s="0" t="s">
        <v>46</v>
      </c>
      <c r="E71143" s="0" t="s">
        <v>46</v>
      </c>
      <c r="F71143" s="0" t="s">
        <v>46</v>
      </c>
    </row>
    <row r="71144" customFormat="false" ht="12.8" hidden="false" customHeight="false" outlineLevel="0" collapsed="false">
      <c r="B71144" s="0" t="s">
        <v>14</v>
      </c>
      <c r="C71144" s="0" t="s">
        <v>159</v>
      </c>
      <c r="D71144" s="0" t="s">
        <v>7946</v>
      </c>
      <c r="E71144" s="0" t="s">
        <v>7946</v>
      </c>
      <c r="F71144" s="0" t="s">
        <v>7946</v>
      </c>
    </row>
    <row r="71146" customFormat="false" ht="12.8" hidden="false" customHeight="false" outlineLevel="0" collapsed="false">
      <c r="A71146" s="0" t="s">
        <v>24096</v>
      </c>
      <c r="B71146" s="0" t="str">
        <f aca="false">HYPERLINK("https://lindat.mff.cuni.cz/services/teitok/pdtc10/index.php?action=vallex&amp;frame=v-w9820f1", "zpronevěřit se (v-w9820f1)")</f>
        <v>zpronevěřit se (v-w9820f1)</v>
      </c>
    </row>
    <row r="71147" customFormat="false" ht="12.8" hidden="false" customHeight="false" outlineLevel="0" collapsed="false">
      <c r="B71147" s="0" t="s">
        <v>7</v>
      </c>
    </row>
    <row r="71148" customFormat="false" ht="12.8" hidden="false" customHeight="false" outlineLevel="0" collapsed="false">
      <c r="B71148" s="0" t="s">
        <v>142</v>
      </c>
    </row>
    <row r="71150" customFormat="false" ht="12.8" hidden="false" customHeight="false" outlineLevel="0" collapsed="false">
      <c r="A71150" s="0" t="s">
        <v>24097</v>
      </c>
      <c r="B71150" s="0" t="str">
        <f aca="false">HYPERLINK("https://lindat.mff.cuni.cz/services/teitok/pdtc10/index.php?action=vallex&amp;frame=v-w9821f1", "zprostit (v-w9821f1)")</f>
        <v>zprostit (v-w9821f1)</v>
      </c>
    </row>
    <row r="71151" customFormat="false" ht="12.8" hidden="false" customHeight="false" outlineLevel="0" collapsed="false">
      <c r="B71151" s="0" t="s">
        <v>7</v>
      </c>
      <c r="C71151" s="0" t="s">
        <v>1874</v>
      </c>
      <c r="D71151" s="0" t="s">
        <v>2736</v>
      </c>
      <c r="E71151" s="0" t="s">
        <v>2736</v>
      </c>
      <c r="F71151" s="0" t="s">
        <v>2736</v>
      </c>
    </row>
    <row r="71152" customFormat="false" ht="12.8" hidden="false" customHeight="false" outlineLevel="0" collapsed="false">
      <c r="B71152" s="0" t="s">
        <v>1087</v>
      </c>
      <c r="C71152" s="0" t="s">
        <v>24098</v>
      </c>
      <c r="D71152" s="0" t="s">
        <v>23268</v>
      </c>
      <c r="E71152" s="0" t="s">
        <v>23268</v>
      </c>
      <c r="F71152" s="0" t="s">
        <v>23268</v>
      </c>
    </row>
    <row r="71153" customFormat="false" ht="12.8" hidden="false" customHeight="false" outlineLevel="0" collapsed="false">
      <c r="B71153" s="0" t="s">
        <v>81</v>
      </c>
      <c r="C71153" s="0" t="s">
        <v>24099</v>
      </c>
      <c r="D71153" s="0" t="s">
        <v>23270</v>
      </c>
      <c r="E71153" s="0" t="s">
        <v>23270</v>
      </c>
      <c r="F71153" s="0" t="s">
        <v>23270</v>
      </c>
    </row>
    <row r="71155" customFormat="false" ht="12.8" hidden="false" customHeight="false" outlineLevel="0" collapsed="false">
      <c r="A71155" s="0" t="s">
        <v>24100</v>
      </c>
      <c r="B71155" s="0" t="str">
        <f aca="false">HYPERLINK("https://lindat.mff.cuni.cz/services/teitok/pdtc10/index.php?action=vallex&amp;frame=v-w9824f3_ZU", "zprostředkovat (v-w9824f3_ZU)")</f>
        <v>zprostředkovat (v-w9824f3_ZU)</v>
      </c>
    </row>
    <row r="71156" customFormat="false" ht="12.8" hidden="false" customHeight="false" outlineLevel="0" collapsed="false">
      <c r="B71156" s="0" t="s">
        <v>7</v>
      </c>
    </row>
    <row r="71157" customFormat="false" ht="12.8" hidden="false" customHeight="false" outlineLevel="0" collapsed="false">
      <c r="B71157" s="0" t="s">
        <v>4100</v>
      </c>
    </row>
    <row r="71159" customFormat="false" ht="12.8" hidden="false" customHeight="false" outlineLevel="0" collapsed="false">
      <c r="A71159" s="0" t="s">
        <v>24100</v>
      </c>
      <c r="B71159" s="0" t="str">
        <f aca="false">HYPERLINK("https://lindat.mff.cuni.cz/services/teitok/pdtc10/index.php?action=vallex&amp;frame=v-w9824f1", "zprostředkovat (v-w9824f1) - substituted with v-w9824f3_ZU")</f>
        <v>zprostředkovat (v-w9824f1) - substituted with v-w9824f3_ZU</v>
      </c>
    </row>
    <row r="71160" customFormat="false" ht="12.8" hidden="false" customHeight="false" outlineLevel="0" collapsed="false">
      <c r="B71160" s="0" t="s">
        <v>7</v>
      </c>
      <c r="C71160" s="0" t="s">
        <v>354</v>
      </c>
    </row>
    <row r="71161" customFormat="false" ht="12.8" hidden="false" customHeight="false" outlineLevel="0" collapsed="false">
      <c r="B71161" s="0" t="s">
        <v>4100</v>
      </c>
      <c r="C71161" s="0" t="s">
        <v>7256</v>
      </c>
    </row>
    <row r="71163" customFormat="false" ht="12.8" hidden="false" customHeight="false" outlineLevel="0" collapsed="false">
      <c r="A71163" s="0" t="s">
        <v>24101</v>
      </c>
      <c r="B71163" s="0" t="str">
        <f aca="false">HYPERLINK("https://lindat.mff.cuni.cz/services/teitok/pdtc10/index.php?action=vallex&amp;frame=v-w9824f2_ZU", "zprostředkovat (v-w9824f2_ZU)")</f>
        <v>zprostředkovat (v-w9824f2_ZU)</v>
      </c>
    </row>
    <row r="71164" customFormat="false" ht="12.8" hidden="false" customHeight="false" outlineLevel="0" collapsed="false">
      <c r="B71164" s="0" t="s">
        <v>7</v>
      </c>
    </row>
    <row r="71165" customFormat="false" ht="12.8" hidden="false" customHeight="false" outlineLevel="0" collapsed="false">
      <c r="B71165" s="0" t="s">
        <v>14</v>
      </c>
    </row>
    <row r="71166" customFormat="false" ht="12.8" hidden="false" customHeight="false" outlineLevel="0" collapsed="false">
      <c r="B71166" s="0" t="s">
        <v>106</v>
      </c>
    </row>
    <row r="71168" customFormat="false" ht="12.8" hidden="false" customHeight="false" outlineLevel="0" collapsed="false">
      <c r="A71168" s="0" t="s">
        <v>24102</v>
      </c>
      <c r="B71168" s="0" t="str">
        <f aca="false">HYPERLINK("https://lindat.mff.cuni.cz/services/teitok/pdtc10/index.php?action=vallex&amp;frame=v-w9827f1", "zprostředkovávat (v-w9827f1)")</f>
        <v>zprostředkovávat (v-w9827f1)</v>
      </c>
    </row>
    <row r="71169" customFormat="false" ht="12.8" hidden="false" customHeight="false" outlineLevel="0" collapsed="false">
      <c r="B71169" s="0" t="s">
        <v>7</v>
      </c>
      <c r="C71169" s="0" t="s">
        <v>1154</v>
      </c>
    </row>
    <row r="71170" customFormat="false" ht="12.8" hidden="false" customHeight="false" outlineLevel="0" collapsed="false">
      <c r="B71170" s="0" t="s">
        <v>14</v>
      </c>
      <c r="C71170" s="0" t="s">
        <v>413</v>
      </c>
    </row>
    <row r="71172" customFormat="false" ht="12.8" hidden="false" customHeight="false" outlineLevel="0" collapsed="false">
      <c r="A71172" s="0" t="s">
        <v>24103</v>
      </c>
      <c r="B71172" s="0" t="str">
        <f aca="false">HYPERLINK("https://lindat.mff.cuni.cz/services/teitok/pdtc10/index.php?action=vallex&amp;frame=v-w11721_ZUf1_ZU", "zprotivit se (v-w11721_ZUf1_ZU)")</f>
        <v>zprotivit se (v-w11721_ZUf1_ZU)</v>
      </c>
    </row>
    <row r="71173" customFormat="false" ht="12.8" hidden="false" customHeight="false" outlineLevel="0" collapsed="false">
      <c r="B71173" s="0" t="s">
        <v>603</v>
      </c>
    </row>
    <row r="71174" customFormat="false" ht="12.8" hidden="false" customHeight="false" outlineLevel="0" collapsed="false">
      <c r="B71174" s="0" t="s">
        <v>328</v>
      </c>
    </row>
    <row r="71176" customFormat="false" ht="12.8" hidden="false" customHeight="false" outlineLevel="0" collapsed="false">
      <c r="A71176" s="0" t="s">
        <v>24104</v>
      </c>
      <c r="B71176" s="0" t="str">
        <f aca="false">HYPERLINK("https://lindat.mff.cuni.cz/services/teitok/pdtc10/index.php?action=vallex&amp;frame=v-w9829f1", "zprovoznit (v-w9829f1)")</f>
        <v>zprovoznit (v-w9829f1)</v>
      </c>
    </row>
    <row r="71177" customFormat="false" ht="12.8" hidden="false" customHeight="false" outlineLevel="0" collapsed="false">
      <c r="B71177" s="0" t="s">
        <v>7</v>
      </c>
    </row>
    <row r="71178" customFormat="false" ht="12.8" hidden="false" customHeight="false" outlineLevel="0" collapsed="false">
      <c r="B71178" s="0" t="s">
        <v>14</v>
      </c>
    </row>
    <row r="71180" customFormat="false" ht="12.8" hidden="false" customHeight="false" outlineLevel="0" collapsed="false">
      <c r="A71180" s="0" t="s">
        <v>24105</v>
      </c>
      <c r="B71180" s="0" t="str">
        <f aca="false">HYPERLINK("https://lindat.mff.cuni.cz/services/teitok/pdtc10/index.php?action=vallex&amp;frame=v-w10998f2", "zprošťovat (v-w10998f2)")</f>
        <v>zprošťovat (v-w10998f2)</v>
      </c>
    </row>
    <row r="71181" customFormat="false" ht="12.8" hidden="false" customHeight="false" outlineLevel="0" collapsed="false">
      <c r="B71181" s="0" t="s">
        <v>7</v>
      </c>
      <c r="D71181" s="0" t="s">
        <v>2736</v>
      </c>
      <c r="E71181" s="0" t="s">
        <v>2736</v>
      </c>
      <c r="F71181" s="0" t="s">
        <v>2736</v>
      </c>
    </row>
    <row r="71182" customFormat="false" ht="12.8" hidden="false" customHeight="false" outlineLevel="0" collapsed="false">
      <c r="B71182" s="0" t="s">
        <v>1087</v>
      </c>
      <c r="D71182" s="0" t="s">
        <v>23268</v>
      </c>
      <c r="E71182" s="0" t="s">
        <v>23268</v>
      </c>
      <c r="F71182" s="0" t="s">
        <v>23268</v>
      </c>
    </row>
    <row r="71183" customFormat="false" ht="12.8" hidden="false" customHeight="false" outlineLevel="0" collapsed="false">
      <c r="B71183" s="0" t="s">
        <v>81</v>
      </c>
      <c r="D71183" s="0" t="s">
        <v>23270</v>
      </c>
      <c r="E71183" s="0" t="s">
        <v>23270</v>
      </c>
      <c r="F71183" s="0" t="s">
        <v>23270</v>
      </c>
    </row>
    <row r="71185" customFormat="false" ht="12.8" hidden="false" customHeight="false" outlineLevel="0" collapsed="false">
      <c r="A71185" s="0" t="s">
        <v>24106</v>
      </c>
      <c r="B71185" s="0" t="str">
        <f aca="false">HYPERLINK("https://lindat.mff.cuni.cz/services/teitok/pdtc10/index.php?action=vallex&amp;frame=v-w10240f2", "zprůhledňovat (v-w10240f2)")</f>
        <v>zprůhledňovat (v-w10240f2)</v>
      </c>
    </row>
    <row r="71186" customFormat="false" ht="12.8" hidden="false" customHeight="false" outlineLevel="0" collapsed="false">
      <c r="B71186" s="0" t="s">
        <v>7</v>
      </c>
      <c r="C71186" s="0" t="s">
        <v>184</v>
      </c>
    </row>
    <row r="71187" customFormat="false" ht="12.8" hidden="false" customHeight="false" outlineLevel="0" collapsed="false">
      <c r="B71187" s="0" t="s">
        <v>14</v>
      </c>
      <c r="C71187" s="0" t="s">
        <v>1405</v>
      </c>
    </row>
    <row r="71189" customFormat="false" ht="12.8" hidden="false" customHeight="false" outlineLevel="0" collapsed="false">
      <c r="A71189" s="0" t="s">
        <v>24107</v>
      </c>
      <c r="B71189" s="0" t="str">
        <f aca="false">HYPERLINK("https://lindat.mff.cuni.cz/services/teitok/pdtc10/index.php?action=vallex&amp;frame=v-w9831f1", "zprůměrovat (v-w9831f1)")</f>
        <v>zprůměrovat (v-w9831f1)</v>
      </c>
    </row>
    <row r="71190" customFormat="false" ht="12.8" hidden="false" customHeight="false" outlineLevel="0" collapsed="false">
      <c r="B71190" s="0" t="s">
        <v>7</v>
      </c>
    </row>
    <row r="71191" customFormat="false" ht="12.8" hidden="false" customHeight="false" outlineLevel="0" collapsed="false">
      <c r="B71191" s="0" t="s">
        <v>14</v>
      </c>
    </row>
    <row r="71193" customFormat="false" ht="12.8" hidden="false" customHeight="false" outlineLevel="0" collapsed="false">
      <c r="A71193" s="0" t="s">
        <v>24108</v>
      </c>
      <c r="B71193" s="0" t="str">
        <f aca="false">HYPERLINK("https://lindat.mff.cuni.cz/services/teitok/pdtc10/index.php?action=vallex&amp;frame=v-w9845f1", "zpuchřet (v-w9845f1)")</f>
        <v>zpuchřet (v-w9845f1)</v>
      </c>
    </row>
    <row r="71194" customFormat="false" ht="12.8" hidden="false" customHeight="false" outlineLevel="0" collapsed="false">
      <c r="B71194" s="0" t="s">
        <v>7</v>
      </c>
    </row>
    <row r="71196" customFormat="false" ht="12.8" hidden="false" customHeight="false" outlineLevel="0" collapsed="false">
      <c r="A71196" s="0" t="s">
        <v>24109</v>
      </c>
      <c r="B71196" s="0" t="str">
        <f aca="false">HYPERLINK("https://lindat.mff.cuni.cz/services/teitok/pdtc10/index.php?action=vallex&amp;frame=v-w10807f2", "zpustošit (v-w10807f2)")</f>
        <v>zpustošit (v-w10807f2)</v>
      </c>
    </row>
    <row r="71197" customFormat="false" ht="12.8" hidden="false" customHeight="false" outlineLevel="0" collapsed="false">
      <c r="B71197" s="0" t="s">
        <v>7</v>
      </c>
    </row>
    <row r="71198" customFormat="false" ht="12.8" hidden="false" customHeight="false" outlineLevel="0" collapsed="false">
      <c r="B71198" s="0" t="s">
        <v>232</v>
      </c>
    </row>
    <row r="71200" customFormat="false" ht="12.8" hidden="false" customHeight="false" outlineLevel="0" collapsed="false">
      <c r="A71200" s="0" t="s">
        <v>24110</v>
      </c>
      <c r="B71200" s="0" t="str">
        <f aca="false">HYPERLINK("https://lindat.mff.cuni.cz/services/teitok/pdtc10/index.php?action=vallex&amp;frame=v-whsb_210hsa_211", "zpytovat (v-whsb_210hsa_211)")</f>
        <v>zpytovat (v-whsb_210hsa_211)</v>
      </c>
    </row>
    <row r="71201" customFormat="false" ht="12.8" hidden="false" customHeight="false" outlineLevel="0" collapsed="false">
      <c r="B71201" s="0" t="s">
        <v>7</v>
      </c>
    </row>
    <row r="71202" customFormat="false" ht="12.8" hidden="false" customHeight="false" outlineLevel="0" collapsed="false">
      <c r="B71202" s="0" t="s">
        <v>2030</v>
      </c>
    </row>
    <row r="71204" customFormat="false" ht="12.8" hidden="false" customHeight="false" outlineLevel="0" collapsed="false">
      <c r="A71204" s="0" t="s">
        <v>24111</v>
      </c>
      <c r="B71204" s="0" t="str">
        <f aca="false">HYPERLINK("https://lindat.mff.cuni.cz/services/teitok/pdtc10/index.php?action=vallex&amp;frame=v-w9784f1", "zpívat (v-w9784f1)")</f>
        <v>zpívat (v-w9784f1)</v>
      </c>
    </row>
    <row r="71205" customFormat="false" ht="12.8" hidden="false" customHeight="false" outlineLevel="0" collapsed="false">
      <c r="B71205" s="0" t="s">
        <v>7</v>
      </c>
      <c r="C71205" s="0" t="s">
        <v>149</v>
      </c>
      <c r="D71205" s="0" t="s">
        <v>157</v>
      </c>
      <c r="E71205" s="0" t="s">
        <v>157</v>
      </c>
      <c r="F71205" s="0" t="s">
        <v>157</v>
      </c>
    </row>
    <row r="71206" customFormat="false" ht="12.8" hidden="false" customHeight="false" outlineLevel="0" collapsed="false">
      <c r="B71206" s="0" t="s">
        <v>14</v>
      </c>
      <c r="C71206" s="0" t="s">
        <v>1170</v>
      </c>
      <c r="D71206" s="0" t="s">
        <v>120</v>
      </c>
      <c r="E71206" s="0" t="s">
        <v>120</v>
      </c>
      <c r="F71206" s="0" t="s">
        <v>120</v>
      </c>
    </row>
    <row r="71207" customFormat="false" ht="12.8" hidden="false" customHeight="false" outlineLevel="0" collapsed="false">
      <c r="B71207" s="0" t="s">
        <v>106</v>
      </c>
    </row>
    <row r="71209" customFormat="false" ht="12.8" hidden="false" customHeight="false" outlineLevel="0" collapsed="false">
      <c r="A71209" s="0" t="s">
        <v>24112</v>
      </c>
      <c r="B71209" s="0" t="str">
        <f aca="false">HYPERLINK("https://lindat.mff.cuni.cz/services/teitok/pdtc10/index.php?action=vallex&amp;frame=v-w9784f2", "zpívat (v-w9784f2)")</f>
        <v>zpívat (v-w9784f2)</v>
      </c>
    </row>
    <row r="71210" customFormat="false" ht="12.8" hidden="false" customHeight="false" outlineLevel="0" collapsed="false">
      <c r="B71210" s="0" t="s">
        <v>7</v>
      </c>
    </row>
    <row r="71211" customFormat="false" ht="12.8" hidden="false" customHeight="false" outlineLevel="0" collapsed="false">
      <c r="B71211" s="0" t="s">
        <v>244</v>
      </c>
    </row>
    <row r="71212" customFormat="false" ht="12.8" hidden="false" customHeight="false" outlineLevel="0" collapsed="false">
      <c r="B71212" s="0" t="s">
        <v>106</v>
      </c>
    </row>
    <row r="71214" customFormat="false" ht="12.8" hidden="false" customHeight="false" outlineLevel="0" collapsed="false">
      <c r="A71214" s="0" t="s">
        <v>24113</v>
      </c>
      <c r="B71214" s="0" t="str">
        <f aca="false">HYPERLINK("https://lindat.mff.cuni.cz/services/teitok/pdtc10/index.php?action=vallex&amp;frame=v-w9784f4", "zpívat (v-w9784f4)")</f>
        <v>zpívat (v-w9784f4)</v>
      </c>
    </row>
    <row r="71215" customFormat="false" ht="12.8" hidden="false" customHeight="false" outlineLevel="0" collapsed="false">
      <c r="B71215" s="0" t="s">
        <v>7</v>
      </c>
    </row>
    <row r="71216" customFormat="false" ht="12.8" hidden="false" customHeight="false" outlineLevel="0" collapsed="false">
      <c r="B71216" s="0" t="s">
        <v>12378</v>
      </c>
    </row>
    <row r="71217" customFormat="false" ht="12.8" hidden="false" customHeight="false" outlineLevel="0" collapsed="false">
      <c r="B71217" s="0" t="s">
        <v>363</v>
      </c>
    </row>
    <row r="71218" customFormat="false" ht="12.8" hidden="false" customHeight="false" outlineLevel="0" collapsed="false">
      <c r="B71218" s="0" t="s">
        <v>106</v>
      </c>
    </row>
    <row r="71220" customFormat="false" ht="12.8" hidden="false" customHeight="false" outlineLevel="0" collapsed="false">
      <c r="A71220" s="0" t="s">
        <v>24114</v>
      </c>
      <c r="B71220" s="0" t="str">
        <f aca="false">HYPERLINK("https://lindat.mff.cuni.cz/services/teitok/pdtc10/index.php?action=vallex&amp;frame=v-w9784f3", "zpívat (v-w9784f3)")</f>
        <v>zpívat (v-w9784f3)</v>
      </c>
    </row>
    <row r="71221" customFormat="false" ht="12.8" hidden="false" customHeight="false" outlineLevel="0" collapsed="false">
      <c r="B71221" s="0" t="s">
        <v>7</v>
      </c>
      <c r="C71221" s="0" t="s">
        <v>113</v>
      </c>
      <c r="D71221" s="0" t="s">
        <v>157</v>
      </c>
      <c r="E71221" s="0" t="s">
        <v>157</v>
      </c>
      <c r="F71221" s="0" t="s">
        <v>157</v>
      </c>
    </row>
    <row r="71223" customFormat="false" ht="12.8" hidden="false" customHeight="false" outlineLevel="0" collapsed="false">
      <c r="A71223" s="0" t="s">
        <v>24115</v>
      </c>
      <c r="B71223" s="0" t="str">
        <f aca="false">HYPERLINK("https://lindat.mff.cuni.cz/services/teitok/pdtc10/index.php?action=vallex&amp;frame=v-w9784f5_ZU", "zpívat (v-w9784f5_ZU)")</f>
        <v>zpívat (v-w9784f5_ZU)</v>
      </c>
    </row>
    <row r="71224" customFormat="false" ht="12.8" hidden="false" customHeight="false" outlineLevel="0" collapsed="false">
      <c r="B71224" s="0" t="s">
        <v>7</v>
      </c>
    </row>
    <row r="71226" customFormat="false" ht="12.8" hidden="false" customHeight="false" outlineLevel="0" collapsed="false">
      <c r="A71226" s="0" t="s">
        <v>24116</v>
      </c>
      <c r="B71226" s="0" t="str">
        <f aca="false">HYPERLINK("https://lindat.mff.cuni.cz/services/teitok/pdtc10/index.php?action=vallex&amp;frame=v-w11953_ZUf1_ZU", "zpívávat (v-w11953_ZUf1_ZU)")</f>
        <v>zpívávat (v-w11953_ZUf1_ZU)</v>
      </c>
    </row>
    <row r="71227" customFormat="false" ht="12.8" hidden="false" customHeight="false" outlineLevel="0" collapsed="false">
      <c r="B71227" s="0" t="s">
        <v>7</v>
      </c>
    </row>
    <row r="71228" customFormat="false" ht="12.8" hidden="false" customHeight="false" outlineLevel="0" collapsed="false">
      <c r="B71228" s="0" t="s">
        <v>14</v>
      </c>
    </row>
    <row r="71229" customFormat="false" ht="12.8" hidden="false" customHeight="false" outlineLevel="0" collapsed="false">
      <c r="B71229" s="0" t="s">
        <v>106</v>
      </c>
    </row>
    <row r="71231" customFormat="false" ht="12.8" hidden="false" customHeight="false" outlineLevel="0" collapsed="false">
      <c r="A71231" s="0" t="s">
        <v>24117</v>
      </c>
      <c r="B71231" s="0" t="str">
        <f aca="false">HYPERLINK("https://lindat.mff.cuni.cz/services/teitok/pdtc10/index.php?action=vallex&amp;frame=v-w11428f1", "zpětinásobit se (v-w11428f1)")</f>
        <v>zpětinásobit se (v-w11428f1)</v>
      </c>
    </row>
    <row r="71232" customFormat="false" ht="12.8" hidden="false" customHeight="false" outlineLevel="0" collapsed="false">
      <c r="B71232" s="0" t="s">
        <v>7</v>
      </c>
    </row>
    <row r="71234" customFormat="false" ht="12.8" hidden="false" customHeight="false" outlineLevel="0" collapsed="false">
      <c r="A71234" s="0" t="s">
        <v>24118</v>
      </c>
      <c r="B71234" s="0" t="str">
        <f aca="false">HYPERLINK("https://lindat.mff.cuni.cz/services/teitok/pdtc10/index.php?action=vallex&amp;frame=v-w9833f1", "zpřehlednit (v-w9833f1)")</f>
        <v>zpřehlednit (v-w9833f1)</v>
      </c>
    </row>
    <row r="71235" customFormat="false" ht="12.8" hidden="false" customHeight="false" outlineLevel="0" collapsed="false">
      <c r="B71235" s="0" t="s">
        <v>7</v>
      </c>
    </row>
    <row r="71236" customFormat="false" ht="12.8" hidden="false" customHeight="false" outlineLevel="0" collapsed="false">
      <c r="B71236" s="0" t="s">
        <v>14</v>
      </c>
    </row>
    <row r="71238" customFormat="false" ht="12.8" hidden="false" customHeight="false" outlineLevel="0" collapsed="false">
      <c r="A71238" s="0" t="s">
        <v>24119</v>
      </c>
      <c r="B71238" s="0" t="str">
        <f aca="false">HYPERLINK("https://lindat.mff.cuni.cz/services/teitok/pdtc10/index.php?action=vallex&amp;frame=v-w12141_ZUf1_ZU", "zpřeházet (v-w12141_ZUf1_ZU)")</f>
        <v>zpřeházet (v-w12141_ZUf1_ZU)</v>
      </c>
    </row>
    <row r="71239" customFormat="false" ht="12.8" hidden="false" customHeight="false" outlineLevel="0" collapsed="false">
      <c r="B71239" s="0" t="s">
        <v>7</v>
      </c>
    </row>
    <row r="71240" customFormat="false" ht="12.8" hidden="false" customHeight="false" outlineLevel="0" collapsed="false">
      <c r="B71240" s="0" t="s">
        <v>14</v>
      </c>
    </row>
    <row r="71242" customFormat="false" ht="12.8" hidden="false" customHeight="false" outlineLevel="0" collapsed="false">
      <c r="A71242" s="0" t="s">
        <v>24120</v>
      </c>
      <c r="B71242" s="0" t="str">
        <f aca="false">HYPERLINK("https://lindat.mff.cuni.cz/services/teitok/pdtc10/index.php?action=vallex&amp;frame=v-w9835f1", "zpřesnit (v-w9835f1)")</f>
        <v>zpřesnit (v-w9835f1)</v>
      </c>
    </row>
    <row r="71243" customFormat="false" ht="12.8" hidden="false" customHeight="false" outlineLevel="0" collapsed="false">
      <c r="B71243" s="0" t="s">
        <v>7</v>
      </c>
    </row>
    <row r="71244" customFormat="false" ht="12.8" hidden="false" customHeight="false" outlineLevel="0" collapsed="false">
      <c r="B71244" s="0" t="s">
        <v>2573</v>
      </c>
    </row>
    <row r="71246" customFormat="false" ht="12.8" hidden="false" customHeight="false" outlineLevel="0" collapsed="false">
      <c r="A71246" s="0" t="s">
        <v>24121</v>
      </c>
      <c r="B71246" s="0" t="str">
        <f aca="false">HYPERLINK("https://lindat.mff.cuni.cz/services/teitok/pdtc10/index.php?action=vallex&amp;frame=v-w9836f1", "zpřesňovat (v-w9836f1)")</f>
        <v>zpřesňovat (v-w9836f1)</v>
      </c>
    </row>
    <row r="71247" customFormat="false" ht="12.8" hidden="false" customHeight="false" outlineLevel="0" collapsed="false">
      <c r="B71247" s="0" t="s">
        <v>7</v>
      </c>
    </row>
    <row r="71248" customFormat="false" ht="12.8" hidden="false" customHeight="false" outlineLevel="0" collapsed="false">
      <c r="B71248" s="0" t="s">
        <v>2573</v>
      </c>
    </row>
    <row r="71250" customFormat="false" ht="12.8" hidden="false" customHeight="false" outlineLevel="0" collapsed="false">
      <c r="A71250" s="0" t="s">
        <v>24122</v>
      </c>
      <c r="B71250" s="0" t="str">
        <f aca="false">HYPERLINK("https://lindat.mff.cuni.cz/services/teitok/pdtc10/index.php?action=vallex&amp;frame=v-w9837f1", "zpřetrhat (v-w9837f1)")</f>
        <v>zpřetrhat (v-w9837f1)</v>
      </c>
    </row>
    <row r="71251" customFormat="false" ht="12.8" hidden="false" customHeight="false" outlineLevel="0" collapsed="false">
      <c r="B71251" s="0" t="s">
        <v>7</v>
      </c>
      <c r="C71251" s="0" t="s">
        <v>184</v>
      </c>
      <c r="D71251" s="0" t="s">
        <v>8058</v>
      </c>
      <c r="E71251" s="0" t="s">
        <v>8058</v>
      </c>
      <c r="F71251" s="0" t="s">
        <v>8058</v>
      </c>
    </row>
    <row r="71252" customFormat="false" ht="12.8" hidden="false" customHeight="false" outlineLevel="0" collapsed="false">
      <c r="B71252" s="0" t="s">
        <v>14</v>
      </c>
      <c r="C71252" s="0" t="s">
        <v>115</v>
      </c>
      <c r="D71252" s="0" t="s">
        <v>414</v>
      </c>
      <c r="E71252" s="0" t="s">
        <v>414</v>
      </c>
      <c r="F71252" s="0" t="s">
        <v>414</v>
      </c>
    </row>
    <row r="71254" customFormat="false" ht="12.8" hidden="false" customHeight="false" outlineLevel="0" collapsed="false">
      <c r="A71254" s="0" t="s">
        <v>24123</v>
      </c>
      <c r="B71254" s="0" t="str">
        <f aca="false">HYPERLINK("https://lindat.mff.cuni.cz/services/teitok/pdtc10/index.php?action=vallex&amp;frame=v-whsa_53hsa_54", "zpříjemnit (v-whsa_53hsa_54)")</f>
        <v>zpříjemnit (v-whsa_53hsa_54)</v>
      </c>
    </row>
    <row r="71255" customFormat="false" ht="12.8" hidden="false" customHeight="false" outlineLevel="0" collapsed="false">
      <c r="B71255" s="0" t="s">
        <v>7</v>
      </c>
      <c r="D71255" s="0" t="s">
        <v>460</v>
      </c>
      <c r="E71255" s="0" t="s">
        <v>460</v>
      </c>
      <c r="F71255" s="0" t="s">
        <v>460</v>
      </c>
    </row>
    <row r="71256" customFormat="false" ht="12.8" hidden="false" customHeight="false" outlineLevel="0" collapsed="false">
      <c r="B71256" s="0" t="s">
        <v>14</v>
      </c>
      <c r="D71256" s="0" t="s">
        <v>1209</v>
      </c>
      <c r="E71256" s="0" t="s">
        <v>1209</v>
      </c>
      <c r="F71256" s="0" t="s">
        <v>1209</v>
      </c>
    </row>
    <row r="71258" customFormat="false" ht="12.8" hidden="false" customHeight="false" outlineLevel="0" collapsed="false">
      <c r="A71258" s="0" t="s">
        <v>24124</v>
      </c>
      <c r="B71258" s="0" t="str">
        <f aca="false">HYPERLINK("https://lindat.mff.cuni.cz/services/teitok/pdtc10/index.php?action=vallex&amp;frame=v-w10406f2", "zpříjemňovat (v-w10406f2)")</f>
        <v>zpříjemňovat (v-w10406f2)</v>
      </c>
    </row>
    <row r="71259" customFormat="false" ht="12.8" hidden="false" customHeight="false" outlineLevel="0" collapsed="false">
      <c r="B71259" s="0" t="s">
        <v>7</v>
      </c>
      <c r="C71259" s="0" t="s">
        <v>460</v>
      </c>
      <c r="D71259" s="0" t="s">
        <v>460</v>
      </c>
      <c r="E71259" s="0" t="s">
        <v>460</v>
      </c>
      <c r="F71259" s="0" t="s">
        <v>460</v>
      </c>
    </row>
    <row r="71260" customFormat="false" ht="12.8" hidden="false" customHeight="false" outlineLevel="0" collapsed="false">
      <c r="B71260" s="0" t="s">
        <v>14</v>
      </c>
      <c r="C71260" s="0" t="s">
        <v>1209</v>
      </c>
      <c r="D71260" s="0" t="s">
        <v>1209</v>
      </c>
      <c r="E71260" s="0" t="s">
        <v>1209</v>
      </c>
      <c r="F71260" s="0" t="s">
        <v>1209</v>
      </c>
    </row>
    <row r="71262" customFormat="false" ht="12.8" hidden="false" customHeight="false" outlineLevel="0" collapsed="false">
      <c r="A71262" s="0" t="s">
        <v>24125</v>
      </c>
      <c r="B71262" s="0" t="str">
        <f aca="false">HYPERLINK("https://lindat.mff.cuni.cz/services/teitok/pdtc10/index.php?action=vallex&amp;frame=v-w9840f1", "zpřísnit (v-w9840f1)")</f>
        <v>zpřísnit (v-w9840f1)</v>
      </c>
    </row>
    <row r="71263" customFormat="false" ht="12.8" hidden="false" customHeight="false" outlineLevel="0" collapsed="false">
      <c r="B71263" s="0" t="s">
        <v>7</v>
      </c>
      <c r="C71263" s="0" t="s">
        <v>309</v>
      </c>
      <c r="D71263" s="0" t="s">
        <v>12495</v>
      </c>
      <c r="E71263" s="0" t="s">
        <v>12495</v>
      </c>
      <c r="F71263" s="0" t="s">
        <v>12495</v>
      </c>
    </row>
    <row r="71264" customFormat="false" ht="12.8" hidden="false" customHeight="false" outlineLevel="0" collapsed="false">
      <c r="B71264" s="0" t="s">
        <v>14</v>
      </c>
      <c r="C71264" s="0" t="s">
        <v>3860</v>
      </c>
      <c r="D71264" s="0" t="s">
        <v>453</v>
      </c>
      <c r="E71264" s="0" t="s">
        <v>453</v>
      </c>
      <c r="F71264" s="0" t="s">
        <v>453</v>
      </c>
    </row>
    <row r="71266" customFormat="false" ht="12.8" hidden="false" customHeight="false" outlineLevel="0" collapsed="false">
      <c r="A71266" s="0" t="s">
        <v>24126</v>
      </c>
      <c r="B71266" s="0" t="str">
        <f aca="false">HYPERLINK("https://lindat.mff.cuni.cz/services/teitok/pdtc10/index.php?action=vallex&amp;frame=v-w9839f1", "zpřísnět (v-w9839f1)")</f>
        <v>zpřísnět (v-w9839f1)</v>
      </c>
    </row>
    <row r="71267" customFormat="false" ht="12.8" hidden="false" customHeight="false" outlineLevel="0" collapsed="false">
      <c r="B71267" s="0" t="s">
        <v>7</v>
      </c>
    </row>
    <row r="71269" customFormat="false" ht="12.8" hidden="false" customHeight="false" outlineLevel="0" collapsed="false">
      <c r="A71269" s="0" t="s">
        <v>24127</v>
      </c>
      <c r="B71269" s="0" t="str">
        <f aca="false">HYPERLINK("https://lindat.mff.cuni.cz/services/teitok/pdtc10/index.php?action=vallex&amp;frame=v-w9843f1", "zpřístupnit (v-w9843f1)")</f>
        <v>zpřístupnit (v-w9843f1)</v>
      </c>
    </row>
    <row r="71270" customFormat="false" ht="12.8" hidden="false" customHeight="false" outlineLevel="0" collapsed="false">
      <c r="B71270" s="0" t="s">
        <v>7</v>
      </c>
      <c r="C71270" s="0" t="s">
        <v>14242</v>
      </c>
      <c r="D71270" s="0" t="s">
        <v>24128</v>
      </c>
      <c r="E71270" s="0" t="s">
        <v>24128</v>
      </c>
      <c r="F71270" s="0" t="s">
        <v>24128</v>
      </c>
    </row>
    <row r="71271" customFormat="false" ht="12.8" hidden="false" customHeight="false" outlineLevel="0" collapsed="false">
      <c r="B71271" s="0" t="s">
        <v>14</v>
      </c>
      <c r="C71271" s="0" t="s">
        <v>4218</v>
      </c>
      <c r="D71271" s="0" t="s">
        <v>24129</v>
      </c>
      <c r="E71271" s="0" t="s">
        <v>24129</v>
      </c>
      <c r="F71271" s="0" t="s">
        <v>24129</v>
      </c>
    </row>
    <row r="71272" customFormat="false" ht="12.8" hidden="false" customHeight="false" outlineLevel="0" collapsed="false">
      <c r="B71272" s="0" t="s">
        <v>48</v>
      </c>
      <c r="C71272" s="0" t="s">
        <v>24130</v>
      </c>
      <c r="D71272" s="0" t="s">
        <v>24131</v>
      </c>
      <c r="E71272" s="0" t="s">
        <v>24131</v>
      </c>
      <c r="F71272" s="0" t="s">
        <v>24131</v>
      </c>
    </row>
    <row r="71274" customFormat="false" ht="12.8" hidden="false" customHeight="false" outlineLevel="0" collapsed="false">
      <c r="A71274" s="0" t="s">
        <v>24132</v>
      </c>
      <c r="B71274" s="0" t="str">
        <f aca="false">HYPERLINK("https://lindat.mff.cuni.cz/services/teitok/pdtc10/index.php?action=vallex&amp;frame=v-w9843hsa_678", "zpřístupnit (v-w9843hsa_678)")</f>
        <v>zpřístupnit (v-w9843hsa_678)</v>
      </c>
    </row>
    <row r="71275" customFormat="false" ht="12.8" hidden="false" customHeight="false" outlineLevel="0" collapsed="false">
      <c r="B71275" s="0" t="s">
        <v>7</v>
      </c>
      <c r="C71275" s="0" t="s">
        <v>24133</v>
      </c>
      <c r="D71275" s="0" t="s">
        <v>9242</v>
      </c>
      <c r="E71275" s="0" t="s">
        <v>9242</v>
      </c>
      <c r="F71275" s="0" t="s">
        <v>9242</v>
      </c>
    </row>
    <row r="71276" customFormat="false" ht="12.8" hidden="false" customHeight="false" outlineLevel="0" collapsed="false">
      <c r="B71276" s="0" t="s">
        <v>14</v>
      </c>
      <c r="C71276" s="0" t="s">
        <v>7234</v>
      </c>
      <c r="D71276" s="0" t="s">
        <v>9255</v>
      </c>
      <c r="E71276" s="0" t="s">
        <v>9255</v>
      </c>
      <c r="F71276" s="0" t="s">
        <v>9255</v>
      </c>
    </row>
    <row r="71277" customFormat="false" ht="12.8" hidden="false" customHeight="false" outlineLevel="0" collapsed="false">
      <c r="B71277" s="0" t="s">
        <v>48</v>
      </c>
      <c r="C71277" s="0" t="s">
        <v>9246</v>
      </c>
      <c r="D71277" s="0" t="s">
        <v>9247</v>
      </c>
      <c r="E71277" s="0" t="s">
        <v>9247</v>
      </c>
      <c r="F71277" s="0" t="s">
        <v>9247</v>
      </c>
    </row>
    <row r="71279" customFormat="false" ht="12.8" hidden="false" customHeight="false" outlineLevel="0" collapsed="false">
      <c r="A71279" s="0" t="s">
        <v>24134</v>
      </c>
      <c r="B71279" s="0" t="str">
        <f aca="false">HYPERLINK("https://lindat.mff.cuni.cz/services/teitok/pdtc10/index.php?action=vallex&amp;frame=v-w10910f2", "zpřístupňovat (v-w10910f2)")</f>
        <v>zpřístupňovat (v-w10910f2)</v>
      </c>
    </row>
    <row r="71280" customFormat="false" ht="12.8" hidden="false" customHeight="false" outlineLevel="0" collapsed="false">
      <c r="B71280" s="0" t="s">
        <v>7</v>
      </c>
      <c r="D71280" s="0" t="s">
        <v>24128</v>
      </c>
      <c r="E71280" s="0" t="s">
        <v>24128</v>
      </c>
      <c r="F71280" s="0" t="s">
        <v>24128</v>
      </c>
    </row>
    <row r="71281" customFormat="false" ht="12.8" hidden="false" customHeight="false" outlineLevel="0" collapsed="false">
      <c r="B71281" s="0" t="s">
        <v>14</v>
      </c>
      <c r="D71281" s="0" t="s">
        <v>24129</v>
      </c>
      <c r="E71281" s="0" t="s">
        <v>24129</v>
      </c>
      <c r="F71281" s="0" t="s">
        <v>24129</v>
      </c>
    </row>
    <row r="71282" customFormat="false" ht="12.8" hidden="false" customHeight="false" outlineLevel="0" collapsed="false">
      <c r="B71282" s="0" t="s">
        <v>48</v>
      </c>
      <c r="D71282" s="0" t="s">
        <v>24131</v>
      </c>
      <c r="E71282" s="0" t="s">
        <v>24131</v>
      </c>
      <c r="F71282" s="0" t="s">
        <v>24131</v>
      </c>
    </row>
    <row r="71284" customFormat="false" ht="12.8" hidden="false" customHeight="false" outlineLevel="0" collapsed="false">
      <c r="A71284" s="0" t="s">
        <v>24135</v>
      </c>
      <c r="B71284" s="0" t="str">
        <f aca="false">HYPERLINK("https://lindat.mff.cuni.cz/services/teitok/pdtc10/index.php?action=vallex&amp;frame=v-w10927f2", "zpřísňovat (v-w10927f2)")</f>
        <v>zpřísňovat (v-w10927f2)</v>
      </c>
    </row>
    <row r="71285" customFormat="false" ht="12.8" hidden="false" customHeight="false" outlineLevel="0" collapsed="false">
      <c r="B71285" s="0" t="s">
        <v>7</v>
      </c>
      <c r="C71285" s="0" t="s">
        <v>108</v>
      </c>
      <c r="D71285" s="0" t="s">
        <v>12495</v>
      </c>
      <c r="E71285" s="0" t="s">
        <v>12495</v>
      </c>
      <c r="F71285" s="0" t="s">
        <v>12495</v>
      </c>
    </row>
    <row r="71286" customFormat="false" ht="12.8" hidden="false" customHeight="false" outlineLevel="0" collapsed="false">
      <c r="B71286" s="0" t="s">
        <v>14</v>
      </c>
      <c r="C71286" s="0" t="s">
        <v>624</v>
      </c>
      <c r="D71286" s="0" t="s">
        <v>453</v>
      </c>
      <c r="E71286" s="0" t="s">
        <v>453</v>
      </c>
      <c r="F71286" s="0" t="s">
        <v>453</v>
      </c>
    </row>
    <row r="71288" customFormat="false" ht="12.8" hidden="false" customHeight="false" outlineLevel="0" collapsed="false">
      <c r="A71288" s="0" t="s">
        <v>24136</v>
      </c>
      <c r="B71288" s="0" t="str">
        <f aca="false">HYPERLINK("https://lindat.mff.cuni.cz/services/teitok/pdtc10/index.php?action=vallex&amp;frame=v-w9850f2", "způsobit (v-w9850f2)")</f>
        <v>způsobit (v-w9850f2)</v>
      </c>
    </row>
    <row r="71289" customFormat="false" ht="12.8" hidden="false" customHeight="false" outlineLevel="0" collapsed="false">
      <c r="B71289" s="0" t="s">
        <v>7</v>
      </c>
      <c r="C71289" s="0" t="s">
        <v>24137</v>
      </c>
      <c r="D71289" s="0" t="s">
        <v>570</v>
      </c>
      <c r="E71289" s="0" t="s">
        <v>570</v>
      </c>
      <c r="F71289" s="0" t="s">
        <v>570</v>
      </c>
    </row>
    <row r="71290" customFormat="false" ht="12.8" hidden="false" customHeight="false" outlineLevel="0" collapsed="false">
      <c r="B71290" s="0" t="s">
        <v>54</v>
      </c>
      <c r="C71290" s="0" t="s">
        <v>24138</v>
      </c>
      <c r="D71290" s="0" t="s">
        <v>5917</v>
      </c>
      <c r="E71290" s="0" t="s">
        <v>5917</v>
      </c>
      <c r="F71290" s="0" t="s">
        <v>5917</v>
      </c>
    </row>
    <row r="71291" customFormat="false" ht="12.8" hidden="false" customHeight="false" outlineLevel="0" collapsed="false">
      <c r="B71291" s="0" t="s">
        <v>48</v>
      </c>
      <c r="C71291" s="0" t="s">
        <v>24139</v>
      </c>
      <c r="D71291" s="0" t="s">
        <v>6418</v>
      </c>
      <c r="E71291" s="0" t="s">
        <v>6418</v>
      </c>
      <c r="F71291" s="0" t="s">
        <v>6418</v>
      </c>
    </row>
    <row r="71293" customFormat="false" ht="12.8" hidden="false" customHeight="false" outlineLevel="0" collapsed="false">
      <c r="A71293" s="0" t="s">
        <v>24140</v>
      </c>
      <c r="B71293" s="0" t="str">
        <f aca="false">HYPERLINK("https://lindat.mff.cuni.cz/services/teitok/pdtc10/index.php?action=vallex&amp;frame=v-w9850f1", "způsobit (v-w9850f1)")</f>
        <v>způsobit (v-w9850f1)</v>
      </c>
    </row>
    <row r="71294" customFormat="false" ht="12.8" hidden="false" customHeight="false" outlineLevel="0" collapsed="false">
      <c r="B71294" s="0" t="s">
        <v>7</v>
      </c>
      <c r="C71294" s="0" t="s">
        <v>24141</v>
      </c>
      <c r="D71294" s="0" t="s">
        <v>570</v>
      </c>
      <c r="E71294" s="0" t="s">
        <v>570</v>
      </c>
      <c r="F71294" s="0" t="s">
        <v>570</v>
      </c>
    </row>
    <row r="71295" customFormat="false" ht="12.8" hidden="false" customHeight="false" outlineLevel="0" collapsed="false">
      <c r="B71295" s="0" t="s">
        <v>6839</v>
      </c>
      <c r="C71295" s="0" t="s">
        <v>24142</v>
      </c>
      <c r="D71295" s="0" t="s">
        <v>5917</v>
      </c>
      <c r="E71295" s="0" t="s">
        <v>5917</v>
      </c>
      <c r="F71295" s="0" t="s">
        <v>5917</v>
      </c>
    </row>
    <row r="71297" customFormat="false" ht="12.8" hidden="false" customHeight="false" outlineLevel="0" collapsed="false">
      <c r="A71297" s="0" t="s">
        <v>24143</v>
      </c>
      <c r="B71297" s="0" t="str">
        <f aca="false">HYPERLINK("https://lindat.mff.cuni.cz/services/teitok/pdtc10/index.php?action=vallex&amp;frame=v-w9851f2", "způsobovat (v-w9851f2)")</f>
        <v>způsobovat (v-w9851f2)</v>
      </c>
    </row>
    <row r="71298" customFormat="false" ht="12.8" hidden="false" customHeight="false" outlineLevel="0" collapsed="false">
      <c r="B71298" s="0" t="s">
        <v>7</v>
      </c>
      <c r="C71298" s="0" t="s">
        <v>24144</v>
      </c>
      <c r="D71298" s="0" t="s">
        <v>570</v>
      </c>
      <c r="E71298" s="0" t="s">
        <v>570</v>
      </c>
      <c r="F71298" s="0" t="s">
        <v>570</v>
      </c>
    </row>
    <row r="71299" customFormat="false" ht="12.8" hidden="false" customHeight="false" outlineLevel="0" collapsed="false">
      <c r="B71299" s="0" t="s">
        <v>54</v>
      </c>
      <c r="C71299" s="0" t="s">
        <v>24145</v>
      </c>
      <c r="D71299" s="0" t="s">
        <v>5917</v>
      </c>
      <c r="E71299" s="0" t="s">
        <v>5917</v>
      </c>
      <c r="F71299" s="0" t="s">
        <v>5917</v>
      </c>
    </row>
    <row r="71300" customFormat="false" ht="12.8" hidden="false" customHeight="false" outlineLevel="0" collapsed="false">
      <c r="B71300" s="0" t="s">
        <v>48</v>
      </c>
      <c r="C71300" s="0" t="s">
        <v>24146</v>
      </c>
      <c r="D71300" s="0" t="s">
        <v>6418</v>
      </c>
      <c r="E71300" s="0" t="s">
        <v>6418</v>
      </c>
      <c r="F71300" s="0" t="s">
        <v>6418</v>
      </c>
    </row>
    <row r="71302" customFormat="false" ht="12.8" hidden="false" customHeight="false" outlineLevel="0" collapsed="false">
      <c r="A71302" s="0" t="s">
        <v>24147</v>
      </c>
      <c r="B71302" s="0" t="str">
        <f aca="false">HYPERLINK("https://lindat.mff.cuni.cz/services/teitok/pdtc10/index.php?action=vallex&amp;frame=v-w9851f1", "způsobovat (v-w9851f1)")</f>
        <v>způsobovat (v-w9851f1)</v>
      </c>
    </row>
    <row r="71303" customFormat="false" ht="12.8" hidden="false" customHeight="false" outlineLevel="0" collapsed="false">
      <c r="B71303" s="0" t="s">
        <v>7</v>
      </c>
      <c r="C71303" s="0" t="s">
        <v>24148</v>
      </c>
      <c r="D71303" s="0" t="s">
        <v>5864</v>
      </c>
      <c r="E71303" s="0" t="s">
        <v>5864</v>
      </c>
      <c r="F71303" s="0" t="s">
        <v>5864</v>
      </c>
    </row>
    <row r="71304" customFormat="false" ht="12.8" hidden="false" customHeight="false" outlineLevel="0" collapsed="false">
      <c r="B71304" s="0" t="s">
        <v>6839</v>
      </c>
      <c r="C71304" s="0" t="s">
        <v>24149</v>
      </c>
      <c r="D71304" s="0" t="s">
        <v>5866</v>
      </c>
      <c r="E71304" s="0" t="s">
        <v>5866</v>
      </c>
      <c r="F71304" s="0" t="s">
        <v>5866</v>
      </c>
    </row>
    <row r="71306" customFormat="false" ht="12.8" hidden="false" customHeight="false" outlineLevel="0" collapsed="false">
      <c r="A71306" s="0" t="s">
        <v>24150</v>
      </c>
      <c r="B71306" s="0" t="str">
        <f aca="false">HYPERLINK("https://lindat.mff.cuni.cz/services/teitok/pdtc10/index.php?action=vallex&amp;frame=v-w9853f1", "zracionalizovat (v-w9853f1)")</f>
        <v>zracionalizovat (v-w9853f1)</v>
      </c>
    </row>
    <row r="71307" customFormat="false" ht="12.8" hidden="false" customHeight="false" outlineLevel="0" collapsed="false">
      <c r="B71307" s="0" t="s">
        <v>7</v>
      </c>
      <c r="C71307" s="0" t="s">
        <v>191</v>
      </c>
    </row>
    <row r="71308" customFormat="false" ht="12.8" hidden="false" customHeight="false" outlineLevel="0" collapsed="false">
      <c r="B71308" s="0" t="s">
        <v>14</v>
      </c>
      <c r="C71308" s="0" t="s">
        <v>567</v>
      </c>
    </row>
    <row r="71310" customFormat="false" ht="12.8" hidden="false" customHeight="false" outlineLevel="0" collapsed="false">
      <c r="A71310" s="0" t="s">
        <v>24151</v>
      </c>
      <c r="B71310" s="0" t="str">
        <f aca="false">HYPERLINK("https://lindat.mff.cuni.cz/services/teitok/pdtc10/index.php?action=vallex&amp;frame=v-w9857f1", "zradit (v-w9857f1)")</f>
        <v>zradit (v-w9857f1)</v>
      </c>
    </row>
    <row r="71311" customFormat="false" ht="12.8" hidden="false" customHeight="false" outlineLevel="0" collapsed="false">
      <c r="B71311" s="0" t="s">
        <v>7</v>
      </c>
      <c r="C71311" s="0" t="s">
        <v>191</v>
      </c>
      <c r="E71311" s="0" t="s">
        <v>46</v>
      </c>
      <c r="F71311" s="0" t="s">
        <v>46</v>
      </c>
    </row>
    <row r="71312" customFormat="false" ht="12.8" hidden="false" customHeight="false" outlineLevel="0" collapsed="false">
      <c r="B71312" s="0" t="s">
        <v>14</v>
      </c>
      <c r="E71312" s="0" t="s">
        <v>1588</v>
      </c>
      <c r="F71312" s="0" t="s">
        <v>1588</v>
      </c>
    </row>
    <row r="71314" customFormat="false" ht="12.8" hidden="false" customHeight="false" outlineLevel="0" collapsed="false">
      <c r="A71314" s="0" t="s">
        <v>24152</v>
      </c>
      <c r="B71314" s="0" t="str">
        <f aca="false">HYPERLINK("https://lindat.mff.cuni.cz/services/teitok/pdtc10/index.php?action=vallex&amp;frame=v-w9860f1", "zranit (v-w9860f1)")</f>
        <v>zranit (v-w9860f1)</v>
      </c>
    </row>
    <row r="71315" customFormat="false" ht="12.8" hidden="false" customHeight="false" outlineLevel="0" collapsed="false">
      <c r="B71315" s="0" t="s">
        <v>7</v>
      </c>
      <c r="C71315" s="0" t="s">
        <v>24153</v>
      </c>
    </row>
    <row r="71316" customFormat="false" ht="12.8" hidden="false" customHeight="false" outlineLevel="0" collapsed="false">
      <c r="B71316" s="0" t="s">
        <v>14</v>
      </c>
      <c r="C71316" s="0" t="s">
        <v>12719</v>
      </c>
    </row>
    <row r="71318" customFormat="false" ht="12.8" hidden="false" customHeight="false" outlineLevel="0" collapsed="false">
      <c r="A71318" s="0" t="s">
        <v>24154</v>
      </c>
      <c r="B71318" s="0" t="str">
        <f aca="false">HYPERLINK("https://lindat.mff.cuni.cz/services/teitok/pdtc10/index.php?action=vallex&amp;frame=v-w9860hsa_188", "zranit (v-w9860hsa_188)")</f>
        <v>zranit (v-w9860hsa_188)</v>
      </c>
    </row>
    <row r="71319" customFormat="false" ht="12.8" hidden="false" customHeight="false" outlineLevel="0" collapsed="false">
      <c r="B71319" s="0" t="s">
        <v>7</v>
      </c>
      <c r="C71319" s="0" t="s">
        <v>14479</v>
      </c>
      <c r="D71319" s="0" t="s">
        <v>2062</v>
      </c>
      <c r="E71319" s="0" t="s">
        <v>2062</v>
      </c>
      <c r="F71319" s="0" t="s">
        <v>22663</v>
      </c>
    </row>
    <row r="71320" customFormat="false" ht="12.8" hidden="false" customHeight="false" outlineLevel="0" collapsed="false">
      <c r="B71320" s="0" t="s">
        <v>14</v>
      </c>
      <c r="C71320" s="0" t="s">
        <v>6840</v>
      </c>
      <c r="D71320" s="0" t="s">
        <v>2065</v>
      </c>
      <c r="E71320" s="0" t="s">
        <v>2065</v>
      </c>
      <c r="F71320" s="0" t="s">
        <v>22664</v>
      </c>
    </row>
    <row r="71322" customFormat="false" ht="12.8" hidden="false" customHeight="false" outlineLevel="0" collapsed="false">
      <c r="A71322" s="0" t="s">
        <v>24155</v>
      </c>
      <c r="B71322" s="0" t="str">
        <f aca="false">HYPERLINK("https://lindat.mff.cuni.cz/services/teitok/pdtc10/index.php?action=vallex&amp;frame=v-w9861f1", "zranit se (v-w9861f1)")</f>
        <v>zranit se (v-w9861f1)</v>
      </c>
    </row>
    <row r="71323" customFormat="false" ht="12.8" hidden="false" customHeight="false" outlineLevel="0" collapsed="false">
      <c r="B71323" s="0" t="s">
        <v>7</v>
      </c>
    </row>
    <row r="71325" customFormat="false" ht="12.8" hidden="false" customHeight="false" outlineLevel="0" collapsed="false">
      <c r="A71325" s="0" t="s">
        <v>24156</v>
      </c>
      <c r="B71325" s="0" t="str">
        <f aca="false">HYPERLINK("https://lindat.mff.cuni.cz/services/teitok/pdtc10/index.php?action=vallex&amp;frame=v-w9863f1", "zrazovat (v-w9863f1)")</f>
        <v>zrazovat (v-w9863f1)</v>
      </c>
    </row>
    <row r="71326" customFormat="false" ht="12.8" hidden="false" customHeight="false" outlineLevel="0" collapsed="false">
      <c r="B71326" s="0" t="s">
        <v>7</v>
      </c>
    </row>
    <row r="71327" customFormat="false" ht="12.8" hidden="false" customHeight="false" outlineLevel="0" collapsed="false">
      <c r="B71327" s="0" t="s">
        <v>14</v>
      </c>
    </row>
    <row r="71329" customFormat="false" ht="12.8" hidden="false" customHeight="false" outlineLevel="0" collapsed="false">
      <c r="A71329" s="0" t="s">
        <v>24157</v>
      </c>
      <c r="B71329" s="0" t="str">
        <f aca="false">HYPERLINK("https://lindat.mff.cuni.cz/services/teitok/pdtc10/index.php?action=vallex&amp;frame=v-w9863f2", "zrazovat (v-w9863f2)")</f>
        <v>zrazovat (v-w9863f2)</v>
      </c>
    </row>
    <row r="71330" customFormat="false" ht="12.8" hidden="false" customHeight="false" outlineLevel="0" collapsed="false">
      <c r="B71330" s="0" t="s">
        <v>7</v>
      </c>
    </row>
    <row r="71331" customFormat="false" ht="12.8" hidden="false" customHeight="false" outlineLevel="0" collapsed="false">
      <c r="B71331" s="0" t="s">
        <v>81</v>
      </c>
    </row>
    <row r="71332" customFormat="false" ht="12.8" hidden="false" customHeight="false" outlineLevel="0" collapsed="false">
      <c r="B71332" s="0" t="s">
        <v>333</v>
      </c>
    </row>
    <row r="71334" customFormat="false" ht="12.8" hidden="false" customHeight="false" outlineLevel="0" collapsed="false">
      <c r="A71334" s="0" t="s">
        <v>24158</v>
      </c>
      <c r="B71334" s="0" t="str">
        <f aca="false">HYPERLINK("https://lindat.mff.cuni.cz/services/teitok/pdtc10/index.php?action=vallex&amp;frame=v-w9854f1", "zračit se (v-w9854f1)")</f>
        <v>zračit se (v-w9854f1)</v>
      </c>
    </row>
    <row r="71335" customFormat="false" ht="12.8" hidden="false" customHeight="false" outlineLevel="0" collapsed="false">
      <c r="B71335" s="0" t="s">
        <v>7</v>
      </c>
      <c r="E71335" s="0" t="s">
        <v>8441</v>
      </c>
      <c r="F71335" s="0" t="s">
        <v>8441</v>
      </c>
    </row>
    <row r="71336" customFormat="false" ht="12.8" hidden="false" customHeight="false" outlineLevel="0" collapsed="false">
      <c r="B71336" s="0" t="s">
        <v>11</v>
      </c>
      <c r="E71336" s="0" t="s">
        <v>24159</v>
      </c>
      <c r="F71336" s="0" t="s">
        <v>24159</v>
      </c>
    </row>
    <row r="71338" customFormat="false" ht="12.8" hidden="false" customHeight="false" outlineLevel="0" collapsed="false">
      <c r="A71338" s="0" t="s">
        <v>24160</v>
      </c>
      <c r="B71338" s="0" t="str">
        <f aca="false">HYPERLINK("https://lindat.mff.cuni.cz/services/teitok/pdtc10/index.php?action=vallex&amp;frame=v-w10725f2", "zrcadlit (v-w10725f2)")</f>
        <v>zrcadlit (v-w10725f2)</v>
      </c>
    </row>
    <row r="71339" customFormat="false" ht="12.8" hidden="false" customHeight="false" outlineLevel="0" collapsed="false">
      <c r="B71339" s="0" t="s">
        <v>7</v>
      </c>
      <c r="C71339" s="0" t="s">
        <v>24161</v>
      </c>
      <c r="D71339" s="0" t="s">
        <v>4179</v>
      </c>
      <c r="E71339" s="0" t="s">
        <v>4179</v>
      </c>
      <c r="F71339" s="0" t="s">
        <v>4179</v>
      </c>
    </row>
    <row r="71340" customFormat="false" ht="12.8" hidden="false" customHeight="false" outlineLevel="0" collapsed="false">
      <c r="B71340" s="0" t="s">
        <v>14</v>
      </c>
      <c r="C71340" s="0" t="s">
        <v>120</v>
      </c>
      <c r="D71340" s="0" t="s">
        <v>4181</v>
      </c>
      <c r="E71340" s="0" t="s">
        <v>4181</v>
      </c>
      <c r="F71340" s="0" t="s">
        <v>4181</v>
      </c>
    </row>
    <row r="71342" customFormat="false" ht="12.8" hidden="false" customHeight="false" outlineLevel="0" collapsed="false">
      <c r="A71342" s="0" t="s">
        <v>24162</v>
      </c>
      <c r="B71342" s="0" t="str">
        <f aca="false">HYPERLINK("https://lindat.mff.cuni.cz/services/teitok/pdtc10/index.php?action=vallex&amp;frame=v-w9864f1", "zrealizovat (v-w9864f1)")</f>
        <v>zrealizovat (v-w9864f1)</v>
      </c>
    </row>
    <row r="71343" customFormat="false" ht="12.8" hidden="false" customHeight="false" outlineLevel="0" collapsed="false">
      <c r="B71343" s="0" t="s">
        <v>7</v>
      </c>
      <c r="C71343" s="0" t="s">
        <v>4349</v>
      </c>
      <c r="D71343" s="0" t="s">
        <v>2156</v>
      </c>
      <c r="E71343" s="0" t="s">
        <v>2156</v>
      </c>
      <c r="F71343" s="0" t="s">
        <v>24163</v>
      </c>
    </row>
    <row r="71344" customFormat="false" ht="12.8" hidden="false" customHeight="false" outlineLevel="0" collapsed="false">
      <c r="B71344" s="0" t="s">
        <v>14</v>
      </c>
      <c r="C71344" s="0" t="s">
        <v>24164</v>
      </c>
      <c r="D71344" s="0" t="s">
        <v>14499</v>
      </c>
      <c r="E71344" s="0" t="s">
        <v>14499</v>
      </c>
      <c r="F71344" s="0" t="s">
        <v>23870</v>
      </c>
    </row>
    <row r="71346" customFormat="false" ht="12.8" hidden="false" customHeight="false" outlineLevel="0" collapsed="false">
      <c r="A71346" s="0" t="s">
        <v>24165</v>
      </c>
      <c r="B71346" s="0" t="str">
        <f aca="false">HYPERLINK("https://lindat.mff.cuni.cz/services/teitok/pdtc10/index.php?action=vallex&amp;frame=v-w9866f1", "zredukovat (v-w9866f1)")</f>
        <v>zredukovat (v-w9866f1)</v>
      </c>
    </row>
    <row r="71347" customFormat="false" ht="12.8" hidden="false" customHeight="false" outlineLevel="0" collapsed="false">
      <c r="B71347" s="0" t="s">
        <v>7</v>
      </c>
      <c r="C71347" s="0" t="s">
        <v>16885</v>
      </c>
      <c r="D71347" s="0" t="s">
        <v>9101</v>
      </c>
      <c r="E71347" s="0" t="s">
        <v>8863</v>
      </c>
      <c r="F71347" s="0" t="s">
        <v>8863</v>
      </c>
    </row>
    <row r="71348" customFormat="false" ht="12.8" hidden="false" customHeight="false" outlineLevel="0" collapsed="false">
      <c r="B71348" s="0" t="s">
        <v>14</v>
      </c>
      <c r="C71348" s="0" t="s">
        <v>24166</v>
      </c>
      <c r="D71348" s="0" t="s">
        <v>9102</v>
      </c>
      <c r="E71348" s="0" t="s">
        <v>8865</v>
      </c>
      <c r="F71348" s="0" t="s">
        <v>8865</v>
      </c>
    </row>
    <row r="71349" customFormat="false" ht="12.8" hidden="false" customHeight="false" outlineLevel="0" collapsed="false">
      <c r="B71349" s="0" t="s">
        <v>35</v>
      </c>
      <c r="C71349" s="0" t="s">
        <v>24167</v>
      </c>
      <c r="D71349" s="0" t="s">
        <v>9103</v>
      </c>
      <c r="E71349" s="0" t="s">
        <v>8867</v>
      </c>
      <c r="F71349" s="0" t="s">
        <v>8867</v>
      </c>
    </row>
    <row r="71350" customFormat="false" ht="12.8" hidden="false" customHeight="false" outlineLevel="0" collapsed="false">
      <c r="B71350" s="0" t="s">
        <v>84</v>
      </c>
      <c r="C71350" s="0" t="s">
        <v>24168</v>
      </c>
      <c r="D71350" s="0" t="s">
        <v>9104</v>
      </c>
      <c r="E71350" s="0" t="s">
        <v>8869</v>
      </c>
      <c r="F71350" s="0" t="s">
        <v>8869</v>
      </c>
    </row>
    <row r="71352" customFormat="false" ht="12.8" hidden="false" customHeight="false" outlineLevel="0" collapsed="false">
      <c r="A71352" s="0" t="s">
        <v>24169</v>
      </c>
      <c r="B71352" s="0" t="str">
        <f aca="false">HYPERLINK("https://lindat.mff.cuni.cz/services/teitok/pdtc10/index.php?action=vallex&amp;frame=v-w9866hsa_998", "zredukovat (v-w9866hsa_998)")</f>
        <v>zredukovat (v-w9866hsa_998)</v>
      </c>
    </row>
    <row r="71353" customFormat="false" ht="12.8" hidden="false" customHeight="false" outlineLevel="0" collapsed="false">
      <c r="B71353" s="0" t="s">
        <v>7</v>
      </c>
      <c r="C71353" s="0" t="s">
        <v>8821</v>
      </c>
      <c r="D71353" s="0" t="s">
        <v>9101</v>
      </c>
      <c r="E71353" s="0" t="s">
        <v>9101</v>
      </c>
      <c r="F71353" s="0" t="s">
        <v>9101</v>
      </c>
    </row>
    <row r="71354" customFormat="false" ht="12.8" hidden="false" customHeight="false" outlineLevel="0" collapsed="false">
      <c r="B71354" s="0" t="s">
        <v>14</v>
      </c>
      <c r="C71354" s="0" t="s">
        <v>8823</v>
      </c>
      <c r="D71354" s="0" t="s">
        <v>9102</v>
      </c>
      <c r="E71354" s="0" t="s">
        <v>9102</v>
      </c>
      <c r="F71354" s="0" t="s">
        <v>9102</v>
      </c>
    </row>
    <row r="71355" customFormat="false" ht="12.8" hidden="false" customHeight="false" outlineLevel="0" collapsed="false">
      <c r="B71355" s="0" t="s">
        <v>37</v>
      </c>
      <c r="C71355" s="0" t="s">
        <v>23831</v>
      </c>
      <c r="D71355" s="0" t="s">
        <v>9104</v>
      </c>
      <c r="E71355" s="0" t="s">
        <v>9104</v>
      </c>
      <c r="F71355" s="0" t="s">
        <v>9104</v>
      </c>
    </row>
    <row r="71357" customFormat="false" ht="12.8" hidden="false" customHeight="false" outlineLevel="0" collapsed="false">
      <c r="A71357" s="0" t="s">
        <v>24170</v>
      </c>
      <c r="B71357" s="0" t="str">
        <f aca="false">HYPERLINK("https://lindat.mff.cuni.cz/services/teitok/pdtc10/index.php?action=vallex&amp;frame=v-w10319f2", "zreformovat (v-w10319f2)")</f>
        <v>zreformovat (v-w10319f2)</v>
      </c>
    </row>
    <row r="71358" customFormat="false" ht="12.8" hidden="false" customHeight="false" outlineLevel="0" collapsed="false">
      <c r="B71358" s="0" t="s">
        <v>7</v>
      </c>
      <c r="D71358" s="0" t="s">
        <v>32</v>
      </c>
      <c r="E71358" s="0" t="s">
        <v>32</v>
      </c>
      <c r="F71358" s="0" t="s">
        <v>32</v>
      </c>
    </row>
    <row r="71359" customFormat="false" ht="12.8" hidden="false" customHeight="false" outlineLevel="0" collapsed="false">
      <c r="B71359" s="0" t="s">
        <v>14</v>
      </c>
      <c r="D71359" s="0" t="s">
        <v>34</v>
      </c>
      <c r="E71359" s="0" t="s">
        <v>34</v>
      </c>
      <c r="F71359" s="0" t="s">
        <v>34</v>
      </c>
    </row>
    <row r="71361" customFormat="false" ht="12.8" hidden="false" customHeight="false" outlineLevel="0" collapsed="false">
      <c r="A71361" s="0" t="s">
        <v>24171</v>
      </c>
      <c r="B71361" s="0" t="str">
        <f aca="false">HYPERLINK("https://lindat.mff.cuni.cz/services/teitok/pdtc10/index.php?action=vallex&amp;frame=v-whsa_665hsa_666", "zregulovat (v-whsa_665hsa_666)")</f>
        <v>zregulovat (v-whsa_665hsa_666)</v>
      </c>
    </row>
    <row r="71362" customFormat="false" ht="12.8" hidden="false" customHeight="false" outlineLevel="0" collapsed="false">
      <c r="B71362" s="0" t="s">
        <v>7</v>
      </c>
    </row>
    <row r="71363" customFormat="false" ht="12.8" hidden="false" customHeight="false" outlineLevel="0" collapsed="false">
      <c r="B71363" s="0" t="s">
        <v>14</v>
      </c>
    </row>
    <row r="71365" customFormat="false" ht="12.8" hidden="false" customHeight="false" outlineLevel="0" collapsed="false">
      <c r="A71365" s="0" t="s">
        <v>24172</v>
      </c>
      <c r="B71365" s="0" t="str">
        <f aca="false">HYPERLINK("https://lindat.mff.cuni.cz/services/teitok/pdtc10/index.php?action=vallex&amp;frame=v-w9867f1", "zrekapitulovat (v-w9867f1)")</f>
        <v>zrekapitulovat (v-w9867f1)</v>
      </c>
    </row>
    <row r="71366" customFormat="false" ht="12.8" hidden="false" customHeight="false" outlineLevel="0" collapsed="false">
      <c r="B71366" s="0" t="s">
        <v>7</v>
      </c>
    </row>
    <row r="71367" customFormat="false" ht="12.8" hidden="false" customHeight="false" outlineLevel="0" collapsed="false">
      <c r="B71367" s="0" t="s">
        <v>15608</v>
      </c>
    </row>
    <row r="71368" customFormat="false" ht="12.8" hidden="false" customHeight="false" outlineLevel="0" collapsed="false">
      <c r="B71368" s="0" t="s">
        <v>2571</v>
      </c>
    </row>
    <row r="71370" customFormat="false" ht="12.8" hidden="false" customHeight="false" outlineLevel="0" collapsed="false">
      <c r="A71370" s="0" t="s">
        <v>24173</v>
      </c>
      <c r="B71370" s="0" t="str">
        <f aca="false">HYPERLINK("https://lindat.mff.cuni.cz/services/teitok/pdtc10/index.php?action=vallex&amp;frame=v-w9868f1", "zrekonstruovat (v-w9868f1)")</f>
        <v>zrekonstruovat (v-w9868f1)</v>
      </c>
    </row>
    <row r="71371" customFormat="false" ht="12.8" hidden="false" customHeight="false" outlineLevel="0" collapsed="false">
      <c r="B71371" s="0" t="s">
        <v>7</v>
      </c>
      <c r="C71371" s="0" t="s">
        <v>46</v>
      </c>
      <c r="D71371" s="0" t="s">
        <v>569</v>
      </c>
      <c r="E71371" s="0" t="s">
        <v>569</v>
      </c>
      <c r="F71371" s="0" t="s">
        <v>569</v>
      </c>
    </row>
    <row r="71372" customFormat="false" ht="12.8" hidden="false" customHeight="false" outlineLevel="0" collapsed="false">
      <c r="B71372" s="0" t="s">
        <v>14</v>
      </c>
      <c r="C71372" s="0" t="s">
        <v>384</v>
      </c>
      <c r="D71372" s="0" t="s">
        <v>159</v>
      </c>
      <c r="E71372" s="0" t="s">
        <v>159</v>
      </c>
      <c r="F71372" s="0" t="s">
        <v>159</v>
      </c>
    </row>
    <row r="71373" customFormat="false" ht="12.8" hidden="false" customHeight="false" outlineLevel="0" collapsed="false">
      <c r="B71373" s="0" t="s">
        <v>35</v>
      </c>
      <c r="C71373" s="0" t="s">
        <v>5360</v>
      </c>
      <c r="D71373" s="0" t="s">
        <v>5360</v>
      </c>
      <c r="E71373" s="0" t="s">
        <v>5360</v>
      </c>
      <c r="F71373" s="0" t="s">
        <v>5360</v>
      </c>
    </row>
    <row r="71375" customFormat="false" ht="12.8" hidden="false" customHeight="false" outlineLevel="0" collapsed="false">
      <c r="A71375" s="0" t="s">
        <v>24174</v>
      </c>
      <c r="B71375" s="0" t="str">
        <f aca="false">HYPERLINK("https://lindat.mff.cuni.cz/services/teitok/pdtc10/index.php?action=vallex&amp;frame=v-w9868f2", "zrekonstruovat (v-w9868f2)")</f>
        <v>zrekonstruovat (v-w9868f2)</v>
      </c>
    </row>
    <row r="71376" customFormat="false" ht="12.8" hidden="false" customHeight="false" outlineLevel="0" collapsed="false">
      <c r="B71376" s="0" t="s">
        <v>7</v>
      </c>
    </row>
    <row r="71377" customFormat="false" ht="12.8" hidden="false" customHeight="false" outlineLevel="0" collapsed="false">
      <c r="B71377" s="0" t="s">
        <v>14</v>
      </c>
    </row>
    <row r="71378" customFormat="false" ht="12.8" hidden="false" customHeight="false" outlineLevel="0" collapsed="false">
      <c r="B71378" s="0" t="s">
        <v>35</v>
      </c>
    </row>
    <row r="71380" customFormat="false" ht="12.8" hidden="false" customHeight="false" outlineLevel="0" collapsed="false">
      <c r="A71380" s="0" t="s">
        <v>24175</v>
      </c>
      <c r="B71380" s="0" t="str">
        <f aca="false">HYPERLINK("https://lindat.mff.cuni.cz/services/teitok/pdtc10/index.php?action=vallex&amp;frame=v-w11228f2", "zrenovovat (v-w11228f2)")</f>
        <v>zrenovovat (v-w11228f2)</v>
      </c>
    </row>
    <row r="71381" customFormat="false" ht="12.8" hidden="false" customHeight="false" outlineLevel="0" collapsed="false">
      <c r="B71381" s="0" t="s">
        <v>7</v>
      </c>
      <c r="C71381" s="0" t="s">
        <v>184</v>
      </c>
      <c r="D71381" s="0" t="s">
        <v>73</v>
      </c>
      <c r="E71381" s="0" t="s">
        <v>73</v>
      </c>
      <c r="F71381" s="0" t="s">
        <v>73</v>
      </c>
    </row>
    <row r="71382" customFormat="false" ht="12.8" hidden="false" customHeight="false" outlineLevel="0" collapsed="false">
      <c r="B71382" s="0" t="s">
        <v>14</v>
      </c>
      <c r="C71382" s="0" t="s">
        <v>461</v>
      </c>
      <c r="D71382" s="0" t="s">
        <v>75</v>
      </c>
      <c r="E71382" s="0" t="s">
        <v>75</v>
      </c>
      <c r="F71382" s="0" t="s">
        <v>75</v>
      </c>
    </row>
    <row r="71384" customFormat="false" ht="12.8" hidden="false" customHeight="false" outlineLevel="0" collapsed="false">
      <c r="A71384" s="0" t="s">
        <v>24176</v>
      </c>
      <c r="B71384" s="0" t="str">
        <f aca="false">HYPERLINK("https://lindat.mff.cuni.cz/services/teitok/pdtc10/index.php?action=vallex&amp;frame=v-w10821f2", "zreorganizovat (v-w10821f2)")</f>
        <v>zreorganizovat (v-w10821f2)</v>
      </c>
    </row>
    <row r="71385" customFormat="false" ht="12.8" hidden="false" customHeight="false" outlineLevel="0" collapsed="false">
      <c r="B71385" s="0" t="s">
        <v>7</v>
      </c>
    </row>
    <row r="71386" customFormat="false" ht="12.8" hidden="false" customHeight="false" outlineLevel="0" collapsed="false">
      <c r="B71386" s="0" t="s">
        <v>14</v>
      </c>
    </row>
    <row r="71388" customFormat="false" ht="12.8" hidden="false" customHeight="false" outlineLevel="0" collapsed="false">
      <c r="A71388" s="0" t="s">
        <v>24177</v>
      </c>
      <c r="B71388" s="0" t="str">
        <f aca="false">HYPERLINK("https://lindat.mff.cuni.cz/services/teitok/pdtc10/index.php?action=vallex&amp;frame=v-w9869f1", "zrestaurovat (v-w9869f1)")</f>
        <v>zrestaurovat (v-w9869f1)</v>
      </c>
    </row>
    <row r="71389" customFormat="false" ht="12.8" hidden="false" customHeight="false" outlineLevel="0" collapsed="false">
      <c r="B71389" s="0" t="s">
        <v>7</v>
      </c>
    </row>
    <row r="71390" customFormat="false" ht="12.8" hidden="false" customHeight="false" outlineLevel="0" collapsed="false">
      <c r="B71390" s="0" t="s">
        <v>14</v>
      </c>
    </row>
    <row r="71392" customFormat="false" ht="12.8" hidden="false" customHeight="false" outlineLevel="0" collapsed="false">
      <c r="A71392" s="0" t="s">
        <v>24178</v>
      </c>
      <c r="B71392" s="0" t="str">
        <f aca="false">HYPERLINK("https://lindat.mff.cuni.cz/services/teitok/pdtc10/index.php?action=vallex&amp;frame=v-w9870f1", "zrevidovat (v-w9870f1)")</f>
        <v>zrevidovat (v-w9870f1)</v>
      </c>
    </row>
    <row r="71393" customFormat="false" ht="12.8" hidden="false" customHeight="false" outlineLevel="0" collapsed="false">
      <c r="B71393" s="0" t="s">
        <v>7</v>
      </c>
      <c r="C71393" s="0" t="s">
        <v>2668</v>
      </c>
      <c r="D71393" s="0" t="s">
        <v>14567</v>
      </c>
      <c r="E71393" s="0" t="s">
        <v>14567</v>
      </c>
      <c r="F71393" s="0" t="s">
        <v>14567</v>
      </c>
    </row>
    <row r="71394" customFormat="false" ht="12.8" hidden="false" customHeight="false" outlineLevel="0" collapsed="false">
      <c r="B71394" s="0" t="s">
        <v>12922</v>
      </c>
      <c r="C71394" s="0" t="s">
        <v>4163</v>
      </c>
      <c r="D71394" s="0" t="s">
        <v>14568</v>
      </c>
      <c r="E71394" s="0" t="s">
        <v>14568</v>
      </c>
      <c r="F71394" s="0" t="s">
        <v>14568</v>
      </c>
    </row>
    <row r="71396" customFormat="false" ht="12.8" hidden="false" customHeight="false" outlineLevel="0" collapsed="false">
      <c r="A71396" s="0" t="s">
        <v>24179</v>
      </c>
      <c r="B71396" s="0" t="str">
        <f aca="false">HYPERLINK("https://lindat.mff.cuni.cz/services/teitok/pdtc10/index.php?action=vallex&amp;frame=v-w9872f1", "zrodit (v-w9872f1)")</f>
        <v>zrodit (v-w9872f1)</v>
      </c>
    </row>
    <row r="71397" customFormat="false" ht="12.8" hidden="false" customHeight="false" outlineLevel="0" collapsed="false">
      <c r="B71397" s="0" t="s">
        <v>7</v>
      </c>
    </row>
    <row r="71398" customFormat="false" ht="12.8" hidden="false" customHeight="false" outlineLevel="0" collapsed="false">
      <c r="B71398" s="0" t="s">
        <v>14</v>
      </c>
    </row>
    <row r="71400" customFormat="false" ht="12.8" hidden="false" customHeight="false" outlineLevel="0" collapsed="false">
      <c r="A71400" s="0" t="s">
        <v>24180</v>
      </c>
      <c r="B71400" s="0" t="str">
        <f aca="false">HYPERLINK("https://lindat.mff.cuni.cz/services/teitok/pdtc10/index.php?action=vallex&amp;frame=v-w9873hsa_627", "zrodit se (v-w9873hsa_627)")</f>
        <v>zrodit se (v-w9873hsa_627)</v>
      </c>
    </row>
    <row r="71401" customFormat="false" ht="12.8" hidden="false" customHeight="false" outlineLevel="0" collapsed="false">
      <c r="B71401" s="0" t="s">
        <v>7</v>
      </c>
      <c r="C71401" s="0" t="s">
        <v>3903</v>
      </c>
      <c r="D71401" s="0" t="s">
        <v>200</v>
      </c>
      <c r="E71401" s="0" t="s">
        <v>200</v>
      </c>
      <c r="F71401" s="0" t="s">
        <v>200</v>
      </c>
    </row>
    <row r="71402" customFormat="false" ht="12.8" hidden="false" customHeight="false" outlineLevel="0" collapsed="false">
      <c r="B71402" s="0" t="s">
        <v>581</v>
      </c>
      <c r="C71402" s="0" t="s">
        <v>6901</v>
      </c>
      <c r="D71402" s="0" t="s">
        <v>8017</v>
      </c>
      <c r="E71402" s="0" t="s">
        <v>8017</v>
      </c>
      <c r="F71402" s="0" t="s">
        <v>8017</v>
      </c>
    </row>
    <row r="71404" customFormat="false" ht="12.8" hidden="false" customHeight="false" outlineLevel="0" collapsed="false">
      <c r="A71404" s="0" t="s">
        <v>24180</v>
      </c>
      <c r="B71404" s="0" t="str">
        <f aca="false">HYPERLINK("https://lindat.mff.cuni.cz/services/teitok/pdtc10/index.php?action=vallex&amp;frame=v-w9873f1", "zrodit se (v-w9873f1) - substituted with v-w9873hsa_627")</f>
        <v>zrodit se (v-w9873f1) - substituted with v-w9873hsa_627</v>
      </c>
    </row>
    <row r="71405" customFormat="false" ht="12.8" hidden="false" customHeight="false" outlineLevel="0" collapsed="false">
      <c r="B71405" s="0" t="s">
        <v>7</v>
      </c>
      <c r="C71405" s="0" t="s">
        <v>24181</v>
      </c>
    </row>
    <row r="71406" customFormat="false" ht="12.8" hidden="false" customHeight="false" outlineLevel="0" collapsed="false">
      <c r="B71406" s="0" t="s">
        <v>581</v>
      </c>
      <c r="C71406" s="0" t="s">
        <v>6901</v>
      </c>
    </row>
    <row r="71408" customFormat="false" ht="12.8" hidden="false" customHeight="false" outlineLevel="0" collapsed="false">
      <c r="A71408" s="0" t="s">
        <v>24182</v>
      </c>
      <c r="B71408" s="0" t="str">
        <f aca="false">HYPERLINK("https://lindat.mff.cuni.cz/services/teitok/pdtc10/index.php?action=vallex&amp;frame=v-whsa_529hsa_530", "zrudnout (v-whsa_529hsa_530)")</f>
        <v>zrudnout (v-whsa_529hsa_530)</v>
      </c>
    </row>
    <row r="71409" customFormat="false" ht="12.8" hidden="false" customHeight="false" outlineLevel="0" collapsed="false">
      <c r="B71409" s="0" t="s">
        <v>7</v>
      </c>
    </row>
    <row r="71411" customFormat="false" ht="12.8" hidden="false" customHeight="false" outlineLevel="0" collapsed="false">
      <c r="A71411" s="0" t="s">
        <v>24183</v>
      </c>
      <c r="B71411" s="0" t="str">
        <f aca="false">HYPERLINK("https://lindat.mff.cuni.cz/services/teitok/pdtc10/index.php?action=vallex&amp;frame=v-w9877f1", "zruinovat (v-w9877f1)")</f>
        <v>zruinovat (v-w9877f1)</v>
      </c>
    </row>
    <row r="71412" customFormat="false" ht="12.8" hidden="false" customHeight="false" outlineLevel="0" collapsed="false">
      <c r="B71412" s="0" t="s">
        <v>7</v>
      </c>
      <c r="C71412" s="0" t="s">
        <v>623</v>
      </c>
      <c r="D71412" s="0" t="s">
        <v>1549</v>
      </c>
      <c r="E71412" s="0" t="s">
        <v>1550</v>
      </c>
      <c r="F71412" s="0" t="s">
        <v>1550</v>
      </c>
    </row>
    <row r="71413" customFormat="false" ht="12.8" hidden="false" customHeight="false" outlineLevel="0" collapsed="false">
      <c r="B71413" s="0" t="s">
        <v>14</v>
      </c>
      <c r="C71413" s="0" t="s">
        <v>78</v>
      </c>
      <c r="D71413" s="0" t="s">
        <v>1164</v>
      </c>
      <c r="E71413" s="0" t="s">
        <v>1551</v>
      </c>
      <c r="F71413" s="0" t="s">
        <v>1551</v>
      </c>
    </row>
    <row r="71415" customFormat="false" ht="12.8" hidden="false" customHeight="false" outlineLevel="0" collapsed="false">
      <c r="A71415" s="0" t="s">
        <v>24184</v>
      </c>
      <c r="B71415" s="0" t="str">
        <f aca="false">HYPERLINK("https://lindat.mff.cuni.cz/services/teitok/pdtc10/index.php?action=vallex&amp;frame=v-w9879f1", "zrušit (v-w9879f1)")</f>
        <v>zrušit (v-w9879f1)</v>
      </c>
    </row>
    <row r="71416" customFormat="false" ht="12.8" hidden="false" customHeight="false" outlineLevel="0" collapsed="false">
      <c r="B71416" s="0" t="s">
        <v>7</v>
      </c>
      <c r="C71416" s="0" t="s">
        <v>24185</v>
      </c>
      <c r="D71416" s="0" t="s">
        <v>7397</v>
      </c>
      <c r="E71416" s="0" t="s">
        <v>7397</v>
      </c>
      <c r="F71416" s="0" t="s">
        <v>7397</v>
      </c>
    </row>
    <row r="71417" customFormat="false" ht="12.8" hidden="false" customHeight="false" outlineLevel="0" collapsed="false">
      <c r="B71417" s="0" t="s">
        <v>14</v>
      </c>
      <c r="C71417" s="0" t="s">
        <v>24186</v>
      </c>
      <c r="D71417" s="0" t="s">
        <v>7398</v>
      </c>
      <c r="E71417" s="0" t="s">
        <v>7398</v>
      </c>
      <c r="F71417" s="0" t="s">
        <v>7398</v>
      </c>
    </row>
    <row r="71419" customFormat="false" ht="12.8" hidden="false" customHeight="false" outlineLevel="0" collapsed="false">
      <c r="A71419" s="0" t="s">
        <v>24187</v>
      </c>
      <c r="B71419" s="0" t="str">
        <f aca="false">HYPERLINK("https://lindat.mff.cuni.cz/services/teitok/pdtc10/index.php?action=vallex&amp;frame=v-w9879f2_ZU", "zrušit (v-w9879f2_ZU)")</f>
        <v>zrušit (v-w9879f2_ZU)</v>
      </c>
    </row>
    <row r="71420" customFormat="false" ht="12.8" hidden="false" customHeight="false" outlineLevel="0" collapsed="false">
      <c r="B71420" s="0" t="s">
        <v>7</v>
      </c>
    </row>
    <row r="71421" customFormat="false" ht="12.8" hidden="false" customHeight="false" outlineLevel="0" collapsed="false">
      <c r="B71421" s="0" t="s">
        <v>14</v>
      </c>
    </row>
    <row r="71423" customFormat="false" ht="12.8" hidden="false" customHeight="false" outlineLevel="0" collapsed="false">
      <c r="A71423" s="0" t="s">
        <v>24188</v>
      </c>
      <c r="B71423" s="0" t="str">
        <f aca="false">HYPERLINK("https://lindat.mff.cuni.cz/services/teitok/pdtc10/index.php?action=vallex&amp;frame=v-w9882f1", "zrychlit (v-w9882f1)")</f>
        <v>zrychlit (v-w9882f1)</v>
      </c>
    </row>
    <row r="71424" customFormat="false" ht="12.8" hidden="false" customHeight="false" outlineLevel="0" collapsed="false">
      <c r="B71424" s="0" t="s">
        <v>7</v>
      </c>
      <c r="C71424" s="0" t="s">
        <v>24189</v>
      </c>
      <c r="D71424" s="0" t="s">
        <v>10610</v>
      </c>
      <c r="E71424" s="0" t="s">
        <v>10610</v>
      </c>
      <c r="F71424" s="0" t="s">
        <v>10610</v>
      </c>
    </row>
    <row r="71425" customFormat="false" ht="12.8" hidden="false" customHeight="false" outlineLevel="0" collapsed="false">
      <c r="B71425" s="0" t="s">
        <v>14</v>
      </c>
      <c r="C71425" s="0" t="s">
        <v>1264</v>
      </c>
      <c r="D71425" s="0" t="s">
        <v>5103</v>
      </c>
      <c r="E71425" s="0" t="s">
        <v>5103</v>
      </c>
      <c r="F71425" s="0" t="s">
        <v>5103</v>
      </c>
    </row>
    <row r="71426" customFormat="false" ht="12.8" hidden="false" customHeight="false" outlineLevel="0" collapsed="false">
      <c r="B71426" s="0" t="s">
        <v>35</v>
      </c>
      <c r="C71426" s="0" t="s">
        <v>1526</v>
      </c>
    </row>
    <row r="71427" customFormat="false" ht="12.8" hidden="false" customHeight="false" outlineLevel="0" collapsed="false">
      <c r="B71427" s="0" t="s">
        <v>84</v>
      </c>
      <c r="C71427" s="0" t="s">
        <v>6439</v>
      </c>
    </row>
    <row r="71429" customFormat="false" ht="12.8" hidden="false" customHeight="false" outlineLevel="0" collapsed="false">
      <c r="A71429" s="0" t="s">
        <v>24190</v>
      </c>
      <c r="B71429" s="0" t="str">
        <f aca="false">HYPERLINK("https://lindat.mff.cuni.cz/services/teitok/pdtc10/index.php?action=vallex&amp;frame=v-w9882f2_ZU", "zrychlit (v-w9882f2_ZU)")</f>
        <v>zrychlit (v-w9882f2_ZU)</v>
      </c>
    </row>
    <row r="71430" customFormat="false" ht="12.8" hidden="false" customHeight="false" outlineLevel="0" collapsed="false">
      <c r="B71430" s="0" t="s">
        <v>7</v>
      </c>
    </row>
    <row r="71431" customFormat="false" ht="12.8" hidden="false" customHeight="false" outlineLevel="0" collapsed="false">
      <c r="B71431" s="0" t="s">
        <v>63</v>
      </c>
    </row>
    <row r="71432" customFormat="false" ht="12.8" hidden="false" customHeight="false" outlineLevel="0" collapsed="false">
      <c r="B71432" s="0" t="s">
        <v>35</v>
      </c>
    </row>
    <row r="71434" customFormat="false" ht="12.8" hidden="false" customHeight="false" outlineLevel="0" collapsed="false">
      <c r="A71434" s="0" t="s">
        <v>24190</v>
      </c>
      <c r="B71434" s="0" t="str">
        <f aca="false">HYPERLINK("https://lindat.mff.cuni.cz/services/teitok/pdtc10/index.php?action=vallex&amp;frame=v-w9882hsa_221", "zrychlit (v-w9882hsa_221) - substituted with v-w9882f2_ZU")</f>
        <v>zrychlit (v-w9882hsa_221) - substituted with v-w9882f2_ZU</v>
      </c>
    </row>
    <row r="71435" customFormat="false" ht="12.8" hidden="false" customHeight="false" outlineLevel="0" collapsed="false">
      <c r="B71435" s="0" t="s">
        <v>7</v>
      </c>
    </row>
    <row r="71436" customFormat="false" ht="12.8" hidden="false" customHeight="false" outlineLevel="0" collapsed="false">
      <c r="B71436" s="0" t="s">
        <v>63</v>
      </c>
    </row>
    <row r="71437" customFormat="false" ht="12.8" hidden="false" customHeight="false" outlineLevel="0" collapsed="false">
      <c r="B71437" s="0" t="s">
        <v>35</v>
      </c>
    </row>
    <row r="71439" customFormat="false" ht="12.8" hidden="false" customHeight="false" outlineLevel="0" collapsed="false">
      <c r="A71439" s="0" t="s">
        <v>24191</v>
      </c>
      <c r="B71439" s="0" t="str">
        <f aca="false">HYPERLINK("https://lindat.mff.cuni.cz/services/teitok/pdtc10/index.php?action=vallex&amp;frame=v-w9883f1", "zrychlit se (v-w9883f1)")</f>
        <v>zrychlit se (v-w9883f1)</v>
      </c>
    </row>
    <row r="71440" customFormat="false" ht="12.8" hidden="false" customHeight="false" outlineLevel="0" collapsed="false">
      <c r="B71440" s="0" t="s">
        <v>7</v>
      </c>
      <c r="C71440" s="0" t="s">
        <v>15242</v>
      </c>
      <c r="D71440" s="0" t="s">
        <v>13934</v>
      </c>
      <c r="E71440" s="0" t="s">
        <v>13934</v>
      </c>
      <c r="F71440" s="0" t="s">
        <v>13934</v>
      </c>
    </row>
    <row r="71441" customFormat="false" ht="12.8" hidden="false" customHeight="false" outlineLevel="0" collapsed="false">
      <c r="B71441" s="0" t="s">
        <v>63</v>
      </c>
      <c r="C71441" s="0" t="s">
        <v>23474</v>
      </c>
    </row>
    <row r="71442" customFormat="false" ht="12.8" hidden="false" customHeight="false" outlineLevel="0" collapsed="false">
      <c r="B71442" s="0" t="s">
        <v>35</v>
      </c>
      <c r="C71442" s="0" t="s">
        <v>1526</v>
      </c>
    </row>
    <row r="71444" customFormat="false" ht="12.8" hidden="false" customHeight="false" outlineLevel="0" collapsed="false">
      <c r="A71444" s="0" t="s">
        <v>24192</v>
      </c>
      <c r="B71444" s="0" t="str">
        <f aca="false">HYPERLINK("https://lindat.mff.cuni.cz/services/teitok/pdtc10/index.php?action=vallex&amp;frame=v-w9884f1", "zrychlovat (v-w9884f1)")</f>
        <v>zrychlovat (v-w9884f1)</v>
      </c>
    </row>
    <row r="71445" customFormat="false" ht="12.8" hidden="false" customHeight="false" outlineLevel="0" collapsed="false">
      <c r="B71445" s="0" t="s">
        <v>7</v>
      </c>
      <c r="C71445" s="0" t="s">
        <v>149</v>
      </c>
      <c r="D71445" s="0" t="s">
        <v>10610</v>
      </c>
      <c r="E71445" s="0" t="s">
        <v>10610</v>
      </c>
      <c r="F71445" s="0" t="s">
        <v>10610</v>
      </c>
    </row>
    <row r="71446" customFormat="false" ht="12.8" hidden="false" customHeight="false" outlineLevel="0" collapsed="false">
      <c r="B71446" s="0" t="s">
        <v>14</v>
      </c>
      <c r="C71446" s="0" t="s">
        <v>461</v>
      </c>
      <c r="D71446" s="0" t="s">
        <v>5103</v>
      </c>
      <c r="E71446" s="0" t="s">
        <v>5103</v>
      </c>
      <c r="F71446" s="0" t="s">
        <v>5103</v>
      </c>
    </row>
    <row r="71447" customFormat="false" ht="12.8" hidden="false" customHeight="false" outlineLevel="0" collapsed="false">
      <c r="B71447" s="0" t="s">
        <v>35</v>
      </c>
    </row>
    <row r="71448" customFormat="false" ht="12.8" hidden="false" customHeight="false" outlineLevel="0" collapsed="false">
      <c r="B71448" s="0" t="s">
        <v>84</v>
      </c>
    </row>
    <row r="71450" customFormat="false" ht="12.8" hidden="false" customHeight="false" outlineLevel="0" collapsed="false">
      <c r="A71450" s="0" t="s">
        <v>24193</v>
      </c>
      <c r="B71450" s="0" t="str">
        <f aca="false">HYPERLINK("https://lindat.mff.cuni.cz/services/teitok/pdtc10/index.php?action=vallex&amp;frame=v-w9884f2_ZU", "zrychlovat (v-w9884f2_ZU)")</f>
        <v>zrychlovat (v-w9884f2_ZU)</v>
      </c>
    </row>
    <row r="71451" customFormat="false" ht="12.8" hidden="false" customHeight="false" outlineLevel="0" collapsed="false">
      <c r="B71451" s="0" t="s">
        <v>7</v>
      </c>
    </row>
    <row r="71452" customFormat="false" ht="12.8" hidden="false" customHeight="false" outlineLevel="0" collapsed="false">
      <c r="B71452" s="0" t="s">
        <v>63</v>
      </c>
    </row>
    <row r="71453" customFormat="false" ht="12.8" hidden="false" customHeight="false" outlineLevel="0" collapsed="false">
      <c r="B71453" s="0" t="s">
        <v>35</v>
      </c>
    </row>
    <row r="71455" customFormat="false" ht="12.8" hidden="false" customHeight="false" outlineLevel="0" collapsed="false">
      <c r="A71455" s="0" t="s">
        <v>24193</v>
      </c>
      <c r="B71455" s="0" t="str">
        <f aca="false">HYPERLINK("https://lindat.mff.cuni.cz/services/teitok/pdtc10/index.php?action=vallex&amp;frame=v-w9884hsa_749", "zrychlovat (v-w9884hsa_749) - substituted with v-w9884f2_ZU")</f>
        <v>zrychlovat (v-w9884hsa_749) - substituted with v-w9884f2_ZU</v>
      </c>
    </row>
    <row r="71456" customFormat="false" ht="12.8" hidden="false" customHeight="false" outlineLevel="0" collapsed="false">
      <c r="B71456" s="0" t="s">
        <v>7</v>
      </c>
    </row>
    <row r="71457" customFormat="false" ht="12.8" hidden="false" customHeight="false" outlineLevel="0" collapsed="false">
      <c r="B71457" s="0" t="s">
        <v>63</v>
      </c>
    </row>
    <row r="71458" customFormat="false" ht="12.8" hidden="false" customHeight="false" outlineLevel="0" collapsed="false">
      <c r="B71458" s="0" t="s">
        <v>35</v>
      </c>
    </row>
    <row r="71460" customFormat="false" ht="12.8" hidden="false" customHeight="false" outlineLevel="0" collapsed="false">
      <c r="A71460" s="0" t="s">
        <v>24194</v>
      </c>
      <c r="B71460" s="0" t="str">
        <f aca="false">HYPERLINK("https://lindat.mff.cuni.cz/services/teitok/pdtc10/index.php?action=vallex&amp;frame=v-w9885f1", "zrychlovat se (v-w9885f1)")</f>
        <v>zrychlovat se (v-w9885f1)</v>
      </c>
    </row>
    <row r="71461" customFormat="false" ht="12.8" hidden="false" customHeight="false" outlineLevel="0" collapsed="false">
      <c r="B71461" s="0" t="s">
        <v>7</v>
      </c>
      <c r="C71461" s="0" t="s">
        <v>1902</v>
      </c>
      <c r="D71461" s="0" t="s">
        <v>13934</v>
      </c>
      <c r="E71461" s="0" t="s">
        <v>13934</v>
      </c>
      <c r="F71461" s="0" t="s">
        <v>13934</v>
      </c>
    </row>
    <row r="71462" customFormat="false" ht="12.8" hidden="false" customHeight="false" outlineLevel="0" collapsed="false">
      <c r="B71462" s="0" t="s">
        <v>63</v>
      </c>
      <c r="C71462" s="0" t="s">
        <v>23474</v>
      </c>
    </row>
    <row r="71463" customFormat="false" ht="12.8" hidden="false" customHeight="false" outlineLevel="0" collapsed="false">
      <c r="B71463" s="0" t="s">
        <v>35</v>
      </c>
      <c r="C71463" s="0" t="s">
        <v>1526</v>
      </c>
    </row>
    <row r="71465" customFormat="false" ht="12.8" hidden="false" customHeight="false" outlineLevel="0" collapsed="false">
      <c r="A71465" s="0" t="s">
        <v>24195</v>
      </c>
      <c r="B71465" s="0" t="str">
        <f aca="false">HYPERLINK("https://lindat.mff.cuni.cz/services/teitok/pdtc10/index.php?action=vallex&amp;frame=v-whsa_1381hsa_1382", "zrychtovat (v-whsa_1381hsa_1382)")</f>
        <v>zrychtovat (v-whsa_1381hsa_1382)</v>
      </c>
    </row>
    <row r="71466" customFormat="false" ht="12.8" hidden="false" customHeight="false" outlineLevel="0" collapsed="false">
      <c r="B71466" s="0" t="s">
        <v>7</v>
      </c>
    </row>
    <row r="71467" customFormat="false" ht="12.8" hidden="false" customHeight="false" outlineLevel="0" collapsed="false">
      <c r="B71467" s="0" t="s">
        <v>14</v>
      </c>
    </row>
    <row r="71469" customFormat="false" ht="12.8" hidden="false" customHeight="false" outlineLevel="0" collapsed="false">
      <c r="A71469" s="0" t="s">
        <v>24196</v>
      </c>
      <c r="B71469" s="0" t="str">
        <f aca="false">HYPERLINK("https://lindat.mff.cuni.cz/services/teitok/pdtc10/index.php?action=vallex&amp;frame=v-w9862f1", "zrát (v-w9862f1)")</f>
        <v>zrát (v-w9862f1)</v>
      </c>
    </row>
    <row r="71470" customFormat="false" ht="12.8" hidden="false" customHeight="false" outlineLevel="0" collapsed="false">
      <c r="B71470" s="0" t="s">
        <v>7</v>
      </c>
    </row>
    <row r="71472" customFormat="false" ht="12.8" hidden="false" customHeight="false" outlineLevel="0" collapsed="false">
      <c r="A71472" s="0" t="s">
        <v>24197</v>
      </c>
      <c r="B71472" s="0" t="str">
        <f aca="false">HYPERLINK("https://lindat.mff.cuni.cz/services/teitok/pdtc10/index.php?action=vallex&amp;frame=v-whsa_626f1_ZU", "zrýt (v-whsa_626f1_ZU)")</f>
        <v>zrýt (v-whsa_626f1_ZU)</v>
      </c>
    </row>
    <row r="71473" customFormat="false" ht="12.8" hidden="false" customHeight="false" outlineLevel="0" collapsed="false">
      <c r="B71473" s="0" t="s">
        <v>7</v>
      </c>
    </row>
    <row r="71474" customFormat="false" ht="12.8" hidden="false" customHeight="false" outlineLevel="0" collapsed="false">
      <c r="B71474" s="0" t="s">
        <v>14</v>
      </c>
    </row>
    <row r="71476" customFormat="false" ht="12.8" hidden="false" customHeight="false" outlineLevel="0" collapsed="false">
      <c r="A71476" s="0" t="s">
        <v>24197</v>
      </c>
      <c r="B71476" s="0" t="str">
        <f aca="false">HYPERLINK("https://lindat.mff.cuni.cz/services/teitok/pdtc10/index.php?action=vallex&amp;frame=v-whsa_626hsa_627", "zrýt (v-whsa_626hsa_627) - substituted with v-whsa_626f1_ZU")</f>
        <v>zrýt (v-whsa_626hsa_627) - substituted with v-whsa_626f1_ZU</v>
      </c>
    </row>
    <row r="71477" customFormat="false" ht="12.8" hidden="false" customHeight="false" outlineLevel="0" collapsed="false">
      <c r="B71477" s="0" t="s">
        <v>7</v>
      </c>
    </row>
    <row r="71478" customFormat="false" ht="12.8" hidden="false" customHeight="false" outlineLevel="0" collapsed="false">
      <c r="B71478" s="0" t="s">
        <v>14</v>
      </c>
    </row>
    <row r="71480" customFormat="false" ht="12.8" hidden="false" customHeight="false" outlineLevel="0" collapsed="false">
      <c r="A71480" s="0" t="s">
        <v>24198</v>
      </c>
      <c r="B71480" s="0" t="str">
        <f aca="false">HYPERLINK("https://lindat.mff.cuni.cz/services/teitok/pdtc10/index.php?action=vallex&amp;frame=v-w9880f1", "zrůžovět (v-w9880f1)")</f>
        <v>zrůžovět (v-w9880f1)</v>
      </c>
    </row>
    <row r="71481" customFormat="false" ht="12.8" hidden="false" customHeight="false" outlineLevel="0" collapsed="false">
      <c r="B71481" s="0" t="s">
        <v>7</v>
      </c>
    </row>
    <row r="71483" customFormat="false" ht="12.8" hidden="false" customHeight="false" outlineLevel="0" collapsed="false">
      <c r="A71483" s="0" t="s">
        <v>24199</v>
      </c>
      <c r="B71483" s="0" t="str">
        <f aca="false">HYPERLINK("https://lindat.mff.cuni.cz/services/teitok/pdtc10/index.php?action=vallex&amp;frame=v-w11336f1", "ztenčit (v-w11336f1)")</f>
        <v>ztenčit (v-w11336f1)</v>
      </c>
    </row>
    <row r="71484" customFormat="false" ht="12.8" hidden="false" customHeight="false" outlineLevel="0" collapsed="false">
      <c r="B71484" s="0" t="s">
        <v>7</v>
      </c>
    </row>
    <row r="71485" customFormat="false" ht="12.8" hidden="false" customHeight="false" outlineLevel="0" collapsed="false">
      <c r="B71485" s="0" t="s">
        <v>14</v>
      </c>
    </row>
    <row r="71486" customFormat="false" ht="12.8" hidden="false" customHeight="false" outlineLevel="0" collapsed="false">
      <c r="B71486" s="0" t="s">
        <v>35</v>
      </c>
    </row>
    <row r="71487" customFormat="false" ht="12.8" hidden="false" customHeight="false" outlineLevel="0" collapsed="false">
      <c r="B71487" s="0" t="s">
        <v>84</v>
      </c>
    </row>
    <row r="71489" customFormat="false" ht="12.8" hidden="false" customHeight="false" outlineLevel="0" collapsed="false">
      <c r="A71489" s="0" t="s">
        <v>24200</v>
      </c>
      <c r="B71489" s="0" t="str">
        <f aca="false">HYPERLINK("https://lindat.mff.cuni.cz/services/teitok/pdtc10/index.php?action=vallex&amp;frame=v-w9903f1", "ztenčit se (v-w9903f1)")</f>
        <v>ztenčit se (v-w9903f1)</v>
      </c>
    </row>
    <row r="71490" customFormat="false" ht="12.8" hidden="false" customHeight="false" outlineLevel="0" collapsed="false">
      <c r="B71490" s="0" t="s">
        <v>7</v>
      </c>
      <c r="D71490" s="0" t="s">
        <v>9114</v>
      </c>
      <c r="E71490" s="0" t="s">
        <v>9114</v>
      </c>
      <c r="F71490" s="0" t="s">
        <v>9114</v>
      </c>
    </row>
    <row r="71491" customFormat="false" ht="12.8" hidden="false" customHeight="false" outlineLevel="0" collapsed="false">
      <c r="B71491" s="0" t="s">
        <v>63</v>
      </c>
      <c r="D71491" s="0" t="s">
        <v>9116</v>
      </c>
      <c r="E71491" s="0" t="s">
        <v>9116</v>
      </c>
      <c r="F71491" s="0" t="s">
        <v>9116</v>
      </c>
    </row>
    <row r="71492" customFormat="false" ht="12.8" hidden="false" customHeight="false" outlineLevel="0" collapsed="false">
      <c r="B71492" s="0" t="s">
        <v>35</v>
      </c>
      <c r="D71492" s="0" t="s">
        <v>9118</v>
      </c>
      <c r="E71492" s="0" t="s">
        <v>9118</v>
      </c>
      <c r="F71492" s="0" t="s">
        <v>9118</v>
      </c>
    </row>
    <row r="71494" customFormat="false" ht="12.8" hidden="false" customHeight="false" outlineLevel="0" collapsed="false">
      <c r="A71494" s="0" t="s">
        <v>24201</v>
      </c>
      <c r="B71494" s="0" t="str">
        <f aca="false">HYPERLINK("https://lindat.mff.cuni.cz/services/teitok/pdtc10/index.php?action=vallex&amp;frame=v-w10912f2", "ztenčovat (v-w10912f2)")</f>
        <v>ztenčovat (v-w10912f2)</v>
      </c>
    </row>
    <row r="71495" customFormat="false" ht="12.8" hidden="false" customHeight="false" outlineLevel="0" collapsed="false">
      <c r="B71495" s="0" t="s">
        <v>7</v>
      </c>
      <c r="C71495" s="0" t="s">
        <v>184</v>
      </c>
    </row>
    <row r="71496" customFormat="false" ht="12.8" hidden="false" customHeight="false" outlineLevel="0" collapsed="false">
      <c r="B71496" s="0" t="s">
        <v>14</v>
      </c>
      <c r="C71496" s="0" t="s">
        <v>115</v>
      </c>
    </row>
    <row r="71497" customFormat="false" ht="12.8" hidden="false" customHeight="false" outlineLevel="0" collapsed="false">
      <c r="B71497" s="0" t="s">
        <v>35</v>
      </c>
    </row>
    <row r="71498" customFormat="false" ht="12.8" hidden="false" customHeight="false" outlineLevel="0" collapsed="false">
      <c r="B71498" s="0" t="s">
        <v>84</v>
      </c>
    </row>
    <row r="71500" customFormat="false" ht="12.8" hidden="false" customHeight="false" outlineLevel="0" collapsed="false">
      <c r="A71500" s="0" t="s">
        <v>24202</v>
      </c>
      <c r="B71500" s="0" t="str">
        <f aca="false">HYPERLINK("https://lindat.mff.cuni.cz/services/teitok/pdtc10/index.php?action=vallex&amp;frame=v-w11414f1", "ztenčovat se (v-w11414f1)")</f>
        <v>ztenčovat se (v-w11414f1)</v>
      </c>
    </row>
    <row r="71501" customFormat="false" ht="12.8" hidden="false" customHeight="false" outlineLevel="0" collapsed="false">
      <c r="B71501" s="0" t="s">
        <v>7</v>
      </c>
      <c r="C71501" s="0" t="s">
        <v>9331</v>
      </c>
      <c r="D71501" s="0" t="s">
        <v>9114</v>
      </c>
      <c r="E71501" s="0" t="s">
        <v>9114</v>
      </c>
      <c r="F71501" s="0" t="s">
        <v>9114</v>
      </c>
    </row>
    <row r="71502" customFormat="false" ht="12.8" hidden="false" customHeight="false" outlineLevel="0" collapsed="false">
      <c r="B71502" s="0" t="s">
        <v>63</v>
      </c>
      <c r="D71502" s="0" t="s">
        <v>9116</v>
      </c>
      <c r="E71502" s="0" t="s">
        <v>9116</v>
      </c>
      <c r="F71502" s="0" t="s">
        <v>9116</v>
      </c>
    </row>
    <row r="71503" customFormat="false" ht="12.8" hidden="false" customHeight="false" outlineLevel="0" collapsed="false">
      <c r="B71503" s="0" t="s">
        <v>35</v>
      </c>
      <c r="D71503" s="0" t="s">
        <v>9118</v>
      </c>
      <c r="E71503" s="0" t="s">
        <v>9118</v>
      </c>
      <c r="F71503" s="0" t="s">
        <v>9118</v>
      </c>
    </row>
    <row r="71505" customFormat="false" ht="12.8" hidden="false" customHeight="false" outlineLevel="0" collapsed="false">
      <c r="A71505" s="0" t="s">
        <v>24203</v>
      </c>
      <c r="B71505" s="0" t="str">
        <f aca="false">HYPERLINK("https://lindat.mff.cuni.cz/services/teitok/pdtc10/index.php?action=vallex&amp;frame=v-w9905f1", "ztichnout (v-w9905f1)")</f>
        <v>ztichnout (v-w9905f1)</v>
      </c>
    </row>
    <row r="71506" customFormat="false" ht="12.8" hidden="false" customHeight="false" outlineLevel="0" collapsed="false">
      <c r="B71506" s="0" t="s">
        <v>7</v>
      </c>
    </row>
    <row r="71508" customFormat="false" ht="12.8" hidden="false" customHeight="false" outlineLevel="0" collapsed="false">
      <c r="A71508" s="0" t="s">
        <v>24204</v>
      </c>
      <c r="B71508" s="0" t="str">
        <f aca="false">HYPERLINK("https://lindat.mff.cuni.cz/services/teitok/pdtc10/index.php?action=vallex&amp;frame=v-w11402f1", "ztišit se (v-w11402f1)")</f>
        <v>ztišit se (v-w11402f1)</v>
      </c>
    </row>
    <row r="71509" customFormat="false" ht="12.8" hidden="false" customHeight="false" outlineLevel="0" collapsed="false">
      <c r="B71509" s="0" t="s">
        <v>7</v>
      </c>
      <c r="C71509" s="0" t="s">
        <v>200</v>
      </c>
      <c r="D71509" s="0" t="s">
        <v>5375</v>
      </c>
      <c r="E71509" s="0" t="s">
        <v>5375</v>
      </c>
      <c r="F71509" s="0" t="s">
        <v>5375</v>
      </c>
    </row>
    <row r="71510" customFormat="false" ht="12.8" hidden="false" customHeight="false" outlineLevel="0" collapsed="false">
      <c r="B71510" s="0" t="s">
        <v>63</v>
      </c>
    </row>
    <row r="71511" customFormat="false" ht="12.8" hidden="false" customHeight="false" outlineLevel="0" collapsed="false">
      <c r="B71511" s="0" t="s">
        <v>35</v>
      </c>
    </row>
    <row r="71513" customFormat="false" ht="12.8" hidden="false" customHeight="false" outlineLevel="0" collapsed="false">
      <c r="A71513" s="0" t="s">
        <v>24205</v>
      </c>
      <c r="B71513" s="0" t="str">
        <f aca="false">HYPERLINK("https://lindat.mff.cuni.cz/services/teitok/pdtc10/index.php?action=vallex&amp;frame=v-w9907f1", "ztlouci (v-w9907f1)")</f>
        <v>ztlouci (v-w9907f1)</v>
      </c>
    </row>
    <row r="71514" customFormat="false" ht="12.8" hidden="false" customHeight="false" outlineLevel="0" collapsed="false">
      <c r="B71514" s="0" t="s">
        <v>7</v>
      </c>
    </row>
    <row r="71515" customFormat="false" ht="12.8" hidden="false" customHeight="false" outlineLevel="0" collapsed="false">
      <c r="B71515" s="0" t="s">
        <v>14</v>
      </c>
    </row>
    <row r="71517" customFormat="false" ht="12.8" hidden="false" customHeight="false" outlineLevel="0" collapsed="false">
      <c r="A71517" s="0" t="s">
        <v>24206</v>
      </c>
      <c r="B71517" s="0" t="str">
        <f aca="false">HYPERLINK("https://lindat.mff.cuni.cz/services/teitok/pdtc10/index.php?action=vallex&amp;frame=v-w10870f2", "ztloustnout (v-w10870f2)")</f>
        <v>ztloustnout (v-w10870f2)</v>
      </c>
    </row>
    <row r="71518" customFormat="false" ht="12.8" hidden="false" customHeight="false" outlineLevel="0" collapsed="false">
      <c r="B71518" s="0" t="s">
        <v>7</v>
      </c>
    </row>
    <row r="71519" customFormat="false" ht="12.8" hidden="false" customHeight="false" outlineLevel="0" collapsed="false">
      <c r="B71519" s="0" t="s">
        <v>63</v>
      </c>
    </row>
    <row r="71520" customFormat="false" ht="12.8" hidden="false" customHeight="false" outlineLevel="0" collapsed="false">
      <c r="B71520" s="0" t="s">
        <v>35</v>
      </c>
    </row>
    <row r="71522" customFormat="false" ht="12.8" hidden="false" customHeight="false" outlineLevel="0" collapsed="false">
      <c r="A71522" s="0" t="s">
        <v>24207</v>
      </c>
      <c r="B71522" s="0" t="str">
        <f aca="false">HYPERLINK("https://lindat.mff.cuni.cz/services/teitok/pdtc10/index.php?action=vallex&amp;frame=v-w9908f1", "ztlumit (v-w9908f1)")</f>
        <v>ztlumit (v-w9908f1)</v>
      </c>
    </row>
    <row r="71523" customFormat="false" ht="12.8" hidden="false" customHeight="false" outlineLevel="0" collapsed="false">
      <c r="B71523" s="0" t="s">
        <v>7</v>
      </c>
      <c r="C71523" s="0" t="s">
        <v>88</v>
      </c>
      <c r="D71523" s="0" t="s">
        <v>4161</v>
      </c>
      <c r="E71523" s="0" t="s">
        <v>4161</v>
      </c>
      <c r="F71523" s="0" t="s">
        <v>4161</v>
      </c>
    </row>
    <row r="71524" customFormat="false" ht="12.8" hidden="false" customHeight="false" outlineLevel="0" collapsed="false">
      <c r="B71524" s="0" t="s">
        <v>14</v>
      </c>
      <c r="C71524" s="0" t="s">
        <v>1264</v>
      </c>
      <c r="D71524" s="0" t="s">
        <v>9299</v>
      </c>
      <c r="E71524" s="0" t="s">
        <v>9299</v>
      </c>
      <c r="F71524" s="0" t="s">
        <v>9299</v>
      </c>
    </row>
    <row r="71525" customFormat="false" ht="12.8" hidden="false" customHeight="false" outlineLevel="0" collapsed="false">
      <c r="B71525" s="0" t="s">
        <v>35</v>
      </c>
    </row>
    <row r="71526" customFormat="false" ht="12.8" hidden="false" customHeight="false" outlineLevel="0" collapsed="false">
      <c r="B71526" s="0" t="s">
        <v>84</v>
      </c>
    </row>
    <row r="71528" customFormat="false" ht="12.8" hidden="false" customHeight="false" outlineLevel="0" collapsed="false">
      <c r="A71528" s="0" t="s">
        <v>24208</v>
      </c>
      <c r="B71528" s="0" t="str">
        <f aca="false">HYPERLINK("https://lindat.mff.cuni.cz/services/teitok/pdtc10/index.php?action=vallex&amp;frame=v-w11798_ZUf1_ZU", "ztmavnout (v-w11798_ZUf1_ZU)")</f>
        <v>ztmavnout (v-w11798_ZUf1_ZU)</v>
      </c>
    </row>
    <row r="71529" customFormat="false" ht="12.8" hidden="false" customHeight="false" outlineLevel="0" collapsed="false">
      <c r="B71529" s="0" t="s">
        <v>603</v>
      </c>
    </row>
    <row r="71530" customFormat="false" ht="12.8" hidden="false" customHeight="false" outlineLevel="0" collapsed="false">
      <c r="B71530" s="0" t="s">
        <v>328</v>
      </c>
    </row>
    <row r="71532" customFormat="false" ht="12.8" hidden="false" customHeight="false" outlineLevel="0" collapsed="false">
      <c r="A71532" s="0" t="s">
        <v>24209</v>
      </c>
      <c r="B71532" s="0" t="str">
        <f aca="false">HYPERLINK("https://lindat.mff.cuni.cz/services/teitok/pdtc10/index.php?action=vallex&amp;frame=v-w11798_ZUf2_ZU", "ztmavnout (v-w11798_ZUf2_ZU)")</f>
        <v>ztmavnout (v-w11798_ZUf2_ZU)</v>
      </c>
    </row>
    <row r="71533" customFormat="false" ht="12.8" hidden="false" customHeight="false" outlineLevel="0" collapsed="false">
      <c r="B71533" s="0" t="s">
        <v>7</v>
      </c>
    </row>
    <row r="71535" customFormat="false" ht="12.8" hidden="false" customHeight="false" outlineLevel="0" collapsed="false">
      <c r="A71535" s="0" t="s">
        <v>24210</v>
      </c>
      <c r="B71535" s="0" t="str">
        <f aca="false">HYPERLINK("https://lindat.mff.cuni.cz/services/teitok/pdtc10/index.php?action=vallex&amp;frame=v-w9909f1", "ztotožnit (v-w9909f1)")</f>
        <v>ztotožnit (v-w9909f1)</v>
      </c>
    </row>
    <row r="71536" customFormat="false" ht="12.8" hidden="false" customHeight="false" outlineLevel="0" collapsed="false">
      <c r="B71536" s="0" t="s">
        <v>7</v>
      </c>
    </row>
    <row r="71537" customFormat="false" ht="12.8" hidden="false" customHeight="false" outlineLevel="0" collapsed="false">
      <c r="B71537" s="0" t="s">
        <v>14</v>
      </c>
    </row>
    <row r="71538" customFormat="false" ht="12.8" hidden="false" customHeight="false" outlineLevel="0" collapsed="false">
      <c r="B71538" s="0" t="s">
        <v>3086</v>
      </c>
    </row>
    <row r="71540" customFormat="false" ht="12.8" hidden="false" customHeight="false" outlineLevel="0" collapsed="false">
      <c r="A71540" s="0" t="s">
        <v>24211</v>
      </c>
      <c r="B71540" s="0" t="str">
        <f aca="false">HYPERLINK("https://lindat.mff.cuni.cz/services/teitok/pdtc10/index.php?action=vallex&amp;frame=v-w9910f2", "ztotožnit se (v-w9910f2)")</f>
        <v>ztotožnit se (v-w9910f2)</v>
      </c>
    </row>
    <row r="71541" customFormat="false" ht="12.8" hidden="false" customHeight="false" outlineLevel="0" collapsed="false">
      <c r="B71541" s="0" t="s">
        <v>7</v>
      </c>
      <c r="C71541" s="0" t="s">
        <v>2170</v>
      </c>
      <c r="D71541" s="0" t="s">
        <v>191</v>
      </c>
      <c r="E71541" s="0" t="s">
        <v>191</v>
      </c>
      <c r="F71541" s="0" t="s">
        <v>191</v>
      </c>
    </row>
    <row r="71542" customFormat="false" ht="12.8" hidden="false" customHeight="false" outlineLevel="0" collapsed="false">
      <c r="B71542" s="0" t="s">
        <v>24212</v>
      </c>
    </row>
    <row r="71543" customFormat="false" ht="12.8" hidden="false" customHeight="false" outlineLevel="0" collapsed="false">
      <c r="B71543" s="0" t="s">
        <v>207</v>
      </c>
      <c r="C71543" s="0" t="s">
        <v>24213</v>
      </c>
    </row>
    <row r="71545" customFormat="false" ht="12.8" hidden="false" customHeight="false" outlineLevel="0" collapsed="false">
      <c r="A71545" s="0" t="s">
        <v>24214</v>
      </c>
      <c r="B71545" s="0" t="str">
        <f aca="false">HYPERLINK("https://lindat.mff.cuni.cz/services/teitok/pdtc10/index.php?action=vallex&amp;frame=v-w9910f1", "ztotožnit se (v-w9910f1)")</f>
        <v>ztotožnit se (v-w9910f1)</v>
      </c>
    </row>
    <row r="71546" customFormat="false" ht="12.8" hidden="false" customHeight="false" outlineLevel="0" collapsed="false">
      <c r="B71546" s="0" t="s">
        <v>7</v>
      </c>
      <c r="C71546" s="0" t="s">
        <v>504</v>
      </c>
      <c r="D71546" s="0" t="s">
        <v>57</v>
      </c>
      <c r="E71546" s="0" t="s">
        <v>57</v>
      </c>
      <c r="F71546" s="0" t="s">
        <v>57</v>
      </c>
    </row>
    <row r="71547" customFormat="false" ht="12.8" hidden="false" customHeight="false" outlineLevel="0" collapsed="false">
      <c r="B71547" s="0" t="s">
        <v>548</v>
      </c>
      <c r="C71547" s="0" t="s">
        <v>16093</v>
      </c>
      <c r="D71547" s="0" t="s">
        <v>60</v>
      </c>
      <c r="E71547" s="0" t="s">
        <v>60</v>
      </c>
      <c r="F71547" s="0" t="s">
        <v>60</v>
      </c>
    </row>
    <row r="71549" customFormat="false" ht="12.8" hidden="false" customHeight="false" outlineLevel="0" collapsed="false">
      <c r="A71549" s="0" t="s">
        <v>24215</v>
      </c>
      <c r="B71549" s="0" t="str">
        <f aca="false">HYPERLINK("https://lindat.mff.cuni.cz/services/teitok/pdtc10/index.php?action=vallex&amp;frame=v-w9911f1", "ztotožňovat (v-w9911f1)")</f>
        <v>ztotožňovat (v-w9911f1)</v>
      </c>
    </row>
    <row r="71550" customFormat="false" ht="12.8" hidden="false" customHeight="false" outlineLevel="0" collapsed="false">
      <c r="B71550" s="0" t="s">
        <v>7</v>
      </c>
    </row>
    <row r="71551" customFormat="false" ht="12.8" hidden="false" customHeight="false" outlineLevel="0" collapsed="false">
      <c r="B71551" s="0" t="s">
        <v>14</v>
      </c>
    </row>
    <row r="71552" customFormat="false" ht="12.8" hidden="false" customHeight="false" outlineLevel="0" collapsed="false">
      <c r="B71552" s="0" t="s">
        <v>3086</v>
      </c>
    </row>
    <row r="71554" customFormat="false" ht="12.8" hidden="false" customHeight="false" outlineLevel="0" collapsed="false">
      <c r="A71554" s="0" t="s">
        <v>24216</v>
      </c>
      <c r="B71554" s="0" t="str">
        <f aca="false">HYPERLINK("https://lindat.mff.cuni.cz/services/teitok/pdtc10/index.php?action=vallex&amp;frame=v-w9912f1", "ztotožňovat se (v-w9912f1)")</f>
        <v>ztotožňovat se (v-w9912f1)</v>
      </c>
    </row>
    <row r="71555" customFormat="false" ht="12.8" hidden="false" customHeight="false" outlineLevel="0" collapsed="false">
      <c r="B71555" s="0" t="s">
        <v>7</v>
      </c>
      <c r="C71555" s="0" t="s">
        <v>191</v>
      </c>
      <c r="D71555" s="0" t="s">
        <v>191</v>
      </c>
      <c r="E71555" s="0" t="s">
        <v>191</v>
      </c>
      <c r="F71555" s="0" t="s">
        <v>191</v>
      </c>
    </row>
    <row r="71556" customFormat="false" ht="12.8" hidden="false" customHeight="false" outlineLevel="0" collapsed="false">
      <c r="B71556" s="0" t="s">
        <v>24217</v>
      </c>
    </row>
    <row r="71557" customFormat="false" ht="12.8" hidden="false" customHeight="false" outlineLevel="0" collapsed="false">
      <c r="B71557" s="0" t="s">
        <v>207</v>
      </c>
    </row>
    <row r="71559" customFormat="false" ht="12.8" hidden="false" customHeight="false" outlineLevel="0" collapsed="false">
      <c r="A71559" s="0" t="s">
        <v>24218</v>
      </c>
      <c r="B71559" s="0" t="str">
        <f aca="false">HYPERLINK("https://lindat.mff.cuni.cz/services/teitok/pdtc10/index.php?action=vallex&amp;frame=v-w9912f2", "ztotožňovat se (v-w9912f2)")</f>
        <v>ztotožňovat se (v-w9912f2)</v>
      </c>
    </row>
    <row r="71560" customFormat="false" ht="12.8" hidden="false" customHeight="false" outlineLevel="0" collapsed="false">
      <c r="B71560" s="0" t="s">
        <v>7</v>
      </c>
      <c r="C71560" s="0" t="s">
        <v>24219</v>
      </c>
      <c r="D71560" s="0" t="s">
        <v>57</v>
      </c>
      <c r="E71560" s="0" t="s">
        <v>57</v>
      </c>
      <c r="F71560" s="0" t="s">
        <v>57</v>
      </c>
    </row>
    <row r="71561" customFormat="false" ht="12.8" hidden="false" customHeight="false" outlineLevel="0" collapsed="false">
      <c r="B71561" s="0" t="s">
        <v>548</v>
      </c>
      <c r="C71561" s="0" t="s">
        <v>1743</v>
      </c>
      <c r="D71561" s="0" t="s">
        <v>60</v>
      </c>
      <c r="E71561" s="0" t="s">
        <v>60</v>
      </c>
      <c r="F71561" s="0" t="s">
        <v>60</v>
      </c>
    </row>
    <row r="71563" customFormat="false" ht="12.8" hidden="false" customHeight="false" outlineLevel="0" collapsed="false">
      <c r="A71563" s="0" t="s">
        <v>24220</v>
      </c>
      <c r="B71563" s="0" t="str">
        <f aca="false">HYPERLINK("https://lindat.mff.cuni.cz/services/teitok/pdtc10/index.php?action=vallex&amp;frame=v-w9916f1", "ztrapnit (v-w9916f1)")</f>
        <v>ztrapnit (v-w9916f1)</v>
      </c>
    </row>
    <row r="71564" customFormat="false" ht="12.8" hidden="false" customHeight="false" outlineLevel="0" collapsed="false">
      <c r="B71564" s="0" t="s">
        <v>7</v>
      </c>
      <c r="C71564" s="0" t="s">
        <v>46</v>
      </c>
      <c r="D71564" s="0" t="s">
        <v>184</v>
      </c>
      <c r="E71564" s="0" t="s">
        <v>184</v>
      </c>
      <c r="F71564" s="0" t="s">
        <v>184</v>
      </c>
    </row>
    <row r="71565" customFormat="false" ht="12.8" hidden="false" customHeight="false" outlineLevel="0" collapsed="false">
      <c r="B71565" s="0" t="s">
        <v>14</v>
      </c>
      <c r="C71565" s="0" t="s">
        <v>33</v>
      </c>
      <c r="D71565" s="0" t="s">
        <v>1610</v>
      </c>
      <c r="E71565" s="0" t="s">
        <v>1610</v>
      </c>
      <c r="F71565" s="0" t="s">
        <v>1610</v>
      </c>
    </row>
    <row r="71567" customFormat="false" ht="12.8" hidden="false" customHeight="false" outlineLevel="0" collapsed="false">
      <c r="A71567" s="0" t="s">
        <v>24221</v>
      </c>
      <c r="B71567" s="0" t="str">
        <f aca="false">HYPERLINK("https://lindat.mff.cuni.cz/services/teitok/pdtc10/index.php?action=vallex&amp;frame=v-w10190f2", "ztrapňovat (v-w10190f2)")</f>
        <v>ztrapňovat (v-w10190f2)</v>
      </c>
    </row>
    <row r="71568" customFormat="false" ht="12.8" hidden="false" customHeight="false" outlineLevel="0" collapsed="false">
      <c r="B71568" s="0" t="s">
        <v>7</v>
      </c>
      <c r="D71568" s="0" t="s">
        <v>184</v>
      </c>
      <c r="E71568" s="0" t="s">
        <v>184</v>
      </c>
      <c r="F71568" s="0" t="s">
        <v>184</v>
      </c>
    </row>
    <row r="71569" customFormat="false" ht="12.8" hidden="false" customHeight="false" outlineLevel="0" collapsed="false">
      <c r="B71569" s="0" t="s">
        <v>14</v>
      </c>
      <c r="D71569" s="0" t="s">
        <v>1610</v>
      </c>
      <c r="E71569" s="0" t="s">
        <v>1610</v>
      </c>
      <c r="F71569" s="0" t="s">
        <v>1610</v>
      </c>
    </row>
    <row r="71571" customFormat="false" ht="12.8" hidden="false" customHeight="false" outlineLevel="0" collapsed="false">
      <c r="A71571" s="0" t="s">
        <v>24222</v>
      </c>
      <c r="B71571" s="0" t="str">
        <f aca="false">HYPERLINK("https://lindat.mff.cuni.cz/services/teitok/pdtc10/index.php?action=vallex&amp;frame=v-w9918f10", "ztratit (v-w9918f10)")</f>
        <v>ztratit (v-w9918f10)</v>
      </c>
    </row>
    <row r="71572" customFormat="false" ht="12.8" hidden="false" customHeight="false" outlineLevel="0" collapsed="false">
      <c r="B71572" s="0" t="s">
        <v>7</v>
      </c>
      <c r="C71572" s="0" t="s">
        <v>24223</v>
      </c>
      <c r="D71572" s="0" t="s">
        <v>113</v>
      </c>
      <c r="E71572" s="0" t="s">
        <v>113</v>
      </c>
      <c r="F71572" s="0" t="s">
        <v>113</v>
      </c>
    </row>
    <row r="71573" customFormat="false" ht="12.8" hidden="false" customHeight="false" outlineLevel="0" collapsed="false">
      <c r="B71573" s="0" t="s">
        <v>14</v>
      </c>
      <c r="C71573" s="0" t="s">
        <v>24224</v>
      </c>
      <c r="D71573" s="0" t="s">
        <v>1588</v>
      </c>
      <c r="E71573" s="0" t="s">
        <v>1588</v>
      </c>
      <c r="F71573" s="0" t="s">
        <v>1588</v>
      </c>
    </row>
    <row r="71574" customFormat="false" ht="12.8" hidden="false" customHeight="false" outlineLevel="0" collapsed="false">
      <c r="B71574" s="0" t="s">
        <v>586</v>
      </c>
      <c r="C71574" s="0" t="s">
        <v>24225</v>
      </c>
    </row>
    <row r="71576" customFormat="false" ht="12.8" hidden="false" customHeight="false" outlineLevel="0" collapsed="false">
      <c r="A71576" s="0" t="s">
        <v>24226</v>
      </c>
      <c r="B71576" s="0" t="str">
        <f aca="false">HYPERLINK("https://lindat.mff.cuni.cz/services/teitok/pdtc10/index.php?action=vallex&amp;frame=v-w9918f11_ZU", "ztratit (v-w9918f11_ZU)")</f>
        <v>ztratit (v-w9918f11_ZU)</v>
      </c>
    </row>
    <row r="71577" customFormat="false" ht="12.8" hidden="false" customHeight="false" outlineLevel="0" collapsed="false">
      <c r="B71577" s="0" t="s">
        <v>7</v>
      </c>
      <c r="C71577" s="0" t="s">
        <v>24227</v>
      </c>
    </row>
    <row r="71578" customFormat="false" ht="12.8" hidden="false" customHeight="false" outlineLevel="0" collapsed="false">
      <c r="B71578" s="0" t="s">
        <v>14</v>
      </c>
      <c r="C71578" s="0" t="s">
        <v>24228</v>
      </c>
    </row>
    <row r="71579" customFormat="false" ht="12.8" hidden="false" customHeight="false" outlineLevel="0" collapsed="false">
      <c r="B71579" s="0" t="s">
        <v>84</v>
      </c>
      <c r="C71579" s="0" t="s">
        <v>24229</v>
      </c>
    </row>
    <row r="71581" customFormat="false" ht="12.8" hidden="false" customHeight="false" outlineLevel="0" collapsed="false">
      <c r="A71581" s="0" t="s">
        <v>24230</v>
      </c>
      <c r="B71581" s="0" t="str">
        <f aca="false">HYPERLINK("https://lindat.mff.cuni.cz/services/teitok/pdtc10/index.php?action=vallex&amp;frame=v-w9918f1", "ztratit (v-w9918f1)")</f>
        <v>ztratit (v-w9918f1)</v>
      </c>
    </row>
    <row r="71582" customFormat="false" ht="12.8" hidden="false" customHeight="false" outlineLevel="0" collapsed="false">
      <c r="B71582" s="0" t="s">
        <v>7</v>
      </c>
      <c r="C71582" s="0" t="s">
        <v>24231</v>
      </c>
      <c r="D71582" s="0" t="s">
        <v>13490</v>
      </c>
      <c r="E71582" s="0" t="s">
        <v>13490</v>
      </c>
      <c r="F71582" s="0" t="s">
        <v>13490</v>
      </c>
    </row>
    <row r="71583" customFormat="false" ht="12.8" hidden="false" customHeight="false" outlineLevel="0" collapsed="false">
      <c r="B71583" s="0" t="s">
        <v>6288</v>
      </c>
      <c r="C71583" s="0" t="s">
        <v>24232</v>
      </c>
      <c r="D71583" s="0" t="s">
        <v>2892</v>
      </c>
      <c r="E71583" s="0" t="s">
        <v>2892</v>
      </c>
      <c r="F71583" s="0" t="s">
        <v>2892</v>
      </c>
    </row>
    <row r="71585" customFormat="false" ht="12.8" hidden="false" customHeight="false" outlineLevel="0" collapsed="false">
      <c r="A71585" s="0" t="s">
        <v>24233</v>
      </c>
      <c r="B71585" s="0" t="str">
        <f aca="false">HYPERLINK("https://lindat.mff.cuni.cz/services/teitok/pdtc10/index.php?action=vallex&amp;frame=v-w9918f2", "ztratit (v-w9918f2)")</f>
        <v>ztratit (v-w9918f2)</v>
      </c>
    </row>
    <row r="71586" customFormat="false" ht="12.8" hidden="false" customHeight="false" outlineLevel="0" collapsed="false">
      <c r="B71586" s="0" t="s">
        <v>7</v>
      </c>
      <c r="C71586" s="0" t="s">
        <v>13490</v>
      </c>
      <c r="D71586" s="0" t="s">
        <v>13490</v>
      </c>
      <c r="E71586" s="0" t="s">
        <v>13490</v>
      </c>
      <c r="F71586" s="0" t="s">
        <v>13490</v>
      </c>
    </row>
    <row r="71587" customFormat="false" ht="12.8" hidden="false" customHeight="false" outlineLevel="0" collapsed="false">
      <c r="B71587" s="0" t="s">
        <v>14</v>
      </c>
      <c r="C71587" s="0" t="s">
        <v>9030</v>
      </c>
      <c r="D71587" s="0" t="s">
        <v>2892</v>
      </c>
      <c r="E71587" s="0" t="s">
        <v>2892</v>
      </c>
      <c r="F71587" s="0" t="s">
        <v>2892</v>
      </c>
    </row>
    <row r="71589" customFormat="false" ht="12.8" hidden="false" customHeight="false" outlineLevel="0" collapsed="false">
      <c r="A71589" s="0" t="s">
        <v>24234</v>
      </c>
      <c r="B71589" s="0" t="str">
        <f aca="false">HYPERLINK("https://lindat.mff.cuni.cz/services/teitok/pdtc10/index.php?action=vallex&amp;frame=v-w9918f4", "ztratit (v-w9918f4)")</f>
        <v>ztratit (v-w9918f4)</v>
      </c>
    </row>
    <row r="71590" customFormat="false" ht="12.8" hidden="false" customHeight="false" outlineLevel="0" collapsed="false">
      <c r="B71590" s="0" t="s">
        <v>7</v>
      </c>
      <c r="C71590" s="0" t="s">
        <v>24235</v>
      </c>
      <c r="D71590" s="0" t="s">
        <v>13490</v>
      </c>
      <c r="E71590" s="0" t="s">
        <v>13490</v>
      </c>
      <c r="F71590" s="0" t="s">
        <v>13490</v>
      </c>
    </row>
    <row r="71591" customFormat="false" ht="12.8" hidden="false" customHeight="false" outlineLevel="0" collapsed="false">
      <c r="B71591" s="0" t="s">
        <v>14</v>
      </c>
      <c r="C71591" s="0" t="s">
        <v>24236</v>
      </c>
      <c r="D71591" s="0" t="s">
        <v>2892</v>
      </c>
      <c r="E71591" s="0" t="s">
        <v>2892</v>
      </c>
      <c r="F71591" s="0" t="s">
        <v>2892</v>
      </c>
    </row>
    <row r="71593" customFormat="false" ht="12.8" hidden="false" customHeight="false" outlineLevel="0" collapsed="false">
      <c r="A71593" s="0" t="s">
        <v>24237</v>
      </c>
      <c r="B71593" s="0" t="str">
        <f aca="false">HYPERLINK("https://lindat.mff.cuni.cz/services/teitok/pdtc10/index.php?action=vallex&amp;frame=v-w9918f9", "ztratit (v-w9918f9)")</f>
        <v>ztratit (v-w9918f9)</v>
      </c>
    </row>
    <row r="71594" customFormat="false" ht="12.8" hidden="false" customHeight="false" outlineLevel="0" collapsed="false">
      <c r="B71594" s="0" t="s">
        <v>7</v>
      </c>
      <c r="C71594" s="0" t="s">
        <v>13490</v>
      </c>
      <c r="D71594" s="0" t="s">
        <v>309</v>
      </c>
      <c r="E71594" s="0" t="s">
        <v>309</v>
      </c>
      <c r="F71594" s="0" t="s">
        <v>309</v>
      </c>
    </row>
    <row r="71595" customFormat="false" ht="12.8" hidden="false" customHeight="false" outlineLevel="0" collapsed="false">
      <c r="B71595" s="0" t="s">
        <v>14</v>
      </c>
      <c r="C71595" s="0" t="s">
        <v>9030</v>
      </c>
      <c r="D71595" s="0" t="s">
        <v>11753</v>
      </c>
      <c r="E71595" s="0" t="s">
        <v>11753</v>
      </c>
      <c r="F71595" s="0" t="s">
        <v>11753</v>
      </c>
    </row>
    <row r="71597" customFormat="false" ht="12.8" hidden="false" customHeight="false" outlineLevel="0" collapsed="false">
      <c r="A71597" s="0" t="s">
        <v>24238</v>
      </c>
      <c r="B71597" s="0" t="str">
        <f aca="false">HYPERLINK("https://lindat.mff.cuni.cz/services/teitok/pdtc10/index.php?action=vallex&amp;frame=v-w9918f15_ZU", "ztratit (v-w9918f15_ZU)")</f>
        <v>ztratit (v-w9918f15_ZU)</v>
      </c>
    </row>
    <row r="71598" customFormat="false" ht="12.8" hidden="false" customHeight="false" outlineLevel="0" collapsed="false">
      <c r="B71598" s="0" t="s">
        <v>7</v>
      </c>
      <c r="C71598" s="0" t="s">
        <v>13490</v>
      </c>
      <c r="F71598" s="0" t="s">
        <v>8860</v>
      </c>
    </row>
    <row r="71599" customFormat="false" ht="12.8" hidden="false" customHeight="false" outlineLevel="0" collapsed="false">
      <c r="B71599" s="0" t="s">
        <v>24239</v>
      </c>
      <c r="C71599" s="0" t="s">
        <v>24240</v>
      </c>
    </row>
    <row r="71601" customFormat="false" ht="12.8" hidden="false" customHeight="false" outlineLevel="0" collapsed="false">
      <c r="A71601" s="0" t="s">
        <v>24238</v>
      </c>
      <c r="B71601" s="0" t="str">
        <f aca="false">HYPERLINK("https://lindat.mff.cuni.cz/services/teitok/pdtc10/index.php?action=vallex&amp;frame=v-w9918f3", "ztratit (v-w9918f3) - substituted with v-w9918f15_ZU")</f>
        <v>ztratit (v-w9918f3) - substituted with v-w9918f15_ZU</v>
      </c>
    </row>
    <row r="71602" customFormat="false" ht="12.8" hidden="false" customHeight="false" outlineLevel="0" collapsed="false">
      <c r="B71602" s="0" t="s">
        <v>7</v>
      </c>
      <c r="C71602" s="0" t="s">
        <v>13490</v>
      </c>
    </row>
    <row r="71603" customFormat="false" ht="12.8" hidden="false" customHeight="false" outlineLevel="0" collapsed="false">
      <c r="B71603" s="0" t="s">
        <v>24239</v>
      </c>
      <c r="C71603" s="0" t="s">
        <v>24240</v>
      </c>
    </row>
    <row r="71605" customFormat="false" ht="12.8" hidden="false" customHeight="false" outlineLevel="0" collapsed="false">
      <c r="A71605" s="0" t="s">
        <v>24238</v>
      </c>
      <c r="B71605" s="0" t="str">
        <f aca="false">HYPERLINK("https://lindat.mff.cuni.cz/services/teitok/pdtc10/index.php?action=vallex&amp;frame=v-w9918hsa_575", "ztratit (v-w9918hsa_575) - substituted with v-w9918f15_ZU")</f>
        <v>ztratit (v-w9918hsa_575) - substituted with v-w9918f15_ZU</v>
      </c>
    </row>
    <row r="71606" customFormat="false" ht="12.8" hidden="false" customHeight="false" outlineLevel="0" collapsed="false">
      <c r="B71606" s="0" t="s">
        <v>7</v>
      </c>
    </row>
    <row r="71607" customFormat="false" ht="12.8" hidden="false" customHeight="false" outlineLevel="0" collapsed="false">
      <c r="B71607" s="0" t="s">
        <v>24239</v>
      </c>
    </row>
    <row r="71609" customFormat="false" ht="12.8" hidden="false" customHeight="false" outlineLevel="0" collapsed="false">
      <c r="A71609" s="0" t="s">
        <v>24241</v>
      </c>
      <c r="B71609" s="0" t="str">
        <f aca="false">HYPERLINK("https://lindat.mff.cuni.cz/services/teitok/pdtc10/index.php?action=vallex&amp;frame=v-w9918f8", "ztratit (v-w9918f8)")</f>
        <v>ztratit (v-w9918f8)</v>
      </c>
    </row>
    <row r="71610" customFormat="false" ht="12.8" hidden="false" customHeight="false" outlineLevel="0" collapsed="false">
      <c r="B71610" s="0" t="s">
        <v>641</v>
      </c>
    </row>
    <row r="71611" customFormat="false" ht="12.8" hidden="false" customHeight="false" outlineLevel="0" collapsed="false">
      <c r="B71611" s="0" t="s">
        <v>15429</v>
      </c>
    </row>
    <row r="71612" customFormat="false" ht="12.8" hidden="false" customHeight="false" outlineLevel="0" collapsed="false">
      <c r="B71612" s="0" t="s">
        <v>54</v>
      </c>
    </row>
    <row r="71614" customFormat="false" ht="12.8" hidden="false" customHeight="false" outlineLevel="0" collapsed="false">
      <c r="A71614" s="0" t="s">
        <v>24242</v>
      </c>
      <c r="B71614" s="0" t="str">
        <f aca="false">HYPERLINK("https://lindat.mff.cuni.cz/services/teitok/pdtc10/index.php?action=vallex&amp;frame=v-w9918f12_ZU", "ztratit (v-w9918f12_ZU)")</f>
        <v>ztratit (v-w9918f12_ZU)</v>
      </c>
    </row>
    <row r="71615" customFormat="false" ht="12.8" hidden="false" customHeight="false" outlineLevel="0" collapsed="false">
      <c r="B71615" s="0" t="s">
        <v>7</v>
      </c>
    </row>
    <row r="71616" customFormat="false" ht="12.8" hidden="false" customHeight="false" outlineLevel="0" collapsed="false">
      <c r="B71616" s="0" t="s">
        <v>14</v>
      </c>
    </row>
    <row r="71617" customFormat="false" ht="12.8" hidden="false" customHeight="false" outlineLevel="0" collapsed="false">
      <c r="B71617" s="0" t="s">
        <v>24243</v>
      </c>
    </row>
    <row r="71619" customFormat="false" ht="12.8" hidden="false" customHeight="false" outlineLevel="0" collapsed="false">
      <c r="A71619" s="0" t="s">
        <v>24242</v>
      </c>
      <c r="B71619" s="0" t="str">
        <f aca="false">HYPERLINK("https://lindat.mff.cuni.cz/services/teitok/pdtc10/index.php?action=vallex&amp;frame=v-w9918f5", "ztratit (v-w9918f5) - substituted with v-w9918f12_ZU")</f>
        <v>ztratit (v-w9918f5) - substituted with v-w9918f12_ZU</v>
      </c>
    </row>
    <row r="71620" customFormat="false" ht="12.8" hidden="false" customHeight="false" outlineLevel="0" collapsed="false">
      <c r="B71620" s="0" t="s">
        <v>7</v>
      </c>
    </row>
    <row r="71621" customFormat="false" ht="12.8" hidden="false" customHeight="false" outlineLevel="0" collapsed="false">
      <c r="B71621" s="0" t="s">
        <v>14</v>
      </c>
    </row>
    <row r="71622" customFormat="false" ht="12.8" hidden="false" customHeight="false" outlineLevel="0" collapsed="false">
      <c r="B71622" s="0" t="s">
        <v>24243</v>
      </c>
    </row>
    <row r="71624" customFormat="false" ht="12.8" hidden="false" customHeight="false" outlineLevel="0" collapsed="false">
      <c r="A71624" s="0" t="s">
        <v>24244</v>
      </c>
      <c r="B71624" s="0" t="str">
        <f aca="false">HYPERLINK("https://lindat.mff.cuni.cz/services/teitok/pdtc10/index.php?action=vallex&amp;frame=v-w9918f13_ZU", "ztratit (v-w9918f13_ZU)")</f>
        <v>ztratit (v-w9918f13_ZU)</v>
      </c>
    </row>
    <row r="71625" customFormat="false" ht="12.8" hidden="false" customHeight="false" outlineLevel="0" collapsed="false">
      <c r="B71625" s="0" t="s">
        <v>7</v>
      </c>
    </row>
    <row r="71626" customFormat="false" ht="12.8" hidden="false" customHeight="false" outlineLevel="0" collapsed="false">
      <c r="B71626" s="0" t="s">
        <v>14</v>
      </c>
    </row>
    <row r="71627" customFormat="false" ht="12.8" hidden="false" customHeight="false" outlineLevel="0" collapsed="false">
      <c r="B71627" s="0" t="s">
        <v>24245</v>
      </c>
    </row>
    <row r="71629" customFormat="false" ht="12.8" hidden="false" customHeight="false" outlineLevel="0" collapsed="false">
      <c r="A71629" s="0" t="s">
        <v>24244</v>
      </c>
      <c r="B71629" s="0" t="str">
        <f aca="false">HYPERLINK("https://lindat.mff.cuni.cz/services/teitok/pdtc10/index.php?action=vallex&amp;frame=v-w9918f7", "ztratit (v-w9918f7) - substituted with v-w9918f13_ZU")</f>
        <v>ztratit (v-w9918f7) - substituted with v-w9918f13_ZU</v>
      </c>
    </row>
    <row r="71630" customFormat="false" ht="12.8" hidden="false" customHeight="false" outlineLevel="0" collapsed="false">
      <c r="B71630" s="0" t="s">
        <v>7</v>
      </c>
    </row>
    <row r="71631" customFormat="false" ht="12.8" hidden="false" customHeight="false" outlineLevel="0" collapsed="false">
      <c r="B71631" s="0" t="s">
        <v>14</v>
      </c>
    </row>
    <row r="71632" customFormat="false" ht="12.8" hidden="false" customHeight="false" outlineLevel="0" collapsed="false">
      <c r="B71632" s="0" t="s">
        <v>24245</v>
      </c>
    </row>
    <row r="71634" customFormat="false" ht="12.8" hidden="false" customHeight="false" outlineLevel="0" collapsed="false">
      <c r="A71634" s="0" t="s">
        <v>24246</v>
      </c>
      <c r="B71634" s="0" t="str">
        <f aca="false">HYPERLINK("https://lindat.mff.cuni.cz/services/teitok/pdtc10/index.php?action=vallex&amp;frame=v-w9918f14_ZU", "ztratit (v-w9918f14_ZU)")</f>
        <v>ztratit (v-w9918f14_ZU)</v>
      </c>
    </row>
    <row r="71635" customFormat="false" ht="12.8" hidden="false" customHeight="false" outlineLevel="0" collapsed="false">
      <c r="B71635" s="0" t="s">
        <v>7</v>
      </c>
    </row>
    <row r="71636" customFormat="false" ht="12.8" hidden="false" customHeight="false" outlineLevel="0" collapsed="false">
      <c r="B71636" s="0" t="s">
        <v>14</v>
      </c>
    </row>
    <row r="71637" customFormat="false" ht="12.8" hidden="false" customHeight="false" outlineLevel="0" collapsed="false">
      <c r="B71637" s="0" t="s">
        <v>15426</v>
      </c>
    </row>
    <row r="71639" customFormat="false" ht="12.8" hidden="false" customHeight="false" outlineLevel="0" collapsed="false">
      <c r="A71639" s="0" t="s">
        <v>24246</v>
      </c>
      <c r="B71639" s="0" t="str">
        <f aca="false">HYPERLINK("https://lindat.mff.cuni.cz/services/teitok/pdtc10/index.php?action=vallex&amp;frame=v-w9918f6", "ztratit (v-w9918f6) - substituted with v-w9918f14_ZU")</f>
        <v>ztratit (v-w9918f6) - substituted with v-w9918f14_ZU</v>
      </c>
    </row>
    <row r="71640" customFormat="false" ht="12.8" hidden="false" customHeight="false" outlineLevel="0" collapsed="false">
      <c r="B71640" s="0" t="s">
        <v>7</v>
      </c>
    </row>
    <row r="71641" customFormat="false" ht="12.8" hidden="false" customHeight="false" outlineLevel="0" collapsed="false">
      <c r="B71641" s="0" t="s">
        <v>14</v>
      </c>
    </row>
    <row r="71642" customFormat="false" ht="12.8" hidden="false" customHeight="false" outlineLevel="0" collapsed="false">
      <c r="B71642" s="0" t="s">
        <v>15426</v>
      </c>
    </row>
    <row r="71644" customFormat="false" ht="12.8" hidden="false" customHeight="false" outlineLevel="0" collapsed="false">
      <c r="A71644" s="0" t="s">
        <v>24247</v>
      </c>
      <c r="B71644" s="0" t="str">
        <f aca="false">HYPERLINK("https://lindat.mff.cuni.cz/services/teitok/pdtc10/index.php?action=vallex&amp;frame=v-w9919f1", "ztratit se (v-w9919f1)")</f>
        <v>ztratit se (v-w9919f1)</v>
      </c>
    </row>
    <row r="71645" customFormat="false" ht="12.8" hidden="false" customHeight="false" outlineLevel="0" collapsed="false">
      <c r="B71645" s="0" t="s">
        <v>7</v>
      </c>
      <c r="C71645" s="0" t="s">
        <v>24248</v>
      </c>
    </row>
    <row r="71647" customFormat="false" ht="12.8" hidden="false" customHeight="false" outlineLevel="0" collapsed="false">
      <c r="A71647" s="0" t="s">
        <v>24249</v>
      </c>
      <c r="B71647" s="0" t="str">
        <f aca="false">HYPERLINK("https://lindat.mff.cuni.cz/services/teitok/pdtc10/index.php?action=vallex&amp;frame=v-w9919f2", "ztratit se (v-w9919f2)")</f>
        <v>ztratit se (v-w9919f2)</v>
      </c>
    </row>
    <row r="71648" customFormat="false" ht="12.8" hidden="false" customHeight="false" outlineLevel="0" collapsed="false">
      <c r="B71648" s="0" t="s">
        <v>7</v>
      </c>
    </row>
    <row r="71649" customFormat="false" ht="12.8" hidden="false" customHeight="false" outlineLevel="0" collapsed="false">
      <c r="B71649" s="0" t="s">
        <v>24243</v>
      </c>
    </row>
    <row r="71651" customFormat="false" ht="12.8" hidden="false" customHeight="false" outlineLevel="0" collapsed="false">
      <c r="A71651" s="0" t="s">
        <v>24250</v>
      </c>
      <c r="B71651" s="0" t="str">
        <f aca="false">HYPERLINK("https://lindat.mff.cuni.cz/services/teitok/pdtc10/index.php?action=vallex&amp;frame=v-whsa_851hsa_852", "ztrhat (v-whsa_851hsa_852)")</f>
        <v>ztrhat (v-whsa_851hsa_852)</v>
      </c>
    </row>
    <row r="71652" customFormat="false" ht="12.8" hidden="false" customHeight="false" outlineLevel="0" collapsed="false">
      <c r="B71652" s="0" t="s">
        <v>7</v>
      </c>
    </row>
    <row r="71653" customFormat="false" ht="12.8" hidden="false" customHeight="false" outlineLevel="0" collapsed="false">
      <c r="B71653" s="0" t="s">
        <v>14</v>
      </c>
    </row>
    <row r="71655" customFormat="false" ht="12.8" hidden="false" customHeight="false" outlineLevel="0" collapsed="false">
      <c r="A71655" s="0" t="s">
        <v>24251</v>
      </c>
      <c r="B71655" s="0" t="str">
        <f aca="false">HYPERLINK("https://lindat.mff.cuni.cz/services/teitok/pdtc10/index.php?action=vallex&amp;frame=v-w9921f1", "ztrojnásobit (v-w9921f1)")</f>
        <v>ztrojnásobit (v-w9921f1)</v>
      </c>
    </row>
    <row r="71656" customFormat="false" ht="12.8" hidden="false" customHeight="false" outlineLevel="0" collapsed="false">
      <c r="B71656" s="0" t="s">
        <v>7</v>
      </c>
      <c r="C71656" s="0" t="s">
        <v>10626</v>
      </c>
      <c r="D71656" s="0" t="s">
        <v>7524</v>
      </c>
      <c r="E71656" s="0" t="s">
        <v>7524</v>
      </c>
      <c r="F71656" s="0" t="s">
        <v>7524</v>
      </c>
    </row>
    <row r="71657" customFormat="false" ht="12.8" hidden="false" customHeight="false" outlineLevel="0" collapsed="false">
      <c r="B71657" s="0" t="s">
        <v>14</v>
      </c>
      <c r="C71657" s="0" t="s">
        <v>567</v>
      </c>
      <c r="D71657" s="0" t="s">
        <v>210</v>
      </c>
      <c r="E71657" s="0" t="s">
        <v>210</v>
      </c>
      <c r="F71657" s="0" t="s">
        <v>210</v>
      </c>
    </row>
    <row r="71658" customFormat="false" ht="12.8" hidden="false" customHeight="false" outlineLevel="0" collapsed="false">
      <c r="B71658" s="0" t="s">
        <v>35</v>
      </c>
      <c r="C71658" s="0" t="s">
        <v>11969</v>
      </c>
      <c r="D71658" s="0" t="s">
        <v>23398</v>
      </c>
      <c r="E71658" s="0" t="s">
        <v>23398</v>
      </c>
      <c r="F71658" s="0" t="s">
        <v>23398</v>
      </c>
    </row>
    <row r="71659" customFormat="false" ht="12.8" hidden="false" customHeight="false" outlineLevel="0" collapsed="false">
      <c r="B71659" s="0" t="s">
        <v>84</v>
      </c>
      <c r="C71659" s="0" t="s">
        <v>11007</v>
      </c>
      <c r="D71659" s="0" t="s">
        <v>23400</v>
      </c>
      <c r="E71659" s="0" t="s">
        <v>23400</v>
      </c>
      <c r="F71659" s="0" t="s">
        <v>23400</v>
      </c>
    </row>
    <row r="71661" customFormat="false" ht="12.8" hidden="false" customHeight="false" outlineLevel="0" collapsed="false">
      <c r="A71661" s="0" t="s">
        <v>24252</v>
      </c>
      <c r="B71661" s="0" t="str">
        <f aca="false">HYPERLINK("https://lindat.mff.cuni.cz/services/teitok/pdtc10/index.php?action=vallex&amp;frame=v-w9922f2_ZU", "ztrojnásobit se (v-w9922f2_ZU)")</f>
        <v>ztrojnásobit se (v-w9922f2_ZU)</v>
      </c>
    </row>
    <row r="71662" customFormat="false" ht="12.8" hidden="false" customHeight="false" outlineLevel="0" collapsed="false">
      <c r="B71662" s="0" t="s">
        <v>7</v>
      </c>
      <c r="C71662" s="0" t="s">
        <v>708</v>
      </c>
      <c r="D71662" s="0" t="s">
        <v>23402</v>
      </c>
      <c r="E71662" s="0" t="s">
        <v>23402</v>
      </c>
      <c r="F71662" s="0" t="s">
        <v>23402</v>
      </c>
    </row>
    <row r="71663" customFormat="false" ht="12.8" hidden="false" customHeight="false" outlineLevel="0" collapsed="false">
      <c r="B71663" s="0" t="s">
        <v>63</v>
      </c>
      <c r="C71663" s="0" t="s">
        <v>6245</v>
      </c>
      <c r="D71663" s="0" t="s">
        <v>23404</v>
      </c>
      <c r="E71663" s="0" t="s">
        <v>23404</v>
      </c>
      <c r="F71663" s="0" t="s">
        <v>23404</v>
      </c>
    </row>
    <row r="71664" customFormat="false" ht="12.8" hidden="false" customHeight="false" outlineLevel="0" collapsed="false">
      <c r="B71664" s="0" t="s">
        <v>35</v>
      </c>
      <c r="C71664" s="0" t="s">
        <v>11969</v>
      </c>
      <c r="D71664" s="0" t="s">
        <v>23398</v>
      </c>
      <c r="E71664" s="0" t="s">
        <v>23398</v>
      </c>
      <c r="F71664" s="0" t="s">
        <v>23398</v>
      </c>
    </row>
    <row r="71666" customFormat="false" ht="12.8" hidden="false" customHeight="false" outlineLevel="0" collapsed="false">
      <c r="A71666" s="0" t="s">
        <v>24252</v>
      </c>
      <c r="B71666" s="0" t="str">
        <f aca="false">HYPERLINK("https://lindat.mff.cuni.cz/services/teitok/pdtc10/index.php?action=vallex&amp;frame=v-w9922f1", "ztrojnásobit se (v-w9922f1) - substituted with v-w9922f2_ZU")</f>
        <v>ztrojnásobit se (v-w9922f1) - substituted with v-w9922f2_ZU</v>
      </c>
    </row>
    <row r="71667" customFormat="false" ht="12.8" hidden="false" customHeight="false" outlineLevel="0" collapsed="false">
      <c r="B71667" s="0" t="s">
        <v>7</v>
      </c>
      <c r="C71667" s="0" t="s">
        <v>708</v>
      </c>
    </row>
    <row r="71668" customFormat="false" ht="12.8" hidden="false" customHeight="false" outlineLevel="0" collapsed="false">
      <c r="B71668" s="0" t="s">
        <v>63</v>
      </c>
    </row>
    <row r="71669" customFormat="false" ht="12.8" hidden="false" customHeight="false" outlineLevel="0" collapsed="false">
      <c r="B71669" s="0" t="s">
        <v>35</v>
      </c>
    </row>
    <row r="71671" customFormat="false" ht="12.8" hidden="false" customHeight="false" outlineLevel="0" collapsed="false">
      <c r="A71671" s="0" t="s">
        <v>24253</v>
      </c>
      <c r="B71671" s="0" t="str">
        <f aca="false">HYPERLINK("https://lindat.mff.cuni.cz/services/teitok/pdtc10/index.php?action=vallex&amp;frame=v-w9924f1", "ztroskotat (v-w9924f1)")</f>
        <v>ztroskotat (v-w9924f1)</v>
      </c>
    </row>
    <row r="71672" customFormat="false" ht="12.8" hidden="false" customHeight="false" outlineLevel="0" collapsed="false">
      <c r="B71672" s="0" t="s">
        <v>7</v>
      </c>
      <c r="C71672" s="0" t="s">
        <v>13620</v>
      </c>
      <c r="D71672" s="0" t="s">
        <v>9560</v>
      </c>
      <c r="E71672" s="0" t="s">
        <v>9561</v>
      </c>
      <c r="F71672" s="0" t="s">
        <v>9561</v>
      </c>
    </row>
    <row r="71674" customFormat="false" ht="12.8" hidden="false" customHeight="false" outlineLevel="0" collapsed="false">
      <c r="A71674" s="0" t="s">
        <v>24254</v>
      </c>
      <c r="B71674" s="0" t="str">
        <f aca="false">HYPERLINK("https://lindat.mff.cuni.cz/services/teitok/pdtc10/index.php?action=vallex&amp;frame=v-w9924f2", "ztroskotat (v-w9924f2)")</f>
        <v>ztroskotat (v-w9924f2)</v>
      </c>
    </row>
    <row r="71675" customFormat="false" ht="12.8" hidden="false" customHeight="false" outlineLevel="0" collapsed="false">
      <c r="B71675" s="0" t="s">
        <v>7</v>
      </c>
    </row>
    <row r="71677" customFormat="false" ht="12.8" hidden="false" customHeight="false" outlineLevel="0" collapsed="false">
      <c r="A71677" s="0" t="s">
        <v>24255</v>
      </c>
      <c r="B71677" s="0" t="str">
        <f aca="false">HYPERLINK("https://lindat.mff.cuni.cz/services/teitok/pdtc10/index.php?action=vallex&amp;frame=v-w10632f2", "ztroskotávat (v-w10632f2)")</f>
        <v>ztroskotávat (v-w10632f2)</v>
      </c>
    </row>
    <row r="71678" customFormat="false" ht="12.8" hidden="false" customHeight="false" outlineLevel="0" collapsed="false">
      <c r="B71678" s="0" t="s">
        <v>7</v>
      </c>
      <c r="D71678" s="0" t="s">
        <v>1902</v>
      </c>
      <c r="E71678" s="0" t="s">
        <v>1902</v>
      </c>
      <c r="F71678" s="0" t="s">
        <v>1902</v>
      </c>
    </row>
    <row r="71680" customFormat="false" ht="12.8" hidden="false" customHeight="false" outlineLevel="0" collapsed="false">
      <c r="A71680" s="0" t="s">
        <v>24256</v>
      </c>
      <c r="B71680" s="0" t="str">
        <f aca="false">HYPERLINK("https://lindat.mff.cuni.cz/services/teitok/pdtc10/index.php?action=vallex&amp;frame=v-whsa_274hsa_275", "ztrpknout (v-whsa_274hsa_275)")</f>
        <v>ztrpknout (v-whsa_274hsa_275)</v>
      </c>
    </row>
    <row r="71681" customFormat="false" ht="12.8" hidden="false" customHeight="false" outlineLevel="0" collapsed="false">
      <c r="B71681" s="0" t="s">
        <v>7</v>
      </c>
    </row>
    <row r="71683" customFormat="false" ht="12.8" hidden="false" customHeight="false" outlineLevel="0" collapsed="false">
      <c r="A71683" s="0" t="s">
        <v>24257</v>
      </c>
      <c r="B71683" s="0" t="str">
        <f aca="false">HYPERLINK("https://lindat.mff.cuni.cz/services/teitok/pdtc10/index.php?action=vallex&amp;frame=v-w9925f1", "ztrpčovat (v-w9925f1)")</f>
        <v>ztrpčovat (v-w9925f1)</v>
      </c>
    </row>
    <row r="71684" customFormat="false" ht="12.8" hidden="false" customHeight="false" outlineLevel="0" collapsed="false">
      <c r="B71684" s="0" t="s">
        <v>7</v>
      </c>
    </row>
    <row r="71685" customFormat="false" ht="12.8" hidden="false" customHeight="false" outlineLevel="0" collapsed="false">
      <c r="B71685" s="0" t="s">
        <v>14</v>
      </c>
    </row>
    <row r="71687" customFormat="false" ht="12.8" hidden="false" customHeight="false" outlineLevel="0" collapsed="false">
      <c r="A71687" s="0" t="s">
        <v>24258</v>
      </c>
      <c r="B71687" s="0" t="str">
        <f aca="false">HYPERLINK("https://lindat.mff.cuni.cz/services/teitok/pdtc10/index.php?action=vallex&amp;frame=v-w9914f4", "ztrácet (v-w9914f4)")</f>
        <v>ztrácet (v-w9914f4)</v>
      </c>
    </row>
    <row r="71688" customFormat="false" ht="12.8" hidden="false" customHeight="false" outlineLevel="0" collapsed="false">
      <c r="B71688" s="0" t="s">
        <v>7</v>
      </c>
      <c r="C71688" s="0" t="s">
        <v>13490</v>
      </c>
      <c r="D71688" s="0" t="s">
        <v>113</v>
      </c>
      <c r="E71688" s="0" t="s">
        <v>113</v>
      </c>
      <c r="F71688" s="0" t="s">
        <v>113</v>
      </c>
    </row>
    <row r="71689" customFormat="false" ht="12.8" hidden="false" customHeight="false" outlineLevel="0" collapsed="false">
      <c r="B71689" s="0" t="s">
        <v>14</v>
      </c>
      <c r="C71689" s="0" t="s">
        <v>9030</v>
      </c>
      <c r="D71689" s="0" t="s">
        <v>1588</v>
      </c>
      <c r="E71689" s="0" t="s">
        <v>1588</v>
      </c>
      <c r="F71689" s="0" t="s">
        <v>1588</v>
      </c>
    </row>
    <row r="71690" customFormat="false" ht="12.8" hidden="false" customHeight="false" outlineLevel="0" collapsed="false">
      <c r="B71690" s="0" t="s">
        <v>586</v>
      </c>
    </row>
    <row r="71692" customFormat="false" ht="12.8" hidden="false" customHeight="false" outlineLevel="0" collapsed="false">
      <c r="A71692" s="0" t="s">
        <v>24259</v>
      </c>
      <c r="B71692" s="0" t="str">
        <f aca="false">HYPERLINK("https://lindat.mff.cuni.cz/services/teitok/pdtc10/index.php?action=vallex&amp;frame=v-w9914f1", "ztrácet (v-w9914f1)")</f>
        <v>ztrácet (v-w9914f1)</v>
      </c>
    </row>
    <row r="71693" customFormat="false" ht="12.8" hidden="false" customHeight="false" outlineLevel="0" collapsed="false">
      <c r="B71693" s="0" t="s">
        <v>7</v>
      </c>
      <c r="C71693" s="0" t="s">
        <v>24260</v>
      </c>
      <c r="D71693" s="0" t="s">
        <v>13490</v>
      </c>
      <c r="E71693" s="0" t="s">
        <v>13490</v>
      </c>
      <c r="F71693" s="0" t="s">
        <v>13490</v>
      </c>
    </row>
    <row r="71694" customFormat="false" ht="12.8" hidden="false" customHeight="false" outlineLevel="0" collapsed="false">
      <c r="B71694" s="0" t="s">
        <v>6288</v>
      </c>
      <c r="C71694" s="0" t="s">
        <v>24261</v>
      </c>
      <c r="D71694" s="0" t="s">
        <v>2892</v>
      </c>
      <c r="E71694" s="0" t="s">
        <v>2892</v>
      </c>
      <c r="F71694" s="0" t="s">
        <v>2892</v>
      </c>
    </row>
    <row r="71696" customFormat="false" ht="12.8" hidden="false" customHeight="false" outlineLevel="0" collapsed="false">
      <c r="A71696" s="0" t="s">
        <v>24262</v>
      </c>
      <c r="B71696" s="0" t="str">
        <f aca="false">HYPERLINK("https://lindat.mff.cuni.cz/services/teitok/pdtc10/index.php?action=vallex&amp;frame=v-w9914f2", "ztrácet (v-w9914f2)")</f>
        <v>ztrácet (v-w9914f2)</v>
      </c>
    </row>
    <row r="71697" customFormat="false" ht="12.8" hidden="false" customHeight="false" outlineLevel="0" collapsed="false">
      <c r="B71697" s="0" t="s">
        <v>7</v>
      </c>
      <c r="C71697" s="0" t="s">
        <v>24263</v>
      </c>
      <c r="D71697" s="0" t="s">
        <v>13490</v>
      </c>
      <c r="E71697" s="0" t="s">
        <v>13490</v>
      </c>
      <c r="F71697" s="0" t="s">
        <v>13490</v>
      </c>
    </row>
    <row r="71698" customFormat="false" ht="12.8" hidden="false" customHeight="false" outlineLevel="0" collapsed="false">
      <c r="B71698" s="0" t="s">
        <v>14</v>
      </c>
      <c r="C71698" s="0" t="s">
        <v>24264</v>
      </c>
      <c r="D71698" s="0" t="s">
        <v>2892</v>
      </c>
      <c r="E71698" s="0" t="s">
        <v>2892</v>
      </c>
      <c r="F71698" s="0" t="s">
        <v>2892</v>
      </c>
    </row>
    <row r="71700" customFormat="false" ht="12.8" hidden="false" customHeight="false" outlineLevel="0" collapsed="false">
      <c r="A71700" s="0" t="s">
        <v>24265</v>
      </c>
      <c r="B71700" s="0" t="str">
        <f aca="false">HYPERLINK("https://lindat.mff.cuni.cz/services/teitok/pdtc10/index.php?action=vallex&amp;frame=v-w9914f8", "ztrácet (v-w9914f8)")</f>
        <v>ztrácet (v-w9914f8)</v>
      </c>
    </row>
    <row r="71701" customFormat="false" ht="12.8" hidden="false" customHeight="false" outlineLevel="0" collapsed="false">
      <c r="B71701" s="0" t="s">
        <v>7</v>
      </c>
      <c r="D71701" s="0" t="s">
        <v>309</v>
      </c>
      <c r="E71701" s="0" t="s">
        <v>309</v>
      </c>
      <c r="F71701" s="0" t="s">
        <v>309</v>
      </c>
    </row>
    <row r="71702" customFormat="false" ht="12.8" hidden="false" customHeight="false" outlineLevel="0" collapsed="false">
      <c r="B71702" s="0" t="s">
        <v>14</v>
      </c>
      <c r="D71702" s="0" t="s">
        <v>11753</v>
      </c>
      <c r="E71702" s="0" t="s">
        <v>11753</v>
      </c>
      <c r="F71702" s="0" t="s">
        <v>11753</v>
      </c>
    </row>
    <row r="71704" customFormat="false" ht="12.8" hidden="false" customHeight="false" outlineLevel="0" collapsed="false">
      <c r="A71704" s="0" t="s">
        <v>24266</v>
      </c>
      <c r="B71704" s="0" t="str">
        <f aca="false">HYPERLINK("https://lindat.mff.cuni.cz/services/teitok/pdtc10/index.php?action=vallex&amp;frame=v-w9914f7", "ztrácet (v-w9914f7)")</f>
        <v>ztrácet (v-w9914f7)</v>
      </c>
    </row>
    <row r="71705" customFormat="false" ht="12.8" hidden="false" customHeight="false" outlineLevel="0" collapsed="false">
      <c r="B71705" s="0" t="s">
        <v>7</v>
      </c>
      <c r="D71705" s="0" t="s">
        <v>13490</v>
      </c>
      <c r="E71705" s="0" t="s">
        <v>13490</v>
      </c>
      <c r="F71705" s="0" t="s">
        <v>13490</v>
      </c>
    </row>
    <row r="71706" customFormat="false" ht="12.8" hidden="false" customHeight="false" outlineLevel="0" collapsed="false">
      <c r="B71706" s="0" t="s">
        <v>14</v>
      </c>
      <c r="D71706" s="0" t="s">
        <v>2892</v>
      </c>
      <c r="E71706" s="0" t="s">
        <v>2892</v>
      </c>
      <c r="F71706" s="0" t="s">
        <v>2892</v>
      </c>
    </row>
    <row r="71708" customFormat="false" ht="12.8" hidden="false" customHeight="false" outlineLevel="0" collapsed="false">
      <c r="A71708" s="0" t="s">
        <v>24267</v>
      </c>
      <c r="B71708" s="0" t="str">
        <f aca="false">HYPERLINK("https://lindat.mff.cuni.cz/services/teitok/pdtc10/index.php?action=vallex&amp;frame=v-w9914f11_ZU", "ztrácet (v-w9914f11_ZU)")</f>
        <v>ztrácet (v-w9914f11_ZU)</v>
      </c>
    </row>
    <row r="71709" customFormat="false" ht="12.8" hidden="false" customHeight="false" outlineLevel="0" collapsed="false">
      <c r="B71709" s="0" t="s">
        <v>7</v>
      </c>
      <c r="C71709" s="0" t="s">
        <v>13490</v>
      </c>
      <c r="D71709" s="0" t="s">
        <v>13490</v>
      </c>
      <c r="E71709" s="0" t="s">
        <v>13490</v>
      </c>
      <c r="F71709" s="0" t="s">
        <v>24268</v>
      </c>
    </row>
    <row r="71710" customFormat="false" ht="12.8" hidden="false" customHeight="false" outlineLevel="0" collapsed="false">
      <c r="B71710" s="0" t="s">
        <v>24269</v>
      </c>
      <c r="C71710" s="0" t="s">
        <v>24270</v>
      </c>
      <c r="D71710" s="0" t="s">
        <v>24270</v>
      </c>
      <c r="E71710" s="0" t="s">
        <v>24270</v>
      </c>
      <c r="F71710" s="0" t="s">
        <v>24270</v>
      </c>
    </row>
    <row r="71712" customFormat="false" ht="12.8" hidden="false" customHeight="false" outlineLevel="0" collapsed="false">
      <c r="A71712" s="0" t="s">
        <v>24267</v>
      </c>
      <c r="B71712" s="0" t="str">
        <f aca="false">HYPERLINK("https://lindat.mff.cuni.cz/services/teitok/pdtc10/index.php?action=vallex&amp;frame=v-w9914f3", "ztrácet (v-w9914f3) - substituted with v-w9914f11_ZU")</f>
        <v>ztrácet (v-w9914f3) - substituted with v-w9914f11_ZU</v>
      </c>
    </row>
    <row r="71713" customFormat="false" ht="12.8" hidden="false" customHeight="false" outlineLevel="0" collapsed="false">
      <c r="B71713" s="0" t="s">
        <v>7</v>
      </c>
    </row>
    <row r="71714" customFormat="false" ht="12.8" hidden="false" customHeight="false" outlineLevel="0" collapsed="false">
      <c r="B71714" s="0" t="s">
        <v>24269</v>
      </c>
    </row>
    <row r="71716" customFormat="false" ht="12.8" hidden="false" customHeight="false" outlineLevel="0" collapsed="false">
      <c r="A71716" s="0" t="s">
        <v>24267</v>
      </c>
      <c r="B71716" s="0" t="str">
        <f aca="false">HYPERLINK("https://lindat.mff.cuni.cz/services/teitok/pdtc10/index.php?action=vallex&amp;frame=v-w9914hsa_822", "ztrácet (v-w9914hsa_822) - substituted with v-w9914f11_ZU")</f>
        <v>ztrácet (v-w9914hsa_822) - substituted with v-w9914f11_ZU</v>
      </c>
    </row>
    <row r="71717" customFormat="false" ht="12.8" hidden="false" customHeight="false" outlineLevel="0" collapsed="false">
      <c r="B71717" s="0" t="s">
        <v>7</v>
      </c>
    </row>
    <row r="71718" customFormat="false" ht="12.8" hidden="false" customHeight="false" outlineLevel="0" collapsed="false">
      <c r="B71718" s="0" t="s">
        <v>24269</v>
      </c>
    </row>
    <row r="71720" customFormat="false" ht="12.8" hidden="false" customHeight="false" outlineLevel="0" collapsed="false">
      <c r="A71720" s="0" t="s">
        <v>24271</v>
      </c>
      <c r="B71720" s="0" t="str">
        <f aca="false">HYPERLINK("https://lindat.mff.cuni.cz/services/teitok/pdtc10/index.php?action=vallex&amp;frame=v-w9914f6", "ztrácet (v-w9914f6)")</f>
        <v>ztrácet (v-w9914f6)</v>
      </c>
    </row>
    <row r="71721" customFormat="false" ht="12.8" hidden="false" customHeight="false" outlineLevel="0" collapsed="false">
      <c r="B71721" s="0" t="s">
        <v>641</v>
      </c>
    </row>
    <row r="71722" customFormat="false" ht="12.8" hidden="false" customHeight="false" outlineLevel="0" collapsed="false">
      <c r="B71722" s="0" t="s">
        <v>15429</v>
      </c>
    </row>
    <row r="71723" customFormat="false" ht="12.8" hidden="false" customHeight="false" outlineLevel="0" collapsed="false">
      <c r="B71723" s="0" t="s">
        <v>54</v>
      </c>
    </row>
    <row r="71725" customFormat="false" ht="12.8" hidden="false" customHeight="false" outlineLevel="0" collapsed="false">
      <c r="A71725" s="0" t="s">
        <v>24272</v>
      </c>
      <c r="B71725" s="0" t="str">
        <f aca="false">HYPERLINK("https://lindat.mff.cuni.cz/services/teitok/pdtc10/index.php?action=vallex&amp;frame=v-w9914f5", "ztrácet (v-w9914f5)")</f>
        <v>ztrácet (v-w9914f5)</v>
      </c>
    </row>
    <row r="71726" customFormat="false" ht="12.8" hidden="false" customHeight="false" outlineLevel="0" collapsed="false">
      <c r="B71726" s="0" t="s">
        <v>7</v>
      </c>
    </row>
    <row r="71727" customFormat="false" ht="12.8" hidden="false" customHeight="false" outlineLevel="0" collapsed="false">
      <c r="B71727" s="0" t="s">
        <v>24243</v>
      </c>
    </row>
    <row r="71728" customFormat="false" ht="12.8" hidden="false" customHeight="false" outlineLevel="0" collapsed="false">
      <c r="B71728" s="0" t="s">
        <v>14</v>
      </c>
    </row>
    <row r="71730" customFormat="false" ht="12.8" hidden="false" customHeight="false" outlineLevel="0" collapsed="false">
      <c r="A71730" s="0" t="s">
        <v>24273</v>
      </c>
      <c r="B71730" s="0" t="str">
        <f aca="false">HYPERLINK("https://lindat.mff.cuni.cz/services/teitok/pdtc10/index.php?action=vallex&amp;frame=v-w9914f9_ZU", "ztrácet (v-w9914f9_ZU)")</f>
        <v>ztrácet (v-w9914f9_ZU)</v>
      </c>
    </row>
    <row r="71731" customFormat="false" ht="12.8" hidden="false" customHeight="false" outlineLevel="0" collapsed="false">
      <c r="B71731" s="0" t="s">
        <v>7</v>
      </c>
      <c r="C71731" s="0" t="s">
        <v>191</v>
      </c>
    </row>
    <row r="71732" customFormat="false" ht="12.8" hidden="false" customHeight="false" outlineLevel="0" collapsed="false">
      <c r="B71732" s="0" t="s">
        <v>10919</v>
      </c>
      <c r="C71732" s="0" t="s">
        <v>532</v>
      </c>
    </row>
    <row r="71734" customFormat="false" ht="12.8" hidden="false" customHeight="false" outlineLevel="0" collapsed="false">
      <c r="A71734" s="0" t="s">
        <v>24273</v>
      </c>
      <c r="B71734" s="0" t="str">
        <f aca="false">HYPERLINK("https://lindat.mff.cuni.cz/services/teitok/pdtc10/index.php?action=vallex&amp;frame=v-w9914hsa_823", "ztrácet (v-w9914hsa_823) - substituted with v-w9914f9_ZU")</f>
        <v>ztrácet (v-w9914hsa_823) - substituted with v-w9914f9_ZU</v>
      </c>
    </row>
    <row r="71735" customFormat="false" ht="12.8" hidden="false" customHeight="false" outlineLevel="0" collapsed="false">
      <c r="B71735" s="0" t="s">
        <v>7</v>
      </c>
    </row>
    <row r="71736" customFormat="false" ht="12.8" hidden="false" customHeight="false" outlineLevel="0" collapsed="false">
      <c r="B71736" s="0" t="s">
        <v>10919</v>
      </c>
    </row>
    <row r="71738" customFormat="false" ht="12.8" hidden="false" customHeight="false" outlineLevel="0" collapsed="false">
      <c r="A71738" s="0" t="s">
        <v>24274</v>
      </c>
      <c r="B71738" s="0" t="str">
        <f aca="false">HYPERLINK("https://lindat.mff.cuni.cz/services/teitok/pdtc10/index.php?action=vallex&amp;frame=v-w9914f10_ZU", "ztrácet (v-w9914f10_ZU)")</f>
        <v>ztrácet (v-w9914f10_ZU)</v>
      </c>
    </row>
    <row r="71739" customFormat="false" ht="12.8" hidden="false" customHeight="false" outlineLevel="0" collapsed="false">
      <c r="B71739" s="0" t="s">
        <v>7</v>
      </c>
    </row>
    <row r="71740" customFormat="false" ht="12.8" hidden="false" customHeight="false" outlineLevel="0" collapsed="false">
      <c r="B71740" s="0" t="s">
        <v>24275</v>
      </c>
    </row>
    <row r="71742" customFormat="false" ht="12.8" hidden="false" customHeight="false" outlineLevel="0" collapsed="false">
      <c r="A71742" s="0" t="s">
        <v>24274</v>
      </c>
      <c r="B71742" s="0" t="str">
        <f aca="false">HYPERLINK("https://lindat.mff.cuni.cz/services/teitok/pdtc10/index.php?action=vallex&amp;frame=v-w9914hsa_824", "ztrácet (v-w9914hsa_824) - substituted with v-w9914f10_ZU")</f>
        <v>ztrácet (v-w9914hsa_824) - substituted with v-w9914f10_ZU</v>
      </c>
    </row>
    <row r="71743" customFormat="false" ht="12.8" hidden="false" customHeight="false" outlineLevel="0" collapsed="false">
      <c r="B71743" s="0" t="s">
        <v>7</v>
      </c>
    </row>
    <row r="71744" customFormat="false" ht="12.8" hidden="false" customHeight="false" outlineLevel="0" collapsed="false">
      <c r="B71744" s="0" t="s">
        <v>24275</v>
      </c>
    </row>
    <row r="71746" customFormat="false" ht="12.8" hidden="false" customHeight="false" outlineLevel="0" collapsed="false">
      <c r="A71746" s="0" t="s">
        <v>24276</v>
      </c>
      <c r="B71746" s="0" t="str">
        <f aca="false">HYPERLINK("https://lindat.mff.cuni.cz/services/teitok/pdtc10/index.php?action=vallex&amp;frame=v-w9915f1", "ztrácet se (v-w9915f1)")</f>
        <v>ztrácet se (v-w9915f1)</v>
      </c>
    </row>
    <row r="71747" customFormat="false" ht="12.8" hidden="false" customHeight="false" outlineLevel="0" collapsed="false">
      <c r="B71747" s="0" t="s">
        <v>7</v>
      </c>
      <c r="C71747" s="0" t="s">
        <v>24277</v>
      </c>
    </row>
    <row r="71749" customFormat="false" ht="12.8" hidden="false" customHeight="false" outlineLevel="0" collapsed="false">
      <c r="A71749" s="0" t="s">
        <v>24278</v>
      </c>
      <c r="B71749" s="0" t="str">
        <f aca="false">HYPERLINK("https://lindat.mff.cuni.cz/services/teitok/pdtc10/index.php?action=vallex&amp;frame=v-w9926f1", "ztuhnout (v-w9926f1)")</f>
        <v>ztuhnout (v-w9926f1)</v>
      </c>
    </row>
    <row r="71750" customFormat="false" ht="12.8" hidden="false" customHeight="false" outlineLevel="0" collapsed="false">
      <c r="B71750" s="0" t="s">
        <v>7</v>
      </c>
      <c r="C71750" s="0" t="s">
        <v>335</v>
      </c>
    </row>
    <row r="71752" customFormat="false" ht="12.8" hidden="false" customHeight="false" outlineLevel="0" collapsed="false">
      <c r="A71752" s="0" t="s">
        <v>24279</v>
      </c>
      <c r="B71752" s="0" t="str">
        <f aca="false">HYPERLINK("https://lindat.mff.cuni.cz/services/teitok/pdtc10/index.php?action=vallex&amp;frame=v-w9926f2", "ztuhnout (v-w9926f2)")</f>
        <v>ztuhnout (v-w9926f2)</v>
      </c>
    </row>
    <row r="71753" customFormat="false" ht="12.8" hidden="false" customHeight="false" outlineLevel="0" collapsed="false">
      <c r="B71753" s="0" t="s">
        <v>7</v>
      </c>
    </row>
    <row r="71755" customFormat="false" ht="12.8" hidden="false" customHeight="false" outlineLevel="0" collapsed="false">
      <c r="A71755" s="0" t="s">
        <v>24280</v>
      </c>
      <c r="B71755" s="0" t="str">
        <f aca="false">HYPERLINK("https://lindat.mff.cuni.cz/services/teitok/pdtc10/index.php?action=vallex&amp;frame=v-w11408f1", "ztupit (v-w11408f1)")</f>
        <v>ztupit (v-w11408f1)</v>
      </c>
    </row>
    <row r="71756" customFormat="false" ht="12.8" hidden="false" customHeight="false" outlineLevel="0" collapsed="false">
      <c r="B71756" s="0" t="s">
        <v>7</v>
      </c>
    </row>
    <row r="71757" customFormat="false" ht="12.8" hidden="false" customHeight="false" outlineLevel="0" collapsed="false">
      <c r="B71757" s="0" t="s">
        <v>14</v>
      </c>
    </row>
    <row r="71759" customFormat="false" ht="12.8" hidden="false" customHeight="false" outlineLevel="0" collapsed="false">
      <c r="A71759" s="0" t="s">
        <v>24281</v>
      </c>
      <c r="B71759" s="0" t="str">
        <f aca="false">HYPERLINK("https://lindat.mff.cuni.cz/services/teitok/pdtc10/index.php?action=vallex&amp;frame=v-w9929f1", "ztvrdit (v-w9929f1)")</f>
        <v>ztvrdit (v-w9929f1)</v>
      </c>
    </row>
    <row r="71760" customFormat="false" ht="12.8" hidden="false" customHeight="false" outlineLevel="0" collapsed="false">
      <c r="B71760" s="0" t="s">
        <v>7</v>
      </c>
    </row>
    <row r="71761" customFormat="false" ht="12.8" hidden="false" customHeight="false" outlineLevel="0" collapsed="false">
      <c r="B71761" s="0" t="s">
        <v>14</v>
      </c>
    </row>
    <row r="71763" customFormat="false" ht="12.8" hidden="false" customHeight="false" outlineLevel="0" collapsed="false">
      <c r="A71763" s="0" t="s">
        <v>24282</v>
      </c>
      <c r="B71763" s="0" t="str">
        <f aca="false">HYPERLINK("https://lindat.mff.cuni.cz/services/teitok/pdtc10/index.php?action=vallex&amp;frame=v-w9928f1", "ztvárnit (v-w9928f1)")</f>
        <v>ztvárnit (v-w9928f1)</v>
      </c>
    </row>
    <row r="71764" customFormat="false" ht="12.8" hidden="false" customHeight="false" outlineLevel="0" collapsed="false">
      <c r="B71764" s="0" t="s">
        <v>7</v>
      </c>
    </row>
    <row r="71765" customFormat="false" ht="12.8" hidden="false" customHeight="false" outlineLevel="0" collapsed="false">
      <c r="B71765" s="0" t="s">
        <v>14</v>
      </c>
    </row>
    <row r="71767" customFormat="false" ht="12.8" hidden="false" customHeight="false" outlineLevel="0" collapsed="false">
      <c r="A71767" s="0" t="s">
        <v>24283</v>
      </c>
      <c r="B71767" s="0" t="str">
        <f aca="false">HYPERLINK("https://lindat.mff.cuni.cz/services/teitok/pdtc10/index.php?action=vallex&amp;frame=v-whsa_296hsa_297", "ztvárňovat (v-whsa_296hsa_297)")</f>
        <v>ztvárňovat (v-whsa_296hsa_297)</v>
      </c>
    </row>
    <row r="71768" customFormat="false" ht="12.8" hidden="false" customHeight="false" outlineLevel="0" collapsed="false">
      <c r="B71768" s="0" t="s">
        <v>7</v>
      </c>
    </row>
    <row r="71769" customFormat="false" ht="12.8" hidden="false" customHeight="false" outlineLevel="0" collapsed="false">
      <c r="B71769" s="0" t="s">
        <v>14</v>
      </c>
    </row>
    <row r="71771" customFormat="false" ht="12.8" hidden="false" customHeight="false" outlineLevel="0" collapsed="false">
      <c r="A71771" s="0" t="s">
        <v>24284</v>
      </c>
      <c r="B71771" s="0" t="str">
        <f aca="false">HYPERLINK("https://lindat.mff.cuni.cz/services/teitok/pdtc10/index.php?action=vallex&amp;frame=v-w9906f1", "ztížit (v-w9906f1)")</f>
        <v>ztížit (v-w9906f1)</v>
      </c>
    </row>
    <row r="71772" customFormat="false" ht="12.8" hidden="false" customHeight="false" outlineLevel="0" collapsed="false">
      <c r="B71772" s="0" t="s">
        <v>7</v>
      </c>
      <c r="C71772" s="0" t="s">
        <v>3293</v>
      </c>
      <c r="D71772" s="0" t="s">
        <v>2012</v>
      </c>
      <c r="E71772" s="0" t="s">
        <v>2012</v>
      </c>
      <c r="F71772" s="0" t="s">
        <v>2012</v>
      </c>
    </row>
    <row r="71773" customFormat="false" ht="12.8" hidden="false" customHeight="false" outlineLevel="0" collapsed="false">
      <c r="B71773" s="0" t="s">
        <v>14</v>
      </c>
      <c r="C71773" s="0" t="s">
        <v>3295</v>
      </c>
      <c r="D71773" s="0" t="s">
        <v>11703</v>
      </c>
      <c r="E71773" s="0" t="s">
        <v>11703</v>
      </c>
      <c r="F71773" s="0" t="s">
        <v>11703</v>
      </c>
    </row>
    <row r="71775" customFormat="false" ht="12.8" hidden="false" customHeight="false" outlineLevel="0" collapsed="false">
      <c r="A71775" s="0" t="s">
        <v>24285</v>
      </c>
      <c r="B71775" s="0" t="str">
        <f aca="false">HYPERLINK("https://lindat.mff.cuni.cz/services/teitok/pdtc10/index.php?action=vallex&amp;frame=v-w9900f1", "ztělesnit (v-w9900f1)")</f>
        <v>ztělesnit (v-w9900f1)</v>
      </c>
    </row>
    <row r="71776" customFormat="false" ht="12.8" hidden="false" customHeight="false" outlineLevel="0" collapsed="false">
      <c r="B71776" s="0" t="s">
        <v>7</v>
      </c>
      <c r="C71776" s="0" t="s">
        <v>1580</v>
      </c>
      <c r="D71776" s="0" t="s">
        <v>1580</v>
      </c>
      <c r="E71776" s="0" t="s">
        <v>1580</v>
      </c>
      <c r="F71776" s="0" t="s">
        <v>1580</v>
      </c>
    </row>
    <row r="71777" customFormat="false" ht="12.8" hidden="false" customHeight="false" outlineLevel="0" collapsed="false">
      <c r="B71777" s="0" t="s">
        <v>14</v>
      </c>
      <c r="C71777" s="0" t="s">
        <v>384</v>
      </c>
      <c r="D71777" s="0" t="s">
        <v>384</v>
      </c>
      <c r="E71777" s="0" t="s">
        <v>384</v>
      </c>
      <c r="F71777" s="0" t="s">
        <v>384</v>
      </c>
    </row>
    <row r="71779" customFormat="false" ht="12.8" hidden="false" customHeight="false" outlineLevel="0" collapsed="false">
      <c r="A71779" s="0" t="s">
        <v>24286</v>
      </c>
      <c r="B71779" s="0" t="str">
        <f aca="false">HYPERLINK("https://lindat.mff.cuni.cz/services/teitok/pdtc10/index.php?action=vallex&amp;frame=v-w9902f1", "ztělesňovat (v-w9902f1)")</f>
        <v>ztělesňovat (v-w9902f1)</v>
      </c>
    </row>
    <row r="71780" customFormat="false" ht="12.8" hidden="false" customHeight="false" outlineLevel="0" collapsed="false">
      <c r="B71780" s="0" t="s">
        <v>7</v>
      </c>
      <c r="C71780" s="0" t="s">
        <v>3741</v>
      </c>
      <c r="D71780" s="0" t="s">
        <v>1580</v>
      </c>
      <c r="E71780" s="0" t="s">
        <v>1580</v>
      </c>
      <c r="F71780" s="0" t="s">
        <v>1580</v>
      </c>
    </row>
    <row r="71781" customFormat="false" ht="12.8" hidden="false" customHeight="false" outlineLevel="0" collapsed="false">
      <c r="B71781" s="0" t="s">
        <v>14</v>
      </c>
      <c r="C71781" s="0" t="s">
        <v>1170</v>
      </c>
      <c r="D71781" s="0" t="s">
        <v>384</v>
      </c>
      <c r="E71781" s="0" t="s">
        <v>384</v>
      </c>
      <c r="F71781" s="0" t="s">
        <v>384</v>
      </c>
    </row>
    <row r="71783" customFormat="false" ht="12.8" hidden="false" customHeight="false" outlineLevel="0" collapsed="false">
      <c r="A71783" s="0" t="s">
        <v>24287</v>
      </c>
      <c r="B71783" s="0" t="str">
        <f aca="false">HYPERLINK("https://lindat.mff.cuni.cz/services/teitok/pdtc10/index.php?action=vallex&amp;frame=v-w9904hsa_1001", "ztěžovat (v-w9904hsa_1001)")</f>
        <v>ztěžovat (v-w9904hsa_1001)</v>
      </c>
    </row>
    <row r="71784" customFormat="false" ht="12.8" hidden="false" customHeight="false" outlineLevel="0" collapsed="false">
      <c r="B71784" s="0" t="s">
        <v>7</v>
      </c>
    </row>
    <row r="71785" customFormat="false" ht="12.8" hidden="false" customHeight="false" outlineLevel="0" collapsed="false">
      <c r="B71785" s="0" t="s">
        <v>1394</v>
      </c>
    </row>
    <row r="71787" customFormat="false" ht="12.8" hidden="false" customHeight="false" outlineLevel="0" collapsed="false">
      <c r="A71787" s="0" t="s">
        <v>24287</v>
      </c>
      <c r="B71787" s="0" t="str">
        <f aca="false">HYPERLINK("https://lindat.mff.cuni.cz/services/teitok/pdtc10/index.php?action=vallex&amp;frame=v-w9904f1", "ztěžovat (v-w9904f1) - substituted with v-w9904hsa_1001")</f>
        <v>ztěžovat (v-w9904f1) - substituted with v-w9904hsa_1001</v>
      </c>
    </row>
    <row r="71788" customFormat="false" ht="12.8" hidden="false" customHeight="false" outlineLevel="0" collapsed="false">
      <c r="B71788" s="0" t="s">
        <v>7</v>
      </c>
      <c r="C71788" s="0" t="s">
        <v>21130</v>
      </c>
    </row>
    <row r="71789" customFormat="false" ht="12.8" hidden="false" customHeight="false" outlineLevel="0" collapsed="false">
      <c r="B71789" s="0" t="s">
        <v>1394</v>
      </c>
      <c r="C71789" s="0" t="s">
        <v>24288</v>
      </c>
    </row>
    <row r="71791" customFormat="false" ht="12.8" hidden="false" customHeight="false" outlineLevel="0" collapsed="false">
      <c r="A71791" s="0" t="s">
        <v>24289</v>
      </c>
      <c r="B71791" s="0" t="str">
        <f aca="false">HYPERLINK("https://lindat.mff.cuni.cz/services/teitok/pdtc10/index.php?action=vallex&amp;frame=v-whsa_743hsa_744", "ztřískat (v-whsa_743hsa_744)")</f>
        <v>ztřískat (v-whsa_743hsa_744)</v>
      </c>
    </row>
    <row r="71792" customFormat="false" ht="12.8" hidden="false" customHeight="false" outlineLevel="0" collapsed="false">
      <c r="B71792" s="0" t="s">
        <v>7</v>
      </c>
    </row>
    <row r="71793" customFormat="false" ht="12.8" hidden="false" customHeight="false" outlineLevel="0" collapsed="false">
      <c r="B71793" s="0" t="s">
        <v>14</v>
      </c>
    </row>
    <row r="71795" customFormat="false" ht="12.8" hidden="false" customHeight="false" outlineLevel="0" collapsed="false">
      <c r="A71795" s="0" t="s">
        <v>24290</v>
      </c>
      <c r="B71795" s="0" t="str">
        <f aca="false">HYPERLINK("https://lindat.mff.cuni.cz/services/teitok/pdtc10/index.php?action=vallex&amp;frame=v-w9937f3_ZU", "zuřit (v-w9937f3_ZU)")</f>
        <v>zuřit (v-w9937f3_ZU)</v>
      </c>
    </row>
    <row r="71796" customFormat="false" ht="12.8" hidden="false" customHeight="false" outlineLevel="0" collapsed="false">
      <c r="B71796" s="0" t="s">
        <v>7</v>
      </c>
    </row>
    <row r="71797" customFormat="false" ht="12.8" hidden="false" customHeight="false" outlineLevel="0" collapsed="false">
      <c r="B71797" s="0" t="s">
        <v>600</v>
      </c>
    </row>
    <row r="71799" customFormat="false" ht="12.8" hidden="false" customHeight="false" outlineLevel="0" collapsed="false">
      <c r="A71799" s="0" t="s">
        <v>24290</v>
      </c>
      <c r="B71799" s="0" t="str">
        <f aca="false">HYPERLINK("https://lindat.mff.cuni.cz/services/teitok/pdtc10/index.php?action=vallex&amp;frame=v-w9937f2", "zuřit (v-w9937f2) - substituted with v-w9937f3_ZU")</f>
        <v>zuřit (v-w9937f2) - substituted with v-w9937f3_ZU</v>
      </c>
    </row>
    <row r="71800" customFormat="false" ht="12.8" hidden="false" customHeight="false" outlineLevel="0" collapsed="false">
      <c r="B71800" s="0" t="s">
        <v>7</v>
      </c>
    </row>
    <row r="71801" customFormat="false" ht="12.8" hidden="false" customHeight="false" outlineLevel="0" collapsed="false">
      <c r="B71801" s="0" t="s">
        <v>600</v>
      </c>
    </row>
    <row r="71803" customFormat="false" ht="12.8" hidden="false" customHeight="false" outlineLevel="0" collapsed="false">
      <c r="A71803" s="0" t="s">
        <v>24291</v>
      </c>
      <c r="B71803" s="0" t="str">
        <f aca="false">HYPERLINK("https://lindat.mff.cuni.cz/services/teitok/pdtc10/index.php?action=vallex&amp;frame=v-w9937f1", "zuřit (v-w9937f1)")</f>
        <v>zuřit (v-w9937f1)</v>
      </c>
    </row>
    <row r="71804" customFormat="false" ht="12.8" hidden="false" customHeight="false" outlineLevel="0" collapsed="false">
      <c r="B71804" s="0" t="s">
        <v>7</v>
      </c>
    </row>
    <row r="71806" customFormat="false" ht="12.8" hidden="false" customHeight="false" outlineLevel="0" collapsed="false">
      <c r="A71806" s="0" t="s">
        <v>24292</v>
      </c>
      <c r="B71806" s="0" t="str">
        <f aca="false">HYPERLINK("https://lindat.mff.cuni.cz/services/teitok/pdtc10/index.php?action=vallex&amp;frame=v-whsa_1167f1_ZU", "zušlechtit (v-whsa_1167f1_ZU)")</f>
        <v>zušlechtit (v-whsa_1167f1_ZU)</v>
      </c>
    </row>
    <row r="71807" customFormat="false" ht="12.8" hidden="false" customHeight="false" outlineLevel="0" collapsed="false">
      <c r="B71807" s="0" t="s">
        <v>7</v>
      </c>
    </row>
    <row r="71808" customFormat="false" ht="12.8" hidden="false" customHeight="false" outlineLevel="0" collapsed="false">
      <c r="B71808" s="0" t="s">
        <v>14</v>
      </c>
    </row>
    <row r="71810" customFormat="false" ht="12.8" hidden="false" customHeight="false" outlineLevel="0" collapsed="false">
      <c r="A71810" s="0" t="s">
        <v>24292</v>
      </c>
      <c r="B71810" s="0" t="str">
        <f aca="false">HYPERLINK("https://lindat.mff.cuni.cz/services/teitok/pdtc10/index.php?action=vallex&amp;frame=v-whsa_1167hsa_1168", "zušlechtit (v-whsa_1167hsa_1168) - substituted with v-whsa_1167f1_ZU")</f>
        <v>zušlechtit (v-whsa_1167hsa_1168) - substituted with v-whsa_1167f1_ZU</v>
      </c>
    </row>
    <row r="71811" customFormat="false" ht="12.8" hidden="false" customHeight="false" outlineLevel="0" collapsed="false">
      <c r="B71811" s="0" t="s">
        <v>7</v>
      </c>
    </row>
    <row r="71812" customFormat="false" ht="12.8" hidden="false" customHeight="false" outlineLevel="0" collapsed="false">
      <c r="B71812" s="0" t="s">
        <v>14</v>
      </c>
    </row>
    <row r="71814" customFormat="false" ht="12.8" hidden="false" customHeight="false" outlineLevel="0" collapsed="false">
      <c r="A71814" s="0" t="s">
        <v>24293</v>
      </c>
      <c r="B71814" s="0" t="str">
        <f aca="false">HYPERLINK("https://lindat.mff.cuni.cz/services/teitok/pdtc10/index.php?action=vallex&amp;frame=v-w9944f1", "zužitkovat (v-w9944f1)")</f>
        <v>zužitkovat (v-w9944f1)</v>
      </c>
    </row>
    <row r="71815" customFormat="false" ht="12.8" hidden="false" customHeight="false" outlineLevel="0" collapsed="false">
      <c r="B71815" s="0" t="s">
        <v>7</v>
      </c>
    </row>
    <row r="71816" customFormat="false" ht="12.8" hidden="false" customHeight="false" outlineLevel="0" collapsed="false">
      <c r="B71816" s="0" t="s">
        <v>14</v>
      </c>
    </row>
    <row r="71818" customFormat="false" ht="12.8" hidden="false" customHeight="false" outlineLevel="0" collapsed="false">
      <c r="A71818" s="0" t="s">
        <v>24294</v>
      </c>
      <c r="B71818" s="0" t="str">
        <f aca="false">HYPERLINK("https://lindat.mff.cuni.cz/services/teitok/pdtc10/index.php?action=vallex&amp;frame=v-w10184f2", "zužovat (v-w10184f2)")</f>
        <v>zužovat (v-w10184f2)</v>
      </c>
    </row>
    <row r="71819" customFormat="false" ht="12.8" hidden="false" customHeight="false" outlineLevel="0" collapsed="false">
      <c r="B71819" s="0" t="s">
        <v>7</v>
      </c>
    </row>
    <row r="71820" customFormat="false" ht="12.8" hidden="false" customHeight="false" outlineLevel="0" collapsed="false">
      <c r="B71820" s="0" t="s">
        <v>14</v>
      </c>
    </row>
    <row r="71821" customFormat="false" ht="12.8" hidden="false" customHeight="false" outlineLevel="0" collapsed="false">
      <c r="B71821" s="0" t="s">
        <v>35</v>
      </c>
    </row>
    <row r="71822" customFormat="false" ht="12.8" hidden="false" customHeight="false" outlineLevel="0" collapsed="false">
      <c r="B71822" s="0" t="s">
        <v>84</v>
      </c>
    </row>
    <row r="71824" customFormat="false" ht="12.8" hidden="false" customHeight="false" outlineLevel="0" collapsed="false">
      <c r="A71824" s="0" t="s">
        <v>24295</v>
      </c>
      <c r="B71824" s="0" t="str">
        <f aca="false">HYPERLINK("https://lindat.mff.cuni.cz/services/teitok/pdtc10/index.php?action=vallex&amp;frame=v-w10184f4", "zužovat (v-w10184f4)")</f>
        <v>zužovat (v-w10184f4)</v>
      </c>
    </row>
    <row r="71825" customFormat="false" ht="12.8" hidden="false" customHeight="false" outlineLevel="0" collapsed="false">
      <c r="B71825" s="0" t="s">
        <v>7</v>
      </c>
    </row>
    <row r="71826" customFormat="false" ht="12.8" hidden="false" customHeight="false" outlineLevel="0" collapsed="false">
      <c r="B71826" s="0" t="s">
        <v>14</v>
      </c>
    </row>
    <row r="71827" customFormat="false" ht="12.8" hidden="false" customHeight="false" outlineLevel="0" collapsed="false">
      <c r="B71827" s="0" t="s">
        <v>84</v>
      </c>
    </row>
    <row r="71829" customFormat="false" ht="12.8" hidden="false" customHeight="false" outlineLevel="0" collapsed="false">
      <c r="A71829" s="0" t="s">
        <v>24296</v>
      </c>
      <c r="B71829" s="0" t="str">
        <f aca="false">HYPERLINK("https://lindat.mff.cuni.cz/services/teitok/pdtc10/index.php?action=vallex&amp;frame=v-w11258f2", "zužovat se (v-w11258f2)")</f>
        <v>zužovat se (v-w11258f2)</v>
      </c>
    </row>
    <row r="71830" customFormat="false" ht="12.8" hidden="false" customHeight="false" outlineLevel="0" collapsed="false">
      <c r="B71830" s="0" t="s">
        <v>7</v>
      </c>
      <c r="C71830" s="0" t="s">
        <v>15242</v>
      </c>
      <c r="D71830" s="0" t="s">
        <v>9114</v>
      </c>
      <c r="E71830" s="0" t="s">
        <v>9114</v>
      </c>
      <c r="F71830" s="0" t="s">
        <v>9114</v>
      </c>
    </row>
    <row r="71831" customFormat="false" ht="12.8" hidden="false" customHeight="false" outlineLevel="0" collapsed="false">
      <c r="B71831" s="0" t="s">
        <v>63</v>
      </c>
      <c r="C71831" s="0" t="s">
        <v>24297</v>
      </c>
      <c r="D71831" s="0" t="s">
        <v>9116</v>
      </c>
      <c r="E71831" s="0" t="s">
        <v>9116</v>
      </c>
      <c r="F71831" s="0" t="s">
        <v>9116</v>
      </c>
    </row>
    <row r="71832" customFormat="false" ht="12.8" hidden="false" customHeight="false" outlineLevel="0" collapsed="false">
      <c r="B71832" s="0" t="s">
        <v>35</v>
      </c>
      <c r="C71832" s="0" t="s">
        <v>24298</v>
      </c>
      <c r="D71832" s="0" t="s">
        <v>9118</v>
      </c>
      <c r="E71832" s="0" t="s">
        <v>9118</v>
      </c>
      <c r="F71832" s="0" t="s">
        <v>9118</v>
      </c>
    </row>
    <row r="71834" customFormat="false" ht="12.8" hidden="false" customHeight="false" outlineLevel="0" collapsed="false">
      <c r="A71834" s="0" t="s">
        <v>24299</v>
      </c>
      <c r="B71834" s="0" t="str">
        <f aca="false">HYPERLINK("https://lindat.mff.cuni.cz/services/teitok/pdtc10/index.php?action=vallex&amp;frame=v-w11258f3", "zužovat se (v-w11258f3)")</f>
        <v>zužovat se (v-w11258f3)</v>
      </c>
    </row>
    <row r="71835" customFormat="false" ht="12.8" hidden="false" customHeight="false" outlineLevel="0" collapsed="false">
      <c r="B71835" s="0" t="s">
        <v>7</v>
      </c>
      <c r="C71835" s="0" t="s">
        <v>1558</v>
      </c>
    </row>
    <row r="71836" customFormat="false" ht="12.8" hidden="false" customHeight="false" outlineLevel="0" collapsed="false">
      <c r="B71836" s="0" t="s">
        <v>63</v>
      </c>
      <c r="C71836" s="0" t="s">
        <v>24300</v>
      </c>
    </row>
    <row r="71837" customFormat="false" ht="12.8" hidden="false" customHeight="false" outlineLevel="0" collapsed="false">
      <c r="B71837" s="0" t="s">
        <v>35</v>
      </c>
      <c r="C71837" s="0" t="s">
        <v>11969</v>
      </c>
    </row>
    <row r="71839" customFormat="false" ht="12.8" hidden="false" customHeight="false" outlineLevel="0" collapsed="false">
      <c r="A71839" s="0" t="s">
        <v>24301</v>
      </c>
      <c r="B71839" s="0" t="str">
        <f aca="false">HYPERLINK("https://lindat.mff.cuni.cz/services/teitok/pdtc10/index.php?action=vallex&amp;frame=v-w9946f1", "zvadnout (v-w9946f1)")</f>
        <v>zvadnout (v-w9946f1)</v>
      </c>
    </row>
    <row r="71840" customFormat="false" ht="12.8" hidden="false" customHeight="false" outlineLevel="0" collapsed="false">
      <c r="B71840" s="0" t="s">
        <v>7</v>
      </c>
    </row>
    <row r="71842" customFormat="false" ht="12.8" hidden="false" customHeight="false" outlineLevel="0" collapsed="false">
      <c r="A71842" s="0" t="s">
        <v>24302</v>
      </c>
      <c r="B71842" s="0" t="str">
        <f aca="false">HYPERLINK("https://lindat.mff.cuni.cz/services/teitok/pdtc10/index.php?action=vallex&amp;frame=v-w9946f2", "zvadnout (v-w9946f2)")</f>
        <v>zvadnout (v-w9946f2)</v>
      </c>
    </row>
    <row r="71843" customFormat="false" ht="12.8" hidden="false" customHeight="false" outlineLevel="0" collapsed="false">
      <c r="B71843" s="0" t="s">
        <v>7</v>
      </c>
    </row>
    <row r="71845" customFormat="false" ht="12.8" hidden="false" customHeight="false" outlineLevel="0" collapsed="false">
      <c r="A71845" s="0" t="s">
        <v>24303</v>
      </c>
      <c r="B71845" s="0" t="str">
        <f aca="false">HYPERLINK("https://lindat.mff.cuni.cz/services/teitok/pdtc10/index.php?action=vallex&amp;frame=v-w9950f2", "zvažovat (v-w9950f2)")</f>
        <v>zvažovat (v-w9950f2)</v>
      </c>
    </row>
    <row r="71846" customFormat="false" ht="12.8" hidden="false" customHeight="false" outlineLevel="0" collapsed="false">
      <c r="B71846" s="0" t="s">
        <v>7</v>
      </c>
    </row>
    <row r="71847" customFormat="false" ht="12.8" hidden="false" customHeight="false" outlineLevel="0" collapsed="false">
      <c r="B71847" s="0" t="s">
        <v>41</v>
      </c>
    </row>
    <row r="71848" customFormat="false" ht="12.8" hidden="false" customHeight="false" outlineLevel="0" collapsed="false">
      <c r="B71848" s="0" t="s">
        <v>24304</v>
      </c>
    </row>
    <row r="71850" customFormat="false" ht="12.8" hidden="false" customHeight="false" outlineLevel="0" collapsed="false">
      <c r="A71850" s="0" t="s">
        <v>24305</v>
      </c>
      <c r="B71850" s="0" t="str">
        <f aca="false">HYPERLINK("https://lindat.mff.cuni.cz/services/teitok/pdtc10/index.php?action=vallex&amp;frame=v-w9950f3_ZU", "zvažovat (v-w9950f3_ZU)")</f>
        <v>zvažovat (v-w9950f3_ZU)</v>
      </c>
    </row>
    <row r="71851" customFormat="false" ht="12.8" hidden="false" customHeight="false" outlineLevel="0" collapsed="false">
      <c r="B71851" s="0" t="s">
        <v>7</v>
      </c>
      <c r="C71851" s="0" t="s">
        <v>411</v>
      </c>
      <c r="D71851" s="0" t="s">
        <v>515</v>
      </c>
      <c r="E71851" s="0" t="s">
        <v>515</v>
      </c>
      <c r="F71851" s="0" t="s">
        <v>515</v>
      </c>
    </row>
    <row r="71852" customFormat="false" ht="12.8" hidden="false" customHeight="false" outlineLevel="0" collapsed="false">
      <c r="B71852" s="0" t="s">
        <v>14912</v>
      </c>
      <c r="C71852" s="0" t="s">
        <v>59</v>
      </c>
      <c r="D71852" s="0" t="s">
        <v>519</v>
      </c>
      <c r="E71852" s="0" t="s">
        <v>519</v>
      </c>
      <c r="F71852" s="0" t="s">
        <v>519</v>
      </c>
    </row>
    <row r="71854" customFormat="false" ht="12.8" hidden="false" customHeight="false" outlineLevel="0" collapsed="false">
      <c r="A71854" s="0" t="s">
        <v>24305</v>
      </c>
      <c r="B71854" s="0" t="str">
        <f aca="false">HYPERLINK("https://lindat.mff.cuni.cz/services/teitok/pdtc10/index.php?action=vallex&amp;frame=v-w9950f1", "zvažovat (v-w9950f1) - substituted with v-w9950f3_ZU")</f>
        <v>zvažovat (v-w9950f1) - substituted with v-w9950f3_ZU</v>
      </c>
    </row>
    <row r="71855" customFormat="false" ht="12.8" hidden="false" customHeight="false" outlineLevel="0" collapsed="false">
      <c r="B71855" s="0" t="s">
        <v>7</v>
      </c>
      <c r="C71855" s="0" t="s">
        <v>24306</v>
      </c>
    </row>
    <row r="71856" customFormat="false" ht="12.8" hidden="false" customHeight="false" outlineLevel="0" collapsed="false">
      <c r="B71856" s="0" t="s">
        <v>14912</v>
      </c>
      <c r="C71856" s="0" t="s">
        <v>24307</v>
      </c>
    </row>
    <row r="71858" customFormat="false" ht="12.8" hidden="false" customHeight="false" outlineLevel="0" collapsed="false">
      <c r="A71858" s="0" t="s">
        <v>24308</v>
      </c>
      <c r="B71858" s="0" t="str">
        <f aca="false">HYPERLINK("https://lindat.mff.cuni.cz/services/teitok/pdtc10/index.php?action=vallex&amp;frame=v-w9952f2_ZU", "zvedat (v-w9952f2_ZU)")</f>
        <v>zvedat (v-w9952f2_ZU)</v>
      </c>
    </row>
    <row r="71859" customFormat="false" ht="12.8" hidden="false" customHeight="false" outlineLevel="0" collapsed="false">
      <c r="B71859" s="0" t="s">
        <v>7</v>
      </c>
      <c r="C71859" s="0" t="s">
        <v>19065</v>
      </c>
      <c r="D71859" s="0" t="s">
        <v>6436</v>
      </c>
      <c r="E71859" s="0" t="s">
        <v>6436</v>
      </c>
      <c r="F71859" s="0" t="s">
        <v>6436</v>
      </c>
    </row>
    <row r="71860" customFormat="false" ht="12.8" hidden="false" customHeight="false" outlineLevel="0" collapsed="false">
      <c r="B71860" s="0" t="s">
        <v>14</v>
      </c>
      <c r="C71860" s="0" t="s">
        <v>10874</v>
      </c>
      <c r="D71860" s="0" t="s">
        <v>6437</v>
      </c>
      <c r="E71860" s="0" t="s">
        <v>6437</v>
      </c>
      <c r="F71860" s="0" t="s">
        <v>6437</v>
      </c>
    </row>
    <row r="71861" customFormat="false" ht="12.8" hidden="false" customHeight="false" outlineLevel="0" collapsed="false">
      <c r="B71861" s="0" t="s">
        <v>35</v>
      </c>
      <c r="C71861" s="0" t="s">
        <v>19994</v>
      </c>
      <c r="D71861" s="0" t="s">
        <v>6438</v>
      </c>
      <c r="E71861" s="0" t="s">
        <v>6438</v>
      </c>
      <c r="F71861" s="0" t="s">
        <v>6438</v>
      </c>
    </row>
    <row r="71862" customFormat="false" ht="12.8" hidden="false" customHeight="false" outlineLevel="0" collapsed="false">
      <c r="B71862" s="0" t="s">
        <v>84</v>
      </c>
      <c r="C71862" s="0" t="s">
        <v>24309</v>
      </c>
      <c r="D71862" s="0" t="s">
        <v>6440</v>
      </c>
      <c r="E71862" s="0" t="s">
        <v>6440</v>
      </c>
      <c r="F71862" s="0" t="s">
        <v>6440</v>
      </c>
    </row>
    <row r="71864" customFormat="false" ht="12.8" hidden="false" customHeight="false" outlineLevel="0" collapsed="false">
      <c r="A71864" s="0" t="s">
        <v>24310</v>
      </c>
      <c r="B71864" s="0" t="str">
        <f aca="false">HYPERLINK("https://lindat.mff.cuni.cz/services/teitok/pdtc10/index.php?action=vallex&amp;frame=v-w9952f3_ZU", "zvedat (v-w9952f3_ZU)")</f>
        <v>zvedat (v-w9952f3_ZU)</v>
      </c>
    </row>
    <row r="71865" customFormat="false" ht="12.8" hidden="false" customHeight="false" outlineLevel="0" collapsed="false">
      <c r="B71865" s="0" t="s">
        <v>7</v>
      </c>
      <c r="D71865" s="0" t="s">
        <v>460</v>
      </c>
      <c r="E71865" s="0" t="s">
        <v>460</v>
      </c>
      <c r="F71865" s="0" t="s">
        <v>460</v>
      </c>
    </row>
    <row r="71866" customFormat="false" ht="12.8" hidden="false" customHeight="false" outlineLevel="0" collapsed="false">
      <c r="B71866" s="0" t="s">
        <v>14</v>
      </c>
      <c r="D71866" s="0" t="s">
        <v>624</v>
      </c>
      <c r="E71866" s="0" t="s">
        <v>624</v>
      </c>
      <c r="F71866" s="0" t="s">
        <v>624</v>
      </c>
    </row>
    <row r="71868" customFormat="false" ht="12.8" hidden="false" customHeight="false" outlineLevel="0" collapsed="false">
      <c r="A71868" s="0" t="s">
        <v>24310</v>
      </c>
      <c r="B71868" s="0" t="str">
        <f aca="false">HYPERLINK("https://lindat.mff.cuni.cz/services/teitok/pdtc10/index.php?action=vallex&amp;frame=v-w9952f1", "zvedat (v-w9952f1) - substituted with v-w9952f3_ZU")</f>
        <v>zvedat (v-w9952f1) - substituted with v-w9952f3_ZU</v>
      </c>
    </row>
    <row r="71869" customFormat="false" ht="12.8" hidden="false" customHeight="false" outlineLevel="0" collapsed="false">
      <c r="B71869" s="0" t="s">
        <v>7</v>
      </c>
      <c r="C71869" s="0" t="s">
        <v>3918</v>
      </c>
    </row>
    <row r="71870" customFormat="false" ht="12.8" hidden="false" customHeight="false" outlineLevel="0" collapsed="false">
      <c r="B71870" s="0" t="s">
        <v>14</v>
      </c>
      <c r="C71870" s="0" t="s">
        <v>180</v>
      </c>
    </row>
    <row r="71872" customFormat="false" ht="12.8" hidden="false" customHeight="false" outlineLevel="0" collapsed="false">
      <c r="A71872" s="0" t="s">
        <v>24311</v>
      </c>
      <c r="B71872" s="0" t="str">
        <f aca="false">HYPERLINK("https://lindat.mff.cuni.cz/services/teitok/pdtc10/index.php?action=vallex&amp;frame=v-w9953f1", "zvedat se (v-w9953f1)")</f>
        <v>zvedat se (v-w9953f1)</v>
      </c>
    </row>
    <row r="71873" customFormat="false" ht="12.8" hidden="false" customHeight="false" outlineLevel="0" collapsed="false">
      <c r="B71873" s="0" t="s">
        <v>7</v>
      </c>
      <c r="C71873" s="0" t="s">
        <v>24312</v>
      </c>
    </row>
    <row r="71875" customFormat="false" ht="12.8" hidden="false" customHeight="false" outlineLevel="0" collapsed="false">
      <c r="A71875" s="0" t="s">
        <v>24313</v>
      </c>
      <c r="B71875" s="0" t="str">
        <f aca="false">HYPERLINK("https://lindat.mff.cuni.cz/services/teitok/pdtc10/index.php?action=vallex&amp;frame=v-w9953hsa_462", "zvedat se (v-w9953hsa_462)")</f>
        <v>zvedat se (v-w9953hsa_462)</v>
      </c>
    </row>
    <row r="71876" customFormat="false" ht="12.8" hidden="false" customHeight="false" outlineLevel="0" collapsed="false">
      <c r="B71876" s="0" t="s">
        <v>7</v>
      </c>
      <c r="D71876" s="0" t="s">
        <v>191</v>
      </c>
      <c r="E71876" s="0" t="s">
        <v>191</v>
      </c>
      <c r="F71876" s="0" t="s">
        <v>191</v>
      </c>
    </row>
    <row r="71878" customFormat="false" ht="12.8" hidden="false" customHeight="false" outlineLevel="0" collapsed="false">
      <c r="A71878" s="0" t="s">
        <v>24314</v>
      </c>
      <c r="B71878" s="0" t="str">
        <f aca="false">HYPERLINK("https://lindat.mff.cuni.cz/services/teitok/pdtc10/index.php?action=vallex&amp;frame=v-w9953f2_ZU", "zvedat se (v-w9953f2_ZU)")</f>
        <v>zvedat se (v-w9953f2_ZU)</v>
      </c>
    </row>
    <row r="71879" customFormat="false" ht="12.8" hidden="false" customHeight="false" outlineLevel="0" collapsed="false">
      <c r="B71879" s="0" t="s">
        <v>7</v>
      </c>
      <c r="C71879" s="0" t="s">
        <v>24315</v>
      </c>
      <c r="D71879" s="0" t="s">
        <v>13934</v>
      </c>
      <c r="E71879" s="0" t="s">
        <v>13934</v>
      </c>
      <c r="F71879" s="0" t="s">
        <v>13934</v>
      </c>
    </row>
    <row r="71880" customFormat="false" ht="12.8" hidden="false" customHeight="false" outlineLevel="0" collapsed="false">
      <c r="B71880" s="0" t="s">
        <v>63</v>
      </c>
      <c r="C71880" s="0" t="s">
        <v>24316</v>
      </c>
    </row>
    <row r="71881" customFormat="false" ht="12.8" hidden="false" customHeight="false" outlineLevel="0" collapsed="false">
      <c r="B71881" s="0" t="s">
        <v>35</v>
      </c>
      <c r="C71881" s="0" t="s">
        <v>24317</v>
      </c>
    </row>
    <row r="71883" customFormat="false" ht="12.8" hidden="false" customHeight="false" outlineLevel="0" collapsed="false">
      <c r="A71883" s="0" t="s">
        <v>24314</v>
      </c>
      <c r="B71883" s="0" t="str">
        <f aca="false">HYPERLINK("https://lindat.mff.cuni.cz/services/teitok/pdtc10/index.php?action=vallex&amp;frame=v-w9953hsa_463", "zvedat se (v-w9953hsa_463) - substituted with v-w9953f2_ZU")</f>
        <v>zvedat se (v-w9953hsa_463) - substituted with v-w9953f2_ZU</v>
      </c>
    </row>
    <row r="71884" customFormat="false" ht="12.8" hidden="false" customHeight="false" outlineLevel="0" collapsed="false">
      <c r="B71884" s="0" t="s">
        <v>7</v>
      </c>
    </row>
    <row r="71885" customFormat="false" ht="12.8" hidden="false" customHeight="false" outlineLevel="0" collapsed="false">
      <c r="B71885" s="0" t="s">
        <v>63</v>
      </c>
    </row>
    <row r="71886" customFormat="false" ht="12.8" hidden="false" customHeight="false" outlineLevel="0" collapsed="false">
      <c r="B71886" s="0" t="s">
        <v>35</v>
      </c>
    </row>
    <row r="71888" customFormat="false" ht="12.8" hidden="false" customHeight="false" outlineLevel="0" collapsed="false">
      <c r="A71888" s="0" t="s">
        <v>24318</v>
      </c>
      <c r="B71888" s="0" t="str">
        <f aca="false">HYPERLINK("https://lindat.mff.cuni.cz/services/teitok/pdtc10/index.php?action=vallex&amp;frame=v-w9956f2", "zvednout (v-w9956f2)")</f>
        <v>zvednout (v-w9956f2)</v>
      </c>
    </row>
    <row r="71889" customFormat="false" ht="12.8" hidden="false" customHeight="false" outlineLevel="0" collapsed="false">
      <c r="B71889" s="0" t="s">
        <v>7</v>
      </c>
      <c r="C71889" s="0" t="s">
        <v>24319</v>
      </c>
      <c r="D71889" s="0" t="s">
        <v>6436</v>
      </c>
      <c r="E71889" s="0" t="s">
        <v>6436</v>
      </c>
      <c r="F71889" s="0" t="s">
        <v>6436</v>
      </c>
    </row>
    <row r="71890" customFormat="false" ht="12.8" hidden="false" customHeight="false" outlineLevel="0" collapsed="false">
      <c r="B71890" s="0" t="s">
        <v>14</v>
      </c>
      <c r="C71890" s="0" t="s">
        <v>24320</v>
      </c>
      <c r="D71890" s="0" t="s">
        <v>6437</v>
      </c>
      <c r="E71890" s="0" t="s">
        <v>6437</v>
      </c>
      <c r="F71890" s="0" t="s">
        <v>6437</v>
      </c>
    </row>
    <row r="71891" customFormat="false" ht="12.8" hidden="false" customHeight="false" outlineLevel="0" collapsed="false">
      <c r="B71891" s="0" t="s">
        <v>35</v>
      </c>
      <c r="C71891" s="0" t="s">
        <v>24321</v>
      </c>
      <c r="D71891" s="0" t="s">
        <v>6438</v>
      </c>
      <c r="E71891" s="0" t="s">
        <v>6438</v>
      </c>
      <c r="F71891" s="0" t="s">
        <v>6438</v>
      </c>
    </row>
    <row r="71892" customFormat="false" ht="12.8" hidden="false" customHeight="false" outlineLevel="0" collapsed="false">
      <c r="B71892" s="0" t="s">
        <v>84</v>
      </c>
      <c r="C71892" s="0" t="s">
        <v>24322</v>
      </c>
      <c r="D71892" s="0" t="s">
        <v>6440</v>
      </c>
      <c r="E71892" s="0" t="s">
        <v>6440</v>
      </c>
      <c r="F71892" s="0" t="s">
        <v>6440</v>
      </c>
    </row>
    <row r="71894" customFormat="false" ht="12.8" hidden="false" customHeight="false" outlineLevel="0" collapsed="false">
      <c r="A71894" s="0" t="s">
        <v>24323</v>
      </c>
      <c r="B71894" s="0" t="str">
        <f aca="false">HYPERLINK("https://lindat.mff.cuni.cz/services/teitok/pdtc10/index.php?action=vallex&amp;frame=v-w9956f3_ZU", "zvednout (v-w9956f3_ZU)")</f>
        <v>zvednout (v-w9956f3_ZU)</v>
      </c>
    </row>
    <row r="71895" customFormat="false" ht="12.8" hidden="false" customHeight="false" outlineLevel="0" collapsed="false">
      <c r="B71895" s="0" t="s">
        <v>7</v>
      </c>
      <c r="C71895" s="0" t="s">
        <v>184</v>
      </c>
      <c r="D71895" s="0" t="s">
        <v>460</v>
      </c>
      <c r="E71895" s="0" t="s">
        <v>460</v>
      </c>
      <c r="F71895" s="0" t="s">
        <v>460</v>
      </c>
    </row>
    <row r="71896" customFormat="false" ht="12.8" hidden="false" customHeight="false" outlineLevel="0" collapsed="false">
      <c r="B71896" s="0" t="s">
        <v>14</v>
      </c>
      <c r="C71896" s="0" t="s">
        <v>115</v>
      </c>
      <c r="D71896" s="0" t="s">
        <v>624</v>
      </c>
      <c r="E71896" s="0" t="s">
        <v>624</v>
      </c>
      <c r="F71896" s="0" t="s">
        <v>624</v>
      </c>
    </row>
    <row r="71898" customFormat="false" ht="12.8" hidden="false" customHeight="false" outlineLevel="0" collapsed="false">
      <c r="A71898" s="0" t="s">
        <v>24323</v>
      </c>
      <c r="B71898" s="0" t="str">
        <f aca="false">HYPERLINK("https://lindat.mff.cuni.cz/services/teitok/pdtc10/index.php?action=vallex&amp;frame=v-w9956f1", "zvednout (v-w9956f1) - substituted with v-w9956f3_ZU")</f>
        <v>zvednout (v-w9956f1) - substituted with v-w9956f3_ZU</v>
      </c>
    </row>
    <row r="71899" customFormat="false" ht="12.8" hidden="false" customHeight="false" outlineLevel="0" collapsed="false">
      <c r="B71899" s="0" t="s">
        <v>7</v>
      </c>
      <c r="C71899" s="0" t="s">
        <v>21</v>
      </c>
    </row>
    <row r="71900" customFormat="false" ht="12.8" hidden="false" customHeight="false" outlineLevel="0" collapsed="false">
      <c r="B71900" s="0" t="s">
        <v>14</v>
      </c>
      <c r="C71900" s="0" t="s">
        <v>2788</v>
      </c>
    </row>
    <row r="71902" customFormat="false" ht="12.8" hidden="false" customHeight="false" outlineLevel="0" collapsed="false">
      <c r="A71902" s="0" t="s">
        <v>24324</v>
      </c>
      <c r="B71902" s="0" t="str">
        <f aca="false">HYPERLINK("https://lindat.mff.cuni.cz/services/teitok/pdtc10/index.php?action=vallex&amp;frame=v-w9956f4_ZU", "zvednout (v-w9956f4_ZU)")</f>
        <v>zvednout (v-w9956f4_ZU)</v>
      </c>
    </row>
    <row r="71903" customFormat="false" ht="12.8" hidden="false" customHeight="false" outlineLevel="0" collapsed="false">
      <c r="B71903" s="0" t="s">
        <v>7</v>
      </c>
    </row>
    <row r="71904" customFormat="false" ht="12.8" hidden="false" customHeight="false" outlineLevel="0" collapsed="false">
      <c r="B71904" s="0" t="s">
        <v>24325</v>
      </c>
    </row>
    <row r="71905" customFormat="false" ht="12.8" hidden="false" customHeight="false" outlineLevel="0" collapsed="false">
      <c r="B71905" s="0" t="s">
        <v>11</v>
      </c>
    </row>
    <row r="71907" customFormat="false" ht="12.8" hidden="false" customHeight="false" outlineLevel="0" collapsed="false">
      <c r="A71907" s="0" t="s">
        <v>24326</v>
      </c>
      <c r="B71907" s="0" t="str">
        <f aca="false">HYPERLINK("https://lindat.mff.cuni.cz/services/teitok/pdtc10/index.php?action=vallex&amp;frame=v-w9956hsa_670", "zvednout (v-w9956hsa_670)")</f>
        <v>zvednout (v-w9956hsa_670)</v>
      </c>
    </row>
    <row r="71908" customFormat="false" ht="12.8" hidden="false" customHeight="false" outlineLevel="0" collapsed="false">
      <c r="B71908" s="0" t="s">
        <v>7</v>
      </c>
    </row>
    <row r="71909" customFormat="false" ht="12.8" hidden="false" customHeight="false" outlineLevel="0" collapsed="false">
      <c r="B71909" s="0" t="s">
        <v>14</v>
      </c>
    </row>
    <row r="71911" customFormat="false" ht="12.8" hidden="false" customHeight="false" outlineLevel="0" collapsed="false">
      <c r="A71911" s="0" t="s">
        <v>24327</v>
      </c>
      <c r="B71911" s="0" t="str">
        <f aca="false">HYPERLINK("https://lindat.mff.cuni.cz/services/teitok/pdtc10/index.php?action=vallex&amp;frame=v-w9957f1", "zvednout se (v-w9957f1)")</f>
        <v>zvednout se (v-w9957f1)</v>
      </c>
    </row>
    <row r="71912" customFormat="false" ht="12.8" hidden="false" customHeight="false" outlineLevel="0" collapsed="false">
      <c r="B71912" s="0" t="s">
        <v>7</v>
      </c>
      <c r="C71912" s="0" t="s">
        <v>24328</v>
      </c>
      <c r="D71912" s="0" t="s">
        <v>13934</v>
      </c>
      <c r="E71912" s="0" t="s">
        <v>13934</v>
      </c>
      <c r="F71912" s="0" t="s">
        <v>13934</v>
      </c>
    </row>
    <row r="71913" customFormat="false" ht="12.8" hidden="false" customHeight="false" outlineLevel="0" collapsed="false">
      <c r="B71913" s="0" t="s">
        <v>63</v>
      </c>
      <c r="C71913" s="0" t="s">
        <v>24329</v>
      </c>
    </row>
    <row r="71914" customFormat="false" ht="12.8" hidden="false" customHeight="false" outlineLevel="0" collapsed="false">
      <c r="B71914" s="0" t="s">
        <v>35</v>
      </c>
      <c r="C71914" s="0" t="s">
        <v>24330</v>
      </c>
    </row>
    <row r="71916" customFormat="false" ht="12.8" hidden="false" customHeight="false" outlineLevel="0" collapsed="false">
      <c r="A71916" s="0" t="s">
        <v>24331</v>
      </c>
      <c r="B71916" s="0" t="str">
        <f aca="false">HYPERLINK("https://lindat.mff.cuni.cz/services/teitok/pdtc10/index.php?action=vallex&amp;frame=v-w9957f2", "zvednout se (v-w9957f2)")</f>
        <v>zvednout se (v-w9957f2)</v>
      </c>
    </row>
    <row r="71917" customFormat="false" ht="12.8" hidden="false" customHeight="false" outlineLevel="0" collapsed="false">
      <c r="B71917" s="0" t="s">
        <v>7</v>
      </c>
    </row>
    <row r="71918" customFormat="false" ht="12.8" hidden="false" customHeight="false" outlineLevel="0" collapsed="false">
      <c r="B71918" s="0" t="s">
        <v>237</v>
      </c>
    </row>
    <row r="71920" customFormat="false" ht="12.8" hidden="false" customHeight="false" outlineLevel="0" collapsed="false">
      <c r="A71920" s="0" t="s">
        <v>24332</v>
      </c>
      <c r="B71920" s="0" t="str">
        <f aca="false">HYPERLINK("https://lindat.mff.cuni.cz/services/teitok/pdtc10/index.php?action=vallex&amp;frame=v-w9957f4", "zvednout se (v-w9957f4)")</f>
        <v>zvednout se (v-w9957f4)</v>
      </c>
    </row>
    <row r="71921" customFormat="false" ht="12.8" hidden="false" customHeight="false" outlineLevel="0" collapsed="false">
      <c r="B71921" s="0" t="s">
        <v>7</v>
      </c>
    </row>
    <row r="71923" customFormat="false" ht="12.8" hidden="false" customHeight="false" outlineLevel="0" collapsed="false">
      <c r="A71923" s="0" t="s">
        <v>24333</v>
      </c>
      <c r="B71923" s="0" t="str">
        <f aca="false">HYPERLINK("https://lindat.mff.cuni.cz/services/teitok/pdtc10/index.php?action=vallex&amp;frame=v-w9957f3", "zvednout se (v-w9957f3)")</f>
        <v>zvednout se (v-w9957f3)</v>
      </c>
    </row>
    <row r="71924" customFormat="false" ht="12.8" hidden="false" customHeight="false" outlineLevel="0" collapsed="false">
      <c r="B71924" s="0" t="s">
        <v>7</v>
      </c>
    </row>
    <row r="71926" customFormat="false" ht="12.8" hidden="false" customHeight="false" outlineLevel="0" collapsed="false">
      <c r="A71926" s="0" t="s">
        <v>24334</v>
      </c>
      <c r="B71926" s="0" t="str">
        <f aca="false">HYPERLINK("https://lindat.mff.cuni.cz/services/teitok/pdtc10/index.php?action=vallex&amp;frame=v-w12036_ZUf1_ZU", "zvelebit (v-w12036_ZUf1_ZU)")</f>
        <v>zvelebit (v-w12036_ZUf1_ZU)</v>
      </c>
    </row>
    <row r="71927" customFormat="false" ht="12.8" hidden="false" customHeight="false" outlineLevel="0" collapsed="false">
      <c r="B71927" s="0" t="s">
        <v>7</v>
      </c>
    </row>
    <row r="71928" customFormat="false" ht="12.8" hidden="false" customHeight="false" outlineLevel="0" collapsed="false">
      <c r="B71928" s="0" t="s">
        <v>14</v>
      </c>
    </row>
    <row r="71929" customFormat="false" ht="12.8" hidden="false" customHeight="false" outlineLevel="0" collapsed="false">
      <c r="B71929" s="0" t="s">
        <v>35</v>
      </c>
    </row>
    <row r="71930" customFormat="false" ht="12.8" hidden="false" customHeight="false" outlineLevel="0" collapsed="false">
      <c r="B71930" s="0" t="s">
        <v>84</v>
      </c>
    </row>
    <row r="71932" customFormat="false" ht="12.8" hidden="false" customHeight="false" outlineLevel="0" collapsed="false">
      <c r="A71932" s="0" t="s">
        <v>24335</v>
      </c>
      <c r="B71932" s="0" t="str">
        <f aca="false">HYPERLINK("https://lindat.mff.cuni.cz/services/teitok/pdtc10/index.php?action=vallex&amp;frame=v-w9960f1", "zvelebovat (v-w9960f1)")</f>
        <v>zvelebovat (v-w9960f1)</v>
      </c>
    </row>
    <row r="71933" customFormat="false" ht="12.8" hidden="false" customHeight="false" outlineLevel="0" collapsed="false">
      <c r="B71933" s="0" t="s">
        <v>7</v>
      </c>
    </row>
    <row r="71934" customFormat="false" ht="12.8" hidden="false" customHeight="false" outlineLevel="0" collapsed="false">
      <c r="B71934" s="0" t="s">
        <v>14</v>
      </c>
    </row>
    <row r="71936" customFormat="false" ht="12.8" hidden="false" customHeight="false" outlineLevel="0" collapsed="false">
      <c r="A71936" s="0" t="s">
        <v>24336</v>
      </c>
      <c r="B71936" s="0" t="str">
        <f aca="false">HYPERLINK("https://lindat.mff.cuni.cz/services/teitok/pdtc10/index.php?action=vallex&amp;frame=v-w10573f3", "zveličit (v-w10573f3)")</f>
        <v>zveličit (v-w10573f3)</v>
      </c>
    </row>
    <row r="71937" customFormat="false" ht="12.8" hidden="false" customHeight="false" outlineLevel="0" collapsed="false">
      <c r="B71937" s="0" t="s">
        <v>7</v>
      </c>
      <c r="D71937" s="0" t="s">
        <v>108</v>
      </c>
      <c r="E71937" s="0" t="s">
        <v>108</v>
      </c>
      <c r="F71937" s="0" t="s">
        <v>108</v>
      </c>
    </row>
    <row r="71938" customFormat="false" ht="12.8" hidden="false" customHeight="false" outlineLevel="0" collapsed="false">
      <c r="B71938" s="0" t="s">
        <v>172</v>
      </c>
      <c r="D71938" s="0" t="s">
        <v>159</v>
      </c>
      <c r="E71938" s="0" t="s">
        <v>159</v>
      </c>
      <c r="F71938" s="0" t="s">
        <v>159</v>
      </c>
    </row>
    <row r="71940" customFormat="false" ht="12.8" hidden="false" customHeight="false" outlineLevel="0" collapsed="false">
      <c r="A71940" s="0" t="s">
        <v>24337</v>
      </c>
      <c r="B71940" s="0" t="str">
        <f aca="false">HYPERLINK("https://lindat.mff.cuni.cz/services/teitok/pdtc10/index.php?action=vallex&amp;frame=v-w9962f1", "zveličovat (v-w9962f1)")</f>
        <v>zveličovat (v-w9962f1)</v>
      </c>
    </row>
    <row r="71941" customFormat="false" ht="12.8" hidden="false" customHeight="false" outlineLevel="0" collapsed="false">
      <c r="B71941" s="0" t="s">
        <v>7</v>
      </c>
      <c r="C71941" s="0" t="s">
        <v>88</v>
      </c>
      <c r="D71941" s="0" t="s">
        <v>108</v>
      </c>
      <c r="E71941" s="0" t="s">
        <v>108</v>
      </c>
      <c r="F71941" s="0" t="s">
        <v>108</v>
      </c>
    </row>
    <row r="71942" customFormat="false" ht="12.8" hidden="false" customHeight="false" outlineLevel="0" collapsed="false">
      <c r="B71942" s="0" t="s">
        <v>172</v>
      </c>
      <c r="C71942" s="0" t="s">
        <v>625</v>
      </c>
      <c r="D71942" s="0" t="s">
        <v>159</v>
      </c>
      <c r="E71942" s="0" t="s">
        <v>159</v>
      </c>
      <c r="F71942" s="0" t="s">
        <v>159</v>
      </c>
    </row>
    <row r="71944" customFormat="false" ht="12.8" hidden="false" customHeight="false" outlineLevel="0" collapsed="false">
      <c r="A71944" s="0" t="s">
        <v>24338</v>
      </c>
      <c r="B71944" s="0" t="str">
        <f aca="false">HYPERLINK("https://lindat.mff.cuni.cz/services/teitok/pdtc10/index.php?action=vallex&amp;frame=v-w9966f1", "zveřejnit (v-w9966f1)")</f>
        <v>zveřejnit (v-w9966f1)</v>
      </c>
    </row>
    <row r="71945" customFormat="false" ht="12.8" hidden="false" customHeight="false" outlineLevel="0" collapsed="false">
      <c r="B71945" s="0" t="s">
        <v>7</v>
      </c>
      <c r="C71945" s="0" t="s">
        <v>24339</v>
      </c>
      <c r="D71945" s="0" t="s">
        <v>164</v>
      </c>
      <c r="E71945" s="0" t="s">
        <v>164</v>
      </c>
      <c r="F71945" s="0" t="s">
        <v>164</v>
      </c>
    </row>
    <row r="71946" customFormat="false" ht="12.8" hidden="false" customHeight="false" outlineLevel="0" collapsed="false">
      <c r="B71946" s="0" t="s">
        <v>232</v>
      </c>
      <c r="C71946" s="0" t="s">
        <v>24340</v>
      </c>
      <c r="D71946" s="0" t="s">
        <v>167</v>
      </c>
      <c r="E71946" s="0" t="s">
        <v>167</v>
      </c>
      <c r="F71946" s="0" t="s">
        <v>167</v>
      </c>
    </row>
    <row r="71948" customFormat="false" ht="12.8" hidden="false" customHeight="false" outlineLevel="0" collapsed="false">
      <c r="A71948" s="0" t="s">
        <v>24341</v>
      </c>
      <c r="B71948" s="0" t="str">
        <f aca="false">HYPERLINK("https://lindat.mff.cuni.cz/services/teitok/pdtc10/index.php?action=vallex&amp;frame=v-w9966f2", "zveřejnit (v-w9966f2)")</f>
        <v>zveřejnit (v-w9966f2)</v>
      </c>
    </row>
    <row r="71949" customFormat="false" ht="12.8" hidden="false" customHeight="false" outlineLevel="0" collapsed="false">
      <c r="B71949" s="0" t="s">
        <v>7</v>
      </c>
      <c r="C71949" s="0" t="s">
        <v>24342</v>
      </c>
      <c r="D71949" s="0" t="s">
        <v>164</v>
      </c>
      <c r="E71949" s="0" t="s">
        <v>164</v>
      </c>
      <c r="F71949" s="0" t="s">
        <v>164</v>
      </c>
    </row>
    <row r="71950" customFormat="false" ht="12.8" hidden="false" customHeight="false" outlineLevel="0" collapsed="false">
      <c r="B71950" s="0" t="s">
        <v>15294</v>
      </c>
      <c r="C71950" s="0" t="s">
        <v>24343</v>
      </c>
      <c r="D71950" s="0" t="s">
        <v>1766</v>
      </c>
      <c r="E71950" s="0" t="s">
        <v>1766</v>
      </c>
      <c r="F71950" s="0" t="s">
        <v>1766</v>
      </c>
    </row>
    <row r="71951" customFormat="false" ht="12.8" hidden="false" customHeight="false" outlineLevel="0" collapsed="false">
      <c r="B71951" s="0" t="s">
        <v>363</v>
      </c>
      <c r="D71951" s="0" t="s">
        <v>167</v>
      </c>
      <c r="E71951" s="0" t="s">
        <v>167</v>
      </c>
      <c r="F71951" s="0" t="s">
        <v>167</v>
      </c>
    </row>
    <row r="71953" customFormat="false" ht="12.8" hidden="false" customHeight="false" outlineLevel="0" collapsed="false">
      <c r="A71953" s="0" t="s">
        <v>24344</v>
      </c>
      <c r="B71953" s="0" t="str">
        <f aca="false">HYPERLINK("https://lindat.mff.cuni.cz/services/teitok/pdtc10/index.php?action=vallex&amp;frame=v-w9968f1", "zveřejňovat (v-w9968f1)")</f>
        <v>zveřejňovat (v-w9968f1)</v>
      </c>
    </row>
    <row r="71954" customFormat="false" ht="12.8" hidden="false" customHeight="false" outlineLevel="0" collapsed="false">
      <c r="B71954" s="0" t="s">
        <v>7</v>
      </c>
      <c r="C71954" s="0" t="s">
        <v>24090</v>
      </c>
      <c r="D71954" s="0" t="s">
        <v>164</v>
      </c>
      <c r="E71954" s="0" t="s">
        <v>164</v>
      </c>
      <c r="F71954" s="0" t="s">
        <v>164</v>
      </c>
    </row>
    <row r="71955" customFormat="false" ht="12.8" hidden="false" customHeight="false" outlineLevel="0" collapsed="false">
      <c r="B71955" s="0" t="s">
        <v>14</v>
      </c>
      <c r="C71955" s="0" t="s">
        <v>15613</v>
      </c>
      <c r="D71955" s="0" t="s">
        <v>167</v>
      </c>
      <c r="E71955" s="0" t="s">
        <v>167</v>
      </c>
      <c r="F71955" s="0" t="s">
        <v>167</v>
      </c>
    </row>
    <row r="71957" customFormat="false" ht="12.8" hidden="false" customHeight="false" outlineLevel="0" collapsed="false">
      <c r="A71957" s="0" t="s">
        <v>24345</v>
      </c>
      <c r="B71957" s="0" t="str">
        <f aca="false">HYPERLINK("https://lindat.mff.cuni.cz/services/teitok/pdtc10/index.php?action=vallex&amp;frame=v-w9968f2", "zveřejňovat (v-w9968f2)")</f>
        <v>zveřejňovat (v-w9968f2)</v>
      </c>
    </row>
    <row r="71958" customFormat="false" ht="12.8" hidden="false" customHeight="false" outlineLevel="0" collapsed="false">
      <c r="B71958" s="0" t="s">
        <v>7</v>
      </c>
      <c r="D71958" s="0" t="s">
        <v>164</v>
      </c>
      <c r="E71958" s="0" t="s">
        <v>164</v>
      </c>
      <c r="F71958" s="0" t="s">
        <v>164</v>
      </c>
    </row>
    <row r="71959" customFormat="false" ht="12.8" hidden="false" customHeight="false" outlineLevel="0" collapsed="false">
      <c r="B71959" s="0" t="s">
        <v>15294</v>
      </c>
      <c r="D71959" s="0" t="s">
        <v>1766</v>
      </c>
      <c r="E71959" s="0" t="s">
        <v>1766</v>
      </c>
      <c r="F71959" s="0" t="s">
        <v>1766</v>
      </c>
    </row>
    <row r="71960" customFormat="false" ht="12.8" hidden="false" customHeight="false" outlineLevel="0" collapsed="false">
      <c r="B71960" s="0" t="s">
        <v>363</v>
      </c>
      <c r="D71960" s="0" t="s">
        <v>167</v>
      </c>
      <c r="E71960" s="0" t="s">
        <v>167</v>
      </c>
      <c r="F71960" s="0" t="s">
        <v>167</v>
      </c>
    </row>
    <row r="71962" customFormat="false" ht="12.8" hidden="false" customHeight="false" outlineLevel="0" collapsed="false">
      <c r="A71962" s="0" t="s">
        <v>24346</v>
      </c>
      <c r="B71962" s="0" t="str">
        <f aca="false">HYPERLINK("https://lindat.mff.cuni.cz/services/teitok/pdtc10/index.php?action=vallex&amp;frame=v-w9976f1", "zviditelnit (v-w9976f1)")</f>
        <v>zviditelnit (v-w9976f1)</v>
      </c>
    </row>
    <row r="71963" customFormat="false" ht="12.8" hidden="false" customHeight="false" outlineLevel="0" collapsed="false">
      <c r="B71963" s="0" t="s">
        <v>7</v>
      </c>
      <c r="C71963" s="0" t="s">
        <v>3293</v>
      </c>
    </row>
    <row r="71964" customFormat="false" ht="12.8" hidden="false" customHeight="false" outlineLevel="0" collapsed="false">
      <c r="B71964" s="0" t="s">
        <v>14</v>
      </c>
      <c r="C71964" s="0" t="s">
        <v>3295</v>
      </c>
    </row>
    <row r="71965" customFormat="false" ht="12.8" hidden="false" customHeight="false" outlineLevel="0" collapsed="false">
      <c r="B71965" s="0" t="s">
        <v>3743</v>
      </c>
    </row>
    <row r="71967" customFormat="false" ht="12.8" hidden="false" customHeight="false" outlineLevel="0" collapsed="false">
      <c r="A71967" s="0" t="s">
        <v>24347</v>
      </c>
      <c r="B71967" s="0" t="str">
        <f aca="false">HYPERLINK("https://lindat.mff.cuni.cz/services/teitok/pdtc10/index.php?action=vallex&amp;frame=v-w9976f2", "zviditelnit (v-w9976f2)")</f>
        <v>zviditelnit (v-w9976f2)</v>
      </c>
    </row>
    <row r="71968" customFormat="false" ht="12.8" hidden="false" customHeight="false" outlineLevel="0" collapsed="false">
      <c r="B71968" s="0" t="s">
        <v>7</v>
      </c>
      <c r="D71968" s="0" t="s">
        <v>4999</v>
      </c>
      <c r="E71968" s="0" t="s">
        <v>4999</v>
      </c>
      <c r="F71968" s="0" t="s">
        <v>4999</v>
      </c>
    </row>
    <row r="71969" customFormat="false" ht="12.8" hidden="false" customHeight="false" outlineLevel="0" collapsed="false">
      <c r="B71969" s="0" t="s">
        <v>14</v>
      </c>
      <c r="C71969" s="0" t="s">
        <v>47</v>
      </c>
      <c r="D71969" s="0" t="s">
        <v>5000</v>
      </c>
      <c r="E71969" s="0" t="s">
        <v>5000</v>
      </c>
      <c r="F71969" s="0" t="s">
        <v>5000</v>
      </c>
    </row>
    <row r="71971" customFormat="false" ht="12.8" hidden="false" customHeight="false" outlineLevel="0" collapsed="false">
      <c r="A71971" s="0" t="s">
        <v>24348</v>
      </c>
      <c r="B71971" s="0" t="str">
        <f aca="false">HYPERLINK("https://lindat.mff.cuni.cz/services/teitok/pdtc10/index.php?action=vallex&amp;frame=v-w11676_ZUf1_ZU", "zvlnit se (v-w11676_ZUf1_ZU)")</f>
        <v>zvlnit se (v-w11676_ZUf1_ZU)</v>
      </c>
    </row>
    <row r="71972" customFormat="false" ht="12.8" hidden="false" customHeight="false" outlineLevel="0" collapsed="false">
      <c r="B71972" s="0" t="s">
        <v>7</v>
      </c>
      <c r="C71972" s="0" t="s">
        <v>247</v>
      </c>
      <c r="D71972" s="0" t="s">
        <v>24349</v>
      </c>
      <c r="E71972" s="0" t="s">
        <v>24349</v>
      </c>
      <c r="F71972" s="0" t="s">
        <v>24349</v>
      </c>
    </row>
    <row r="71974" customFormat="false" ht="12.8" hidden="false" customHeight="false" outlineLevel="0" collapsed="false">
      <c r="A71974" s="0" t="s">
        <v>24350</v>
      </c>
      <c r="B71974" s="0" t="str">
        <f aca="false">HYPERLINK("https://lindat.mff.cuni.cz/services/teitok/pdtc10/index.php?action=vallex&amp;frame=v-w9979f1", "zvládat (v-w9979f1)")</f>
        <v>zvládat (v-w9979f1)</v>
      </c>
    </row>
    <row r="71975" customFormat="false" ht="12.8" hidden="false" customHeight="false" outlineLevel="0" collapsed="false">
      <c r="B71975" s="0" t="s">
        <v>7</v>
      </c>
      <c r="C71975" s="0" t="s">
        <v>24351</v>
      </c>
      <c r="D71975" s="0" t="s">
        <v>23791</v>
      </c>
      <c r="E71975" s="0" t="s">
        <v>23791</v>
      </c>
      <c r="F71975" s="0" t="s">
        <v>23791</v>
      </c>
    </row>
    <row r="71976" customFormat="false" ht="12.8" hidden="false" customHeight="false" outlineLevel="0" collapsed="false">
      <c r="B71976" s="0" t="s">
        <v>306</v>
      </c>
      <c r="C71976" s="0" t="s">
        <v>12724</v>
      </c>
      <c r="D71976" s="0" t="s">
        <v>23792</v>
      </c>
      <c r="E71976" s="0" t="s">
        <v>23792</v>
      </c>
      <c r="F71976" s="0" t="s">
        <v>23792</v>
      </c>
    </row>
    <row r="71978" customFormat="false" ht="12.8" hidden="false" customHeight="false" outlineLevel="0" collapsed="false">
      <c r="A71978" s="0" t="s">
        <v>24352</v>
      </c>
      <c r="B71978" s="0" t="str">
        <f aca="false">HYPERLINK("https://lindat.mff.cuni.cz/services/teitok/pdtc10/index.php?action=vallex&amp;frame=v-w9979hsa_493", "zvládat (v-w9979hsa_493)")</f>
        <v>zvládat (v-w9979hsa_493)</v>
      </c>
    </row>
    <row r="71979" customFormat="false" ht="12.8" hidden="false" customHeight="false" outlineLevel="0" collapsed="false">
      <c r="B71979" s="0" t="s">
        <v>7</v>
      </c>
      <c r="D71979" s="0" t="s">
        <v>569</v>
      </c>
      <c r="E71979" s="0" t="s">
        <v>569</v>
      </c>
      <c r="F71979" s="0" t="s">
        <v>569</v>
      </c>
    </row>
    <row r="71980" customFormat="false" ht="12.8" hidden="false" customHeight="false" outlineLevel="0" collapsed="false">
      <c r="B71980" s="0" t="s">
        <v>14</v>
      </c>
      <c r="D71980" s="0" t="s">
        <v>384</v>
      </c>
      <c r="E71980" s="0" t="s">
        <v>384</v>
      </c>
      <c r="F71980" s="0" t="s">
        <v>384</v>
      </c>
    </row>
    <row r="71982" customFormat="false" ht="12.8" hidden="false" customHeight="false" outlineLevel="0" collapsed="false">
      <c r="A71982" s="0" t="s">
        <v>24353</v>
      </c>
      <c r="B71982" s="0" t="str">
        <f aca="false">HYPERLINK("https://lindat.mff.cuni.cz/services/teitok/pdtc10/index.php?action=vallex&amp;frame=v-w9979f2_ZU", "zvládat (v-w9979f2_ZU)")</f>
        <v>zvládat (v-w9979f2_ZU)</v>
      </c>
    </row>
    <row r="71983" customFormat="false" ht="12.8" hidden="false" customHeight="false" outlineLevel="0" collapsed="false">
      <c r="B71983" s="0" t="s">
        <v>7</v>
      </c>
      <c r="C71983" s="0" t="s">
        <v>6498</v>
      </c>
    </row>
    <row r="71984" customFormat="false" ht="12.8" hidden="false" customHeight="false" outlineLevel="0" collapsed="false">
      <c r="B71984" s="0" t="s">
        <v>14</v>
      </c>
      <c r="C71984" s="0" t="s">
        <v>11308</v>
      </c>
    </row>
    <row r="71986" customFormat="false" ht="12.8" hidden="false" customHeight="false" outlineLevel="0" collapsed="false">
      <c r="A71986" s="0" t="s">
        <v>24353</v>
      </c>
      <c r="B71986" s="0" t="str">
        <f aca="false">HYPERLINK("https://lindat.mff.cuni.cz/services/teitok/pdtc10/index.php?action=vallex&amp;frame=v-w9979hsa_494", "zvládat (v-w9979hsa_494) - substituted with v-w9979f2_ZU")</f>
        <v>zvládat (v-w9979hsa_494) - substituted with v-w9979f2_ZU</v>
      </c>
    </row>
    <row r="71987" customFormat="false" ht="12.8" hidden="false" customHeight="false" outlineLevel="0" collapsed="false">
      <c r="B71987" s="0" t="s">
        <v>7</v>
      </c>
    </row>
    <row r="71988" customFormat="false" ht="12.8" hidden="false" customHeight="false" outlineLevel="0" collapsed="false">
      <c r="B71988" s="0" t="s">
        <v>14</v>
      </c>
    </row>
    <row r="71990" customFormat="false" ht="12.8" hidden="false" customHeight="false" outlineLevel="0" collapsed="false">
      <c r="A71990" s="0" t="s">
        <v>24354</v>
      </c>
      <c r="B71990" s="0" t="str">
        <f aca="false">HYPERLINK("https://lindat.mff.cuni.cz/services/teitok/pdtc10/index.php?action=vallex&amp;frame=v-w9980f5_ZU", "zvládnout (v-w9980f5_ZU)")</f>
        <v>zvládnout (v-w9980f5_ZU)</v>
      </c>
    </row>
    <row r="71991" customFormat="false" ht="12.8" hidden="false" customHeight="false" outlineLevel="0" collapsed="false">
      <c r="B71991" s="0" t="s">
        <v>7</v>
      </c>
    </row>
    <row r="71992" customFormat="false" ht="12.8" hidden="false" customHeight="false" outlineLevel="0" collapsed="false">
      <c r="B71992" s="0" t="s">
        <v>1394</v>
      </c>
    </row>
    <row r="71994" customFormat="false" ht="12.8" hidden="false" customHeight="false" outlineLevel="0" collapsed="false">
      <c r="A71994" s="0" t="s">
        <v>24354</v>
      </c>
      <c r="B71994" s="0" t="str">
        <f aca="false">HYPERLINK("https://lindat.mff.cuni.cz/services/teitok/pdtc10/index.php?action=vallex&amp;frame=v-w9980f1", "zvládnout (v-w9980f1) - substituted with v-w9980f5_ZU")</f>
        <v>zvládnout (v-w9980f1) - substituted with v-w9980f5_ZU</v>
      </c>
    </row>
    <row r="71995" customFormat="false" ht="12.8" hidden="false" customHeight="false" outlineLevel="0" collapsed="false">
      <c r="B71995" s="0" t="s">
        <v>7</v>
      </c>
      <c r="C71995" s="0" t="s">
        <v>24355</v>
      </c>
      <c r="D71995" s="0" t="s">
        <v>23791</v>
      </c>
      <c r="E71995" s="0" t="s">
        <v>23791</v>
      </c>
      <c r="F71995" s="0" t="s">
        <v>23791</v>
      </c>
    </row>
    <row r="71996" customFormat="false" ht="12.8" hidden="false" customHeight="false" outlineLevel="0" collapsed="false">
      <c r="B71996" s="0" t="s">
        <v>1394</v>
      </c>
      <c r="C71996" s="0" t="s">
        <v>24356</v>
      </c>
      <c r="D71996" s="0" t="s">
        <v>23792</v>
      </c>
      <c r="E71996" s="0" t="s">
        <v>23792</v>
      </c>
      <c r="F71996" s="0" t="s">
        <v>23792</v>
      </c>
    </row>
    <row r="71998" customFormat="false" ht="12.8" hidden="false" customHeight="false" outlineLevel="0" collapsed="false">
      <c r="A71998" s="0" t="s">
        <v>24357</v>
      </c>
      <c r="B71998" s="0" t="str">
        <f aca="false">HYPERLINK("https://lindat.mff.cuni.cz/services/teitok/pdtc10/index.php?action=vallex&amp;frame=v-w9980f2_ZU", "zvládnout (v-w9980f2_ZU)")</f>
        <v>zvládnout (v-w9980f2_ZU)</v>
      </c>
    </row>
    <row r="71999" customFormat="false" ht="12.8" hidden="false" customHeight="false" outlineLevel="0" collapsed="false">
      <c r="B71999" s="0" t="s">
        <v>7</v>
      </c>
      <c r="C71999" s="0" t="s">
        <v>1154</v>
      </c>
      <c r="D71999" s="0" t="s">
        <v>6495</v>
      </c>
      <c r="E71999" s="0" t="s">
        <v>6495</v>
      </c>
      <c r="F71999" s="0" t="s">
        <v>6495</v>
      </c>
    </row>
    <row r="72000" customFormat="false" ht="12.8" hidden="false" customHeight="false" outlineLevel="0" collapsed="false">
      <c r="B72000" s="0" t="s">
        <v>24358</v>
      </c>
    </row>
    <row r="72001" customFormat="false" ht="12.8" hidden="false" customHeight="false" outlineLevel="0" collapsed="false">
      <c r="B72001" s="0" t="s">
        <v>14</v>
      </c>
      <c r="C72001" s="0" t="s">
        <v>413</v>
      </c>
      <c r="D72001" s="0" t="s">
        <v>20310</v>
      </c>
      <c r="E72001" s="0" t="s">
        <v>20310</v>
      </c>
      <c r="F72001" s="0" t="s">
        <v>20310</v>
      </c>
    </row>
    <row r="72003" customFormat="false" ht="12.8" hidden="false" customHeight="false" outlineLevel="0" collapsed="false">
      <c r="A72003" s="0" t="s">
        <v>24359</v>
      </c>
      <c r="B72003" s="0" t="str">
        <f aca="false">HYPERLINK("https://lindat.mff.cuni.cz/services/teitok/pdtc10/index.php?action=vallex&amp;frame=v-w9980f4_ZU", "zvládnout (v-w9980f4_ZU)")</f>
        <v>zvládnout (v-w9980f4_ZU)</v>
      </c>
    </row>
    <row r="72004" customFormat="false" ht="12.8" hidden="false" customHeight="false" outlineLevel="0" collapsed="false">
      <c r="B72004" s="0" t="s">
        <v>7</v>
      </c>
    </row>
    <row r="72005" customFormat="false" ht="12.8" hidden="false" customHeight="false" outlineLevel="0" collapsed="false">
      <c r="B72005" s="0" t="s">
        <v>14</v>
      </c>
    </row>
    <row r="72007" customFormat="false" ht="12.8" hidden="false" customHeight="false" outlineLevel="0" collapsed="false">
      <c r="A72007" s="0" t="s">
        <v>24359</v>
      </c>
      <c r="B72007" s="0" t="str">
        <f aca="false">HYPERLINK("https://lindat.mff.cuni.cz/services/teitok/pdtc10/index.php?action=vallex&amp;frame=v-w9980f3_ZU", "zvládnout (v-w9980f3_ZU) - substituted with v-w9980f4_ZU")</f>
        <v>zvládnout (v-w9980f3_ZU) - substituted with v-w9980f4_ZU</v>
      </c>
    </row>
    <row r="72008" customFormat="false" ht="12.8" hidden="false" customHeight="false" outlineLevel="0" collapsed="false">
      <c r="B72008" s="0" t="s">
        <v>7</v>
      </c>
      <c r="C72008" s="0" t="s">
        <v>16283</v>
      </c>
      <c r="D72008" s="0" t="s">
        <v>569</v>
      </c>
      <c r="E72008" s="0" t="s">
        <v>569</v>
      </c>
      <c r="F72008" s="0" t="s">
        <v>569</v>
      </c>
    </row>
    <row r="72009" customFormat="false" ht="12.8" hidden="false" customHeight="false" outlineLevel="0" collapsed="false">
      <c r="B72009" s="0" t="s">
        <v>14</v>
      </c>
      <c r="C72009" s="0" t="s">
        <v>11535</v>
      </c>
      <c r="D72009" s="0" t="s">
        <v>384</v>
      </c>
      <c r="E72009" s="0" t="s">
        <v>384</v>
      </c>
      <c r="F72009" s="0" t="s">
        <v>384</v>
      </c>
    </row>
    <row r="72011" customFormat="false" ht="12.8" hidden="false" customHeight="false" outlineLevel="0" collapsed="false">
      <c r="A72011" s="0" t="s">
        <v>24360</v>
      </c>
      <c r="B72011" s="0" t="str">
        <f aca="false">HYPERLINK("https://lindat.mff.cuni.cz/services/teitok/pdtc10/index.php?action=vallex&amp;frame=v-w9980f6_ZU", "zvládnout (v-w9980f6_ZU)")</f>
        <v>zvládnout (v-w9980f6_ZU)</v>
      </c>
    </row>
    <row r="72012" customFormat="false" ht="12.8" hidden="false" customHeight="false" outlineLevel="0" collapsed="false">
      <c r="B72012" s="0" t="s">
        <v>7</v>
      </c>
    </row>
    <row r="72013" customFormat="false" ht="12.8" hidden="false" customHeight="false" outlineLevel="0" collapsed="false">
      <c r="B72013" s="0" t="s">
        <v>14</v>
      </c>
    </row>
    <row r="72015" customFormat="false" ht="12.8" hidden="false" customHeight="false" outlineLevel="0" collapsed="false">
      <c r="A72015" s="0" t="s">
        <v>24361</v>
      </c>
      <c r="B72015" s="0" t="str">
        <f aca="false">HYPERLINK("https://lindat.mff.cuni.cz/services/teitok/pdtc10/index.php?action=vallex&amp;frame=v-w9980hsa_1702", "zvládnout (v-w9980hsa_1702)")</f>
        <v>zvládnout (v-w9980hsa_1702)</v>
      </c>
    </row>
    <row r="72016" customFormat="false" ht="12.8" hidden="false" customHeight="false" outlineLevel="0" collapsed="false">
      <c r="B72016" s="0" t="s">
        <v>7</v>
      </c>
    </row>
    <row r="72017" customFormat="false" ht="12.8" hidden="false" customHeight="false" outlineLevel="0" collapsed="false">
      <c r="B72017" s="0" t="s">
        <v>14</v>
      </c>
    </row>
    <row r="72019" customFormat="false" ht="12.8" hidden="false" customHeight="false" outlineLevel="0" collapsed="false">
      <c r="A72019" s="0" t="s">
        <v>24362</v>
      </c>
      <c r="B72019" s="0" t="str">
        <f aca="false">HYPERLINK("https://lindat.mff.cuni.cz/services/teitok/pdtc10/index.php?action=vallex&amp;frame=v-w9983f1", "zvolat (v-w9983f1)")</f>
        <v>zvolat (v-w9983f1)</v>
      </c>
    </row>
    <row r="72020" customFormat="false" ht="12.8" hidden="false" customHeight="false" outlineLevel="0" collapsed="false">
      <c r="B72020" s="0" t="s">
        <v>7</v>
      </c>
      <c r="C72020" s="0" t="s">
        <v>21</v>
      </c>
      <c r="D72020" s="0" t="s">
        <v>3051</v>
      </c>
      <c r="E72020" s="0" t="s">
        <v>3051</v>
      </c>
      <c r="F72020" s="0" t="s">
        <v>3051</v>
      </c>
    </row>
    <row r="72021" customFormat="false" ht="12.8" hidden="false" customHeight="false" outlineLevel="0" collapsed="false">
      <c r="B72021" s="0" t="s">
        <v>4335</v>
      </c>
      <c r="C72021" s="0" t="s">
        <v>5444</v>
      </c>
      <c r="D72021" s="0" t="s">
        <v>466</v>
      </c>
      <c r="E72021" s="0" t="s">
        <v>466</v>
      </c>
      <c r="F72021" s="0" t="s">
        <v>466</v>
      </c>
    </row>
    <row r="72022" customFormat="false" ht="12.8" hidden="false" customHeight="false" outlineLevel="0" collapsed="false">
      <c r="B72022" s="0" t="s">
        <v>4101</v>
      </c>
      <c r="D72022" s="0" t="s">
        <v>4154</v>
      </c>
      <c r="E72022" s="0" t="s">
        <v>4154</v>
      </c>
      <c r="F72022" s="0" t="s">
        <v>4154</v>
      </c>
    </row>
    <row r="72024" customFormat="false" ht="12.8" hidden="false" customHeight="false" outlineLevel="0" collapsed="false">
      <c r="A72024" s="0" t="s">
        <v>24363</v>
      </c>
      <c r="B72024" s="0" t="str">
        <f aca="false">HYPERLINK("https://lindat.mff.cuni.cz/services/teitok/pdtc10/index.php?action=vallex&amp;frame=v-w9986f3_ZU", "zvolit (v-w9986f3_ZU)")</f>
        <v>zvolit (v-w9986f3_ZU)</v>
      </c>
    </row>
    <row r="72025" customFormat="false" ht="12.8" hidden="false" customHeight="false" outlineLevel="0" collapsed="false">
      <c r="B72025" s="0" t="s">
        <v>7</v>
      </c>
    </row>
    <row r="72026" customFormat="false" ht="12.8" hidden="false" customHeight="false" outlineLevel="0" collapsed="false">
      <c r="B72026" s="0" t="s">
        <v>24364</v>
      </c>
    </row>
    <row r="72027" customFormat="false" ht="12.8" hidden="false" customHeight="false" outlineLevel="0" collapsed="false">
      <c r="B72027" s="0" t="s">
        <v>14787</v>
      </c>
    </row>
    <row r="72029" customFormat="false" ht="12.8" hidden="false" customHeight="false" outlineLevel="0" collapsed="false">
      <c r="A72029" s="0" t="s">
        <v>24363</v>
      </c>
      <c r="B72029" s="0" t="str">
        <f aca="false">HYPERLINK("https://lindat.mff.cuni.cz/services/teitok/pdtc10/index.php?action=vallex&amp;frame=v-w9986f1", "zvolit (v-w9986f1) - substituted with v-w9986f3_ZU")</f>
        <v>zvolit (v-w9986f1) - substituted with v-w9986f3_ZU</v>
      </c>
    </row>
    <row r="72030" customFormat="false" ht="12.8" hidden="false" customHeight="false" outlineLevel="0" collapsed="false">
      <c r="B72030" s="0" t="s">
        <v>7</v>
      </c>
      <c r="C72030" s="0" t="s">
        <v>24365</v>
      </c>
      <c r="D72030" s="0" t="s">
        <v>14784</v>
      </c>
      <c r="E72030" s="0" t="s">
        <v>14784</v>
      </c>
      <c r="F72030" s="0" t="s">
        <v>14784</v>
      </c>
    </row>
    <row r="72031" customFormat="false" ht="12.8" hidden="false" customHeight="false" outlineLevel="0" collapsed="false">
      <c r="B72031" s="0" t="s">
        <v>24364</v>
      </c>
      <c r="C72031" s="0" t="s">
        <v>24366</v>
      </c>
      <c r="D72031" s="0" t="s">
        <v>14786</v>
      </c>
      <c r="E72031" s="0" t="s">
        <v>14786</v>
      </c>
      <c r="F72031" s="0" t="s">
        <v>14786</v>
      </c>
    </row>
    <row r="72032" customFormat="false" ht="12.8" hidden="false" customHeight="false" outlineLevel="0" collapsed="false">
      <c r="B72032" s="0" t="s">
        <v>14787</v>
      </c>
      <c r="C72032" s="0" t="s">
        <v>14789</v>
      </c>
      <c r="D72032" s="0" t="s">
        <v>14789</v>
      </c>
      <c r="E72032" s="0" t="s">
        <v>14789</v>
      </c>
      <c r="F72032" s="0" t="s">
        <v>14789</v>
      </c>
    </row>
    <row r="72034" customFormat="false" ht="12.8" hidden="false" customHeight="false" outlineLevel="0" collapsed="false">
      <c r="A72034" s="0" t="s">
        <v>24363</v>
      </c>
      <c r="B72034" s="0" t="str">
        <f aca="false">HYPERLINK("https://lindat.mff.cuni.cz/services/teitok/pdtc10/index.php?action=vallex&amp;frame=v-w9986hsa_685", "zvolit (v-w9986hsa_685) - substituted with v-w9986f3_ZU")</f>
        <v>zvolit (v-w9986hsa_685) - substituted with v-w9986f3_ZU</v>
      </c>
    </row>
    <row r="72035" customFormat="false" ht="12.8" hidden="false" customHeight="false" outlineLevel="0" collapsed="false">
      <c r="B72035" s="0" t="s">
        <v>7</v>
      </c>
    </row>
    <row r="72036" customFormat="false" ht="12.8" hidden="false" customHeight="false" outlineLevel="0" collapsed="false">
      <c r="B72036" s="0" t="s">
        <v>24364</v>
      </c>
    </row>
    <row r="72037" customFormat="false" ht="12.8" hidden="false" customHeight="false" outlineLevel="0" collapsed="false">
      <c r="B72037" s="0" t="s">
        <v>14787</v>
      </c>
    </row>
    <row r="72039" customFormat="false" ht="12.8" hidden="false" customHeight="false" outlineLevel="0" collapsed="false">
      <c r="A72039" s="0" t="s">
        <v>24367</v>
      </c>
      <c r="B72039" s="0" t="str">
        <f aca="false">HYPERLINK("https://lindat.mff.cuni.cz/services/teitok/pdtc10/index.php?action=vallex&amp;frame=v-w9986f2", "zvolit (v-w9986f2)")</f>
        <v>zvolit (v-w9986f2)</v>
      </c>
    </row>
    <row r="72040" customFormat="false" ht="12.8" hidden="false" customHeight="false" outlineLevel="0" collapsed="false">
      <c r="B72040" s="0" t="s">
        <v>7</v>
      </c>
      <c r="C72040" s="0" t="s">
        <v>8313</v>
      </c>
      <c r="D72040" s="0" t="s">
        <v>358</v>
      </c>
      <c r="E72040" s="0" t="s">
        <v>358</v>
      </c>
      <c r="F72040" s="0" t="s">
        <v>358</v>
      </c>
    </row>
    <row r="72041" customFormat="false" ht="12.8" hidden="false" customHeight="false" outlineLevel="0" collapsed="false">
      <c r="B72041" s="0" t="s">
        <v>14</v>
      </c>
      <c r="C72041" s="0" t="s">
        <v>24368</v>
      </c>
      <c r="D72041" s="0" t="s">
        <v>4354</v>
      </c>
      <c r="E72041" s="0" t="s">
        <v>4354</v>
      </c>
      <c r="F72041" s="0" t="s">
        <v>4354</v>
      </c>
    </row>
    <row r="72042" customFormat="false" ht="12.8" hidden="false" customHeight="false" outlineLevel="0" collapsed="false">
      <c r="B72042" s="0" t="s">
        <v>4657</v>
      </c>
      <c r="C72042" s="0" t="s">
        <v>24369</v>
      </c>
      <c r="D72042" s="0" t="s">
        <v>4357</v>
      </c>
      <c r="E72042" s="0" t="s">
        <v>4357</v>
      </c>
      <c r="F72042" s="0" t="s">
        <v>4357</v>
      </c>
    </row>
    <row r="72044" customFormat="false" ht="12.8" hidden="false" customHeight="false" outlineLevel="0" collapsed="false">
      <c r="A72044" s="0" t="s">
        <v>24370</v>
      </c>
      <c r="B72044" s="0" t="str">
        <f aca="false">HYPERLINK("https://lindat.mff.cuni.cz/services/teitok/pdtc10/index.php?action=vallex&amp;frame=v-w10348f2", "zvolnit (v-w10348f2)")</f>
        <v>zvolnit (v-w10348f2)</v>
      </c>
    </row>
    <row r="72045" customFormat="false" ht="12.8" hidden="false" customHeight="false" outlineLevel="0" collapsed="false">
      <c r="B72045" s="0" t="s">
        <v>7</v>
      </c>
    </row>
    <row r="72046" customFormat="false" ht="12.8" hidden="false" customHeight="false" outlineLevel="0" collapsed="false">
      <c r="B72046" s="0" t="s">
        <v>14</v>
      </c>
    </row>
    <row r="72048" customFormat="false" ht="12.8" hidden="false" customHeight="false" outlineLevel="0" collapsed="false">
      <c r="A72048" s="0" t="s">
        <v>24371</v>
      </c>
      <c r="B72048" s="0" t="str">
        <f aca="false">HYPERLINK("https://lindat.mff.cuni.cz/services/teitok/pdtc10/index.php?action=vallex&amp;frame=v-w11118f2", "zvonit (v-w11118f2)")</f>
        <v>zvonit (v-w11118f2)</v>
      </c>
    </row>
    <row r="72049" customFormat="false" ht="12.8" hidden="false" customHeight="false" outlineLevel="0" collapsed="false">
      <c r="B72049" s="0" t="s">
        <v>7</v>
      </c>
      <c r="C72049" s="0" t="s">
        <v>247</v>
      </c>
      <c r="D72049" s="0" t="s">
        <v>247</v>
      </c>
      <c r="E72049" s="0" t="s">
        <v>247</v>
      </c>
      <c r="F72049" s="0" t="s">
        <v>247</v>
      </c>
    </row>
    <row r="72051" customFormat="false" ht="12.8" hidden="false" customHeight="false" outlineLevel="0" collapsed="false">
      <c r="A72051" s="0" t="s">
        <v>24372</v>
      </c>
      <c r="B72051" s="0" t="str">
        <f aca="false">HYPERLINK("https://lindat.mff.cuni.cz/services/teitok/pdtc10/index.php?action=vallex&amp;frame=v-w11118f5_ZU", "zvonit (v-w11118f5_ZU)")</f>
        <v>zvonit (v-w11118f5_ZU)</v>
      </c>
    </row>
    <row r="72052" customFormat="false" ht="12.8" hidden="false" customHeight="false" outlineLevel="0" collapsed="false">
      <c r="B72052" s="0" t="s">
        <v>7</v>
      </c>
    </row>
    <row r="72054" customFormat="false" ht="12.8" hidden="false" customHeight="false" outlineLevel="0" collapsed="false">
      <c r="A72054" s="0" t="s">
        <v>24372</v>
      </c>
      <c r="B72054" s="0" t="str">
        <f aca="false">HYPERLINK("https://lindat.mff.cuni.cz/services/teitok/pdtc10/index.php?action=vallex&amp;frame=v-w11118f4_ZU", "zvonit (v-w11118f4_ZU) - substituted with v-w11118f5_ZU")</f>
        <v>zvonit (v-w11118f4_ZU) - substituted with v-w11118f5_ZU</v>
      </c>
    </row>
    <row r="72055" customFormat="false" ht="12.8" hidden="false" customHeight="false" outlineLevel="0" collapsed="false">
      <c r="B72055" s="0" t="s">
        <v>7</v>
      </c>
      <c r="C72055" s="0" t="s">
        <v>248</v>
      </c>
      <c r="D72055" s="0" t="s">
        <v>1380</v>
      </c>
      <c r="E72055" s="0" t="s">
        <v>1380</v>
      </c>
      <c r="F72055" s="0" t="s">
        <v>1380</v>
      </c>
    </row>
    <row r="72057" customFormat="false" ht="12.8" hidden="false" customHeight="false" outlineLevel="0" collapsed="false">
      <c r="A72057" s="0" t="s">
        <v>24372</v>
      </c>
      <c r="B72057" s="0" t="str">
        <f aca="false">HYPERLINK("https://lindat.mff.cuni.cz/services/teitok/pdtc10/index.php?action=vallex&amp;frame=v-w11118hsa_1057", "zvonit (v-w11118hsa_1057) - substituted with v-w11118f5_ZU")</f>
        <v>zvonit (v-w11118hsa_1057) - substituted with v-w11118f5_ZU</v>
      </c>
    </row>
    <row r="72058" customFormat="false" ht="12.8" hidden="false" customHeight="false" outlineLevel="0" collapsed="false">
      <c r="B72058" s="0" t="s">
        <v>7</v>
      </c>
      <c r="C72058" s="0" t="s">
        <v>248</v>
      </c>
    </row>
    <row r="72060" customFormat="false" ht="12.8" hidden="false" customHeight="false" outlineLevel="0" collapsed="false">
      <c r="A72060" s="0" t="s">
        <v>24373</v>
      </c>
      <c r="B72060" s="0" t="str">
        <f aca="false">HYPERLINK("https://lindat.mff.cuni.cz/services/teitok/pdtc10/index.php?action=vallex&amp;frame=v-w11118f3_ZU", "zvonit (v-w11118f3_ZU)")</f>
        <v>zvonit (v-w11118f3_ZU)</v>
      </c>
    </row>
    <row r="72061" customFormat="false" ht="12.8" hidden="false" customHeight="false" outlineLevel="0" collapsed="false">
      <c r="B72061" s="0" t="s">
        <v>7</v>
      </c>
    </row>
    <row r="72062" customFormat="false" ht="12.8" hidden="false" customHeight="false" outlineLevel="0" collapsed="false">
      <c r="B72062" s="0" t="s">
        <v>24374</v>
      </c>
    </row>
    <row r="72063" customFormat="false" ht="12.8" hidden="false" customHeight="false" outlineLevel="0" collapsed="false">
      <c r="B72063" s="0" t="s">
        <v>142</v>
      </c>
    </row>
    <row r="72065" customFormat="false" ht="12.8" hidden="false" customHeight="false" outlineLevel="0" collapsed="false">
      <c r="A72065" s="0" t="s">
        <v>24373</v>
      </c>
      <c r="B72065" s="0" t="str">
        <f aca="false">HYPERLINK("https://lindat.mff.cuni.cz/services/teitok/pdtc10/index.php?action=vallex&amp;frame=v-w11118hsa_1058", "zvonit (v-w11118hsa_1058) - substituted with v-w11118f3_ZU")</f>
        <v>zvonit (v-w11118hsa_1058) - substituted with v-w11118f3_ZU</v>
      </c>
    </row>
    <row r="72066" customFormat="false" ht="12.8" hidden="false" customHeight="false" outlineLevel="0" collapsed="false">
      <c r="B72066" s="0" t="s">
        <v>7</v>
      </c>
    </row>
    <row r="72067" customFormat="false" ht="12.8" hidden="false" customHeight="false" outlineLevel="0" collapsed="false">
      <c r="B72067" s="0" t="s">
        <v>24374</v>
      </c>
    </row>
    <row r="72068" customFormat="false" ht="12.8" hidden="false" customHeight="false" outlineLevel="0" collapsed="false">
      <c r="B72068" s="0" t="s">
        <v>142</v>
      </c>
    </row>
    <row r="72070" customFormat="false" ht="12.8" hidden="false" customHeight="false" outlineLevel="0" collapsed="false">
      <c r="A72070" s="0" t="s">
        <v>24375</v>
      </c>
      <c r="B72070" s="0" t="str">
        <f aca="false">HYPERLINK("https://lindat.mff.cuni.cz/services/teitok/pdtc10/index.php?action=vallex&amp;frame=v-w11878_ZUf1_ZU", "zvorat (v-w11878_ZUf1_ZU)")</f>
        <v>zvorat (v-w11878_ZUf1_ZU)</v>
      </c>
    </row>
    <row r="72071" customFormat="false" ht="12.8" hidden="false" customHeight="false" outlineLevel="0" collapsed="false">
      <c r="B72071" s="0" t="s">
        <v>7</v>
      </c>
    </row>
    <row r="72072" customFormat="false" ht="12.8" hidden="false" customHeight="false" outlineLevel="0" collapsed="false">
      <c r="B72072" s="0" t="s">
        <v>14</v>
      </c>
    </row>
    <row r="72074" customFormat="false" ht="12.8" hidden="false" customHeight="false" outlineLevel="0" collapsed="false">
      <c r="A72074" s="0" t="s">
        <v>24376</v>
      </c>
      <c r="B72074" s="0" t="str">
        <f aca="false">HYPERLINK("https://lindat.mff.cuni.cz/services/teitok/pdtc10/index.php?action=vallex&amp;frame=v-w9989f1", "zvracet (v-w9989f1)")</f>
        <v>zvracet (v-w9989f1)</v>
      </c>
    </row>
    <row r="72075" customFormat="false" ht="12.8" hidden="false" customHeight="false" outlineLevel="0" collapsed="false">
      <c r="B72075" s="0" t="s">
        <v>7</v>
      </c>
    </row>
    <row r="72077" customFormat="false" ht="12.8" hidden="false" customHeight="false" outlineLevel="0" collapsed="false">
      <c r="A72077" s="0" t="s">
        <v>24377</v>
      </c>
      <c r="B72077" s="0" t="str">
        <f aca="false">HYPERLINK("https://lindat.mff.cuni.cz/services/teitok/pdtc10/index.php?action=vallex&amp;frame=v-w9992f1", "zvrhnout se (v-w9992f1)")</f>
        <v>zvrhnout se (v-w9992f1)</v>
      </c>
    </row>
    <row r="72078" customFormat="false" ht="12.8" hidden="false" customHeight="false" outlineLevel="0" collapsed="false">
      <c r="B72078" s="0" t="s">
        <v>7</v>
      </c>
      <c r="C72078" s="0" t="s">
        <v>24378</v>
      </c>
      <c r="D72078" s="0" t="s">
        <v>247</v>
      </c>
      <c r="E72078" s="0" t="s">
        <v>247</v>
      </c>
      <c r="F72078" s="0" t="s">
        <v>247</v>
      </c>
    </row>
    <row r="72079" customFormat="false" ht="12.8" hidden="false" customHeight="false" outlineLevel="0" collapsed="false">
      <c r="B72079" s="0" t="s">
        <v>2231</v>
      </c>
      <c r="C72079" s="0" t="s">
        <v>24379</v>
      </c>
      <c r="D72079" s="0" t="s">
        <v>23474</v>
      </c>
      <c r="E72079" s="0" t="s">
        <v>23474</v>
      </c>
      <c r="F72079" s="0" t="s">
        <v>23474</v>
      </c>
    </row>
    <row r="72081" customFormat="false" ht="12.8" hidden="false" customHeight="false" outlineLevel="0" collapsed="false">
      <c r="A72081" s="0" t="s">
        <v>24380</v>
      </c>
      <c r="B72081" s="0" t="str">
        <f aca="false">HYPERLINK("https://lindat.mff.cuni.cz/services/teitok/pdtc10/index.php?action=vallex&amp;frame=v-w9992hsa_1517", "zvrhnout se (v-w9992hsa_1517)")</f>
        <v>zvrhnout se (v-w9992hsa_1517)</v>
      </c>
    </row>
    <row r="72082" customFormat="false" ht="12.8" hidden="false" customHeight="false" outlineLevel="0" collapsed="false">
      <c r="B72082" s="0" t="s">
        <v>7</v>
      </c>
    </row>
    <row r="72084" customFormat="false" ht="12.8" hidden="false" customHeight="false" outlineLevel="0" collapsed="false">
      <c r="A72084" s="0" t="s">
        <v>24381</v>
      </c>
      <c r="B72084" s="0" t="str">
        <f aca="false">HYPERLINK("https://lindat.mff.cuni.cz/services/teitok/pdtc10/index.php?action=vallex&amp;frame=v-w11281f2", "zvrtnout se (v-w11281f2)")</f>
        <v>zvrtnout se (v-w11281f2)</v>
      </c>
    </row>
    <row r="72085" customFormat="false" ht="12.8" hidden="false" customHeight="false" outlineLevel="0" collapsed="false">
      <c r="B72085" s="0" t="s">
        <v>7</v>
      </c>
    </row>
    <row r="72087" customFormat="false" ht="12.8" hidden="false" customHeight="false" outlineLevel="0" collapsed="false">
      <c r="A72087" s="0" t="s">
        <v>24382</v>
      </c>
      <c r="B72087" s="0" t="str">
        <f aca="false">HYPERLINK("https://lindat.mff.cuni.cz/services/teitok/pdtc10/index.php?action=vallex&amp;frame=v-w9991f2_ZU", "zvrátit (v-w9991f2_ZU)")</f>
        <v>zvrátit (v-w9991f2_ZU)</v>
      </c>
    </row>
    <row r="72088" customFormat="false" ht="12.8" hidden="false" customHeight="false" outlineLevel="0" collapsed="false">
      <c r="B72088" s="0" t="s">
        <v>7</v>
      </c>
      <c r="C72088" s="0" t="s">
        <v>184</v>
      </c>
      <c r="D72088" s="0" t="s">
        <v>77</v>
      </c>
      <c r="E72088" s="0" t="s">
        <v>77</v>
      </c>
      <c r="F72088" s="0" t="s">
        <v>77</v>
      </c>
    </row>
    <row r="72089" customFormat="false" ht="12.8" hidden="false" customHeight="false" outlineLevel="0" collapsed="false">
      <c r="B72089" s="0" t="s">
        <v>14</v>
      </c>
      <c r="C72089" s="0" t="s">
        <v>47</v>
      </c>
      <c r="D72089" s="0" t="s">
        <v>4163</v>
      </c>
      <c r="E72089" s="0" t="s">
        <v>4163</v>
      </c>
      <c r="F72089" s="0" t="s">
        <v>4163</v>
      </c>
    </row>
    <row r="72090" customFormat="false" ht="12.8" hidden="false" customHeight="false" outlineLevel="0" collapsed="false">
      <c r="B72090" s="0" t="s">
        <v>35</v>
      </c>
    </row>
    <row r="72091" customFormat="false" ht="12.8" hidden="false" customHeight="false" outlineLevel="0" collapsed="false">
      <c r="B72091" s="0" t="s">
        <v>6192</v>
      </c>
      <c r="D72091" s="0" t="s">
        <v>5188</v>
      </c>
      <c r="E72091" s="0" t="s">
        <v>5188</v>
      </c>
      <c r="F72091" s="0" t="s">
        <v>5188</v>
      </c>
    </row>
    <row r="72093" customFormat="false" ht="12.8" hidden="false" customHeight="false" outlineLevel="0" collapsed="false">
      <c r="A72093" s="0" t="s">
        <v>24382</v>
      </c>
      <c r="B72093" s="0" t="str">
        <f aca="false">HYPERLINK("https://lindat.mff.cuni.cz/services/teitok/pdtc10/index.php?action=vallex&amp;frame=v-w9991f1", "zvrátit (v-w9991f1) - substituted with v-w9991f2_ZU")</f>
        <v>zvrátit (v-w9991f1) - substituted with v-w9991f2_ZU</v>
      </c>
    </row>
    <row r="72094" customFormat="false" ht="12.8" hidden="false" customHeight="false" outlineLevel="0" collapsed="false">
      <c r="B72094" s="0" t="s">
        <v>7</v>
      </c>
      <c r="C72094" s="0" t="s">
        <v>12961</v>
      </c>
    </row>
    <row r="72095" customFormat="false" ht="12.8" hidden="false" customHeight="false" outlineLevel="0" collapsed="false">
      <c r="B72095" s="0" t="s">
        <v>14</v>
      </c>
      <c r="C72095" s="0" t="s">
        <v>5091</v>
      </c>
    </row>
    <row r="72096" customFormat="false" ht="12.8" hidden="false" customHeight="false" outlineLevel="0" collapsed="false">
      <c r="B72096" s="0" t="s">
        <v>35</v>
      </c>
    </row>
    <row r="72097" customFormat="false" ht="12.8" hidden="false" customHeight="false" outlineLevel="0" collapsed="false">
      <c r="B72097" s="0" t="s">
        <v>6192</v>
      </c>
      <c r="C72097" s="0" t="s">
        <v>6439</v>
      </c>
    </row>
    <row r="72099" customFormat="false" ht="12.8" hidden="false" customHeight="false" outlineLevel="0" collapsed="false">
      <c r="A72099" s="0" t="s">
        <v>24382</v>
      </c>
      <c r="B72099" s="0" t="str">
        <f aca="false">HYPERLINK("https://lindat.mff.cuni.cz/services/teitok/pdtc10/index.php?action=vallex&amp;frame=v-w9991hsa_1164", "zvrátit (v-w9991hsa_1164) - substituted with v-w9991f2_ZU")</f>
        <v>zvrátit (v-w9991hsa_1164) - substituted with v-w9991f2_ZU</v>
      </c>
    </row>
    <row r="72100" customFormat="false" ht="12.8" hidden="false" customHeight="false" outlineLevel="0" collapsed="false">
      <c r="B72100" s="0" t="s">
        <v>7</v>
      </c>
    </row>
    <row r="72101" customFormat="false" ht="12.8" hidden="false" customHeight="false" outlineLevel="0" collapsed="false">
      <c r="B72101" s="0" t="s">
        <v>14</v>
      </c>
    </row>
    <row r="72102" customFormat="false" ht="12.8" hidden="false" customHeight="false" outlineLevel="0" collapsed="false">
      <c r="B72102" s="0" t="s">
        <v>35</v>
      </c>
    </row>
    <row r="72103" customFormat="false" ht="12.8" hidden="false" customHeight="false" outlineLevel="0" collapsed="false">
      <c r="B72103" s="0" t="s">
        <v>6192</v>
      </c>
    </row>
    <row r="72105" customFormat="false" ht="12.8" hidden="false" customHeight="false" outlineLevel="0" collapsed="false">
      <c r="A72105" s="0" t="s">
        <v>24383</v>
      </c>
      <c r="B72105" s="0" t="str">
        <f aca="false">HYPERLINK("https://lindat.mff.cuni.cz/services/teitok/pdtc10/index.php?action=vallex&amp;frame=v-whsa_968f1_ZU", "zvrátit se (v-whsa_968f1_ZU)")</f>
        <v>zvrátit se (v-whsa_968f1_ZU)</v>
      </c>
    </row>
    <row r="72106" customFormat="false" ht="12.8" hidden="false" customHeight="false" outlineLevel="0" collapsed="false">
      <c r="B72106" s="0" t="s">
        <v>7</v>
      </c>
      <c r="C72106" s="0" t="s">
        <v>2293</v>
      </c>
      <c r="D72106" s="0" t="s">
        <v>247</v>
      </c>
      <c r="E72106" s="0" t="s">
        <v>247</v>
      </c>
      <c r="F72106" s="0" t="s">
        <v>247</v>
      </c>
    </row>
    <row r="72107" customFormat="false" ht="12.8" hidden="false" customHeight="false" outlineLevel="0" collapsed="false">
      <c r="B72107" s="0" t="s">
        <v>5267</v>
      </c>
      <c r="D72107" s="0" t="s">
        <v>567</v>
      </c>
      <c r="E72107" s="0" t="s">
        <v>567</v>
      </c>
      <c r="F72107" s="0" t="s">
        <v>567</v>
      </c>
    </row>
    <row r="72108" customFormat="false" ht="12.8" hidden="false" customHeight="false" outlineLevel="0" collapsed="false">
      <c r="B72108" s="0" t="s">
        <v>35</v>
      </c>
    </row>
    <row r="72110" customFormat="false" ht="12.8" hidden="false" customHeight="false" outlineLevel="0" collapsed="false">
      <c r="A72110" s="0" t="s">
        <v>24383</v>
      </c>
      <c r="B72110" s="0" t="str">
        <f aca="false">HYPERLINK("https://lindat.mff.cuni.cz/services/teitok/pdtc10/index.php?action=vallex&amp;frame=v-whsa_968hsa_969", "zvrátit se (v-whsa_968hsa_969) - substituted with v-whsa_968f1_ZU")</f>
        <v>zvrátit se (v-whsa_968hsa_969) - substituted with v-whsa_968f1_ZU</v>
      </c>
    </row>
    <row r="72111" customFormat="false" ht="12.8" hidden="false" customHeight="false" outlineLevel="0" collapsed="false">
      <c r="B72111" s="0" t="s">
        <v>7</v>
      </c>
    </row>
    <row r="72112" customFormat="false" ht="12.8" hidden="false" customHeight="false" outlineLevel="0" collapsed="false">
      <c r="B72112" s="0" t="s">
        <v>5267</v>
      </c>
    </row>
    <row r="72113" customFormat="false" ht="12.8" hidden="false" customHeight="false" outlineLevel="0" collapsed="false">
      <c r="B72113" s="0" t="s">
        <v>35</v>
      </c>
    </row>
    <row r="72115" customFormat="false" ht="12.8" hidden="false" customHeight="false" outlineLevel="0" collapsed="false">
      <c r="A72115" s="0" t="s">
        <v>24384</v>
      </c>
      <c r="B72115" s="0" t="str">
        <f aca="false">HYPERLINK("https://lindat.mff.cuni.cz/services/teitok/pdtc10/index.php?action=vallex&amp;frame=v-w9993f1", "zvučet (v-w9993f1)")</f>
        <v>zvučet (v-w9993f1)</v>
      </c>
    </row>
    <row r="72116" customFormat="false" ht="12.8" hidden="false" customHeight="false" outlineLevel="0" collapsed="false">
      <c r="B72116" s="0" t="s">
        <v>7</v>
      </c>
    </row>
    <row r="72118" customFormat="false" ht="12.8" hidden="false" customHeight="false" outlineLevel="0" collapsed="false">
      <c r="A72118" s="0" t="s">
        <v>24385</v>
      </c>
      <c r="B72118" s="0" t="str">
        <f aca="false">HYPERLINK("https://lindat.mff.cuni.cz/services/teitok/pdtc10/index.php?action=vallex&amp;frame=v-w9999f1", "zvykat si (v-w9999f1)")</f>
        <v>zvykat si (v-w9999f1)</v>
      </c>
    </row>
    <row r="72119" customFormat="false" ht="12.8" hidden="false" customHeight="false" outlineLevel="0" collapsed="false">
      <c r="B72119" s="0" t="s">
        <v>7</v>
      </c>
      <c r="C72119" s="0" t="s">
        <v>24386</v>
      </c>
    </row>
    <row r="72120" customFormat="false" ht="12.8" hidden="false" customHeight="false" outlineLevel="0" collapsed="false">
      <c r="B72120" s="0" t="s">
        <v>24387</v>
      </c>
      <c r="C72120" s="0" t="s">
        <v>2685</v>
      </c>
    </row>
    <row r="72122" customFormat="false" ht="12.8" hidden="false" customHeight="false" outlineLevel="0" collapsed="false">
      <c r="A72122" s="0" t="s">
        <v>24388</v>
      </c>
      <c r="B72122" s="0" t="str">
        <f aca="false">HYPERLINK("https://lindat.mff.cuni.cz/services/teitok/pdtc10/index.php?action=vallex&amp;frame=v-w10001f1", "zvyknout si (v-w10001f1)")</f>
        <v>zvyknout si (v-w10001f1)</v>
      </c>
    </row>
    <row r="72123" customFormat="false" ht="12.8" hidden="false" customHeight="false" outlineLevel="0" collapsed="false">
      <c r="B72123" s="0" t="s">
        <v>7</v>
      </c>
      <c r="C72123" s="0" t="s">
        <v>24389</v>
      </c>
      <c r="D72123" s="0" t="s">
        <v>14276</v>
      </c>
      <c r="E72123" s="0" t="s">
        <v>14277</v>
      </c>
      <c r="F72123" s="0" t="s">
        <v>14277</v>
      </c>
    </row>
    <row r="72124" customFormat="false" ht="12.8" hidden="false" customHeight="false" outlineLevel="0" collapsed="false">
      <c r="B72124" s="0" t="s">
        <v>24387</v>
      </c>
      <c r="C72124" s="0" t="s">
        <v>24390</v>
      </c>
      <c r="D72124" s="0" t="s">
        <v>14279</v>
      </c>
      <c r="E72124" s="0" t="s">
        <v>14280</v>
      </c>
      <c r="F72124" s="0" t="s">
        <v>14280</v>
      </c>
    </row>
    <row r="72126" customFormat="false" ht="12.8" hidden="false" customHeight="false" outlineLevel="0" collapsed="false">
      <c r="A72126" s="0" t="s">
        <v>24391</v>
      </c>
      <c r="B72126" s="0" t="str">
        <f aca="false">HYPERLINK("https://lindat.mff.cuni.cz/services/teitok/pdtc10/index.php?action=vallex&amp;frame=v-w10009f1", "zvyšovat (v-w10009f1)")</f>
        <v>zvyšovat (v-w10009f1)</v>
      </c>
    </row>
    <row r="72127" customFormat="false" ht="12.8" hidden="false" customHeight="false" outlineLevel="0" collapsed="false">
      <c r="B72127" s="0" t="s">
        <v>7</v>
      </c>
      <c r="C72127" s="0" t="s">
        <v>24392</v>
      </c>
      <c r="D72127" s="0" t="s">
        <v>6436</v>
      </c>
      <c r="E72127" s="0" t="s">
        <v>6436</v>
      </c>
      <c r="F72127" s="0" t="s">
        <v>6436</v>
      </c>
    </row>
    <row r="72128" customFormat="false" ht="12.8" hidden="false" customHeight="false" outlineLevel="0" collapsed="false">
      <c r="B72128" s="0" t="s">
        <v>14</v>
      </c>
      <c r="C72128" s="0" t="s">
        <v>24393</v>
      </c>
      <c r="D72128" s="0" t="s">
        <v>6437</v>
      </c>
      <c r="E72128" s="0" t="s">
        <v>6437</v>
      </c>
      <c r="F72128" s="0" t="s">
        <v>6437</v>
      </c>
    </row>
    <row r="72129" customFormat="false" ht="12.8" hidden="false" customHeight="false" outlineLevel="0" collapsed="false">
      <c r="B72129" s="0" t="s">
        <v>35</v>
      </c>
      <c r="C72129" s="0" t="s">
        <v>24394</v>
      </c>
      <c r="D72129" s="0" t="s">
        <v>6438</v>
      </c>
      <c r="E72129" s="0" t="s">
        <v>6438</v>
      </c>
      <c r="F72129" s="0" t="s">
        <v>6438</v>
      </c>
    </row>
    <row r="72130" customFormat="false" ht="12.8" hidden="false" customHeight="false" outlineLevel="0" collapsed="false">
      <c r="B72130" s="0" t="s">
        <v>84</v>
      </c>
      <c r="C72130" s="0" t="s">
        <v>24395</v>
      </c>
      <c r="D72130" s="0" t="s">
        <v>6440</v>
      </c>
      <c r="E72130" s="0" t="s">
        <v>6440</v>
      </c>
      <c r="F72130" s="0" t="s">
        <v>6440</v>
      </c>
    </row>
    <row r="72132" customFormat="false" ht="12.8" hidden="false" customHeight="false" outlineLevel="0" collapsed="false">
      <c r="A72132" s="0" t="s">
        <v>24396</v>
      </c>
      <c r="B72132" s="0" t="str">
        <f aca="false">HYPERLINK("https://lindat.mff.cuni.cz/services/teitok/pdtc10/index.php?action=vallex&amp;frame=v-w10010f1", "zvyšovat se (v-w10010f1)")</f>
        <v>zvyšovat se (v-w10010f1)</v>
      </c>
    </row>
    <row r="72133" customFormat="false" ht="12.8" hidden="false" customHeight="false" outlineLevel="0" collapsed="false">
      <c r="B72133" s="0" t="s">
        <v>7</v>
      </c>
      <c r="C72133" s="0" t="s">
        <v>24397</v>
      </c>
      <c r="D72133" s="0" t="s">
        <v>6244</v>
      </c>
      <c r="E72133" s="0" t="s">
        <v>6244</v>
      </c>
      <c r="F72133" s="0" t="s">
        <v>6244</v>
      </c>
    </row>
    <row r="72134" customFormat="false" ht="12.8" hidden="false" customHeight="false" outlineLevel="0" collapsed="false">
      <c r="B72134" s="0" t="s">
        <v>63</v>
      </c>
      <c r="C72134" s="0" t="s">
        <v>24398</v>
      </c>
      <c r="D72134" s="0" t="s">
        <v>4496</v>
      </c>
      <c r="E72134" s="0" t="s">
        <v>4496</v>
      </c>
      <c r="F72134" s="0" t="s">
        <v>4496</v>
      </c>
    </row>
    <row r="72135" customFormat="false" ht="12.8" hidden="false" customHeight="false" outlineLevel="0" collapsed="false">
      <c r="B72135" s="0" t="s">
        <v>35</v>
      </c>
      <c r="C72135" s="0" t="s">
        <v>24399</v>
      </c>
      <c r="D72135" s="0" t="s">
        <v>4497</v>
      </c>
      <c r="E72135" s="0" t="s">
        <v>4497</v>
      </c>
      <c r="F72135" s="0" t="s">
        <v>4497</v>
      </c>
    </row>
    <row r="72137" customFormat="false" ht="12.8" hidden="false" customHeight="false" outlineLevel="0" collapsed="false">
      <c r="A72137" s="0" t="s">
        <v>24400</v>
      </c>
      <c r="B72137" s="0" t="str">
        <f aca="false">HYPERLINK("https://lindat.mff.cuni.cz/services/teitok/pdtc10/index.php?action=vallex&amp;frame=v-w9947f2", "zvát (v-w9947f2)")</f>
        <v>zvát (v-w9947f2)</v>
      </c>
    </row>
    <row r="72138" customFormat="false" ht="12.8" hidden="false" customHeight="false" outlineLevel="0" collapsed="false">
      <c r="B72138" s="0" t="s">
        <v>7</v>
      </c>
    </row>
    <row r="72139" customFormat="false" ht="12.8" hidden="false" customHeight="false" outlineLevel="0" collapsed="false">
      <c r="B72139" s="0" t="s">
        <v>14</v>
      </c>
    </row>
    <row r="72140" customFormat="false" ht="12.8" hidden="false" customHeight="false" outlineLevel="0" collapsed="false">
      <c r="B72140" s="0" t="s">
        <v>7293</v>
      </c>
    </row>
    <row r="72142" customFormat="false" ht="12.8" hidden="false" customHeight="false" outlineLevel="0" collapsed="false">
      <c r="A72142" s="0" t="s">
        <v>24401</v>
      </c>
      <c r="B72142" s="0" t="str">
        <f aca="false">HYPERLINK("https://lindat.mff.cuni.cz/services/teitok/pdtc10/index.php?action=vallex&amp;frame=v-w9947f1", "zvát (v-w9947f1)")</f>
        <v>zvát (v-w9947f1)</v>
      </c>
    </row>
    <row r="72143" customFormat="false" ht="12.8" hidden="false" customHeight="false" outlineLevel="0" collapsed="false">
      <c r="B72143" s="0" t="s">
        <v>7</v>
      </c>
      <c r="C72143" s="0" t="s">
        <v>24402</v>
      </c>
      <c r="D72143" s="0" t="s">
        <v>118</v>
      </c>
      <c r="E72143" s="0" t="s">
        <v>118</v>
      </c>
      <c r="F72143" s="0" t="s">
        <v>118</v>
      </c>
    </row>
    <row r="72144" customFormat="false" ht="12.8" hidden="false" customHeight="false" outlineLevel="0" collapsed="false">
      <c r="B72144" s="0" t="s">
        <v>14</v>
      </c>
      <c r="C72144" s="0" t="s">
        <v>24403</v>
      </c>
      <c r="D72144" s="0" t="s">
        <v>1289</v>
      </c>
      <c r="E72144" s="0" t="s">
        <v>1289</v>
      </c>
      <c r="F72144" s="0" t="s">
        <v>1289</v>
      </c>
    </row>
    <row r="72146" customFormat="false" ht="12.8" hidden="false" customHeight="false" outlineLevel="0" collapsed="false">
      <c r="A72146" s="0" t="s">
        <v>24404</v>
      </c>
      <c r="B72146" s="0" t="str">
        <f aca="false">HYPERLINK("https://lindat.mff.cuni.cz/services/teitok/pdtc10/index.php?action=vallex&amp;frame=v-w9949f1", "zvážit (v-w9949f1)")</f>
        <v>zvážit (v-w9949f1)</v>
      </c>
    </row>
    <row r="72147" customFormat="false" ht="12.8" hidden="false" customHeight="false" outlineLevel="0" collapsed="false">
      <c r="B72147" s="0" t="s">
        <v>7</v>
      </c>
      <c r="C72147" s="0" t="s">
        <v>429</v>
      </c>
      <c r="D72147" s="0" t="s">
        <v>515</v>
      </c>
      <c r="E72147" s="0" t="s">
        <v>515</v>
      </c>
      <c r="F72147" s="0" t="s">
        <v>515</v>
      </c>
    </row>
    <row r="72148" customFormat="false" ht="12.8" hidden="false" customHeight="false" outlineLevel="0" collapsed="false">
      <c r="B72148" s="0" t="s">
        <v>14912</v>
      </c>
      <c r="C72148" s="0" t="s">
        <v>24405</v>
      </c>
      <c r="D72148" s="0" t="s">
        <v>519</v>
      </c>
      <c r="E72148" s="0" t="s">
        <v>519</v>
      </c>
      <c r="F72148" s="0" t="s">
        <v>519</v>
      </c>
    </row>
    <row r="72150" customFormat="false" ht="12.8" hidden="false" customHeight="false" outlineLevel="0" collapsed="false">
      <c r="A72150" s="0" t="s">
        <v>24406</v>
      </c>
      <c r="B72150" s="0" t="str">
        <f aca="false">HYPERLINK("https://lindat.mff.cuni.cz/services/teitok/pdtc10/index.php?action=vallex&amp;frame=v-w10581f2", "zvážnět (v-w10581f2)")</f>
        <v>zvážnět (v-w10581f2)</v>
      </c>
    </row>
    <row r="72151" customFormat="false" ht="12.8" hidden="false" customHeight="false" outlineLevel="0" collapsed="false">
      <c r="B72151" s="0" t="s">
        <v>7</v>
      </c>
    </row>
    <row r="72153" customFormat="false" ht="12.8" hidden="false" customHeight="false" outlineLevel="0" collapsed="false">
      <c r="A72153" s="0" t="s">
        <v>24407</v>
      </c>
      <c r="B72153" s="0" t="str">
        <f aca="false">HYPERLINK("https://lindat.mff.cuni.cz/services/teitok/pdtc10/index.php?action=vallex&amp;frame=v-w9978f1", "zvítězit (v-w9978f1)")</f>
        <v>zvítězit (v-w9978f1)</v>
      </c>
    </row>
    <row r="72154" customFormat="false" ht="12.8" hidden="false" customHeight="false" outlineLevel="0" collapsed="false">
      <c r="B72154" s="0" t="s">
        <v>7</v>
      </c>
      <c r="C72154" s="0" t="s">
        <v>24408</v>
      </c>
      <c r="D72154" s="0" t="s">
        <v>91</v>
      </c>
      <c r="E72154" s="0" t="s">
        <v>91</v>
      </c>
      <c r="F72154" s="0" t="s">
        <v>91</v>
      </c>
    </row>
    <row r="72155" customFormat="false" ht="12.8" hidden="false" customHeight="false" outlineLevel="0" collapsed="false">
      <c r="B72155" s="0" t="s">
        <v>706</v>
      </c>
      <c r="C72155" s="0" t="s">
        <v>24409</v>
      </c>
      <c r="D72155" s="0" t="s">
        <v>6697</v>
      </c>
      <c r="E72155" s="0" t="s">
        <v>6697</v>
      </c>
      <c r="F72155" s="0" t="s">
        <v>6697</v>
      </c>
    </row>
    <row r="72156" customFormat="false" ht="12.8" hidden="false" customHeight="false" outlineLevel="0" collapsed="false">
      <c r="B72156" s="0" t="s">
        <v>24410</v>
      </c>
    </row>
    <row r="72158" customFormat="false" ht="12.8" hidden="false" customHeight="false" outlineLevel="0" collapsed="false">
      <c r="A72158" s="0" t="s">
        <v>24411</v>
      </c>
      <c r="B72158" s="0" t="str">
        <f aca="false">HYPERLINK("https://lindat.mff.cuni.cz/services/teitok/pdtc10/index.php?action=vallex&amp;frame=v-w9995f1", "zvýhodnit (v-w9995f1)")</f>
        <v>zvýhodnit (v-w9995f1)</v>
      </c>
    </row>
    <row r="72159" customFormat="false" ht="12.8" hidden="false" customHeight="false" outlineLevel="0" collapsed="false">
      <c r="B72159" s="0" t="s">
        <v>7</v>
      </c>
      <c r="C72159" s="0" t="s">
        <v>442</v>
      </c>
      <c r="D72159" s="0" t="s">
        <v>6781</v>
      </c>
      <c r="E72159" s="0" t="s">
        <v>24412</v>
      </c>
      <c r="F72159" s="0" t="s">
        <v>24412</v>
      </c>
    </row>
    <row r="72160" customFormat="false" ht="12.8" hidden="false" customHeight="false" outlineLevel="0" collapsed="false">
      <c r="B72160" s="0" t="s">
        <v>14</v>
      </c>
      <c r="C72160" s="0" t="s">
        <v>10210</v>
      </c>
      <c r="D72160" s="0" t="s">
        <v>6783</v>
      </c>
      <c r="E72160" s="0" t="s">
        <v>24413</v>
      </c>
      <c r="F72160" s="0" t="s">
        <v>24413</v>
      </c>
    </row>
    <row r="72162" customFormat="false" ht="12.8" hidden="false" customHeight="false" outlineLevel="0" collapsed="false">
      <c r="A72162" s="0" t="s">
        <v>24414</v>
      </c>
      <c r="B72162" s="0" t="str">
        <f aca="false">HYPERLINK("https://lindat.mff.cuni.cz/services/teitok/pdtc10/index.php?action=vallex&amp;frame=v-w9997f1", "zvýhodňovat (v-w9997f1)")</f>
        <v>zvýhodňovat (v-w9997f1)</v>
      </c>
    </row>
    <row r="72163" customFormat="false" ht="12.8" hidden="false" customHeight="false" outlineLevel="0" collapsed="false">
      <c r="B72163" s="0" t="s">
        <v>7</v>
      </c>
      <c r="C72163" s="0" t="s">
        <v>4362</v>
      </c>
      <c r="D72163" s="0" t="s">
        <v>6781</v>
      </c>
      <c r="E72163" s="0" t="s">
        <v>6781</v>
      </c>
      <c r="F72163" s="0" t="s">
        <v>6781</v>
      </c>
    </row>
    <row r="72164" customFormat="false" ht="12.8" hidden="false" customHeight="false" outlineLevel="0" collapsed="false">
      <c r="B72164" s="0" t="s">
        <v>14</v>
      </c>
      <c r="C72164" s="0" t="s">
        <v>356</v>
      </c>
      <c r="D72164" s="0" t="s">
        <v>6783</v>
      </c>
      <c r="E72164" s="0" t="s">
        <v>6783</v>
      </c>
      <c r="F72164" s="0" t="s">
        <v>6783</v>
      </c>
    </row>
    <row r="72166" customFormat="false" ht="12.8" hidden="false" customHeight="false" outlineLevel="0" collapsed="false">
      <c r="A72166" s="0" t="s">
        <v>24415</v>
      </c>
      <c r="B72166" s="0" t="str">
        <f aca="false">HYPERLINK("https://lindat.mff.cuni.cz/services/teitok/pdtc10/index.php?action=vallex&amp;frame=v-w10003f1", "zvýraznit (v-w10003f1)")</f>
        <v>zvýraznit (v-w10003f1)</v>
      </c>
    </row>
    <row r="72167" customFormat="false" ht="12.8" hidden="false" customHeight="false" outlineLevel="0" collapsed="false">
      <c r="B72167" s="0" t="s">
        <v>7</v>
      </c>
      <c r="C72167" s="0" t="s">
        <v>126</v>
      </c>
      <c r="D72167" s="0" t="s">
        <v>4677</v>
      </c>
      <c r="E72167" s="0" t="s">
        <v>4677</v>
      </c>
      <c r="F72167" s="0" t="s">
        <v>4677</v>
      </c>
    </row>
    <row r="72168" customFormat="false" ht="12.8" hidden="false" customHeight="false" outlineLevel="0" collapsed="false">
      <c r="B72168" s="0" t="s">
        <v>172</v>
      </c>
      <c r="C72168" s="0" t="s">
        <v>2641</v>
      </c>
      <c r="D72168" s="0" t="s">
        <v>10088</v>
      </c>
      <c r="E72168" s="0" t="s">
        <v>10088</v>
      </c>
      <c r="F72168" s="0" t="s">
        <v>10088</v>
      </c>
    </row>
    <row r="72170" customFormat="false" ht="12.8" hidden="false" customHeight="false" outlineLevel="0" collapsed="false">
      <c r="A72170" s="0" t="s">
        <v>24416</v>
      </c>
      <c r="B72170" s="0" t="str">
        <f aca="false">HYPERLINK("https://lindat.mff.cuni.cz/services/teitok/pdtc10/index.php?action=vallex&amp;frame=v-w10484f3", "zvýrazňovat (v-w10484f3)")</f>
        <v>zvýrazňovat (v-w10484f3)</v>
      </c>
    </row>
    <row r="72171" customFormat="false" ht="12.8" hidden="false" customHeight="false" outlineLevel="0" collapsed="false">
      <c r="B72171" s="0" t="s">
        <v>7</v>
      </c>
      <c r="C72171" s="0" t="s">
        <v>113</v>
      </c>
      <c r="D72171" s="0" t="s">
        <v>4677</v>
      </c>
      <c r="E72171" s="0" t="s">
        <v>4677</v>
      </c>
      <c r="F72171" s="0" t="s">
        <v>4677</v>
      </c>
    </row>
    <row r="72172" customFormat="false" ht="12.8" hidden="false" customHeight="false" outlineLevel="0" collapsed="false">
      <c r="B72172" s="0" t="s">
        <v>172</v>
      </c>
      <c r="C72172" s="0" t="s">
        <v>1170</v>
      </c>
      <c r="D72172" s="0" t="s">
        <v>10088</v>
      </c>
      <c r="E72172" s="0" t="s">
        <v>10088</v>
      </c>
      <c r="F72172" s="0" t="s">
        <v>10088</v>
      </c>
    </row>
    <row r="72174" customFormat="false" ht="12.8" hidden="false" customHeight="false" outlineLevel="0" collapsed="false">
      <c r="A72174" s="0" t="s">
        <v>24417</v>
      </c>
      <c r="B72174" s="0" t="str">
        <f aca="false">HYPERLINK("https://lindat.mff.cuni.cz/services/teitok/pdtc10/index.php?action=vallex&amp;frame=v-w10006f1", "zvýšit (v-w10006f1)")</f>
        <v>zvýšit (v-w10006f1)</v>
      </c>
    </row>
    <row r="72175" customFormat="false" ht="12.8" hidden="false" customHeight="false" outlineLevel="0" collapsed="false">
      <c r="B72175" s="0" t="s">
        <v>7</v>
      </c>
      <c r="C72175" s="0" t="s">
        <v>24418</v>
      </c>
      <c r="D72175" s="0" t="s">
        <v>6436</v>
      </c>
      <c r="E72175" s="0" t="s">
        <v>6436</v>
      </c>
      <c r="F72175" s="0" t="s">
        <v>6436</v>
      </c>
    </row>
    <row r="72176" customFormat="false" ht="12.8" hidden="false" customHeight="false" outlineLevel="0" collapsed="false">
      <c r="B72176" s="0" t="s">
        <v>14</v>
      </c>
      <c r="C72176" s="0" t="s">
        <v>24419</v>
      </c>
      <c r="D72176" s="0" t="s">
        <v>6437</v>
      </c>
      <c r="E72176" s="0" t="s">
        <v>6437</v>
      </c>
      <c r="F72176" s="0" t="s">
        <v>6437</v>
      </c>
    </row>
    <row r="72177" customFormat="false" ht="12.8" hidden="false" customHeight="false" outlineLevel="0" collapsed="false">
      <c r="B72177" s="0" t="s">
        <v>35</v>
      </c>
      <c r="C72177" s="0" t="s">
        <v>24420</v>
      </c>
      <c r="D72177" s="0" t="s">
        <v>6438</v>
      </c>
      <c r="E72177" s="0" t="s">
        <v>6438</v>
      </c>
      <c r="F72177" s="0" t="s">
        <v>6438</v>
      </c>
    </row>
    <row r="72178" customFormat="false" ht="12.8" hidden="false" customHeight="false" outlineLevel="0" collapsed="false">
      <c r="B72178" s="0" t="s">
        <v>84</v>
      </c>
      <c r="C72178" s="0" t="s">
        <v>24421</v>
      </c>
      <c r="D72178" s="0" t="s">
        <v>6440</v>
      </c>
      <c r="E72178" s="0" t="s">
        <v>6440</v>
      </c>
      <c r="F72178" s="0" t="s">
        <v>6440</v>
      </c>
    </row>
    <row r="72180" customFormat="false" ht="12.8" hidden="false" customHeight="false" outlineLevel="0" collapsed="false">
      <c r="A72180" s="0" t="s">
        <v>24422</v>
      </c>
      <c r="B72180" s="0" t="str">
        <f aca="false">HYPERLINK("https://lindat.mff.cuni.cz/services/teitok/pdtc10/index.php?action=vallex&amp;frame=v-w10006f2_ZU", "zvýšit (v-w10006f2_ZU)")</f>
        <v>zvýšit (v-w10006f2_ZU)</v>
      </c>
    </row>
    <row r="72181" customFormat="false" ht="12.8" hidden="false" customHeight="false" outlineLevel="0" collapsed="false">
      <c r="B72181" s="0" t="s">
        <v>7</v>
      </c>
      <c r="C72181" s="0" t="s">
        <v>24423</v>
      </c>
      <c r="D72181" s="0" t="s">
        <v>6244</v>
      </c>
      <c r="E72181" s="0" t="s">
        <v>6244</v>
      </c>
      <c r="F72181" s="0" t="s">
        <v>6244</v>
      </c>
    </row>
    <row r="72182" customFormat="false" ht="12.8" hidden="false" customHeight="false" outlineLevel="0" collapsed="false">
      <c r="B72182" s="0" t="s">
        <v>63</v>
      </c>
      <c r="C72182" s="0" t="s">
        <v>24424</v>
      </c>
      <c r="D72182" s="0" t="s">
        <v>4496</v>
      </c>
      <c r="E72182" s="0" t="s">
        <v>4496</v>
      </c>
      <c r="F72182" s="0" t="s">
        <v>4496</v>
      </c>
    </row>
    <row r="72183" customFormat="false" ht="12.8" hidden="false" customHeight="false" outlineLevel="0" collapsed="false">
      <c r="B72183" s="0" t="s">
        <v>35</v>
      </c>
      <c r="C72183" s="0" t="s">
        <v>24425</v>
      </c>
      <c r="D72183" s="0" t="s">
        <v>4497</v>
      </c>
      <c r="E72183" s="0" t="s">
        <v>4497</v>
      </c>
      <c r="F72183" s="0" t="s">
        <v>4497</v>
      </c>
    </row>
    <row r="72185" customFormat="false" ht="12.8" hidden="false" customHeight="false" outlineLevel="0" collapsed="false">
      <c r="A72185" s="0" t="s">
        <v>24422</v>
      </c>
      <c r="B72185" s="0" t="str">
        <f aca="false">HYPERLINK("https://lindat.mff.cuni.cz/services/teitok/pdtc10/index.php?action=vallex&amp;frame=v-w10006hsa_957", "zvýšit (v-w10006hsa_957) - substituted with v-w10006f2_ZU")</f>
        <v>zvýšit (v-w10006hsa_957) - substituted with v-w10006f2_ZU</v>
      </c>
    </row>
    <row r="72186" customFormat="false" ht="12.8" hidden="false" customHeight="false" outlineLevel="0" collapsed="false">
      <c r="B72186" s="0" t="s">
        <v>7</v>
      </c>
    </row>
    <row r="72187" customFormat="false" ht="12.8" hidden="false" customHeight="false" outlineLevel="0" collapsed="false">
      <c r="B72187" s="0" t="s">
        <v>63</v>
      </c>
    </row>
    <row r="72188" customFormat="false" ht="12.8" hidden="false" customHeight="false" outlineLevel="0" collapsed="false">
      <c r="B72188" s="0" t="s">
        <v>35</v>
      </c>
    </row>
    <row r="72190" customFormat="false" ht="12.8" hidden="false" customHeight="false" outlineLevel="0" collapsed="false">
      <c r="A72190" s="0" t="s">
        <v>24426</v>
      </c>
      <c r="B72190" s="0" t="str">
        <f aca="false">HYPERLINK("https://lindat.mff.cuni.cz/services/teitok/pdtc10/index.php?action=vallex&amp;frame=v-w10007f1", "zvýšit se (v-w10007f1)")</f>
        <v>zvýšit se (v-w10007f1)</v>
      </c>
    </row>
    <row r="72191" customFormat="false" ht="12.8" hidden="false" customHeight="false" outlineLevel="0" collapsed="false">
      <c r="B72191" s="0" t="s">
        <v>7</v>
      </c>
      <c r="C72191" s="0" t="s">
        <v>24427</v>
      </c>
      <c r="D72191" s="0" t="s">
        <v>6244</v>
      </c>
      <c r="E72191" s="0" t="s">
        <v>6244</v>
      </c>
      <c r="F72191" s="0" t="s">
        <v>6244</v>
      </c>
    </row>
    <row r="72192" customFormat="false" ht="12.8" hidden="false" customHeight="false" outlineLevel="0" collapsed="false">
      <c r="B72192" s="0" t="s">
        <v>63</v>
      </c>
      <c r="C72192" s="0" t="s">
        <v>24428</v>
      </c>
      <c r="D72192" s="0" t="s">
        <v>4496</v>
      </c>
      <c r="E72192" s="0" t="s">
        <v>4496</v>
      </c>
      <c r="F72192" s="0" t="s">
        <v>4496</v>
      </c>
    </row>
    <row r="72193" customFormat="false" ht="12.8" hidden="false" customHeight="false" outlineLevel="0" collapsed="false">
      <c r="B72193" s="0" t="s">
        <v>35</v>
      </c>
      <c r="C72193" s="0" t="s">
        <v>24429</v>
      </c>
      <c r="D72193" s="0" t="s">
        <v>4497</v>
      </c>
      <c r="E72193" s="0" t="s">
        <v>4497</v>
      </c>
      <c r="F72193" s="0" t="s">
        <v>4497</v>
      </c>
    </row>
    <row r="72195" customFormat="false" ht="12.8" hidden="false" customHeight="false" outlineLevel="0" collapsed="false">
      <c r="A72195" s="0" t="s">
        <v>24430</v>
      </c>
      <c r="B72195" s="0" t="str">
        <f aca="false">HYPERLINK("https://lindat.mff.cuni.cz/services/teitok/pdtc10/index.php?action=vallex&amp;frame=v-w9955f2", "zvědět (v-w9955f2)")</f>
        <v>zvědět (v-w9955f2)</v>
      </c>
    </row>
    <row r="72196" customFormat="false" ht="12.8" hidden="false" customHeight="false" outlineLevel="0" collapsed="false">
      <c r="B72196" s="0" t="s">
        <v>7</v>
      </c>
    </row>
    <row r="72197" customFormat="false" ht="12.8" hidden="false" customHeight="false" outlineLevel="0" collapsed="false">
      <c r="B72197" s="0" t="s">
        <v>2253</v>
      </c>
    </row>
    <row r="72198" customFormat="false" ht="12.8" hidden="false" customHeight="false" outlineLevel="0" collapsed="false">
      <c r="B72198" s="0" t="s">
        <v>441</v>
      </c>
    </row>
    <row r="72200" customFormat="false" ht="12.8" hidden="false" customHeight="false" outlineLevel="0" collapsed="false">
      <c r="A72200" s="0" t="s">
        <v>24431</v>
      </c>
      <c r="B72200" s="0" t="str">
        <f aca="false">HYPERLINK("https://lindat.mff.cuni.cz/services/teitok/pdtc10/index.php?action=vallex&amp;frame=v-w9955f1", "zvědět (v-w9955f1)")</f>
        <v>zvědět (v-w9955f1)</v>
      </c>
    </row>
    <row r="72201" customFormat="false" ht="12.8" hidden="false" customHeight="false" outlineLevel="0" collapsed="false">
      <c r="B72201" s="0" t="s">
        <v>7</v>
      </c>
    </row>
    <row r="72202" customFormat="false" ht="12.8" hidden="false" customHeight="false" outlineLevel="0" collapsed="false">
      <c r="B72202" s="0" t="s">
        <v>19653</v>
      </c>
    </row>
    <row r="72203" customFormat="false" ht="12.8" hidden="false" customHeight="false" outlineLevel="0" collapsed="false">
      <c r="B72203" s="0" t="s">
        <v>363</v>
      </c>
    </row>
    <row r="72204" customFormat="false" ht="12.8" hidden="false" customHeight="false" outlineLevel="0" collapsed="false">
      <c r="B72204" s="0" t="s">
        <v>441</v>
      </c>
    </row>
    <row r="72206" customFormat="false" ht="12.8" hidden="false" customHeight="false" outlineLevel="0" collapsed="false">
      <c r="A72206" s="0" t="s">
        <v>24432</v>
      </c>
      <c r="B72206" s="0" t="str">
        <f aca="false">HYPERLINK("https://lindat.mff.cuni.cz/services/teitok/pdtc10/index.php?action=vallex&amp;frame=v-w10181f2", "zvěstovat (v-w10181f2)")</f>
        <v>zvěstovat (v-w10181f2)</v>
      </c>
    </row>
    <row r="72207" customFormat="false" ht="12.8" hidden="false" customHeight="false" outlineLevel="0" collapsed="false">
      <c r="B72207" s="0" t="s">
        <v>7</v>
      </c>
      <c r="C72207" s="0" t="s">
        <v>113</v>
      </c>
      <c r="D72207" s="0" t="s">
        <v>164</v>
      </c>
      <c r="E72207" s="0" t="s">
        <v>164</v>
      </c>
      <c r="F72207" s="0" t="s">
        <v>164</v>
      </c>
    </row>
    <row r="72208" customFormat="false" ht="12.8" hidden="false" customHeight="false" outlineLevel="0" collapsed="false">
      <c r="B72208" s="0" t="s">
        <v>367</v>
      </c>
      <c r="C72208" s="0" t="s">
        <v>384</v>
      </c>
      <c r="D72208" s="0" t="s">
        <v>167</v>
      </c>
      <c r="E72208" s="0" t="s">
        <v>167</v>
      </c>
      <c r="F72208" s="0" t="s">
        <v>167</v>
      </c>
    </row>
    <row r="72209" customFormat="false" ht="12.8" hidden="false" customHeight="false" outlineLevel="0" collapsed="false">
      <c r="B72209" s="0" t="s">
        <v>48</v>
      </c>
      <c r="D72209" s="0" t="s">
        <v>168</v>
      </c>
      <c r="E72209" s="0" t="s">
        <v>168</v>
      </c>
      <c r="F72209" s="0" t="s">
        <v>168</v>
      </c>
    </row>
    <row r="72211" customFormat="false" ht="12.8" hidden="false" customHeight="false" outlineLevel="0" collapsed="false">
      <c r="A72211" s="0" t="s">
        <v>24433</v>
      </c>
      <c r="B72211" s="0" t="str">
        <f aca="false">HYPERLINK("https://lindat.mff.cuni.cz/services/teitok/pdtc10/index.php?action=vallex&amp;frame=v-w9971f1", "zvětšit (v-w9971f1)")</f>
        <v>zvětšit (v-w9971f1)</v>
      </c>
    </row>
    <row r="72212" customFormat="false" ht="12.8" hidden="false" customHeight="false" outlineLevel="0" collapsed="false">
      <c r="B72212" s="0" t="s">
        <v>7</v>
      </c>
      <c r="C72212" s="0" t="s">
        <v>24434</v>
      </c>
      <c r="D72212" s="0" t="s">
        <v>6436</v>
      </c>
      <c r="E72212" s="0" t="s">
        <v>6436</v>
      </c>
      <c r="F72212" s="0" t="s">
        <v>6436</v>
      </c>
    </row>
    <row r="72213" customFormat="false" ht="12.8" hidden="false" customHeight="false" outlineLevel="0" collapsed="false">
      <c r="B72213" s="0" t="s">
        <v>14</v>
      </c>
      <c r="C72213" s="0" t="s">
        <v>24435</v>
      </c>
      <c r="D72213" s="0" t="s">
        <v>6437</v>
      </c>
      <c r="E72213" s="0" t="s">
        <v>6437</v>
      </c>
      <c r="F72213" s="0" t="s">
        <v>6437</v>
      </c>
    </row>
    <row r="72214" customFormat="false" ht="12.8" hidden="false" customHeight="false" outlineLevel="0" collapsed="false">
      <c r="B72214" s="0" t="s">
        <v>35</v>
      </c>
      <c r="C72214" s="0" t="s">
        <v>24436</v>
      </c>
      <c r="D72214" s="0" t="s">
        <v>6438</v>
      </c>
      <c r="E72214" s="0" t="s">
        <v>6438</v>
      </c>
      <c r="F72214" s="0" t="s">
        <v>6438</v>
      </c>
    </row>
    <row r="72215" customFormat="false" ht="12.8" hidden="false" customHeight="false" outlineLevel="0" collapsed="false">
      <c r="B72215" s="0" t="s">
        <v>84</v>
      </c>
      <c r="C72215" s="0" t="s">
        <v>24437</v>
      </c>
      <c r="D72215" s="0" t="s">
        <v>6440</v>
      </c>
      <c r="E72215" s="0" t="s">
        <v>6440</v>
      </c>
      <c r="F72215" s="0" t="s">
        <v>6440</v>
      </c>
    </row>
    <row r="72217" customFormat="false" ht="12.8" hidden="false" customHeight="false" outlineLevel="0" collapsed="false">
      <c r="A72217" s="0" t="s">
        <v>24438</v>
      </c>
      <c r="B72217" s="0" t="str">
        <f aca="false">HYPERLINK("https://lindat.mff.cuni.cz/services/teitok/pdtc10/index.php?action=vallex&amp;frame=v-w9972f1", "zvětšit se (v-w9972f1)")</f>
        <v>zvětšit se (v-w9972f1)</v>
      </c>
    </row>
    <row r="72218" customFormat="false" ht="12.8" hidden="false" customHeight="false" outlineLevel="0" collapsed="false">
      <c r="B72218" s="0" t="s">
        <v>7</v>
      </c>
      <c r="C72218" s="0" t="s">
        <v>24439</v>
      </c>
      <c r="D72218" s="0" t="s">
        <v>6244</v>
      </c>
      <c r="E72218" s="0" t="s">
        <v>6244</v>
      </c>
      <c r="F72218" s="0" t="s">
        <v>6244</v>
      </c>
    </row>
    <row r="72219" customFormat="false" ht="12.8" hidden="false" customHeight="false" outlineLevel="0" collapsed="false">
      <c r="B72219" s="0" t="s">
        <v>63</v>
      </c>
      <c r="C72219" s="0" t="s">
        <v>24440</v>
      </c>
      <c r="D72219" s="0" t="s">
        <v>4496</v>
      </c>
      <c r="E72219" s="0" t="s">
        <v>4496</v>
      </c>
      <c r="F72219" s="0" t="s">
        <v>4496</v>
      </c>
    </row>
    <row r="72220" customFormat="false" ht="12.8" hidden="false" customHeight="false" outlineLevel="0" collapsed="false">
      <c r="B72220" s="0" t="s">
        <v>35</v>
      </c>
      <c r="C72220" s="0" t="s">
        <v>24441</v>
      </c>
      <c r="D72220" s="0" t="s">
        <v>4497</v>
      </c>
      <c r="E72220" s="0" t="s">
        <v>4497</v>
      </c>
      <c r="F72220" s="0" t="s">
        <v>4497</v>
      </c>
    </row>
    <row r="72222" customFormat="false" ht="12.8" hidden="false" customHeight="false" outlineLevel="0" collapsed="false">
      <c r="A72222" s="0" t="s">
        <v>24442</v>
      </c>
      <c r="B72222" s="0" t="str">
        <f aca="false">HYPERLINK("https://lindat.mff.cuni.cz/services/teitok/pdtc10/index.php?action=vallex&amp;frame=v-w9973f1", "zvětšovat (v-w9973f1)")</f>
        <v>zvětšovat (v-w9973f1)</v>
      </c>
    </row>
    <row r="72223" customFormat="false" ht="12.8" hidden="false" customHeight="false" outlineLevel="0" collapsed="false">
      <c r="B72223" s="0" t="s">
        <v>7</v>
      </c>
      <c r="D72223" s="0" t="s">
        <v>6436</v>
      </c>
      <c r="E72223" s="0" t="s">
        <v>6436</v>
      </c>
      <c r="F72223" s="0" t="s">
        <v>6436</v>
      </c>
    </row>
    <row r="72224" customFormat="false" ht="12.8" hidden="false" customHeight="false" outlineLevel="0" collapsed="false">
      <c r="B72224" s="0" t="s">
        <v>14</v>
      </c>
      <c r="D72224" s="0" t="s">
        <v>6437</v>
      </c>
      <c r="E72224" s="0" t="s">
        <v>6437</v>
      </c>
      <c r="F72224" s="0" t="s">
        <v>6437</v>
      </c>
    </row>
    <row r="72225" customFormat="false" ht="12.8" hidden="false" customHeight="false" outlineLevel="0" collapsed="false">
      <c r="B72225" s="0" t="s">
        <v>35</v>
      </c>
      <c r="D72225" s="0" t="s">
        <v>6438</v>
      </c>
      <c r="E72225" s="0" t="s">
        <v>6438</v>
      </c>
      <c r="F72225" s="0" t="s">
        <v>6438</v>
      </c>
    </row>
    <row r="72226" customFormat="false" ht="12.8" hidden="false" customHeight="false" outlineLevel="0" collapsed="false">
      <c r="B72226" s="0" t="s">
        <v>84</v>
      </c>
      <c r="D72226" s="0" t="s">
        <v>6440</v>
      </c>
      <c r="E72226" s="0" t="s">
        <v>6440</v>
      </c>
      <c r="F72226" s="0" t="s">
        <v>6440</v>
      </c>
    </row>
    <row r="72228" customFormat="false" ht="12.8" hidden="false" customHeight="false" outlineLevel="0" collapsed="false">
      <c r="A72228" s="0" t="s">
        <v>24443</v>
      </c>
      <c r="B72228" s="0" t="str">
        <f aca="false">HYPERLINK("https://lindat.mff.cuni.cz/services/teitok/pdtc10/index.php?action=vallex&amp;frame=v-w9974f1", "zvětšovat se (v-w9974f1)")</f>
        <v>zvětšovat se (v-w9974f1)</v>
      </c>
    </row>
    <row r="72229" customFormat="false" ht="12.8" hidden="false" customHeight="false" outlineLevel="0" collapsed="false">
      <c r="B72229" s="0" t="s">
        <v>7</v>
      </c>
      <c r="C72229" s="0" t="s">
        <v>24444</v>
      </c>
      <c r="D72229" s="0" t="s">
        <v>6244</v>
      </c>
      <c r="E72229" s="0" t="s">
        <v>6244</v>
      </c>
      <c r="F72229" s="0" t="s">
        <v>6244</v>
      </c>
    </row>
    <row r="72230" customFormat="false" ht="12.8" hidden="false" customHeight="false" outlineLevel="0" collapsed="false">
      <c r="B72230" s="0" t="s">
        <v>63</v>
      </c>
      <c r="C72230" s="0" t="s">
        <v>24445</v>
      </c>
      <c r="D72230" s="0" t="s">
        <v>4496</v>
      </c>
      <c r="E72230" s="0" t="s">
        <v>4496</v>
      </c>
      <c r="F72230" s="0" t="s">
        <v>4496</v>
      </c>
    </row>
    <row r="72231" customFormat="false" ht="12.8" hidden="false" customHeight="false" outlineLevel="0" collapsed="false">
      <c r="B72231" s="0" t="s">
        <v>35</v>
      </c>
      <c r="C72231" s="0" t="s">
        <v>24446</v>
      </c>
      <c r="D72231" s="0" t="s">
        <v>4497</v>
      </c>
      <c r="E72231" s="0" t="s">
        <v>4497</v>
      </c>
      <c r="F72231" s="0" t="s">
        <v>4497</v>
      </c>
    </row>
    <row r="72233" customFormat="false" ht="12.8" hidden="false" customHeight="false" outlineLevel="0" collapsed="false">
      <c r="A72233" s="0" t="s">
        <v>24447</v>
      </c>
      <c r="B72233" s="0" t="str">
        <f aca="false">HYPERLINK("https://lindat.mff.cuni.cz/services/teitok/pdtc10/index.php?action=vallex&amp;frame=v-w9951f1", "zvěčnit (v-w9951f1)")</f>
        <v>zvěčnit (v-w9951f1)</v>
      </c>
    </row>
    <row r="72234" customFormat="false" ht="12.8" hidden="false" customHeight="false" outlineLevel="0" collapsed="false">
      <c r="B72234" s="0" t="s">
        <v>7</v>
      </c>
    </row>
    <row r="72235" customFormat="false" ht="12.8" hidden="false" customHeight="false" outlineLevel="0" collapsed="false">
      <c r="B72235" s="0" t="s">
        <v>14</v>
      </c>
    </row>
    <row r="72237" customFormat="false" ht="12.8" hidden="false" customHeight="false" outlineLevel="0" collapsed="false">
      <c r="A72237" s="0" t="s">
        <v>24448</v>
      </c>
      <c r="B72237" s="0" t="str">
        <f aca="false">HYPERLINK("https://lindat.mff.cuni.cz/services/teitok/pdtc10/index.php?action=vallex&amp;frame=v-w8741f1", "zábst (v-w8741f1)")</f>
        <v>zábst (v-w8741f1)</v>
      </c>
    </row>
    <row r="72238" customFormat="false" ht="12.8" hidden="false" customHeight="false" outlineLevel="0" collapsed="false">
      <c r="B72238" s="0" t="s">
        <v>199</v>
      </c>
    </row>
    <row r="72239" customFormat="false" ht="12.8" hidden="false" customHeight="false" outlineLevel="0" collapsed="false">
      <c r="B72239" s="0" t="s">
        <v>328</v>
      </c>
    </row>
    <row r="72241" customFormat="false" ht="12.8" hidden="false" customHeight="false" outlineLevel="0" collapsed="false">
      <c r="A72241" s="0" t="s">
        <v>24449</v>
      </c>
      <c r="B72241" s="0" t="str">
        <f aca="false">HYPERLINK("https://lindat.mff.cuni.cz/services/teitok/pdtc10/index.php?action=vallex&amp;frame=v-w8913f4_MM", "záležet (v-w8913f4_MM)")</f>
        <v>záležet (v-w8913f4_MM)</v>
      </c>
    </row>
    <row r="72242" customFormat="false" ht="12.8" hidden="false" customHeight="false" outlineLevel="0" collapsed="false">
      <c r="B72242" s="0" t="s">
        <v>24450</v>
      </c>
    </row>
    <row r="72243" customFormat="false" ht="12.8" hidden="false" customHeight="false" outlineLevel="0" collapsed="false">
      <c r="B72243" s="0" t="s">
        <v>24451</v>
      </c>
    </row>
    <row r="72245" customFormat="false" ht="12.8" hidden="false" customHeight="false" outlineLevel="0" collapsed="false">
      <c r="A72245" s="0" t="s">
        <v>24449</v>
      </c>
      <c r="B72245" s="0" t="str">
        <f aca="false">HYPERLINK("https://lindat.mff.cuni.cz/services/teitok/pdtc10/index.php?action=vallex&amp;frame=v-w8913f1", "záležet (v-w8913f1) - substituted with v-w8913f4_MM")</f>
        <v>záležet (v-w8913f1) - substituted with v-w8913f4_MM</v>
      </c>
    </row>
    <row r="72246" customFormat="false" ht="12.8" hidden="false" customHeight="false" outlineLevel="0" collapsed="false">
      <c r="B72246" s="0" t="s">
        <v>24450</v>
      </c>
      <c r="C72246" s="0" t="s">
        <v>24452</v>
      </c>
      <c r="D72246" s="0" t="s">
        <v>24453</v>
      </c>
      <c r="E72246" s="0" t="s">
        <v>24453</v>
      </c>
      <c r="F72246" s="0" t="s">
        <v>24453</v>
      </c>
    </row>
    <row r="72247" customFormat="false" ht="12.8" hidden="false" customHeight="false" outlineLevel="0" collapsed="false">
      <c r="B72247" s="0" t="s">
        <v>24451</v>
      </c>
      <c r="C72247" s="0" t="s">
        <v>24454</v>
      </c>
      <c r="D72247" s="0" t="s">
        <v>19346</v>
      </c>
      <c r="E72247" s="0" t="s">
        <v>19346</v>
      </c>
      <c r="F72247" s="0" t="s">
        <v>19346</v>
      </c>
    </row>
    <row r="72249" customFormat="false" ht="12.8" hidden="false" customHeight="false" outlineLevel="0" collapsed="false">
      <c r="A72249" s="0" t="s">
        <v>24449</v>
      </c>
      <c r="B72249" s="0" t="str">
        <f aca="false">HYPERLINK("https://lindat.mff.cuni.cz/services/teitok/pdtc10/index.php?action=vallex&amp;frame=v-w8913f3_ZU", "záležet (v-w8913f3_ZU) - substituted with v-w8913f4_MM")</f>
        <v>záležet (v-w8913f3_ZU) - substituted with v-w8913f4_MM</v>
      </c>
    </row>
    <row r="72250" customFormat="false" ht="12.8" hidden="false" customHeight="false" outlineLevel="0" collapsed="false">
      <c r="B72250" s="0" t="s">
        <v>24450</v>
      </c>
    </row>
    <row r="72251" customFormat="false" ht="12.8" hidden="false" customHeight="false" outlineLevel="0" collapsed="false">
      <c r="B72251" s="0" t="s">
        <v>24451</v>
      </c>
    </row>
    <row r="72253" customFormat="false" ht="12.8" hidden="false" customHeight="false" outlineLevel="0" collapsed="false">
      <c r="A72253" s="0" t="s">
        <v>24455</v>
      </c>
      <c r="B72253" s="0" t="str">
        <f aca="false">HYPERLINK("https://lindat.mff.cuni.cz/services/teitok/pdtc10/index.php?action=vallex&amp;frame=v-w8913f2", "záležet (v-w8913f2)")</f>
        <v>záležet (v-w8913f2)</v>
      </c>
    </row>
    <row r="72254" customFormat="false" ht="12.8" hidden="false" customHeight="false" outlineLevel="0" collapsed="false">
      <c r="B72254" s="0" t="s">
        <v>603</v>
      </c>
    </row>
    <row r="72255" customFormat="false" ht="12.8" hidden="false" customHeight="false" outlineLevel="0" collapsed="false">
      <c r="B72255" s="0" t="s">
        <v>220</v>
      </c>
      <c r="C72255" s="0" t="s">
        <v>89</v>
      </c>
    </row>
    <row r="72257" customFormat="false" ht="12.8" hidden="false" customHeight="false" outlineLevel="0" collapsed="false">
      <c r="A72257" s="0" t="s">
        <v>24456</v>
      </c>
      <c r="B72257" s="0" t="str">
        <f aca="false">HYPERLINK("https://lindat.mff.cuni.cz/services/teitok/pdtc10/index.php?action=vallex&amp;frame=v-w9007f1", "zápasit (v-w9007f1)")</f>
        <v>zápasit (v-w9007f1)</v>
      </c>
    </row>
    <row r="72258" customFormat="false" ht="12.8" hidden="false" customHeight="false" outlineLevel="0" collapsed="false">
      <c r="B72258" s="0" t="s">
        <v>7</v>
      </c>
      <c r="C72258" s="0" t="s">
        <v>1226</v>
      </c>
      <c r="D72258" s="0" t="s">
        <v>9491</v>
      </c>
      <c r="E72258" s="0" t="s">
        <v>9491</v>
      </c>
      <c r="F72258" s="0" t="s">
        <v>9491</v>
      </c>
    </row>
    <row r="72259" customFormat="false" ht="12.8" hidden="false" customHeight="false" outlineLevel="0" collapsed="false">
      <c r="B72259" s="0" t="s">
        <v>548</v>
      </c>
      <c r="C72259" s="0" t="s">
        <v>8244</v>
      </c>
      <c r="D72259" s="0" t="s">
        <v>9492</v>
      </c>
      <c r="E72259" s="0" t="s">
        <v>9492</v>
      </c>
      <c r="F72259" s="0" t="s">
        <v>9492</v>
      </c>
    </row>
    <row r="72261" customFormat="false" ht="12.8" hidden="false" customHeight="false" outlineLevel="0" collapsed="false">
      <c r="A72261" s="0" t="s">
        <v>24457</v>
      </c>
      <c r="B72261" s="0" t="str">
        <f aca="false">HYPERLINK("https://lindat.mff.cuni.cz/services/teitok/pdtc10/index.php?action=vallex&amp;frame=v-w9007f2", "zápasit (v-w9007f2)")</f>
        <v>zápasit (v-w9007f2)</v>
      </c>
    </row>
    <row r="72262" customFormat="false" ht="12.8" hidden="false" customHeight="false" outlineLevel="0" collapsed="false">
      <c r="B72262" s="0" t="s">
        <v>7</v>
      </c>
      <c r="C72262" s="0" t="s">
        <v>3664</v>
      </c>
    </row>
    <row r="72263" customFormat="false" ht="12.8" hidden="false" customHeight="false" outlineLevel="0" collapsed="false">
      <c r="B72263" s="0" t="s">
        <v>16097</v>
      </c>
    </row>
    <row r="72264" customFormat="false" ht="12.8" hidden="false" customHeight="false" outlineLevel="0" collapsed="false">
      <c r="B72264" s="0" t="s">
        <v>320</v>
      </c>
      <c r="C72264" s="0" t="s">
        <v>173</v>
      </c>
    </row>
    <row r="72266" customFormat="false" ht="12.8" hidden="false" customHeight="false" outlineLevel="0" collapsed="false">
      <c r="A72266" s="0" t="s">
        <v>24458</v>
      </c>
      <c r="B72266" s="0" t="str">
        <f aca="false">HYPERLINK("https://lindat.mff.cuni.cz/services/teitok/pdtc10/index.php?action=vallex&amp;frame=v-w10595f2", "zápolit (v-w10595f2)")</f>
        <v>zápolit (v-w10595f2)</v>
      </c>
    </row>
    <row r="72267" customFormat="false" ht="12.8" hidden="false" customHeight="false" outlineLevel="0" collapsed="false">
      <c r="B72267" s="0" t="s">
        <v>7</v>
      </c>
      <c r="C72267" s="0" t="s">
        <v>1637</v>
      </c>
      <c r="D72267" s="0" t="s">
        <v>310</v>
      </c>
      <c r="E72267" s="0" t="s">
        <v>310</v>
      </c>
      <c r="F72267" s="0" t="s">
        <v>310</v>
      </c>
    </row>
    <row r="72268" customFormat="false" ht="12.8" hidden="false" customHeight="false" outlineLevel="0" collapsed="false">
      <c r="B72268" s="0" t="s">
        <v>548</v>
      </c>
      <c r="C72268" s="0" t="s">
        <v>2788</v>
      </c>
      <c r="D72268" s="0" t="s">
        <v>313</v>
      </c>
      <c r="E72268" s="0" t="s">
        <v>313</v>
      </c>
      <c r="F72268" s="0" t="s">
        <v>313</v>
      </c>
    </row>
    <row r="72270" customFormat="false" ht="12.8" hidden="false" customHeight="false" outlineLevel="0" collapsed="false">
      <c r="A72270" s="0" t="s">
        <v>24459</v>
      </c>
      <c r="B72270" s="0" t="str">
        <f aca="false">HYPERLINK("https://lindat.mff.cuni.cz/services/teitok/pdtc10/index.php?action=vallex&amp;frame=v-w10628f2", "zásobit (v-w10628f2)")</f>
        <v>zásobit (v-w10628f2)</v>
      </c>
    </row>
    <row r="72271" customFormat="false" ht="12.8" hidden="false" customHeight="false" outlineLevel="0" collapsed="false">
      <c r="B72271" s="0" t="s">
        <v>7</v>
      </c>
      <c r="C72271" s="0" t="s">
        <v>24460</v>
      </c>
      <c r="D72271" s="0" t="s">
        <v>8931</v>
      </c>
      <c r="E72271" s="0" t="s">
        <v>8931</v>
      </c>
      <c r="F72271" s="0" t="s">
        <v>8931</v>
      </c>
    </row>
    <row r="72272" customFormat="false" ht="12.8" hidden="false" customHeight="false" outlineLevel="0" collapsed="false">
      <c r="B72272" s="0" t="s">
        <v>81</v>
      </c>
      <c r="C72272" s="0" t="s">
        <v>24461</v>
      </c>
      <c r="D72272" s="0" t="s">
        <v>24462</v>
      </c>
      <c r="E72272" s="0" t="s">
        <v>24462</v>
      </c>
      <c r="F72272" s="0" t="s">
        <v>24462</v>
      </c>
    </row>
    <row r="72273" customFormat="false" ht="12.8" hidden="false" customHeight="false" outlineLevel="0" collapsed="false">
      <c r="B72273" s="0" t="s">
        <v>3771</v>
      </c>
      <c r="C72273" s="0" t="s">
        <v>1209</v>
      </c>
      <c r="D72273" s="0" t="s">
        <v>24463</v>
      </c>
      <c r="E72273" s="0" t="s">
        <v>24463</v>
      </c>
      <c r="F72273" s="0" t="s">
        <v>24463</v>
      </c>
    </row>
    <row r="72275" customFormat="false" ht="12.8" hidden="false" customHeight="false" outlineLevel="0" collapsed="false">
      <c r="A72275" s="0" t="s">
        <v>24464</v>
      </c>
      <c r="B72275" s="0" t="str">
        <f aca="false">HYPERLINK("https://lindat.mff.cuni.cz/services/teitok/pdtc10/index.php?action=vallex&amp;frame=v-w9148f1", "zásobovat (v-w9148f1)")</f>
        <v>zásobovat (v-w9148f1)</v>
      </c>
    </row>
    <row r="72276" customFormat="false" ht="12.8" hidden="false" customHeight="false" outlineLevel="0" collapsed="false">
      <c r="B72276" s="0" t="s">
        <v>7</v>
      </c>
      <c r="C72276" s="0" t="s">
        <v>24465</v>
      </c>
      <c r="D72276" s="0" t="s">
        <v>24466</v>
      </c>
      <c r="E72276" s="0" t="s">
        <v>24466</v>
      </c>
      <c r="F72276" s="0" t="s">
        <v>24466</v>
      </c>
    </row>
    <row r="72277" customFormat="false" ht="12.8" hidden="false" customHeight="false" outlineLevel="0" collapsed="false">
      <c r="B72277" s="0" t="s">
        <v>81</v>
      </c>
      <c r="C72277" s="0" t="s">
        <v>24467</v>
      </c>
      <c r="D72277" s="0" t="s">
        <v>24468</v>
      </c>
      <c r="E72277" s="0" t="s">
        <v>24468</v>
      </c>
      <c r="F72277" s="0" t="s">
        <v>24468</v>
      </c>
    </row>
    <row r="72278" customFormat="false" ht="12.8" hidden="false" customHeight="false" outlineLevel="0" collapsed="false">
      <c r="B72278" s="0" t="s">
        <v>3771</v>
      </c>
      <c r="C72278" s="0" t="s">
        <v>22608</v>
      </c>
      <c r="D72278" s="0" t="s">
        <v>24469</v>
      </c>
      <c r="E72278" s="0" t="s">
        <v>24469</v>
      </c>
      <c r="F72278" s="0" t="s">
        <v>24469</v>
      </c>
    </row>
    <row r="72280" customFormat="false" ht="12.8" hidden="false" customHeight="false" outlineLevel="0" collapsed="false">
      <c r="A72280" s="0" t="s">
        <v>24470</v>
      </c>
      <c r="B72280" s="0" t="str">
        <f aca="false">HYPERLINK("https://lindat.mff.cuni.cz/services/teitok/pdtc10/index.php?action=vallex&amp;frame=v-w9276f2_ZU", "závidět (v-w9276f2_ZU)")</f>
        <v>závidět (v-w9276f2_ZU)</v>
      </c>
    </row>
    <row r="72281" customFormat="false" ht="12.8" hidden="false" customHeight="false" outlineLevel="0" collapsed="false">
      <c r="B72281" s="0" t="s">
        <v>7</v>
      </c>
    </row>
    <row r="72282" customFormat="false" ht="12.8" hidden="false" customHeight="false" outlineLevel="0" collapsed="false">
      <c r="B72282" s="0" t="s">
        <v>24471</v>
      </c>
    </row>
    <row r="72283" customFormat="false" ht="12.8" hidden="false" customHeight="false" outlineLevel="0" collapsed="false">
      <c r="B72283" s="0" t="s">
        <v>48</v>
      </c>
    </row>
    <row r="72285" customFormat="false" ht="12.8" hidden="false" customHeight="false" outlineLevel="0" collapsed="false">
      <c r="A72285" s="0" t="s">
        <v>24470</v>
      </c>
      <c r="B72285" s="0" t="str">
        <f aca="false">HYPERLINK("https://lindat.mff.cuni.cz/services/teitok/pdtc10/index.php?action=vallex&amp;frame=v-w9276f1", "závidět (v-w9276f1) - substituted with v-w9276f2_ZU")</f>
        <v>závidět (v-w9276f1) - substituted with v-w9276f2_ZU</v>
      </c>
    </row>
    <row r="72286" customFormat="false" ht="12.8" hidden="false" customHeight="false" outlineLevel="0" collapsed="false">
      <c r="B72286" s="0" t="s">
        <v>7</v>
      </c>
      <c r="C72286" s="0" t="s">
        <v>191</v>
      </c>
    </row>
    <row r="72287" customFormat="false" ht="12.8" hidden="false" customHeight="false" outlineLevel="0" collapsed="false">
      <c r="B72287" s="0" t="s">
        <v>24471</v>
      </c>
      <c r="C72287" s="0" t="s">
        <v>155</v>
      </c>
    </row>
    <row r="72288" customFormat="false" ht="12.8" hidden="false" customHeight="false" outlineLevel="0" collapsed="false">
      <c r="B72288" s="0" t="s">
        <v>48</v>
      </c>
    </row>
    <row r="72290" customFormat="false" ht="12.8" hidden="false" customHeight="false" outlineLevel="0" collapsed="false">
      <c r="A72290" s="0" t="s">
        <v>24470</v>
      </c>
      <c r="B72290" s="0" t="str">
        <f aca="false">HYPERLINK("https://lindat.mff.cuni.cz/services/teitok/pdtc10/index.php?action=vallex&amp;frame=v-w9276hsa_305", "závidět (v-w9276hsa_305) - substituted with v-w9276f2_ZU")</f>
        <v>závidět (v-w9276hsa_305) - substituted with v-w9276f2_ZU</v>
      </c>
    </row>
    <row r="72291" customFormat="false" ht="12.8" hidden="false" customHeight="false" outlineLevel="0" collapsed="false">
      <c r="B72291" s="0" t="s">
        <v>7</v>
      </c>
    </row>
    <row r="72292" customFormat="false" ht="12.8" hidden="false" customHeight="false" outlineLevel="0" collapsed="false">
      <c r="B72292" s="0" t="s">
        <v>24471</v>
      </c>
    </row>
    <row r="72293" customFormat="false" ht="12.8" hidden="false" customHeight="false" outlineLevel="0" collapsed="false">
      <c r="B72293" s="0" t="s">
        <v>48</v>
      </c>
    </row>
    <row r="72295" customFormat="false" ht="12.8" hidden="false" customHeight="false" outlineLevel="0" collapsed="false">
      <c r="A72295" s="0" t="s">
        <v>24472</v>
      </c>
      <c r="B72295" s="0" t="str">
        <f aca="false">HYPERLINK("https://lindat.mff.cuni.cz/services/teitok/pdtc10/index.php?action=vallex&amp;frame=v-w9283f2_ZU", "záviset (v-w9283f2_ZU)")</f>
        <v>záviset (v-w9283f2_ZU)</v>
      </c>
    </row>
    <row r="72296" customFormat="false" ht="12.8" hidden="false" customHeight="false" outlineLevel="0" collapsed="false">
      <c r="B72296" s="0" t="s">
        <v>24473</v>
      </c>
    </row>
    <row r="72297" customFormat="false" ht="12.8" hidden="false" customHeight="false" outlineLevel="0" collapsed="false">
      <c r="B72297" s="0" t="s">
        <v>220</v>
      </c>
    </row>
    <row r="72299" customFormat="false" ht="12.8" hidden="false" customHeight="false" outlineLevel="0" collapsed="false">
      <c r="A72299" s="0" t="s">
        <v>24472</v>
      </c>
      <c r="B72299" s="0" t="str">
        <f aca="false">HYPERLINK("https://lindat.mff.cuni.cz/services/teitok/pdtc10/index.php?action=vallex&amp;frame=v-w9283f1", "záviset (v-w9283f1) - substituted with v-w9283f2_ZU")</f>
        <v>záviset (v-w9283f1) - substituted with v-w9283f2_ZU</v>
      </c>
    </row>
    <row r="72300" customFormat="false" ht="12.8" hidden="false" customHeight="false" outlineLevel="0" collapsed="false">
      <c r="B72300" s="0" t="s">
        <v>24473</v>
      </c>
      <c r="C72300" s="0" t="s">
        <v>24474</v>
      </c>
      <c r="D72300" s="0" t="s">
        <v>24453</v>
      </c>
      <c r="E72300" s="0" t="s">
        <v>24453</v>
      </c>
      <c r="F72300" s="0" t="s">
        <v>24453</v>
      </c>
    </row>
    <row r="72301" customFormat="false" ht="12.8" hidden="false" customHeight="false" outlineLevel="0" collapsed="false">
      <c r="B72301" s="0" t="s">
        <v>220</v>
      </c>
      <c r="C72301" s="0" t="s">
        <v>24475</v>
      </c>
      <c r="D72301" s="0" t="s">
        <v>19346</v>
      </c>
      <c r="E72301" s="0" t="s">
        <v>19346</v>
      </c>
      <c r="F72301" s="0" t="s">
        <v>19346</v>
      </c>
    </row>
    <row r="72303" customFormat="false" ht="12.8" hidden="false" customHeight="false" outlineLevel="0" collapsed="false">
      <c r="A72303" s="0" t="s">
        <v>24476</v>
      </c>
      <c r="B72303" s="0" t="str">
        <f aca="false">HYPERLINK("https://lindat.mff.cuni.cz/services/teitok/pdtc10/index.php?action=vallex&amp;frame=v-w9295f2_ZU", "závodit (v-w9295f2_ZU)")</f>
        <v>závodit (v-w9295f2_ZU)</v>
      </c>
    </row>
    <row r="72304" customFormat="false" ht="12.8" hidden="false" customHeight="false" outlineLevel="0" collapsed="false">
      <c r="B72304" s="0" t="s">
        <v>7</v>
      </c>
    </row>
    <row r="72305" customFormat="false" ht="12.8" hidden="false" customHeight="false" outlineLevel="0" collapsed="false">
      <c r="B72305" s="0" t="s">
        <v>24477</v>
      </c>
    </row>
    <row r="72306" customFormat="false" ht="12.8" hidden="false" customHeight="false" outlineLevel="0" collapsed="false">
      <c r="B72306" s="0" t="s">
        <v>2722</v>
      </c>
    </row>
    <row r="72308" customFormat="false" ht="12.8" hidden="false" customHeight="false" outlineLevel="0" collapsed="false">
      <c r="A72308" s="0" t="s">
        <v>24476</v>
      </c>
      <c r="B72308" s="0" t="str">
        <f aca="false">HYPERLINK("https://lindat.mff.cuni.cz/services/teitok/pdtc10/index.php?action=vallex&amp;frame=v-w9295f1", "závodit (v-w9295f1) - substituted with v-w9295f2_ZU")</f>
        <v>závodit (v-w9295f1) - substituted with v-w9295f2_ZU</v>
      </c>
    </row>
    <row r="72309" customFormat="false" ht="12.8" hidden="false" customHeight="false" outlineLevel="0" collapsed="false">
      <c r="B72309" s="0" t="s">
        <v>7</v>
      </c>
    </row>
    <row r="72310" customFormat="false" ht="12.8" hidden="false" customHeight="false" outlineLevel="0" collapsed="false">
      <c r="B72310" s="0" t="s">
        <v>24477</v>
      </c>
    </row>
    <row r="72311" customFormat="false" ht="12.8" hidden="false" customHeight="false" outlineLevel="0" collapsed="false">
      <c r="B72311" s="0" t="s">
        <v>2722</v>
      </c>
    </row>
    <row r="72313" customFormat="false" ht="12.8" hidden="false" customHeight="false" outlineLevel="0" collapsed="false">
      <c r="A72313" s="0" t="s">
        <v>24478</v>
      </c>
      <c r="B72313" s="0" t="str">
        <f aca="false">HYPERLINK("https://lindat.mff.cuni.cz/services/teitok/pdtc10/index.php?action=vallex&amp;frame=v-w9296f1", "závodit si (v-w9296f1)")</f>
        <v>závodit si (v-w9296f1)</v>
      </c>
    </row>
    <row r="72314" customFormat="false" ht="12.8" hidden="false" customHeight="false" outlineLevel="0" collapsed="false">
      <c r="B72314" s="0" t="s">
        <v>7</v>
      </c>
    </row>
    <row r="72316" customFormat="false" ht="12.8" hidden="false" customHeight="false" outlineLevel="0" collapsed="false">
      <c r="A72316" s="0" t="s">
        <v>24479</v>
      </c>
      <c r="B72316" s="0" t="str">
        <f aca="false">HYPERLINK("https://lindat.mff.cuni.cz/services/teitok/pdtc10/index.php?action=vallex&amp;frame=v-w9106f1", "zářit (v-w9106f1)")</f>
        <v>zářit (v-w9106f1)</v>
      </c>
    </row>
    <row r="72317" customFormat="false" ht="12.8" hidden="false" customHeight="false" outlineLevel="0" collapsed="false">
      <c r="B72317" s="0" t="s">
        <v>7</v>
      </c>
      <c r="C72317" s="0" t="s">
        <v>191</v>
      </c>
      <c r="D72317" s="0" t="s">
        <v>248</v>
      </c>
      <c r="E72317" s="0" t="s">
        <v>248</v>
      </c>
      <c r="F72317" s="0" t="s">
        <v>24480</v>
      </c>
    </row>
    <row r="72319" customFormat="false" ht="12.8" hidden="false" customHeight="false" outlineLevel="0" collapsed="false">
      <c r="A72319" s="0" t="s">
        <v>24481</v>
      </c>
      <c r="B72319" s="0" t="str">
        <f aca="false">HYPERLINK("https://lindat.mff.cuni.cz/services/teitok/pdtc10/index.php?action=vallex&amp;frame=v-w9106f2_ZU", "zářit (v-w9106f2_ZU)")</f>
        <v>zářit (v-w9106f2_ZU)</v>
      </c>
    </row>
    <row r="72320" customFormat="false" ht="12.8" hidden="false" customHeight="false" outlineLevel="0" collapsed="false">
      <c r="B72320" s="0" t="s">
        <v>7</v>
      </c>
    </row>
    <row r="72322" customFormat="false" ht="12.8" hidden="false" customHeight="false" outlineLevel="0" collapsed="false">
      <c r="A72322" s="0" t="s">
        <v>24482</v>
      </c>
      <c r="B72322" s="0" t="str">
        <f aca="false">HYPERLINK("https://lindat.mff.cuni.cz/services/teitok/pdtc10/index.php?action=vallex&amp;frame=v-w9497f3", "zírat (v-w9497f3)")</f>
        <v>zírat (v-w9497f3)</v>
      </c>
    </row>
    <row r="72323" customFormat="false" ht="12.8" hidden="false" customHeight="false" outlineLevel="0" collapsed="false">
      <c r="B72323" s="0" t="s">
        <v>7</v>
      </c>
      <c r="D72323" s="0" t="s">
        <v>4915</v>
      </c>
      <c r="E72323" s="0" t="s">
        <v>4915</v>
      </c>
      <c r="F72323" s="0" t="s">
        <v>4915</v>
      </c>
    </row>
    <row r="72324" customFormat="false" ht="12.8" hidden="false" customHeight="false" outlineLevel="0" collapsed="false">
      <c r="B72324" s="0" t="s">
        <v>1391</v>
      </c>
      <c r="D72324" s="0" t="s">
        <v>4916</v>
      </c>
      <c r="E72324" s="0" t="s">
        <v>4916</v>
      </c>
      <c r="F72324" s="0" t="s">
        <v>4916</v>
      </c>
    </row>
    <row r="72326" customFormat="false" ht="12.8" hidden="false" customHeight="false" outlineLevel="0" collapsed="false">
      <c r="A72326" s="0" t="s">
        <v>24483</v>
      </c>
      <c r="B72326" s="0" t="str">
        <f aca="false">HYPERLINK("https://lindat.mff.cuni.cz/services/teitok/pdtc10/index.php?action=vallex&amp;frame=v-w9497f2", "zírat (v-w9497f2)")</f>
        <v>zírat (v-w9497f2)</v>
      </c>
    </row>
    <row r="72327" customFormat="false" ht="12.8" hidden="false" customHeight="false" outlineLevel="0" collapsed="false">
      <c r="B72327" s="0" t="s">
        <v>7</v>
      </c>
      <c r="C72327" s="0" t="s">
        <v>191</v>
      </c>
      <c r="D72327" s="0" t="s">
        <v>3410</v>
      </c>
      <c r="E72327" s="0" t="s">
        <v>3410</v>
      </c>
      <c r="F72327" s="0" t="s">
        <v>3410</v>
      </c>
    </row>
    <row r="72328" customFormat="false" ht="12.8" hidden="false" customHeight="false" outlineLevel="0" collapsed="false">
      <c r="B72328" s="0" t="s">
        <v>124</v>
      </c>
      <c r="D72328" s="0" t="s">
        <v>3413</v>
      </c>
      <c r="E72328" s="0" t="s">
        <v>3413</v>
      </c>
      <c r="F72328" s="0" t="s">
        <v>3413</v>
      </c>
    </row>
    <row r="72330" customFormat="false" ht="12.8" hidden="false" customHeight="false" outlineLevel="0" collapsed="false">
      <c r="A72330" s="0" t="s">
        <v>24484</v>
      </c>
      <c r="B72330" s="0" t="str">
        <f aca="false">HYPERLINK("https://lindat.mff.cuni.cz/services/teitok/pdtc10/index.php?action=vallex&amp;frame=v-w9497f1", "zírat (v-w9497f1)")</f>
        <v>zírat (v-w9497f1)</v>
      </c>
    </row>
    <row r="72331" customFormat="false" ht="12.8" hidden="false" customHeight="false" outlineLevel="0" collapsed="false">
      <c r="B72331" s="0" t="s">
        <v>7</v>
      </c>
    </row>
    <row r="72332" customFormat="false" ht="12.8" hidden="false" customHeight="false" outlineLevel="0" collapsed="false">
      <c r="B72332" s="0" t="s">
        <v>24485</v>
      </c>
    </row>
    <row r="72334" customFormat="false" ht="12.8" hidden="false" customHeight="false" outlineLevel="0" collapsed="false">
      <c r="A72334" s="0" t="s">
        <v>24486</v>
      </c>
      <c r="B72334" s="0" t="str">
        <f aca="false">HYPERLINK("https://lindat.mff.cuni.cz/services/teitok/pdtc10/index.php?action=vallex&amp;frame=v-w9501f12_ZU", "získat (v-w9501f12_ZU)")</f>
        <v>získat (v-w9501f12_ZU)</v>
      </c>
    </row>
    <row r="72335" customFormat="false" ht="12.8" hidden="false" customHeight="false" outlineLevel="0" collapsed="false">
      <c r="B72335" s="0" t="s">
        <v>7</v>
      </c>
      <c r="C72335" s="0" t="s">
        <v>24487</v>
      </c>
      <c r="D72335" s="0" t="s">
        <v>24488</v>
      </c>
      <c r="E72335" s="0" t="s">
        <v>24488</v>
      </c>
      <c r="F72335" s="0" t="s">
        <v>24488</v>
      </c>
    </row>
    <row r="72336" customFormat="false" ht="12.8" hidden="false" customHeight="false" outlineLevel="0" collapsed="false">
      <c r="B72336" s="0" t="s">
        <v>14</v>
      </c>
      <c r="C72336" s="0" t="s">
        <v>4749</v>
      </c>
      <c r="D72336" s="0" t="s">
        <v>24489</v>
      </c>
      <c r="E72336" s="0" t="s">
        <v>24489</v>
      </c>
      <c r="F72336" s="0" t="s">
        <v>24489</v>
      </c>
    </row>
    <row r="72337" customFormat="false" ht="12.8" hidden="false" customHeight="false" outlineLevel="0" collapsed="false">
      <c r="B72337" s="0" t="s">
        <v>7321</v>
      </c>
      <c r="C72337" s="0" t="s">
        <v>24490</v>
      </c>
      <c r="D72337" s="0" t="s">
        <v>24491</v>
      </c>
      <c r="E72337" s="0" t="s">
        <v>24491</v>
      </c>
      <c r="F72337" s="0" t="s">
        <v>24491</v>
      </c>
    </row>
    <row r="72339" customFormat="false" ht="12.8" hidden="false" customHeight="false" outlineLevel="0" collapsed="false">
      <c r="A72339" s="0" t="s">
        <v>24486</v>
      </c>
      <c r="B72339" s="0" t="str">
        <f aca="false">HYPERLINK("https://lindat.mff.cuni.cz/services/teitok/pdtc10/index.php?action=vallex&amp;frame=v-w9501f1", "získat (v-w9501f1) - substituted with v-w9501f12_ZU")</f>
        <v>získat (v-w9501f1) - substituted with v-w9501f12_ZU</v>
      </c>
    </row>
    <row r="72340" customFormat="false" ht="12.8" hidden="false" customHeight="false" outlineLevel="0" collapsed="false">
      <c r="B72340" s="0" t="s">
        <v>7</v>
      </c>
      <c r="C72340" s="0" t="s">
        <v>24492</v>
      </c>
    </row>
    <row r="72341" customFormat="false" ht="12.8" hidden="false" customHeight="false" outlineLevel="0" collapsed="false">
      <c r="B72341" s="0" t="s">
        <v>14</v>
      </c>
      <c r="C72341" s="0" t="s">
        <v>24493</v>
      </c>
    </row>
    <row r="72342" customFormat="false" ht="12.8" hidden="false" customHeight="false" outlineLevel="0" collapsed="false">
      <c r="B72342" s="0" t="s">
        <v>7321</v>
      </c>
      <c r="C72342" s="0" t="s">
        <v>24494</v>
      </c>
    </row>
    <row r="72344" customFormat="false" ht="12.8" hidden="false" customHeight="false" outlineLevel="0" collapsed="false">
      <c r="A72344" s="0" t="s">
        <v>24495</v>
      </c>
      <c r="B72344" s="0" t="str">
        <f aca="false">HYPERLINK("https://lindat.mff.cuni.cz/services/teitok/pdtc10/index.php?action=vallex&amp;frame=v-w9501f4", "získat (v-w9501f4)")</f>
        <v>získat (v-w9501f4)</v>
      </c>
    </row>
    <row r="72345" customFormat="false" ht="12.8" hidden="false" customHeight="false" outlineLevel="0" collapsed="false">
      <c r="B72345" s="0" t="s">
        <v>7</v>
      </c>
      <c r="C72345" s="0" t="s">
        <v>24496</v>
      </c>
      <c r="D72345" s="0" t="s">
        <v>2299</v>
      </c>
      <c r="E72345" s="0" t="s">
        <v>2299</v>
      </c>
      <c r="F72345" s="0" t="s">
        <v>2299</v>
      </c>
    </row>
    <row r="72346" customFormat="false" ht="12.8" hidden="false" customHeight="false" outlineLevel="0" collapsed="false">
      <c r="B72346" s="0" t="s">
        <v>14</v>
      </c>
      <c r="C72346" s="0" t="s">
        <v>24497</v>
      </c>
      <c r="D72346" s="0" t="s">
        <v>2301</v>
      </c>
      <c r="E72346" s="0" t="s">
        <v>2301</v>
      </c>
      <c r="F72346" s="0" t="s">
        <v>2301</v>
      </c>
    </row>
    <row r="72347" customFormat="false" ht="12.8" hidden="false" customHeight="false" outlineLevel="0" collapsed="false">
      <c r="B72347" s="0" t="s">
        <v>35</v>
      </c>
      <c r="C72347" s="0" t="s">
        <v>24498</v>
      </c>
      <c r="D72347" s="0" t="s">
        <v>2303</v>
      </c>
      <c r="E72347" s="0" t="s">
        <v>2303</v>
      </c>
      <c r="F72347" s="0" t="s">
        <v>2303</v>
      </c>
    </row>
    <row r="72349" customFormat="false" ht="12.8" hidden="false" customHeight="false" outlineLevel="0" collapsed="false">
      <c r="A72349" s="0" t="s">
        <v>24499</v>
      </c>
      <c r="B72349" s="0" t="str">
        <f aca="false">HYPERLINK("https://lindat.mff.cuni.cz/services/teitok/pdtc10/index.php?action=vallex&amp;frame=v-w9501f13_ZU", "získat (v-w9501f13_ZU)")</f>
        <v>získat (v-w9501f13_ZU)</v>
      </c>
    </row>
    <row r="72350" customFormat="false" ht="12.8" hidden="false" customHeight="false" outlineLevel="0" collapsed="false">
      <c r="B72350" s="0" t="s">
        <v>7</v>
      </c>
      <c r="C72350" s="0" t="s">
        <v>10730</v>
      </c>
    </row>
    <row r="72351" customFormat="false" ht="12.8" hidden="false" customHeight="false" outlineLevel="0" collapsed="false">
      <c r="B72351" s="0" t="s">
        <v>297</v>
      </c>
      <c r="C72351" s="0" t="s">
        <v>24500</v>
      </c>
    </row>
    <row r="72352" customFormat="false" ht="12.8" hidden="false" customHeight="false" outlineLevel="0" collapsed="false">
      <c r="B72352" s="0" t="s">
        <v>84</v>
      </c>
      <c r="C72352" s="0" t="s">
        <v>24501</v>
      </c>
    </row>
    <row r="72354" customFormat="false" ht="12.8" hidden="false" customHeight="false" outlineLevel="0" collapsed="false">
      <c r="A72354" s="0" t="s">
        <v>24499</v>
      </c>
      <c r="B72354" s="0" t="str">
        <f aca="false">HYPERLINK("https://lindat.mff.cuni.cz/services/teitok/pdtc10/index.php?action=vallex&amp;frame=v-w9501f11_ZU", "získat (v-w9501f11_ZU) - substituted with v-w9501f13_ZU")</f>
        <v>získat (v-w9501f11_ZU) - substituted with v-w9501f13_ZU</v>
      </c>
    </row>
    <row r="72355" customFormat="false" ht="12.8" hidden="false" customHeight="false" outlineLevel="0" collapsed="false">
      <c r="B72355" s="0" t="s">
        <v>7</v>
      </c>
      <c r="C72355" s="0" t="s">
        <v>24502</v>
      </c>
    </row>
    <row r="72356" customFormat="false" ht="12.8" hidden="false" customHeight="false" outlineLevel="0" collapsed="false">
      <c r="B72356" s="0" t="s">
        <v>297</v>
      </c>
      <c r="C72356" s="0" t="s">
        <v>24503</v>
      </c>
    </row>
    <row r="72357" customFormat="false" ht="12.8" hidden="false" customHeight="false" outlineLevel="0" collapsed="false">
      <c r="B72357" s="0" t="s">
        <v>84</v>
      </c>
      <c r="C72357" s="0" t="s">
        <v>24504</v>
      </c>
    </row>
    <row r="72359" customFormat="false" ht="12.8" hidden="false" customHeight="false" outlineLevel="0" collapsed="false">
      <c r="A72359" s="0" t="s">
        <v>24505</v>
      </c>
      <c r="B72359" s="0" t="str">
        <f aca="false">HYPERLINK("https://lindat.mff.cuni.cz/services/teitok/pdtc10/index.php?action=vallex&amp;frame=v-w9501f2", "získat (v-w9501f2)")</f>
        <v>získat (v-w9501f2)</v>
      </c>
    </row>
    <row r="72360" customFormat="false" ht="12.8" hidden="false" customHeight="false" outlineLevel="0" collapsed="false">
      <c r="B72360" s="0" t="s">
        <v>7</v>
      </c>
      <c r="C72360" s="0" t="s">
        <v>24506</v>
      </c>
      <c r="D72360" s="0" t="s">
        <v>9144</v>
      </c>
      <c r="E72360" s="0" t="s">
        <v>9144</v>
      </c>
      <c r="F72360" s="0" t="s">
        <v>9144</v>
      </c>
    </row>
    <row r="72361" customFormat="false" ht="12.8" hidden="false" customHeight="false" outlineLevel="0" collapsed="false">
      <c r="B72361" s="0" t="s">
        <v>14</v>
      </c>
      <c r="C72361" s="0" t="s">
        <v>24507</v>
      </c>
      <c r="D72361" s="0" t="s">
        <v>78</v>
      </c>
      <c r="E72361" s="0" t="s">
        <v>78</v>
      </c>
      <c r="F72361" s="0" t="s">
        <v>78</v>
      </c>
    </row>
    <row r="72363" customFormat="false" ht="12.8" hidden="false" customHeight="false" outlineLevel="0" collapsed="false">
      <c r="A72363" s="0" t="s">
        <v>24508</v>
      </c>
      <c r="B72363" s="0" t="str">
        <f aca="false">HYPERLINK("https://lindat.mff.cuni.cz/services/teitok/pdtc10/index.php?action=vallex&amp;frame=v-w9501f5", "získat (v-w9501f5)")</f>
        <v>získat (v-w9501f5)</v>
      </c>
    </row>
    <row r="72364" customFormat="false" ht="12.8" hidden="false" customHeight="false" outlineLevel="0" collapsed="false">
      <c r="B72364" s="0" t="s">
        <v>7</v>
      </c>
      <c r="C72364" s="0" t="s">
        <v>24509</v>
      </c>
      <c r="D72364" s="0" t="s">
        <v>2332</v>
      </c>
      <c r="E72364" s="0" t="s">
        <v>2332</v>
      </c>
      <c r="F72364" s="0" t="s">
        <v>2332</v>
      </c>
    </row>
    <row r="72365" customFormat="false" ht="12.8" hidden="false" customHeight="false" outlineLevel="0" collapsed="false">
      <c r="B72365" s="0" t="s">
        <v>24510</v>
      </c>
      <c r="C72365" s="0" t="s">
        <v>24511</v>
      </c>
      <c r="D72365" s="0" t="s">
        <v>2334</v>
      </c>
      <c r="E72365" s="0" t="s">
        <v>2334</v>
      </c>
      <c r="F72365" s="0" t="s">
        <v>2334</v>
      </c>
    </row>
    <row r="72367" customFormat="false" ht="12.8" hidden="false" customHeight="false" outlineLevel="0" collapsed="false">
      <c r="A72367" s="0" t="s">
        <v>24512</v>
      </c>
      <c r="B72367" s="0" t="str">
        <f aca="false">HYPERLINK("https://lindat.mff.cuni.cz/services/teitok/pdtc10/index.php?action=vallex&amp;frame=v-w9501f19_ZU", "získat (v-w9501f19_ZU)")</f>
        <v>získat (v-w9501f19_ZU)</v>
      </c>
    </row>
    <row r="72368" customFormat="false" ht="12.8" hidden="false" customHeight="false" outlineLevel="0" collapsed="false">
      <c r="B72368" s="0" t="s">
        <v>7</v>
      </c>
    </row>
    <row r="72369" customFormat="false" ht="12.8" hidden="false" customHeight="false" outlineLevel="0" collapsed="false">
      <c r="B72369" s="0" t="s">
        <v>24513</v>
      </c>
    </row>
    <row r="72370" customFormat="false" ht="12.8" hidden="false" customHeight="false" outlineLevel="0" collapsed="false">
      <c r="B72370" s="0" t="s">
        <v>35</v>
      </c>
    </row>
    <row r="72372" customFormat="false" ht="12.8" hidden="false" customHeight="false" outlineLevel="0" collapsed="false">
      <c r="A72372" s="0" t="s">
        <v>24512</v>
      </c>
      <c r="B72372" s="0" t="str">
        <f aca="false">HYPERLINK("https://lindat.mff.cuni.cz/services/teitok/pdtc10/index.php?action=vallex&amp;frame=v-w9501f17_ZU", "získat (v-w9501f17_ZU) - substituted with v-w9501f19_ZU")</f>
        <v>získat (v-w9501f17_ZU) - substituted with v-w9501f19_ZU</v>
      </c>
    </row>
    <row r="72373" customFormat="false" ht="12.8" hidden="false" customHeight="false" outlineLevel="0" collapsed="false">
      <c r="B72373" s="0" t="s">
        <v>7</v>
      </c>
    </row>
    <row r="72374" customFormat="false" ht="12.8" hidden="false" customHeight="false" outlineLevel="0" collapsed="false">
      <c r="B72374" s="0" t="s">
        <v>24513</v>
      </c>
    </row>
    <row r="72375" customFormat="false" ht="12.8" hidden="false" customHeight="false" outlineLevel="0" collapsed="false">
      <c r="B72375" s="0" t="s">
        <v>35</v>
      </c>
    </row>
    <row r="72377" customFormat="false" ht="12.8" hidden="false" customHeight="false" outlineLevel="0" collapsed="false">
      <c r="A72377" s="0" t="s">
        <v>24512</v>
      </c>
      <c r="B72377" s="0" t="str">
        <f aca="false">HYPERLINK("https://lindat.mff.cuni.cz/services/teitok/pdtc10/index.php?action=vallex&amp;frame=v-w9501f6", "získat (v-w9501f6) - substituted with v-w9501f19_ZU")</f>
        <v>získat (v-w9501f6) - substituted with v-w9501f19_ZU</v>
      </c>
    </row>
    <row r="72378" customFormat="false" ht="12.8" hidden="false" customHeight="false" outlineLevel="0" collapsed="false">
      <c r="B72378" s="0" t="s">
        <v>7</v>
      </c>
    </row>
    <row r="72379" customFormat="false" ht="12.8" hidden="false" customHeight="false" outlineLevel="0" collapsed="false">
      <c r="B72379" s="0" t="s">
        <v>24513</v>
      </c>
    </row>
    <row r="72380" customFormat="false" ht="12.8" hidden="false" customHeight="false" outlineLevel="0" collapsed="false">
      <c r="B72380" s="0" t="s">
        <v>35</v>
      </c>
    </row>
    <row r="72382" customFormat="false" ht="12.8" hidden="false" customHeight="false" outlineLevel="0" collapsed="false">
      <c r="A72382" s="0" t="s">
        <v>24512</v>
      </c>
      <c r="B72382" s="0" t="str">
        <f aca="false">HYPERLINK("https://lindat.mff.cuni.cz/services/teitok/pdtc10/index.php?action=vallex&amp;frame=v-w9501hsa_157", "získat (v-w9501hsa_157) - substituted with v-w9501f19_ZU")</f>
        <v>získat (v-w9501hsa_157) - substituted with v-w9501f19_ZU</v>
      </c>
    </row>
    <row r="72383" customFormat="false" ht="12.8" hidden="false" customHeight="false" outlineLevel="0" collapsed="false">
      <c r="B72383" s="0" t="s">
        <v>7</v>
      </c>
    </row>
    <row r="72384" customFormat="false" ht="12.8" hidden="false" customHeight="false" outlineLevel="0" collapsed="false">
      <c r="B72384" s="0" t="s">
        <v>24513</v>
      </c>
    </row>
    <row r="72385" customFormat="false" ht="12.8" hidden="false" customHeight="false" outlineLevel="0" collapsed="false">
      <c r="B72385" s="0" t="s">
        <v>35</v>
      </c>
    </row>
    <row r="72387" customFormat="false" ht="12.8" hidden="false" customHeight="false" outlineLevel="0" collapsed="false">
      <c r="A72387" s="0" t="s">
        <v>24514</v>
      </c>
      <c r="B72387" s="0" t="str">
        <f aca="false">HYPERLINK("https://lindat.mff.cuni.cz/services/teitok/pdtc10/index.php?action=vallex&amp;frame=v-w9501f25_ZU", "získat (v-w9501f25_ZU)")</f>
        <v>získat (v-w9501f25_ZU)</v>
      </c>
    </row>
    <row r="72388" customFormat="false" ht="12.8" hidden="false" customHeight="false" outlineLevel="0" collapsed="false">
      <c r="B72388" s="0" t="s">
        <v>7</v>
      </c>
    </row>
    <row r="72389" customFormat="false" ht="12.8" hidden="false" customHeight="false" outlineLevel="0" collapsed="false">
      <c r="B72389" s="0" t="s">
        <v>24515</v>
      </c>
    </row>
    <row r="72390" customFormat="false" ht="12.8" hidden="false" customHeight="false" outlineLevel="0" collapsed="false">
      <c r="B72390" s="0" t="s">
        <v>1349</v>
      </c>
    </row>
    <row r="72392" customFormat="false" ht="12.8" hidden="false" customHeight="false" outlineLevel="0" collapsed="false">
      <c r="A72392" s="0" t="s">
        <v>24514</v>
      </c>
      <c r="B72392" s="0" t="str">
        <f aca="false">HYPERLINK("https://lindat.mff.cuni.cz/services/teitok/pdtc10/index.php?action=vallex&amp;frame=v-w9501f14_ZU", "získat (v-w9501f14_ZU) - substituted with v-w9501f25_ZU")</f>
        <v>získat (v-w9501f14_ZU) - substituted with v-w9501f25_ZU</v>
      </c>
    </row>
    <row r="72393" customFormat="false" ht="12.8" hidden="false" customHeight="false" outlineLevel="0" collapsed="false">
      <c r="B72393" s="0" t="s">
        <v>7</v>
      </c>
      <c r="C72393" s="0" t="s">
        <v>24516</v>
      </c>
    </row>
    <row r="72394" customFormat="false" ht="12.8" hidden="false" customHeight="false" outlineLevel="0" collapsed="false">
      <c r="B72394" s="0" t="s">
        <v>24515</v>
      </c>
      <c r="C72394" s="0" t="s">
        <v>24517</v>
      </c>
    </row>
    <row r="72395" customFormat="false" ht="12.8" hidden="false" customHeight="false" outlineLevel="0" collapsed="false">
      <c r="B72395" s="0" t="s">
        <v>1349</v>
      </c>
      <c r="C72395" s="0" t="s">
        <v>24518</v>
      </c>
    </row>
    <row r="72397" customFormat="false" ht="12.8" hidden="false" customHeight="false" outlineLevel="0" collapsed="false">
      <c r="A72397" s="0" t="s">
        <v>24514</v>
      </c>
      <c r="B72397" s="0" t="str">
        <f aca="false">HYPERLINK("https://lindat.mff.cuni.cz/services/teitok/pdtc10/index.php?action=vallex&amp;frame=v-w9501f15_ZU", "získat (v-w9501f15_ZU) - substituted with v-w9501f25_ZU")</f>
        <v>získat (v-w9501f15_ZU) - substituted with v-w9501f25_ZU</v>
      </c>
    </row>
    <row r="72398" customFormat="false" ht="12.8" hidden="false" customHeight="false" outlineLevel="0" collapsed="false">
      <c r="B72398" s="0" t="s">
        <v>7</v>
      </c>
      <c r="C72398" s="0" t="s">
        <v>4783</v>
      </c>
    </row>
    <row r="72399" customFormat="false" ht="12.8" hidden="false" customHeight="false" outlineLevel="0" collapsed="false">
      <c r="B72399" s="0" t="s">
        <v>24515</v>
      </c>
      <c r="C72399" s="0" t="s">
        <v>24519</v>
      </c>
    </row>
    <row r="72400" customFormat="false" ht="12.8" hidden="false" customHeight="false" outlineLevel="0" collapsed="false">
      <c r="B72400" s="0" t="s">
        <v>1349</v>
      </c>
      <c r="C72400" s="0" t="s">
        <v>24520</v>
      </c>
    </row>
    <row r="72402" customFormat="false" ht="12.8" hidden="false" customHeight="false" outlineLevel="0" collapsed="false">
      <c r="A72402" s="0" t="s">
        <v>24514</v>
      </c>
      <c r="B72402" s="0" t="str">
        <f aca="false">HYPERLINK("https://lindat.mff.cuni.cz/services/teitok/pdtc10/index.php?action=vallex&amp;frame=v-w9501f16_ZU", "získat (v-w9501f16_ZU) - substituted with v-w9501f25_ZU")</f>
        <v>získat (v-w9501f16_ZU) - substituted with v-w9501f25_ZU</v>
      </c>
    </row>
    <row r="72403" customFormat="false" ht="12.8" hidden="false" customHeight="false" outlineLevel="0" collapsed="false">
      <c r="B72403" s="0" t="s">
        <v>7</v>
      </c>
    </row>
    <row r="72404" customFormat="false" ht="12.8" hidden="false" customHeight="false" outlineLevel="0" collapsed="false">
      <c r="B72404" s="0" t="s">
        <v>24515</v>
      </c>
    </row>
    <row r="72405" customFormat="false" ht="12.8" hidden="false" customHeight="false" outlineLevel="0" collapsed="false">
      <c r="B72405" s="0" t="s">
        <v>1349</v>
      </c>
    </row>
    <row r="72407" customFormat="false" ht="12.8" hidden="false" customHeight="false" outlineLevel="0" collapsed="false">
      <c r="A72407" s="0" t="s">
        <v>24514</v>
      </c>
      <c r="B72407" s="0" t="str">
        <f aca="false">HYPERLINK("https://lindat.mff.cuni.cz/services/teitok/pdtc10/index.php?action=vallex&amp;frame=v-w9501f18_ZU", "získat (v-w9501f18_ZU) - substituted with v-w9501f25_ZU")</f>
        <v>získat (v-w9501f18_ZU) - substituted with v-w9501f25_ZU</v>
      </c>
    </row>
    <row r="72408" customFormat="false" ht="12.8" hidden="false" customHeight="false" outlineLevel="0" collapsed="false">
      <c r="B72408" s="0" t="s">
        <v>7</v>
      </c>
    </row>
    <row r="72409" customFormat="false" ht="12.8" hidden="false" customHeight="false" outlineLevel="0" collapsed="false">
      <c r="B72409" s="0" t="s">
        <v>24515</v>
      </c>
    </row>
    <row r="72410" customFormat="false" ht="12.8" hidden="false" customHeight="false" outlineLevel="0" collapsed="false">
      <c r="B72410" s="0" t="s">
        <v>1349</v>
      </c>
      <c r="C72410" s="0" t="s">
        <v>13346</v>
      </c>
    </row>
    <row r="72412" customFormat="false" ht="12.8" hidden="false" customHeight="false" outlineLevel="0" collapsed="false">
      <c r="A72412" s="0" t="s">
        <v>24514</v>
      </c>
      <c r="B72412" s="0" t="str">
        <f aca="false">HYPERLINK("https://lindat.mff.cuni.cz/services/teitok/pdtc10/index.php?action=vallex&amp;frame=v-w9501f20_ZU", "získat (v-w9501f20_ZU) - substituted with v-w9501f25_ZU")</f>
        <v>získat (v-w9501f20_ZU) - substituted with v-w9501f25_ZU</v>
      </c>
    </row>
    <row r="72413" customFormat="false" ht="12.8" hidden="false" customHeight="false" outlineLevel="0" collapsed="false">
      <c r="B72413" s="0" t="s">
        <v>7</v>
      </c>
      <c r="C72413" s="0" t="s">
        <v>2240</v>
      </c>
    </row>
    <row r="72414" customFormat="false" ht="12.8" hidden="false" customHeight="false" outlineLevel="0" collapsed="false">
      <c r="B72414" s="0" t="s">
        <v>24515</v>
      </c>
      <c r="C72414" s="0" t="s">
        <v>2343</v>
      </c>
    </row>
    <row r="72415" customFormat="false" ht="12.8" hidden="false" customHeight="false" outlineLevel="0" collapsed="false">
      <c r="B72415" s="0" t="s">
        <v>1349</v>
      </c>
      <c r="C72415" s="0" t="s">
        <v>2242</v>
      </c>
    </row>
    <row r="72417" customFormat="false" ht="12.8" hidden="false" customHeight="false" outlineLevel="0" collapsed="false">
      <c r="A72417" s="0" t="s">
        <v>24514</v>
      </c>
      <c r="B72417" s="0" t="str">
        <f aca="false">HYPERLINK("https://lindat.mff.cuni.cz/services/teitok/pdtc10/index.php?action=vallex&amp;frame=v-w9501f21_ZU", "získat (v-w9501f21_ZU) - substituted with v-w9501f25_ZU")</f>
        <v>získat (v-w9501f21_ZU) - substituted with v-w9501f25_ZU</v>
      </c>
    </row>
    <row r="72418" customFormat="false" ht="12.8" hidden="false" customHeight="false" outlineLevel="0" collapsed="false">
      <c r="B72418" s="0" t="s">
        <v>7</v>
      </c>
      <c r="C72418" s="0" t="s">
        <v>191</v>
      </c>
    </row>
    <row r="72419" customFormat="false" ht="12.8" hidden="false" customHeight="false" outlineLevel="0" collapsed="false">
      <c r="B72419" s="0" t="s">
        <v>24515</v>
      </c>
      <c r="C72419" s="0" t="s">
        <v>21255</v>
      </c>
    </row>
    <row r="72420" customFormat="false" ht="12.8" hidden="false" customHeight="false" outlineLevel="0" collapsed="false">
      <c r="B72420" s="0" t="s">
        <v>1349</v>
      </c>
    </row>
    <row r="72422" customFormat="false" ht="12.8" hidden="false" customHeight="false" outlineLevel="0" collapsed="false">
      <c r="A72422" s="0" t="s">
        <v>24514</v>
      </c>
      <c r="B72422" s="0" t="str">
        <f aca="false">HYPERLINK("https://lindat.mff.cuni.cz/services/teitok/pdtc10/index.php?action=vallex&amp;frame=v-w9501f22_ZU", "získat (v-w9501f22_ZU) - substituted with v-w9501f25_ZU")</f>
        <v>získat (v-w9501f22_ZU) - substituted with v-w9501f25_ZU</v>
      </c>
    </row>
    <row r="72423" customFormat="false" ht="12.8" hidden="false" customHeight="false" outlineLevel="0" collapsed="false">
      <c r="B72423" s="0" t="s">
        <v>7</v>
      </c>
    </row>
    <row r="72424" customFormat="false" ht="12.8" hidden="false" customHeight="false" outlineLevel="0" collapsed="false">
      <c r="B72424" s="0" t="s">
        <v>24515</v>
      </c>
    </row>
    <row r="72425" customFormat="false" ht="12.8" hidden="false" customHeight="false" outlineLevel="0" collapsed="false">
      <c r="B72425" s="0" t="s">
        <v>1349</v>
      </c>
    </row>
    <row r="72427" customFormat="false" ht="12.8" hidden="false" customHeight="false" outlineLevel="0" collapsed="false">
      <c r="A72427" s="0" t="s">
        <v>24514</v>
      </c>
      <c r="B72427" s="0" t="str">
        <f aca="false">HYPERLINK("https://lindat.mff.cuni.cz/services/teitok/pdtc10/index.php?action=vallex&amp;frame=v-w9501f23_ZU", "získat (v-w9501f23_ZU) - substituted with v-w9501f25_ZU")</f>
        <v>získat (v-w9501f23_ZU) - substituted with v-w9501f25_ZU</v>
      </c>
    </row>
    <row r="72428" customFormat="false" ht="12.8" hidden="false" customHeight="false" outlineLevel="0" collapsed="false">
      <c r="B72428" s="0" t="s">
        <v>7</v>
      </c>
      <c r="C72428" s="0" t="s">
        <v>2240</v>
      </c>
      <c r="D72428" s="0" t="s">
        <v>1725</v>
      </c>
      <c r="E72428" s="0" t="s">
        <v>1725</v>
      </c>
      <c r="F72428" s="0" t="s">
        <v>1725</v>
      </c>
    </row>
    <row r="72429" customFormat="false" ht="12.8" hidden="false" customHeight="false" outlineLevel="0" collapsed="false">
      <c r="B72429" s="0" t="s">
        <v>24515</v>
      </c>
      <c r="C72429" s="0" t="s">
        <v>2343</v>
      </c>
      <c r="D72429" s="0" t="s">
        <v>2353</v>
      </c>
      <c r="E72429" s="0" t="s">
        <v>2353</v>
      </c>
      <c r="F72429" s="0" t="s">
        <v>2353</v>
      </c>
    </row>
    <row r="72430" customFormat="false" ht="12.8" hidden="false" customHeight="false" outlineLevel="0" collapsed="false">
      <c r="B72430" s="0" t="s">
        <v>1349</v>
      </c>
      <c r="C72430" s="0" t="s">
        <v>2242</v>
      </c>
      <c r="D72430" s="0" t="s">
        <v>1730</v>
      </c>
      <c r="E72430" s="0" t="s">
        <v>1730</v>
      </c>
      <c r="F72430" s="0" t="s">
        <v>1730</v>
      </c>
    </row>
    <row r="72432" customFormat="false" ht="12.8" hidden="false" customHeight="false" outlineLevel="0" collapsed="false">
      <c r="A72432" s="0" t="s">
        <v>24514</v>
      </c>
      <c r="B72432" s="0" t="str">
        <f aca="false">HYPERLINK("https://lindat.mff.cuni.cz/services/teitok/pdtc10/index.php?action=vallex&amp;frame=v-w9501f24_ZU", "získat (v-w9501f24_ZU) - substituted with v-w9501f25_ZU")</f>
        <v>získat (v-w9501f24_ZU) - substituted with v-w9501f25_ZU</v>
      </c>
    </row>
    <row r="72433" customFormat="false" ht="12.8" hidden="false" customHeight="false" outlineLevel="0" collapsed="false">
      <c r="B72433" s="0" t="s">
        <v>7</v>
      </c>
    </row>
    <row r="72434" customFormat="false" ht="12.8" hidden="false" customHeight="false" outlineLevel="0" collapsed="false">
      <c r="B72434" s="0" t="s">
        <v>24515</v>
      </c>
    </row>
    <row r="72435" customFormat="false" ht="12.8" hidden="false" customHeight="false" outlineLevel="0" collapsed="false">
      <c r="B72435" s="0" t="s">
        <v>1349</v>
      </c>
    </row>
    <row r="72437" customFormat="false" ht="12.8" hidden="false" customHeight="false" outlineLevel="0" collapsed="false">
      <c r="A72437" s="0" t="s">
        <v>24514</v>
      </c>
      <c r="B72437" s="0" t="str">
        <f aca="false">HYPERLINK("https://lindat.mff.cuni.cz/services/teitok/pdtc10/index.php?action=vallex&amp;frame=v-w9501f3", "získat (v-w9501f3) - substituted with v-w9501f25_ZU")</f>
        <v>získat (v-w9501f3) - substituted with v-w9501f25_ZU</v>
      </c>
    </row>
    <row r="72438" customFormat="false" ht="12.8" hidden="false" customHeight="false" outlineLevel="0" collapsed="false">
      <c r="B72438" s="0" t="s">
        <v>7</v>
      </c>
      <c r="C72438" s="0" t="s">
        <v>24521</v>
      </c>
    </row>
    <row r="72439" customFormat="false" ht="12.8" hidden="false" customHeight="false" outlineLevel="0" collapsed="false">
      <c r="B72439" s="0" t="s">
        <v>24515</v>
      </c>
      <c r="C72439" s="0" t="s">
        <v>24522</v>
      </c>
    </row>
    <row r="72440" customFormat="false" ht="12.8" hidden="false" customHeight="false" outlineLevel="0" collapsed="false">
      <c r="B72440" s="0" t="s">
        <v>1349</v>
      </c>
      <c r="C72440" s="0" t="s">
        <v>24523</v>
      </c>
    </row>
    <row r="72442" customFormat="false" ht="12.8" hidden="false" customHeight="false" outlineLevel="0" collapsed="false">
      <c r="A72442" s="0" t="s">
        <v>24514</v>
      </c>
      <c r="B72442" s="0" t="str">
        <f aca="false">HYPERLINK("https://lindat.mff.cuni.cz/services/teitok/pdtc10/index.php?action=vallex&amp;frame=v-w9501f7_ZU", "získat (v-w9501f7_ZU) - substituted with v-w9501f25_ZU")</f>
        <v>získat (v-w9501f7_ZU) - substituted with v-w9501f25_ZU</v>
      </c>
    </row>
    <row r="72443" customFormat="false" ht="12.8" hidden="false" customHeight="false" outlineLevel="0" collapsed="false">
      <c r="B72443" s="0" t="s">
        <v>7</v>
      </c>
      <c r="C72443" s="0" t="s">
        <v>7136</v>
      </c>
    </row>
    <row r="72444" customFormat="false" ht="12.8" hidden="false" customHeight="false" outlineLevel="0" collapsed="false">
      <c r="B72444" s="0" t="s">
        <v>24515</v>
      </c>
      <c r="C72444" s="0" t="s">
        <v>24524</v>
      </c>
    </row>
    <row r="72445" customFormat="false" ht="12.8" hidden="false" customHeight="false" outlineLevel="0" collapsed="false">
      <c r="B72445" s="0" t="s">
        <v>1349</v>
      </c>
      <c r="C72445" s="0" t="s">
        <v>24525</v>
      </c>
    </row>
    <row r="72447" customFormat="false" ht="12.8" hidden="false" customHeight="false" outlineLevel="0" collapsed="false">
      <c r="A72447" s="0" t="s">
        <v>24514</v>
      </c>
      <c r="B72447" s="0" t="str">
        <f aca="false">HYPERLINK("https://lindat.mff.cuni.cz/services/teitok/pdtc10/index.php?action=vallex&amp;frame=v-w9501f8_ZU", "získat (v-w9501f8_ZU) - substituted with v-w9501f25_ZU")</f>
        <v>získat (v-w9501f8_ZU) - substituted with v-w9501f25_ZU</v>
      </c>
    </row>
    <row r="72448" customFormat="false" ht="12.8" hidden="false" customHeight="false" outlineLevel="0" collapsed="false">
      <c r="B72448" s="0" t="s">
        <v>7</v>
      </c>
    </row>
    <row r="72449" customFormat="false" ht="12.8" hidden="false" customHeight="false" outlineLevel="0" collapsed="false">
      <c r="B72449" s="0" t="s">
        <v>24515</v>
      </c>
    </row>
    <row r="72450" customFormat="false" ht="12.8" hidden="false" customHeight="false" outlineLevel="0" collapsed="false">
      <c r="B72450" s="0" t="s">
        <v>1349</v>
      </c>
    </row>
    <row r="72452" customFormat="false" ht="12.8" hidden="false" customHeight="false" outlineLevel="0" collapsed="false">
      <c r="A72452" s="0" t="s">
        <v>24514</v>
      </c>
      <c r="B72452" s="0" t="str">
        <f aca="false">HYPERLINK("https://lindat.mff.cuni.cz/services/teitok/pdtc10/index.php?action=vallex&amp;frame=v-w9501f9_ZU", "získat (v-w9501f9_ZU) - substituted with v-w9501f25_ZU")</f>
        <v>získat (v-w9501f9_ZU) - substituted with v-w9501f25_ZU</v>
      </c>
    </row>
    <row r="72453" customFormat="false" ht="12.8" hidden="false" customHeight="false" outlineLevel="0" collapsed="false">
      <c r="B72453" s="0" t="s">
        <v>7</v>
      </c>
      <c r="C72453" s="0" t="s">
        <v>24526</v>
      </c>
    </row>
    <row r="72454" customFormat="false" ht="12.8" hidden="false" customHeight="false" outlineLevel="0" collapsed="false">
      <c r="B72454" s="0" t="s">
        <v>24515</v>
      </c>
      <c r="C72454" s="0" t="s">
        <v>24527</v>
      </c>
    </row>
    <row r="72455" customFormat="false" ht="12.8" hidden="false" customHeight="false" outlineLevel="0" collapsed="false">
      <c r="B72455" s="0" t="s">
        <v>1349</v>
      </c>
      <c r="C72455" s="0" t="s">
        <v>24528</v>
      </c>
    </row>
    <row r="72457" customFormat="false" ht="12.8" hidden="false" customHeight="false" outlineLevel="0" collapsed="false">
      <c r="A72457" s="0" t="s">
        <v>24514</v>
      </c>
      <c r="B72457" s="0" t="str">
        <f aca="false">HYPERLINK("https://lindat.mff.cuni.cz/services/teitok/pdtc10/index.php?action=vallex&amp;frame=v-w9501hsa_112", "získat (v-w9501hsa_112) - substituted with v-w9501f25_ZU")</f>
        <v>získat (v-w9501hsa_112) - substituted with v-w9501f25_ZU</v>
      </c>
    </row>
    <row r="72458" customFormat="false" ht="12.8" hidden="false" customHeight="false" outlineLevel="0" collapsed="false">
      <c r="B72458" s="0" t="s">
        <v>7</v>
      </c>
    </row>
    <row r="72459" customFormat="false" ht="12.8" hidden="false" customHeight="false" outlineLevel="0" collapsed="false">
      <c r="B72459" s="0" t="s">
        <v>24515</v>
      </c>
    </row>
    <row r="72460" customFormat="false" ht="12.8" hidden="false" customHeight="false" outlineLevel="0" collapsed="false">
      <c r="B72460" s="0" t="s">
        <v>1349</v>
      </c>
    </row>
    <row r="72462" customFormat="false" ht="12.8" hidden="false" customHeight="false" outlineLevel="0" collapsed="false">
      <c r="A72462" s="0" t="s">
        <v>24529</v>
      </c>
      <c r="B72462" s="0" t="str">
        <f aca="false">HYPERLINK("https://lindat.mff.cuni.cz/services/teitok/pdtc10/index.php?action=vallex&amp;frame=v-w9501f10_ZU", "získat (v-w9501f10_ZU)")</f>
        <v>získat (v-w9501f10_ZU)</v>
      </c>
    </row>
    <row r="72463" customFormat="false" ht="12.8" hidden="false" customHeight="false" outlineLevel="0" collapsed="false">
      <c r="B72463" s="0" t="s">
        <v>7</v>
      </c>
      <c r="C72463" s="0" t="s">
        <v>3205</v>
      </c>
    </row>
    <row r="72464" customFormat="false" ht="12.8" hidden="false" customHeight="false" outlineLevel="0" collapsed="false">
      <c r="B72464" s="0" t="s">
        <v>5966</v>
      </c>
      <c r="C72464" s="0" t="s">
        <v>3207</v>
      </c>
    </row>
    <row r="72465" customFormat="false" ht="12.8" hidden="false" customHeight="false" outlineLevel="0" collapsed="false">
      <c r="B72465" s="0" t="s">
        <v>3620</v>
      </c>
    </row>
    <row r="72467" customFormat="false" ht="12.8" hidden="false" customHeight="false" outlineLevel="0" collapsed="false">
      <c r="A72467" s="0" t="s">
        <v>24530</v>
      </c>
      <c r="B72467" s="0" t="str">
        <f aca="false">HYPERLINK("https://lindat.mff.cuni.cz/services/teitok/pdtc10/index.php?action=vallex&amp;frame=v-w9501hsa_158", "získat (v-w9501hsa_158)")</f>
        <v>získat (v-w9501hsa_158)</v>
      </c>
    </row>
    <row r="72468" customFormat="false" ht="12.8" hidden="false" customHeight="false" outlineLevel="0" collapsed="false">
      <c r="B72468" s="0" t="s">
        <v>7</v>
      </c>
    </row>
    <row r="72469" customFormat="false" ht="12.8" hidden="false" customHeight="false" outlineLevel="0" collapsed="false">
      <c r="B72469" s="0" t="s">
        <v>21460</v>
      </c>
    </row>
    <row r="72470" customFormat="false" ht="12.8" hidden="false" customHeight="false" outlineLevel="0" collapsed="false">
      <c r="B72470" s="0" t="s">
        <v>441</v>
      </c>
    </row>
    <row r="72472" customFormat="false" ht="12.8" hidden="false" customHeight="false" outlineLevel="0" collapsed="false">
      <c r="A72472" s="0" t="s">
        <v>24531</v>
      </c>
      <c r="B72472" s="0" t="str">
        <f aca="false">HYPERLINK("https://lindat.mff.cuni.cz/services/teitok/pdtc10/index.php?action=vallex&amp;frame=v-w9504f1", "získávat (v-w9504f1)")</f>
        <v>získávat (v-w9504f1)</v>
      </c>
    </row>
    <row r="72473" customFormat="false" ht="12.8" hidden="false" customHeight="false" outlineLevel="0" collapsed="false">
      <c r="B72473" s="0" t="s">
        <v>7</v>
      </c>
      <c r="C72473" s="0" t="s">
        <v>24532</v>
      </c>
      <c r="D72473" s="0" t="s">
        <v>24488</v>
      </c>
      <c r="E72473" s="0" t="s">
        <v>24488</v>
      </c>
      <c r="F72473" s="0" t="s">
        <v>24488</v>
      </c>
    </row>
    <row r="72474" customFormat="false" ht="12.8" hidden="false" customHeight="false" outlineLevel="0" collapsed="false">
      <c r="B72474" s="0" t="s">
        <v>14</v>
      </c>
      <c r="C72474" s="0" t="s">
        <v>24533</v>
      </c>
      <c r="D72474" s="0" t="s">
        <v>24489</v>
      </c>
      <c r="E72474" s="0" t="s">
        <v>24489</v>
      </c>
      <c r="F72474" s="0" t="s">
        <v>24489</v>
      </c>
    </row>
    <row r="72475" customFormat="false" ht="12.8" hidden="false" customHeight="false" outlineLevel="0" collapsed="false">
      <c r="B72475" s="0" t="s">
        <v>7321</v>
      </c>
      <c r="C72475" s="0" t="s">
        <v>24534</v>
      </c>
      <c r="D72475" s="0" t="s">
        <v>24491</v>
      </c>
      <c r="E72475" s="0" t="s">
        <v>24491</v>
      </c>
      <c r="F72475" s="0" t="s">
        <v>24491</v>
      </c>
    </row>
    <row r="72477" customFormat="false" ht="12.8" hidden="false" customHeight="false" outlineLevel="0" collapsed="false">
      <c r="A72477" s="0" t="s">
        <v>24535</v>
      </c>
      <c r="B72477" s="0" t="str">
        <f aca="false">HYPERLINK("https://lindat.mff.cuni.cz/services/teitok/pdtc10/index.php?action=vallex&amp;frame=v-w9504f4", "získávat (v-w9504f4)")</f>
        <v>získávat (v-w9504f4)</v>
      </c>
    </row>
    <row r="72478" customFormat="false" ht="12.8" hidden="false" customHeight="false" outlineLevel="0" collapsed="false">
      <c r="B72478" s="0" t="s">
        <v>7</v>
      </c>
      <c r="C72478" s="0" t="s">
        <v>24536</v>
      </c>
      <c r="D72478" s="0" t="s">
        <v>9144</v>
      </c>
      <c r="E72478" s="0" t="s">
        <v>9144</v>
      </c>
      <c r="F72478" s="0" t="s">
        <v>9144</v>
      </c>
    </row>
    <row r="72479" customFormat="false" ht="12.8" hidden="false" customHeight="false" outlineLevel="0" collapsed="false">
      <c r="B72479" s="0" t="s">
        <v>14</v>
      </c>
      <c r="C72479" s="0" t="s">
        <v>24537</v>
      </c>
      <c r="D72479" s="0" t="s">
        <v>78</v>
      </c>
      <c r="E72479" s="0" t="s">
        <v>78</v>
      </c>
      <c r="F72479" s="0" t="s">
        <v>78</v>
      </c>
    </row>
    <row r="72481" customFormat="false" ht="12.8" hidden="false" customHeight="false" outlineLevel="0" collapsed="false">
      <c r="A72481" s="0" t="s">
        <v>24538</v>
      </c>
      <c r="B72481" s="0" t="str">
        <f aca="false">HYPERLINK("https://lindat.mff.cuni.cz/services/teitok/pdtc10/index.php?action=vallex&amp;frame=v-w9504f6_ZU", "získávat (v-w9504f6_ZU)")</f>
        <v>získávat (v-w9504f6_ZU)</v>
      </c>
    </row>
    <row r="72482" customFormat="false" ht="12.8" hidden="false" customHeight="false" outlineLevel="0" collapsed="false">
      <c r="B72482" s="0" t="s">
        <v>7</v>
      </c>
      <c r="C72482" s="0" t="s">
        <v>24539</v>
      </c>
      <c r="D72482" s="0" t="s">
        <v>2332</v>
      </c>
      <c r="E72482" s="0" t="s">
        <v>2332</v>
      </c>
      <c r="F72482" s="0" t="s">
        <v>2332</v>
      </c>
    </row>
    <row r="72483" customFormat="false" ht="12.8" hidden="false" customHeight="false" outlineLevel="0" collapsed="false">
      <c r="B72483" s="0" t="s">
        <v>24510</v>
      </c>
      <c r="C72483" s="0" t="s">
        <v>24540</v>
      </c>
      <c r="D72483" s="0" t="s">
        <v>2334</v>
      </c>
      <c r="E72483" s="0" t="s">
        <v>2334</v>
      </c>
      <c r="F72483" s="0" t="s">
        <v>2334</v>
      </c>
    </row>
    <row r="72485" customFormat="false" ht="12.8" hidden="false" customHeight="false" outlineLevel="0" collapsed="false">
      <c r="A72485" s="0" t="s">
        <v>24538</v>
      </c>
      <c r="B72485" s="0" t="str">
        <f aca="false">HYPERLINK("https://lindat.mff.cuni.cz/services/teitok/pdtc10/index.php?action=vallex&amp;frame=v-w9504f2", "získávat (v-w9504f2) - substituted with v-w9504f6_ZU")</f>
        <v>získávat (v-w9504f2) - substituted with v-w9504f6_ZU</v>
      </c>
    </row>
    <row r="72486" customFormat="false" ht="12.8" hidden="false" customHeight="false" outlineLevel="0" collapsed="false">
      <c r="B72486" s="0" t="s">
        <v>7</v>
      </c>
      <c r="C72486" s="0" t="s">
        <v>24541</v>
      </c>
    </row>
    <row r="72487" customFormat="false" ht="12.8" hidden="false" customHeight="false" outlineLevel="0" collapsed="false">
      <c r="B72487" s="0" t="s">
        <v>24510</v>
      </c>
      <c r="C72487" s="0" t="s">
        <v>24542</v>
      </c>
    </row>
    <row r="72489" customFormat="false" ht="12.8" hidden="false" customHeight="false" outlineLevel="0" collapsed="false">
      <c r="A72489" s="0" t="s">
        <v>24543</v>
      </c>
      <c r="B72489" s="0" t="str">
        <f aca="false">HYPERLINK("https://lindat.mff.cuni.cz/services/teitok/pdtc10/index.php?action=vallex&amp;frame=v-w9504f5", "získávat (v-w9504f5)")</f>
        <v>získávat (v-w9504f5)</v>
      </c>
    </row>
    <row r="72490" customFormat="false" ht="12.8" hidden="false" customHeight="false" outlineLevel="0" collapsed="false">
      <c r="B72490" s="0" t="s">
        <v>7</v>
      </c>
    </row>
    <row r="72491" customFormat="false" ht="12.8" hidden="false" customHeight="false" outlineLevel="0" collapsed="false">
      <c r="B72491" s="0" t="s">
        <v>24544</v>
      </c>
    </row>
    <row r="72492" customFormat="false" ht="12.8" hidden="false" customHeight="false" outlineLevel="0" collapsed="false">
      <c r="B72492" s="0" t="s">
        <v>3441</v>
      </c>
    </row>
    <row r="72494" customFormat="false" ht="12.8" hidden="false" customHeight="false" outlineLevel="0" collapsed="false">
      <c r="A72494" s="0" t="s">
        <v>24545</v>
      </c>
      <c r="B72494" s="0" t="str">
        <f aca="false">HYPERLINK("https://lindat.mff.cuni.cz/services/teitok/pdtc10/index.php?action=vallex&amp;frame=v-w9504f7_ZU", "získávat (v-w9504f7_ZU)")</f>
        <v>získávat (v-w9504f7_ZU)</v>
      </c>
    </row>
    <row r="72495" customFormat="false" ht="12.8" hidden="false" customHeight="false" outlineLevel="0" collapsed="false">
      <c r="B72495" s="0" t="s">
        <v>7</v>
      </c>
      <c r="C72495" s="0" t="s">
        <v>13197</v>
      </c>
    </row>
    <row r="72496" customFormat="false" ht="12.8" hidden="false" customHeight="false" outlineLevel="0" collapsed="false">
      <c r="B72496" s="0" t="s">
        <v>24546</v>
      </c>
      <c r="C72496" s="0" t="s">
        <v>24547</v>
      </c>
    </row>
    <row r="72497" customFormat="false" ht="12.8" hidden="false" customHeight="false" outlineLevel="0" collapsed="false">
      <c r="B72497" s="0" t="s">
        <v>441</v>
      </c>
    </row>
    <row r="72499" customFormat="false" ht="12.8" hidden="false" customHeight="false" outlineLevel="0" collapsed="false">
      <c r="A72499" s="0" t="s">
        <v>24545</v>
      </c>
      <c r="B72499" s="0" t="str">
        <f aca="false">HYPERLINK("https://lindat.mff.cuni.cz/services/teitok/pdtc10/index.php?action=vallex&amp;frame=v-w9504f3", "získávat (v-w9504f3) - substituted with v-w9504f7_ZU")</f>
        <v>získávat (v-w9504f3) - substituted with v-w9504f7_ZU</v>
      </c>
    </row>
    <row r="72500" customFormat="false" ht="12.8" hidden="false" customHeight="false" outlineLevel="0" collapsed="false">
      <c r="B72500" s="0" t="s">
        <v>7</v>
      </c>
      <c r="C72500" s="0" t="s">
        <v>309</v>
      </c>
    </row>
    <row r="72501" customFormat="false" ht="12.8" hidden="false" customHeight="false" outlineLevel="0" collapsed="false">
      <c r="B72501" s="0" t="s">
        <v>24546</v>
      </c>
      <c r="C72501" s="0" t="s">
        <v>21580</v>
      </c>
    </row>
    <row r="72502" customFormat="false" ht="12.8" hidden="false" customHeight="false" outlineLevel="0" collapsed="false">
      <c r="B72502" s="0" t="s">
        <v>441</v>
      </c>
      <c r="C72502" s="0" t="s">
        <v>1729</v>
      </c>
    </row>
    <row r="72504" customFormat="false" ht="12.8" hidden="false" customHeight="false" outlineLevel="0" collapsed="false">
      <c r="A72504" s="0" t="s">
        <v>24545</v>
      </c>
      <c r="B72504" s="0" t="str">
        <f aca="false">HYPERLINK("https://lindat.mff.cuni.cz/services/teitok/pdtc10/index.php?action=vallex&amp;frame=v-w9504hsa_1032", "získávat (v-w9504hsa_1032) - substituted with v-w9504f7_ZU")</f>
        <v>získávat (v-w9504hsa_1032) - substituted with v-w9504f7_ZU</v>
      </c>
    </row>
    <row r="72505" customFormat="false" ht="12.8" hidden="false" customHeight="false" outlineLevel="0" collapsed="false">
      <c r="B72505" s="0" t="s">
        <v>7</v>
      </c>
      <c r="C72505" s="0" t="s">
        <v>24548</v>
      </c>
    </row>
    <row r="72506" customFormat="false" ht="12.8" hidden="false" customHeight="false" outlineLevel="0" collapsed="false">
      <c r="B72506" s="0" t="s">
        <v>24546</v>
      </c>
      <c r="C72506" s="0" t="s">
        <v>24549</v>
      </c>
    </row>
    <row r="72507" customFormat="false" ht="12.8" hidden="false" customHeight="false" outlineLevel="0" collapsed="false">
      <c r="B72507" s="0" t="s">
        <v>441</v>
      </c>
      <c r="C72507" s="0" t="s">
        <v>24550</v>
      </c>
    </row>
    <row r="72509" customFormat="false" ht="12.8" hidden="false" customHeight="false" outlineLevel="0" collapsed="false">
      <c r="A72509" s="0" t="s">
        <v>24551</v>
      </c>
      <c r="B72509" s="0" t="str">
        <f aca="false">HYPERLINK("https://lindat.mff.cuni.cz/services/teitok/pdtc10/index.php?action=vallex&amp;frame=v-w9935f1", "zúročit (v-w9935f1)")</f>
        <v>zúročit (v-w9935f1)</v>
      </c>
    </row>
    <row r="72510" customFormat="false" ht="12.8" hidden="false" customHeight="false" outlineLevel="0" collapsed="false">
      <c r="B72510" s="0" t="s">
        <v>7</v>
      </c>
    </row>
    <row r="72511" customFormat="false" ht="12.8" hidden="false" customHeight="false" outlineLevel="0" collapsed="false">
      <c r="B72511" s="0" t="s">
        <v>14</v>
      </c>
    </row>
    <row r="72513" customFormat="false" ht="12.8" hidden="false" customHeight="false" outlineLevel="0" collapsed="false">
      <c r="A72513" s="0" t="s">
        <v>24552</v>
      </c>
      <c r="B72513" s="0" t="str">
        <f aca="false">HYPERLINK("https://lindat.mff.cuni.cz/services/teitok/pdtc10/index.php?action=vallex&amp;frame=v-w9936f1", "zúročit se (v-w9936f1)")</f>
        <v>zúročit se (v-w9936f1)</v>
      </c>
    </row>
    <row r="72514" customFormat="false" ht="12.8" hidden="false" customHeight="false" outlineLevel="0" collapsed="false">
      <c r="B72514" s="0" t="s">
        <v>7</v>
      </c>
      <c r="C72514" s="0" t="s">
        <v>8198</v>
      </c>
    </row>
    <row r="72516" customFormat="false" ht="12.8" hidden="false" customHeight="false" outlineLevel="0" collapsed="false">
      <c r="A72516" s="0" t="s">
        <v>24553</v>
      </c>
      <c r="B72516" s="0" t="str">
        <f aca="false">HYPERLINK("https://lindat.mff.cuni.cz/services/teitok/pdtc10/index.php?action=vallex&amp;frame=v-w11683_ZUf1_ZU", "zútulnit (v-w11683_ZUf1_ZU)")</f>
        <v>zútulnit (v-w11683_ZUf1_ZU)</v>
      </c>
    </row>
    <row r="72517" customFormat="false" ht="12.8" hidden="false" customHeight="false" outlineLevel="0" collapsed="false">
      <c r="B72517" s="0" t="s">
        <v>7</v>
      </c>
    </row>
    <row r="72518" customFormat="false" ht="12.8" hidden="false" customHeight="false" outlineLevel="0" collapsed="false">
      <c r="B72518" s="0" t="s">
        <v>14</v>
      </c>
    </row>
    <row r="72520" customFormat="false" ht="12.8" hidden="false" customHeight="false" outlineLevel="0" collapsed="false">
      <c r="A72520" s="0" t="s">
        <v>24554</v>
      </c>
      <c r="B72520" s="0" t="str">
        <f aca="false">HYPERLINK("https://lindat.mff.cuni.cz/services/teitok/pdtc10/index.php?action=vallex&amp;frame=v-w9930f1", "zúčastnit se (v-w9930f1)")</f>
        <v>zúčastnit se (v-w9930f1)</v>
      </c>
    </row>
    <row r="72521" customFormat="false" ht="12.8" hidden="false" customHeight="false" outlineLevel="0" collapsed="false">
      <c r="B72521" s="0" t="s">
        <v>7</v>
      </c>
      <c r="C72521" s="0" t="s">
        <v>24555</v>
      </c>
      <c r="D72521" s="0" t="s">
        <v>141</v>
      </c>
      <c r="E72521" s="0" t="s">
        <v>141</v>
      </c>
      <c r="F72521" s="0" t="s">
        <v>141</v>
      </c>
    </row>
    <row r="72522" customFormat="false" ht="12.8" hidden="false" customHeight="false" outlineLevel="0" collapsed="false">
      <c r="B72522" s="0" t="s">
        <v>24556</v>
      </c>
      <c r="C72522" s="0" t="s">
        <v>1625</v>
      </c>
      <c r="D72522" s="0" t="s">
        <v>144</v>
      </c>
      <c r="E72522" s="0" t="s">
        <v>144</v>
      </c>
      <c r="F72522" s="0" t="s">
        <v>144</v>
      </c>
    </row>
    <row r="72524" customFormat="false" ht="12.8" hidden="false" customHeight="false" outlineLevel="0" collapsed="false">
      <c r="A72524" s="0" t="s">
        <v>24557</v>
      </c>
      <c r="B72524" s="0" t="str">
        <f aca="false">HYPERLINK("https://lindat.mff.cuni.cz/services/teitok/pdtc10/index.php?action=vallex&amp;frame=v-w9931f1", "zúčastňovat se (v-w9931f1)")</f>
        <v>zúčastňovat se (v-w9931f1)</v>
      </c>
    </row>
    <row r="72525" customFormat="false" ht="12.8" hidden="false" customHeight="false" outlineLevel="0" collapsed="false">
      <c r="B72525" s="0" t="s">
        <v>7</v>
      </c>
      <c r="D72525" s="0" t="s">
        <v>141</v>
      </c>
      <c r="E72525" s="0" t="s">
        <v>141</v>
      </c>
      <c r="F72525" s="0" t="s">
        <v>141</v>
      </c>
    </row>
    <row r="72526" customFormat="false" ht="12.8" hidden="false" customHeight="false" outlineLevel="0" collapsed="false">
      <c r="B72526" s="0" t="s">
        <v>24556</v>
      </c>
      <c r="D72526" s="0" t="s">
        <v>144</v>
      </c>
      <c r="E72526" s="0" t="s">
        <v>144</v>
      </c>
      <c r="F72526" s="0" t="s">
        <v>144</v>
      </c>
    </row>
    <row r="72528" customFormat="false" ht="12.8" hidden="false" customHeight="false" outlineLevel="0" collapsed="false">
      <c r="A72528" s="0" t="s">
        <v>24558</v>
      </c>
      <c r="B72528" s="0" t="str">
        <f aca="false">HYPERLINK("https://lindat.mff.cuni.cz/services/teitok/pdtc10/index.php?action=vallex&amp;frame=v-w9933f2", "zúčtovat (v-w9933f2)")</f>
        <v>zúčtovat (v-w9933f2)</v>
      </c>
    </row>
    <row r="72529" customFormat="false" ht="12.8" hidden="false" customHeight="false" outlineLevel="0" collapsed="false">
      <c r="B72529" s="0" t="s">
        <v>7</v>
      </c>
    </row>
    <row r="72530" customFormat="false" ht="12.8" hidden="false" customHeight="false" outlineLevel="0" collapsed="false">
      <c r="B72530" s="0" t="s">
        <v>14</v>
      </c>
    </row>
    <row r="72532" customFormat="false" ht="12.8" hidden="false" customHeight="false" outlineLevel="0" collapsed="false">
      <c r="A72532" s="0" t="s">
        <v>24559</v>
      </c>
      <c r="B72532" s="0" t="str">
        <f aca="false">HYPERLINK("https://lindat.mff.cuni.cz/services/teitok/pdtc10/index.php?action=vallex&amp;frame=v-w9933f1", "zúčtovat (v-w9933f1)")</f>
        <v>zúčtovat (v-w9933f1)</v>
      </c>
    </row>
    <row r="72533" customFormat="false" ht="12.8" hidden="false" customHeight="false" outlineLevel="0" collapsed="false">
      <c r="B72533" s="0" t="s">
        <v>7</v>
      </c>
    </row>
    <row r="72534" customFormat="false" ht="12.8" hidden="false" customHeight="false" outlineLevel="0" collapsed="false">
      <c r="B72534" s="0" t="s">
        <v>548</v>
      </c>
    </row>
    <row r="72536" customFormat="false" ht="12.8" hidden="false" customHeight="false" outlineLevel="0" collapsed="false">
      <c r="A72536" s="0" t="s">
        <v>24560</v>
      </c>
      <c r="B72536" s="0" t="str">
        <f aca="false">HYPERLINK("https://lindat.mff.cuni.cz/services/teitok/pdtc10/index.php?action=vallex&amp;frame=v-w9943f1", "zúžit (v-w9943f1)")</f>
        <v>zúžit (v-w9943f1)</v>
      </c>
    </row>
    <row r="72537" customFormat="false" ht="12.8" hidden="false" customHeight="false" outlineLevel="0" collapsed="false">
      <c r="B72537" s="0" t="s">
        <v>7</v>
      </c>
      <c r="C72537" s="0" t="s">
        <v>24561</v>
      </c>
      <c r="D72537" s="0" t="s">
        <v>9101</v>
      </c>
      <c r="E72537" s="0" t="s">
        <v>8863</v>
      </c>
      <c r="F72537" s="0" t="s">
        <v>8863</v>
      </c>
    </row>
    <row r="72538" customFormat="false" ht="12.8" hidden="false" customHeight="false" outlineLevel="0" collapsed="false">
      <c r="B72538" s="0" t="s">
        <v>14</v>
      </c>
      <c r="C72538" s="0" t="s">
        <v>24562</v>
      </c>
      <c r="D72538" s="0" t="s">
        <v>9102</v>
      </c>
      <c r="E72538" s="0" t="s">
        <v>8865</v>
      </c>
      <c r="F72538" s="0" t="s">
        <v>8865</v>
      </c>
    </row>
    <row r="72539" customFormat="false" ht="12.8" hidden="false" customHeight="false" outlineLevel="0" collapsed="false">
      <c r="B72539" s="0" t="s">
        <v>35</v>
      </c>
      <c r="D72539" s="0" t="s">
        <v>9103</v>
      </c>
      <c r="E72539" s="0" t="s">
        <v>8867</v>
      </c>
      <c r="F72539" s="0" t="s">
        <v>8867</v>
      </c>
    </row>
    <row r="72540" customFormat="false" ht="12.8" hidden="false" customHeight="false" outlineLevel="0" collapsed="false">
      <c r="B72540" s="0" t="s">
        <v>84</v>
      </c>
      <c r="C72540" s="0" t="s">
        <v>9484</v>
      </c>
      <c r="D72540" s="0" t="s">
        <v>9104</v>
      </c>
      <c r="E72540" s="0" t="s">
        <v>8869</v>
      </c>
      <c r="F72540" s="0" t="s">
        <v>8869</v>
      </c>
    </row>
    <row r="72542" customFormat="false" ht="12.8" hidden="false" customHeight="false" outlineLevel="0" collapsed="false">
      <c r="A72542" s="0" t="s">
        <v>24563</v>
      </c>
      <c r="B72542" s="0" t="str">
        <f aca="false">HYPERLINK("https://lindat.mff.cuni.cz/services/teitok/pdtc10/index.php?action=vallex&amp;frame=v-w9943f2", "zúžit (v-w9943f2)")</f>
        <v>zúžit (v-w9943f2)</v>
      </c>
    </row>
    <row r="72543" customFormat="false" ht="12.8" hidden="false" customHeight="false" outlineLevel="0" collapsed="false">
      <c r="B72543" s="0" t="s">
        <v>7</v>
      </c>
    </row>
    <row r="72544" customFormat="false" ht="12.8" hidden="false" customHeight="false" outlineLevel="0" collapsed="false">
      <c r="B72544" s="0" t="s">
        <v>14</v>
      </c>
    </row>
    <row r="72546" customFormat="false" ht="12.8" hidden="false" customHeight="false" outlineLevel="0" collapsed="false">
      <c r="A72546" s="0" t="s">
        <v>24564</v>
      </c>
      <c r="B72546" s="0" t="str">
        <f aca="false">HYPERLINK("https://lindat.mff.cuni.cz/services/teitok/pdtc10/index.php?action=vallex&amp;frame=v-w9945f1", "zúžit se (v-w9945f1)")</f>
        <v>zúžit se (v-w9945f1)</v>
      </c>
    </row>
    <row r="72547" customFormat="false" ht="12.8" hidden="false" customHeight="false" outlineLevel="0" collapsed="false">
      <c r="B72547" s="0" t="s">
        <v>7</v>
      </c>
      <c r="C72547" s="0" t="s">
        <v>15242</v>
      </c>
    </row>
    <row r="72548" customFormat="false" ht="12.8" hidden="false" customHeight="false" outlineLevel="0" collapsed="false">
      <c r="B72548" s="0" t="s">
        <v>63</v>
      </c>
      <c r="C72548" s="0" t="s">
        <v>10567</v>
      </c>
    </row>
    <row r="72549" customFormat="false" ht="12.8" hidden="false" customHeight="false" outlineLevel="0" collapsed="false">
      <c r="B72549" s="0" t="s">
        <v>35</v>
      </c>
      <c r="C72549" s="0" t="s">
        <v>6197</v>
      </c>
    </row>
    <row r="72551" customFormat="false" ht="12.8" hidden="false" customHeight="false" outlineLevel="0" collapsed="false">
      <c r="A72551" s="0" t="s">
        <v>24565</v>
      </c>
      <c r="B72551" s="0" t="str">
        <f aca="false">HYPERLINK("https://lindat.mff.cuni.cz/services/teitok/pdtc10/index.php?action=vallex&amp;frame=v-w9945f2", "zúžit se (v-w9945f2)")</f>
        <v>zúžit se (v-w9945f2)</v>
      </c>
    </row>
    <row r="72552" customFormat="false" ht="12.8" hidden="false" customHeight="false" outlineLevel="0" collapsed="false">
      <c r="B72552" s="0" t="s">
        <v>7</v>
      </c>
      <c r="C72552" s="0" t="s">
        <v>15242</v>
      </c>
    </row>
    <row r="72553" customFormat="false" ht="12.8" hidden="false" customHeight="false" outlineLevel="0" collapsed="false">
      <c r="B72553" s="0" t="s">
        <v>63</v>
      </c>
      <c r="C72553" s="0" t="s">
        <v>10567</v>
      </c>
    </row>
    <row r="72554" customFormat="false" ht="12.8" hidden="false" customHeight="false" outlineLevel="0" collapsed="false">
      <c r="B72554" s="0" t="s">
        <v>35</v>
      </c>
      <c r="C72554" s="0" t="s">
        <v>6197</v>
      </c>
    </row>
    <row r="72556" customFormat="false" ht="12.8" hidden="false" customHeight="false" outlineLevel="0" collapsed="false">
      <c r="A72556" s="0" t="s">
        <v>24566</v>
      </c>
      <c r="B72556" s="0" t="str">
        <f aca="false">HYPERLINK("https://lindat.mff.cuni.cz/services/teitok/pdtc10/index.php?action=vallex&amp;frame=v-w10682f2", "zčervenat (v-w10682f2)")</f>
        <v>zčervenat (v-w10682f2)</v>
      </c>
    </row>
    <row r="72557" customFormat="false" ht="12.8" hidden="false" customHeight="false" outlineLevel="0" collapsed="false">
      <c r="B72557" s="0" t="s">
        <v>7</v>
      </c>
    </row>
    <row r="72559" customFormat="false" ht="12.8" hidden="false" customHeight="false" outlineLevel="0" collapsed="false">
      <c r="A72559" s="0" t="s">
        <v>24567</v>
      </c>
      <c r="B72559" s="0" t="str">
        <f aca="false">HYPERLINK("https://lindat.mff.cuni.cz/services/teitok/pdtc10/index.php?action=vallex&amp;frame=v-w9371f1", "zčitelnit (v-w9371f1)")</f>
        <v>zčitelnit (v-w9371f1)</v>
      </c>
    </row>
    <row r="72560" customFormat="false" ht="12.8" hidden="false" customHeight="false" outlineLevel="0" collapsed="false">
      <c r="B72560" s="0" t="s">
        <v>7</v>
      </c>
    </row>
    <row r="72561" customFormat="false" ht="12.8" hidden="false" customHeight="false" outlineLevel="0" collapsed="false">
      <c r="B72561" s="0" t="s">
        <v>14</v>
      </c>
    </row>
    <row r="72563" customFormat="false" ht="12.8" hidden="false" customHeight="false" outlineLevel="0" collapsed="false">
      <c r="A72563" s="0" t="s">
        <v>24568</v>
      </c>
      <c r="B72563" s="0" t="str">
        <f aca="false">HYPERLINK("https://lindat.mff.cuni.cz/services/teitok/pdtc10/index.php?action=vallex&amp;frame=v-w11280f2", "zčtyřnásobit se (v-w11280f2)")</f>
        <v>zčtyřnásobit se (v-w11280f2)</v>
      </c>
    </row>
    <row r="72564" customFormat="false" ht="12.8" hidden="false" customHeight="false" outlineLevel="0" collapsed="false">
      <c r="B72564" s="0" t="s">
        <v>7</v>
      </c>
      <c r="C72564" s="0" t="s">
        <v>396</v>
      </c>
      <c r="D72564" s="0" t="s">
        <v>23402</v>
      </c>
      <c r="E72564" s="0" t="s">
        <v>23402</v>
      </c>
      <c r="F72564" s="0" t="s">
        <v>23402</v>
      </c>
    </row>
    <row r="72565" customFormat="false" ht="12.8" hidden="false" customHeight="false" outlineLevel="0" collapsed="false">
      <c r="B72565" s="0" t="s">
        <v>63</v>
      </c>
      <c r="C72565" s="0" t="s">
        <v>9578</v>
      </c>
      <c r="D72565" s="0" t="s">
        <v>23404</v>
      </c>
      <c r="E72565" s="0" t="s">
        <v>23404</v>
      </c>
      <c r="F72565" s="0" t="s">
        <v>23404</v>
      </c>
    </row>
    <row r="72566" customFormat="false" ht="12.8" hidden="false" customHeight="false" outlineLevel="0" collapsed="false">
      <c r="B72566" s="0" t="s">
        <v>35</v>
      </c>
      <c r="D72566" s="0" t="s">
        <v>23398</v>
      </c>
      <c r="E72566" s="0" t="s">
        <v>23398</v>
      </c>
      <c r="F72566" s="0" t="s">
        <v>23398</v>
      </c>
    </row>
    <row r="72568" customFormat="false" ht="12.8" hidden="false" customHeight="false" outlineLevel="0" collapsed="false">
      <c r="A72568" s="0" t="s">
        <v>24569</v>
      </c>
      <c r="B72568" s="0" t="str">
        <f aca="false">HYPERLINK("https://lindat.mff.cuni.cz/services/teitok/pdtc10/index.php?action=vallex&amp;frame=v-w9887f1", "zřeknout se (v-w9887f1)")</f>
        <v>zřeknout se (v-w9887f1)</v>
      </c>
    </row>
    <row r="72569" customFormat="false" ht="12.8" hidden="false" customHeight="false" outlineLevel="0" collapsed="false">
      <c r="B72569" s="0" t="s">
        <v>7</v>
      </c>
      <c r="C72569" s="0" t="s">
        <v>2797</v>
      </c>
      <c r="D72569" s="0" t="s">
        <v>1399</v>
      </c>
      <c r="E72569" s="0" t="s">
        <v>1399</v>
      </c>
      <c r="F72569" s="0" t="s">
        <v>1399</v>
      </c>
    </row>
    <row r="72570" customFormat="false" ht="12.8" hidden="false" customHeight="false" outlineLevel="0" collapsed="false">
      <c r="B72570" s="0" t="s">
        <v>1087</v>
      </c>
      <c r="C72570" s="0" t="s">
        <v>26</v>
      </c>
      <c r="D72570" s="0" t="s">
        <v>1401</v>
      </c>
      <c r="E72570" s="0" t="s">
        <v>1401</v>
      </c>
      <c r="F72570" s="0" t="s">
        <v>1401</v>
      </c>
    </row>
    <row r="72572" customFormat="false" ht="12.8" hidden="false" customHeight="false" outlineLevel="0" collapsed="false">
      <c r="A72572" s="0" t="s">
        <v>24570</v>
      </c>
      <c r="B72572" s="0" t="str">
        <f aca="false">HYPERLINK("https://lindat.mff.cuni.cz/services/teitok/pdtc10/index.php?action=vallex&amp;frame=v-w11870_ZUf1_ZU", "zřezat (v-w11870_ZUf1_ZU)")</f>
        <v>zřezat (v-w11870_ZUf1_ZU)</v>
      </c>
    </row>
    <row r="72573" customFormat="false" ht="12.8" hidden="false" customHeight="false" outlineLevel="0" collapsed="false">
      <c r="B72573" s="0" t="s">
        <v>7</v>
      </c>
    </row>
    <row r="72574" customFormat="false" ht="12.8" hidden="false" customHeight="false" outlineLevel="0" collapsed="false">
      <c r="B72574" s="0" t="s">
        <v>14</v>
      </c>
    </row>
    <row r="72576" customFormat="false" ht="12.8" hidden="false" customHeight="false" outlineLevel="0" collapsed="false">
      <c r="A72576" s="0" t="s">
        <v>24571</v>
      </c>
      <c r="B72576" s="0" t="str">
        <f aca="false">HYPERLINK("https://lindat.mff.cuni.cz/services/teitok/pdtc10/index.php?action=vallex&amp;frame=v-w9897f1", "zřizovat (v-w9897f1)")</f>
        <v>zřizovat (v-w9897f1)</v>
      </c>
    </row>
    <row r="72577" customFormat="false" ht="12.8" hidden="false" customHeight="false" outlineLevel="0" collapsed="false">
      <c r="B72577" s="0" t="s">
        <v>7</v>
      </c>
      <c r="C72577" s="0" t="s">
        <v>17830</v>
      </c>
      <c r="D72577" s="0" t="s">
        <v>14491</v>
      </c>
      <c r="E72577" s="0" t="s">
        <v>14491</v>
      </c>
      <c r="F72577" s="0" t="s">
        <v>14491</v>
      </c>
    </row>
    <row r="72578" customFormat="false" ht="12.8" hidden="false" customHeight="false" outlineLevel="0" collapsed="false">
      <c r="B72578" s="0" t="s">
        <v>14</v>
      </c>
      <c r="C72578" s="0" t="s">
        <v>24572</v>
      </c>
      <c r="D72578" s="0" t="s">
        <v>14493</v>
      </c>
      <c r="E72578" s="0" t="s">
        <v>14493</v>
      </c>
      <c r="F72578" s="0" t="s">
        <v>14493</v>
      </c>
    </row>
    <row r="72579" customFormat="false" ht="12.8" hidden="false" customHeight="false" outlineLevel="0" collapsed="false">
      <c r="B72579" s="0" t="s">
        <v>35</v>
      </c>
      <c r="C72579" s="0" t="s">
        <v>4253</v>
      </c>
      <c r="D72579" s="0" t="s">
        <v>8048</v>
      </c>
      <c r="E72579" s="0" t="s">
        <v>8048</v>
      </c>
      <c r="F72579" s="0" t="s">
        <v>8048</v>
      </c>
    </row>
    <row r="72581" customFormat="false" ht="12.8" hidden="false" customHeight="false" outlineLevel="0" collapsed="false">
      <c r="A72581" s="0" t="s">
        <v>24573</v>
      </c>
      <c r="B72581" s="0" t="str">
        <f aca="false">HYPERLINK("https://lindat.mff.cuni.cz/services/teitok/pdtc10/index.php?action=vallex&amp;frame=v-w9890f1", "zříci se (v-w9890f1)")</f>
        <v>zříci se (v-w9890f1)</v>
      </c>
    </row>
    <row r="72582" customFormat="false" ht="12.8" hidden="false" customHeight="false" outlineLevel="0" collapsed="false">
      <c r="B72582" s="0" t="s">
        <v>7</v>
      </c>
      <c r="D72582" s="0" t="s">
        <v>1399</v>
      </c>
      <c r="E72582" s="0" t="s">
        <v>1399</v>
      </c>
      <c r="F72582" s="0" t="s">
        <v>1399</v>
      </c>
    </row>
    <row r="72583" customFormat="false" ht="12.8" hidden="false" customHeight="false" outlineLevel="0" collapsed="false">
      <c r="B72583" s="0" t="s">
        <v>1087</v>
      </c>
      <c r="D72583" s="0" t="s">
        <v>1401</v>
      </c>
      <c r="E72583" s="0" t="s">
        <v>1401</v>
      </c>
      <c r="F72583" s="0" t="s">
        <v>1401</v>
      </c>
    </row>
    <row r="72585" customFormat="false" ht="12.8" hidden="false" customHeight="false" outlineLevel="0" collapsed="false">
      <c r="A72585" s="0" t="s">
        <v>24574</v>
      </c>
      <c r="B72585" s="0" t="str">
        <f aca="false">HYPERLINK("https://lindat.mff.cuni.cz/services/teitok/pdtc10/index.php?action=vallex&amp;frame=v-w9891f1", "zřídit (v-w9891f1)")</f>
        <v>zřídit (v-w9891f1)</v>
      </c>
    </row>
    <row r="72586" customFormat="false" ht="12.8" hidden="false" customHeight="false" outlineLevel="0" collapsed="false">
      <c r="B72586" s="0" t="s">
        <v>7</v>
      </c>
      <c r="C72586" s="0" t="s">
        <v>7631</v>
      </c>
      <c r="D72586" s="0" t="s">
        <v>591</v>
      </c>
      <c r="E72586" s="0" t="s">
        <v>591</v>
      </c>
      <c r="F72586" s="0" t="s">
        <v>591</v>
      </c>
    </row>
    <row r="72587" customFormat="false" ht="12.8" hidden="false" customHeight="false" outlineLevel="0" collapsed="false">
      <c r="B72587" s="0" t="s">
        <v>14</v>
      </c>
      <c r="C72587" s="0" t="s">
        <v>4118</v>
      </c>
      <c r="D72587" s="0" t="s">
        <v>593</v>
      </c>
      <c r="E72587" s="0" t="s">
        <v>593</v>
      </c>
      <c r="F72587" s="0" t="s">
        <v>593</v>
      </c>
    </row>
    <row r="72588" customFormat="false" ht="12.8" hidden="false" customHeight="false" outlineLevel="0" collapsed="false">
      <c r="B72588" s="0" t="s">
        <v>35</v>
      </c>
      <c r="D72588" s="0" t="s">
        <v>595</v>
      </c>
      <c r="E72588" s="0" t="s">
        <v>595</v>
      </c>
      <c r="F72588" s="0" t="s">
        <v>595</v>
      </c>
    </row>
    <row r="72590" customFormat="false" ht="12.8" hidden="false" customHeight="false" outlineLevel="0" collapsed="false">
      <c r="A72590" s="0" t="s">
        <v>24575</v>
      </c>
      <c r="B72590" s="0" t="str">
        <f aca="false">HYPERLINK("https://lindat.mff.cuni.cz/services/teitok/pdtc10/index.php?action=vallex&amp;frame=v-w9891f2", "zřídit (v-w9891f2)")</f>
        <v>zřídit (v-w9891f2)</v>
      </c>
    </row>
    <row r="72591" customFormat="false" ht="12.8" hidden="false" customHeight="false" outlineLevel="0" collapsed="false">
      <c r="B72591" s="0" t="s">
        <v>7</v>
      </c>
    </row>
    <row r="72592" customFormat="false" ht="12.8" hidden="false" customHeight="false" outlineLevel="0" collapsed="false">
      <c r="B72592" s="0" t="s">
        <v>14</v>
      </c>
    </row>
    <row r="72594" customFormat="false" ht="12.8" hidden="false" customHeight="false" outlineLevel="0" collapsed="false">
      <c r="A72594" s="0" t="s">
        <v>24576</v>
      </c>
      <c r="B72594" s="0" t="str">
        <f aca="false">HYPERLINK("https://lindat.mff.cuni.cz/services/teitok/pdtc10/index.php?action=vallex&amp;frame=v-w9892f1", "zříkat se (v-w9892f1)")</f>
        <v>zříkat se (v-w9892f1)</v>
      </c>
    </row>
    <row r="72595" customFormat="false" ht="12.8" hidden="false" customHeight="false" outlineLevel="0" collapsed="false">
      <c r="B72595" s="0" t="s">
        <v>7</v>
      </c>
      <c r="C72595" s="0" t="s">
        <v>46</v>
      </c>
      <c r="D72595" s="0" t="s">
        <v>1399</v>
      </c>
      <c r="E72595" s="0" t="s">
        <v>1399</v>
      </c>
      <c r="F72595" s="0" t="s">
        <v>1399</v>
      </c>
    </row>
    <row r="72596" customFormat="false" ht="12.8" hidden="false" customHeight="false" outlineLevel="0" collapsed="false">
      <c r="B72596" s="0" t="s">
        <v>1087</v>
      </c>
      <c r="C72596" s="0" t="s">
        <v>115</v>
      </c>
      <c r="D72596" s="0" t="s">
        <v>1401</v>
      </c>
      <c r="E72596" s="0" t="s">
        <v>1401</v>
      </c>
      <c r="F72596" s="0" t="s">
        <v>1401</v>
      </c>
    </row>
    <row r="72598" customFormat="false" ht="12.8" hidden="false" customHeight="false" outlineLevel="0" collapsed="false">
      <c r="A72598" s="0" t="s">
        <v>24577</v>
      </c>
      <c r="B72598" s="0" t="str">
        <f aca="false">HYPERLINK("https://lindat.mff.cuni.cz/services/teitok/pdtc10/index.php?action=vallex&amp;frame=v-w12103_ZUf1_ZU", "zřít (v-w12103_ZUf1_ZU)")</f>
        <v>zřít (v-w12103_ZUf1_ZU)</v>
      </c>
    </row>
    <row r="72599" customFormat="false" ht="12.8" hidden="false" customHeight="false" outlineLevel="0" collapsed="false">
      <c r="B72599" s="0" t="s">
        <v>7</v>
      </c>
    </row>
    <row r="72600" customFormat="false" ht="12.8" hidden="false" customHeight="false" outlineLevel="0" collapsed="false">
      <c r="B72600" s="0" t="s">
        <v>4381</v>
      </c>
    </row>
    <row r="72602" customFormat="false" ht="12.8" hidden="false" customHeight="false" outlineLevel="0" collapsed="false">
      <c r="A72602" s="0" t="s">
        <v>24578</v>
      </c>
      <c r="B72602" s="0" t="str">
        <f aca="false">HYPERLINK("https://lindat.mff.cuni.cz/services/teitok/pdtc10/index.php?action=vallex&amp;frame=v-w9893f2", "zřítit se (v-w9893f2)")</f>
        <v>zřítit se (v-w9893f2)</v>
      </c>
    </row>
    <row r="72603" customFormat="false" ht="12.8" hidden="false" customHeight="false" outlineLevel="0" collapsed="false">
      <c r="B72603" s="0" t="s">
        <v>7</v>
      </c>
      <c r="C72603" s="0" t="s">
        <v>9559</v>
      </c>
      <c r="D72603" s="0" t="s">
        <v>9114</v>
      </c>
      <c r="E72603" s="0" t="s">
        <v>4615</v>
      </c>
      <c r="F72603" s="0" t="s">
        <v>4615</v>
      </c>
    </row>
    <row r="72604" customFormat="false" ht="12.8" hidden="false" customHeight="false" outlineLevel="0" collapsed="false">
      <c r="B72604" s="0" t="s">
        <v>63</v>
      </c>
      <c r="C72604" s="0" t="s">
        <v>24579</v>
      </c>
      <c r="D72604" s="0" t="s">
        <v>9116</v>
      </c>
      <c r="E72604" s="0" t="s">
        <v>4618</v>
      </c>
      <c r="F72604" s="0" t="s">
        <v>4618</v>
      </c>
    </row>
    <row r="72605" customFormat="false" ht="12.8" hidden="false" customHeight="false" outlineLevel="0" collapsed="false">
      <c r="B72605" s="0" t="s">
        <v>35</v>
      </c>
      <c r="C72605" s="0" t="s">
        <v>11969</v>
      </c>
      <c r="D72605" s="0" t="s">
        <v>9118</v>
      </c>
      <c r="E72605" s="0" t="s">
        <v>4621</v>
      </c>
      <c r="F72605" s="0" t="s">
        <v>4621</v>
      </c>
    </row>
    <row r="72607" customFormat="false" ht="12.8" hidden="false" customHeight="false" outlineLevel="0" collapsed="false">
      <c r="A72607" s="0" t="s">
        <v>24580</v>
      </c>
      <c r="B72607" s="0" t="str">
        <f aca="false">HYPERLINK("https://lindat.mff.cuni.cz/services/teitok/pdtc10/index.php?action=vallex&amp;frame=v-w9893f1", "zřítit se (v-w9893f1)")</f>
        <v>zřítit se (v-w9893f1)</v>
      </c>
    </row>
    <row r="72608" customFormat="false" ht="12.8" hidden="false" customHeight="false" outlineLevel="0" collapsed="false">
      <c r="B72608" s="0" t="s">
        <v>7</v>
      </c>
      <c r="C72608" s="0" t="s">
        <v>15480</v>
      </c>
      <c r="D72608" s="0" t="s">
        <v>4398</v>
      </c>
      <c r="E72608" s="0" t="s">
        <v>24581</v>
      </c>
      <c r="F72608" s="0" t="s">
        <v>24582</v>
      </c>
    </row>
    <row r="72610" customFormat="false" ht="12.8" hidden="false" customHeight="false" outlineLevel="0" collapsed="false">
      <c r="A72610" s="0" t="s">
        <v>24583</v>
      </c>
      <c r="B72610" s="0" t="str">
        <f aca="false">HYPERLINK("https://lindat.mff.cuni.cz/services/teitok/pdtc10/index.php?action=vallex&amp;frame=v-w9938f5", "zůstat (v-w9938f5)")</f>
        <v>zůstat (v-w9938f5)</v>
      </c>
    </row>
    <row r="72611" customFormat="false" ht="12.8" hidden="false" customHeight="false" outlineLevel="0" collapsed="false">
      <c r="B72611" s="0" t="s">
        <v>16737</v>
      </c>
      <c r="C72611" s="0" t="s">
        <v>24584</v>
      </c>
      <c r="D72611" s="0" t="s">
        <v>23306</v>
      </c>
      <c r="E72611" s="0" t="s">
        <v>23306</v>
      </c>
      <c r="F72611" s="0" t="s">
        <v>23306</v>
      </c>
    </row>
    <row r="72612" customFormat="false" ht="12.8" hidden="false" customHeight="false" outlineLevel="0" collapsed="false">
      <c r="B72612" s="0" t="s">
        <v>5484</v>
      </c>
      <c r="C72612" s="0" t="s">
        <v>24585</v>
      </c>
      <c r="D72612" s="0" t="s">
        <v>23307</v>
      </c>
      <c r="E72612" s="0" t="s">
        <v>23307</v>
      </c>
      <c r="F72612" s="0" t="s">
        <v>23307</v>
      </c>
    </row>
    <row r="72614" customFormat="false" ht="12.8" hidden="false" customHeight="false" outlineLevel="0" collapsed="false">
      <c r="A72614" s="0" t="s">
        <v>24586</v>
      </c>
      <c r="B72614" s="0" t="str">
        <f aca="false">HYPERLINK("https://lindat.mff.cuni.cz/services/teitok/pdtc10/index.php?action=vallex&amp;frame=v-w9938f2", "zůstat (v-w9938f2)")</f>
        <v>zůstat (v-w9938f2)</v>
      </c>
    </row>
    <row r="72615" customFormat="false" ht="12.8" hidden="false" customHeight="false" outlineLevel="0" collapsed="false">
      <c r="B72615" s="0" t="s">
        <v>7</v>
      </c>
      <c r="C72615" s="0" t="s">
        <v>24587</v>
      </c>
      <c r="D72615" s="0" t="s">
        <v>1048</v>
      </c>
      <c r="E72615" s="0" t="s">
        <v>1048</v>
      </c>
      <c r="F72615" s="0" t="s">
        <v>1048</v>
      </c>
    </row>
    <row r="72616" customFormat="false" ht="12.8" hidden="false" customHeight="false" outlineLevel="0" collapsed="false">
      <c r="B72616" s="0" t="s">
        <v>24588</v>
      </c>
      <c r="C72616" s="0" t="s">
        <v>24589</v>
      </c>
      <c r="D72616" s="0" t="s">
        <v>1051</v>
      </c>
      <c r="E72616" s="0" t="s">
        <v>1051</v>
      </c>
      <c r="F72616" s="0" t="s">
        <v>1051</v>
      </c>
    </row>
    <row r="72618" customFormat="false" ht="12.8" hidden="false" customHeight="false" outlineLevel="0" collapsed="false">
      <c r="A72618" s="0" t="s">
        <v>24590</v>
      </c>
      <c r="B72618" s="0" t="str">
        <f aca="false">HYPERLINK("https://lindat.mff.cuni.cz/services/teitok/pdtc10/index.php?action=vallex&amp;frame=v-w9938f7", "zůstat (v-w9938f7)")</f>
        <v>zůstat (v-w9938f7)</v>
      </c>
    </row>
    <row r="72619" customFormat="false" ht="12.8" hidden="false" customHeight="false" outlineLevel="0" collapsed="false">
      <c r="B72619" s="0" t="s">
        <v>7</v>
      </c>
      <c r="C72619" s="0" t="s">
        <v>2911</v>
      </c>
    </row>
    <row r="72620" customFormat="false" ht="12.8" hidden="false" customHeight="false" outlineLevel="0" collapsed="false">
      <c r="B72620" s="0" t="s">
        <v>24591</v>
      </c>
      <c r="C72620" s="0" t="s">
        <v>23069</v>
      </c>
    </row>
    <row r="72622" customFormat="false" ht="12.8" hidden="false" customHeight="false" outlineLevel="0" collapsed="false">
      <c r="A72622" s="0" t="s">
        <v>24592</v>
      </c>
      <c r="B72622" s="0" t="str">
        <f aca="false">HYPERLINK("https://lindat.mff.cuni.cz/services/teitok/pdtc10/index.php?action=vallex&amp;frame=v-w9938f16_MM", "zůstat (v-w9938f16_MM)")</f>
        <v>zůstat (v-w9938f16_MM)</v>
      </c>
    </row>
    <row r="72623" customFormat="false" ht="12.8" hidden="false" customHeight="false" outlineLevel="0" collapsed="false">
      <c r="B72623" s="0" t="s">
        <v>7</v>
      </c>
    </row>
    <row r="72624" customFormat="false" ht="12.8" hidden="false" customHeight="false" outlineLevel="0" collapsed="false">
      <c r="B72624" s="0" t="s">
        <v>581</v>
      </c>
    </row>
    <row r="72626" customFormat="false" ht="12.8" hidden="false" customHeight="false" outlineLevel="0" collapsed="false">
      <c r="A72626" s="0" t="s">
        <v>24592</v>
      </c>
      <c r="B72626" s="0" t="str">
        <f aca="false">HYPERLINK("https://lindat.mff.cuni.cz/services/teitok/pdtc10/index.php?action=vallex&amp;frame=v-w9938f3", "zůstat (v-w9938f3) - substituted with v-w9938f16_MM")</f>
        <v>zůstat (v-w9938f3) - substituted with v-w9938f16_MM</v>
      </c>
    </row>
    <row r="72627" customFormat="false" ht="12.8" hidden="false" customHeight="false" outlineLevel="0" collapsed="false">
      <c r="B72627" s="0" t="s">
        <v>7</v>
      </c>
      <c r="C72627" s="0" t="s">
        <v>24593</v>
      </c>
      <c r="D72627" s="0" t="s">
        <v>16</v>
      </c>
      <c r="E72627" s="0" t="s">
        <v>16</v>
      </c>
      <c r="F72627" s="0" t="s">
        <v>16</v>
      </c>
    </row>
    <row r="72628" customFormat="false" ht="12.8" hidden="false" customHeight="false" outlineLevel="0" collapsed="false">
      <c r="B72628" s="0" t="s">
        <v>581</v>
      </c>
      <c r="C72628" s="0" t="s">
        <v>24594</v>
      </c>
      <c r="D72628" s="0" t="s">
        <v>23314</v>
      </c>
      <c r="E72628" s="0" t="s">
        <v>23314</v>
      </c>
      <c r="F72628" s="0" t="s">
        <v>23314</v>
      </c>
    </row>
    <row r="72630" customFormat="false" ht="12.8" hidden="false" customHeight="false" outlineLevel="0" collapsed="false">
      <c r="A72630" s="0" t="s">
        <v>24595</v>
      </c>
      <c r="B72630" s="0" t="str">
        <f aca="false">HYPERLINK("https://lindat.mff.cuni.cz/services/teitok/pdtc10/index.php?action=vallex&amp;frame=v-w9938f11_ZU", "zůstat (v-w9938f11_ZU)")</f>
        <v>zůstat (v-w9938f11_ZU)</v>
      </c>
    </row>
    <row r="72631" customFormat="false" ht="12.8" hidden="false" customHeight="false" outlineLevel="0" collapsed="false">
      <c r="B72631" s="0" t="s">
        <v>7</v>
      </c>
      <c r="C72631" s="0" t="s">
        <v>2911</v>
      </c>
      <c r="D72631" s="0" t="s">
        <v>2901</v>
      </c>
      <c r="E72631" s="0" t="s">
        <v>2901</v>
      </c>
      <c r="F72631" s="0" t="s">
        <v>2901</v>
      </c>
    </row>
    <row r="72632" customFormat="false" ht="12.8" hidden="false" customHeight="false" outlineLevel="0" collapsed="false">
      <c r="B72632" s="0" t="s">
        <v>11</v>
      </c>
      <c r="C72632" s="0" t="s">
        <v>12588</v>
      </c>
      <c r="D72632" s="0" t="s">
        <v>2903</v>
      </c>
      <c r="E72632" s="0" t="s">
        <v>2903</v>
      </c>
      <c r="F72632" s="0" t="s">
        <v>2903</v>
      </c>
    </row>
    <row r="72634" customFormat="false" ht="12.8" hidden="false" customHeight="false" outlineLevel="0" collapsed="false">
      <c r="A72634" s="0" t="s">
        <v>24595</v>
      </c>
      <c r="B72634" s="0" t="str">
        <f aca="false">HYPERLINK("https://lindat.mff.cuni.cz/services/teitok/pdtc10/index.php?action=vallex&amp;frame=v-w9938f1", "zůstat (v-w9938f1) - substituted with v-w9938f11_ZU")</f>
        <v>zůstat (v-w9938f1) - substituted with v-w9938f11_ZU</v>
      </c>
    </row>
    <row r="72635" customFormat="false" ht="12.8" hidden="false" customHeight="false" outlineLevel="0" collapsed="false">
      <c r="B72635" s="0" t="s">
        <v>7</v>
      </c>
      <c r="C72635" s="0" t="s">
        <v>24596</v>
      </c>
    </row>
    <row r="72636" customFormat="false" ht="12.8" hidden="false" customHeight="false" outlineLevel="0" collapsed="false">
      <c r="B72636" s="0" t="s">
        <v>11</v>
      </c>
      <c r="C72636" s="0" t="s">
        <v>24597</v>
      </c>
    </row>
    <row r="72638" customFormat="false" ht="12.8" hidden="false" customHeight="false" outlineLevel="0" collapsed="false">
      <c r="A72638" s="0" t="s">
        <v>24598</v>
      </c>
      <c r="B72638" s="0" t="str">
        <f aca="false">HYPERLINK("https://lindat.mff.cuni.cz/services/teitok/pdtc10/index.php?action=vallex&amp;frame=v-w9938f4", "zůstat (v-w9938f4)")</f>
        <v>zůstat (v-w9938f4)</v>
      </c>
    </row>
    <row r="72639" customFormat="false" ht="12.8" hidden="false" customHeight="false" outlineLevel="0" collapsed="false">
      <c r="B72639" s="0" t="s">
        <v>7</v>
      </c>
      <c r="C72639" s="0" t="s">
        <v>24599</v>
      </c>
      <c r="D72639" s="0" t="s">
        <v>1048</v>
      </c>
      <c r="E72639" s="0" t="s">
        <v>1048</v>
      </c>
      <c r="F72639" s="0" t="s">
        <v>1048</v>
      </c>
    </row>
    <row r="72640" customFormat="false" ht="12.8" hidden="false" customHeight="false" outlineLevel="0" collapsed="false">
      <c r="B72640" s="0" t="s">
        <v>5619</v>
      </c>
      <c r="C72640" s="0" t="s">
        <v>24600</v>
      </c>
      <c r="D72640" s="0" t="s">
        <v>15504</v>
      </c>
      <c r="E72640" s="0" t="s">
        <v>15504</v>
      </c>
      <c r="F72640" s="0" t="s">
        <v>15504</v>
      </c>
    </row>
    <row r="72641" customFormat="false" ht="12.8" hidden="false" customHeight="false" outlineLevel="0" collapsed="false">
      <c r="B72641" s="0" t="s">
        <v>7395</v>
      </c>
      <c r="D72641" s="0" t="s">
        <v>15505</v>
      </c>
      <c r="E72641" s="0" t="s">
        <v>15505</v>
      </c>
      <c r="F72641" s="0" t="s">
        <v>15505</v>
      </c>
    </row>
    <row r="72642" customFormat="false" ht="12.8" hidden="false" customHeight="false" outlineLevel="0" collapsed="false">
      <c r="B72642" s="0" t="s">
        <v>7394</v>
      </c>
      <c r="C72642" s="0" t="s">
        <v>24601</v>
      </c>
      <c r="D72642" s="0" t="s">
        <v>15506</v>
      </c>
      <c r="E72642" s="0" t="s">
        <v>15506</v>
      </c>
      <c r="F72642" s="0" t="s">
        <v>15506</v>
      </c>
    </row>
    <row r="72644" customFormat="false" ht="12.8" hidden="false" customHeight="false" outlineLevel="0" collapsed="false">
      <c r="A72644" s="0" t="s">
        <v>24602</v>
      </c>
      <c r="B72644" s="0" t="str">
        <f aca="false">HYPERLINK("https://lindat.mff.cuni.cz/services/teitok/pdtc10/index.php?action=vallex&amp;frame=v-w9938f15_ZU", "zůstat (v-w9938f15_ZU)")</f>
        <v>zůstat (v-w9938f15_ZU)</v>
      </c>
    </row>
    <row r="72645" customFormat="false" ht="12.8" hidden="false" customHeight="false" outlineLevel="0" collapsed="false">
      <c r="B72645" s="0" t="s">
        <v>24603</v>
      </c>
    </row>
    <row r="72647" customFormat="false" ht="12.8" hidden="false" customHeight="false" outlineLevel="0" collapsed="false">
      <c r="A72647" s="0" t="s">
        <v>24602</v>
      </c>
      <c r="B72647" s="0" t="str">
        <f aca="false">HYPERLINK("https://lindat.mff.cuni.cz/services/teitok/pdtc10/index.php?action=vallex&amp;frame=v-w9938f14_ZU", "zůstat (v-w9938f14_ZU) - substituted with v-w9938f15_ZU")</f>
        <v>zůstat (v-w9938f14_ZU) - substituted with v-w9938f15_ZU</v>
      </c>
    </row>
    <row r="72648" customFormat="false" ht="12.8" hidden="false" customHeight="false" outlineLevel="0" collapsed="false">
      <c r="B72648" s="0" t="s">
        <v>24603</v>
      </c>
    </row>
    <row r="72650" customFormat="false" ht="12.8" hidden="false" customHeight="false" outlineLevel="0" collapsed="false">
      <c r="A72650" s="0" t="s">
        <v>24602</v>
      </c>
      <c r="B72650" s="0" t="str">
        <f aca="false">HYPERLINK("https://lindat.mff.cuni.cz/services/teitok/pdtc10/index.php?action=vallex&amp;frame=v-w9938f6", "zůstat (v-w9938f6) - substituted with v-w9938f15_ZU")</f>
        <v>zůstat (v-w9938f6) - substituted with v-w9938f15_ZU</v>
      </c>
    </row>
    <row r="72651" customFormat="false" ht="12.8" hidden="false" customHeight="false" outlineLevel="0" collapsed="false">
      <c r="B72651" s="0" t="s">
        <v>24603</v>
      </c>
    </row>
    <row r="72653" customFormat="false" ht="12.8" hidden="false" customHeight="false" outlineLevel="0" collapsed="false">
      <c r="A72653" s="0" t="s">
        <v>24604</v>
      </c>
      <c r="B72653" s="0" t="str">
        <f aca="false">HYPERLINK("https://lindat.mff.cuni.cz/services/teitok/pdtc10/index.php?action=vallex&amp;frame=v-w9938f8", "zůstat (v-w9938f8)")</f>
        <v>zůstat (v-w9938f8)</v>
      </c>
    </row>
    <row r="72654" customFormat="false" ht="12.8" hidden="false" customHeight="false" outlineLevel="0" collapsed="false">
      <c r="B72654" s="0" t="s">
        <v>7</v>
      </c>
    </row>
    <row r="72655" customFormat="false" ht="12.8" hidden="false" customHeight="false" outlineLevel="0" collapsed="false">
      <c r="B72655" s="0" t="s">
        <v>24605</v>
      </c>
    </row>
    <row r="72656" customFormat="false" ht="12.8" hidden="false" customHeight="false" outlineLevel="0" collapsed="false">
      <c r="B72656" s="0" t="s">
        <v>24606</v>
      </c>
    </row>
    <row r="72658" customFormat="false" ht="12.8" hidden="false" customHeight="false" outlineLevel="0" collapsed="false">
      <c r="A72658" s="0" t="s">
        <v>24607</v>
      </c>
      <c r="B72658" s="0" t="str">
        <f aca="false">HYPERLINK("https://lindat.mff.cuni.cz/services/teitok/pdtc10/index.php?action=vallex&amp;frame=v-w9938f9_ZU", "zůstat (v-w9938f9_ZU)")</f>
        <v>zůstat (v-w9938f9_ZU)</v>
      </c>
    </row>
    <row r="72659" customFormat="false" ht="12.8" hidden="false" customHeight="false" outlineLevel="0" collapsed="false">
      <c r="B72659" s="0" t="s">
        <v>7</v>
      </c>
      <c r="C72659" s="0" t="s">
        <v>184</v>
      </c>
    </row>
    <row r="72660" customFormat="false" ht="12.8" hidden="false" customHeight="false" outlineLevel="0" collapsed="false">
      <c r="B72660" s="0" t="s">
        <v>24608</v>
      </c>
      <c r="C72660" s="0" t="s">
        <v>24609</v>
      </c>
    </row>
    <row r="72662" customFormat="false" ht="12.8" hidden="false" customHeight="false" outlineLevel="0" collapsed="false">
      <c r="A72662" s="0" t="s">
        <v>24610</v>
      </c>
      <c r="B72662" s="0" t="str">
        <f aca="false">HYPERLINK("https://lindat.mff.cuni.cz/services/teitok/pdtc10/index.php?action=vallex&amp;frame=v-w9938hsa_39", "zůstat (v-w9938hsa_39)")</f>
        <v>zůstat (v-w9938hsa_39)</v>
      </c>
    </row>
    <row r="72663" customFormat="false" ht="12.8" hidden="false" customHeight="false" outlineLevel="0" collapsed="false">
      <c r="B72663" s="0" t="s">
        <v>7</v>
      </c>
      <c r="C72663" s="0" t="s">
        <v>498</v>
      </c>
    </row>
    <row r="72664" customFormat="false" ht="12.8" hidden="false" customHeight="false" outlineLevel="0" collapsed="false">
      <c r="B72664" s="0" t="s">
        <v>11</v>
      </c>
      <c r="C72664" s="0" t="s">
        <v>24611</v>
      </c>
    </row>
    <row r="72666" customFormat="false" ht="12.8" hidden="false" customHeight="false" outlineLevel="0" collapsed="false">
      <c r="A72666" s="0" t="s">
        <v>24612</v>
      </c>
      <c r="B72666" s="0" t="str">
        <f aca="false">HYPERLINK("https://lindat.mff.cuni.cz/services/teitok/pdtc10/index.php?action=vallex&amp;frame=v-w9938f10_ZU", "zůstat (v-w9938f10_ZU)")</f>
        <v>zůstat (v-w9938f10_ZU)</v>
      </c>
    </row>
    <row r="72667" customFormat="false" ht="12.8" hidden="false" customHeight="false" outlineLevel="0" collapsed="false">
      <c r="B72667" s="0" t="s">
        <v>7</v>
      </c>
      <c r="C72667" s="0" t="s">
        <v>16930</v>
      </c>
      <c r="D72667" s="0" t="s">
        <v>1048</v>
      </c>
      <c r="E72667" s="0" t="s">
        <v>1048</v>
      </c>
      <c r="F72667" s="0" t="s">
        <v>1048</v>
      </c>
    </row>
    <row r="72668" customFormat="false" ht="12.8" hidden="false" customHeight="false" outlineLevel="0" collapsed="false">
      <c r="B72668" s="0" t="s">
        <v>804</v>
      </c>
      <c r="C72668" s="0" t="s">
        <v>24613</v>
      </c>
      <c r="D72668" s="0" t="s">
        <v>17482</v>
      </c>
      <c r="E72668" s="0" t="s">
        <v>17482</v>
      </c>
      <c r="F72668" s="0" t="s">
        <v>17482</v>
      </c>
    </row>
    <row r="72670" customFormat="false" ht="12.8" hidden="false" customHeight="false" outlineLevel="0" collapsed="false">
      <c r="A72670" s="0" t="s">
        <v>24612</v>
      </c>
      <c r="B72670" s="0" t="str">
        <f aca="false">HYPERLINK("https://lindat.mff.cuni.cz/services/teitok/pdtc10/index.php?action=vallex&amp;frame=v-w9938hsa_41", "zůstat (v-w9938hsa_41) - substituted with v-w9938f10_ZU")</f>
        <v>zůstat (v-w9938hsa_41) - substituted with v-w9938f10_ZU</v>
      </c>
    </row>
    <row r="72671" customFormat="false" ht="12.8" hidden="false" customHeight="false" outlineLevel="0" collapsed="false">
      <c r="B72671" s="0" t="s">
        <v>7</v>
      </c>
    </row>
    <row r="72672" customFormat="false" ht="12.8" hidden="false" customHeight="false" outlineLevel="0" collapsed="false">
      <c r="B72672" s="0" t="s">
        <v>804</v>
      </c>
    </row>
    <row r="72674" customFormat="false" ht="12.8" hidden="false" customHeight="false" outlineLevel="0" collapsed="false">
      <c r="A72674" s="0" t="s">
        <v>24614</v>
      </c>
      <c r="B72674" s="0" t="str">
        <f aca="false">HYPERLINK("https://lindat.mff.cuni.cz/services/teitok/pdtc10/index.php?action=vallex&amp;frame=v-w9938f12_ZU", "zůstat (v-w9938f12_ZU)")</f>
        <v>zůstat (v-w9938f12_ZU)</v>
      </c>
    </row>
    <row r="72675" customFormat="false" ht="12.8" hidden="false" customHeight="false" outlineLevel="0" collapsed="false">
      <c r="B72675" s="0" t="s">
        <v>7</v>
      </c>
    </row>
    <row r="72676" customFormat="false" ht="12.8" hidden="false" customHeight="false" outlineLevel="0" collapsed="false">
      <c r="B72676" s="0" t="s">
        <v>24615</v>
      </c>
    </row>
    <row r="72677" customFormat="false" ht="12.8" hidden="false" customHeight="false" outlineLevel="0" collapsed="false">
      <c r="B72677" s="0" t="s">
        <v>223</v>
      </c>
    </row>
    <row r="72679" customFormat="false" ht="12.8" hidden="false" customHeight="false" outlineLevel="0" collapsed="false">
      <c r="A72679" s="0" t="s">
        <v>24614</v>
      </c>
      <c r="B72679" s="0" t="str">
        <f aca="false">HYPERLINK("https://lindat.mff.cuni.cz/services/teitok/pdtc10/index.php?action=vallex&amp;frame=v-w9938hsa_40", "zůstat (v-w9938hsa_40) - substituted with v-w9938f12_ZU")</f>
        <v>zůstat (v-w9938hsa_40) - substituted with v-w9938f12_ZU</v>
      </c>
    </row>
    <row r="72680" customFormat="false" ht="12.8" hidden="false" customHeight="false" outlineLevel="0" collapsed="false">
      <c r="B72680" s="0" t="s">
        <v>7</v>
      </c>
    </row>
    <row r="72681" customFormat="false" ht="12.8" hidden="false" customHeight="false" outlineLevel="0" collapsed="false">
      <c r="B72681" s="0" t="s">
        <v>24615</v>
      </c>
    </row>
    <row r="72682" customFormat="false" ht="12.8" hidden="false" customHeight="false" outlineLevel="0" collapsed="false">
      <c r="B72682" s="0" t="s">
        <v>223</v>
      </c>
    </row>
    <row r="72684" customFormat="false" ht="12.8" hidden="false" customHeight="false" outlineLevel="0" collapsed="false">
      <c r="A72684" s="0" t="s">
        <v>24616</v>
      </c>
      <c r="B72684" s="0" t="str">
        <f aca="false">HYPERLINK("https://lindat.mff.cuni.cz/services/teitok/pdtc10/index.php?action=vallex&amp;frame=v-w9938f13_ZU", "zůstat (v-w9938f13_ZU)")</f>
        <v>zůstat (v-w9938f13_ZU)</v>
      </c>
    </row>
    <row r="72685" customFormat="false" ht="12.8" hidden="false" customHeight="false" outlineLevel="0" collapsed="false">
      <c r="B72685" s="0" t="s">
        <v>862</v>
      </c>
    </row>
    <row r="72686" customFormat="false" ht="12.8" hidden="false" customHeight="false" outlineLevel="0" collapsed="false">
      <c r="B72686" s="0" t="s">
        <v>5168</v>
      </c>
    </row>
    <row r="72687" customFormat="false" ht="12.8" hidden="false" customHeight="false" outlineLevel="0" collapsed="false">
      <c r="B72687" s="0" t="s">
        <v>142</v>
      </c>
    </row>
    <row r="72689" customFormat="false" ht="12.8" hidden="false" customHeight="false" outlineLevel="0" collapsed="false">
      <c r="A72689" s="0" t="s">
        <v>24617</v>
      </c>
      <c r="B72689" s="0" t="str">
        <f aca="false">HYPERLINK("https://lindat.mff.cuni.cz/services/teitok/pdtc10/index.php?action=vallex&amp;frame=v-w9938hsa_38", "zůstat (v-w9938hsa_38)")</f>
        <v>zůstat (v-w9938hsa_38)</v>
      </c>
    </row>
    <row r="72690" customFormat="false" ht="12.8" hidden="false" customHeight="false" outlineLevel="0" collapsed="false">
      <c r="B72690" s="0" t="s">
        <v>7</v>
      </c>
    </row>
    <row r="72691" customFormat="false" ht="12.8" hidden="false" customHeight="false" outlineLevel="0" collapsed="false">
      <c r="B72691" s="0" t="s">
        <v>548</v>
      </c>
    </row>
    <row r="72692" customFormat="false" ht="12.8" hidden="false" customHeight="false" outlineLevel="0" collapsed="false">
      <c r="B72692" s="0" t="s">
        <v>11</v>
      </c>
    </row>
    <row r="72694" customFormat="false" ht="12.8" hidden="false" customHeight="false" outlineLevel="0" collapsed="false">
      <c r="A72694" s="0" t="s">
        <v>24618</v>
      </c>
      <c r="B72694" s="0" t="str">
        <f aca="false">HYPERLINK("https://lindat.mff.cuni.cz/services/teitok/pdtc10/index.php?action=vallex&amp;frame=v-w9939f9", "zůstávat (v-w9939f9)")</f>
        <v>zůstávat (v-w9939f9)</v>
      </c>
    </row>
    <row r="72695" customFormat="false" ht="12.8" hidden="false" customHeight="false" outlineLevel="0" collapsed="false">
      <c r="B72695" s="0" t="s">
        <v>7</v>
      </c>
    </row>
    <row r="72696" customFormat="false" ht="12.8" hidden="false" customHeight="false" outlineLevel="0" collapsed="false">
      <c r="B72696" s="0" t="s">
        <v>5484</v>
      </c>
    </row>
    <row r="72698" customFormat="false" ht="12.8" hidden="false" customHeight="false" outlineLevel="0" collapsed="false">
      <c r="A72698" s="0" t="s">
        <v>24619</v>
      </c>
      <c r="B72698" s="0" t="str">
        <f aca="false">HYPERLINK("https://lindat.mff.cuni.cz/services/teitok/pdtc10/index.php?action=vallex&amp;frame=v-w9939f8", "zůstávat (v-w9939f8)")</f>
        <v>zůstávat (v-w9939f8)</v>
      </c>
    </row>
    <row r="72699" customFormat="false" ht="12.8" hidden="false" customHeight="false" outlineLevel="0" collapsed="false">
      <c r="B72699" s="0" t="s">
        <v>7</v>
      </c>
    </row>
    <row r="72700" customFormat="false" ht="12.8" hidden="false" customHeight="false" outlineLevel="0" collapsed="false">
      <c r="B72700" s="0" t="s">
        <v>24591</v>
      </c>
    </row>
    <row r="72702" customFormat="false" ht="12.8" hidden="false" customHeight="false" outlineLevel="0" collapsed="false">
      <c r="A72702" s="0" t="s">
        <v>24620</v>
      </c>
      <c r="B72702" s="0" t="str">
        <f aca="false">HYPERLINK("https://lindat.mff.cuni.cz/services/teitok/pdtc10/index.php?action=vallex&amp;frame=v-w9939f10_ZU", "zůstávat (v-w9939f10_ZU)")</f>
        <v>zůstávat (v-w9939f10_ZU)</v>
      </c>
    </row>
    <row r="72703" customFormat="false" ht="12.8" hidden="false" customHeight="false" outlineLevel="0" collapsed="false">
      <c r="B72703" s="0" t="s">
        <v>24621</v>
      </c>
      <c r="C72703" s="0" t="s">
        <v>24622</v>
      </c>
      <c r="D72703" s="0" t="s">
        <v>1048</v>
      </c>
      <c r="E72703" s="0" t="s">
        <v>1048</v>
      </c>
      <c r="F72703" s="0" t="s">
        <v>1048</v>
      </c>
    </row>
    <row r="72704" customFormat="false" ht="12.8" hidden="false" customHeight="false" outlineLevel="0" collapsed="false">
      <c r="B72704" s="0" t="s">
        <v>24623</v>
      </c>
      <c r="C72704" s="0" t="s">
        <v>24624</v>
      </c>
      <c r="D72704" s="0" t="s">
        <v>1051</v>
      </c>
      <c r="E72704" s="0" t="s">
        <v>1051</v>
      </c>
      <c r="F72704" s="0" t="s">
        <v>1051</v>
      </c>
    </row>
    <row r="72706" customFormat="false" ht="12.8" hidden="false" customHeight="false" outlineLevel="0" collapsed="false">
      <c r="A72706" s="0" t="s">
        <v>24620</v>
      </c>
      <c r="B72706" s="0" t="str">
        <f aca="false">HYPERLINK("https://lindat.mff.cuni.cz/services/teitok/pdtc10/index.php?action=vallex&amp;frame=v-w9939f1", "zůstávat (v-w9939f1) - substituted with v-w9939f10_ZU")</f>
        <v>zůstávat (v-w9939f1) - substituted with v-w9939f10_ZU</v>
      </c>
    </row>
    <row r="72707" customFormat="false" ht="12.8" hidden="false" customHeight="false" outlineLevel="0" collapsed="false">
      <c r="B72707" s="0" t="s">
        <v>24621</v>
      </c>
      <c r="C72707" s="0" t="s">
        <v>24625</v>
      </c>
    </row>
    <row r="72708" customFormat="false" ht="12.8" hidden="false" customHeight="false" outlineLevel="0" collapsed="false">
      <c r="B72708" s="0" t="s">
        <v>24623</v>
      </c>
      <c r="C72708" s="0" t="s">
        <v>24626</v>
      </c>
    </row>
    <row r="72710" customFormat="false" ht="12.8" hidden="false" customHeight="false" outlineLevel="0" collapsed="false">
      <c r="A72710" s="0" t="s">
        <v>24627</v>
      </c>
      <c r="B72710" s="0" t="str">
        <f aca="false">HYPERLINK("https://lindat.mff.cuni.cz/services/teitok/pdtc10/index.php?action=vallex&amp;frame=v-w9939f3", "zůstávat (v-w9939f3)")</f>
        <v>zůstávat (v-w9939f3)</v>
      </c>
    </row>
    <row r="72711" customFormat="false" ht="12.8" hidden="false" customHeight="false" outlineLevel="0" collapsed="false">
      <c r="B72711" s="0" t="s">
        <v>7</v>
      </c>
    </row>
    <row r="72712" customFormat="false" ht="12.8" hidden="false" customHeight="false" outlineLevel="0" collapsed="false">
      <c r="B72712" s="0" t="s">
        <v>581</v>
      </c>
    </row>
    <row r="72714" customFormat="false" ht="12.8" hidden="false" customHeight="false" outlineLevel="0" collapsed="false">
      <c r="A72714" s="0" t="s">
        <v>24628</v>
      </c>
      <c r="B72714" s="0" t="str">
        <f aca="false">HYPERLINK("https://lindat.mff.cuni.cz/services/teitok/pdtc10/index.php?action=vallex&amp;frame=v-w9939f2", "zůstávat (v-w9939f2)")</f>
        <v>zůstávat (v-w9939f2)</v>
      </c>
    </row>
    <row r="72715" customFormat="false" ht="12.8" hidden="false" customHeight="false" outlineLevel="0" collapsed="false">
      <c r="B72715" s="0" t="s">
        <v>7</v>
      </c>
      <c r="C72715" s="0" t="s">
        <v>24629</v>
      </c>
      <c r="D72715" s="0" t="s">
        <v>2901</v>
      </c>
      <c r="E72715" s="0" t="s">
        <v>2901</v>
      </c>
      <c r="F72715" s="0" t="s">
        <v>2901</v>
      </c>
    </row>
    <row r="72716" customFormat="false" ht="12.8" hidden="false" customHeight="false" outlineLevel="0" collapsed="false">
      <c r="B72716" s="0" t="s">
        <v>11</v>
      </c>
      <c r="C72716" s="0" t="s">
        <v>24630</v>
      </c>
      <c r="D72716" s="0" t="s">
        <v>2903</v>
      </c>
      <c r="E72716" s="0" t="s">
        <v>2903</v>
      </c>
      <c r="F72716" s="0" t="s">
        <v>2903</v>
      </c>
    </row>
    <row r="72718" customFormat="false" ht="12.8" hidden="false" customHeight="false" outlineLevel="0" collapsed="false">
      <c r="A72718" s="0" t="s">
        <v>24631</v>
      </c>
      <c r="B72718" s="0" t="str">
        <f aca="false">HYPERLINK("https://lindat.mff.cuni.cz/services/teitok/pdtc10/index.php?action=vallex&amp;frame=v-w9939f4", "zůstávat (v-w9939f4)")</f>
        <v>zůstávat (v-w9939f4)</v>
      </c>
    </row>
    <row r="72719" customFormat="false" ht="12.8" hidden="false" customHeight="false" outlineLevel="0" collapsed="false">
      <c r="B72719" s="0" t="s">
        <v>7</v>
      </c>
      <c r="C72719" s="0" t="s">
        <v>24632</v>
      </c>
      <c r="D72719" s="0" t="s">
        <v>1048</v>
      </c>
      <c r="E72719" s="0" t="s">
        <v>1048</v>
      </c>
      <c r="F72719" s="0" t="s">
        <v>1048</v>
      </c>
    </row>
    <row r="72720" customFormat="false" ht="12.8" hidden="false" customHeight="false" outlineLevel="0" collapsed="false">
      <c r="B72720" s="0" t="s">
        <v>5619</v>
      </c>
      <c r="C72720" s="0" t="s">
        <v>24633</v>
      </c>
      <c r="D72720" s="0" t="s">
        <v>15504</v>
      </c>
      <c r="E72720" s="0" t="s">
        <v>15504</v>
      </c>
      <c r="F72720" s="0" t="s">
        <v>15504</v>
      </c>
    </row>
    <row r="72721" customFormat="false" ht="12.8" hidden="false" customHeight="false" outlineLevel="0" collapsed="false">
      <c r="B72721" s="0" t="s">
        <v>7395</v>
      </c>
      <c r="D72721" s="0" t="s">
        <v>15505</v>
      </c>
      <c r="E72721" s="0" t="s">
        <v>15505</v>
      </c>
      <c r="F72721" s="0" t="s">
        <v>15505</v>
      </c>
    </row>
    <row r="72722" customFormat="false" ht="12.8" hidden="false" customHeight="false" outlineLevel="0" collapsed="false">
      <c r="B72722" s="0" t="s">
        <v>479</v>
      </c>
      <c r="D72722" s="0" t="s">
        <v>15506</v>
      </c>
      <c r="E72722" s="0" t="s">
        <v>15506</v>
      </c>
      <c r="F72722" s="0" t="s">
        <v>15506</v>
      </c>
    </row>
    <row r="72724" customFormat="false" ht="12.8" hidden="false" customHeight="false" outlineLevel="0" collapsed="false">
      <c r="A72724" s="0" t="s">
        <v>24634</v>
      </c>
      <c r="B72724" s="0" t="str">
        <f aca="false">HYPERLINK("https://lindat.mff.cuni.cz/services/teitok/pdtc10/index.php?action=vallex&amp;frame=v-w9939f7", "zůstávat (v-w9939f7)")</f>
        <v>zůstávat (v-w9939f7)</v>
      </c>
    </row>
    <row r="72725" customFormat="false" ht="12.8" hidden="false" customHeight="false" outlineLevel="0" collapsed="false">
      <c r="B72725" s="0" t="s">
        <v>24635</v>
      </c>
    </row>
    <row r="72727" customFormat="false" ht="12.8" hidden="false" customHeight="false" outlineLevel="0" collapsed="false">
      <c r="A72727" s="0" t="s">
        <v>24636</v>
      </c>
      <c r="B72727" s="0" t="str">
        <f aca="false">HYPERLINK("https://lindat.mff.cuni.cz/services/teitok/pdtc10/index.php?action=vallex&amp;frame=v-w9939f6", "zůstávat (v-w9939f6)")</f>
        <v>zůstávat (v-w9939f6)</v>
      </c>
    </row>
    <row r="72728" customFormat="false" ht="12.8" hidden="false" customHeight="false" outlineLevel="0" collapsed="false">
      <c r="B72728" s="0" t="s">
        <v>7</v>
      </c>
    </row>
    <row r="72729" customFormat="false" ht="12.8" hidden="false" customHeight="false" outlineLevel="0" collapsed="false">
      <c r="B72729" s="0" t="s">
        <v>24637</v>
      </c>
    </row>
    <row r="72731" customFormat="false" ht="12.8" hidden="false" customHeight="false" outlineLevel="0" collapsed="false">
      <c r="A72731" s="0" t="s">
        <v>24638</v>
      </c>
      <c r="B72731" s="0" t="str">
        <f aca="false">HYPERLINK("https://lindat.mff.cuni.cz/services/teitok/pdtc10/index.php?action=vallex&amp;frame=v-w9939f5", "zůstávat (v-w9939f5)")</f>
        <v>zůstávat (v-w9939f5)</v>
      </c>
    </row>
    <row r="72732" customFormat="false" ht="12.8" hidden="false" customHeight="false" outlineLevel="0" collapsed="false">
      <c r="B72732" s="0" t="s">
        <v>7</v>
      </c>
    </row>
    <row r="72733" customFormat="false" ht="12.8" hidden="false" customHeight="false" outlineLevel="0" collapsed="false">
      <c r="B72733" s="0" t="s">
        <v>860</v>
      </c>
    </row>
    <row r="72735" customFormat="false" ht="12.8" hidden="false" customHeight="false" outlineLevel="0" collapsed="false">
      <c r="A72735" s="0" t="s">
        <v>24639</v>
      </c>
      <c r="B72735" s="0" t="str">
        <f aca="false">HYPERLINK("https://lindat.mff.cuni.cz/services/teitok/pdtc10/index.php?action=vallex&amp;frame=v-w9939f13_ZU", "zůstávat (v-w9939f13_ZU)")</f>
        <v>zůstávat (v-w9939f13_ZU)</v>
      </c>
    </row>
    <row r="72736" customFormat="false" ht="12.8" hidden="false" customHeight="false" outlineLevel="0" collapsed="false">
      <c r="B72736" s="0" t="s">
        <v>24640</v>
      </c>
    </row>
    <row r="72737" customFormat="false" ht="12.8" hidden="false" customHeight="false" outlineLevel="0" collapsed="false">
      <c r="B72737" s="0" t="s">
        <v>16449</v>
      </c>
    </row>
    <row r="72739" customFormat="false" ht="12.8" hidden="false" customHeight="false" outlineLevel="0" collapsed="false">
      <c r="A72739" s="0" t="s">
        <v>24639</v>
      </c>
      <c r="B72739" s="0" t="str">
        <f aca="false">HYPERLINK("https://lindat.mff.cuni.cz/services/teitok/pdtc10/index.php?action=vallex&amp;frame=v-w9939f11_ZU", "zůstávat (v-w9939f11_ZU) - substituted with v-w9939f13_ZU")</f>
        <v>zůstávat (v-w9939f11_ZU) - substituted with v-w9939f13_ZU</v>
      </c>
    </row>
    <row r="72740" customFormat="false" ht="12.8" hidden="false" customHeight="false" outlineLevel="0" collapsed="false">
      <c r="B72740" s="0" t="s">
        <v>24640</v>
      </c>
    </row>
    <row r="72741" customFormat="false" ht="12.8" hidden="false" customHeight="false" outlineLevel="0" collapsed="false">
      <c r="B72741" s="0" t="s">
        <v>16449</v>
      </c>
    </row>
    <row r="72743" customFormat="false" ht="12.8" hidden="false" customHeight="false" outlineLevel="0" collapsed="false">
      <c r="A72743" s="0" t="s">
        <v>24639</v>
      </c>
      <c r="B72743" s="0" t="str">
        <f aca="false">HYPERLINK("https://lindat.mff.cuni.cz/services/teitok/pdtc10/index.php?action=vallex&amp;frame=v-w9939f12_ZU", "zůstávat (v-w9939f12_ZU) - substituted with v-w9939f13_ZU")</f>
        <v>zůstávat (v-w9939f12_ZU) - substituted with v-w9939f13_ZU</v>
      </c>
    </row>
    <row r="72744" customFormat="false" ht="12.8" hidden="false" customHeight="false" outlineLevel="0" collapsed="false">
      <c r="B72744" s="0" t="s">
        <v>24640</v>
      </c>
    </row>
    <row r="72745" customFormat="false" ht="12.8" hidden="false" customHeight="false" outlineLevel="0" collapsed="false">
      <c r="B72745" s="0" t="s">
        <v>16449</v>
      </c>
    </row>
    <row r="72747" customFormat="false" ht="12.8" hidden="false" customHeight="false" outlineLevel="0" collapsed="false">
      <c r="A72747" s="0" t="s">
        <v>24641</v>
      </c>
      <c r="B72747" s="0" t="str">
        <f aca="false">HYPERLINK("https://lindat.mff.cuni.cz/services/teitok/pdtc10/index.php?action=vallex&amp;frame=v-w9939hsa_128", "zůstávat (v-w9939hsa_128)")</f>
        <v>zůstávat (v-w9939hsa_128)</v>
      </c>
    </row>
    <row r="72748" customFormat="false" ht="12.8" hidden="false" customHeight="false" outlineLevel="0" collapsed="false">
      <c r="B72748" s="0" t="s">
        <v>7</v>
      </c>
    </row>
    <row r="72749" customFormat="false" ht="12.8" hidden="false" customHeight="false" outlineLevel="0" collapsed="false">
      <c r="B72749" s="0" t="s">
        <v>24642</v>
      </c>
    </row>
    <row r="72751" customFormat="false" ht="12.8" hidden="false" customHeight="false" outlineLevel="0" collapsed="false">
      <c r="A72751" s="0" t="s">
        <v>24643</v>
      </c>
      <c r="B72751" s="0" t="str">
        <f aca="false">HYPERLINK("https://lindat.mff.cuni.cz/services/teitok/pdtc10/index.php?action=vallex&amp;frame=v-w10012f2_ZU", "zželet se (v-w10012f2_ZU)")</f>
        <v>zželet se (v-w10012f2_ZU)</v>
      </c>
    </row>
    <row r="72752" customFormat="false" ht="12.8" hidden="false" customHeight="false" outlineLevel="0" collapsed="false">
      <c r="B72752" s="0" t="s">
        <v>603</v>
      </c>
    </row>
    <row r="72753" customFormat="false" ht="12.8" hidden="false" customHeight="false" outlineLevel="0" collapsed="false">
      <c r="B72753" s="0" t="s">
        <v>2661</v>
      </c>
    </row>
    <row r="72755" customFormat="false" ht="12.8" hidden="false" customHeight="false" outlineLevel="0" collapsed="false">
      <c r="A72755" s="0" t="s">
        <v>24643</v>
      </c>
      <c r="B72755" s="0" t="str">
        <f aca="false">HYPERLINK("https://lindat.mff.cuni.cz/services/teitok/pdtc10/index.php?action=vallex&amp;frame=v-w10012f1", "zželet se (v-w10012f1) - substituted with v-w10012f2_ZU")</f>
        <v>zželet se (v-w10012f1) - substituted with v-w10012f2_ZU</v>
      </c>
    </row>
    <row r="72756" customFormat="false" ht="12.8" hidden="false" customHeight="false" outlineLevel="0" collapsed="false">
      <c r="B72756" s="0" t="s">
        <v>603</v>
      </c>
    </row>
    <row r="72757" customFormat="false" ht="12.8" hidden="false" customHeight="false" outlineLevel="0" collapsed="false">
      <c r="B72757" s="0" t="s">
        <v>2661</v>
      </c>
    </row>
    <row r="72759" customFormat="false" ht="12.8" hidden="false" customHeight="false" outlineLevel="0" collapsed="false">
      <c r="A72759" s="0" t="s">
        <v>24643</v>
      </c>
      <c r="B72759" s="0" t="str">
        <f aca="false">HYPERLINK("https://lindat.mff.cuni.cz/services/teitok/pdtc10/index.php?action=vallex&amp;frame=v-w10012hsa_1092", "zželet se (v-w10012hsa_1092) - substituted with v-w10012f2_ZU")</f>
        <v>zželet se (v-w10012hsa_1092) - substituted with v-w10012f2_ZU</v>
      </c>
    </row>
    <row r="72760" customFormat="false" ht="12.8" hidden="false" customHeight="false" outlineLevel="0" collapsed="false">
      <c r="B72760" s="0" t="s">
        <v>603</v>
      </c>
    </row>
    <row r="72761" customFormat="false" ht="12.8" hidden="false" customHeight="false" outlineLevel="0" collapsed="false">
      <c r="B72761" s="0" t="s">
        <v>2661</v>
      </c>
    </row>
    <row r="72763" customFormat="false" ht="12.8" hidden="false" customHeight="false" outlineLevel="0" collapsed="false">
      <c r="A72763" s="0" t="s">
        <v>24644</v>
      </c>
      <c r="B72763" s="0" t="str">
        <f aca="false">HYPERLINK("https://lindat.mff.cuni.cz/services/teitok/pdtc10/index.php?action=vallex&amp;frame=v-w10554f2", "úpět (v-w10554f2)")</f>
        <v>úpět (v-w10554f2)</v>
      </c>
    </row>
    <row r="72764" customFormat="false" ht="12.8" hidden="false" customHeight="false" outlineLevel="0" collapsed="false">
      <c r="B72764" s="0" t="s">
        <v>7</v>
      </c>
      <c r="C72764" s="0" t="s">
        <v>184</v>
      </c>
    </row>
    <row r="72765" customFormat="false" ht="12.8" hidden="false" customHeight="false" outlineLevel="0" collapsed="false">
      <c r="B72765" s="0" t="s">
        <v>24645</v>
      </c>
      <c r="C72765" s="0" t="s">
        <v>567</v>
      </c>
    </row>
    <row r="72767" customFormat="false" ht="12.8" hidden="false" customHeight="false" outlineLevel="0" collapsed="false">
      <c r="A72767" s="0" t="s">
        <v>24646</v>
      </c>
      <c r="B72767" s="0" t="str">
        <f aca="false">HYPERLINK("https://lindat.mff.cuni.cz/services/teitok/pdtc10/index.php?action=vallex&amp;frame=v-w7261f1", "úročit (v-w7261f1)")</f>
        <v>úročit (v-w7261f1)</v>
      </c>
    </row>
    <row r="72768" customFormat="false" ht="12.8" hidden="false" customHeight="false" outlineLevel="0" collapsed="false">
      <c r="B72768" s="0" t="s">
        <v>7</v>
      </c>
    </row>
    <row r="72769" customFormat="false" ht="12.8" hidden="false" customHeight="false" outlineLevel="0" collapsed="false">
      <c r="B72769" s="0" t="s">
        <v>14</v>
      </c>
    </row>
    <row r="72771" customFormat="false" ht="12.8" hidden="false" customHeight="false" outlineLevel="0" collapsed="false">
      <c r="A72771" s="0" t="s">
        <v>24647</v>
      </c>
      <c r="B72771" s="0" t="str">
        <f aca="false">HYPERLINK("https://lindat.mff.cuni.cz/services/teitok/pdtc10/index.php?action=vallex&amp;frame=v-w7343f1", "ústit (v-w7343f1)")</f>
        <v>ústit (v-w7343f1)</v>
      </c>
    </row>
    <row r="72772" customFormat="false" ht="12.8" hidden="false" customHeight="false" outlineLevel="0" collapsed="false">
      <c r="B72772" s="0" t="s">
        <v>7</v>
      </c>
    </row>
    <row r="72773" customFormat="false" ht="12.8" hidden="false" customHeight="false" outlineLevel="0" collapsed="false">
      <c r="B72773" s="0" t="s">
        <v>2231</v>
      </c>
    </row>
    <row r="72775" customFormat="false" ht="12.8" hidden="false" customHeight="false" outlineLevel="0" collapsed="false">
      <c r="A72775" s="0" t="s">
        <v>24648</v>
      </c>
      <c r="B72775" s="0" t="str">
        <f aca="false">HYPERLINK("https://lindat.mff.cuni.cz/services/teitok/pdtc10/index.php?action=vallex&amp;frame=v-w7343f2", "ústit (v-w7343f2)")</f>
        <v>ústit (v-w7343f2)</v>
      </c>
    </row>
    <row r="72776" customFormat="false" ht="12.8" hidden="false" customHeight="false" outlineLevel="0" collapsed="false">
      <c r="B72776" s="0" t="s">
        <v>7</v>
      </c>
    </row>
    <row r="72777" customFormat="false" ht="12.8" hidden="false" customHeight="false" outlineLevel="0" collapsed="false">
      <c r="B72777" s="0" t="s">
        <v>124</v>
      </c>
    </row>
    <row r="72779" customFormat="false" ht="12.8" hidden="false" customHeight="false" outlineLevel="0" collapsed="false">
      <c r="A72779" s="0" t="s">
        <v>24649</v>
      </c>
      <c r="B72779" s="0" t="str">
        <f aca="false">HYPERLINK("https://lindat.mff.cuni.cz/services/teitok/pdtc10/index.php?action=vallex&amp;frame=v-w7393f1", "útočit (v-w7393f1)")</f>
        <v>útočit (v-w7393f1)</v>
      </c>
    </row>
    <row r="72780" customFormat="false" ht="12.8" hidden="false" customHeight="false" outlineLevel="0" collapsed="false">
      <c r="B72780" s="0" t="s">
        <v>7</v>
      </c>
      <c r="C72780" s="0" t="s">
        <v>2530</v>
      </c>
      <c r="D72780" s="0" t="s">
        <v>150</v>
      </c>
      <c r="E72780" s="0" t="s">
        <v>150</v>
      </c>
      <c r="F72780" s="0" t="s">
        <v>150</v>
      </c>
    </row>
    <row r="72781" customFormat="false" ht="12.8" hidden="false" customHeight="false" outlineLevel="0" collapsed="false">
      <c r="B72781" s="0" t="s">
        <v>9079</v>
      </c>
      <c r="C72781" s="0" t="s">
        <v>585</v>
      </c>
      <c r="D72781" s="0" t="s">
        <v>152</v>
      </c>
      <c r="E72781" s="0" t="s">
        <v>152</v>
      </c>
      <c r="F72781" s="0" t="s">
        <v>152</v>
      </c>
    </row>
    <row r="72783" customFormat="false" ht="12.8" hidden="false" customHeight="false" outlineLevel="0" collapsed="false">
      <c r="A72783" s="0" t="s">
        <v>24650</v>
      </c>
      <c r="B72783" s="0" t="str">
        <f aca="false">HYPERLINK("https://lindat.mff.cuni.cz/services/teitok/pdtc10/index.php?action=vallex&amp;frame=v-w7443f1", "úvěrovat (v-w7443f1)")</f>
        <v>úvěrovat (v-w7443f1)</v>
      </c>
    </row>
    <row r="72784" customFormat="false" ht="12.8" hidden="false" customHeight="false" outlineLevel="0" collapsed="false">
      <c r="B72784" s="0" t="s">
        <v>7</v>
      </c>
      <c r="D72784" s="0" t="s">
        <v>24651</v>
      </c>
      <c r="E72784" s="0" t="s">
        <v>24651</v>
      </c>
      <c r="F72784" s="0" t="s">
        <v>24651</v>
      </c>
    </row>
    <row r="72785" customFormat="false" ht="12.8" hidden="false" customHeight="false" outlineLevel="0" collapsed="false">
      <c r="B72785" s="0" t="s">
        <v>14</v>
      </c>
      <c r="D72785" s="0" t="s">
        <v>24652</v>
      </c>
      <c r="E72785" s="0" t="s">
        <v>24652</v>
      </c>
      <c r="F72785" s="0" t="s">
        <v>24652</v>
      </c>
    </row>
    <row r="72787" customFormat="false" ht="12.8" hidden="false" customHeight="false" outlineLevel="0" collapsed="false">
      <c r="A72787" s="0" t="s">
        <v>24653</v>
      </c>
      <c r="B72787" s="0" t="str">
        <f aca="false">HYPERLINK("https://lindat.mff.cuni.cz/services/teitok/pdtc10/index.php?action=vallex&amp;frame=v-w6995f1", "účastnit se (v-w6995f1)")</f>
        <v>účastnit se (v-w6995f1)</v>
      </c>
    </row>
    <row r="72788" customFormat="false" ht="12.8" hidden="false" customHeight="false" outlineLevel="0" collapsed="false">
      <c r="B72788" s="0" t="s">
        <v>7</v>
      </c>
      <c r="C72788" s="0" t="s">
        <v>24654</v>
      </c>
      <c r="D72788" s="0" t="s">
        <v>104</v>
      </c>
      <c r="E72788" s="0" t="s">
        <v>104</v>
      </c>
      <c r="F72788" s="0" t="s">
        <v>104</v>
      </c>
    </row>
    <row r="72789" customFormat="false" ht="12.8" hidden="false" customHeight="false" outlineLevel="0" collapsed="false">
      <c r="B72789" s="0" t="s">
        <v>24556</v>
      </c>
      <c r="C72789" s="0" t="s">
        <v>24655</v>
      </c>
      <c r="D72789" s="0" t="s">
        <v>21821</v>
      </c>
      <c r="E72789" s="0" t="s">
        <v>21821</v>
      </c>
      <c r="F72789" s="0" t="s">
        <v>21821</v>
      </c>
    </row>
    <row r="72791" customFormat="false" ht="12.8" hidden="false" customHeight="false" outlineLevel="0" collapsed="false">
      <c r="A72791" s="0" t="s">
        <v>24656</v>
      </c>
      <c r="B72791" s="0" t="str">
        <f aca="false">HYPERLINK("https://lindat.mff.cuni.cz/services/teitok/pdtc10/index.php?action=vallex&amp;frame=v-w7001f1", "účinkovat (v-w7001f1)")</f>
        <v>účinkovat (v-w7001f1)</v>
      </c>
    </row>
    <row r="72792" customFormat="false" ht="12.8" hidden="false" customHeight="false" outlineLevel="0" collapsed="false">
      <c r="B72792" s="0" t="s">
        <v>7</v>
      </c>
      <c r="C72792" s="0" t="s">
        <v>31</v>
      </c>
      <c r="D72792" s="0" t="s">
        <v>20610</v>
      </c>
      <c r="E72792" s="0" t="s">
        <v>20610</v>
      </c>
      <c r="F72792" s="0" t="s">
        <v>20610</v>
      </c>
    </row>
    <row r="72793" customFormat="false" ht="12.8" hidden="false" customHeight="false" outlineLevel="0" collapsed="false">
      <c r="B72793" s="0" t="s">
        <v>11</v>
      </c>
      <c r="D72793" s="0" t="s">
        <v>20611</v>
      </c>
      <c r="E72793" s="0" t="s">
        <v>20611</v>
      </c>
      <c r="F72793" s="0" t="s">
        <v>20611</v>
      </c>
    </row>
    <row r="72795" customFormat="false" ht="12.8" hidden="false" customHeight="false" outlineLevel="0" collapsed="false">
      <c r="A72795" s="0" t="s">
        <v>24657</v>
      </c>
      <c r="B72795" s="0" t="str">
        <f aca="false">HYPERLINK("https://lindat.mff.cuni.cz/services/teitok/pdtc10/index.php?action=vallex&amp;frame=v-w7001f2", "účinkovat (v-w7001f2)")</f>
        <v>účinkovat (v-w7001f2)</v>
      </c>
    </row>
    <row r="72796" customFormat="false" ht="12.8" hidden="false" customHeight="false" outlineLevel="0" collapsed="false">
      <c r="B72796" s="0" t="s">
        <v>7</v>
      </c>
      <c r="C72796" s="0" t="s">
        <v>11892</v>
      </c>
    </row>
    <row r="72798" customFormat="false" ht="12.8" hidden="false" customHeight="false" outlineLevel="0" collapsed="false">
      <c r="A72798" s="0" t="s">
        <v>24658</v>
      </c>
      <c r="B72798" s="0" t="str">
        <f aca="false">HYPERLINK("https://lindat.mff.cuni.cz/services/teitok/pdtc10/index.php?action=vallex&amp;frame=v-w7009f1", "účtovat (v-w7009f1)")</f>
        <v>účtovat (v-w7009f1)</v>
      </c>
    </row>
    <row r="72799" customFormat="false" ht="12.8" hidden="false" customHeight="false" outlineLevel="0" collapsed="false">
      <c r="B72799" s="0" t="s">
        <v>7</v>
      </c>
      <c r="C72799" s="0" t="s">
        <v>6712</v>
      </c>
      <c r="D72799" s="0" t="s">
        <v>11408</v>
      </c>
      <c r="E72799" s="0" t="s">
        <v>11408</v>
      </c>
      <c r="F72799" s="0" t="s">
        <v>11408</v>
      </c>
    </row>
    <row r="72800" customFormat="false" ht="12.8" hidden="false" customHeight="false" outlineLevel="0" collapsed="false">
      <c r="B72800" s="0" t="s">
        <v>14</v>
      </c>
      <c r="C72800" s="0" t="s">
        <v>24659</v>
      </c>
      <c r="D72800" s="0" t="s">
        <v>21396</v>
      </c>
      <c r="E72800" s="0" t="s">
        <v>21396</v>
      </c>
      <c r="F72800" s="0" t="s">
        <v>21396</v>
      </c>
    </row>
    <row r="72801" customFormat="false" ht="12.8" hidden="false" customHeight="false" outlineLevel="0" collapsed="false">
      <c r="B72801" s="0" t="s">
        <v>48</v>
      </c>
      <c r="C72801" s="0" t="s">
        <v>24660</v>
      </c>
      <c r="D72801" s="0" t="s">
        <v>24661</v>
      </c>
      <c r="E72801" s="0" t="s">
        <v>24661</v>
      </c>
      <c r="F72801" s="0" t="s">
        <v>24661</v>
      </c>
    </row>
    <row r="72802" customFormat="false" ht="12.8" hidden="false" customHeight="false" outlineLevel="0" collapsed="false">
      <c r="B72802" s="0" t="s">
        <v>550</v>
      </c>
      <c r="C72802" s="0" t="s">
        <v>21489</v>
      </c>
      <c r="D72802" s="0" t="s">
        <v>21489</v>
      </c>
      <c r="E72802" s="0" t="s">
        <v>21489</v>
      </c>
      <c r="F72802" s="0" t="s">
        <v>21489</v>
      </c>
    </row>
    <row r="72804" customFormat="false" ht="12.8" hidden="false" customHeight="false" outlineLevel="0" collapsed="false">
      <c r="A72804" s="0" t="s">
        <v>24662</v>
      </c>
      <c r="B72804" s="0" t="str">
        <f aca="false">HYPERLINK("https://lindat.mff.cuni.cz/services/teitok/pdtc10/index.php?action=vallex&amp;frame=v-w7010f2_ZU", "účtovat si (v-w7010f2_ZU)")</f>
        <v>účtovat si (v-w7010f2_ZU)</v>
      </c>
    </row>
    <row r="72805" customFormat="false" ht="12.8" hidden="false" customHeight="false" outlineLevel="0" collapsed="false">
      <c r="B72805" s="0" t="s">
        <v>7</v>
      </c>
      <c r="C72805" s="0" t="s">
        <v>10277</v>
      </c>
      <c r="D72805" s="0" t="s">
        <v>11408</v>
      </c>
      <c r="E72805" s="0" t="s">
        <v>11408</v>
      </c>
      <c r="F72805" s="0" t="s">
        <v>11408</v>
      </c>
    </row>
    <row r="72806" customFormat="false" ht="12.8" hidden="false" customHeight="false" outlineLevel="0" collapsed="false">
      <c r="B72806" s="0" t="s">
        <v>14</v>
      </c>
      <c r="C72806" s="0" t="s">
        <v>24663</v>
      </c>
      <c r="D72806" s="0" t="s">
        <v>21396</v>
      </c>
      <c r="E72806" s="0" t="s">
        <v>21396</v>
      </c>
      <c r="F72806" s="0" t="s">
        <v>21396</v>
      </c>
    </row>
    <row r="72807" customFormat="false" ht="12.8" hidden="false" customHeight="false" outlineLevel="0" collapsed="false">
      <c r="B72807" s="0" t="s">
        <v>207</v>
      </c>
      <c r="C72807" s="0" t="s">
        <v>24664</v>
      </c>
      <c r="D72807" s="0" t="s">
        <v>24661</v>
      </c>
      <c r="E72807" s="0" t="s">
        <v>24661</v>
      </c>
      <c r="F72807" s="0" t="s">
        <v>24661</v>
      </c>
    </row>
    <row r="72808" customFormat="false" ht="12.8" hidden="false" customHeight="false" outlineLevel="0" collapsed="false">
      <c r="B72808" s="0" t="s">
        <v>550</v>
      </c>
      <c r="C72808" s="0" t="s">
        <v>24665</v>
      </c>
      <c r="D72808" s="0" t="s">
        <v>21489</v>
      </c>
      <c r="E72808" s="0" t="s">
        <v>21489</v>
      </c>
      <c r="F72808" s="0" t="s">
        <v>21489</v>
      </c>
    </row>
    <row r="72810" customFormat="false" ht="12.8" hidden="false" customHeight="false" outlineLevel="0" collapsed="false">
      <c r="A72810" s="0" t="s">
        <v>24666</v>
      </c>
      <c r="B72810" s="0" t="str">
        <f aca="false">HYPERLINK("https://lindat.mff.cuni.cz/services/teitok/pdtc10/index.php?action=vallex&amp;frame=v-w7010f1", "účtovat si (v-w7010f1)")</f>
        <v>účtovat si (v-w7010f1)</v>
      </c>
    </row>
    <row r="72811" customFormat="false" ht="12.8" hidden="false" customHeight="false" outlineLevel="0" collapsed="false">
      <c r="B72811" s="0" t="s">
        <v>7</v>
      </c>
      <c r="C72811" s="0" t="s">
        <v>13197</v>
      </c>
      <c r="D72811" s="0" t="s">
        <v>11408</v>
      </c>
      <c r="E72811" s="0" t="s">
        <v>11408</v>
      </c>
      <c r="F72811" s="0" t="s">
        <v>11408</v>
      </c>
    </row>
    <row r="72812" customFormat="false" ht="12.8" hidden="false" customHeight="false" outlineLevel="0" collapsed="false">
      <c r="B72812" s="0" t="s">
        <v>14</v>
      </c>
      <c r="C72812" s="0" t="s">
        <v>24667</v>
      </c>
      <c r="D72812" s="0" t="s">
        <v>21396</v>
      </c>
      <c r="E72812" s="0" t="s">
        <v>21396</v>
      </c>
      <c r="F72812" s="0" t="s">
        <v>21396</v>
      </c>
    </row>
    <row r="72813" customFormat="false" ht="12.8" hidden="false" customHeight="false" outlineLevel="0" collapsed="false">
      <c r="B72813" s="0" t="s">
        <v>441</v>
      </c>
      <c r="D72813" s="0" t="s">
        <v>446</v>
      </c>
      <c r="E72813" s="0" t="s">
        <v>446</v>
      </c>
      <c r="F72813" s="0" t="s">
        <v>446</v>
      </c>
    </row>
    <row r="72814" customFormat="false" ht="12.8" hidden="false" customHeight="false" outlineLevel="0" collapsed="false">
      <c r="B72814" s="0" t="s">
        <v>550</v>
      </c>
      <c r="C72814" s="0" t="s">
        <v>21489</v>
      </c>
      <c r="D72814" s="0" t="s">
        <v>21489</v>
      </c>
      <c r="E72814" s="0" t="s">
        <v>21489</v>
      </c>
      <c r="F72814" s="0" t="s">
        <v>21489</v>
      </c>
    </row>
    <row r="72816" customFormat="false" ht="12.8" hidden="false" customHeight="false" outlineLevel="0" collapsed="false">
      <c r="A72816" s="0" t="s">
        <v>24668</v>
      </c>
      <c r="B72816" s="0" t="str">
        <f aca="false">HYPERLINK("https://lindat.mff.cuni.cz/services/teitok/pdtc10/index.php?action=vallex&amp;frame=v-w7269f1", "úřadovat (v-w7269f1)")</f>
        <v>úřadovat (v-w7269f1)</v>
      </c>
    </row>
    <row r="72817" customFormat="false" ht="12.8" hidden="false" customHeight="false" outlineLevel="0" collapsed="false">
      <c r="B72817" s="0" t="s">
        <v>7</v>
      </c>
    </row>
    <row r="72819" customFormat="false" ht="12.8" hidden="false" customHeight="false" outlineLevel="0" collapsed="false">
      <c r="A72819" s="0" t="s">
        <v>24669</v>
      </c>
      <c r="B72819" s="0" t="str">
        <f aca="false">HYPERLINK("https://lindat.mff.cuni.cz/services/teitok/pdtc10/index.php?action=vallex&amp;frame=v-w301f1", "čalounit (v-w301f1)")</f>
        <v>čalounit (v-w301f1)</v>
      </c>
    </row>
    <row r="72820" customFormat="false" ht="12.8" hidden="false" customHeight="false" outlineLevel="0" collapsed="false">
      <c r="B72820" s="0" t="s">
        <v>7</v>
      </c>
    </row>
    <row r="72821" customFormat="false" ht="12.8" hidden="false" customHeight="false" outlineLevel="0" collapsed="false">
      <c r="B72821" s="0" t="s">
        <v>14</v>
      </c>
    </row>
    <row r="72823" customFormat="false" ht="12.8" hidden="false" customHeight="false" outlineLevel="0" collapsed="false">
      <c r="A72823" s="0" t="s">
        <v>24670</v>
      </c>
      <c r="B72823" s="0" t="str">
        <f aca="false">HYPERLINK("https://lindat.mff.cuni.cz/services/teitok/pdtc10/index.php?action=vallex&amp;frame=v-whsa_780hsa_781", "čapnout (v-whsa_780hsa_781)")</f>
        <v>čapnout (v-whsa_780hsa_781)</v>
      </c>
    </row>
    <row r="72824" customFormat="false" ht="12.8" hidden="false" customHeight="false" outlineLevel="0" collapsed="false">
      <c r="B72824" s="0" t="s">
        <v>7</v>
      </c>
    </row>
    <row r="72825" customFormat="false" ht="12.8" hidden="false" customHeight="false" outlineLevel="0" collapsed="false">
      <c r="B72825" s="0" t="s">
        <v>14</v>
      </c>
    </row>
    <row r="72827" customFormat="false" ht="12.8" hidden="false" customHeight="false" outlineLevel="0" collapsed="false">
      <c r="A72827" s="0" t="s">
        <v>24671</v>
      </c>
      <c r="B72827" s="0" t="str">
        <f aca="false">HYPERLINK("https://lindat.mff.cuni.cz/services/teitok/pdtc10/index.php?action=vallex&amp;frame=v-w11888_ZUf1_ZU", "čapnout (v-w11888_ZUf1_ZU)")</f>
        <v>čapnout (v-w11888_ZUf1_ZU)</v>
      </c>
    </row>
    <row r="72828" customFormat="false" ht="12.8" hidden="false" customHeight="false" outlineLevel="0" collapsed="false">
      <c r="B72828" s="0" t="s">
        <v>7</v>
      </c>
    </row>
    <row r="72829" customFormat="false" ht="12.8" hidden="false" customHeight="false" outlineLevel="0" collapsed="false">
      <c r="B72829" s="0" t="s">
        <v>14</v>
      </c>
    </row>
    <row r="72831" customFormat="false" ht="12.8" hidden="false" customHeight="false" outlineLevel="0" collapsed="false">
      <c r="A72831" s="0" t="s">
        <v>24672</v>
      </c>
      <c r="B72831" s="0" t="str">
        <f aca="false">HYPERLINK("https://lindat.mff.cuni.cz/services/teitok/pdtc10/index.php?action=vallex&amp;frame=v-w303f1", "časovat (v-w303f1)")</f>
        <v>časovat (v-w303f1)</v>
      </c>
    </row>
    <row r="72832" customFormat="false" ht="12.8" hidden="false" customHeight="false" outlineLevel="0" collapsed="false">
      <c r="B72832" s="0" t="s">
        <v>7</v>
      </c>
    </row>
    <row r="72833" customFormat="false" ht="12.8" hidden="false" customHeight="false" outlineLevel="0" collapsed="false">
      <c r="B72833" s="0" t="s">
        <v>14</v>
      </c>
    </row>
    <row r="72835" customFormat="false" ht="12.8" hidden="false" customHeight="false" outlineLevel="0" collapsed="false">
      <c r="A72835" s="0" t="s">
        <v>24673</v>
      </c>
      <c r="B72835" s="0" t="str">
        <f aca="false">HYPERLINK("https://lindat.mff.cuni.cz/services/teitok/pdtc10/index.php?action=vallex&amp;frame=v-w306f1", "častovat (v-w306f1)")</f>
        <v>častovat (v-w306f1)</v>
      </c>
    </row>
    <row r="72836" customFormat="false" ht="12.8" hidden="false" customHeight="false" outlineLevel="0" collapsed="false">
      <c r="B72836" s="0" t="s">
        <v>7</v>
      </c>
      <c r="C72836" s="0" t="s">
        <v>46</v>
      </c>
    </row>
    <row r="72837" customFormat="false" ht="12.8" hidden="false" customHeight="false" outlineLevel="0" collapsed="false">
      <c r="B72837" s="0" t="s">
        <v>216</v>
      </c>
      <c r="C72837" s="0" t="s">
        <v>24674</v>
      </c>
    </row>
    <row r="72838" customFormat="false" ht="12.8" hidden="false" customHeight="false" outlineLevel="0" collapsed="false">
      <c r="B72838" s="0" t="s">
        <v>81</v>
      </c>
      <c r="C72838" s="0" t="s">
        <v>1861</v>
      </c>
    </row>
    <row r="72840" customFormat="false" ht="12.8" hidden="false" customHeight="false" outlineLevel="0" collapsed="false">
      <c r="A72840" s="0" t="s">
        <v>24675</v>
      </c>
      <c r="B72840" s="0" t="str">
        <f aca="false">HYPERLINK("https://lindat.mff.cuni.cz/services/teitok/pdtc10/index.php?action=vallex&amp;frame=v-w306f2", "častovat (v-w306f2)")</f>
        <v>častovat (v-w306f2)</v>
      </c>
    </row>
    <row r="72841" customFormat="false" ht="12.8" hidden="false" customHeight="false" outlineLevel="0" collapsed="false">
      <c r="B72841" s="0" t="s">
        <v>7</v>
      </c>
    </row>
    <row r="72842" customFormat="false" ht="12.8" hidden="false" customHeight="false" outlineLevel="0" collapsed="false">
      <c r="B72842" s="0" t="s">
        <v>14</v>
      </c>
    </row>
    <row r="72844" customFormat="false" ht="12.8" hidden="false" customHeight="false" outlineLevel="0" collapsed="false">
      <c r="A72844" s="0" t="s">
        <v>24676</v>
      </c>
      <c r="B72844" s="0" t="str">
        <f aca="false">HYPERLINK("https://lindat.mff.cuni.cz/services/teitok/pdtc10/index.php?action=vallex&amp;frame=v-w311f5", "čekat (v-w311f5)")</f>
        <v>čekat (v-w311f5)</v>
      </c>
    </row>
    <row r="72845" customFormat="false" ht="12.8" hidden="false" customHeight="false" outlineLevel="0" collapsed="false">
      <c r="B72845" s="0" t="s">
        <v>7</v>
      </c>
    </row>
    <row r="72846" customFormat="false" ht="12.8" hidden="false" customHeight="false" outlineLevel="0" collapsed="false">
      <c r="B72846" s="0" t="s">
        <v>548</v>
      </c>
    </row>
    <row r="72847" customFormat="false" ht="12.8" hidden="false" customHeight="false" outlineLevel="0" collapsed="false">
      <c r="B72847" s="0" t="s">
        <v>48</v>
      </c>
    </row>
    <row r="72849" customFormat="false" ht="12.8" hidden="false" customHeight="false" outlineLevel="0" collapsed="false">
      <c r="A72849" s="0" t="s">
        <v>24677</v>
      </c>
      <c r="B72849" s="0" t="str">
        <f aca="false">HYPERLINK("https://lindat.mff.cuni.cz/services/teitok/pdtc10/index.php?action=vallex&amp;frame=v-w311f1", "čekat (v-w311f1)")</f>
        <v>čekat (v-w311f1)</v>
      </c>
    </row>
    <row r="72850" customFormat="false" ht="12.8" hidden="false" customHeight="false" outlineLevel="0" collapsed="false">
      <c r="B72850" s="0" t="s">
        <v>7</v>
      </c>
      <c r="C72850" s="0" t="s">
        <v>24678</v>
      </c>
      <c r="D72850" s="0" t="s">
        <v>113</v>
      </c>
      <c r="E72850" s="0" t="s">
        <v>113</v>
      </c>
      <c r="F72850" s="0" t="s">
        <v>113</v>
      </c>
    </row>
    <row r="72851" customFormat="false" ht="12.8" hidden="false" customHeight="false" outlineLevel="0" collapsed="false">
      <c r="B72851" s="0" t="s">
        <v>24679</v>
      </c>
      <c r="C72851" s="0" t="s">
        <v>24680</v>
      </c>
      <c r="D72851" s="0" t="s">
        <v>74</v>
      </c>
      <c r="E72851" s="0" t="s">
        <v>74</v>
      </c>
      <c r="F72851" s="0" t="s">
        <v>74</v>
      </c>
    </row>
    <row r="72852" customFormat="false" ht="12.8" hidden="false" customHeight="false" outlineLevel="0" collapsed="false">
      <c r="B72852" s="0" t="s">
        <v>441</v>
      </c>
      <c r="C72852" s="0" t="s">
        <v>1729</v>
      </c>
      <c r="D72852" s="0" t="s">
        <v>9447</v>
      </c>
      <c r="E72852" s="0" t="s">
        <v>9447</v>
      </c>
      <c r="F72852" s="0" t="s">
        <v>9447</v>
      </c>
    </row>
    <row r="72854" customFormat="false" ht="12.8" hidden="false" customHeight="false" outlineLevel="0" collapsed="false">
      <c r="A72854" s="0" t="s">
        <v>24681</v>
      </c>
      <c r="B72854" s="0" t="str">
        <f aca="false">HYPERLINK("https://lindat.mff.cuni.cz/services/teitok/pdtc10/index.php?action=vallex&amp;frame=v-w311f10_ZU", "čekat (v-w311f10_ZU)")</f>
        <v>čekat (v-w311f10_ZU)</v>
      </c>
    </row>
    <row r="72855" customFormat="false" ht="12.8" hidden="false" customHeight="false" outlineLevel="0" collapsed="false">
      <c r="B72855" s="0" t="s">
        <v>265</v>
      </c>
    </row>
    <row r="72856" customFormat="false" ht="12.8" hidden="false" customHeight="false" outlineLevel="0" collapsed="false">
      <c r="B72856" s="0" t="s">
        <v>24682</v>
      </c>
    </row>
    <row r="72858" customFormat="false" ht="12.8" hidden="false" customHeight="false" outlineLevel="0" collapsed="false">
      <c r="A72858" s="0" t="s">
        <v>24681</v>
      </c>
      <c r="B72858" s="0" t="str">
        <f aca="false">HYPERLINK("https://lindat.mff.cuni.cz/services/teitok/pdtc10/index.php?action=vallex&amp;frame=v-w311f2", "čekat (v-w311f2) - substituted with v-w311f10_ZU")</f>
        <v>čekat (v-w311f2) - substituted with v-w311f10_ZU</v>
      </c>
    </row>
    <row r="72859" customFormat="false" ht="12.8" hidden="false" customHeight="false" outlineLevel="0" collapsed="false">
      <c r="B72859" s="0" t="s">
        <v>265</v>
      </c>
      <c r="C72859" s="0" t="s">
        <v>24683</v>
      </c>
    </row>
    <row r="72860" customFormat="false" ht="12.8" hidden="false" customHeight="false" outlineLevel="0" collapsed="false">
      <c r="B72860" s="0" t="s">
        <v>24682</v>
      </c>
      <c r="C72860" s="0" t="s">
        <v>24684</v>
      </c>
    </row>
    <row r="72862" customFormat="false" ht="12.8" hidden="false" customHeight="false" outlineLevel="0" collapsed="false">
      <c r="A72862" s="0" t="s">
        <v>24681</v>
      </c>
      <c r="B72862" s="0" t="str">
        <f aca="false">HYPERLINK("https://lindat.mff.cuni.cz/services/teitok/pdtc10/index.php?action=vallex&amp;frame=v-w311f6_ZU", "čekat (v-w311f6_ZU) - substituted with v-w311f10_ZU")</f>
        <v>čekat (v-w311f6_ZU) - substituted with v-w311f10_ZU</v>
      </c>
    </row>
    <row r="72863" customFormat="false" ht="12.8" hidden="false" customHeight="false" outlineLevel="0" collapsed="false">
      <c r="B72863" s="0" t="s">
        <v>265</v>
      </c>
    </row>
    <row r="72864" customFormat="false" ht="12.8" hidden="false" customHeight="false" outlineLevel="0" collapsed="false">
      <c r="B72864" s="0" t="s">
        <v>24682</v>
      </c>
    </row>
    <row r="72866" customFormat="false" ht="12.8" hidden="false" customHeight="false" outlineLevel="0" collapsed="false">
      <c r="A72866" s="0" t="s">
        <v>24681</v>
      </c>
      <c r="B72866" s="0" t="str">
        <f aca="false">HYPERLINK("https://lindat.mff.cuni.cz/services/teitok/pdtc10/index.php?action=vallex&amp;frame=v-w311f7_ZU", "čekat (v-w311f7_ZU) - substituted with v-w311f10_ZU")</f>
        <v>čekat (v-w311f7_ZU) - substituted with v-w311f10_ZU</v>
      </c>
    </row>
    <row r="72867" customFormat="false" ht="12.8" hidden="false" customHeight="false" outlineLevel="0" collapsed="false">
      <c r="B72867" s="0" t="s">
        <v>265</v>
      </c>
    </row>
    <row r="72868" customFormat="false" ht="12.8" hidden="false" customHeight="false" outlineLevel="0" collapsed="false">
      <c r="B72868" s="0" t="s">
        <v>24682</v>
      </c>
    </row>
    <row r="72870" customFormat="false" ht="12.8" hidden="false" customHeight="false" outlineLevel="0" collapsed="false">
      <c r="A72870" s="0" t="s">
        <v>24681</v>
      </c>
      <c r="B72870" s="0" t="str">
        <f aca="false">HYPERLINK("https://lindat.mff.cuni.cz/services/teitok/pdtc10/index.php?action=vallex&amp;frame=v-w311f9_ZU", "čekat (v-w311f9_ZU) - substituted with v-w311f10_ZU")</f>
        <v>čekat (v-w311f9_ZU) - substituted with v-w311f10_ZU</v>
      </c>
    </row>
    <row r="72871" customFormat="false" ht="12.8" hidden="false" customHeight="false" outlineLevel="0" collapsed="false">
      <c r="B72871" s="0" t="s">
        <v>265</v>
      </c>
      <c r="C72871" s="0" t="s">
        <v>24685</v>
      </c>
      <c r="D72871" s="0" t="s">
        <v>9450</v>
      </c>
      <c r="E72871" s="0" t="s">
        <v>9450</v>
      </c>
      <c r="F72871" s="0" t="s">
        <v>9450</v>
      </c>
    </row>
    <row r="72872" customFormat="false" ht="12.8" hidden="false" customHeight="false" outlineLevel="0" collapsed="false">
      <c r="B72872" s="0" t="s">
        <v>24682</v>
      </c>
      <c r="C72872" s="0" t="s">
        <v>24686</v>
      </c>
      <c r="D72872" s="0" t="s">
        <v>9453</v>
      </c>
      <c r="E72872" s="0" t="s">
        <v>9453</v>
      </c>
      <c r="F72872" s="0" t="s">
        <v>9453</v>
      </c>
    </row>
    <row r="72874" customFormat="false" ht="12.8" hidden="false" customHeight="false" outlineLevel="0" collapsed="false">
      <c r="A72874" s="0" t="s">
        <v>24687</v>
      </c>
      <c r="B72874" s="0" t="str">
        <f aca="false">HYPERLINK("https://lindat.mff.cuni.cz/services/teitok/pdtc10/index.php?action=vallex&amp;frame=v-w311f8_ZU", "čekat (v-w311f8_ZU)")</f>
        <v>čekat (v-w311f8_ZU)</v>
      </c>
    </row>
    <row r="72875" customFormat="false" ht="12.8" hidden="false" customHeight="false" outlineLevel="0" collapsed="false">
      <c r="B72875" s="0" t="s">
        <v>7</v>
      </c>
      <c r="C72875" s="0" t="s">
        <v>11378</v>
      </c>
    </row>
    <row r="72876" customFormat="false" ht="12.8" hidden="false" customHeight="false" outlineLevel="0" collapsed="false">
      <c r="B72876" s="0" t="s">
        <v>548</v>
      </c>
      <c r="C72876" s="0" t="s">
        <v>11384</v>
      </c>
    </row>
    <row r="72878" customFormat="false" ht="12.8" hidden="false" customHeight="false" outlineLevel="0" collapsed="false">
      <c r="A72878" s="0" t="s">
        <v>24687</v>
      </c>
      <c r="B72878" s="0" t="str">
        <f aca="false">HYPERLINK("https://lindat.mff.cuni.cz/services/teitok/pdtc10/index.php?action=vallex&amp;frame=v-w311f4", "čekat (v-w311f4) - substituted with v-w311f8_ZU")</f>
        <v>čekat (v-w311f4) - substituted with v-w311f8_ZU</v>
      </c>
    </row>
    <row r="72879" customFormat="false" ht="12.8" hidden="false" customHeight="false" outlineLevel="0" collapsed="false">
      <c r="B72879" s="0" t="s">
        <v>7</v>
      </c>
      <c r="C72879" s="0" t="s">
        <v>21106</v>
      </c>
    </row>
    <row r="72880" customFormat="false" ht="12.8" hidden="false" customHeight="false" outlineLevel="0" collapsed="false">
      <c r="B72880" s="0" t="s">
        <v>548</v>
      </c>
      <c r="C72880" s="0" t="s">
        <v>21108</v>
      </c>
    </row>
    <row r="72882" customFormat="false" ht="12.8" hidden="false" customHeight="false" outlineLevel="0" collapsed="false">
      <c r="A72882" s="0" t="s">
        <v>24688</v>
      </c>
      <c r="B72882" s="0" t="str">
        <f aca="false">HYPERLINK("https://lindat.mff.cuni.cz/services/teitok/pdtc10/index.php?action=vallex&amp;frame=v-w311f12_ZU", "čekat (v-w311f12_ZU)")</f>
        <v>čekat (v-w311f12_ZU)</v>
      </c>
    </row>
    <row r="72883" customFormat="false" ht="12.8" hidden="false" customHeight="false" outlineLevel="0" collapsed="false">
      <c r="B72883" s="0" t="s">
        <v>7</v>
      </c>
    </row>
    <row r="72884" customFormat="false" ht="12.8" hidden="false" customHeight="false" outlineLevel="0" collapsed="false">
      <c r="B72884" s="0" t="s">
        <v>14</v>
      </c>
    </row>
    <row r="72886" customFormat="false" ht="12.8" hidden="false" customHeight="false" outlineLevel="0" collapsed="false">
      <c r="A72886" s="0" t="s">
        <v>24688</v>
      </c>
      <c r="B72886" s="0" t="str">
        <f aca="false">HYPERLINK("https://lindat.mff.cuni.cz/services/teitok/pdtc10/index.php?action=vallex&amp;frame=v-w311f11_ZU", "čekat (v-w311f11_ZU) - substituted with v-w311f12_ZU")</f>
        <v>čekat (v-w311f11_ZU) - substituted with v-w311f12_ZU</v>
      </c>
    </row>
    <row r="72887" customFormat="false" ht="12.8" hidden="false" customHeight="false" outlineLevel="0" collapsed="false">
      <c r="B72887" s="0" t="s">
        <v>7</v>
      </c>
    </row>
    <row r="72888" customFormat="false" ht="12.8" hidden="false" customHeight="false" outlineLevel="0" collapsed="false">
      <c r="B72888" s="0" t="s">
        <v>14</v>
      </c>
    </row>
    <row r="72890" customFormat="false" ht="12.8" hidden="false" customHeight="false" outlineLevel="0" collapsed="false">
      <c r="A72890" s="0" t="s">
        <v>24688</v>
      </c>
      <c r="B72890" s="0" t="str">
        <f aca="false">HYPERLINK("https://lindat.mff.cuni.cz/services/teitok/pdtc10/index.php?action=vallex&amp;frame=v-w311hsa_358", "čekat (v-w311hsa_358) - substituted with v-w311f12_ZU")</f>
        <v>čekat (v-w311hsa_358) - substituted with v-w311f12_ZU</v>
      </c>
    </row>
    <row r="72891" customFormat="false" ht="12.8" hidden="false" customHeight="false" outlineLevel="0" collapsed="false">
      <c r="B72891" s="0" t="s">
        <v>7</v>
      </c>
    </row>
    <row r="72892" customFormat="false" ht="12.8" hidden="false" customHeight="false" outlineLevel="0" collapsed="false">
      <c r="B72892" s="0" t="s">
        <v>14</v>
      </c>
    </row>
    <row r="72894" customFormat="false" ht="12.8" hidden="false" customHeight="false" outlineLevel="0" collapsed="false">
      <c r="A72894" s="0" t="s">
        <v>24689</v>
      </c>
      <c r="B72894" s="0" t="str">
        <f aca="false">HYPERLINK("https://lindat.mff.cuni.cz/services/teitok/pdtc10/index.php?action=vallex&amp;frame=v-w311f14_MM", "čekat (v-w311f14_MM)")</f>
        <v>čekat (v-w311f14_MM)</v>
      </c>
    </row>
    <row r="72895" customFormat="false" ht="12.8" hidden="false" customHeight="false" outlineLevel="0" collapsed="false">
      <c r="B72895" s="0" t="s">
        <v>7</v>
      </c>
    </row>
    <row r="72896" customFormat="false" ht="12.8" hidden="false" customHeight="false" outlineLevel="0" collapsed="false">
      <c r="B72896" s="0" t="s">
        <v>122</v>
      </c>
    </row>
    <row r="72897" customFormat="false" ht="12.8" hidden="false" customHeight="false" outlineLevel="0" collapsed="false">
      <c r="B72897" s="0" t="s">
        <v>24690</v>
      </c>
    </row>
    <row r="72899" customFormat="false" ht="12.8" hidden="false" customHeight="false" outlineLevel="0" collapsed="false">
      <c r="A72899" s="0" t="s">
        <v>24689</v>
      </c>
      <c r="B72899" s="0" t="str">
        <f aca="false">HYPERLINK("https://lindat.mff.cuni.cz/services/teitok/pdtc10/index.php?action=vallex&amp;frame=v-w311f13_ZU", "čekat (v-w311f13_ZU) - substituted with v-w311f14_MM")</f>
        <v>čekat (v-w311f13_ZU) - substituted with v-w311f14_MM</v>
      </c>
    </row>
    <row r="72900" customFormat="false" ht="12.8" hidden="false" customHeight="false" outlineLevel="0" collapsed="false">
      <c r="B72900" s="0" t="s">
        <v>7</v>
      </c>
    </row>
    <row r="72901" customFormat="false" ht="12.8" hidden="false" customHeight="false" outlineLevel="0" collapsed="false">
      <c r="B72901" s="0" t="s">
        <v>122</v>
      </c>
    </row>
    <row r="72902" customFormat="false" ht="12.8" hidden="false" customHeight="false" outlineLevel="0" collapsed="false">
      <c r="B72902" s="0" t="s">
        <v>24690</v>
      </c>
    </row>
    <row r="72904" customFormat="false" ht="12.8" hidden="false" customHeight="false" outlineLevel="0" collapsed="false">
      <c r="A72904" s="0" t="s">
        <v>24689</v>
      </c>
      <c r="B72904" s="0" t="str">
        <f aca="false">HYPERLINK("https://lindat.mff.cuni.cz/services/teitok/pdtc10/index.php?action=vallex&amp;frame=v-w311hsa_359", "čekat (v-w311hsa_359) - substituted with v-w311f14_MM")</f>
        <v>čekat (v-w311hsa_359) - substituted with v-w311f14_MM</v>
      </c>
    </row>
    <row r="72905" customFormat="false" ht="12.8" hidden="false" customHeight="false" outlineLevel="0" collapsed="false">
      <c r="B72905" s="0" t="s">
        <v>7</v>
      </c>
    </row>
    <row r="72906" customFormat="false" ht="12.8" hidden="false" customHeight="false" outlineLevel="0" collapsed="false">
      <c r="B72906" s="0" t="s">
        <v>122</v>
      </c>
    </row>
    <row r="72907" customFormat="false" ht="12.8" hidden="false" customHeight="false" outlineLevel="0" collapsed="false">
      <c r="B72907" s="0" t="s">
        <v>24690</v>
      </c>
    </row>
    <row r="72909" customFormat="false" ht="12.8" hidden="false" customHeight="false" outlineLevel="0" collapsed="false">
      <c r="A72909" s="0" t="s">
        <v>24691</v>
      </c>
      <c r="B72909" s="0" t="str">
        <f aca="false">HYPERLINK("https://lindat.mff.cuni.cz/services/teitok/pdtc10/index.php?action=vallex&amp;frame=v-w312f1", "čekat se (v-w312f1)")</f>
        <v>čekat se (v-w312f1)</v>
      </c>
    </row>
    <row r="72910" customFormat="false" ht="12.8" hidden="false" customHeight="false" outlineLevel="0" collapsed="false">
      <c r="B72910" s="0" t="s">
        <v>7</v>
      </c>
    </row>
    <row r="72912" customFormat="false" ht="12.8" hidden="false" customHeight="false" outlineLevel="0" collapsed="false">
      <c r="A72912" s="0" t="s">
        <v>24692</v>
      </c>
      <c r="B72912" s="0" t="str">
        <f aca="false">HYPERLINK("https://lindat.mff.cuni.cz/services/teitok/pdtc10/index.php?action=vallex&amp;frame=v-whsa_1666f1_ZU", "čekávat (v-whsa_1666f1_ZU)")</f>
        <v>čekávat (v-whsa_1666f1_ZU)</v>
      </c>
    </row>
    <row r="72913" customFormat="false" ht="12.8" hidden="false" customHeight="false" outlineLevel="0" collapsed="false">
      <c r="B72913" s="0" t="s">
        <v>7</v>
      </c>
    </row>
    <row r="72914" customFormat="false" ht="12.8" hidden="false" customHeight="false" outlineLevel="0" collapsed="false">
      <c r="B72914" s="0" t="s">
        <v>24693</v>
      </c>
    </row>
    <row r="72916" customFormat="false" ht="12.8" hidden="false" customHeight="false" outlineLevel="0" collapsed="false">
      <c r="A72916" s="0" t="s">
        <v>24692</v>
      </c>
      <c r="B72916" s="0" t="str">
        <f aca="false">HYPERLINK("https://lindat.mff.cuni.cz/services/teitok/pdtc10/index.php?action=vallex&amp;frame=v-whsa_1666hsa_1667", "čekávat (v-whsa_1666hsa_1667) - substituted with v-whsa_1666f1_ZU")</f>
        <v>čekávat (v-whsa_1666hsa_1667) - substituted with v-whsa_1666f1_ZU</v>
      </c>
    </row>
    <row r="72917" customFormat="false" ht="12.8" hidden="false" customHeight="false" outlineLevel="0" collapsed="false">
      <c r="B72917" s="0" t="s">
        <v>7</v>
      </c>
    </row>
    <row r="72918" customFormat="false" ht="12.8" hidden="false" customHeight="false" outlineLevel="0" collapsed="false">
      <c r="B72918" s="0" t="s">
        <v>24693</v>
      </c>
    </row>
    <row r="72920" customFormat="false" ht="12.8" hidden="false" customHeight="false" outlineLevel="0" collapsed="false">
      <c r="A72920" s="0" t="s">
        <v>24694</v>
      </c>
      <c r="B72920" s="0" t="str">
        <f aca="false">HYPERLINK("https://lindat.mff.cuni.cz/services/teitok/pdtc10/index.php?action=vallex&amp;frame=v-w313f1", "čelit (v-w313f1)")</f>
        <v>čelit (v-w313f1)</v>
      </c>
    </row>
    <row r="72921" customFormat="false" ht="12.8" hidden="false" customHeight="false" outlineLevel="0" collapsed="false">
      <c r="B72921" s="0" t="s">
        <v>7</v>
      </c>
      <c r="C72921" s="0" t="s">
        <v>24695</v>
      </c>
      <c r="D72921" s="0" t="s">
        <v>310</v>
      </c>
      <c r="E72921" s="0" t="s">
        <v>310</v>
      </c>
      <c r="F72921" s="0" t="s">
        <v>310</v>
      </c>
    </row>
    <row r="72922" customFormat="false" ht="12.8" hidden="false" customHeight="false" outlineLevel="0" collapsed="false">
      <c r="B72922" s="0" t="s">
        <v>142</v>
      </c>
      <c r="C72922" s="0" t="s">
        <v>24696</v>
      </c>
      <c r="D72922" s="0" t="s">
        <v>313</v>
      </c>
      <c r="E72922" s="0" t="s">
        <v>313</v>
      </c>
      <c r="F72922" s="0" t="s">
        <v>313</v>
      </c>
    </row>
    <row r="72924" customFormat="false" ht="12.8" hidden="false" customHeight="false" outlineLevel="0" collapsed="false">
      <c r="A72924" s="0" t="s">
        <v>24697</v>
      </c>
      <c r="B72924" s="0" t="str">
        <f aca="false">HYPERLINK("https://lindat.mff.cuni.cz/services/teitok/pdtc10/index.php?action=vallex&amp;frame=v-w315f1", "čepovat (v-w315f1)")</f>
        <v>čepovat (v-w315f1)</v>
      </c>
    </row>
    <row r="72925" customFormat="false" ht="12.8" hidden="false" customHeight="false" outlineLevel="0" collapsed="false">
      <c r="B72925" s="0" t="s">
        <v>7</v>
      </c>
    </row>
    <row r="72926" customFormat="false" ht="12.8" hidden="false" customHeight="false" outlineLevel="0" collapsed="false">
      <c r="B72926" s="0" t="s">
        <v>14</v>
      </c>
    </row>
    <row r="72928" customFormat="false" ht="12.8" hidden="false" customHeight="false" outlineLevel="0" collapsed="false">
      <c r="A72928" s="0" t="s">
        <v>24698</v>
      </c>
      <c r="B72928" s="0" t="str">
        <f aca="false">HYPERLINK("https://lindat.mff.cuni.cz/services/teitok/pdtc10/index.php?action=vallex&amp;frame=v-w317f4_MM", "čerpat (v-w317f4_MM)")</f>
        <v>čerpat (v-w317f4_MM)</v>
      </c>
    </row>
    <row r="72929" customFormat="false" ht="12.8" hidden="false" customHeight="false" outlineLevel="0" collapsed="false">
      <c r="B72929" s="0" t="s">
        <v>7</v>
      </c>
    </row>
    <row r="72930" customFormat="false" ht="12.8" hidden="false" customHeight="false" outlineLevel="0" collapsed="false">
      <c r="B72930" s="0" t="s">
        <v>14</v>
      </c>
    </row>
    <row r="72931" customFormat="false" ht="12.8" hidden="false" customHeight="false" outlineLevel="0" collapsed="false">
      <c r="B72931" s="0" t="s">
        <v>24699</v>
      </c>
    </row>
    <row r="72933" customFormat="false" ht="12.8" hidden="false" customHeight="false" outlineLevel="0" collapsed="false">
      <c r="A72933" s="0" t="s">
        <v>24698</v>
      </c>
      <c r="B72933" s="0" t="str">
        <f aca="false">HYPERLINK("https://lindat.mff.cuni.cz/services/teitok/pdtc10/index.php?action=vallex&amp;frame=v-w317f1", "čerpat (v-w317f1) - substituted with v-w317f4_MM")</f>
        <v>čerpat (v-w317f1) - substituted with v-w317f4_MM</v>
      </c>
    </row>
    <row r="72934" customFormat="false" ht="12.8" hidden="false" customHeight="false" outlineLevel="0" collapsed="false">
      <c r="B72934" s="0" t="s">
        <v>7</v>
      </c>
      <c r="C72934" s="0" t="s">
        <v>24700</v>
      </c>
      <c r="D72934" s="0" t="s">
        <v>1725</v>
      </c>
      <c r="E72934" s="0" t="s">
        <v>1725</v>
      </c>
      <c r="F72934" s="0" t="s">
        <v>1725</v>
      </c>
    </row>
    <row r="72935" customFormat="false" ht="12.8" hidden="false" customHeight="false" outlineLevel="0" collapsed="false">
      <c r="B72935" s="0" t="s">
        <v>14</v>
      </c>
      <c r="C72935" s="0" t="s">
        <v>24701</v>
      </c>
      <c r="D72935" s="0" t="s">
        <v>1728</v>
      </c>
      <c r="E72935" s="0" t="s">
        <v>1728</v>
      </c>
      <c r="F72935" s="0" t="s">
        <v>1728</v>
      </c>
    </row>
    <row r="72936" customFormat="false" ht="12.8" hidden="false" customHeight="false" outlineLevel="0" collapsed="false">
      <c r="B72936" s="0" t="s">
        <v>24699</v>
      </c>
      <c r="C72936" s="0" t="s">
        <v>24702</v>
      </c>
      <c r="D72936" s="0" t="s">
        <v>1730</v>
      </c>
      <c r="E72936" s="0" t="s">
        <v>1730</v>
      </c>
      <c r="F72936" s="0" t="s">
        <v>1730</v>
      </c>
    </row>
    <row r="72938" customFormat="false" ht="12.8" hidden="false" customHeight="false" outlineLevel="0" collapsed="false">
      <c r="A72938" s="0" t="s">
        <v>24703</v>
      </c>
      <c r="B72938" s="0" t="str">
        <f aca="false">HYPERLINK("https://lindat.mff.cuni.cz/services/teitok/pdtc10/index.php?action=vallex&amp;frame=v-w317f3_ZU", "čerpat (v-w317f3_ZU)")</f>
        <v>čerpat (v-w317f3_ZU)</v>
      </c>
    </row>
    <row r="72939" customFormat="false" ht="12.8" hidden="false" customHeight="false" outlineLevel="0" collapsed="false">
      <c r="B72939" s="0" t="s">
        <v>7</v>
      </c>
    </row>
    <row r="72940" customFormat="false" ht="12.8" hidden="false" customHeight="false" outlineLevel="0" collapsed="false">
      <c r="B72940" s="0" t="s">
        <v>14</v>
      </c>
    </row>
    <row r="72941" customFormat="false" ht="12.8" hidden="false" customHeight="false" outlineLevel="0" collapsed="false">
      <c r="B72941" s="0" t="s">
        <v>5382</v>
      </c>
    </row>
    <row r="72943" customFormat="false" ht="12.8" hidden="false" customHeight="false" outlineLevel="0" collapsed="false">
      <c r="A72943" s="0" t="s">
        <v>24703</v>
      </c>
      <c r="B72943" s="0" t="str">
        <f aca="false">HYPERLINK("https://lindat.mff.cuni.cz/services/teitok/pdtc10/index.php?action=vallex&amp;frame=v-w317f2_ZU", "čerpat (v-w317f2_ZU) - substituted with v-w317f3_ZU")</f>
        <v>čerpat (v-w317f2_ZU) - substituted with v-w317f3_ZU</v>
      </c>
    </row>
    <row r="72944" customFormat="false" ht="12.8" hidden="false" customHeight="false" outlineLevel="0" collapsed="false">
      <c r="B72944" s="0" t="s">
        <v>7</v>
      </c>
    </row>
    <row r="72945" customFormat="false" ht="12.8" hidden="false" customHeight="false" outlineLevel="0" collapsed="false">
      <c r="B72945" s="0" t="s">
        <v>14</v>
      </c>
    </row>
    <row r="72946" customFormat="false" ht="12.8" hidden="false" customHeight="false" outlineLevel="0" collapsed="false">
      <c r="B72946" s="0" t="s">
        <v>5382</v>
      </c>
    </row>
    <row r="72948" customFormat="false" ht="12.8" hidden="false" customHeight="false" outlineLevel="0" collapsed="false">
      <c r="A72948" s="0" t="s">
        <v>24703</v>
      </c>
      <c r="B72948" s="0" t="str">
        <f aca="false">HYPERLINK("https://lindat.mff.cuni.cz/services/teitok/pdtc10/index.php?action=vallex&amp;frame=v-w317hsa_1053", "čerpat (v-w317hsa_1053) - substituted with v-w317f3_ZU")</f>
        <v>čerpat (v-w317hsa_1053) - substituted with v-w317f3_ZU</v>
      </c>
    </row>
    <row r="72949" customFormat="false" ht="12.8" hidden="false" customHeight="false" outlineLevel="0" collapsed="false">
      <c r="B72949" s="0" t="s">
        <v>7</v>
      </c>
    </row>
    <row r="72950" customFormat="false" ht="12.8" hidden="false" customHeight="false" outlineLevel="0" collapsed="false">
      <c r="B72950" s="0" t="s">
        <v>14</v>
      </c>
    </row>
    <row r="72951" customFormat="false" ht="12.8" hidden="false" customHeight="false" outlineLevel="0" collapsed="false">
      <c r="B72951" s="0" t="s">
        <v>5382</v>
      </c>
    </row>
    <row r="72953" customFormat="false" ht="12.8" hidden="false" customHeight="false" outlineLevel="0" collapsed="false">
      <c r="A72953" s="0" t="s">
        <v>24704</v>
      </c>
      <c r="B72953" s="0" t="str">
        <f aca="false">HYPERLINK("https://lindat.mff.cuni.cz/services/teitok/pdtc10/index.php?action=vallex&amp;frame=v-w317hsa_1902", "čerpat (v-w317hsa_1902)")</f>
        <v>čerpat (v-w317hsa_1902)</v>
      </c>
    </row>
    <row r="72954" customFormat="false" ht="12.8" hidden="false" customHeight="false" outlineLevel="0" collapsed="false">
      <c r="B72954" s="0" t="s">
        <v>7</v>
      </c>
    </row>
    <row r="72955" customFormat="false" ht="12.8" hidden="false" customHeight="false" outlineLevel="0" collapsed="false">
      <c r="B72955" s="0" t="s">
        <v>14</v>
      </c>
    </row>
    <row r="72956" customFormat="false" ht="12.8" hidden="false" customHeight="false" outlineLevel="0" collapsed="false">
      <c r="B72956" s="0" t="s">
        <v>459</v>
      </c>
    </row>
    <row r="72958" customFormat="false" ht="12.8" hidden="false" customHeight="false" outlineLevel="0" collapsed="false">
      <c r="A72958" s="0" t="s">
        <v>24705</v>
      </c>
      <c r="B72958" s="0" t="str">
        <f aca="false">HYPERLINK("https://lindat.mff.cuni.cz/services/teitok/pdtc10/index.php?action=vallex&amp;frame=v-w11329f1", "čertit se (v-w11329f1)")</f>
        <v>čertit se (v-w11329f1)</v>
      </c>
    </row>
    <row r="72959" customFormat="false" ht="12.8" hidden="false" customHeight="false" outlineLevel="0" collapsed="false">
      <c r="B72959" s="0" t="s">
        <v>7</v>
      </c>
      <c r="C72959" s="0" t="s">
        <v>113</v>
      </c>
    </row>
    <row r="72960" customFormat="false" ht="12.8" hidden="false" customHeight="false" outlineLevel="0" collapsed="false">
      <c r="B72960" s="0" t="s">
        <v>600</v>
      </c>
      <c r="C72960" s="0" t="s">
        <v>47</v>
      </c>
    </row>
    <row r="72962" customFormat="false" ht="12.8" hidden="false" customHeight="false" outlineLevel="0" collapsed="false">
      <c r="A72962" s="0" t="s">
        <v>24706</v>
      </c>
      <c r="B72962" s="0" t="str">
        <f aca="false">HYPERLINK("https://lindat.mff.cuni.cz/services/teitok/pdtc10/index.php?action=vallex&amp;frame=v-w320f1", "česat (v-w320f1)")</f>
        <v>česat (v-w320f1)</v>
      </c>
    </row>
    <row r="72963" customFormat="false" ht="12.8" hidden="false" customHeight="false" outlineLevel="0" collapsed="false">
      <c r="B72963" s="0" t="s">
        <v>7</v>
      </c>
    </row>
    <row r="72964" customFormat="false" ht="12.8" hidden="false" customHeight="false" outlineLevel="0" collapsed="false">
      <c r="B72964" s="0" t="s">
        <v>14</v>
      </c>
    </row>
    <row r="72965" customFormat="false" ht="12.8" hidden="false" customHeight="false" outlineLevel="0" collapsed="false">
      <c r="B72965" s="0" t="s">
        <v>35</v>
      </c>
    </row>
    <row r="72966" customFormat="false" ht="12.8" hidden="false" customHeight="false" outlineLevel="0" collapsed="false">
      <c r="B72966" s="0" t="s">
        <v>37</v>
      </c>
    </row>
    <row r="72968" customFormat="false" ht="12.8" hidden="false" customHeight="false" outlineLevel="0" collapsed="false">
      <c r="A72968" s="0" t="s">
        <v>24707</v>
      </c>
      <c r="B72968" s="0" t="str">
        <f aca="false">HYPERLINK("https://lindat.mff.cuni.cz/services/teitok/pdtc10/index.php?action=vallex&amp;frame=v-w320f2_ZU", "česat (v-w320f2_ZU)")</f>
        <v>česat (v-w320f2_ZU)</v>
      </c>
    </row>
    <row r="72969" customFormat="false" ht="12.8" hidden="false" customHeight="false" outlineLevel="0" collapsed="false">
      <c r="B72969" s="0" t="s">
        <v>7</v>
      </c>
    </row>
    <row r="72970" customFormat="false" ht="12.8" hidden="false" customHeight="false" outlineLevel="0" collapsed="false">
      <c r="B72970" s="0" t="s">
        <v>14</v>
      </c>
    </row>
    <row r="72972" customFormat="false" ht="12.8" hidden="false" customHeight="false" outlineLevel="0" collapsed="false">
      <c r="A72972" s="0" t="s">
        <v>24708</v>
      </c>
      <c r="B72972" s="0" t="str">
        <f aca="false">HYPERLINK("https://lindat.mff.cuni.cz/services/teitok/pdtc10/index.php?action=vallex&amp;frame=v-w320f3_ZU", "česat (v-w320f3_ZU)")</f>
        <v>česat (v-w320f3_ZU)</v>
      </c>
    </row>
    <row r="72973" customFormat="false" ht="12.8" hidden="false" customHeight="false" outlineLevel="0" collapsed="false">
      <c r="B72973" s="0" t="s">
        <v>7</v>
      </c>
    </row>
    <row r="72974" customFormat="false" ht="12.8" hidden="false" customHeight="false" outlineLevel="0" collapsed="false">
      <c r="B72974" s="0" t="s">
        <v>14</v>
      </c>
    </row>
    <row r="72976" customFormat="false" ht="12.8" hidden="false" customHeight="false" outlineLevel="0" collapsed="false">
      <c r="A72976" s="0" t="s">
        <v>24709</v>
      </c>
      <c r="B72976" s="0" t="str">
        <f aca="false">HYPERLINK("https://lindat.mff.cuni.cz/services/teitok/pdtc10/index.php?action=vallex&amp;frame=v-whsa_928hsa_929", "česávat (v-whsa_928hsa_929)")</f>
        <v>česávat (v-whsa_928hsa_929)</v>
      </c>
    </row>
    <row r="72977" customFormat="false" ht="12.8" hidden="false" customHeight="false" outlineLevel="0" collapsed="false">
      <c r="B72977" s="0" t="s">
        <v>7</v>
      </c>
    </row>
    <row r="72978" customFormat="false" ht="12.8" hidden="false" customHeight="false" outlineLevel="0" collapsed="false">
      <c r="B72978" s="0" t="s">
        <v>14</v>
      </c>
    </row>
    <row r="72980" customFormat="false" ht="12.8" hidden="false" customHeight="false" outlineLevel="0" collapsed="false">
      <c r="A72980" s="0" t="s">
        <v>24710</v>
      </c>
      <c r="B72980" s="0" t="str">
        <f aca="false">HYPERLINK("https://lindat.mff.cuni.cz/services/teitok/pdtc10/index.php?action=vallex&amp;frame=v-w319f1", "čeřit (v-w319f1)")</f>
        <v>čeřit (v-w319f1)</v>
      </c>
    </row>
    <row r="72981" customFormat="false" ht="12.8" hidden="false" customHeight="false" outlineLevel="0" collapsed="false">
      <c r="B72981" s="0" t="s">
        <v>7</v>
      </c>
    </row>
    <row r="72982" customFormat="false" ht="12.8" hidden="false" customHeight="false" outlineLevel="0" collapsed="false">
      <c r="B72982" s="0" t="s">
        <v>14</v>
      </c>
    </row>
    <row r="72984" customFormat="false" ht="12.8" hidden="false" customHeight="false" outlineLevel="0" collapsed="false">
      <c r="A72984" s="0" t="s">
        <v>24711</v>
      </c>
      <c r="B72984" s="0" t="str">
        <f aca="false">HYPERLINK("https://lindat.mff.cuni.cz/services/teitok/pdtc10/index.php?action=vallex&amp;frame=v-w319f2", "čeřit (v-w319f2)")</f>
        <v>čeřit (v-w319f2)</v>
      </c>
    </row>
    <row r="72985" customFormat="false" ht="12.8" hidden="false" customHeight="false" outlineLevel="0" collapsed="false">
      <c r="B72985" s="0" t="s">
        <v>7</v>
      </c>
    </row>
    <row r="72986" customFormat="false" ht="12.8" hidden="false" customHeight="false" outlineLevel="0" collapsed="false">
      <c r="B72986" s="0" t="s">
        <v>24712</v>
      </c>
    </row>
    <row r="72988" customFormat="false" ht="12.8" hidden="false" customHeight="false" outlineLevel="0" collapsed="false">
      <c r="A72988" s="0" t="s">
        <v>24713</v>
      </c>
      <c r="B72988" s="0" t="str">
        <f aca="false">HYPERLINK("https://lindat.mff.cuni.cz/services/teitok/pdtc10/index.php?action=vallex&amp;frame=v-w12286_MMf1_MM", "čichat (v-w12286_MMf1_MM)")</f>
        <v>čichat (v-w12286_MMf1_MM)</v>
      </c>
    </row>
    <row r="72989" customFormat="false" ht="12.8" hidden="false" customHeight="false" outlineLevel="0" collapsed="false">
      <c r="B72989" s="0" t="s">
        <v>7</v>
      </c>
    </row>
    <row r="72990" customFormat="false" ht="12.8" hidden="false" customHeight="false" outlineLevel="0" collapsed="false">
      <c r="B72990" s="0" t="s">
        <v>237</v>
      </c>
    </row>
    <row r="72992" customFormat="false" ht="12.8" hidden="false" customHeight="false" outlineLevel="0" collapsed="false">
      <c r="A72992" s="0" t="s">
        <v>24714</v>
      </c>
      <c r="B72992" s="0" t="str">
        <f aca="false">HYPERLINK("https://lindat.mff.cuni.cz/services/teitok/pdtc10/index.php?action=vallex&amp;frame=v-w327f6", "činit (v-w327f6)")</f>
        <v>činit (v-w327f6)</v>
      </c>
    </row>
    <row r="72993" customFormat="false" ht="12.8" hidden="false" customHeight="false" outlineLevel="0" collapsed="false">
      <c r="B72993" s="0" t="s">
        <v>7</v>
      </c>
      <c r="C72993" s="0" t="s">
        <v>3042</v>
      </c>
    </row>
    <row r="72994" customFormat="false" ht="12.8" hidden="false" customHeight="false" outlineLevel="0" collapsed="false">
      <c r="B72994" s="0" t="s">
        <v>14</v>
      </c>
      <c r="C72994" s="0" t="s">
        <v>1625</v>
      </c>
    </row>
    <row r="72995" customFormat="false" ht="12.8" hidden="false" customHeight="false" outlineLevel="0" collapsed="false">
      <c r="B72995" s="0" t="s">
        <v>48</v>
      </c>
      <c r="C72995" s="0" t="s">
        <v>3044</v>
      </c>
    </row>
    <row r="72997" customFormat="false" ht="12.8" hidden="false" customHeight="false" outlineLevel="0" collapsed="false">
      <c r="A72997" s="0" t="s">
        <v>24715</v>
      </c>
      <c r="B72997" s="0" t="str">
        <f aca="false">HYPERLINK("https://lindat.mff.cuni.cz/services/teitok/pdtc10/index.php?action=vallex&amp;frame=v-w327f3", "činit (v-w327f3)")</f>
        <v>činit (v-w327f3)</v>
      </c>
    </row>
    <row r="72998" customFormat="false" ht="12.8" hidden="false" customHeight="false" outlineLevel="0" collapsed="false">
      <c r="B72998" s="0" t="s">
        <v>265</v>
      </c>
      <c r="C72998" s="0" t="s">
        <v>3293</v>
      </c>
    </row>
    <row r="72999" customFormat="false" ht="12.8" hidden="false" customHeight="false" outlineLevel="0" collapsed="false">
      <c r="B72999" s="0" t="s">
        <v>14</v>
      </c>
      <c r="C72999" s="0" t="s">
        <v>14283</v>
      </c>
    </row>
    <row r="73000" customFormat="false" ht="12.8" hidden="false" customHeight="false" outlineLevel="0" collapsed="false">
      <c r="B73000" s="0" t="s">
        <v>35</v>
      </c>
      <c r="C73000" s="0" t="s">
        <v>18623</v>
      </c>
    </row>
    <row r="73002" customFormat="false" ht="12.8" hidden="false" customHeight="false" outlineLevel="0" collapsed="false">
      <c r="A73002" s="0" t="s">
        <v>24716</v>
      </c>
      <c r="B73002" s="0" t="str">
        <f aca="false">HYPERLINK("https://lindat.mff.cuni.cz/services/teitok/pdtc10/index.php?action=vallex&amp;frame=v-w327f4", "činit (v-w327f4)")</f>
        <v>činit (v-w327f4)</v>
      </c>
    </row>
    <row r="73003" customFormat="false" ht="12.8" hidden="false" customHeight="false" outlineLevel="0" collapsed="false">
      <c r="B73003" s="0" t="s">
        <v>7</v>
      </c>
      <c r="C73003" s="0" t="s">
        <v>3293</v>
      </c>
    </row>
    <row r="73004" customFormat="false" ht="12.8" hidden="false" customHeight="false" outlineLevel="0" collapsed="false">
      <c r="B73004" s="0" t="s">
        <v>14</v>
      </c>
      <c r="C73004" s="0" t="s">
        <v>716</v>
      </c>
      <c r="D73004" s="0" t="s">
        <v>384</v>
      </c>
      <c r="E73004" s="0" t="s">
        <v>384</v>
      </c>
      <c r="F73004" s="0" t="s">
        <v>384</v>
      </c>
    </row>
    <row r="73005" customFormat="false" ht="12.8" hidden="false" customHeight="false" outlineLevel="0" collapsed="false">
      <c r="B73005" s="0" t="s">
        <v>1408</v>
      </c>
      <c r="C73005" s="0" t="s">
        <v>24717</v>
      </c>
      <c r="D73005" s="0" t="s">
        <v>4658</v>
      </c>
      <c r="E73005" s="0" t="s">
        <v>4658</v>
      </c>
      <c r="F73005" s="0" t="s">
        <v>4658</v>
      </c>
    </row>
    <row r="73006" customFormat="false" ht="12.8" hidden="false" customHeight="false" outlineLevel="0" collapsed="false">
      <c r="B73006" s="0" t="s">
        <v>35</v>
      </c>
    </row>
    <row r="73008" customFormat="false" ht="12.8" hidden="false" customHeight="false" outlineLevel="0" collapsed="false">
      <c r="A73008" s="0" t="s">
        <v>24718</v>
      </c>
      <c r="B73008" s="0" t="str">
        <f aca="false">HYPERLINK("https://lindat.mff.cuni.cz/services/teitok/pdtc10/index.php?action=vallex&amp;frame=v-w327f14_ZU", "činit (v-w327f14_ZU)")</f>
        <v>činit (v-w327f14_ZU)</v>
      </c>
    </row>
    <row r="73009" customFormat="false" ht="12.8" hidden="false" customHeight="false" outlineLevel="0" collapsed="false">
      <c r="B73009" s="0" t="s">
        <v>7</v>
      </c>
      <c r="C73009" s="0" t="s">
        <v>3293</v>
      </c>
    </row>
    <row r="73010" customFormat="false" ht="12.8" hidden="false" customHeight="false" outlineLevel="0" collapsed="false">
      <c r="B73010" s="0" t="s">
        <v>306</v>
      </c>
      <c r="C73010" s="0" t="s">
        <v>716</v>
      </c>
      <c r="D73010" s="0" t="s">
        <v>384</v>
      </c>
      <c r="E73010" s="0" t="s">
        <v>384</v>
      </c>
      <c r="F73010" s="0" t="s">
        <v>384</v>
      </c>
    </row>
    <row r="73011" customFormat="false" ht="12.8" hidden="false" customHeight="false" outlineLevel="0" collapsed="false">
      <c r="B73011" s="0" t="s">
        <v>24719</v>
      </c>
      <c r="C73011" s="0" t="s">
        <v>24717</v>
      </c>
      <c r="D73011" s="0" t="s">
        <v>4658</v>
      </c>
      <c r="E73011" s="0" t="s">
        <v>4658</v>
      </c>
      <c r="F73011" s="0" t="s">
        <v>4658</v>
      </c>
    </row>
    <row r="73013" customFormat="false" ht="12.8" hidden="false" customHeight="false" outlineLevel="0" collapsed="false">
      <c r="A73013" s="0" t="s">
        <v>24718</v>
      </c>
      <c r="B73013" s="0" t="str">
        <f aca="false">HYPERLINK("https://lindat.mff.cuni.cz/services/teitok/pdtc10/index.php?action=vallex&amp;frame=v-w327f11_ZU", "činit (v-w327f11_ZU) - substituted with v-w327f14_ZU")</f>
        <v>činit (v-w327f11_ZU) - substituted with v-w327f14_ZU</v>
      </c>
    </row>
    <row r="73014" customFormat="false" ht="12.8" hidden="false" customHeight="false" outlineLevel="0" collapsed="false">
      <c r="B73014" s="0" t="s">
        <v>7</v>
      </c>
    </row>
    <row r="73015" customFormat="false" ht="12.8" hidden="false" customHeight="false" outlineLevel="0" collapsed="false">
      <c r="B73015" s="0" t="s">
        <v>306</v>
      </c>
      <c r="C73015" s="0" t="s">
        <v>384</v>
      </c>
    </row>
    <row r="73016" customFormat="false" ht="12.8" hidden="false" customHeight="false" outlineLevel="0" collapsed="false">
      <c r="B73016" s="0" t="s">
        <v>24719</v>
      </c>
      <c r="C73016" s="0" t="s">
        <v>4658</v>
      </c>
    </row>
    <row r="73018" customFormat="false" ht="12.8" hidden="false" customHeight="false" outlineLevel="0" collapsed="false">
      <c r="A73018" s="0" t="s">
        <v>24720</v>
      </c>
      <c r="B73018" s="0" t="str">
        <f aca="false">HYPERLINK("https://lindat.mff.cuni.cz/services/teitok/pdtc10/index.php?action=vallex&amp;frame=v-w327f2", "činit (v-w327f2)")</f>
        <v>činit (v-w327f2)</v>
      </c>
    </row>
    <row r="73019" customFormat="false" ht="12.8" hidden="false" customHeight="false" outlineLevel="0" collapsed="false">
      <c r="B73019" s="0" t="s">
        <v>7</v>
      </c>
      <c r="C73019" s="0" t="s">
        <v>24721</v>
      </c>
      <c r="D73019" s="0" t="s">
        <v>17544</v>
      </c>
      <c r="E73019" s="0" t="s">
        <v>17544</v>
      </c>
      <c r="F73019" s="0" t="s">
        <v>17544</v>
      </c>
    </row>
    <row r="73020" customFormat="false" ht="12.8" hidden="false" customHeight="false" outlineLevel="0" collapsed="false">
      <c r="B73020" s="0" t="s">
        <v>24722</v>
      </c>
      <c r="C73020" s="0" t="s">
        <v>11318</v>
      </c>
      <c r="D73020" s="0" t="s">
        <v>17546</v>
      </c>
      <c r="E73020" s="0" t="s">
        <v>17546</v>
      </c>
      <c r="F73020" s="0" t="s">
        <v>17546</v>
      </c>
    </row>
    <row r="73022" customFormat="false" ht="12.8" hidden="false" customHeight="false" outlineLevel="0" collapsed="false">
      <c r="A73022" s="0" t="s">
        <v>24723</v>
      </c>
      <c r="B73022" s="0" t="str">
        <f aca="false">HYPERLINK("https://lindat.mff.cuni.cz/services/teitok/pdtc10/index.php?action=vallex&amp;frame=v-w327f5", "činit (v-w327f5)")</f>
        <v>činit (v-w327f5)</v>
      </c>
    </row>
    <row r="73023" customFormat="false" ht="12.8" hidden="false" customHeight="false" outlineLevel="0" collapsed="false">
      <c r="B73023" s="0" t="s">
        <v>7</v>
      </c>
    </row>
    <row r="73024" customFormat="false" ht="12.8" hidden="false" customHeight="false" outlineLevel="0" collapsed="false">
      <c r="B73024" s="0" t="s">
        <v>14</v>
      </c>
    </row>
    <row r="73026" customFormat="false" ht="12.8" hidden="false" customHeight="false" outlineLevel="0" collapsed="false">
      <c r="A73026" s="0" t="s">
        <v>24724</v>
      </c>
      <c r="B73026" s="0" t="str">
        <f aca="false">HYPERLINK("https://lindat.mff.cuni.cz/services/teitok/pdtc10/index.php?action=vallex&amp;frame=v-w327f1", "činit (v-w327f1)")</f>
        <v>činit (v-w327f1)</v>
      </c>
    </row>
    <row r="73027" customFormat="false" ht="12.8" hidden="false" customHeight="false" outlineLevel="0" collapsed="false">
      <c r="B73027" s="0" t="s">
        <v>7</v>
      </c>
      <c r="C73027" s="0" t="s">
        <v>24725</v>
      </c>
      <c r="D73027" s="0" t="s">
        <v>2245</v>
      </c>
      <c r="E73027" s="0" t="s">
        <v>2245</v>
      </c>
      <c r="F73027" s="0" t="s">
        <v>2245</v>
      </c>
    </row>
    <row r="73028" customFormat="false" ht="12.8" hidden="false" customHeight="false" outlineLevel="0" collapsed="false">
      <c r="B73028" s="0" t="s">
        <v>679</v>
      </c>
      <c r="C73028" s="0" t="s">
        <v>24726</v>
      </c>
      <c r="D73028" s="0" t="s">
        <v>7716</v>
      </c>
      <c r="E73028" s="0" t="s">
        <v>7716</v>
      </c>
      <c r="F73028" s="0" t="s">
        <v>7716</v>
      </c>
    </row>
    <row r="73030" customFormat="false" ht="12.8" hidden="false" customHeight="false" outlineLevel="0" collapsed="false">
      <c r="A73030" s="0" t="s">
        <v>24727</v>
      </c>
      <c r="B73030" s="0" t="str">
        <f aca="false">HYPERLINK("https://lindat.mff.cuni.cz/services/teitok/pdtc10/index.php?action=vallex&amp;frame=v-w327f8", "činit (v-w327f8)")</f>
        <v>činit (v-w327f8)</v>
      </c>
    </row>
    <row r="73031" customFormat="false" ht="12.8" hidden="false" customHeight="false" outlineLevel="0" collapsed="false">
      <c r="B73031" s="0" t="s">
        <v>7</v>
      </c>
    </row>
    <row r="73032" customFormat="false" ht="12.8" hidden="false" customHeight="false" outlineLevel="0" collapsed="false">
      <c r="B73032" s="0" t="s">
        <v>3472</v>
      </c>
    </row>
    <row r="73033" customFormat="false" ht="12.8" hidden="false" customHeight="false" outlineLevel="0" collapsed="false">
      <c r="B73033" s="0" t="s">
        <v>122</v>
      </c>
    </row>
    <row r="73035" customFormat="false" ht="12.8" hidden="false" customHeight="false" outlineLevel="0" collapsed="false">
      <c r="A73035" s="0" t="s">
        <v>24728</v>
      </c>
      <c r="B73035" s="0" t="str">
        <f aca="false">HYPERLINK("https://lindat.mff.cuni.cz/services/teitok/pdtc10/index.php?action=vallex&amp;frame=v-w327f13_ZU", "činit (v-w327f13_ZU)")</f>
        <v>činit (v-w327f13_ZU)</v>
      </c>
    </row>
    <row r="73036" customFormat="false" ht="12.8" hidden="false" customHeight="false" outlineLevel="0" collapsed="false">
      <c r="B73036" s="0" t="s">
        <v>7</v>
      </c>
      <c r="C73036" s="0" t="s">
        <v>24729</v>
      </c>
      <c r="D73036" s="0" t="s">
        <v>3009</v>
      </c>
      <c r="E73036" s="0" t="s">
        <v>3009</v>
      </c>
      <c r="F73036" s="0" t="s">
        <v>3009</v>
      </c>
    </row>
    <row r="73037" customFormat="false" ht="12.8" hidden="false" customHeight="false" outlineLevel="0" collapsed="false">
      <c r="B73037" s="0" t="s">
        <v>24730</v>
      </c>
      <c r="C73037" s="0" t="s">
        <v>24731</v>
      </c>
      <c r="D73037" s="0" t="s">
        <v>3011</v>
      </c>
      <c r="E73037" s="0" t="s">
        <v>3011</v>
      </c>
      <c r="F73037" s="0" t="s">
        <v>3011</v>
      </c>
    </row>
    <row r="73038" customFormat="false" ht="12.8" hidden="false" customHeight="false" outlineLevel="0" collapsed="false">
      <c r="B73038" s="0" t="s">
        <v>48</v>
      </c>
      <c r="C73038" s="0" t="s">
        <v>3044</v>
      </c>
      <c r="D73038" s="0" t="s">
        <v>2952</v>
      </c>
      <c r="E73038" s="0" t="s">
        <v>2952</v>
      </c>
      <c r="F73038" s="0" t="s">
        <v>2952</v>
      </c>
    </row>
    <row r="73040" customFormat="false" ht="12.8" hidden="false" customHeight="false" outlineLevel="0" collapsed="false">
      <c r="A73040" s="0" t="s">
        <v>24728</v>
      </c>
      <c r="B73040" s="0" t="str">
        <f aca="false">HYPERLINK("https://lindat.mff.cuni.cz/services/teitok/pdtc10/index.php?action=vallex&amp;frame=v-w327f10_ZU", "činit (v-w327f10_ZU) - substituted with v-w327f13_ZU")</f>
        <v>činit (v-w327f10_ZU) - substituted with v-w327f13_ZU</v>
      </c>
    </row>
    <row r="73041" customFormat="false" ht="12.8" hidden="false" customHeight="false" outlineLevel="0" collapsed="false">
      <c r="B73041" s="0" t="s">
        <v>7</v>
      </c>
    </row>
    <row r="73042" customFormat="false" ht="12.8" hidden="false" customHeight="false" outlineLevel="0" collapsed="false">
      <c r="B73042" s="0" t="s">
        <v>24730</v>
      </c>
    </row>
    <row r="73043" customFormat="false" ht="12.8" hidden="false" customHeight="false" outlineLevel="0" collapsed="false">
      <c r="B73043" s="0" t="s">
        <v>48</v>
      </c>
    </row>
    <row r="73045" customFormat="false" ht="12.8" hidden="false" customHeight="false" outlineLevel="0" collapsed="false">
      <c r="A73045" s="0" t="s">
        <v>24728</v>
      </c>
      <c r="B73045" s="0" t="str">
        <f aca="false">HYPERLINK("https://lindat.mff.cuni.cz/services/teitok/pdtc10/index.php?action=vallex&amp;frame=v-w327f12_ZU", "činit (v-w327f12_ZU) - substituted with v-w327f13_ZU")</f>
        <v>činit (v-w327f12_ZU) - substituted with v-w327f13_ZU</v>
      </c>
    </row>
    <row r="73046" customFormat="false" ht="12.8" hidden="false" customHeight="false" outlineLevel="0" collapsed="false">
      <c r="B73046" s="0" t="s">
        <v>7</v>
      </c>
    </row>
    <row r="73047" customFormat="false" ht="12.8" hidden="false" customHeight="false" outlineLevel="0" collapsed="false">
      <c r="B73047" s="0" t="s">
        <v>24730</v>
      </c>
    </row>
    <row r="73048" customFormat="false" ht="12.8" hidden="false" customHeight="false" outlineLevel="0" collapsed="false">
      <c r="B73048" s="0" t="s">
        <v>48</v>
      </c>
    </row>
    <row r="73050" customFormat="false" ht="12.8" hidden="false" customHeight="false" outlineLevel="0" collapsed="false">
      <c r="A73050" s="0" t="s">
        <v>24732</v>
      </c>
      <c r="B73050" s="0" t="str">
        <f aca="false">HYPERLINK("https://lindat.mff.cuni.cz/services/teitok/pdtc10/index.php?action=vallex&amp;frame=v-w327f9", "činit (v-w327f9)")</f>
        <v>činit (v-w327f9)</v>
      </c>
    </row>
    <row r="73051" customFormat="false" ht="12.8" hidden="false" customHeight="false" outlineLevel="0" collapsed="false">
      <c r="B73051" s="0" t="s">
        <v>7</v>
      </c>
    </row>
    <row r="73052" customFormat="false" ht="12.8" hidden="false" customHeight="false" outlineLevel="0" collapsed="false">
      <c r="B73052" s="0" t="s">
        <v>24733</v>
      </c>
    </row>
    <row r="73053" customFormat="false" ht="12.8" hidden="false" customHeight="false" outlineLevel="0" collapsed="false">
      <c r="B73053" s="0" t="s">
        <v>3441</v>
      </c>
    </row>
    <row r="73055" customFormat="false" ht="12.8" hidden="false" customHeight="false" outlineLevel="0" collapsed="false">
      <c r="A73055" s="0" t="s">
        <v>24734</v>
      </c>
      <c r="B73055" s="0" t="str">
        <f aca="false">HYPERLINK("https://lindat.mff.cuni.cz/services/teitok/pdtc10/index.php?action=vallex&amp;frame=v-w327hsa_1152", "činit (v-w327hsa_1152)")</f>
        <v>činit (v-w327hsa_1152)</v>
      </c>
    </row>
    <row r="73056" customFormat="false" ht="12.8" hidden="false" customHeight="false" outlineLevel="0" collapsed="false">
      <c r="B73056" s="0" t="s">
        <v>7</v>
      </c>
      <c r="C73056" s="0" t="s">
        <v>2431</v>
      </c>
      <c r="D73056" s="0" t="s">
        <v>4751</v>
      </c>
      <c r="E73056" s="0" t="s">
        <v>4751</v>
      </c>
      <c r="F73056" s="0" t="s">
        <v>4751</v>
      </c>
    </row>
    <row r="73057" customFormat="false" ht="12.8" hidden="false" customHeight="false" outlineLevel="0" collapsed="false">
      <c r="B73057" s="0" t="s">
        <v>24735</v>
      </c>
      <c r="C73057" s="0" t="s">
        <v>3475</v>
      </c>
      <c r="D73057" s="0" t="s">
        <v>4753</v>
      </c>
      <c r="E73057" s="0" t="s">
        <v>4753</v>
      </c>
      <c r="F73057" s="0" t="s">
        <v>4753</v>
      </c>
    </row>
    <row r="73059" customFormat="false" ht="12.8" hidden="false" customHeight="false" outlineLevel="0" collapsed="false">
      <c r="A73059" s="0" t="s">
        <v>24734</v>
      </c>
      <c r="B73059" s="0" t="str">
        <f aca="false">HYPERLINK("https://lindat.mff.cuni.cz/services/teitok/pdtc10/index.php?action=vallex&amp;frame=v-w327f7", "činit (v-w327f7) - substituted with v-w327hsa_1152")</f>
        <v>činit (v-w327f7) - substituted with v-w327hsa_1152</v>
      </c>
    </row>
    <row r="73060" customFormat="false" ht="12.8" hidden="false" customHeight="false" outlineLevel="0" collapsed="false">
      <c r="B73060" s="0" t="s">
        <v>7</v>
      </c>
      <c r="C73060" s="0" t="s">
        <v>17587</v>
      </c>
    </row>
    <row r="73061" customFormat="false" ht="12.8" hidden="false" customHeight="false" outlineLevel="0" collapsed="false">
      <c r="B73061" s="0" t="s">
        <v>24735</v>
      </c>
      <c r="C73061" s="0" t="s">
        <v>17588</v>
      </c>
    </row>
    <row r="73063" customFormat="false" ht="12.8" hidden="false" customHeight="false" outlineLevel="0" collapsed="false">
      <c r="A73063" s="0" t="s">
        <v>24736</v>
      </c>
      <c r="B73063" s="0" t="str">
        <f aca="false">HYPERLINK("https://lindat.mff.cuni.cz/services/teitok/pdtc10/index.php?action=vallex&amp;frame=v-w327hsa_1151", "činit (v-w327hsa_1151)")</f>
        <v>činit (v-w327hsa_1151)</v>
      </c>
    </row>
    <row r="73064" customFormat="false" ht="12.8" hidden="false" customHeight="false" outlineLevel="0" collapsed="false">
      <c r="B73064" s="0" t="s">
        <v>7</v>
      </c>
    </row>
    <row r="73065" customFormat="false" ht="12.8" hidden="false" customHeight="false" outlineLevel="0" collapsed="false">
      <c r="B73065" s="0" t="s">
        <v>14</v>
      </c>
    </row>
    <row r="73067" customFormat="false" ht="12.8" hidden="false" customHeight="false" outlineLevel="0" collapsed="false">
      <c r="A73067" s="0" t="s">
        <v>24737</v>
      </c>
      <c r="B73067" s="0" t="str">
        <f aca="false">HYPERLINK("https://lindat.mff.cuni.cz/services/teitok/pdtc10/index.php?action=vallex&amp;frame=v-w329f1", "činit se (v-w329f1)")</f>
        <v>činit se (v-w329f1)</v>
      </c>
    </row>
    <row r="73068" customFormat="false" ht="12.8" hidden="false" customHeight="false" outlineLevel="0" collapsed="false">
      <c r="B73068" s="0" t="s">
        <v>7</v>
      </c>
    </row>
    <row r="73070" customFormat="false" ht="12.8" hidden="false" customHeight="false" outlineLevel="0" collapsed="false">
      <c r="A73070" s="0" t="s">
        <v>24738</v>
      </c>
      <c r="B73070" s="0" t="str">
        <f aca="false">HYPERLINK("https://lindat.mff.cuni.cz/services/teitok/pdtc10/index.php?action=vallex&amp;frame=v-w330f2", "činit si (v-w330f2)")</f>
        <v>činit si (v-w330f2)</v>
      </c>
    </row>
    <row r="73071" customFormat="false" ht="12.8" hidden="false" customHeight="false" outlineLevel="0" collapsed="false">
      <c r="B73071" s="0" t="s">
        <v>7</v>
      </c>
    </row>
    <row r="73072" customFormat="false" ht="12.8" hidden="false" customHeight="false" outlineLevel="0" collapsed="false">
      <c r="B73072" s="0" t="s">
        <v>14</v>
      </c>
    </row>
    <row r="73074" customFormat="false" ht="12.8" hidden="false" customHeight="false" outlineLevel="0" collapsed="false">
      <c r="A73074" s="0" t="s">
        <v>24739</v>
      </c>
      <c r="B73074" s="0" t="str">
        <f aca="false">HYPERLINK("https://lindat.mff.cuni.cz/services/teitok/pdtc10/index.php?action=vallex&amp;frame=v-w330f1", "činit si (v-w330f1)")</f>
        <v>činit si (v-w330f1)</v>
      </c>
    </row>
    <row r="73075" customFormat="false" ht="12.8" hidden="false" customHeight="false" outlineLevel="0" collapsed="false">
      <c r="B73075" s="0" t="s">
        <v>7</v>
      </c>
    </row>
    <row r="73076" customFormat="false" ht="12.8" hidden="false" customHeight="false" outlineLevel="0" collapsed="false">
      <c r="B73076" s="0" t="s">
        <v>3536</v>
      </c>
    </row>
    <row r="73078" customFormat="false" ht="12.8" hidden="false" customHeight="false" outlineLevel="0" collapsed="false">
      <c r="A73078" s="0" t="s">
        <v>24740</v>
      </c>
      <c r="B73078" s="0" t="str">
        <f aca="false">HYPERLINK("https://lindat.mff.cuni.cz/services/teitok/pdtc10/index.php?action=vallex&amp;frame=v-w336f1", "čistit (v-w336f1)")</f>
        <v>čistit (v-w336f1)</v>
      </c>
    </row>
    <row r="73079" customFormat="false" ht="12.8" hidden="false" customHeight="false" outlineLevel="0" collapsed="false">
      <c r="B73079" s="0" t="s">
        <v>7</v>
      </c>
      <c r="C73079" s="0" t="s">
        <v>113</v>
      </c>
      <c r="D73079" s="0" t="s">
        <v>157</v>
      </c>
      <c r="E73079" s="0" t="s">
        <v>157</v>
      </c>
      <c r="F73079" s="0" t="s">
        <v>504</v>
      </c>
    </row>
    <row r="73080" customFormat="false" ht="12.8" hidden="false" customHeight="false" outlineLevel="0" collapsed="false">
      <c r="B73080" s="0" t="s">
        <v>14</v>
      </c>
      <c r="C73080" s="0" t="s">
        <v>151</v>
      </c>
      <c r="D73080" s="0" t="s">
        <v>17889</v>
      </c>
      <c r="E73080" s="0" t="s">
        <v>17889</v>
      </c>
      <c r="F73080" s="0" t="s">
        <v>24741</v>
      </c>
    </row>
    <row r="73081" customFormat="false" ht="12.8" hidden="false" customHeight="false" outlineLevel="0" collapsed="false">
      <c r="B73081" s="0" t="s">
        <v>441</v>
      </c>
      <c r="D73081" s="0" t="s">
        <v>9469</v>
      </c>
      <c r="E73081" s="0" t="s">
        <v>9469</v>
      </c>
      <c r="F73081" s="0" t="s">
        <v>9469</v>
      </c>
    </row>
    <row r="73083" customFormat="false" ht="12.8" hidden="false" customHeight="false" outlineLevel="0" collapsed="false">
      <c r="A73083" s="0" t="s">
        <v>24742</v>
      </c>
      <c r="B73083" s="0" t="str">
        <f aca="false">HYPERLINK("https://lindat.mff.cuni.cz/services/teitok/pdtc10/index.php?action=vallex&amp;frame=v-w338f1", "čišet (v-w338f1)")</f>
        <v>čišet (v-w338f1)</v>
      </c>
    </row>
    <row r="73084" customFormat="false" ht="12.8" hidden="false" customHeight="false" outlineLevel="0" collapsed="false">
      <c r="B73084" s="0" t="s">
        <v>7</v>
      </c>
      <c r="D73084" s="0" t="s">
        <v>9818</v>
      </c>
      <c r="E73084" s="0" t="s">
        <v>9818</v>
      </c>
      <c r="F73084" s="0" t="s">
        <v>9818</v>
      </c>
    </row>
    <row r="73086" customFormat="false" ht="12.8" hidden="false" customHeight="false" outlineLevel="0" collapsed="false">
      <c r="A73086" s="0" t="s">
        <v>24743</v>
      </c>
      <c r="B73086" s="0" t="str">
        <f aca="false">HYPERLINK("https://lindat.mff.cuni.cz/services/teitok/pdtc10/index.php?action=vallex&amp;frame=v-w338f2", "čišet (v-w338f2)")</f>
        <v>čišet (v-w338f2)</v>
      </c>
    </row>
    <row r="73088" customFormat="false" ht="12.8" hidden="false" customHeight="false" outlineLevel="0" collapsed="false">
      <c r="A73088" s="0" t="s">
        <v>24744</v>
      </c>
      <c r="B73088" s="0" t="str">
        <f aca="false">HYPERLINK("https://lindat.mff.cuni.cz/services/teitok/pdtc10/index.php?action=vallex&amp;frame=v-w347f1", "členit (v-w347f1)")</f>
        <v>členit (v-w347f1)</v>
      </c>
    </row>
    <row r="73089" customFormat="false" ht="12.8" hidden="false" customHeight="false" outlineLevel="0" collapsed="false">
      <c r="B73089" s="0" t="s">
        <v>7</v>
      </c>
    </row>
    <row r="73090" customFormat="false" ht="12.8" hidden="false" customHeight="false" outlineLevel="0" collapsed="false">
      <c r="B73090" s="0" t="s">
        <v>14</v>
      </c>
    </row>
    <row r="73091" customFormat="false" ht="12.8" hidden="false" customHeight="false" outlineLevel="0" collapsed="false">
      <c r="B73091" s="0" t="s">
        <v>2773</v>
      </c>
    </row>
    <row r="73093" customFormat="false" ht="12.8" hidden="false" customHeight="false" outlineLevel="0" collapsed="false">
      <c r="A73093" s="0" t="s">
        <v>24745</v>
      </c>
      <c r="B73093" s="0" t="str">
        <f aca="false">HYPERLINK("https://lindat.mff.cuni.cz/services/teitok/pdtc10/index.php?action=vallex&amp;frame=v-w11507_ZUf1_ZU", "čmajznout (v-w11507_ZUf1_ZU)")</f>
        <v>čmajznout (v-w11507_ZUf1_ZU)</v>
      </c>
    </row>
    <row r="73094" customFormat="false" ht="12.8" hidden="false" customHeight="false" outlineLevel="0" collapsed="false">
      <c r="B73094" s="0" t="s">
        <v>7</v>
      </c>
      <c r="C73094" s="0" t="s">
        <v>191</v>
      </c>
      <c r="F73094" s="0" t="s">
        <v>157</v>
      </c>
    </row>
    <row r="73095" customFormat="false" ht="12.8" hidden="false" customHeight="false" outlineLevel="0" collapsed="false">
      <c r="B73095" s="0" t="s">
        <v>14</v>
      </c>
      <c r="C73095" s="0" t="s">
        <v>47</v>
      </c>
      <c r="F73095" s="0" t="s">
        <v>462</v>
      </c>
    </row>
    <row r="73096" customFormat="false" ht="12.8" hidden="false" customHeight="false" outlineLevel="0" collapsed="false">
      <c r="B73096" s="0" t="s">
        <v>48</v>
      </c>
      <c r="F73096" s="0" t="s">
        <v>1927</v>
      </c>
    </row>
    <row r="73098" customFormat="false" ht="12.8" hidden="false" customHeight="false" outlineLevel="0" collapsed="false">
      <c r="A73098" s="0" t="s">
        <v>24746</v>
      </c>
      <c r="B73098" s="0" t="str">
        <f aca="false">HYPERLINK("https://lindat.mff.cuni.cz/services/teitok/pdtc10/index.php?action=vallex&amp;frame=v-w10684f2", "čnět (v-w10684f2)")</f>
        <v>čnět (v-w10684f2)</v>
      </c>
    </row>
    <row r="73099" customFormat="false" ht="12.8" hidden="false" customHeight="false" outlineLevel="0" collapsed="false">
      <c r="B73099" s="0" t="s">
        <v>7</v>
      </c>
    </row>
    <row r="73101" customFormat="false" ht="12.8" hidden="false" customHeight="false" outlineLevel="0" collapsed="false">
      <c r="A73101" s="0" t="s">
        <v>24747</v>
      </c>
      <c r="B73101" s="0" t="str">
        <f aca="false">HYPERLINK("https://lindat.mff.cuni.cz/services/teitok/pdtc10/index.php?action=vallex&amp;frame=v-w349f1", "čouhat (v-w349f1)")</f>
        <v>čouhat (v-w349f1)</v>
      </c>
    </row>
    <row r="73102" customFormat="false" ht="12.8" hidden="false" customHeight="false" outlineLevel="0" collapsed="false">
      <c r="B73102" s="0" t="s">
        <v>7</v>
      </c>
    </row>
    <row r="73103" customFormat="false" ht="12.8" hidden="false" customHeight="false" outlineLevel="0" collapsed="false">
      <c r="B73103" s="0" t="s">
        <v>459</v>
      </c>
    </row>
    <row r="73105" customFormat="false" ht="12.8" hidden="false" customHeight="false" outlineLevel="0" collapsed="false">
      <c r="A73105" s="0" t="s">
        <v>24748</v>
      </c>
      <c r="B73105" s="0" t="str">
        <f aca="false">HYPERLINK("https://lindat.mff.cuni.cz/services/teitok/pdtc10/index.php?action=vallex&amp;frame=v-w350f1", "čpět (v-w350f1)")</f>
        <v>čpět (v-w350f1)</v>
      </c>
    </row>
    <row r="73106" customFormat="false" ht="12.8" hidden="false" customHeight="false" outlineLevel="0" collapsed="false">
      <c r="B73106" s="0" t="s">
        <v>7</v>
      </c>
    </row>
    <row r="73107" customFormat="false" ht="12.8" hidden="false" customHeight="false" outlineLevel="0" collapsed="false">
      <c r="B73107" s="0" t="s">
        <v>12511</v>
      </c>
    </row>
    <row r="73109" customFormat="false" ht="12.8" hidden="false" customHeight="false" outlineLevel="0" collapsed="false">
      <c r="A73109" s="0" t="s">
        <v>24749</v>
      </c>
      <c r="B73109" s="0" t="str">
        <f aca="false">HYPERLINK("https://lindat.mff.cuni.cz/services/teitok/pdtc10/index.php?action=vallex&amp;frame=v-w11949_ZUf1_ZU", "črtat (v-w11949_ZUf1_ZU)")</f>
        <v>črtat (v-w11949_ZUf1_ZU)</v>
      </c>
    </row>
    <row r="73110" customFormat="false" ht="12.8" hidden="false" customHeight="false" outlineLevel="0" collapsed="false">
      <c r="B73110" s="0" t="s">
        <v>7</v>
      </c>
    </row>
    <row r="73111" customFormat="false" ht="12.8" hidden="false" customHeight="false" outlineLevel="0" collapsed="false">
      <c r="B73111" s="0" t="s">
        <v>14</v>
      </c>
    </row>
    <row r="73113" customFormat="false" ht="12.8" hidden="false" customHeight="false" outlineLevel="0" collapsed="false">
      <c r="A73113" s="0" t="s">
        <v>24750</v>
      </c>
      <c r="B73113" s="0" t="str">
        <f aca="false">HYPERLINK("https://lindat.mff.cuni.cz/services/teitok/pdtc10/index.php?action=vallex&amp;frame=v-whsa_312f1_ZU", "čumět (v-whsa_312f1_ZU)")</f>
        <v>čumět (v-whsa_312f1_ZU)</v>
      </c>
    </row>
    <row r="73114" customFormat="false" ht="12.8" hidden="false" customHeight="false" outlineLevel="0" collapsed="false">
      <c r="B73114" s="0" t="s">
        <v>7</v>
      </c>
    </row>
    <row r="73115" customFormat="false" ht="12.8" hidden="false" customHeight="false" outlineLevel="0" collapsed="false">
      <c r="B73115" s="0" t="s">
        <v>124</v>
      </c>
    </row>
    <row r="73117" customFormat="false" ht="12.8" hidden="false" customHeight="false" outlineLevel="0" collapsed="false">
      <c r="A73117" s="0" t="s">
        <v>24750</v>
      </c>
      <c r="B73117" s="0" t="str">
        <f aca="false">HYPERLINK("https://lindat.mff.cuni.cz/services/teitok/pdtc10/index.php?action=vallex&amp;frame=v-whsa_312hsa_313", "čumět (v-whsa_312hsa_313) - substituted with v-whsa_312f1_ZU")</f>
        <v>čumět (v-whsa_312hsa_313) - substituted with v-whsa_312f1_ZU</v>
      </c>
    </row>
    <row r="73118" customFormat="false" ht="12.8" hidden="false" customHeight="false" outlineLevel="0" collapsed="false">
      <c r="B73118" s="0" t="s">
        <v>7</v>
      </c>
    </row>
    <row r="73119" customFormat="false" ht="12.8" hidden="false" customHeight="false" outlineLevel="0" collapsed="false">
      <c r="B73119" s="0" t="s">
        <v>124</v>
      </c>
    </row>
    <row r="73121" customFormat="false" ht="12.8" hidden="false" customHeight="false" outlineLevel="0" collapsed="false">
      <c r="A73121" s="0" t="s">
        <v>24751</v>
      </c>
      <c r="B73121" s="0" t="str">
        <f aca="false">HYPERLINK("https://lindat.mff.cuni.cz/services/teitok/pdtc10/index.php?action=vallex&amp;frame=v-whsa_312f2_ZU", "čumět (v-whsa_312f2_ZU)")</f>
        <v>čumět (v-whsa_312f2_ZU)</v>
      </c>
    </row>
    <row r="73122" customFormat="false" ht="12.8" hidden="false" customHeight="false" outlineLevel="0" collapsed="false">
      <c r="B73122" s="0" t="s">
        <v>7</v>
      </c>
    </row>
    <row r="73123" customFormat="false" ht="12.8" hidden="false" customHeight="false" outlineLevel="0" collapsed="false">
      <c r="B73123" s="0" t="s">
        <v>41</v>
      </c>
    </row>
    <row r="73125" customFormat="false" ht="12.8" hidden="false" customHeight="false" outlineLevel="0" collapsed="false">
      <c r="A73125" s="0" t="s">
        <v>24752</v>
      </c>
      <c r="B73125" s="0" t="str">
        <f aca="false">HYPERLINK("https://lindat.mff.cuni.cz/services/teitok/pdtc10/index.php?action=vallex&amp;frame=v-whsa_1593hsa_1594", "čučet (v-whsa_1593hsa_1594)")</f>
        <v>čučet (v-whsa_1593hsa_1594)</v>
      </c>
    </row>
    <row r="73126" customFormat="false" ht="12.8" hidden="false" customHeight="false" outlineLevel="0" collapsed="false">
      <c r="B73126" s="0" t="s">
        <v>7</v>
      </c>
    </row>
    <row r="73127" customFormat="false" ht="12.8" hidden="false" customHeight="false" outlineLevel="0" collapsed="false">
      <c r="B73127" s="0" t="s">
        <v>124</v>
      </c>
    </row>
    <row r="73129" customFormat="false" ht="12.8" hidden="false" customHeight="false" outlineLevel="0" collapsed="false">
      <c r="A73129" s="0" t="s">
        <v>24753</v>
      </c>
      <c r="B73129" s="0" t="str">
        <f aca="false">HYPERLINK("https://lindat.mff.cuni.cz/services/teitok/pdtc10/index.php?action=vallex&amp;frame=v-w11864_ZUf1_ZU", "čučet (v-w11864_ZUf1_ZU)")</f>
        <v>čučet (v-w11864_ZUf1_ZU)</v>
      </c>
    </row>
    <row r="73130" customFormat="false" ht="12.8" hidden="false" customHeight="false" outlineLevel="0" collapsed="false">
      <c r="B73130" s="0" t="s">
        <v>7</v>
      </c>
    </row>
    <row r="73131" customFormat="false" ht="12.8" hidden="false" customHeight="false" outlineLevel="0" collapsed="false">
      <c r="B73131" s="0" t="s">
        <v>5382</v>
      </c>
    </row>
    <row r="73133" customFormat="false" ht="12.8" hidden="false" customHeight="false" outlineLevel="0" collapsed="false">
      <c r="A73133" s="0" t="s">
        <v>24754</v>
      </c>
      <c r="B73133" s="0" t="str">
        <f aca="false">HYPERLINK("https://lindat.mff.cuni.cz/services/teitok/pdtc10/index.php?action=vallex&amp;frame=v-w12287_MMf1_MM", "čvachtat se (v-w12287_MMf1_MM)")</f>
        <v>čvachtat se (v-w12287_MMf1_MM)</v>
      </c>
    </row>
    <row r="73134" customFormat="false" ht="12.8" hidden="false" customHeight="false" outlineLevel="0" collapsed="false">
      <c r="B73134" s="0" t="s">
        <v>7</v>
      </c>
    </row>
    <row r="73136" customFormat="false" ht="12.8" hidden="false" customHeight="false" outlineLevel="0" collapsed="false">
      <c r="A73136" s="0" t="s">
        <v>24755</v>
      </c>
      <c r="B73136" s="0" t="str">
        <f aca="false">HYPERLINK("https://lindat.mff.cuni.cz/services/teitok/pdtc10/index.php?action=vallex&amp;frame=v-w11506_ZUf1_ZU", "číhat (v-w11506_ZUf1_ZU)")</f>
        <v>číhat (v-w11506_ZUf1_ZU)</v>
      </c>
    </row>
    <row r="73137" customFormat="false" ht="12.8" hidden="false" customHeight="false" outlineLevel="0" collapsed="false">
      <c r="B73137" s="0" t="s">
        <v>7</v>
      </c>
      <c r="C73137" s="0" t="s">
        <v>7092</v>
      </c>
      <c r="D73137" s="0" t="s">
        <v>9450</v>
      </c>
      <c r="E73137" s="0" t="s">
        <v>9450</v>
      </c>
      <c r="F73137" s="0" t="s">
        <v>9450</v>
      </c>
    </row>
    <row r="73138" customFormat="false" ht="12.8" hidden="false" customHeight="false" outlineLevel="0" collapsed="false">
      <c r="B73138" s="0" t="s">
        <v>24756</v>
      </c>
      <c r="D73138" s="0" t="s">
        <v>9453</v>
      </c>
      <c r="E73138" s="0" t="s">
        <v>9453</v>
      </c>
      <c r="F73138" s="0" t="s">
        <v>9453</v>
      </c>
    </row>
    <row r="73140" customFormat="false" ht="12.8" hidden="false" customHeight="false" outlineLevel="0" collapsed="false">
      <c r="A73140" s="0" t="s">
        <v>24757</v>
      </c>
      <c r="B73140" s="0" t="str">
        <f aca="false">HYPERLINK("https://lindat.mff.cuni.cz/services/teitok/pdtc10/index.php?action=vallex&amp;frame=v-w332f1", "číslovat (v-w332f1)")</f>
        <v>číslovat (v-w332f1)</v>
      </c>
    </row>
    <row r="73141" customFormat="false" ht="12.8" hidden="false" customHeight="false" outlineLevel="0" collapsed="false">
      <c r="B73141" s="0" t="s">
        <v>7</v>
      </c>
    </row>
    <row r="73142" customFormat="false" ht="12.8" hidden="false" customHeight="false" outlineLevel="0" collapsed="false">
      <c r="B73142" s="0" t="s">
        <v>14</v>
      </c>
    </row>
    <row r="73144" customFormat="false" ht="12.8" hidden="false" customHeight="false" outlineLevel="0" collapsed="false">
      <c r="A73144" s="0" t="s">
        <v>24758</v>
      </c>
      <c r="B73144" s="0" t="str">
        <f aca="false">HYPERLINK("https://lindat.mff.cuni.cz/services/teitok/pdtc10/index.php?action=vallex&amp;frame=v-w333f4", "číst (v-w333f4)")</f>
        <v>číst (v-w333f4)</v>
      </c>
    </row>
    <row r="73145" customFormat="false" ht="12.8" hidden="false" customHeight="false" outlineLevel="0" collapsed="false">
      <c r="B73145" s="0" t="s">
        <v>7</v>
      </c>
      <c r="C73145" s="0" t="s">
        <v>2668</v>
      </c>
      <c r="D73145" s="0" t="s">
        <v>410</v>
      </c>
      <c r="E73145" s="0" t="s">
        <v>410</v>
      </c>
      <c r="F73145" s="0" t="s">
        <v>410</v>
      </c>
    </row>
    <row r="73146" customFormat="false" ht="12.8" hidden="false" customHeight="false" outlineLevel="0" collapsed="false">
      <c r="B73146" s="0" t="s">
        <v>244</v>
      </c>
      <c r="C73146" s="0" t="s">
        <v>12395</v>
      </c>
      <c r="D73146" s="0" t="s">
        <v>12810</v>
      </c>
      <c r="E73146" s="0" t="s">
        <v>12810</v>
      </c>
      <c r="F73146" s="0" t="s">
        <v>12810</v>
      </c>
    </row>
    <row r="73147" customFormat="false" ht="12.8" hidden="false" customHeight="false" outlineLevel="0" collapsed="false">
      <c r="B73147" s="0" t="s">
        <v>106</v>
      </c>
      <c r="C73147" s="0" t="s">
        <v>1165</v>
      </c>
      <c r="D73147" s="0" t="s">
        <v>1165</v>
      </c>
      <c r="E73147" s="0" t="s">
        <v>1165</v>
      </c>
      <c r="F73147" s="0" t="s">
        <v>1165</v>
      </c>
    </row>
    <row r="73149" customFormat="false" ht="12.8" hidden="false" customHeight="false" outlineLevel="0" collapsed="false">
      <c r="A73149" s="0" t="s">
        <v>24759</v>
      </c>
      <c r="B73149" s="0" t="str">
        <f aca="false">HYPERLINK("https://lindat.mff.cuni.cz/services/teitok/pdtc10/index.php?action=vallex&amp;frame=v-w333f1", "číst (v-w333f1)")</f>
        <v>číst (v-w333f1)</v>
      </c>
    </row>
    <row r="73150" customFormat="false" ht="12.8" hidden="false" customHeight="false" outlineLevel="0" collapsed="false">
      <c r="B73150" s="0" t="s">
        <v>7</v>
      </c>
      <c r="C73150" s="0" t="s">
        <v>24760</v>
      </c>
      <c r="D73150" s="0" t="s">
        <v>13404</v>
      </c>
      <c r="E73150" s="0" t="s">
        <v>13404</v>
      </c>
      <c r="F73150" s="0" t="s">
        <v>13404</v>
      </c>
    </row>
    <row r="73151" customFormat="false" ht="12.8" hidden="false" customHeight="false" outlineLevel="0" collapsed="false">
      <c r="B73151" s="0" t="s">
        <v>14</v>
      </c>
      <c r="C73151" s="0" t="s">
        <v>24761</v>
      </c>
      <c r="D73151" s="0" t="s">
        <v>13406</v>
      </c>
      <c r="E73151" s="0" t="s">
        <v>13406</v>
      </c>
      <c r="F73151" s="0" t="s">
        <v>13406</v>
      </c>
    </row>
    <row r="73153" customFormat="false" ht="12.8" hidden="false" customHeight="false" outlineLevel="0" collapsed="false">
      <c r="A73153" s="0" t="s">
        <v>24762</v>
      </c>
      <c r="B73153" s="0" t="str">
        <f aca="false">HYPERLINK("https://lindat.mff.cuni.cz/services/teitok/pdtc10/index.php?action=vallex&amp;frame=v-w333f5", "číst (v-w333f5)")</f>
        <v>číst (v-w333f5)</v>
      </c>
    </row>
    <row r="73154" customFormat="false" ht="12.8" hidden="false" customHeight="false" outlineLevel="0" collapsed="false">
      <c r="B73154" s="0" t="s">
        <v>7</v>
      </c>
      <c r="C73154" s="0" t="s">
        <v>2668</v>
      </c>
      <c r="D73154" s="0" t="s">
        <v>13404</v>
      </c>
      <c r="E73154" s="0" t="s">
        <v>13404</v>
      </c>
      <c r="F73154" s="0" t="s">
        <v>13404</v>
      </c>
    </row>
    <row r="73155" customFormat="false" ht="12.8" hidden="false" customHeight="false" outlineLevel="0" collapsed="false">
      <c r="B73155" s="0" t="s">
        <v>14</v>
      </c>
      <c r="C73155" s="0" t="s">
        <v>12395</v>
      </c>
      <c r="D73155" s="0" t="s">
        <v>13406</v>
      </c>
      <c r="E73155" s="0" t="s">
        <v>13406</v>
      </c>
      <c r="F73155" s="0" t="s">
        <v>13406</v>
      </c>
    </row>
    <row r="73157" customFormat="false" ht="12.8" hidden="false" customHeight="false" outlineLevel="0" collapsed="false">
      <c r="A73157" s="0" t="s">
        <v>24763</v>
      </c>
      <c r="B73157" s="0" t="str">
        <f aca="false">HYPERLINK("https://lindat.mff.cuni.cz/services/teitok/pdtc10/index.php?action=vallex&amp;frame=v-w333f2", "číst (v-w333f2)")</f>
        <v>číst (v-w333f2)</v>
      </c>
    </row>
    <row r="73158" customFormat="false" ht="12.8" hidden="false" customHeight="false" outlineLevel="0" collapsed="false">
      <c r="B73158" s="0" t="s">
        <v>7</v>
      </c>
      <c r="C73158" s="0" t="s">
        <v>2668</v>
      </c>
      <c r="D73158" s="0" t="s">
        <v>410</v>
      </c>
      <c r="E73158" s="0" t="s">
        <v>410</v>
      </c>
      <c r="F73158" s="0" t="s">
        <v>410</v>
      </c>
    </row>
    <row r="73159" customFormat="false" ht="12.8" hidden="false" customHeight="false" outlineLevel="0" collapsed="false">
      <c r="B73159" s="0" t="s">
        <v>12807</v>
      </c>
      <c r="C73159" s="0" t="s">
        <v>2710</v>
      </c>
      <c r="D73159" s="0" t="s">
        <v>12809</v>
      </c>
      <c r="E73159" s="0" t="s">
        <v>12809</v>
      </c>
      <c r="F73159" s="0" t="s">
        <v>12809</v>
      </c>
    </row>
    <row r="73160" customFormat="false" ht="12.8" hidden="false" customHeight="false" outlineLevel="0" collapsed="false">
      <c r="B73160" s="0" t="s">
        <v>363</v>
      </c>
      <c r="D73160" s="0" t="s">
        <v>12810</v>
      </c>
      <c r="E73160" s="0" t="s">
        <v>12810</v>
      </c>
      <c r="F73160" s="0" t="s">
        <v>12810</v>
      </c>
    </row>
    <row r="73161" customFormat="false" ht="12.8" hidden="false" customHeight="false" outlineLevel="0" collapsed="false">
      <c r="B73161" s="0" t="s">
        <v>106</v>
      </c>
      <c r="C73161" s="0" t="s">
        <v>1165</v>
      </c>
      <c r="D73161" s="0" t="s">
        <v>1165</v>
      </c>
      <c r="E73161" s="0" t="s">
        <v>1165</v>
      </c>
      <c r="F73161" s="0" t="s">
        <v>1165</v>
      </c>
    </row>
    <row r="73163" customFormat="false" ht="12.8" hidden="false" customHeight="false" outlineLevel="0" collapsed="false">
      <c r="A73163" s="0" t="s">
        <v>24764</v>
      </c>
      <c r="B73163" s="0" t="str">
        <f aca="false">HYPERLINK("https://lindat.mff.cuni.cz/services/teitok/pdtc10/index.php?action=vallex&amp;frame=v-w333f3", "číst (v-w333f3)")</f>
        <v>číst (v-w333f3)</v>
      </c>
    </row>
    <row r="73164" customFormat="false" ht="12.8" hidden="false" customHeight="false" outlineLevel="0" collapsed="false">
      <c r="B73164" s="0" t="s">
        <v>7</v>
      </c>
    </row>
    <row r="73166" customFormat="false" ht="12.8" hidden="false" customHeight="false" outlineLevel="0" collapsed="false">
      <c r="A73166" s="0" t="s">
        <v>24765</v>
      </c>
      <c r="B73166" s="0" t="str">
        <f aca="false">HYPERLINK("https://lindat.mff.cuni.cz/services/teitok/pdtc10/index.php?action=vallex&amp;frame=v-w341f2", "čítat (v-w341f2)")</f>
        <v>čítat (v-w341f2)</v>
      </c>
    </row>
    <row r="73167" customFormat="false" ht="12.8" hidden="false" customHeight="false" outlineLevel="0" collapsed="false">
      <c r="B73167" s="0" t="s">
        <v>7</v>
      </c>
    </row>
    <row r="73168" customFormat="false" ht="12.8" hidden="false" customHeight="false" outlineLevel="0" collapsed="false">
      <c r="B73168" s="0" t="s">
        <v>14</v>
      </c>
    </row>
    <row r="73170" customFormat="false" ht="12.8" hidden="false" customHeight="false" outlineLevel="0" collapsed="false">
      <c r="A73170" s="0" t="s">
        <v>24766</v>
      </c>
      <c r="B73170" s="0" t="str">
        <f aca="false">HYPERLINK("https://lindat.mff.cuni.cz/services/teitok/pdtc10/index.php?action=vallex&amp;frame=v-w341f1", "čítat (v-w341f1)")</f>
        <v>čítat (v-w341f1)</v>
      </c>
    </row>
    <row r="73171" customFormat="false" ht="12.8" hidden="false" customHeight="false" outlineLevel="0" collapsed="false">
      <c r="B73171" s="0" t="s">
        <v>7</v>
      </c>
      <c r="C73171" s="0" t="s">
        <v>24767</v>
      </c>
      <c r="D73171" s="0" t="s">
        <v>2245</v>
      </c>
      <c r="E73171" s="0" t="s">
        <v>2245</v>
      </c>
      <c r="F73171" s="0" t="s">
        <v>2245</v>
      </c>
    </row>
    <row r="73172" customFormat="false" ht="12.8" hidden="false" customHeight="false" outlineLevel="0" collapsed="false">
      <c r="B73172" s="0" t="s">
        <v>679</v>
      </c>
      <c r="C73172" s="0" t="s">
        <v>24768</v>
      </c>
      <c r="D73172" s="0" t="s">
        <v>7716</v>
      </c>
      <c r="E73172" s="0" t="s">
        <v>7716</v>
      </c>
      <c r="F73172" s="0" t="s">
        <v>7716</v>
      </c>
    </row>
    <row r="73174" customFormat="false" ht="12.8" hidden="false" customHeight="false" outlineLevel="0" collapsed="false">
      <c r="A73174" s="0" t="s">
        <v>24769</v>
      </c>
      <c r="B73174" s="0" t="str">
        <f aca="false">HYPERLINK("https://lindat.mff.cuni.cz/services/teitok/pdtc10/index.php?action=vallex&amp;frame=v-w342f1", "čítávat (v-w342f1)")</f>
        <v>čítávat (v-w342f1)</v>
      </c>
    </row>
    <row r="73175" customFormat="false" ht="12.8" hidden="false" customHeight="false" outlineLevel="0" collapsed="false">
      <c r="B73175" s="0" t="s">
        <v>7</v>
      </c>
      <c r="D73175" s="0" t="s">
        <v>13404</v>
      </c>
      <c r="E73175" s="0" t="s">
        <v>13404</v>
      </c>
      <c r="F73175" s="0" t="s">
        <v>13404</v>
      </c>
    </row>
    <row r="73176" customFormat="false" ht="12.8" hidden="false" customHeight="false" outlineLevel="0" collapsed="false">
      <c r="B73176" s="0" t="s">
        <v>14</v>
      </c>
      <c r="D73176" s="0" t="s">
        <v>13406</v>
      </c>
      <c r="E73176" s="0" t="s">
        <v>13406</v>
      </c>
      <c r="F73176" s="0" t="s">
        <v>13406</v>
      </c>
    </row>
    <row r="73178" customFormat="false" ht="12.8" hidden="false" customHeight="false" outlineLevel="0" collapsed="false">
      <c r="A73178" s="0" t="s">
        <v>24770</v>
      </c>
      <c r="B73178" s="0" t="str">
        <f aca="false">HYPERLINK("https://lindat.mff.cuni.cz/services/teitok/pdtc10/index.php?action=vallex&amp;frame=v-whsa_2027hsa_2028", "čůrat (v-whsa_2027hsa_2028)")</f>
        <v>čůrat (v-whsa_2027hsa_2028)</v>
      </c>
    </row>
    <row r="73179" customFormat="false" ht="12.8" hidden="false" customHeight="false" outlineLevel="0" collapsed="false">
      <c r="B73179" s="0" t="s">
        <v>7</v>
      </c>
    </row>
    <row r="73181" customFormat="false" ht="12.8" hidden="false" customHeight="false" outlineLevel="0" collapsed="false">
      <c r="A73181" s="0" t="s">
        <v>24771</v>
      </c>
      <c r="B73181" s="0" t="str">
        <f aca="false">HYPERLINK("https://lindat.mff.cuni.cz/services/teitok/pdtc10/index.php?action=vallex&amp;frame=v-w5858f1", "řadit (v-w5858f1)")</f>
        <v>řadit (v-w5858f1)</v>
      </c>
    </row>
    <row r="73182" customFormat="false" ht="12.8" hidden="false" customHeight="false" outlineLevel="0" collapsed="false">
      <c r="B73182" s="0" t="s">
        <v>7</v>
      </c>
      <c r="D73182" s="0" t="s">
        <v>460</v>
      </c>
      <c r="E73182" s="0" t="s">
        <v>460</v>
      </c>
      <c r="F73182" s="0" t="s">
        <v>460</v>
      </c>
    </row>
    <row r="73183" customFormat="false" ht="12.8" hidden="false" customHeight="false" outlineLevel="0" collapsed="false">
      <c r="B73183" s="0" t="s">
        <v>14</v>
      </c>
      <c r="C73183" s="0" t="s">
        <v>1264</v>
      </c>
      <c r="D73183" s="0" t="s">
        <v>110</v>
      </c>
      <c r="E73183" s="0" t="s">
        <v>110</v>
      </c>
      <c r="F73183" s="0" t="s">
        <v>110</v>
      </c>
    </row>
    <row r="73184" customFormat="false" ht="12.8" hidden="false" customHeight="false" outlineLevel="0" collapsed="false">
      <c r="B73184" s="0" t="s">
        <v>124</v>
      </c>
      <c r="C73184" s="0" t="s">
        <v>6699</v>
      </c>
      <c r="D73184" s="0" t="s">
        <v>4660</v>
      </c>
      <c r="E73184" s="0" t="s">
        <v>4660</v>
      </c>
      <c r="F73184" s="0" t="s">
        <v>4660</v>
      </c>
    </row>
    <row r="73186" customFormat="false" ht="12.8" hidden="false" customHeight="false" outlineLevel="0" collapsed="false">
      <c r="A73186" s="0" t="s">
        <v>24772</v>
      </c>
      <c r="B73186" s="0" t="str">
        <f aca="false">HYPERLINK("https://lindat.mff.cuni.cz/services/teitok/pdtc10/index.php?action=vallex&amp;frame=v-w5858f2", "řadit (v-w5858f2)")</f>
        <v>řadit (v-w5858f2)</v>
      </c>
    </row>
    <row r="73187" customFormat="false" ht="12.8" hidden="false" customHeight="false" outlineLevel="0" collapsed="false">
      <c r="B73187" s="0" t="s">
        <v>7</v>
      </c>
      <c r="C73187" s="0" t="s">
        <v>468</v>
      </c>
      <c r="D73187" s="0" t="s">
        <v>3610</v>
      </c>
      <c r="E73187" s="0" t="s">
        <v>3610</v>
      </c>
      <c r="F73187" s="0" t="s">
        <v>3610</v>
      </c>
    </row>
    <row r="73188" customFormat="false" ht="12.8" hidden="false" customHeight="false" outlineLevel="0" collapsed="false">
      <c r="B73188" s="0" t="s">
        <v>14</v>
      </c>
      <c r="C73188" s="0" t="s">
        <v>24773</v>
      </c>
      <c r="D73188" s="0" t="s">
        <v>2887</v>
      </c>
      <c r="E73188" s="0" t="s">
        <v>2887</v>
      </c>
      <c r="F73188" s="0" t="s">
        <v>2887</v>
      </c>
    </row>
    <row r="73189" customFormat="false" ht="12.8" hidden="false" customHeight="false" outlineLevel="0" collapsed="false">
      <c r="B73189" s="0" t="s">
        <v>124</v>
      </c>
      <c r="C73189" s="0" t="s">
        <v>11954</v>
      </c>
      <c r="D73189" s="0" t="s">
        <v>24774</v>
      </c>
      <c r="E73189" s="0" t="s">
        <v>24774</v>
      </c>
      <c r="F73189" s="0" t="s">
        <v>24774</v>
      </c>
    </row>
    <row r="73191" customFormat="false" ht="12.8" hidden="false" customHeight="false" outlineLevel="0" collapsed="false">
      <c r="A73191" s="0" t="s">
        <v>24775</v>
      </c>
      <c r="B73191" s="0" t="str">
        <f aca="false">HYPERLINK("https://lindat.mff.cuni.cz/services/teitok/pdtc10/index.php?action=vallex&amp;frame=v-w5858f3", "řadit (v-w5858f3)")</f>
        <v>řadit (v-w5858f3)</v>
      </c>
    </row>
    <row r="73192" customFormat="false" ht="12.8" hidden="false" customHeight="false" outlineLevel="0" collapsed="false">
      <c r="B73192" s="0" t="s">
        <v>7</v>
      </c>
      <c r="C73192" s="0" t="s">
        <v>396</v>
      </c>
      <c r="D73192" s="0" t="s">
        <v>396</v>
      </c>
      <c r="E73192" s="0" t="s">
        <v>396</v>
      </c>
      <c r="F73192" s="0" t="s">
        <v>396</v>
      </c>
    </row>
    <row r="73193" customFormat="false" ht="12.8" hidden="false" customHeight="false" outlineLevel="0" collapsed="false">
      <c r="B73193" s="0" t="s">
        <v>14</v>
      </c>
      <c r="D73193" s="0" t="s">
        <v>567</v>
      </c>
      <c r="E73193" s="0" t="s">
        <v>567</v>
      </c>
      <c r="F73193" s="0" t="s">
        <v>567</v>
      </c>
    </row>
    <row r="73195" customFormat="false" ht="12.8" hidden="false" customHeight="false" outlineLevel="0" collapsed="false">
      <c r="A73195" s="0" t="s">
        <v>24776</v>
      </c>
      <c r="B73195" s="0" t="str">
        <f aca="false">HYPERLINK("https://lindat.mff.cuni.cz/services/teitok/pdtc10/index.php?action=vallex&amp;frame=v-whsa_281hsa_282", "řadit se (v-whsa_281hsa_282)")</f>
        <v>řadit se (v-whsa_281hsa_282)</v>
      </c>
    </row>
    <row r="73196" customFormat="false" ht="12.8" hidden="false" customHeight="false" outlineLevel="0" collapsed="false">
      <c r="B73196" s="0" t="s">
        <v>7</v>
      </c>
      <c r="C73196" s="0" t="s">
        <v>1380</v>
      </c>
      <c r="D73196" s="0" t="s">
        <v>4767</v>
      </c>
      <c r="E73196" s="0" t="s">
        <v>4767</v>
      </c>
      <c r="F73196" s="0" t="s">
        <v>4767</v>
      </c>
    </row>
    <row r="73197" customFormat="false" ht="12.8" hidden="false" customHeight="false" outlineLevel="0" collapsed="false">
      <c r="B73197" s="0" t="s">
        <v>124</v>
      </c>
      <c r="C73197" s="0" t="s">
        <v>7179</v>
      </c>
    </row>
    <row r="73199" customFormat="false" ht="12.8" hidden="false" customHeight="false" outlineLevel="0" collapsed="false">
      <c r="A73199" s="0" t="s">
        <v>24777</v>
      </c>
      <c r="B73199" s="0" t="str">
        <f aca="false">HYPERLINK("https://lindat.mff.cuni.cz/services/teitok/pdtc10/index.php?action=vallex&amp;frame=v-whsa_281f1_ZU", "řadit se (v-whsa_281f1_ZU)")</f>
        <v>řadit se (v-whsa_281f1_ZU)</v>
      </c>
    </row>
    <row r="73200" customFormat="false" ht="12.8" hidden="false" customHeight="false" outlineLevel="0" collapsed="false">
      <c r="B73200" s="0" t="s">
        <v>7</v>
      </c>
    </row>
    <row r="73201" customFormat="false" ht="12.8" hidden="false" customHeight="false" outlineLevel="0" collapsed="false">
      <c r="B73201" s="0" t="s">
        <v>23194</v>
      </c>
    </row>
    <row r="73203" customFormat="false" ht="12.8" hidden="false" customHeight="false" outlineLevel="0" collapsed="false">
      <c r="A73203" s="0" t="s">
        <v>24778</v>
      </c>
      <c r="B73203" s="0" t="str">
        <f aca="false">HYPERLINK("https://lindat.mff.cuni.cz/services/teitok/pdtc10/index.php?action=vallex&amp;frame=v-w5864f1", "ředit (v-w5864f1)")</f>
        <v>ředit (v-w5864f1)</v>
      </c>
    </row>
    <row r="73204" customFormat="false" ht="12.8" hidden="false" customHeight="false" outlineLevel="0" collapsed="false">
      <c r="B73204" s="0" t="s">
        <v>7</v>
      </c>
    </row>
    <row r="73205" customFormat="false" ht="12.8" hidden="false" customHeight="false" outlineLevel="0" collapsed="false">
      <c r="B73205" s="0" t="s">
        <v>14</v>
      </c>
    </row>
    <row r="73207" customFormat="false" ht="12.8" hidden="false" customHeight="false" outlineLevel="0" collapsed="false">
      <c r="A73207" s="0" t="s">
        <v>24779</v>
      </c>
      <c r="B73207" s="0" t="str">
        <f aca="false">HYPERLINK("https://lindat.mff.cuni.cz/services/teitok/pdtc10/index.php?action=vallex&amp;frame=v-whsa_561f1_ZU", "řehtat se (v-whsa_561f1_ZU)")</f>
        <v>řehtat se (v-whsa_561f1_ZU)</v>
      </c>
    </row>
    <row r="73208" customFormat="false" ht="12.8" hidden="false" customHeight="false" outlineLevel="0" collapsed="false">
      <c r="B73208" s="0" t="s">
        <v>7</v>
      </c>
    </row>
    <row r="73209" customFormat="false" ht="12.8" hidden="false" customHeight="false" outlineLevel="0" collapsed="false">
      <c r="B73209" s="0" t="s">
        <v>63</v>
      </c>
    </row>
    <row r="73211" customFormat="false" ht="12.8" hidden="false" customHeight="false" outlineLevel="0" collapsed="false">
      <c r="A73211" s="0" t="s">
        <v>24779</v>
      </c>
      <c r="B73211" s="0" t="str">
        <f aca="false">HYPERLINK("https://lindat.mff.cuni.cz/services/teitok/pdtc10/index.php?action=vallex&amp;frame=v-whsb_561hsa_562", "řehtat se (v-whsb_561hsa_562) - substituted with v-whsa_561f1_ZU")</f>
        <v>řehtat se (v-whsb_561hsa_562) - substituted with v-whsa_561f1_ZU</v>
      </c>
    </row>
    <row r="73212" customFormat="false" ht="12.8" hidden="false" customHeight="false" outlineLevel="0" collapsed="false">
      <c r="B73212" s="0" t="s">
        <v>7</v>
      </c>
    </row>
    <row r="73213" customFormat="false" ht="12.8" hidden="false" customHeight="false" outlineLevel="0" collapsed="false">
      <c r="B73213" s="0" t="s">
        <v>63</v>
      </c>
    </row>
    <row r="73215" customFormat="false" ht="12.8" hidden="false" customHeight="false" outlineLevel="0" collapsed="false">
      <c r="A73215" s="0" t="s">
        <v>24780</v>
      </c>
      <c r="B73215" s="0" t="str">
        <f aca="false">HYPERLINK("https://lindat.mff.cuni.cz/services/teitok/pdtc10/index.php?action=vallex&amp;frame=v-w5873f1", "řezat (v-w5873f1)")</f>
        <v>řezat (v-w5873f1)</v>
      </c>
    </row>
    <row r="73216" customFormat="false" ht="12.8" hidden="false" customHeight="false" outlineLevel="0" collapsed="false">
      <c r="B73216" s="0" t="s">
        <v>7</v>
      </c>
      <c r="D73216" s="0" t="s">
        <v>4939</v>
      </c>
      <c r="E73216" s="0" t="s">
        <v>4939</v>
      </c>
      <c r="F73216" s="0" t="s">
        <v>4939</v>
      </c>
    </row>
    <row r="73217" customFormat="false" ht="12.8" hidden="false" customHeight="false" outlineLevel="0" collapsed="false">
      <c r="B73217" s="0" t="s">
        <v>14</v>
      </c>
      <c r="D73217" s="0" t="s">
        <v>4940</v>
      </c>
      <c r="E73217" s="0" t="s">
        <v>4940</v>
      </c>
      <c r="F73217" s="0" t="s">
        <v>4940</v>
      </c>
    </row>
    <row r="73218" customFormat="false" ht="12.8" hidden="false" customHeight="false" outlineLevel="0" collapsed="false">
      <c r="B73218" s="0" t="s">
        <v>4978</v>
      </c>
      <c r="D73218" s="0" t="s">
        <v>4941</v>
      </c>
      <c r="E73218" s="0" t="s">
        <v>4941</v>
      </c>
      <c r="F73218" s="0" t="s">
        <v>4941</v>
      </c>
    </row>
    <row r="73220" customFormat="false" ht="12.8" hidden="false" customHeight="false" outlineLevel="0" collapsed="false">
      <c r="A73220" s="0" t="s">
        <v>24781</v>
      </c>
      <c r="B73220" s="0" t="str">
        <f aca="false">HYPERLINK("https://lindat.mff.cuni.cz/services/teitok/pdtc10/index.php?action=vallex&amp;frame=v-w5873f2_ZU", "řezat (v-w5873f2_ZU)")</f>
        <v>řezat (v-w5873f2_ZU)</v>
      </c>
    </row>
    <row r="73221" customFormat="false" ht="12.8" hidden="false" customHeight="false" outlineLevel="0" collapsed="false">
      <c r="B73221" s="0" t="s">
        <v>199</v>
      </c>
    </row>
    <row r="73222" customFormat="false" ht="12.8" hidden="false" customHeight="false" outlineLevel="0" collapsed="false">
      <c r="B73222" s="0" t="s">
        <v>328</v>
      </c>
    </row>
    <row r="73224" customFormat="false" ht="12.8" hidden="false" customHeight="false" outlineLevel="0" collapsed="false">
      <c r="A73224" s="0" t="s">
        <v>24782</v>
      </c>
      <c r="B73224" s="0" t="str">
        <f aca="false">HYPERLINK("https://lindat.mff.cuni.cz/services/teitok/pdtc10/index.php?action=vallex&amp;frame=v-w5873f3_ZU", "řezat (v-w5873f3_ZU)")</f>
        <v>řezat (v-w5873f3_ZU)</v>
      </c>
    </row>
    <row r="73225" customFormat="false" ht="12.8" hidden="false" customHeight="false" outlineLevel="0" collapsed="false">
      <c r="B73225" s="0" t="s">
        <v>7</v>
      </c>
    </row>
    <row r="73226" customFormat="false" ht="12.8" hidden="false" customHeight="false" outlineLevel="0" collapsed="false">
      <c r="B73226" s="0" t="s">
        <v>14</v>
      </c>
    </row>
    <row r="73228" customFormat="false" ht="12.8" hidden="false" customHeight="false" outlineLevel="0" collapsed="false">
      <c r="A73228" s="0" t="s">
        <v>24783</v>
      </c>
      <c r="B73228" s="0" t="str">
        <f aca="false">HYPERLINK("https://lindat.mff.cuni.cz/services/teitok/pdtc10/index.php?action=vallex&amp;frame=v-whsa_856f1_ZU", "řečnit (v-whsa_856f1_ZU)")</f>
        <v>řečnit (v-whsa_856f1_ZU)</v>
      </c>
    </row>
    <row r="73229" customFormat="false" ht="12.8" hidden="false" customHeight="false" outlineLevel="0" collapsed="false">
      <c r="B73229" s="0" t="s">
        <v>7</v>
      </c>
    </row>
    <row r="73230" customFormat="false" ht="12.8" hidden="false" customHeight="false" outlineLevel="0" collapsed="false">
      <c r="B73230" s="0" t="s">
        <v>244</v>
      </c>
    </row>
    <row r="73231" customFormat="false" ht="12.8" hidden="false" customHeight="false" outlineLevel="0" collapsed="false">
      <c r="B73231" s="0" t="s">
        <v>10221</v>
      </c>
    </row>
    <row r="73233" customFormat="false" ht="12.8" hidden="false" customHeight="false" outlineLevel="0" collapsed="false">
      <c r="A73233" s="0" t="s">
        <v>24783</v>
      </c>
      <c r="B73233" s="0" t="str">
        <f aca="false">HYPERLINK("https://lindat.mff.cuni.cz/services/teitok/pdtc10/index.php?action=vallex&amp;frame=v-whsa_856hsa_857", "řečnit (v-whsa_856hsa_857) - substituted with v-whsa_856f1_ZU")</f>
        <v>řečnit (v-whsa_856hsa_857) - substituted with v-whsa_856f1_ZU</v>
      </c>
    </row>
    <row r="73234" customFormat="false" ht="12.8" hidden="false" customHeight="false" outlineLevel="0" collapsed="false">
      <c r="B73234" s="0" t="s">
        <v>7</v>
      </c>
    </row>
    <row r="73235" customFormat="false" ht="12.8" hidden="false" customHeight="false" outlineLevel="0" collapsed="false">
      <c r="B73235" s="0" t="s">
        <v>244</v>
      </c>
    </row>
    <row r="73236" customFormat="false" ht="12.8" hidden="false" customHeight="false" outlineLevel="0" collapsed="false">
      <c r="B73236" s="0" t="s">
        <v>10221</v>
      </c>
    </row>
    <row r="73238" customFormat="false" ht="12.8" hidden="false" customHeight="false" outlineLevel="0" collapsed="false">
      <c r="A73238" s="0" t="s">
        <v>24784</v>
      </c>
      <c r="B73238" s="0" t="str">
        <f aca="false">HYPERLINK("https://lindat.mff.cuni.cz/services/teitok/pdtc10/index.php?action=vallex&amp;frame=v-w5870f1", "řešit (v-w5870f1)")</f>
        <v>řešit (v-w5870f1)</v>
      </c>
    </row>
    <row r="73239" customFormat="false" ht="12.8" hidden="false" customHeight="false" outlineLevel="0" collapsed="false">
      <c r="B73239" s="0" t="s">
        <v>7</v>
      </c>
      <c r="C73239" s="0" t="s">
        <v>24785</v>
      </c>
      <c r="D73239" s="0" t="s">
        <v>2737</v>
      </c>
      <c r="E73239" s="0" t="s">
        <v>2737</v>
      </c>
      <c r="F73239" s="0" t="s">
        <v>2737</v>
      </c>
    </row>
    <row r="73240" customFormat="false" ht="12.8" hidden="false" customHeight="false" outlineLevel="0" collapsed="false">
      <c r="B73240" s="0" t="s">
        <v>2030</v>
      </c>
      <c r="C73240" s="0" t="s">
        <v>24786</v>
      </c>
      <c r="D73240" s="0" t="s">
        <v>2740</v>
      </c>
      <c r="E73240" s="0" t="s">
        <v>2740</v>
      </c>
      <c r="F73240" s="0" t="s">
        <v>2740</v>
      </c>
    </row>
    <row r="73242" customFormat="false" ht="12.8" hidden="false" customHeight="false" outlineLevel="0" collapsed="false">
      <c r="A73242" s="0" t="s">
        <v>24787</v>
      </c>
      <c r="B73242" s="0" t="str">
        <f aca="false">HYPERLINK("https://lindat.mff.cuni.cz/services/teitok/pdtc10/index.php?action=vallex&amp;frame=v-w5870f2", "řešit (v-w5870f2)")</f>
        <v>řešit (v-w5870f2)</v>
      </c>
    </row>
    <row r="73243" customFormat="false" ht="12.8" hidden="false" customHeight="false" outlineLevel="0" collapsed="false">
      <c r="B73243" s="0" t="s">
        <v>7</v>
      </c>
    </row>
    <row r="73244" customFormat="false" ht="12.8" hidden="false" customHeight="false" outlineLevel="0" collapsed="false">
      <c r="B73244" s="0" t="s">
        <v>14</v>
      </c>
    </row>
    <row r="73246" customFormat="false" ht="12.8" hidden="false" customHeight="false" outlineLevel="0" collapsed="false">
      <c r="A73246" s="0" t="s">
        <v>24788</v>
      </c>
      <c r="B73246" s="0" t="str">
        <f aca="false">HYPERLINK("https://lindat.mff.cuni.cz/services/teitok/pdtc10/index.php?action=vallex&amp;frame=v-w10981f2", "řinčet (v-w10981f2)")</f>
        <v>řinčet (v-w10981f2)</v>
      </c>
    </row>
    <row r="73247" customFormat="false" ht="12.8" hidden="false" customHeight="false" outlineLevel="0" collapsed="false">
      <c r="B73247" s="0" t="s">
        <v>7</v>
      </c>
      <c r="D73247" s="0" t="s">
        <v>1380</v>
      </c>
      <c r="E73247" s="0" t="s">
        <v>1380</v>
      </c>
      <c r="F73247" s="0" t="s">
        <v>1380</v>
      </c>
    </row>
    <row r="73248" customFormat="false" ht="12.8" hidden="false" customHeight="false" outlineLevel="0" collapsed="false">
      <c r="B73248" s="0" t="s">
        <v>216</v>
      </c>
      <c r="D73248" s="0" t="s">
        <v>115</v>
      </c>
      <c r="E73248" s="0" t="s">
        <v>115</v>
      </c>
      <c r="F73248" s="0" t="s">
        <v>115</v>
      </c>
    </row>
    <row r="73250" customFormat="false" ht="12.8" hidden="false" customHeight="false" outlineLevel="0" collapsed="false">
      <c r="A73250" s="0" t="s">
        <v>24789</v>
      </c>
      <c r="B73250" s="0" t="str">
        <f aca="false">HYPERLINK("https://lindat.mff.cuni.cz/services/teitok/pdtc10/index.php?action=vallex&amp;frame=v-w5889f1", "řvát (v-w5889f1)")</f>
        <v>řvát (v-w5889f1)</v>
      </c>
    </row>
    <row r="73251" customFormat="false" ht="12.8" hidden="false" customHeight="false" outlineLevel="0" collapsed="false">
      <c r="B73251" s="0" t="s">
        <v>7</v>
      </c>
      <c r="C73251" s="0" t="s">
        <v>113</v>
      </c>
      <c r="D73251" s="0" t="s">
        <v>3051</v>
      </c>
      <c r="E73251" s="0" t="s">
        <v>3051</v>
      </c>
      <c r="F73251" s="0" t="s">
        <v>3051</v>
      </c>
    </row>
    <row r="73252" customFormat="false" ht="12.8" hidden="false" customHeight="false" outlineLevel="0" collapsed="false">
      <c r="B73252" s="0" t="s">
        <v>23144</v>
      </c>
      <c r="C73252" s="0" t="s">
        <v>115</v>
      </c>
      <c r="D73252" s="0" t="s">
        <v>466</v>
      </c>
      <c r="E73252" s="0" t="s">
        <v>466</v>
      </c>
      <c r="F73252" s="0" t="s">
        <v>466</v>
      </c>
    </row>
    <row r="73253" customFormat="false" ht="12.8" hidden="false" customHeight="false" outlineLevel="0" collapsed="false">
      <c r="B73253" s="0" t="s">
        <v>4101</v>
      </c>
      <c r="D73253" s="0" t="s">
        <v>4154</v>
      </c>
      <c r="E73253" s="0" t="s">
        <v>4154</v>
      </c>
      <c r="F73253" s="0" t="s">
        <v>4154</v>
      </c>
    </row>
    <row r="73255" customFormat="false" ht="12.8" hidden="false" customHeight="false" outlineLevel="0" collapsed="false">
      <c r="A73255" s="0" t="s">
        <v>24790</v>
      </c>
      <c r="B73255" s="0" t="str">
        <f aca="false">HYPERLINK("https://lindat.mff.cuni.cz/services/teitok/pdtc10/index.php?action=vallex&amp;frame=v-w5889hsa_1812", "řvát (v-w5889hsa_1812)")</f>
        <v>řvát (v-w5889hsa_1812)</v>
      </c>
    </row>
    <row r="73256" customFormat="false" ht="12.8" hidden="false" customHeight="false" outlineLevel="0" collapsed="false">
      <c r="B73256" s="0" t="s">
        <v>7</v>
      </c>
    </row>
    <row r="73258" customFormat="false" ht="12.8" hidden="false" customHeight="false" outlineLevel="0" collapsed="false">
      <c r="A73258" s="0" t="s">
        <v>24791</v>
      </c>
      <c r="B73258" s="0" t="str">
        <f aca="false">HYPERLINK("https://lindat.mff.cuni.cz/services/teitok/pdtc10/index.php?action=vallex&amp;frame=v-w5859f1", "řádit (v-w5859f1)")</f>
        <v>řádit (v-w5859f1)</v>
      </c>
    </row>
    <row r="73259" customFormat="false" ht="12.8" hidden="false" customHeight="false" outlineLevel="0" collapsed="false">
      <c r="B73259" s="0" t="s">
        <v>7</v>
      </c>
    </row>
    <row r="73261" customFormat="false" ht="12.8" hidden="false" customHeight="false" outlineLevel="0" collapsed="false">
      <c r="A73261" s="0" t="s">
        <v>24792</v>
      </c>
      <c r="B73261" s="0" t="str">
        <f aca="false">HYPERLINK("https://lindat.mff.cuni.cz/services/teitok/pdtc10/index.php?action=vallex&amp;frame=v-w5874f8", "říci (v-w5874f8)")</f>
        <v>říci (v-w5874f8)</v>
      </c>
    </row>
    <row r="73262" customFormat="false" ht="12.8" hidden="false" customHeight="false" outlineLevel="0" collapsed="false">
      <c r="B73262" s="0" t="s">
        <v>7</v>
      </c>
      <c r="C73262" s="0" t="s">
        <v>6263</v>
      </c>
    </row>
    <row r="73263" customFormat="false" ht="12.8" hidden="false" customHeight="false" outlineLevel="0" collapsed="false">
      <c r="B73263" s="0" t="s">
        <v>24793</v>
      </c>
      <c r="C73263" s="0" t="s">
        <v>6266</v>
      </c>
    </row>
    <row r="73264" customFormat="false" ht="12.8" hidden="false" customHeight="false" outlineLevel="0" collapsed="false">
      <c r="B73264" s="0" t="s">
        <v>48</v>
      </c>
      <c r="C73264" s="0" t="s">
        <v>6264</v>
      </c>
    </row>
    <row r="73266" customFormat="false" ht="12.8" hidden="false" customHeight="false" outlineLevel="0" collapsed="false">
      <c r="A73266" s="0" t="s">
        <v>24794</v>
      </c>
      <c r="B73266" s="0" t="str">
        <f aca="false">HYPERLINK("https://lindat.mff.cuni.cz/services/teitok/pdtc10/index.php?action=vallex&amp;frame=v-w5874f6", "říci (v-w5874f6)")</f>
        <v>říci (v-w5874f6)</v>
      </c>
    </row>
    <row r="73267" customFormat="false" ht="12.8" hidden="false" customHeight="false" outlineLevel="0" collapsed="false">
      <c r="B73267" s="0" t="s">
        <v>7</v>
      </c>
    </row>
    <row r="73268" customFormat="false" ht="12.8" hidden="false" customHeight="false" outlineLevel="0" collapsed="false">
      <c r="B73268" s="0" t="s">
        <v>615</v>
      </c>
    </row>
    <row r="73269" customFormat="false" ht="12.8" hidden="false" customHeight="false" outlineLevel="0" collapsed="false">
      <c r="B73269" s="0" t="s">
        <v>48</v>
      </c>
    </row>
    <row r="73271" customFormat="false" ht="12.8" hidden="false" customHeight="false" outlineLevel="0" collapsed="false">
      <c r="A73271" s="0" t="s">
        <v>24795</v>
      </c>
      <c r="B73271" s="0" t="str">
        <f aca="false">HYPERLINK("https://lindat.mff.cuni.cz/services/teitok/pdtc10/index.php?action=vallex&amp;frame=v-w5874f4", "říci (v-w5874f4)")</f>
        <v>říci (v-w5874f4)</v>
      </c>
    </row>
    <row r="73272" customFormat="false" ht="12.8" hidden="false" customHeight="false" outlineLevel="0" collapsed="false">
      <c r="B73272" s="0" t="s">
        <v>7</v>
      </c>
      <c r="C73272" s="0" t="s">
        <v>6263</v>
      </c>
      <c r="D73272" s="0" t="s">
        <v>164</v>
      </c>
      <c r="E73272" s="0" t="s">
        <v>164</v>
      </c>
      <c r="F73272" s="0" t="s">
        <v>164</v>
      </c>
    </row>
    <row r="73273" customFormat="false" ht="12.8" hidden="false" customHeight="false" outlineLevel="0" collapsed="false">
      <c r="B73273" s="0" t="s">
        <v>244</v>
      </c>
      <c r="C73273" s="0" t="s">
        <v>624</v>
      </c>
      <c r="D73273" s="0" t="s">
        <v>167</v>
      </c>
      <c r="E73273" s="0" t="s">
        <v>167</v>
      </c>
      <c r="F73273" s="0" t="s">
        <v>167</v>
      </c>
    </row>
    <row r="73274" customFormat="false" ht="12.8" hidden="false" customHeight="false" outlineLevel="0" collapsed="false">
      <c r="B73274" s="0" t="s">
        <v>48</v>
      </c>
      <c r="C73274" s="0" t="s">
        <v>6264</v>
      </c>
      <c r="D73274" s="0" t="s">
        <v>168</v>
      </c>
      <c r="E73274" s="0" t="s">
        <v>168</v>
      </c>
      <c r="F73274" s="0" t="s">
        <v>168</v>
      </c>
    </row>
    <row r="73276" customFormat="false" ht="12.8" hidden="false" customHeight="false" outlineLevel="0" collapsed="false">
      <c r="A73276" s="0" t="s">
        <v>24796</v>
      </c>
      <c r="B73276" s="0" t="str">
        <f aca="false">HYPERLINK("https://lindat.mff.cuni.cz/services/teitok/pdtc10/index.php?action=vallex&amp;frame=v-w5874f3", "říci (v-w5874f3)")</f>
        <v>říci (v-w5874f3)</v>
      </c>
    </row>
    <row r="73277" customFormat="false" ht="12.8" hidden="false" customHeight="false" outlineLevel="0" collapsed="false">
      <c r="B73277" s="0" t="s">
        <v>7</v>
      </c>
      <c r="C73277" s="0" t="s">
        <v>3976</v>
      </c>
      <c r="D73277" s="0" t="s">
        <v>184</v>
      </c>
      <c r="E73277" s="0" t="s">
        <v>184</v>
      </c>
      <c r="F73277" s="0" t="s">
        <v>184</v>
      </c>
    </row>
    <row r="73278" customFormat="false" ht="12.8" hidden="false" customHeight="false" outlineLevel="0" collapsed="false">
      <c r="B73278" s="0" t="s">
        <v>14</v>
      </c>
      <c r="C73278" s="0" t="s">
        <v>24797</v>
      </c>
      <c r="D73278" s="0" t="s">
        <v>47</v>
      </c>
      <c r="E73278" s="0" t="s">
        <v>47</v>
      </c>
      <c r="F73278" s="0" t="s">
        <v>47</v>
      </c>
    </row>
    <row r="73279" customFormat="false" ht="12.8" hidden="false" customHeight="false" outlineLevel="0" collapsed="false">
      <c r="B73279" s="0" t="s">
        <v>106</v>
      </c>
      <c r="C73279" s="0" t="s">
        <v>3829</v>
      </c>
    </row>
    <row r="73281" customFormat="false" ht="12.8" hidden="false" customHeight="false" outlineLevel="0" collapsed="false">
      <c r="A73281" s="0" t="s">
        <v>24798</v>
      </c>
      <c r="B73281" s="0" t="str">
        <f aca="false">HYPERLINK("https://lindat.mff.cuni.cz/services/teitok/pdtc10/index.php?action=vallex&amp;frame=v-w5874f5", "říci (v-w5874f5)")</f>
        <v>říci (v-w5874f5)</v>
      </c>
    </row>
    <row r="73282" customFormat="false" ht="12.8" hidden="false" customHeight="false" outlineLevel="0" collapsed="false">
      <c r="B73282" s="0" t="s">
        <v>7</v>
      </c>
    </row>
    <row r="73283" customFormat="false" ht="12.8" hidden="false" customHeight="false" outlineLevel="0" collapsed="false">
      <c r="B73283" s="0" t="s">
        <v>24799</v>
      </c>
    </row>
    <row r="73284" customFormat="false" ht="12.8" hidden="false" customHeight="false" outlineLevel="0" collapsed="false">
      <c r="B73284" s="0" t="s">
        <v>245</v>
      </c>
    </row>
    <row r="73286" customFormat="false" ht="12.8" hidden="false" customHeight="false" outlineLevel="0" collapsed="false">
      <c r="A73286" s="0" t="s">
        <v>24800</v>
      </c>
      <c r="B73286" s="0" t="str">
        <f aca="false">HYPERLINK("https://lindat.mff.cuni.cz/services/teitok/pdtc10/index.php?action=vallex&amp;frame=v-w5874f7", "říci (v-w5874f7)")</f>
        <v>říci (v-w5874f7)</v>
      </c>
    </row>
    <row r="73287" customFormat="false" ht="12.8" hidden="false" customHeight="false" outlineLevel="0" collapsed="false">
      <c r="B73287" s="0" t="s">
        <v>7</v>
      </c>
    </row>
    <row r="73288" customFormat="false" ht="12.8" hidden="false" customHeight="false" outlineLevel="0" collapsed="false">
      <c r="B73288" s="0" t="s">
        <v>142</v>
      </c>
    </row>
    <row r="73289" customFormat="false" ht="12.8" hidden="false" customHeight="false" outlineLevel="0" collapsed="false">
      <c r="B73289" s="0" t="s">
        <v>9147</v>
      </c>
    </row>
    <row r="73291" customFormat="false" ht="12.8" hidden="false" customHeight="false" outlineLevel="0" collapsed="false">
      <c r="A73291" s="0" t="s">
        <v>24801</v>
      </c>
      <c r="B73291" s="0" t="str">
        <f aca="false">HYPERLINK("https://lindat.mff.cuni.cz/services/teitok/pdtc10/index.php?action=vallex&amp;frame=v-w5874f12_ZU", "říci (v-w5874f12_ZU)")</f>
        <v>říci (v-w5874f12_ZU)</v>
      </c>
    </row>
    <row r="73292" customFormat="false" ht="12.8" hidden="false" customHeight="false" outlineLevel="0" collapsed="false">
      <c r="B73292" s="0" t="s">
        <v>7</v>
      </c>
    </row>
    <row r="73293" customFormat="false" ht="12.8" hidden="false" customHeight="false" outlineLevel="0" collapsed="false">
      <c r="B73293" s="0" t="s">
        <v>6428</v>
      </c>
    </row>
    <row r="73294" customFormat="false" ht="12.8" hidden="false" customHeight="false" outlineLevel="0" collapsed="false">
      <c r="B73294" s="0" t="s">
        <v>552</v>
      </c>
    </row>
    <row r="73295" customFormat="false" ht="12.8" hidden="false" customHeight="false" outlineLevel="0" collapsed="false">
      <c r="B73295" s="0" t="s">
        <v>474</v>
      </c>
    </row>
    <row r="73296" customFormat="false" ht="12.8" hidden="false" customHeight="false" outlineLevel="0" collapsed="false">
      <c r="B73296" s="0" t="s">
        <v>477</v>
      </c>
    </row>
    <row r="73297" customFormat="false" ht="12.8" hidden="false" customHeight="false" outlineLevel="0" collapsed="false">
      <c r="B73297" s="0" t="s">
        <v>479</v>
      </c>
    </row>
    <row r="73298" customFormat="false" ht="12.8" hidden="false" customHeight="false" outlineLevel="0" collapsed="false">
      <c r="B73298" s="0" t="s">
        <v>481</v>
      </c>
    </row>
    <row r="73299" customFormat="false" ht="12.8" hidden="false" customHeight="false" outlineLevel="0" collapsed="false">
      <c r="B73299" s="0" t="s">
        <v>483</v>
      </c>
    </row>
    <row r="73301" customFormat="false" ht="12.8" hidden="false" customHeight="false" outlineLevel="0" collapsed="false">
      <c r="A73301" s="0" t="s">
        <v>24801</v>
      </c>
      <c r="B73301" s="0" t="str">
        <f aca="false">HYPERLINK("https://lindat.mff.cuni.cz/services/teitok/pdtc10/index.php?action=vallex&amp;frame=v-w5874f9", "říci (v-w5874f9) - substituted with v-w5874f12_ZU")</f>
        <v>říci (v-w5874f9) - substituted with v-w5874f12_ZU</v>
      </c>
    </row>
    <row r="73302" customFormat="false" ht="12.8" hidden="false" customHeight="false" outlineLevel="0" collapsed="false">
      <c r="B73302" s="0" t="s">
        <v>7</v>
      </c>
    </row>
    <row r="73303" customFormat="false" ht="12.8" hidden="false" customHeight="false" outlineLevel="0" collapsed="false">
      <c r="B73303" s="0" t="s">
        <v>6428</v>
      </c>
    </row>
    <row r="73304" customFormat="false" ht="12.8" hidden="false" customHeight="false" outlineLevel="0" collapsed="false">
      <c r="B73304" s="0" t="s">
        <v>552</v>
      </c>
    </row>
    <row r="73305" customFormat="false" ht="12.8" hidden="false" customHeight="false" outlineLevel="0" collapsed="false">
      <c r="B73305" s="0" t="s">
        <v>474</v>
      </c>
    </row>
    <row r="73306" customFormat="false" ht="12.8" hidden="false" customHeight="false" outlineLevel="0" collapsed="false">
      <c r="B73306" s="0" t="s">
        <v>477</v>
      </c>
    </row>
    <row r="73307" customFormat="false" ht="12.8" hidden="false" customHeight="false" outlineLevel="0" collapsed="false">
      <c r="B73307" s="0" t="s">
        <v>479</v>
      </c>
    </row>
    <row r="73308" customFormat="false" ht="12.8" hidden="false" customHeight="false" outlineLevel="0" collapsed="false">
      <c r="B73308" s="0" t="s">
        <v>481</v>
      </c>
    </row>
    <row r="73309" customFormat="false" ht="12.8" hidden="false" customHeight="false" outlineLevel="0" collapsed="false">
      <c r="B73309" s="0" t="s">
        <v>483</v>
      </c>
    </row>
    <row r="73311" customFormat="false" ht="12.8" hidden="false" customHeight="false" outlineLevel="0" collapsed="false">
      <c r="A73311" s="0" t="s">
        <v>24802</v>
      </c>
      <c r="B73311" s="0" t="str">
        <f aca="false">HYPERLINK("https://lindat.mff.cuni.cz/services/teitok/pdtc10/index.php?action=vallex&amp;frame=v-w5874f15_MM", "říci (v-w5874f15_MM)")</f>
        <v>říci (v-w5874f15_MM)</v>
      </c>
    </row>
    <row r="73312" customFormat="false" ht="12.8" hidden="false" customHeight="false" outlineLevel="0" collapsed="false">
      <c r="B73312" s="0" t="s">
        <v>7</v>
      </c>
    </row>
    <row r="73313" customFormat="false" ht="12.8" hidden="false" customHeight="false" outlineLevel="0" collapsed="false">
      <c r="B73313" s="0" t="s">
        <v>48</v>
      </c>
    </row>
    <row r="73314" customFormat="false" ht="12.8" hidden="false" customHeight="false" outlineLevel="0" collapsed="false">
      <c r="B73314" s="0" t="s">
        <v>24803</v>
      </c>
    </row>
    <row r="73315" customFormat="false" ht="12.8" hidden="false" customHeight="false" outlineLevel="0" collapsed="false">
      <c r="B73315" s="0" t="s">
        <v>24804</v>
      </c>
    </row>
    <row r="73317" customFormat="false" ht="12.8" hidden="false" customHeight="false" outlineLevel="0" collapsed="false">
      <c r="A73317" s="0" t="s">
        <v>24802</v>
      </c>
      <c r="B73317" s="0" t="str">
        <f aca="false">HYPERLINK("https://lindat.mff.cuni.cz/services/teitok/pdtc10/index.php?action=vallex&amp;frame=v-w5874f1", "říci (v-w5874f1) - substituted with v-w5874f15_MM")</f>
        <v>říci (v-w5874f1) - substituted with v-w5874f15_MM</v>
      </c>
    </row>
    <row r="73318" customFormat="false" ht="12.8" hidden="false" customHeight="false" outlineLevel="0" collapsed="false">
      <c r="B73318" s="0" t="s">
        <v>7</v>
      </c>
      <c r="C73318" s="0" t="s">
        <v>24805</v>
      </c>
      <c r="D73318" s="0" t="s">
        <v>9385</v>
      </c>
      <c r="E73318" s="0" t="s">
        <v>164</v>
      </c>
      <c r="F73318" s="0" t="s">
        <v>164</v>
      </c>
    </row>
    <row r="73319" customFormat="false" ht="12.8" hidden="false" customHeight="false" outlineLevel="0" collapsed="false">
      <c r="B73319" s="0" t="s">
        <v>48</v>
      </c>
      <c r="C73319" s="0" t="s">
        <v>24806</v>
      </c>
      <c r="D73319" s="0" t="s">
        <v>9387</v>
      </c>
      <c r="E73319" s="0" t="s">
        <v>168</v>
      </c>
      <c r="F73319" s="0" t="s">
        <v>168</v>
      </c>
    </row>
    <row r="73320" customFormat="false" ht="12.8" hidden="false" customHeight="false" outlineLevel="0" collapsed="false">
      <c r="B73320" s="0" t="s">
        <v>24803</v>
      </c>
      <c r="C73320" s="0" t="s">
        <v>24807</v>
      </c>
      <c r="D73320" s="0" t="s">
        <v>9389</v>
      </c>
      <c r="E73320" s="0" t="s">
        <v>1766</v>
      </c>
      <c r="F73320" s="0" t="s">
        <v>1766</v>
      </c>
    </row>
    <row r="73321" customFormat="false" ht="12.8" hidden="false" customHeight="false" outlineLevel="0" collapsed="false">
      <c r="B73321" s="0" t="s">
        <v>24804</v>
      </c>
      <c r="C73321" s="0" t="s">
        <v>24808</v>
      </c>
      <c r="D73321" s="0" t="s">
        <v>167</v>
      </c>
      <c r="E73321" s="0" t="s">
        <v>167</v>
      </c>
      <c r="F73321" s="0" t="s">
        <v>167</v>
      </c>
    </row>
    <row r="73323" customFormat="false" ht="12.8" hidden="false" customHeight="false" outlineLevel="0" collapsed="false">
      <c r="A73323" s="0" t="s">
        <v>24802</v>
      </c>
      <c r="B73323" s="0" t="str">
        <f aca="false">HYPERLINK("https://lindat.mff.cuni.cz/services/teitok/pdtc10/index.php?action=vallex&amp;frame=v-w5874f14_ZU", "říci (v-w5874f14_ZU) - substituted with v-w5874f15_MM")</f>
        <v>říci (v-w5874f14_ZU) - substituted with v-w5874f15_MM</v>
      </c>
    </row>
    <row r="73324" customFormat="false" ht="12.8" hidden="false" customHeight="false" outlineLevel="0" collapsed="false">
      <c r="B73324" s="0" t="s">
        <v>7</v>
      </c>
    </row>
    <row r="73325" customFormat="false" ht="12.8" hidden="false" customHeight="false" outlineLevel="0" collapsed="false">
      <c r="B73325" s="0" t="s">
        <v>48</v>
      </c>
    </row>
    <row r="73326" customFormat="false" ht="12.8" hidden="false" customHeight="false" outlineLevel="0" collapsed="false">
      <c r="B73326" s="0" t="s">
        <v>24803</v>
      </c>
    </row>
    <row r="73327" customFormat="false" ht="12.8" hidden="false" customHeight="false" outlineLevel="0" collapsed="false">
      <c r="B73327" s="0" t="s">
        <v>24804</v>
      </c>
    </row>
    <row r="73329" customFormat="false" ht="12.8" hidden="false" customHeight="false" outlineLevel="0" collapsed="false">
      <c r="A73329" s="0" t="s">
        <v>24809</v>
      </c>
      <c r="B73329" s="0" t="str">
        <f aca="false">HYPERLINK("https://lindat.mff.cuni.cz/services/teitok/pdtc10/index.php?action=vallex&amp;frame=v-w5874f2", "říci (v-w5874f2)")</f>
        <v>říci (v-w5874f2)</v>
      </c>
    </row>
    <row r="73330" customFormat="false" ht="12.8" hidden="false" customHeight="false" outlineLevel="0" collapsed="false">
      <c r="B73330" s="0" t="s">
        <v>7</v>
      </c>
      <c r="D73330" s="0" t="s">
        <v>18504</v>
      </c>
    </row>
    <row r="73331" customFormat="false" ht="12.8" hidden="false" customHeight="false" outlineLevel="0" collapsed="false">
      <c r="B73331" s="0" t="s">
        <v>48</v>
      </c>
      <c r="D73331" s="0" t="s">
        <v>23222</v>
      </c>
    </row>
    <row r="73332" customFormat="false" ht="12.8" hidden="false" customHeight="false" outlineLevel="0" collapsed="false">
      <c r="B73332" s="0" t="s">
        <v>24810</v>
      </c>
      <c r="D73332" s="0" t="s">
        <v>23220</v>
      </c>
    </row>
    <row r="73333" customFormat="false" ht="12.8" hidden="false" customHeight="false" outlineLevel="0" collapsed="false">
      <c r="B73333" s="0" t="s">
        <v>63</v>
      </c>
    </row>
    <row r="73335" customFormat="false" ht="12.8" hidden="false" customHeight="false" outlineLevel="0" collapsed="false">
      <c r="A73335" s="0" t="s">
        <v>24811</v>
      </c>
      <c r="B73335" s="0" t="str">
        <f aca="false">HYPERLINK("https://lindat.mff.cuni.cz/services/teitok/pdtc10/index.php?action=vallex&amp;frame=v-w5874f10_ZU", "říci (v-w5874f10_ZU)")</f>
        <v>říci (v-w5874f10_ZU)</v>
      </c>
    </row>
    <row r="73336" customFormat="false" ht="12.8" hidden="false" customHeight="false" outlineLevel="0" collapsed="false">
      <c r="B73336" s="0" t="s">
        <v>7</v>
      </c>
    </row>
    <row r="73337" customFormat="false" ht="12.8" hidden="false" customHeight="false" outlineLevel="0" collapsed="false">
      <c r="B73337" s="0" t="s">
        <v>14</v>
      </c>
    </row>
    <row r="73338" customFormat="false" ht="12.8" hidden="false" customHeight="false" outlineLevel="0" collapsed="false">
      <c r="B73338" s="0" t="s">
        <v>106</v>
      </c>
    </row>
    <row r="73340" customFormat="false" ht="12.8" hidden="false" customHeight="false" outlineLevel="0" collapsed="false">
      <c r="A73340" s="0" t="s">
        <v>24812</v>
      </c>
      <c r="B73340" s="0" t="str">
        <f aca="false">HYPERLINK("https://lindat.mff.cuni.cz/services/teitok/pdtc10/index.php?action=vallex&amp;frame=v-w5874f13_ZU", "říci (v-w5874f13_ZU)")</f>
        <v>říci (v-w5874f13_ZU)</v>
      </c>
    </row>
    <row r="73341" customFormat="false" ht="12.8" hidden="false" customHeight="false" outlineLevel="0" collapsed="false">
      <c r="B73341" s="0" t="s">
        <v>7</v>
      </c>
    </row>
    <row r="73342" customFormat="false" ht="12.8" hidden="false" customHeight="false" outlineLevel="0" collapsed="false">
      <c r="B73342" s="0" t="s">
        <v>14</v>
      </c>
    </row>
    <row r="73343" customFormat="false" ht="12.8" hidden="false" customHeight="false" outlineLevel="0" collapsed="false">
      <c r="B73343" s="0" t="s">
        <v>24813</v>
      </c>
    </row>
    <row r="73345" customFormat="false" ht="12.8" hidden="false" customHeight="false" outlineLevel="0" collapsed="false">
      <c r="A73345" s="0" t="s">
        <v>24812</v>
      </c>
      <c r="B73345" s="0" t="str">
        <f aca="false">HYPERLINK("https://lindat.mff.cuni.cz/services/teitok/pdtc10/index.php?action=vallex&amp;frame=v-w5874f11_ZU", "říci (v-w5874f11_ZU) - substituted with v-w5874f13_ZU")</f>
        <v>říci (v-w5874f11_ZU) - substituted with v-w5874f13_ZU</v>
      </c>
    </row>
    <row r="73346" customFormat="false" ht="12.8" hidden="false" customHeight="false" outlineLevel="0" collapsed="false">
      <c r="B73346" s="0" t="s">
        <v>7</v>
      </c>
    </row>
    <row r="73347" customFormat="false" ht="12.8" hidden="false" customHeight="false" outlineLevel="0" collapsed="false">
      <c r="B73347" s="0" t="s">
        <v>14</v>
      </c>
    </row>
    <row r="73348" customFormat="false" ht="12.8" hidden="false" customHeight="false" outlineLevel="0" collapsed="false">
      <c r="B73348" s="0" t="s">
        <v>24813</v>
      </c>
    </row>
    <row r="73350" customFormat="false" ht="12.8" hidden="false" customHeight="false" outlineLevel="0" collapsed="false">
      <c r="A73350" s="0" t="s">
        <v>24814</v>
      </c>
      <c r="B73350" s="0" t="str">
        <f aca="false">HYPERLINK("https://lindat.mff.cuni.cz/services/teitok/pdtc10/index.php?action=vallex&amp;frame=v-w5874hsa_1031", "říci (v-w5874hsa_1031)")</f>
        <v>říci (v-w5874hsa_1031)</v>
      </c>
    </row>
    <row r="73351" customFormat="false" ht="12.8" hidden="false" customHeight="false" outlineLevel="0" collapsed="false">
      <c r="B73351" s="0" t="s">
        <v>7</v>
      </c>
    </row>
    <row r="73352" customFormat="false" ht="12.8" hidden="false" customHeight="false" outlineLevel="0" collapsed="false">
      <c r="B73352" s="0" t="s">
        <v>14047</v>
      </c>
    </row>
    <row r="73354" customFormat="false" ht="12.8" hidden="false" customHeight="false" outlineLevel="0" collapsed="false">
      <c r="A73354" s="0" t="s">
        <v>24815</v>
      </c>
      <c r="B73354" s="0" t="str">
        <f aca="false">HYPERLINK("https://lindat.mff.cuni.cz/services/teitok/pdtc10/index.php?action=vallex&amp;frame=v-w5875f1", "říci si (v-w5875f1)")</f>
        <v>říci si (v-w5875f1)</v>
      </c>
    </row>
    <row r="73355" customFormat="false" ht="12.8" hidden="false" customHeight="false" outlineLevel="0" collapsed="false">
      <c r="B73355" s="0" t="s">
        <v>7</v>
      </c>
      <c r="C73355" s="0" t="s">
        <v>3976</v>
      </c>
    </row>
    <row r="73356" customFormat="false" ht="12.8" hidden="false" customHeight="false" outlineLevel="0" collapsed="false">
      <c r="B73356" s="0" t="s">
        <v>24816</v>
      </c>
      <c r="C73356" s="0" t="s">
        <v>24797</v>
      </c>
    </row>
    <row r="73358" customFormat="false" ht="12.8" hidden="false" customHeight="false" outlineLevel="0" collapsed="false">
      <c r="A73358" s="0" t="s">
        <v>24817</v>
      </c>
      <c r="B73358" s="0" t="str">
        <f aca="false">HYPERLINK("https://lindat.mff.cuni.cz/services/teitok/pdtc10/index.php?action=vallex&amp;frame=v-w5875hsa_1839", "říci si (v-w5875hsa_1839)")</f>
        <v>říci si (v-w5875hsa_1839)</v>
      </c>
    </row>
    <row r="73359" customFormat="false" ht="12.8" hidden="false" customHeight="false" outlineLevel="0" collapsed="false">
      <c r="B73359" s="0" t="s">
        <v>7</v>
      </c>
    </row>
    <row r="73360" customFormat="false" ht="12.8" hidden="false" customHeight="false" outlineLevel="0" collapsed="false">
      <c r="B73360" s="0" t="s">
        <v>207</v>
      </c>
    </row>
    <row r="73361" customFormat="false" ht="12.8" hidden="false" customHeight="false" outlineLevel="0" collapsed="false">
      <c r="B73361" s="0" t="s">
        <v>1925</v>
      </c>
    </row>
    <row r="73362" customFormat="false" ht="12.8" hidden="false" customHeight="false" outlineLevel="0" collapsed="false">
      <c r="B73362" s="0" t="s">
        <v>363</v>
      </c>
    </row>
    <row r="73364" customFormat="false" ht="12.8" hidden="false" customHeight="false" outlineLevel="0" collapsed="false">
      <c r="A73364" s="0" t="s">
        <v>24818</v>
      </c>
      <c r="B73364" s="0" t="str">
        <f aca="false">HYPERLINK("https://lindat.mff.cuni.cz/services/teitok/pdtc10/index.php?action=vallex&amp;frame=v-whsa_1861hsa_1862", "říct si (v-whsa_1861hsa_1862)")</f>
        <v>říct si (v-whsa_1861hsa_1862)</v>
      </c>
    </row>
    <row r="73365" customFormat="false" ht="12.8" hidden="false" customHeight="false" outlineLevel="0" collapsed="false">
      <c r="B73365" s="0" t="s">
        <v>7</v>
      </c>
    </row>
    <row r="73366" customFormat="false" ht="12.8" hidden="false" customHeight="false" outlineLevel="0" collapsed="false">
      <c r="B73366" s="0" t="s">
        <v>207</v>
      </c>
    </row>
    <row r="73367" customFormat="false" ht="12.8" hidden="false" customHeight="false" outlineLevel="0" collapsed="false">
      <c r="B73367" s="0" t="s">
        <v>1925</v>
      </c>
    </row>
    <row r="73368" customFormat="false" ht="12.8" hidden="false" customHeight="false" outlineLevel="0" collapsed="false">
      <c r="B73368" s="0" t="s">
        <v>363</v>
      </c>
    </row>
    <row r="73370" customFormat="false" ht="12.8" hidden="false" customHeight="false" outlineLevel="0" collapsed="false">
      <c r="A73370" s="0" t="s">
        <v>24819</v>
      </c>
      <c r="B73370" s="0" t="str">
        <f aca="false">HYPERLINK("https://lindat.mff.cuni.cz/services/teitok/pdtc10/index.php?action=vallex&amp;frame=v-w5879f1", "řídit (v-w5879f1)")</f>
        <v>řídit (v-w5879f1)</v>
      </c>
    </row>
    <row r="73371" customFormat="false" ht="12.8" hidden="false" customHeight="false" outlineLevel="0" collapsed="false">
      <c r="B73371" s="0" t="s">
        <v>7</v>
      </c>
      <c r="C73371" s="0" t="s">
        <v>24820</v>
      </c>
      <c r="D73371" s="0" t="s">
        <v>1604</v>
      </c>
      <c r="E73371" s="0" t="s">
        <v>1604</v>
      </c>
      <c r="F73371" s="0" t="s">
        <v>1604</v>
      </c>
    </row>
    <row r="73372" customFormat="false" ht="12.8" hidden="false" customHeight="false" outlineLevel="0" collapsed="false">
      <c r="B73372" s="0" t="s">
        <v>14</v>
      </c>
      <c r="C73372" s="0" t="s">
        <v>24821</v>
      </c>
      <c r="D73372" s="0" t="s">
        <v>1606</v>
      </c>
      <c r="E73372" s="0" t="s">
        <v>1606</v>
      </c>
      <c r="F73372" s="0" t="s">
        <v>1606</v>
      </c>
    </row>
    <row r="73374" customFormat="false" ht="12.8" hidden="false" customHeight="false" outlineLevel="0" collapsed="false">
      <c r="A73374" s="0" t="s">
        <v>24822</v>
      </c>
      <c r="B73374" s="0" t="str">
        <f aca="false">HYPERLINK("https://lindat.mff.cuni.cz/services/teitok/pdtc10/index.php?action=vallex&amp;frame=v-w5879f2", "řídit (v-w5879f2)")</f>
        <v>řídit (v-w5879f2)</v>
      </c>
    </row>
    <row r="73375" customFormat="false" ht="12.8" hidden="false" customHeight="false" outlineLevel="0" collapsed="false">
      <c r="B73375" s="0" t="s">
        <v>7</v>
      </c>
      <c r="C73375" s="0" t="s">
        <v>24823</v>
      </c>
      <c r="D73375" s="0" t="s">
        <v>569</v>
      </c>
      <c r="E73375" s="0" t="s">
        <v>569</v>
      </c>
      <c r="F73375" s="0" t="s">
        <v>569</v>
      </c>
    </row>
    <row r="73376" customFormat="false" ht="12.8" hidden="false" customHeight="false" outlineLevel="0" collapsed="false">
      <c r="B73376" s="0" t="s">
        <v>14</v>
      </c>
      <c r="C73376" s="0" t="s">
        <v>3599</v>
      </c>
      <c r="D73376" s="0" t="s">
        <v>78</v>
      </c>
      <c r="E73376" s="0" t="s">
        <v>78</v>
      </c>
      <c r="F73376" s="0" t="s">
        <v>78</v>
      </c>
    </row>
    <row r="73378" customFormat="false" ht="12.8" hidden="false" customHeight="false" outlineLevel="0" collapsed="false">
      <c r="A73378" s="0" t="s">
        <v>24824</v>
      </c>
      <c r="B73378" s="0" t="str">
        <f aca="false">HYPERLINK("https://lindat.mff.cuni.cz/services/teitok/pdtc10/index.php?action=vallex&amp;frame=v-w5879hsa_84", "řídit (v-w5879hsa_84)")</f>
        <v>řídit (v-w5879hsa_84)</v>
      </c>
    </row>
    <row r="73379" customFormat="false" ht="12.8" hidden="false" customHeight="false" outlineLevel="0" collapsed="false">
      <c r="B73379" s="0" t="s">
        <v>7</v>
      </c>
    </row>
    <row r="73380" customFormat="false" ht="12.8" hidden="false" customHeight="false" outlineLevel="0" collapsed="false">
      <c r="B73380" s="0" t="s">
        <v>14</v>
      </c>
    </row>
    <row r="73382" customFormat="false" ht="12.8" hidden="false" customHeight="false" outlineLevel="0" collapsed="false">
      <c r="A73382" s="0" t="s">
        <v>24825</v>
      </c>
      <c r="B73382" s="0" t="str">
        <f aca="false">HYPERLINK("https://lindat.mff.cuni.cz/services/teitok/pdtc10/index.php?action=vallex&amp;frame=v-w5880f1", "řídit se (v-w5880f1)")</f>
        <v>řídit se (v-w5880f1)</v>
      </c>
    </row>
    <row r="73383" customFormat="false" ht="12.8" hidden="false" customHeight="false" outlineLevel="0" collapsed="false">
      <c r="B73383" s="0" t="s">
        <v>7</v>
      </c>
      <c r="C73383" s="0" t="s">
        <v>24826</v>
      </c>
      <c r="D73383" s="0" t="s">
        <v>1419</v>
      </c>
      <c r="E73383" s="0" t="s">
        <v>1419</v>
      </c>
      <c r="F73383" s="0" t="s">
        <v>1419</v>
      </c>
    </row>
    <row r="73384" customFormat="false" ht="12.8" hidden="false" customHeight="false" outlineLevel="0" collapsed="false">
      <c r="B73384" s="0" t="s">
        <v>24827</v>
      </c>
      <c r="C73384" s="0" t="s">
        <v>24828</v>
      </c>
      <c r="D73384" s="0" t="s">
        <v>1420</v>
      </c>
      <c r="E73384" s="0" t="s">
        <v>1420</v>
      </c>
      <c r="F73384" s="0" t="s">
        <v>1420</v>
      </c>
    </row>
    <row r="73386" customFormat="false" ht="12.8" hidden="false" customHeight="false" outlineLevel="0" collapsed="false">
      <c r="A73386" s="0" t="s">
        <v>24829</v>
      </c>
      <c r="B73386" s="0" t="str">
        <f aca="false">HYPERLINK("https://lindat.mff.cuni.cz/services/teitok/pdtc10/index.php?action=vallex&amp;frame=v-w5881f1", "řídnout (v-w5881f1)")</f>
        <v>řídnout (v-w5881f1)</v>
      </c>
    </row>
    <row r="73387" customFormat="false" ht="12.8" hidden="false" customHeight="false" outlineLevel="0" collapsed="false">
      <c r="B73387" s="0" t="s">
        <v>7</v>
      </c>
    </row>
    <row r="73389" customFormat="false" ht="12.8" hidden="false" customHeight="false" outlineLevel="0" collapsed="false">
      <c r="A73389" s="0" t="s">
        <v>24830</v>
      </c>
      <c r="B73389" s="0" t="str">
        <f aca="false">HYPERLINK("https://lindat.mff.cuni.cz/services/teitok/pdtc10/index.php?action=vallex&amp;frame=v-w5882f8", "říkat (v-w5882f8)")</f>
        <v>říkat (v-w5882f8)</v>
      </c>
    </row>
    <row r="73390" customFormat="false" ht="12.8" hidden="false" customHeight="false" outlineLevel="0" collapsed="false">
      <c r="B73390" s="0" t="s">
        <v>7</v>
      </c>
    </row>
    <row r="73391" customFormat="false" ht="12.8" hidden="false" customHeight="false" outlineLevel="0" collapsed="false">
      <c r="B73391" s="0" t="s">
        <v>615</v>
      </c>
    </row>
    <row r="73392" customFormat="false" ht="12.8" hidden="false" customHeight="false" outlineLevel="0" collapsed="false">
      <c r="B73392" s="0" t="s">
        <v>48</v>
      </c>
    </row>
    <row r="73394" customFormat="false" ht="12.8" hidden="false" customHeight="false" outlineLevel="0" collapsed="false">
      <c r="A73394" s="0" t="s">
        <v>24831</v>
      </c>
      <c r="B73394" s="0" t="str">
        <f aca="false">HYPERLINK("https://lindat.mff.cuni.cz/services/teitok/pdtc10/index.php?action=vallex&amp;frame=v-w5882f7", "říkat (v-w5882f7)")</f>
        <v>říkat (v-w5882f7)</v>
      </c>
    </row>
    <row r="73395" customFormat="false" ht="12.8" hidden="false" customHeight="false" outlineLevel="0" collapsed="false">
      <c r="B73395" s="0" t="s">
        <v>7</v>
      </c>
      <c r="D73395" s="0" t="s">
        <v>18504</v>
      </c>
    </row>
    <row r="73396" customFormat="false" ht="12.8" hidden="false" customHeight="false" outlineLevel="0" collapsed="false">
      <c r="B73396" s="0" t="s">
        <v>244</v>
      </c>
      <c r="D73396" s="0" t="s">
        <v>24832</v>
      </c>
    </row>
    <row r="73397" customFormat="false" ht="12.8" hidden="false" customHeight="false" outlineLevel="0" collapsed="false">
      <c r="B73397" s="0" t="s">
        <v>48</v>
      </c>
      <c r="D73397" s="0" t="s">
        <v>23222</v>
      </c>
    </row>
    <row r="73399" customFormat="false" ht="12.8" hidden="false" customHeight="false" outlineLevel="0" collapsed="false">
      <c r="A73399" s="0" t="s">
        <v>24833</v>
      </c>
      <c r="B73399" s="0" t="str">
        <f aca="false">HYPERLINK("https://lindat.mff.cuni.cz/services/teitok/pdtc10/index.php?action=vallex&amp;frame=v-w5882f3", "říkat (v-w5882f3)")</f>
        <v>říkat (v-w5882f3)</v>
      </c>
    </row>
    <row r="73400" customFormat="false" ht="12.8" hidden="false" customHeight="false" outlineLevel="0" collapsed="false">
      <c r="B73400" s="0" t="s">
        <v>7</v>
      </c>
      <c r="D73400" s="0" t="s">
        <v>184</v>
      </c>
      <c r="E73400" s="0" t="s">
        <v>184</v>
      </c>
      <c r="F73400" s="0" t="s">
        <v>184</v>
      </c>
    </row>
    <row r="73401" customFormat="false" ht="12.8" hidden="false" customHeight="false" outlineLevel="0" collapsed="false">
      <c r="B73401" s="0" t="s">
        <v>14</v>
      </c>
      <c r="D73401" s="0" t="s">
        <v>47</v>
      </c>
      <c r="E73401" s="0" t="s">
        <v>47</v>
      </c>
      <c r="F73401" s="0" t="s">
        <v>47</v>
      </c>
    </row>
    <row r="73402" customFormat="false" ht="12.8" hidden="false" customHeight="false" outlineLevel="0" collapsed="false">
      <c r="B73402" s="0" t="s">
        <v>106</v>
      </c>
    </row>
    <row r="73404" customFormat="false" ht="12.8" hidden="false" customHeight="false" outlineLevel="0" collapsed="false">
      <c r="A73404" s="0" t="s">
        <v>24834</v>
      </c>
      <c r="B73404" s="0" t="str">
        <f aca="false">HYPERLINK("https://lindat.mff.cuni.cz/services/teitok/pdtc10/index.php?action=vallex&amp;frame=v-w5882f14_ZU", "říkat (v-w5882f14_ZU)")</f>
        <v>říkat (v-w5882f14_ZU)</v>
      </c>
    </row>
    <row r="73405" customFormat="false" ht="12.8" hidden="false" customHeight="false" outlineLevel="0" collapsed="false">
      <c r="B73405" s="0" t="s">
        <v>7</v>
      </c>
    </row>
    <row r="73406" customFormat="false" ht="12.8" hidden="false" customHeight="false" outlineLevel="0" collapsed="false">
      <c r="B73406" s="0" t="s">
        <v>142</v>
      </c>
    </row>
    <row r="73407" customFormat="false" ht="12.8" hidden="false" customHeight="false" outlineLevel="0" collapsed="false">
      <c r="B73407" s="0" t="s">
        <v>24835</v>
      </c>
    </row>
    <row r="73409" customFormat="false" ht="12.8" hidden="false" customHeight="false" outlineLevel="0" collapsed="false">
      <c r="A73409" s="0" t="s">
        <v>24834</v>
      </c>
      <c r="B73409" s="0" t="str">
        <f aca="false">HYPERLINK("https://lindat.mff.cuni.cz/services/teitok/pdtc10/index.php?action=vallex&amp;frame=v-w5882f2", "říkat (v-w5882f2) - substituted with v-w5882f14_ZU")</f>
        <v>říkat (v-w5882f2) - substituted with v-w5882f14_ZU</v>
      </c>
    </row>
    <row r="73410" customFormat="false" ht="12.8" hidden="false" customHeight="false" outlineLevel="0" collapsed="false">
      <c r="B73410" s="0" t="s">
        <v>7</v>
      </c>
      <c r="C73410" s="0" t="s">
        <v>5513</v>
      </c>
    </row>
    <row r="73411" customFormat="false" ht="12.8" hidden="false" customHeight="false" outlineLevel="0" collapsed="false">
      <c r="B73411" s="0" t="s">
        <v>142</v>
      </c>
      <c r="C73411" s="0" t="s">
        <v>18223</v>
      </c>
    </row>
    <row r="73412" customFormat="false" ht="12.8" hidden="false" customHeight="false" outlineLevel="0" collapsed="false">
      <c r="B73412" s="0" t="s">
        <v>24835</v>
      </c>
      <c r="C73412" s="0" t="s">
        <v>9148</v>
      </c>
    </row>
    <row r="73414" customFormat="false" ht="12.8" hidden="false" customHeight="false" outlineLevel="0" collapsed="false">
      <c r="A73414" s="0" t="s">
        <v>24834</v>
      </c>
      <c r="B73414" s="0" t="str">
        <f aca="false">HYPERLINK("https://lindat.mff.cuni.cz/services/teitok/pdtc10/index.php?action=vallex&amp;frame=v-w5882f9_ZU", "říkat (v-w5882f9_ZU) - substituted with v-w5882f14_ZU")</f>
        <v>říkat (v-w5882f9_ZU) - substituted with v-w5882f14_ZU</v>
      </c>
    </row>
    <row r="73415" customFormat="false" ht="12.8" hidden="false" customHeight="false" outlineLevel="0" collapsed="false">
      <c r="B73415" s="0" t="s">
        <v>7</v>
      </c>
      <c r="C73415" s="0" t="s">
        <v>7297</v>
      </c>
      <c r="D73415" s="0" t="s">
        <v>2266</v>
      </c>
      <c r="E73415" s="0" t="s">
        <v>2266</v>
      </c>
      <c r="F73415" s="0" t="s">
        <v>2266</v>
      </c>
    </row>
    <row r="73416" customFormat="false" ht="12.8" hidden="false" customHeight="false" outlineLevel="0" collapsed="false">
      <c r="B73416" s="0" t="s">
        <v>142</v>
      </c>
      <c r="C73416" s="0" t="s">
        <v>7298</v>
      </c>
      <c r="D73416" s="0" t="s">
        <v>7292</v>
      </c>
      <c r="E73416" s="0" t="s">
        <v>7292</v>
      </c>
      <c r="F73416" s="0" t="s">
        <v>7292</v>
      </c>
    </row>
    <row r="73417" customFormat="false" ht="12.8" hidden="false" customHeight="false" outlineLevel="0" collapsed="false">
      <c r="B73417" s="0" t="s">
        <v>24835</v>
      </c>
      <c r="C73417" s="0" t="s">
        <v>9148</v>
      </c>
      <c r="D73417" s="0" t="s">
        <v>7295</v>
      </c>
      <c r="E73417" s="0" t="s">
        <v>7295</v>
      </c>
      <c r="F73417" s="0" t="s">
        <v>7295</v>
      </c>
    </row>
    <row r="73419" customFormat="false" ht="12.8" hidden="false" customHeight="false" outlineLevel="0" collapsed="false">
      <c r="A73419" s="0" t="s">
        <v>24834</v>
      </c>
      <c r="B73419" s="0" t="str">
        <f aca="false">HYPERLINK("https://lindat.mff.cuni.cz/services/teitok/pdtc10/index.php?action=vallex&amp;frame=v-w5882hsa_918", "říkat (v-w5882hsa_918) - substituted with v-w5882f14_ZU")</f>
        <v>říkat (v-w5882hsa_918) - substituted with v-w5882f14_ZU</v>
      </c>
    </row>
    <row r="73420" customFormat="false" ht="12.8" hidden="false" customHeight="false" outlineLevel="0" collapsed="false">
      <c r="B73420" s="0" t="s">
        <v>7</v>
      </c>
    </row>
    <row r="73421" customFormat="false" ht="12.8" hidden="false" customHeight="false" outlineLevel="0" collapsed="false">
      <c r="B73421" s="0" t="s">
        <v>142</v>
      </c>
    </row>
    <row r="73422" customFormat="false" ht="12.8" hidden="false" customHeight="false" outlineLevel="0" collapsed="false">
      <c r="B73422" s="0" t="s">
        <v>24835</v>
      </c>
    </row>
    <row r="73424" customFormat="false" ht="12.8" hidden="false" customHeight="false" outlineLevel="0" collapsed="false">
      <c r="A73424" s="0" t="s">
        <v>24834</v>
      </c>
      <c r="B73424" s="0" t="str">
        <f aca="false">HYPERLINK("https://lindat.mff.cuni.cz/services/teitok/pdtc10/index.php?action=vallex&amp;frame=v-w5882hsa_919", "říkat (v-w5882hsa_919) - substituted with v-w5882f14_ZU")</f>
        <v>říkat (v-w5882hsa_919) - substituted with v-w5882f14_ZU</v>
      </c>
    </row>
    <row r="73425" customFormat="false" ht="12.8" hidden="false" customHeight="false" outlineLevel="0" collapsed="false">
      <c r="B73425" s="0" t="s">
        <v>7</v>
      </c>
    </row>
    <row r="73426" customFormat="false" ht="12.8" hidden="false" customHeight="false" outlineLevel="0" collapsed="false">
      <c r="B73426" s="0" t="s">
        <v>142</v>
      </c>
    </row>
    <row r="73427" customFormat="false" ht="12.8" hidden="false" customHeight="false" outlineLevel="0" collapsed="false">
      <c r="B73427" s="0" t="s">
        <v>24835</v>
      </c>
    </row>
    <row r="73429" customFormat="false" ht="12.8" hidden="false" customHeight="false" outlineLevel="0" collapsed="false">
      <c r="A73429" s="0" t="s">
        <v>24836</v>
      </c>
      <c r="B73429" s="0" t="str">
        <f aca="false">HYPERLINK("https://lindat.mff.cuni.cz/services/teitok/pdtc10/index.php?action=vallex&amp;frame=v-w5882f13_ZU", "říkat (v-w5882f13_ZU)")</f>
        <v>říkat (v-w5882f13_ZU)</v>
      </c>
    </row>
    <row r="73430" customFormat="false" ht="12.8" hidden="false" customHeight="false" outlineLevel="0" collapsed="false">
      <c r="B73430" s="0" t="s">
        <v>7</v>
      </c>
    </row>
    <row r="73431" customFormat="false" ht="12.8" hidden="false" customHeight="false" outlineLevel="0" collapsed="false">
      <c r="B73431" s="0" t="s">
        <v>9574</v>
      </c>
    </row>
    <row r="73432" customFormat="false" ht="12.8" hidden="false" customHeight="false" outlineLevel="0" collapsed="false">
      <c r="B73432" s="0" t="s">
        <v>245</v>
      </c>
    </row>
    <row r="73434" customFormat="false" ht="12.8" hidden="false" customHeight="false" outlineLevel="0" collapsed="false">
      <c r="A73434" s="0" t="s">
        <v>24836</v>
      </c>
      <c r="B73434" s="0" t="str">
        <f aca="false">HYPERLINK("https://lindat.mff.cuni.cz/services/teitok/pdtc10/index.php?action=vallex&amp;frame=v-w5882f5", "říkat (v-w5882f5) - substituted with v-w5882f13_ZU")</f>
        <v>říkat (v-w5882f5) - substituted with v-w5882f13_ZU</v>
      </c>
    </row>
    <row r="73435" customFormat="false" ht="12.8" hidden="false" customHeight="false" outlineLevel="0" collapsed="false">
      <c r="B73435" s="0" t="s">
        <v>7</v>
      </c>
    </row>
    <row r="73436" customFormat="false" ht="12.8" hidden="false" customHeight="false" outlineLevel="0" collapsed="false">
      <c r="B73436" s="0" t="s">
        <v>9574</v>
      </c>
    </row>
    <row r="73437" customFormat="false" ht="12.8" hidden="false" customHeight="false" outlineLevel="0" collapsed="false">
      <c r="B73437" s="0" t="s">
        <v>245</v>
      </c>
    </row>
    <row r="73439" customFormat="false" ht="12.8" hidden="false" customHeight="false" outlineLevel="0" collapsed="false">
      <c r="A73439" s="0" t="s">
        <v>24837</v>
      </c>
      <c r="B73439" s="0" t="str">
        <f aca="false">HYPERLINK("https://lindat.mff.cuni.cz/services/teitok/pdtc10/index.php?action=vallex&amp;frame=v-w5882f16_ZU", "říkat (v-w5882f16_ZU)")</f>
        <v>říkat (v-w5882f16_ZU)</v>
      </c>
    </row>
    <row r="73440" customFormat="false" ht="12.8" hidden="false" customHeight="false" outlineLevel="0" collapsed="false">
      <c r="B73440" s="0" t="s">
        <v>7</v>
      </c>
    </row>
    <row r="73441" customFormat="false" ht="12.8" hidden="false" customHeight="false" outlineLevel="0" collapsed="false">
      <c r="B73441" s="0" t="s">
        <v>6428</v>
      </c>
    </row>
    <row r="73442" customFormat="false" ht="12.8" hidden="false" customHeight="false" outlineLevel="0" collapsed="false">
      <c r="B73442" s="0" t="s">
        <v>662</v>
      </c>
    </row>
    <row r="73444" customFormat="false" ht="12.8" hidden="false" customHeight="false" outlineLevel="0" collapsed="false">
      <c r="A73444" s="0" t="s">
        <v>24837</v>
      </c>
      <c r="B73444" s="0" t="str">
        <f aca="false">HYPERLINK("https://lindat.mff.cuni.cz/services/teitok/pdtc10/index.php?action=vallex&amp;frame=v-w5882f6", "říkat (v-w5882f6) - substituted with v-w5882f16_ZU")</f>
        <v>říkat (v-w5882f6) - substituted with v-w5882f16_ZU</v>
      </c>
    </row>
    <row r="73445" customFormat="false" ht="12.8" hidden="false" customHeight="false" outlineLevel="0" collapsed="false">
      <c r="B73445" s="0" t="s">
        <v>7</v>
      </c>
      <c r="C73445" s="0" t="s">
        <v>7297</v>
      </c>
    </row>
    <row r="73446" customFormat="false" ht="12.8" hidden="false" customHeight="false" outlineLevel="0" collapsed="false">
      <c r="B73446" s="0" t="s">
        <v>6428</v>
      </c>
      <c r="C73446" s="0" t="s">
        <v>7298</v>
      </c>
    </row>
    <row r="73447" customFormat="false" ht="12.8" hidden="false" customHeight="false" outlineLevel="0" collapsed="false">
      <c r="B73447" s="0" t="s">
        <v>662</v>
      </c>
      <c r="C73447" s="0" t="s">
        <v>7299</v>
      </c>
    </row>
    <row r="73449" customFormat="false" ht="12.8" hidden="false" customHeight="false" outlineLevel="0" collapsed="false">
      <c r="A73449" s="0" t="s">
        <v>24838</v>
      </c>
      <c r="B73449" s="0" t="str">
        <f aca="false">HYPERLINK("https://lindat.mff.cuni.cz/services/teitok/pdtc10/index.php?action=vallex&amp;frame=v-w5882f15_ZU", "říkat (v-w5882f15_ZU)")</f>
        <v>říkat (v-w5882f15_ZU)</v>
      </c>
    </row>
    <row r="73450" customFormat="false" ht="12.8" hidden="false" customHeight="false" outlineLevel="0" collapsed="false">
      <c r="B73450" s="0" t="s">
        <v>7</v>
      </c>
    </row>
    <row r="73451" customFormat="false" ht="12.8" hidden="false" customHeight="false" outlineLevel="0" collapsed="false">
      <c r="B73451" s="0" t="s">
        <v>24839</v>
      </c>
    </row>
    <row r="73452" customFormat="false" ht="12.8" hidden="false" customHeight="false" outlineLevel="0" collapsed="false">
      <c r="B73452" s="0" t="s">
        <v>360</v>
      </c>
    </row>
    <row r="73453" customFormat="false" ht="12.8" hidden="false" customHeight="false" outlineLevel="0" collapsed="false">
      <c r="B73453" s="0" t="s">
        <v>363</v>
      </c>
    </row>
    <row r="73455" customFormat="false" ht="12.8" hidden="false" customHeight="false" outlineLevel="0" collapsed="false">
      <c r="A73455" s="0" t="s">
        <v>24838</v>
      </c>
      <c r="B73455" s="0" t="str">
        <f aca="false">HYPERLINK("https://lindat.mff.cuni.cz/services/teitok/pdtc10/index.php?action=vallex&amp;frame=v-w5882f1", "říkat (v-w5882f1) - substituted with v-w5882f15_ZU")</f>
        <v>říkat (v-w5882f1) - substituted with v-w5882f15_ZU</v>
      </c>
    </row>
    <row r="73456" customFormat="false" ht="12.8" hidden="false" customHeight="false" outlineLevel="0" collapsed="false">
      <c r="B73456" s="0" t="s">
        <v>7</v>
      </c>
      <c r="C73456" s="0" t="s">
        <v>24840</v>
      </c>
      <c r="D73456" s="0" t="s">
        <v>9385</v>
      </c>
      <c r="E73456" s="0" t="s">
        <v>164</v>
      </c>
      <c r="F73456" s="0" t="s">
        <v>164</v>
      </c>
    </row>
    <row r="73457" customFormat="false" ht="12.8" hidden="false" customHeight="false" outlineLevel="0" collapsed="false">
      <c r="B73457" s="0" t="s">
        <v>24839</v>
      </c>
      <c r="C73457" s="0" t="s">
        <v>24841</v>
      </c>
      <c r="D73457" s="0" t="s">
        <v>9387</v>
      </c>
      <c r="E73457" s="0" t="s">
        <v>168</v>
      </c>
      <c r="F73457" s="0" t="s">
        <v>168</v>
      </c>
    </row>
    <row r="73458" customFormat="false" ht="12.8" hidden="false" customHeight="false" outlineLevel="0" collapsed="false">
      <c r="B73458" s="0" t="s">
        <v>360</v>
      </c>
      <c r="C73458" s="0" t="s">
        <v>24842</v>
      </c>
      <c r="D73458" s="0" t="s">
        <v>9389</v>
      </c>
      <c r="E73458" s="0" t="s">
        <v>1766</v>
      </c>
      <c r="F73458" s="0" t="s">
        <v>1766</v>
      </c>
    </row>
    <row r="73459" customFormat="false" ht="12.8" hidden="false" customHeight="false" outlineLevel="0" collapsed="false">
      <c r="B73459" s="0" t="s">
        <v>363</v>
      </c>
      <c r="C73459" s="0" t="s">
        <v>24843</v>
      </c>
      <c r="D73459" s="0" t="s">
        <v>167</v>
      </c>
      <c r="E73459" s="0" t="s">
        <v>167</v>
      </c>
      <c r="F73459" s="0" t="s">
        <v>167</v>
      </c>
    </row>
    <row r="73461" customFormat="false" ht="12.8" hidden="false" customHeight="false" outlineLevel="0" collapsed="false">
      <c r="A73461" s="0" t="s">
        <v>24838</v>
      </c>
      <c r="B73461" s="0" t="str">
        <f aca="false">HYPERLINK("https://lindat.mff.cuni.cz/services/teitok/pdtc10/index.php?action=vallex&amp;frame=v-w5882f12_ZU", "říkat (v-w5882f12_ZU) - substituted with v-w5882f15_ZU")</f>
        <v>říkat (v-w5882f12_ZU) - substituted with v-w5882f15_ZU</v>
      </c>
    </row>
    <row r="73462" customFormat="false" ht="12.8" hidden="false" customHeight="false" outlineLevel="0" collapsed="false">
      <c r="B73462" s="0" t="s">
        <v>7</v>
      </c>
    </row>
    <row r="73463" customFormat="false" ht="12.8" hidden="false" customHeight="false" outlineLevel="0" collapsed="false">
      <c r="B73463" s="0" t="s">
        <v>24839</v>
      </c>
    </row>
    <row r="73464" customFormat="false" ht="12.8" hidden="false" customHeight="false" outlineLevel="0" collapsed="false">
      <c r="B73464" s="0" t="s">
        <v>360</v>
      </c>
    </row>
    <row r="73465" customFormat="false" ht="12.8" hidden="false" customHeight="false" outlineLevel="0" collapsed="false">
      <c r="B73465" s="0" t="s">
        <v>363</v>
      </c>
    </row>
    <row r="73467" customFormat="false" ht="12.8" hidden="false" customHeight="false" outlineLevel="0" collapsed="false">
      <c r="A73467" s="0" t="s">
        <v>24844</v>
      </c>
      <c r="B73467" s="0" t="str">
        <f aca="false">HYPERLINK("https://lindat.mff.cuni.cz/services/teitok/pdtc10/index.php?action=vallex&amp;frame=v-w5882f4", "říkat (v-w5882f4)")</f>
        <v>říkat (v-w5882f4)</v>
      </c>
    </row>
    <row r="73468" customFormat="false" ht="12.8" hidden="false" customHeight="false" outlineLevel="0" collapsed="false">
      <c r="B73468" s="0" t="s">
        <v>7</v>
      </c>
      <c r="C73468" s="0" t="s">
        <v>3976</v>
      </c>
      <c r="D73468" s="0" t="s">
        <v>9385</v>
      </c>
      <c r="E73468" s="0" t="s">
        <v>164</v>
      </c>
      <c r="F73468" s="0" t="s">
        <v>164</v>
      </c>
    </row>
    <row r="73469" customFormat="false" ht="12.8" hidden="false" customHeight="false" outlineLevel="0" collapsed="false">
      <c r="B73469" s="0" t="s">
        <v>48</v>
      </c>
      <c r="C73469" s="0" t="s">
        <v>3829</v>
      </c>
      <c r="D73469" s="0" t="s">
        <v>9387</v>
      </c>
      <c r="E73469" s="0" t="s">
        <v>168</v>
      </c>
      <c r="F73469" s="0" t="s">
        <v>168</v>
      </c>
    </row>
    <row r="73470" customFormat="false" ht="12.8" hidden="false" customHeight="false" outlineLevel="0" collapsed="false">
      <c r="B73470" s="0" t="s">
        <v>24810</v>
      </c>
      <c r="C73470" s="0" t="s">
        <v>3978</v>
      </c>
      <c r="D73470" s="0" t="s">
        <v>9389</v>
      </c>
      <c r="E73470" s="0" t="s">
        <v>1766</v>
      </c>
      <c r="F73470" s="0" t="s">
        <v>1766</v>
      </c>
    </row>
    <row r="73471" customFormat="false" ht="12.8" hidden="false" customHeight="false" outlineLevel="0" collapsed="false">
      <c r="B73471" s="0" t="s">
        <v>63</v>
      </c>
      <c r="C73471" s="0" t="s">
        <v>1768</v>
      </c>
      <c r="D73471" s="0" t="s">
        <v>167</v>
      </c>
      <c r="E73471" s="0" t="s">
        <v>167</v>
      </c>
      <c r="F73471" s="0" t="s">
        <v>167</v>
      </c>
    </row>
    <row r="73473" customFormat="false" ht="12.8" hidden="false" customHeight="false" outlineLevel="0" collapsed="false">
      <c r="A73473" s="0" t="s">
        <v>24845</v>
      </c>
      <c r="B73473" s="0" t="str">
        <f aca="false">HYPERLINK("https://lindat.mff.cuni.cz/services/teitok/pdtc10/index.php?action=vallex&amp;frame=v-w5882f11_ZU", "říkat (v-w5882f11_ZU)")</f>
        <v>říkat (v-w5882f11_ZU)</v>
      </c>
    </row>
    <row r="73474" customFormat="false" ht="12.8" hidden="false" customHeight="false" outlineLevel="0" collapsed="false">
      <c r="B73474" s="0" t="s">
        <v>7</v>
      </c>
    </row>
    <row r="73475" customFormat="false" ht="12.8" hidden="false" customHeight="false" outlineLevel="0" collapsed="false">
      <c r="B73475" s="0" t="s">
        <v>24846</v>
      </c>
    </row>
    <row r="73476" customFormat="false" ht="12.8" hidden="false" customHeight="false" outlineLevel="0" collapsed="false">
      <c r="B73476" s="0" t="s">
        <v>142</v>
      </c>
    </row>
    <row r="73477" customFormat="false" ht="12.8" hidden="false" customHeight="false" outlineLevel="0" collapsed="false">
      <c r="B73477" s="0" t="s">
        <v>666</v>
      </c>
    </row>
    <row r="73479" customFormat="false" ht="12.8" hidden="false" customHeight="false" outlineLevel="0" collapsed="false">
      <c r="A73479" s="0" t="s">
        <v>24845</v>
      </c>
      <c r="B73479" s="0" t="str">
        <f aca="false">HYPERLINK("https://lindat.mff.cuni.cz/services/teitok/pdtc10/index.php?action=vallex&amp;frame=v-w5882f10_ZU", "říkat (v-w5882f10_ZU) - substituted with v-w5882f11_ZU")</f>
        <v>říkat (v-w5882f10_ZU) - substituted with v-w5882f11_ZU</v>
      </c>
    </row>
    <row r="73480" customFormat="false" ht="12.8" hidden="false" customHeight="false" outlineLevel="0" collapsed="false">
      <c r="B73480" s="0" t="s">
        <v>7</v>
      </c>
    </row>
    <row r="73481" customFormat="false" ht="12.8" hidden="false" customHeight="false" outlineLevel="0" collapsed="false">
      <c r="B73481" s="0" t="s">
        <v>24846</v>
      </c>
    </row>
    <row r="73482" customFormat="false" ht="12.8" hidden="false" customHeight="false" outlineLevel="0" collapsed="false">
      <c r="B73482" s="0" t="s">
        <v>142</v>
      </c>
    </row>
    <row r="73483" customFormat="false" ht="12.8" hidden="false" customHeight="false" outlineLevel="0" collapsed="false">
      <c r="B73483" s="0" t="s">
        <v>666</v>
      </c>
    </row>
    <row r="73485" customFormat="false" ht="12.8" hidden="false" customHeight="false" outlineLevel="0" collapsed="false">
      <c r="A73485" s="0" t="s">
        <v>24845</v>
      </c>
      <c r="B73485" s="0" t="str">
        <f aca="false">HYPERLINK("https://lindat.mff.cuni.cz/services/teitok/pdtc10/index.php?action=vallex&amp;frame=v-w5882hsa_920", "říkat (v-w5882hsa_920) - substituted with v-w5882f11_ZU")</f>
        <v>říkat (v-w5882hsa_920) - substituted with v-w5882f11_ZU</v>
      </c>
    </row>
    <row r="73486" customFormat="false" ht="12.8" hidden="false" customHeight="false" outlineLevel="0" collapsed="false">
      <c r="B73486" s="0" t="s">
        <v>7</v>
      </c>
    </row>
    <row r="73487" customFormat="false" ht="12.8" hidden="false" customHeight="false" outlineLevel="0" collapsed="false">
      <c r="B73487" s="0" t="s">
        <v>24846</v>
      </c>
    </row>
    <row r="73488" customFormat="false" ht="12.8" hidden="false" customHeight="false" outlineLevel="0" collapsed="false">
      <c r="B73488" s="0" t="s">
        <v>142</v>
      </c>
    </row>
    <row r="73489" customFormat="false" ht="12.8" hidden="false" customHeight="false" outlineLevel="0" collapsed="false">
      <c r="B73489" s="0" t="s">
        <v>666</v>
      </c>
    </row>
    <row r="73491" customFormat="false" ht="12.8" hidden="false" customHeight="false" outlineLevel="0" collapsed="false">
      <c r="A73491" s="0" t="s">
        <v>24847</v>
      </c>
      <c r="B73491" s="0" t="str">
        <f aca="false">HYPERLINK("https://lindat.mff.cuni.cz/services/teitok/pdtc10/index.php?action=vallex&amp;frame=v-w5882hsa_921", "říkat (v-w5882hsa_921)")</f>
        <v>říkat (v-w5882hsa_921)</v>
      </c>
    </row>
    <row r="73492" customFormat="false" ht="12.8" hidden="false" customHeight="false" outlineLevel="0" collapsed="false">
      <c r="B73492" s="0" t="s">
        <v>7</v>
      </c>
    </row>
    <row r="73493" customFormat="false" ht="12.8" hidden="false" customHeight="false" outlineLevel="0" collapsed="false">
      <c r="B73493" s="0" t="s">
        <v>14</v>
      </c>
    </row>
    <row r="73494" customFormat="false" ht="12.8" hidden="false" customHeight="false" outlineLevel="0" collapsed="false">
      <c r="B73494" s="0" t="s">
        <v>106</v>
      </c>
    </row>
    <row r="73496" customFormat="false" ht="12.8" hidden="false" customHeight="false" outlineLevel="0" collapsed="false">
      <c r="A73496" s="0" t="s">
        <v>24848</v>
      </c>
      <c r="B73496" s="0" t="str">
        <f aca="false">HYPERLINK("https://lindat.mff.cuni.cz/services/teitok/pdtc10/index.php?action=vallex&amp;frame=v-w5883f1", "říkat si (v-w5883f1)")</f>
        <v>říkat si (v-w5883f1)</v>
      </c>
    </row>
    <row r="73497" customFormat="false" ht="12.8" hidden="false" customHeight="false" outlineLevel="0" collapsed="false">
      <c r="B73497" s="0" t="s">
        <v>457</v>
      </c>
    </row>
    <row r="73498" customFormat="false" ht="12.8" hidden="false" customHeight="false" outlineLevel="0" collapsed="false">
      <c r="B73498" s="0" t="s">
        <v>615</v>
      </c>
    </row>
    <row r="73499" customFormat="false" ht="12.8" hidden="false" customHeight="false" outlineLevel="0" collapsed="false">
      <c r="B73499" s="0" t="s">
        <v>48</v>
      </c>
    </row>
    <row r="73501" customFormat="false" ht="12.8" hidden="false" customHeight="false" outlineLevel="0" collapsed="false">
      <c r="A73501" s="0" t="s">
        <v>24849</v>
      </c>
      <c r="B73501" s="0" t="str">
        <f aca="false">HYPERLINK("https://lindat.mff.cuni.cz/services/teitok/pdtc10/index.php?action=vallex&amp;frame=v-w5883hsa_1979", "říkat si (v-w5883hsa_1979)")</f>
        <v>říkat si (v-w5883hsa_1979)</v>
      </c>
    </row>
    <row r="73502" customFormat="false" ht="12.8" hidden="false" customHeight="false" outlineLevel="0" collapsed="false">
      <c r="B73502" s="0" t="s">
        <v>7</v>
      </c>
    </row>
    <row r="73503" customFormat="false" ht="12.8" hidden="false" customHeight="false" outlineLevel="0" collapsed="false">
      <c r="B73503" s="0" t="s">
        <v>24850</v>
      </c>
    </row>
    <row r="73505" customFormat="false" ht="12.8" hidden="false" customHeight="false" outlineLevel="0" collapsed="false">
      <c r="A73505" s="0" t="s">
        <v>24851</v>
      </c>
      <c r="B73505" s="0" t="str">
        <f aca="false">HYPERLINK("https://lindat.mff.cuni.cz/services/teitok/pdtc10/index.php?action=vallex&amp;frame=v-w5883hsa_1980", "říkat si (v-w5883hsa_1980)")</f>
        <v>říkat si (v-w5883hsa_1980)</v>
      </c>
    </row>
    <row r="73506" customFormat="false" ht="12.8" hidden="false" customHeight="false" outlineLevel="0" collapsed="false">
      <c r="B73506" s="0" t="s">
        <v>7</v>
      </c>
    </row>
    <row r="73507" customFormat="false" ht="12.8" hidden="false" customHeight="false" outlineLevel="0" collapsed="false">
      <c r="B73507" s="0" t="s">
        <v>207</v>
      </c>
    </row>
    <row r="73508" customFormat="false" ht="12.8" hidden="false" customHeight="false" outlineLevel="0" collapsed="false">
      <c r="B73508" s="0" t="s">
        <v>360</v>
      </c>
    </row>
    <row r="73509" customFormat="false" ht="12.8" hidden="false" customHeight="false" outlineLevel="0" collapsed="false">
      <c r="B73509" s="0" t="s">
        <v>363</v>
      </c>
    </row>
    <row r="73511" customFormat="false" ht="12.8" hidden="false" customHeight="false" outlineLevel="0" collapsed="false">
      <c r="A73511" s="0" t="s">
        <v>24852</v>
      </c>
      <c r="B73511" s="0" t="str">
        <f aca="false">HYPERLINK("https://lindat.mff.cuni.cz/services/teitok/pdtc10/index.php?action=vallex&amp;frame=v-w5884f4_ZU", "říkávat (v-w5884f4_ZU)")</f>
        <v>říkávat (v-w5884f4_ZU)</v>
      </c>
    </row>
    <row r="73512" customFormat="false" ht="12.8" hidden="false" customHeight="false" outlineLevel="0" collapsed="false">
      <c r="B73512" s="0" t="s">
        <v>7</v>
      </c>
    </row>
    <row r="73513" customFormat="false" ht="12.8" hidden="false" customHeight="false" outlineLevel="0" collapsed="false">
      <c r="B73513" s="0" t="s">
        <v>142</v>
      </c>
    </row>
    <row r="73514" customFormat="false" ht="12.8" hidden="false" customHeight="false" outlineLevel="0" collapsed="false">
      <c r="B73514" s="0" t="s">
        <v>24853</v>
      </c>
    </row>
    <row r="73516" customFormat="false" ht="12.8" hidden="false" customHeight="false" outlineLevel="0" collapsed="false">
      <c r="A73516" s="0" t="s">
        <v>24852</v>
      </c>
      <c r="B73516" s="0" t="str">
        <f aca="false">HYPERLINK("https://lindat.mff.cuni.cz/services/teitok/pdtc10/index.php?action=vallex&amp;frame=v-w5884f2", "říkávat (v-w5884f2) - substituted with v-w5884f4_ZU")</f>
        <v>říkávat (v-w5884f2) - substituted with v-w5884f4_ZU</v>
      </c>
    </row>
    <row r="73517" customFormat="false" ht="12.8" hidden="false" customHeight="false" outlineLevel="0" collapsed="false">
      <c r="B73517" s="0" t="s">
        <v>7</v>
      </c>
      <c r="D73517" s="0" t="s">
        <v>2266</v>
      </c>
      <c r="E73517" s="0" t="s">
        <v>2266</v>
      </c>
      <c r="F73517" s="0" t="s">
        <v>2266</v>
      </c>
    </row>
    <row r="73518" customFormat="false" ht="12.8" hidden="false" customHeight="false" outlineLevel="0" collapsed="false">
      <c r="B73518" s="0" t="s">
        <v>142</v>
      </c>
      <c r="D73518" s="0" t="s">
        <v>7292</v>
      </c>
      <c r="E73518" s="0" t="s">
        <v>7292</v>
      </c>
      <c r="F73518" s="0" t="s">
        <v>7292</v>
      </c>
    </row>
    <row r="73519" customFormat="false" ht="12.8" hidden="false" customHeight="false" outlineLevel="0" collapsed="false">
      <c r="B73519" s="0" t="s">
        <v>24853</v>
      </c>
      <c r="D73519" s="0" t="s">
        <v>7295</v>
      </c>
      <c r="E73519" s="0" t="s">
        <v>7295</v>
      </c>
      <c r="F73519" s="0" t="s">
        <v>7295</v>
      </c>
    </row>
    <row r="73521" customFormat="false" ht="12.8" hidden="false" customHeight="false" outlineLevel="0" collapsed="false">
      <c r="A73521" s="0" t="s">
        <v>24852</v>
      </c>
      <c r="B73521" s="0" t="str">
        <f aca="false">HYPERLINK("https://lindat.mff.cuni.cz/services/teitok/pdtc10/index.php?action=vallex&amp;frame=v-w5884f3_ZU", "říkávat (v-w5884f3_ZU) - substituted with v-w5884f4_ZU")</f>
        <v>říkávat (v-w5884f3_ZU) - substituted with v-w5884f4_ZU</v>
      </c>
    </row>
    <row r="73522" customFormat="false" ht="12.8" hidden="false" customHeight="false" outlineLevel="0" collapsed="false">
      <c r="B73522" s="0" t="s">
        <v>7</v>
      </c>
    </row>
    <row r="73523" customFormat="false" ht="12.8" hidden="false" customHeight="false" outlineLevel="0" collapsed="false">
      <c r="B73523" s="0" t="s">
        <v>142</v>
      </c>
    </row>
    <row r="73524" customFormat="false" ht="12.8" hidden="false" customHeight="false" outlineLevel="0" collapsed="false">
      <c r="B73524" s="0" t="s">
        <v>24853</v>
      </c>
    </row>
    <row r="73526" customFormat="false" ht="12.8" hidden="false" customHeight="false" outlineLevel="0" collapsed="false">
      <c r="A73526" s="0" t="s">
        <v>24854</v>
      </c>
      <c r="B73526" s="0" t="str">
        <f aca="false">HYPERLINK("https://lindat.mff.cuni.cz/services/teitok/pdtc10/index.php?action=vallex&amp;frame=v-w5884f1", "říkávat (v-w5884f1)")</f>
        <v>říkávat (v-w5884f1)</v>
      </c>
    </row>
    <row r="73527" customFormat="false" ht="12.8" hidden="false" customHeight="false" outlineLevel="0" collapsed="false">
      <c r="B73527" s="0" t="s">
        <v>7</v>
      </c>
      <c r="D73527" s="0" t="s">
        <v>9385</v>
      </c>
      <c r="E73527" s="0" t="s">
        <v>164</v>
      </c>
      <c r="F73527" s="0" t="s">
        <v>164</v>
      </c>
    </row>
    <row r="73528" customFormat="false" ht="12.8" hidden="false" customHeight="false" outlineLevel="0" collapsed="false">
      <c r="B73528" s="0" t="s">
        <v>48</v>
      </c>
      <c r="D73528" s="0" t="s">
        <v>9387</v>
      </c>
      <c r="E73528" s="0" t="s">
        <v>168</v>
      </c>
      <c r="F73528" s="0" t="s">
        <v>168</v>
      </c>
    </row>
    <row r="73529" customFormat="false" ht="12.8" hidden="false" customHeight="false" outlineLevel="0" collapsed="false">
      <c r="B73529" s="0" t="s">
        <v>360</v>
      </c>
      <c r="D73529" s="0" t="s">
        <v>9389</v>
      </c>
      <c r="E73529" s="0" t="s">
        <v>1766</v>
      </c>
      <c r="F73529" s="0" t="s">
        <v>1766</v>
      </c>
    </row>
    <row r="73530" customFormat="false" ht="12.8" hidden="false" customHeight="false" outlineLevel="0" collapsed="false">
      <c r="B73530" s="0" t="s">
        <v>10021</v>
      </c>
      <c r="D73530" s="0" t="s">
        <v>167</v>
      </c>
      <c r="E73530" s="0" t="s">
        <v>167</v>
      </c>
      <c r="F73530" s="0" t="s">
        <v>167</v>
      </c>
    </row>
    <row r="73532" customFormat="false" ht="12.8" hidden="false" customHeight="false" outlineLevel="0" collapsed="false">
      <c r="A73532" s="0" t="s">
        <v>24855</v>
      </c>
      <c r="B73532" s="0" t="str">
        <f aca="false">HYPERLINK("https://lindat.mff.cuni.cz/services/teitok/pdtc10/index.php?action=vallex&amp;frame=v-w5884f5_ZU", "říkávat (v-w5884f5_ZU)")</f>
        <v>říkávat (v-w5884f5_ZU)</v>
      </c>
    </row>
    <row r="73533" customFormat="false" ht="12.8" hidden="false" customHeight="false" outlineLevel="0" collapsed="false">
      <c r="B73533" s="0" t="s">
        <v>7</v>
      </c>
    </row>
    <row r="73534" customFormat="false" ht="12.8" hidden="false" customHeight="false" outlineLevel="0" collapsed="false">
      <c r="B73534" s="0" t="s">
        <v>142</v>
      </c>
    </row>
    <row r="73535" customFormat="false" ht="12.8" hidden="false" customHeight="false" outlineLevel="0" collapsed="false">
      <c r="B73535" s="0" t="s">
        <v>4545</v>
      </c>
    </row>
    <row r="73537" customFormat="false" ht="12.8" hidden="false" customHeight="false" outlineLevel="0" collapsed="false">
      <c r="A73537" s="0" t="s">
        <v>24856</v>
      </c>
      <c r="B73537" s="0" t="str">
        <f aca="false">HYPERLINK("https://lindat.mff.cuni.cz/services/teitok/pdtc10/index.php?action=vallex&amp;frame=v-w5885f1", "řítit se (v-w5885f1)")</f>
        <v>řítit se (v-w5885f1)</v>
      </c>
    </row>
    <row r="73538" customFormat="false" ht="12.8" hidden="false" customHeight="false" outlineLevel="0" collapsed="false">
      <c r="B73538" s="0" t="s">
        <v>7</v>
      </c>
      <c r="C73538" s="0" t="s">
        <v>31</v>
      </c>
      <c r="D73538" s="0" t="s">
        <v>3867</v>
      </c>
      <c r="E73538" s="0" t="s">
        <v>3867</v>
      </c>
      <c r="F73538" s="0" t="s">
        <v>24857</v>
      </c>
    </row>
    <row r="73539" customFormat="false" ht="12.8" hidden="false" customHeight="false" outlineLevel="0" collapsed="false">
      <c r="B73539" s="0" t="s">
        <v>279</v>
      </c>
      <c r="D73539" s="0" t="s">
        <v>3868</v>
      </c>
      <c r="E73539" s="0" t="s">
        <v>3868</v>
      </c>
      <c r="F73539" s="0" t="s">
        <v>3868</v>
      </c>
    </row>
    <row r="73541" customFormat="false" ht="12.8" hidden="false" customHeight="false" outlineLevel="0" collapsed="false">
      <c r="A73541" s="0" t="s">
        <v>24858</v>
      </c>
      <c r="B73541" s="0" t="str">
        <f aca="false">HYPERLINK("https://lindat.mff.cuni.cz/services/teitok/pdtc10/index.php?action=vallex&amp;frame=v-w5885f2", "řítit se (v-w5885f2)")</f>
        <v>řítit se (v-w5885f2)</v>
      </c>
    </row>
    <row r="73542" customFormat="false" ht="12.8" hidden="false" customHeight="false" outlineLevel="0" collapsed="false">
      <c r="B73542" s="0" t="s">
        <v>7</v>
      </c>
      <c r="C73542" s="0" t="s">
        <v>24859</v>
      </c>
      <c r="D73542" s="0" t="s">
        <v>113</v>
      </c>
      <c r="E73542" s="0" t="s">
        <v>113</v>
      </c>
      <c r="F73542" s="0" t="s">
        <v>113</v>
      </c>
    </row>
    <row r="73544" customFormat="false" ht="12.8" hidden="false" customHeight="false" outlineLevel="0" collapsed="false">
      <c r="A73544" s="0" t="s">
        <v>24860</v>
      </c>
      <c r="B73544" s="0" t="str">
        <f aca="false">HYPERLINK("https://lindat.mff.cuni.cz/services/teitok/pdtc10/index.php?action=vallex&amp;frame=v-w5888f1", "říznout (v-w5888f1)")</f>
        <v>říznout (v-w5888f1)</v>
      </c>
    </row>
    <row r="73545" customFormat="false" ht="12.8" hidden="false" customHeight="false" outlineLevel="0" collapsed="false">
      <c r="B73545" s="0" t="s">
        <v>7</v>
      </c>
    </row>
    <row r="73546" customFormat="false" ht="12.8" hidden="false" customHeight="false" outlineLevel="0" collapsed="false">
      <c r="B73546" s="0" t="s">
        <v>14</v>
      </c>
    </row>
    <row r="73548" customFormat="false" ht="12.8" hidden="false" customHeight="false" outlineLevel="0" collapsed="false">
      <c r="A73548" s="0" t="s">
        <v>24861</v>
      </c>
      <c r="B73548" s="0" t="str">
        <f aca="false">HYPERLINK("https://lindat.mff.cuni.cz/services/teitok/pdtc10/index.php?action=vallex&amp;frame=v-whsa_657hsa_658", "říznout se (v-whsa_657hsa_658)")</f>
        <v>říznout se (v-whsa_657hsa_658)</v>
      </c>
    </row>
    <row r="73549" customFormat="false" ht="12.8" hidden="false" customHeight="false" outlineLevel="0" collapsed="false">
      <c r="B73549" s="0" t="s">
        <v>7</v>
      </c>
    </row>
    <row r="73551" customFormat="false" ht="12.8" hidden="false" customHeight="false" outlineLevel="0" collapsed="false">
      <c r="A73551" s="0" t="s">
        <v>24862</v>
      </c>
      <c r="B73551" s="0" t="str">
        <f aca="false">HYPERLINK("https://lindat.mff.cuni.cz/services/teitok/pdtc10/index.php?action=vallex&amp;frame=v-whsb_604hsa_605", "šedivět (v-whsb_604hsa_605)")</f>
        <v>šedivět (v-whsb_604hsa_605)</v>
      </c>
    </row>
    <row r="73552" customFormat="false" ht="12.8" hidden="false" customHeight="false" outlineLevel="0" collapsed="false">
      <c r="B73552" s="0" t="s">
        <v>7</v>
      </c>
    </row>
    <row r="73554" customFormat="false" ht="12.8" hidden="false" customHeight="false" outlineLevel="0" collapsed="false">
      <c r="A73554" s="0" t="s">
        <v>24863</v>
      </c>
      <c r="B73554" s="0" t="str">
        <f aca="false">HYPERLINK("https://lindat.mff.cuni.cz/services/teitok/pdtc10/index.php?action=vallex&amp;frame=v-w6705f1", "šelestit (v-w6705f1)")</f>
        <v>šelestit (v-w6705f1)</v>
      </c>
    </row>
    <row r="73555" customFormat="false" ht="12.8" hidden="false" customHeight="false" outlineLevel="0" collapsed="false">
      <c r="B73555" s="0" t="s">
        <v>7</v>
      </c>
    </row>
    <row r="73557" customFormat="false" ht="12.8" hidden="false" customHeight="false" outlineLevel="0" collapsed="false">
      <c r="A73557" s="0" t="s">
        <v>24864</v>
      </c>
      <c r="B73557" s="0" t="str">
        <f aca="false">HYPERLINK("https://lindat.mff.cuni.cz/services/teitok/pdtc10/index.php?action=vallex&amp;frame=v-w6706f2", "šeptat (v-w6706f2)")</f>
        <v>šeptat (v-w6706f2)</v>
      </c>
    </row>
    <row r="73558" customFormat="false" ht="12.8" hidden="false" customHeight="false" outlineLevel="0" collapsed="false">
      <c r="B73558" s="0" t="s">
        <v>7</v>
      </c>
    </row>
    <row r="73559" customFormat="false" ht="12.8" hidden="false" customHeight="false" outlineLevel="0" collapsed="false">
      <c r="B73559" s="0" t="s">
        <v>244</v>
      </c>
    </row>
    <row r="73560" customFormat="false" ht="12.8" hidden="false" customHeight="false" outlineLevel="0" collapsed="false">
      <c r="B73560" s="0" t="s">
        <v>48</v>
      </c>
    </row>
    <row r="73562" customFormat="false" ht="12.8" hidden="false" customHeight="false" outlineLevel="0" collapsed="false">
      <c r="A73562" s="0" t="s">
        <v>24865</v>
      </c>
      <c r="B73562" s="0" t="str">
        <f aca="false">HYPERLINK("https://lindat.mff.cuni.cz/services/teitok/pdtc10/index.php?action=vallex&amp;frame=v-w6706f3", "šeptat (v-w6706f3)")</f>
        <v>šeptat (v-w6706f3)</v>
      </c>
    </row>
    <row r="73563" customFormat="false" ht="12.8" hidden="false" customHeight="false" outlineLevel="0" collapsed="false">
      <c r="B73563" s="0" t="s">
        <v>7</v>
      </c>
      <c r="E73563" s="0" t="s">
        <v>46</v>
      </c>
      <c r="F73563" s="0" t="s">
        <v>46</v>
      </c>
    </row>
    <row r="73564" customFormat="false" ht="12.8" hidden="false" customHeight="false" outlineLevel="0" collapsed="false">
      <c r="B73564" s="0" t="s">
        <v>14</v>
      </c>
      <c r="E73564" s="0" t="s">
        <v>567</v>
      </c>
      <c r="F73564" s="0" t="s">
        <v>567</v>
      </c>
    </row>
    <row r="73565" customFormat="false" ht="12.8" hidden="false" customHeight="false" outlineLevel="0" collapsed="false">
      <c r="B73565" s="0" t="s">
        <v>106</v>
      </c>
    </row>
    <row r="73567" customFormat="false" ht="12.8" hidden="false" customHeight="false" outlineLevel="0" collapsed="false">
      <c r="A73567" s="0" t="s">
        <v>24866</v>
      </c>
      <c r="B73567" s="0" t="str">
        <f aca="false">HYPERLINK("https://lindat.mff.cuni.cz/services/teitok/pdtc10/index.php?action=vallex&amp;frame=v-w6706hsa_558", "šeptat (v-w6706hsa_558)")</f>
        <v>šeptat (v-w6706hsa_558)</v>
      </c>
    </row>
    <row r="73568" customFormat="false" ht="12.8" hidden="false" customHeight="false" outlineLevel="0" collapsed="false">
      <c r="B73568" s="0" t="s">
        <v>7</v>
      </c>
      <c r="D73568" s="0" t="s">
        <v>164</v>
      </c>
      <c r="E73568" s="0" t="s">
        <v>24867</v>
      </c>
      <c r="F73568" s="0" t="s">
        <v>24867</v>
      </c>
    </row>
    <row r="73569" customFormat="false" ht="12.8" hidden="false" customHeight="false" outlineLevel="0" collapsed="false">
      <c r="B73569" s="0" t="s">
        <v>24868</v>
      </c>
      <c r="D73569" s="0" t="s">
        <v>1766</v>
      </c>
      <c r="E73569" s="0" t="s">
        <v>24869</v>
      </c>
      <c r="F73569" s="0" t="s">
        <v>24869</v>
      </c>
    </row>
    <row r="73570" customFormat="false" ht="12.8" hidden="false" customHeight="false" outlineLevel="0" collapsed="false">
      <c r="B73570" s="0" t="s">
        <v>363</v>
      </c>
      <c r="D73570" s="0" t="s">
        <v>167</v>
      </c>
      <c r="E73570" s="0" t="s">
        <v>24870</v>
      </c>
      <c r="F73570" s="0" t="s">
        <v>24870</v>
      </c>
    </row>
    <row r="73571" customFormat="false" ht="12.8" hidden="false" customHeight="false" outlineLevel="0" collapsed="false">
      <c r="B73571" s="0" t="s">
        <v>24871</v>
      </c>
      <c r="D73571" s="0" t="s">
        <v>168</v>
      </c>
      <c r="E73571" s="0" t="s">
        <v>24872</v>
      </c>
      <c r="F73571" s="0" t="s">
        <v>24872</v>
      </c>
    </row>
    <row r="73573" customFormat="false" ht="12.8" hidden="false" customHeight="false" outlineLevel="0" collapsed="false">
      <c r="A73573" s="0" t="s">
        <v>24866</v>
      </c>
      <c r="B73573" s="0" t="str">
        <f aca="false">HYPERLINK("https://lindat.mff.cuni.cz/services/teitok/pdtc10/index.php?action=vallex&amp;frame=v-w6706f1", "šeptat (v-w6706f1) - substituted with v-w6706hsa_558")</f>
        <v>šeptat (v-w6706f1) - substituted with v-w6706hsa_558</v>
      </c>
    </row>
    <row r="73574" customFormat="false" ht="12.8" hidden="false" customHeight="false" outlineLevel="0" collapsed="false">
      <c r="B73574" s="0" t="s">
        <v>7</v>
      </c>
      <c r="C73574" s="0" t="s">
        <v>46</v>
      </c>
    </row>
    <row r="73575" customFormat="false" ht="12.8" hidden="false" customHeight="false" outlineLevel="0" collapsed="false">
      <c r="B73575" s="0" t="s">
        <v>24868</v>
      </c>
      <c r="C73575" s="0" t="s">
        <v>5061</v>
      </c>
    </row>
    <row r="73576" customFormat="false" ht="12.8" hidden="false" customHeight="false" outlineLevel="0" collapsed="false">
      <c r="B73576" s="0" t="s">
        <v>363</v>
      </c>
    </row>
    <row r="73577" customFormat="false" ht="12.8" hidden="false" customHeight="false" outlineLevel="0" collapsed="false">
      <c r="B73577" s="0" t="s">
        <v>24871</v>
      </c>
      <c r="C73577" s="0" t="s">
        <v>9927</v>
      </c>
    </row>
    <row r="73579" customFormat="false" ht="12.8" hidden="false" customHeight="false" outlineLevel="0" collapsed="false">
      <c r="A73579" s="0" t="s">
        <v>24873</v>
      </c>
      <c r="B73579" s="0" t="str">
        <f aca="false">HYPERLINK("https://lindat.mff.cuni.cz/services/teitok/pdtc10/index.php?action=vallex&amp;frame=v-w6707f1", "šermovat (v-w6707f1)")</f>
        <v>šermovat (v-w6707f1)</v>
      </c>
    </row>
    <row r="73580" customFormat="false" ht="12.8" hidden="false" customHeight="false" outlineLevel="0" collapsed="false">
      <c r="B73580" s="0" t="s">
        <v>7</v>
      </c>
    </row>
    <row r="73581" customFormat="false" ht="12.8" hidden="false" customHeight="false" outlineLevel="0" collapsed="false">
      <c r="B73581" s="0" t="s">
        <v>216</v>
      </c>
    </row>
    <row r="73583" customFormat="false" ht="12.8" hidden="false" customHeight="false" outlineLevel="0" collapsed="false">
      <c r="A73583" s="0" t="s">
        <v>24874</v>
      </c>
      <c r="B73583" s="0" t="str">
        <f aca="false">HYPERLINK("https://lindat.mff.cuni.cz/services/teitok/pdtc10/index.php?action=vallex&amp;frame=v-w6711f2", "šetřit (v-w6711f2)")</f>
        <v>šetřit (v-w6711f2)</v>
      </c>
    </row>
    <row r="73584" customFormat="false" ht="12.8" hidden="false" customHeight="false" outlineLevel="0" collapsed="false">
      <c r="B73584" s="0" t="s">
        <v>7</v>
      </c>
    </row>
    <row r="73585" customFormat="false" ht="12.8" hidden="false" customHeight="false" outlineLevel="0" collapsed="false">
      <c r="B73585" s="0" t="s">
        <v>14</v>
      </c>
    </row>
    <row r="73586" customFormat="false" ht="12.8" hidden="false" customHeight="false" outlineLevel="0" collapsed="false">
      <c r="B73586" s="0" t="s">
        <v>416</v>
      </c>
    </row>
    <row r="73588" customFormat="false" ht="12.8" hidden="false" customHeight="false" outlineLevel="0" collapsed="false">
      <c r="A73588" s="0" t="s">
        <v>24875</v>
      </c>
      <c r="B73588" s="0" t="str">
        <f aca="false">HYPERLINK("https://lindat.mff.cuni.cz/services/teitok/pdtc10/index.php?action=vallex&amp;frame=v-w6711f5_ZU", "šetřit (v-w6711f5_ZU)")</f>
        <v>šetřit (v-w6711f5_ZU)</v>
      </c>
    </row>
    <row r="73589" customFormat="false" ht="12.8" hidden="false" customHeight="false" outlineLevel="0" collapsed="false">
      <c r="B73589" s="0" t="s">
        <v>7</v>
      </c>
      <c r="C73589" s="0" t="s">
        <v>7353</v>
      </c>
      <c r="D73589" s="0" t="s">
        <v>7353</v>
      </c>
      <c r="E73589" s="0" t="s">
        <v>7353</v>
      </c>
      <c r="F73589" s="0" t="s">
        <v>7353</v>
      </c>
    </row>
    <row r="73590" customFormat="false" ht="12.8" hidden="false" customHeight="false" outlineLevel="0" collapsed="false">
      <c r="B73590" s="0" t="s">
        <v>5557</v>
      </c>
      <c r="C73590" s="0" t="s">
        <v>2666</v>
      </c>
      <c r="D73590" s="0" t="s">
        <v>2666</v>
      </c>
      <c r="E73590" s="0" t="s">
        <v>2666</v>
      </c>
      <c r="F73590" s="0" t="s">
        <v>2666</v>
      </c>
    </row>
    <row r="73592" customFormat="false" ht="12.8" hidden="false" customHeight="false" outlineLevel="0" collapsed="false">
      <c r="A73592" s="0" t="s">
        <v>24875</v>
      </c>
      <c r="B73592" s="0" t="str">
        <f aca="false">HYPERLINK("https://lindat.mff.cuni.cz/services/teitok/pdtc10/index.php?action=vallex&amp;frame=v-w6711f1", "šetřit (v-w6711f1) - substituted with v-w6711f5_ZU")</f>
        <v>šetřit (v-w6711f1) - substituted with v-w6711f5_ZU</v>
      </c>
    </row>
    <row r="73593" customFormat="false" ht="12.8" hidden="false" customHeight="false" outlineLevel="0" collapsed="false">
      <c r="B73593" s="0" t="s">
        <v>7</v>
      </c>
      <c r="C73593" s="0" t="s">
        <v>46</v>
      </c>
    </row>
    <row r="73594" customFormat="false" ht="12.8" hidden="false" customHeight="false" outlineLevel="0" collapsed="false">
      <c r="B73594" s="0" t="s">
        <v>5557</v>
      </c>
      <c r="C73594" s="0" t="s">
        <v>47</v>
      </c>
    </row>
    <row r="73596" customFormat="false" ht="12.8" hidden="false" customHeight="false" outlineLevel="0" collapsed="false">
      <c r="A73596" s="0" t="s">
        <v>24876</v>
      </c>
      <c r="B73596" s="0" t="str">
        <f aca="false">HYPERLINK("https://lindat.mff.cuni.cz/services/teitok/pdtc10/index.php?action=vallex&amp;frame=v-w6711f3", "šetřit (v-w6711f3)")</f>
        <v>šetřit (v-w6711f3)</v>
      </c>
    </row>
    <row r="73597" customFormat="false" ht="12.8" hidden="false" customHeight="false" outlineLevel="0" collapsed="false">
      <c r="B73597" s="0" t="s">
        <v>7</v>
      </c>
    </row>
    <row r="73598" customFormat="false" ht="12.8" hidden="false" customHeight="false" outlineLevel="0" collapsed="false">
      <c r="B73598" s="0" t="s">
        <v>14</v>
      </c>
    </row>
    <row r="73600" customFormat="false" ht="12.8" hidden="false" customHeight="false" outlineLevel="0" collapsed="false">
      <c r="A73600" s="0" t="s">
        <v>24877</v>
      </c>
      <c r="B73600" s="0" t="str">
        <f aca="false">HYPERLINK("https://lindat.mff.cuni.cz/services/teitok/pdtc10/index.php?action=vallex&amp;frame=v-w6711f8_ZU", "šetřit (v-w6711f8_ZU)")</f>
        <v>šetřit (v-w6711f8_ZU)</v>
      </c>
    </row>
    <row r="73601" customFormat="false" ht="12.8" hidden="false" customHeight="false" outlineLevel="0" collapsed="false">
      <c r="B73601" s="0" t="s">
        <v>7</v>
      </c>
    </row>
    <row r="73602" customFormat="false" ht="12.8" hidden="false" customHeight="false" outlineLevel="0" collapsed="false">
      <c r="B73602" s="0" t="s">
        <v>3200</v>
      </c>
    </row>
    <row r="73604" customFormat="false" ht="12.8" hidden="false" customHeight="false" outlineLevel="0" collapsed="false">
      <c r="A73604" s="0" t="s">
        <v>24877</v>
      </c>
      <c r="B73604" s="0" t="str">
        <f aca="false">HYPERLINK("https://lindat.mff.cuni.cz/services/teitok/pdtc10/index.php?action=vallex&amp;frame=v-w6711f6_ZU", "šetřit (v-w6711f6_ZU) - substituted with v-w6711f8_ZU")</f>
        <v>šetřit (v-w6711f6_ZU) - substituted with v-w6711f8_ZU</v>
      </c>
    </row>
    <row r="73605" customFormat="false" ht="12.8" hidden="false" customHeight="false" outlineLevel="0" collapsed="false">
      <c r="B73605" s="0" t="s">
        <v>7</v>
      </c>
      <c r="C73605" s="0" t="s">
        <v>46</v>
      </c>
    </row>
    <row r="73606" customFormat="false" ht="12.8" hidden="false" customHeight="false" outlineLevel="0" collapsed="false">
      <c r="B73606" s="0" t="s">
        <v>3200</v>
      </c>
    </row>
    <row r="73608" customFormat="false" ht="12.8" hidden="false" customHeight="false" outlineLevel="0" collapsed="false">
      <c r="A73608" s="0" t="s">
        <v>24877</v>
      </c>
      <c r="B73608" s="0" t="str">
        <f aca="false">HYPERLINK("https://lindat.mff.cuni.cz/services/teitok/pdtc10/index.php?action=vallex&amp;frame=v-w6711f7_ZU", "šetřit (v-w6711f7_ZU) - substituted with v-w6711f8_ZU")</f>
        <v>šetřit (v-w6711f7_ZU) - substituted with v-w6711f8_ZU</v>
      </c>
    </row>
    <row r="73609" customFormat="false" ht="12.8" hidden="false" customHeight="false" outlineLevel="0" collapsed="false">
      <c r="B73609" s="0" t="s">
        <v>7</v>
      </c>
    </row>
    <row r="73610" customFormat="false" ht="12.8" hidden="false" customHeight="false" outlineLevel="0" collapsed="false">
      <c r="B73610" s="0" t="s">
        <v>3200</v>
      </c>
    </row>
    <row r="73612" customFormat="false" ht="12.8" hidden="false" customHeight="false" outlineLevel="0" collapsed="false">
      <c r="A73612" s="0" t="s">
        <v>24877</v>
      </c>
      <c r="B73612" s="0" t="str">
        <f aca="false">HYPERLINK("https://lindat.mff.cuni.cz/services/teitok/pdtc10/index.php?action=vallex&amp;frame=v-w6711hsa_1307", "šetřit (v-w6711hsa_1307) - substituted with v-w6711f8_ZU")</f>
        <v>šetřit (v-w6711hsa_1307) - substituted with v-w6711f8_ZU</v>
      </c>
    </row>
    <row r="73613" customFormat="false" ht="12.8" hidden="false" customHeight="false" outlineLevel="0" collapsed="false">
      <c r="B73613" s="0" t="s">
        <v>7</v>
      </c>
    </row>
    <row r="73614" customFormat="false" ht="12.8" hidden="false" customHeight="false" outlineLevel="0" collapsed="false">
      <c r="B73614" s="0" t="s">
        <v>3200</v>
      </c>
    </row>
    <row r="73616" customFormat="false" ht="12.8" hidden="false" customHeight="false" outlineLevel="0" collapsed="false">
      <c r="A73616" s="0" t="s">
        <v>24878</v>
      </c>
      <c r="B73616" s="0" t="str">
        <f aca="false">HYPERLINK("https://lindat.mff.cuni.cz/services/teitok/pdtc10/index.php?action=vallex&amp;frame=v-w6711f4", "šetřit (v-w6711f4)")</f>
        <v>šetřit (v-w6711f4)</v>
      </c>
    </row>
    <row r="73617" customFormat="false" ht="12.8" hidden="false" customHeight="false" outlineLevel="0" collapsed="false">
      <c r="B73617" s="0" t="s">
        <v>7</v>
      </c>
      <c r="C73617" s="0" t="s">
        <v>113</v>
      </c>
      <c r="D73617" s="0" t="s">
        <v>1263</v>
      </c>
      <c r="E73617" s="0" t="s">
        <v>1263</v>
      </c>
      <c r="F73617" s="0" t="s">
        <v>1263</v>
      </c>
    </row>
    <row r="73618" customFormat="false" ht="12.8" hidden="false" customHeight="false" outlineLevel="0" collapsed="false">
      <c r="B73618" s="0" t="s">
        <v>14</v>
      </c>
      <c r="C73618" s="0" t="s">
        <v>33</v>
      </c>
      <c r="D73618" s="0" t="s">
        <v>159</v>
      </c>
      <c r="E73618" s="0" t="s">
        <v>159</v>
      </c>
      <c r="F73618" s="0" t="s">
        <v>159</v>
      </c>
    </row>
    <row r="73620" customFormat="false" ht="12.8" hidden="false" customHeight="false" outlineLevel="0" collapsed="false">
      <c r="A73620" s="0" t="s">
        <v>24879</v>
      </c>
      <c r="B73620" s="0" t="str">
        <f aca="false">HYPERLINK("https://lindat.mff.cuni.cz/services/teitok/pdtc10/index.php?action=vallex&amp;frame=v-w6712f1", "šidit (v-w6712f1)")</f>
        <v>šidit (v-w6712f1)</v>
      </c>
    </row>
    <row r="73621" customFormat="false" ht="12.8" hidden="false" customHeight="false" outlineLevel="0" collapsed="false">
      <c r="B73621" s="0" t="s">
        <v>7</v>
      </c>
      <c r="C73621" s="0" t="s">
        <v>191</v>
      </c>
      <c r="D73621" s="0" t="s">
        <v>191</v>
      </c>
      <c r="E73621" s="0" t="s">
        <v>46</v>
      </c>
      <c r="F73621" s="0" t="s">
        <v>46</v>
      </c>
    </row>
    <row r="73622" customFormat="false" ht="12.8" hidden="false" customHeight="false" outlineLevel="0" collapsed="false">
      <c r="B73622" s="0" t="s">
        <v>14</v>
      </c>
      <c r="C73622" s="0" t="s">
        <v>115</v>
      </c>
      <c r="D73622" s="0" t="s">
        <v>1588</v>
      </c>
      <c r="E73622" s="0" t="s">
        <v>1588</v>
      </c>
      <c r="F73622" s="0" t="s">
        <v>1588</v>
      </c>
    </row>
    <row r="73624" customFormat="false" ht="12.8" hidden="false" customHeight="false" outlineLevel="0" collapsed="false">
      <c r="A73624" s="0" t="s">
        <v>24880</v>
      </c>
      <c r="B73624" s="0" t="str">
        <f aca="false">HYPERLINK("https://lindat.mff.cuni.cz/services/teitok/pdtc10/index.php?action=vallex&amp;frame=v-w6714f1", "šikanovat (v-w6714f1)")</f>
        <v>šikanovat (v-w6714f1)</v>
      </c>
    </row>
    <row r="73625" customFormat="false" ht="12.8" hidden="false" customHeight="false" outlineLevel="0" collapsed="false">
      <c r="B73625" s="0" t="s">
        <v>7</v>
      </c>
    </row>
    <row r="73626" customFormat="false" ht="12.8" hidden="false" customHeight="false" outlineLevel="0" collapsed="false">
      <c r="B73626" s="0" t="s">
        <v>14</v>
      </c>
    </row>
    <row r="73628" customFormat="false" ht="12.8" hidden="false" customHeight="false" outlineLevel="0" collapsed="false">
      <c r="A73628" s="0" t="s">
        <v>24881</v>
      </c>
      <c r="B73628" s="0" t="str">
        <f aca="false">HYPERLINK("https://lindat.mff.cuni.cz/services/teitok/pdtc10/index.php?action=vallex&amp;frame=v-w6716f2", "šilhat (v-w6716f2)")</f>
        <v>šilhat (v-w6716f2)</v>
      </c>
    </row>
    <row r="73629" customFormat="false" ht="12.8" hidden="false" customHeight="false" outlineLevel="0" collapsed="false">
      <c r="B73629" s="0" t="s">
        <v>7</v>
      </c>
    </row>
    <row r="73630" customFormat="false" ht="12.8" hidden="false" customHeight="false" outlineLevel="0" collapsed="false">
      <c r="B73630" s="0" t="s">
        <v>1375</v>
      </c>
    </row>
    <row r="73632" customFormat="false" ht="12.8" hidden="false" customHeight="false" outlineLevel="0" collapsed="false">
      <c r="A73632" s="0" t="s">
        <v>24882</v>
      </c>
      <c r="B73632" s="0" t="str">
        <f aca="false">HYPERLINK("https://lindat.mff.cuni.cz/services/teitok/pdtc10/index.php?action=vallex&amp;frame=v-w6716f1", "šilhat (v-w6716f1)")</f>
        <v>šilhat (v-w6716f1)</v>
      </c>
    </row>
    <row r="73633" customFormat="false" ht="12.8" hidden="false" customHeight="false" outlineLevel="0" collapsed="false">
      <c r="B73633" s="0" t="s">
        <v>7</v>
      </c>
    </row>
    <row r="73635" customFormat="false" ht="12.8" hidden="false" customHeight="false" outlineLevel="0" collapsed="false">
      <c r="A73635" s="0" t="s">
        <v>24883</v>
      </c>
      <c r="B73635" s="0" t="str">
        <f aca="false">HYPERLINK("https://lindat.mff.cuni.cz/services/teitok/pdtc10/index.php?action=vallex&amp;frame=v-w11335f1", "šklebit se (v-w11335f1)")</f>
        <v>šklebit se (v-w11335f1)</v>
      </c>
    </row>
    <row r="73636" customFormat="false" ht="12.8" hidden="false" customHeight="false" outlineLevel="0" collapsed="false">
      <c r="B73636" s="0" t="s">
        <v>7</v>
      </c>
      <c r="F73636" s="0" t="s">
        <v>46</v>
      </c>
    </row>
    <row r="73637" customFormat="false" ht="12.8" hidden="false" customHeight="false" outlineLevel="0" collapsed="false">
      <c r="B73637" s="0" t="s">
        <v>63</v>
      </c>
    </row>
    <row r="73639" customFormat="false" ht="12.8" hidden="false" customHeight="false" outlineLevel="0" collapsed="false">
      <c r="A73639" s="0" t="s">
        <v>24884</v>
      </c>
      <c r="B73639" s="0" t="str">
        <f aca="false">HYPERLINK("https://lindat.mff.cuni.cz/services/teitok/pdtc10/index.php?action=vallex&amp;frame=v-w10745f2", "škobrtnout (v-w10745f2)")</f>
        <v>škobrtnout (v-w10745f2)</v>
      </c>
    </row>
    <row r="73640" customFormat="false" ht="12.8" hidden="false" customHeight="false" outlineLevel="0" collapsed="false">
      <c r="B73640" s="0" t="s">
        <v>7</v>
      </c>
    </row>
    <row r="73642" customFormat="false" ht="12.8" hidden="false" customHeight="false" outlineLevel="0" collapsed="false">
      <c r="A73642" s="0" t="s">
        <v>24885</v>
      </c>
      <c r="B73642" s="0" t="str">
        <f aca="false">HYPERLINK("https://lindat.mff.cuni.cz/services/teitok/pdtc10/index.php?action=vallex&amp;frame=v-w6725f1", "škodit (v-w6725f1)")</f>
        <v>škodit (v-w6725f1)</v>
      </c>
    </row>
    <row r="73643" customFormat="false" ht="12.8" hidden="false" customHeight="false" outlineLevel="0" collapsed="false">
      <c r="B73643" s="0" t="s">
        <v>24886</v>
      </c>
      <c r="C73643" s="0" t="s">
        <v>24887</v>
      </c>
      <c r="D73643" s="0" t="s">
        <v>2062</v>
      </c>
      <c r="E73643" s="0" t="s">
        <v>2062</v>
      </c>
      <c r="F73643" s="0" t="s">
        <v>2063</v>
      </c>
    </row>
    <row r="73644" customFormat="false" ht="12.8" hidden="false" customHeight="false" outlineLevel="0" collapsed="false">
      <c r="B73644" s="0" t="s">
        <v>142</v>
      </c>
      <c r="C73644" s="0" t="s">
        <v>14697</v>
      </c>
      <c r="D73644" s="0" t="s">
        <v>2065</v>
      </c>
      <c r="E73644" s="0" t="s">
        <v>2065</v>
      </c>
      <c r="F73644" s="0" t="s">
        <v>2066</v>
      </c>
    </row>
    <row r="73646" customFormat="false" ht="12.8" hidden="false" customHeight="false" outlineLevel="0" collapsed="false">
      <c r="A73646" s="0" t="s">
        <v>24888</v>
      </c>
      <c r="B73646" s="0" t="str">
        <f aca="false">HYPERLINK("https://lindat.mff.cuni.cz/services/teitok/pdtc10/index.php?action=vallex&amp;frame=v-w6729f3_ZU", "školit (v-w6729f3_ZU)")</f>
        <v>školit (v-w6729f3_ZU)</v>
      </c>
    </row>
    <row r="73647" customFormat="false" ht="12.8" hidden="false" customHeight="false" outlineLevel="0" collapsed="false">
      <c r="B73647" s="0" t="s">
        <v>7</v>
      </c>
      <c r="C73647" s="0" t="s">
        <v>46</v>
      </c>
      <c r="D73647" s="0" t="s">
        <v>8548</v>
      </c>
      <c r="E73647" s="0" t="s">
        <v>8548</v>
      </c>
      <c r="F73647" s="0" t="s">
        <v>8548</v>
      </c>
    </row>
    <row r="73648" customFormat="false" ht="12.8" hidden="false" customHeight="false" outlineLevel="0" collapsed="false">
      <c r="B73648" s="0" t="s">
        <v>24889</v>
      </c>
      <c r="C73648" s="0" t="s">
        <v>74</v>
      </c>
      <c r="D73648" s="0" t="s">
        <v>2935</v>
      </c>
      <c r="E73648" s="0" t="s">
        <v>2935</v>
      </c>
      <c r="F73648" s="0" t="s">
        <v>2935</v>
      </c>
    </row>
    <row r="73649" customFormat="false" ht="12.8" hidden="false" customHeight="false" outlineLevel="0" collapsed="false">
      <c r="B73649" s="0" t="s">
        <v>81</v>
      </c>
      <c r="C73649" s="0" t="s">
        <v>709</v>
      </c>
      <c r="D73649" s="0" t="s">
        <v>12793</v>
      </c>
      <c r="E73649" s="0" t="s">
        <v>12793</v>
      </c>
      <c r="F73649" s="0" t="s">
        <v>12793</v>
      </c>
    </row>
    <row r="73651" customFormat="false" ht="12.8" hidden="false" customHeight="false" outlineLevel="0" collapsed="false">
      <c r="A73651" s="0" t="s">
        <v>24888</v>
      </c>
      <c r="B73651" s="0" t="str">
        <f aca="false">HYPERLINK("https://lindat.mff.cuni.cz/services/teitok/pdtc10/index.php?action=vallex&amp;frame=v-w6729f2", "školit (v-w6729f2) - substituted with v-w6729f3_ZU")</f>
        <v>školit (v-w6729f2) - substituted with v-w6729f3_ZU</v>
      </c>
    </row>
    <row r="73652" customFormat="false" ht="12.8" hidden="false" customHeight="false" outlineLevel="0" collapsed="false">
      <c r="B73652" s="0" t="s">
        <v>7</v>
      </c>
    </row>
    <row r="73653" customFormat="false" ht="12.8" hidden="false" customHeight="false" outlineLevel="0" collapsed="false">
      <c r="B73653" s="0" t="s">
        <v>24889</v>
      </c>
    </row>
    <row r="73654" customFormat="false" ht="12.8" hidden="false" customHeight="false" outlineLevel="0" collapsed="false">
      <c r="B73654" s="0" t="s">
        <v>81</v>
      </c>
    </row>
    <row r="73656" customFormat="false" ht="12.8" hidden="false" customHeight="false" outlineLevel="0" collapsed="false">
      <c r="A73656" s="0" t="s">
        <v>24890</v>
      </c>
      <c r="B73656" s="0" t="str">
        <f aca="false">HYPERLINK("https://lindat.mff.cuni.cz/services/teitok/pdtc10/index.php?action=vallex&amp;frame=v-w6729f1", "školit (v-w6729f1)")</f>
        <v>školit (v-w6729f1)</v>
      </c>
    </row>
    <row r="73657" customFormat="false" ht="12.8" hidden="false" customHeight="false" outlineLevel="0" collapsed="false">
      <c r="B73657" s="0" t="s">
        <v>7</v>
      </c>
      <c r="C73657" s="0" t="s">
        <v>46</v>
      </c>
      <c r="D73657" s="0" t="s">
        <v>8548</v>
      </c>
      <c r="E73657" s="0" t="s">
        <v>8548</v>
      </c>
      <c r="F73657" s="0" t="s">
        <v>8548</v>
      </c>
    </row>
    <row r="73658" customFormat="false" ht="12.8" hidden="false" customHeight="false" outlineLevel="0" collapsed="false">
      <c r="B73658" s="0" t="s">
        <v>14</v>
      </c>
      <c r="C73658" s="0" t="s">
        <v>74</v>
      </c>
      <c r="D73658" s="0" t="s">
        <v>4212</v>
      </c>
      <c r="E73658" s="0" t="s">
        <v>4212</v>
      </c>
      <c r="F73658" s="0" t="s">
        <v>4212</v>
      </c>
    </row>
    <row r="73660" customFormat="false" ht="12.8" hidden="false" customHeight="false" outlineLevel="0" collapsed="false">
      <c r="A73660" s="0" t="s">
        <v>24891</v>
      </c>
      <c r="B73660" s="0" t="str">
        <f aca="false">HYPERLINK("https://lindat.mff.cuni.cz/services/teitok/pdtc10/index.php?action=vallex&amp;frame=v-w11729_ZUf2_ZU", "škrabat (v-w11729_ZUf2_ZU)")</f>
        <v>škrabat (v-w11729_ZUf2_ZU)</v>
      </c>
    </row>
    <row r="73661" customFormat="false" ht="12.8" hidden="false" customHeight="false" outlineLevel="0" collapsed="false">
      <c r="B73661" s="0" t="s">
        <v>7</v>
      </c>
    </row>
    <row r="73662" customFormat="false" ht="12.8" hidden="false" customHeight="false" outlineLevel="0" collapsed="false">
      <c r="B73662" s="0" t="s">
        <v>14</v>
      </c>
    </row>
    <row r="73664" customFormat="false" ht="12.8" hidden="false" customHeight="false" outlineLevel="0" collapsed="false">
      <c r="A73664" s="0" t="s">
        <v>24891</v>
      </c>
      <c r="B73664" s="0" t="str">
        <f aca="false">HYPERLINK("https://lindat.mff.cuni.cz/services/teitok/pdtc10/index.php?action=vallex&amp;frame=v-w11729_ZUf1_ZU", "škrabat (v-w11729_ZUf1_ZU) - substituted with v-w11729_ZUf2_ZU")</f>
        <v>škrabat (v-w11729_ZUf1_ZU) - substituted with v-w11729_ZUf2_ZU</v>
      </c>
    </row>
    <row r="73665" customFormat="false" ht="12.8" hidden="false" customHeight="false" outlineLevel="0" collapsed="false">
      <c r="B73665" s="0" t="s">
        <v>7</v>
      </c>
    </row>
    <row r="73666" customFormat="false" ht="12.8" hidden="false" customHeight="false" outlineLevel="0" collapsed="false">
      <c r="B73666" s="0" t="s">
        <v>14</v>
      </c>
    </row>
    <row r="73668" customFormat="false" ht="12.8" hidden="false" customHeight="false" outlineLevel="0" collapsed="false">
      <c r="A73668" s="0" t="s">
        <v>24892</v>
      </c>
      <c r="B73668" s="0" t="str">
        <f aca="false">HYPERLINK("https://lindat.mff.cuni.cz/services/teitok/pdtc10/index.php?action=vallex&amp;frame=v-w10541f2", "škrtat (v-w10541f2)")</f>
        <v>škrtat (v-w10541f2)</v>
      </c>
    </row>
    <row r="73669" customFormat="false" ht="12.8" hidden="false" customHeight="false" outlineLevel="0" collapsed="false">
      <c r="B73669" s="0" t="s">
        <v>7</v>
      </c>
      <c r="D73669" s="0" t="s">
        <v>88</v>
      </c>
      <c r="E73669" s="0" t="s">
        <v>88</v>
      </c>
      <c r="F73669" s="0" t="s">
        <v>88</v>
      </c>
    </row>
    <row r="73670" customFormat="false" ht="12.8" hidden="false" customHeight="false" outlineLevel="0" collapsed="false">
      <c r="B73670" s="0" t="s">
        <v>14</v>
      </c>
      <c r="D73670" s="0" t="s">
        <v>3872</v>
      </c>
      <c r="E73670" s="0" t="s">
        <v>3872</v>
      </c>
      <c r="F73670" s="0" t="s">
        <v>3872</v>
      </c>
    </row>
    <row r="73672" customFormat="false" ht="12.8" hidden="false" customHeight="false" outlineLevel="0" collapsed="false">
      <c r="A73672" s="0" t="s">
        <v>24893</v>
      </c>
      <c r="B73672" s="0" t="str">
        <f aca="false">HYPERLINK("https://lindat.mff.cuni.cz/services/teitok/pdtc10/index.php?action=vallex&amp;frame=v-w10541f3_ZU", "škrtat (v-w10541f3_ZU)")</f>
        <v>škrtat (v-w10541f3_ZU)</v>
      </c>
    </row>
    <row r="73673" customFormat="false" ht="12.8" hidden="false" customHeight="false" outlineLevel="0" collapsed="false">
      <c r="B73673" s="0" t="s">
        <v>7</v>
      </c>
    </row>
    <row r="73674" customFormat="false" ht="12.8" hidden="false" customHeight="false" outlineLevel="0" collapsed="false">
      <c r="B73674" s="0" t="s">
        <v>615</v>
      </c>
    </row>
    <row r="73676" customFormat="false" ht="12.8" hidden="false" customHeight="false" outlineLevel="0" collapsed="false">
      <c r="A73676" s="0" t="s">
        <v>24894</v>
      </c>
      <c r="B73676" s="0" t="str">
        <f aca="false">HYPERLINK("https://lindat.mff.cuni.cz/services/teitok/pdtc10/index.php?action=vallex&amp;frame=v-w6733f1", "škrtit (v-w6733f1)")</f>
        <v>škrtit (v-w6733f1)</v>
      </c>
    </row>
    <row r="73677" customFormat="false" ht="12.8" hidden="false" customHeight="false" outlineLevel="0" collapsed="false">
      <c r="B73677" s="0" t="s">
        <v>7</v>
      </c>
    </row>
    <row r="73678" customFormat="false" ht="12.8" hidden="false" customHeight="false" outlineLevel="0" collapsed="false">
      <c r="B73678" s="0" t="s">
        <v>14</v>
      </c>
    </row>
    <row r="73680" customFormat="false" ht="12.8" hidden="false" customHeight="false" outlineLevel="0" collapsed="false">
      <c r="A73680" s="0" t="s">
        <v>24895</v>
      </c>
      <c r="B73680" s="0" t="str">
        <f aca="false">HYPERLINK("https://lindat.mff.cuni.cz/services/teitok/pdtc10/index.php?action=vallex&amp;frame=v-w6733f2", "škrtit (v-w6733f2)")</f>
        <v>škrtit (v-w6733f2)</v>
      </c>
    </row>
    <row r="73681" customFormat="false" ht="12.8" hidden="false" customHeight="false" outlineLevel="0" collapsed="false">
      <c r="B73681" s="0" t="s">
        <v>7</v>
      </c>
    </row>
    <row r="73682" customFormat="false" ht="12.8" hidden="false" customHeight="false" outlineLevel="0" collapsed="false">
      <c r="B73682" s="0" t="s">
        <v>14</v>
      </c>
    </row>
    <row r="73684" customFormat="false" ht="12.8" hidden="false" customHeight="false" outlineLevel="0" collapsed="false">
      <c r="A73684" s="0" t="s">
        <v>24896</v>
      </c>
      <c r="B73684" s="0" t="str">
        <f aca="false">HYPERLINK("https://lindat.mff.cuni.cz/services/teitok/pdtc10/index.php?action=vallex&amp;frame=v-w6734f2", "škrtnout (v-w6734f2)")</f>
        <v>škrtnout (v-w6734f2)</v>
      </c>
    </row>
    <row r="73685" customFormat="false" ht="12.8" hidden="false" customHeight="false" outlineLevel="0" collapsed="false">
      <c r="B73685" s="0" t="s">
        <v>7</v>
      </c>
      <c r="C73685" s="0" t="s">
        <v>46</v>
      </c>
      <c r="D73685" s="0" t="s">
        <v>88</v>
      </c>
      <c r="E73685" s="0" t="s">
        <v>88</v>
      </c>
      <c r="F73685" s="0" t="s">
        <v>88</v>
      </c>
    </row>
    <row r="73686" customFormat="false" ht="12.8" hidden="false" customHeight="false" outlineLevel="0" collapsed="false">
      <c r="B73686" s="0" t="s">
        <v>14</v>
      </c>
      <c r="C73686" s="0" t="s">
        <v>567</v>
      </c>
      <c r="D73686" s="0" t="s">
        <v>3872</v>
      </c>
      <c r="E73686" s="0" t="s">
        <v>3872</v>
      </c>
      <c r="F73686" s="0" t="s">
        <v>3872</v>
      </c>
    </row>
    <row r="73688" customFormat="false" ht="12.8" hidden="false" customHeight="false" outlineLevel="0" collapsed="false">
      <c r="A73688" s="0" t="s">
        <v>24897</v>
      </c>
      <c r="B73688" s="0" t="str">
        <f aca="false">HYPERLINK("https://lindat.mff.cuni.cz/services/teitok/pdtc10/index.php?action=vallex&amp;frame=v-w6734f1", "škrtnout (v-w6734f1)")</f>
        <v>škrtnout (v-w6734f1)</v>
      </c>
    </row>
    <row r="73689" customFormat="false" ht="12.8" hidden="false" customHeight="false" outlineLevel="0" collapsed="false">
      <c r="B73689" s="0" t="s">
        <v>7</v>
      </c>
    </row>
    <row r="73690" customFormat="false" ht="12.8" hidden="false" customHeight="false" outlineLevel="0" collapsed="false">
      <c r="B73690" s="0" t="s">
        <v>615</v>
      </c>
    </row>
    <row r="73692" customFormat="false" ht="12.8" hidden="false" customHeight="false" outlineLevel="0" collapsed="false">
      <c r="A73692" s="0" t="s">
        <v>24898</v>
      </c>
      <c r="B73692" s="0" t="str">
        <f aca="false">HYPERLINK("https://lindat.mff.cuni.cz/services/teitok/pdtc10/index.php?action=vallex&amp;frame=v-w6731f1", "škrábat (v-w6731f1)")</f>
        <v>škrábat (v-w6731f1)</v>
      </c>
    </row>
    <row r="73693" customFormat="false" ht="12.8" hidden="false" customHeight="false" outlineLevel="0" collapsed="false">
      <c r="B73693" s="0" t="s">
        <v>7</v>
      </c>
    </row>
    <row r="73694" customFormat="false" ht="12.8" hidden="false" customHeight="false" outlineLevel="0" collapsed="false">
      <c r="B73694" s="0" t="s">
        <v>14</v>
      </c>
    </row>
    <row r="73696" customFormat="false" ht="12.8" hidden="false" customHeight="false" outlineLevel="0" collapsed="false">
      <c r="A73696" s="0" t="s">
        <v>24899</v>
      </c>
      <c r="B73696" s="0" t="str">
        <f aca="false">HYPERLINK("https://lindat.mff.cuni.cz/services/teitok/pdtc10/index.php?action=vallex&amp;frame=v-w6731f2_ZU", "škrábat (v-w6731f2_ZU)")</f>
        <v>škrábat (v-w6731f2_ZU)</v>
      </c>
    </row>
    <row r="73697" customFormat="false" ht="12.8" hidden="false" customHeight="false" outlineLevel="0" collapsed="false">
      <c r="B73697" s="0" t="s">
        <v>7</v>
      </c>
    </row>
    <row r="73698" customFormat="false" ht="12.8" hidden="false" customHeight="false" outlineLevel="0" collapsed="false">
      <c r="B73698" s="0" t="s">
        <v>297</v>
      </c>
    </row>
    <row r="73700" customFormat="false" ht="12.8" hidden="false" customHeight="false" outlineLevel="0" collapsed="false">
      <c r="A73700" s="0" t="s">
        <v>24900</v>
      </c>
      <c r="B73700" s="0" t="str">
        <f aca="false">HYPERLINK("https://lindat.mff.cuni.cz/services/teitok/pdtc10/index.php?action=vallex&amp;frame=v-w6731f3_ZU", "škrábat (v-w6731f3_ZU)")</f>
        <v>škrábat (v-w6731f3_ZU)</v>
      </c>
    </row>
    <row r="73701" customFormat="false" ht="12.8" hidden="false" customHeight="false" outlineLevel="0" collapsed="false">
      <c r="B73701" s="0" t="s">
        <v>7</v>
      </c>
    </row>
    <row r="73702" customFormat="false" ht="12.8" hidden="false" customHeight="false" outlineLevel="0" collapsed="false">
      <c r="B73702" s="0" t="s">
        <v>14</v>
      </c>
    </row>
    <row r="73704" customFormat="false" ht="12.8" hidden="false" customHeight="false" outlineLevel="0" collapsed="false">
      <c r="A73704" s="0" t="s">
        <v>24901</v>
      </c>
      <c r="B73704" s="0" t="str">
        <f aca="false">HYPERLINK("https://lindat.mff.cuni.cz/services/teitok/pdtc10/index.php?action=vallex&amp;frame=v-w11330f1", "škrábat se (v-w11330f1)")</f>
        <v>škrábat se (v-w11330f1)</v>
      </c>
    </row>
    <row r="73705" customFormat="false" ht="12.8" hidden="false" customHeight="false" outlineLevel="0" collapsed="false">
      <c r="B73705" s="0" t="s">
        <v>7</v>
      </c>
    </row>
    <row r="73706" customFormat="false" ht="12.8" hidden="false" customHeight="false" outlineLevel="0" collapsed="false">
      <c r="B73706" s="0" t="s">
        <v>124</v>
      </c>
    </row>
    <row r="73708" customFormat="false" ht="12.8" hidden="false" customHeight="false" outlineLevel="0" collapsed="false">
      <c r="A73708" s="0" t="s">
        <v>24902</v>
      </c>
      <c r="B73708" s="0" t="str">
        <f aca="false">HYPERLINK("https://lindat.mff.cuni.cz/services/teitok/pdtc10/index.php?action=vallex&amp;frame=v-w12015_ZUf1_ZU", "škrábnout (v-w12015_ZUf1_ZU)")</f>
        <v>škrábnout (v-w12015_ZUf1_ZU)</v>
      </c>
    </row>
    <row r="73709" customFormat="false" ht="12.8" hidden="false" customHeight="false" outlineLevel="0" collapsed="false">
      <c r="B73709" s="0" t="s">
        <v>7</v>
      </c>
    </row>
    <row r="73710" customFormat="false" ht="12.8" hidden="false" customHeight="false" outlineLevel="0" collapsed="false">
      <c r="B73710" s="0" t="s">
        <v>14</v>
      </c>
    </row>
    <row r="73712" customFormat="false" ht="12.8" hidden="false" customHeight="false" outlineLevel="0" collapsed="false">
      <c r="A73712" s="0" t="s">
        <v>24903</v>
      </c>
      <c r="B73712" s="0" t="str">
        <f aca="false">HYPERLINK("https://lindat.mff.cuni.cz/services/teitok/pdtc10/index.php?action=vallex&amp;frame=v-w11993_ZUf1_ZU", "škubat (v-w11993_ZUf1_ZU)")</f>
        <v>škubat (v-w11993_ZUf1_ZU)</v>
      </c>
    </row>
    <row r="73713" customFormat="false" ht="12.8" hidden="false" customHeight="false" outlineLevel="0" collapsed="false">
      <c r="B73713" s="0" t="s">
        <v>7</v>
      </c>
    </row>
    <row r="73714" customFormat="false" ht="12.8" hidden="false" customHeight="false" outlineLevel="0" collapsed="false">
      <c r="B73714" s="0" t="s">
        <v>14</v>
      </c>
    </row>
    <row r="73716" customFormat="false" ht="12.8" hidden="false" customHeight="false" outlineLevel="0" collapsed="false">
      <c r="A73716" s="0" t="s">
        <v>24904</v>
      </c>
      <c r="B73716" s="0" t="str">
        <f aca="false">HYPERLINK("https://lindat.mff.cuni.cz/services/teitok/pdtc10/index.php?action=vallex&amp;frame=v-w11588_ZUf1_ZU", "škudlit (v-w11588_ZUf1_ZU)")</f>
        <v>škudlit (v-w11588_ZUf1_ZU)</v>
      </c>
    </row>
    <row r="73717" customFormat="false" ht="12.8" hidden="false" customHeight="false" outlineLevel="0" collapsed="false">
      <c r="B73717" s="0" t="s">
        <v>7</v>
      </c>
      <c r="C73717" s="0" t="s">
        <v>191</v>
      </c>
      <c r="D73717" s="0" t="s">
        <v>1263</v>
      </c>
      <c r="E73717" s="0" t="s">
        <v>1263</v>
      </c>
      <c r="F73717" s="0" t="s">
        <v>1263</v>
      </c>
    </row>
    <row r="73718" customFormat="false" ht="12.8" hidden="false" customHeight="false" outlineLevel="0" collapsed="false">
      <c r="B73718" s="0" t="s">
        <v>14</v>
      </c>
      <c r="D73718" s="0" t="s">
        <v>159</v>
      </c>
      <c r="E73718" s="0" t="s">
        <v>159</v>
      </c>
      <c r="F73718" s="0" t="s">
        <v>159</v>
      </c>
    </row>
    <row r="73720" customFormat="false" ht="12.8" hidden="false" customHeight="false" outlineLevel="0" collapsed="false">
      <c r="A73720" s="0" t="s">
        <v>24905</v>
      </c>
      <c r="B73720" s="0" t="str">
        <f aca="false">HYPERLINK("https://lindat.mff.cuni.cz/services/teitok/pdtc10/index.php?action=vallex&amp;frame=v-w11588_ZUhsa_1037", "škudlit (v-w11588_ZUhsa_1037)")</f>
        <v>škudlit (v-w11588_ZUhsa_1037)</v>
      </c>
    </row>
    <row r="73721" customFormat="false" ht="12.8" hidden="false" customHeight="false" outlineLevel="0" collapsed="false">
      <c r="B73721" s="0" t="s">
        <v>7</v>
      </c>
    </row>
    <row r="73722" customFormat="false" ht="12.8" hidden="false" customHeight="false" outlineLevel="0" collapsed="false">
      <c r="B73722" s="0" t="s">
        <v>3200</v>
      </c>
    </row>
    <row r="73724" customFormat="false" ht="12.8" hidden="false" customHeight="false" outlineLevel="0" collapsed="false">
      <c r="A73724" s="0" t="s">
        <v>24906</v>
      </c>
      <c r="B73724" s="0" t="str">
        <f aca="false">HYPERLINK("https://lindat.mff.cuni.cz/services/teitok/pdtc10/index.php?action=vallex&amp;frame=v-whsa_1774hsa_1775", "škvařit (v-whsa_1774hsa_1775)")</f>
        <v>škvařit (v-whsa_1774hsa_1775)</v>
      </c>
    </row>
    <row r="73725" customFormat="false" ht="12.8" hidden="false" customHeight="false" outlineLevel="0" collapsed="false">
      <c r="B73725" s="0" t="s">
        <v>7</v>
      </c>
    </row>
    <row r="73726" customFormat="false" ht="12.8" hidden="false" customHeight="false" outlineLevel="0" collapsed="false">
      <c r="B73726" s="0" t="s">
        <v>14</v>
      </c>
    </row>
    <row r="73728" customFormat="false" ht="12.8" hidden="false" customHeight="false" outlineLevel="0" collapsed="false">
      <c r="A73728" s="0" t="s">
        <v>24907</v>
      </c>
      <c r="B73728" s="0" t="str">
        <f aca="false">HYPERLINK("https://lindat.mff.cuni.cz/services/teitok/pdtc10/index.php?action=vallex&amp;frame=v-w6736f1", "šlapat (v-w6736f1)")</f>
        <v>šlapat (v-w6736f1)</v>
      </c>
    </row>
    <row r="73729" customFormat="false" ht="12.8" hidden="false" customHeight="false" outlineLevel="0" collapsed="false">
      <c r="B73729" s="0" t="s">
        <v>7</v>
      </c>
    </row>
    <row r="73731" customFormat="false" ht="12.8" hidden="false" customHeight="false" outlineLevel="0" collapsed="false">
      <c r="A73731" s="0" t="s">
        <v>24908</v>
      </c>
      <c r="B73731" s="0" t="str">
        <f aca="false">HYPERLINK("https://lindat.mff.cuni.cz/services/teitok/pdtc10/index.php?action=vallex&amp;frame=v-w6736f2", "šlapat (v-w6736f2)")</f>
        <v>šlapat (v-w6736f2)</v>
      </c>
    </row>
    <row r="73732" customFormat="false" ht="12.8" hidden="false" customHeight="false" outlineLevel="0" collapsed="false">
      <c r="B73732" s="0" t="s">
        <v>7</v>
      </c>
      <c r="C73732" s="0" t="s">
        <v>623</v>
      </c>
    </row>
    <row r="73733" customFormat="false" ht="12.8" hidden="false" customHeight="false" outlineLevel="0" collapsed="false">
      <c r="B73733" s="0" t="s">
        <v>24909</v>
      </c>
      <c r="C73733" s="0" t="s">
        <v>24910</v>
      </c>
    </row>
    <row r="73734" customFormat="false" ht="12.8" hidden="false" customHeight="false" outlineLevel="0" collapsed="false">
      <c r="B73734" s="0" t="s">
        <v>142</v>
      </c>
    </row>
    <row r="73736" customFormat="false" ht="12.8" hidden="false" customHeight="false" outlineLevel="0" collapsed="false">
      <c r="A73736" s="0" t="s">
        <v>24911</v>
      </c>
      <c r="B73736" s="0" t="str">
        <f aca="false">HYPERLINK("https://lindat.mff.cuni.cz/services/teitok/pdtc10/index.php?action=vallex&amp;frame=v-w6736f3_ZU", "šlapat (v-w6736f3_ZU)")</f>
        <v>šlapat (v-w6736f3_ZU)</v>
      </c>
    </row>
    <row r="73737" customFormat="false" ht="12.8" hidden="false" customHeight="false" outlineLevel="0" collapsed="false">
      <c r="B73737" s="0" t="s">
        <v>7</v>
      </c>
    </row>
    <row r="73738" customFormat="false" ht="12.8" hidden="false" customHeight="false" outlineLevel="0" collapsed="false">
      <c r="B73738" s="0" t="s">
        <v>14</v>
      </c>
    </row>
    <row r="73740" customFormat="false" ht="12.8" hidden="false" customHeight="false" outlineLevel="0" collapsed="false">
      <c r="A73740" s="0" t="s">
        <v>24912</v>
      </c>
      <c r="B73740" s="0" t="str">
        <f aca="false">HYPERLINK("https://lindat.mff.cuni.cz/services/teitok/pdtc10/index.php?action=vallex&amp;frame=v-w6736f5_ZU", "šlapat (v-w6736f5_ZU)")</f>
        <v>šlapat (v-w6736f5_ZU)</v>
      </c>
    </row>
    <row r="73741" customFormat="false" ht="12.8" hidden="false" customHeight="false" outlineLevel="0" collapsed="false">
      <c r="B73741" s="0" t="s">
        <v>7</v>
      </c>
    </row>
    <row r="73742" customFormat="false" ht="12.8" hidden="false" customHeight="false" outlineLevel="0" collapsed="false">
      <c r="B73742" s="0" t="s">
        <v>338</v>
      </c>
    </row>
    <row r="73744" customFormat="false" ht="12.8" hidden="false" customHeight="false" outlineLevel="0" collapsed="false">
      <c r="A73744" s="0" t="s">
        <v>24913</v>
      </c>
      <c r="B73744" s="0" t="str">
        <f aca="false">HYPERLINK("https://lindat.mff.cuni.cz/services/teitok/pdtc10/index.php?action=vallex&amp;frame=v-w6736f6_ZU", "šlapat (v-w6736f6_ZU)")</f>
        <v>šlapat (v-w6736f6_ZU)</v>
      </c>
    </row>
    <row r="73745" customFormat="false" ht="12.8" hidden="false" customHeight="false" outlineLevel="0" collapsed="false">
      <c r="B73745" s="0" t="s">
        <v>7</v>
      </c>
    </row>
    <row r="73747" customFormat="false" ht="12.8" hidden="false" customHeight="false" outlineLevel="0" collapsed="false">
      <c r="A73747" s="0" t="s">
        <v>24913</v>
      </c>
      <c r="B73747" s="0" t="str">
        <f aca="false">HYPERLINK("https://lindat.mff.cuni.cz/services/teitok/pdtc10/index.php?action=vallex&amp;frame=v-w6736f4_ZU", "šlapat (v-w6736f4_ZU) - substituted with v-w6736f6_ZU")</f>
        <v>šlapat (v-w6736f4_ZU) - substituted with v-w6736f6_ZU</v>
      </c>
    </row>
    <row r="73748" customFormat="false" ht="12.8" hidden="false" customHeight="false" outlineLevel="0" collapsed="false">
      <c r="B73748" s="0" t="s">
        <v>7</v>
      </c>
    </row>
    <row r="73750" customFormat="false" ht="12.8" hidden="false" customHeight="false" outlineLevel="0" collapsed="false">
      <c r="A73750" s="0" t="s">
        <v>24914</v>
      </c>
      <c r="B73750" s="0" t="str">
        <f aca="false">HYPERLINK("https://lindat.mff.cuni.cz/services/teitok/pdtc10/index.php?action=vallex&amp;frame=v-whsa_1906f1_ZU", "šlápnout (v-whsa_1906f1_ZU)")</f>
        <v>šlápnout (v-whsa_1906f1_ZU)</v>
      </c>
    </row>
    <row r="73751" customFormat="false" ht="12.8" hidden="false" customHeight="false" outlineLevel="0" collapsed="false">
      <c r="B73751" s="0" t="s">
        <v>7</v>
      </c>
    </row>
    <row r="73753" customFormat="false" ht="12.8" hidden="false" customHeight="false" outlineLevel="0" collapsed="false">
      <c r="A73753" s="0" t="s">
        <v>24915</v>
      </c>
      <c r="B73753" s="0" t="str">
        <f aca="false">HYPERLINK("https://lindat.mff.cuni.cz/services/teitok/pdtc10/index.php?action=vallex&amp;frame=v-whsa_1906hsa_1907", "šlápnout (v-whsa_1906hsa_1907)")</f>
        <v>šlápnout (v-whsa_1906hsa_1907)</v>
      </c>
    </row>
    <row r="73754" customFormat="false" ht="12.8" hidden="false" customHeight="false" outlineLevel="0" collapsed="false">
      <c r="B73754" s="0" t="s">
        <v>7</v>
      </c>
    </row>
    <row r="73755" customFormat="false" ht="12.8" hidden="false" customHeight="false" outlineLevel="0" collapsed="false">
      <c r="B73755" s="0" t="s">
        <v>124</v>
      </c>
    </row>
    <row r="73757" customFormat="false" ht="12.8" hidden="false" customHeight="false" outlineLevel="0" collapsed="false">
      <c r="A73757" s="0" t="s">
        <v>24916</v>
      </c>
      <c r="B73757" s="0" t="str">
        <f aca="false">HYPERLINK("https://lindat.mff.cuni.cz/services/teitok/pdtc10/index.php?action=vallex&amp;frame=v-w12050_ZUf1_ZU", "šmajdat (v-w12050_ZUf1_ZU)")</f>
        <v>šmajdat (v-w12050_ZUf1_ZU)</v>
      </c>
    </row>
    <row r="73758" customFormat="false" ht="12.8" hidden="false" customHeight="false" outlineLevel="0" collapsed="false">
      <c r="B73758" s="0" t="s">
        <v>7</v>
      </c>
    </row>
    <row r="73760" customFormat="false" ht="12.8" hidden="false" customHeight="false" outlineLevel="0" collapsed="false">
      <c r="A73760" s="0" t="s">
        <v>24917</v>
      </c>
      <c r="B73760" s="0" t="str">
        <f aca="false">HYPERLINK("https://lindat.mff.cuni.cz/services/teitok/pdtc10/index.php?action=vallex&amp;frame=v-whsa_719hsa_720", "šmakovat (v-whsa_719hsa_720)")</f>
        <v>šmakovat (v-whsa_719hsa_720)</v>
      </c>
    </row>
    <row r="73761" customFormat="false" ht="12.8" hidden="false" customHeight="false" outlineLevel="0" collapsed="false">
      <c r="B73761" s="0" t="s">
        <v>603</v>
      </c>
    </row>
    <row r="73762" customFormat="false" ht="12.8" hidden="false" customHeight="false" outlineLevel="0" collapsed="false">
      <c r="B73762" s="0" t="s">
        <v>3108</v>
      </c>
    </row>
    <row r="73764" customFormat="false" ht="12.8" hidden="false" customHeight="false" outlineLevel="0" collapsed="false">
      <c r="A73764" s="0" t="s">
        <v>24918</v>
      </c>
      <c r="B73764" s="0" t="str">
        <f aca="false">HYPERLINK("https://lindat.mff.cuni.cz/services/teitok/pdtc10/index.php?action=vallex&amp;frame=v-w10305f2", "šmátrat (v-w10305f2)")</f>
        <v>šmátrat (v-w10305f2)</v>
      </c>
    </row>
    <row r="73765" customFormat="false" ht="12.8" hidden="false" customHeight="false" outlineLevel="0" collapsed="false">
      <c r="B73765" s="0" t="s">
        <v>7</v>
      </c>
      <c r="D73765" s="0" t="s">
        <v>184</v>
      </c>
      <c r="E73765" s="0" t="s">
        <v>335</v>
      </c>
      <c r="F73765" s="0" t="s">
        <v>335</v>
      </c>
    </row>
    <row r="73766" customFormat="false" ht="12.8" hidden="false" customHeight="false" outlineLevel="0" collapsed="false">
      <c r="B73766" s="0" t="s">
        <v>11</v>
      </c>
      <c r="D73766" s="0" t="s">
        <v>17884</v>
      </c>
      <c r="E73766" s="0" t="s">
        <v>17884</v>
      </c>
      <c r="F73766" s="0" t="s">
        <v>17884</v>
      </c>
    </row>
    <row r="73768" customFormat="false" ht="12.8" hidden="false" customHeight="false" outlineLevel="0" collapsed="false">
      <c r="A73768" s="0" t="s">
        <v>24919</v>
      </c>
      <c r="B73768" s="0" t="str">
        <f aca="false">HYPERLINK("https://lindat.mff.cuni.cz/services/teitok/pdtc10/index.php?action=vallex&amp;frame=v-whsb_999hsa_1000", "šnorchlovat (v-whsb_999hsa_1000)")</f>
        <v>šnorchlovat (v-whsb_999hsa_1000)</v>
      </c>
    </row>
    <row r="73769" customFormat="false" ht="12.8" hidden="false" customHeight="false" outlineLevel="0" collapsed="false">
      <c r="B73769" s="0" t="s">
        <v>7</v>
      </c>
    </row>
    <row r="73771" customFormat="false" ht="12.8" hidden="false" customHeight="false" outlineLevel="0" collapsed="false">
      <c r="A73771" s="0" t="s">
        <v>24920</v>
      </c>
      <c r="B73771" s="0" t="str">
        <f aca="false">HYPERLINK("https://lindat.mff.cuni.cz/services/teitok/pdtc10/index.php?action=vallex&amp;frame=v-w6737f1", "šněrovat (v-w6737f1)")</f>
        <v>šněrovat (v-w6737f1)</v>
      </c>
    </row>
    <row r="73772" customFormat="false" ht="12.8" hidden="false" customHeight="false" outlineLevel="0" collapsed="false">
      <c r="B73772" s="0" t="s">
        <v>7</v>
      </c>
    </row>
    <row r="73773" customFormat="false" ht="12.8" hidden="false" customHeight="false" outlineLevel="0" collapsed="false">
      <c r="B73773" s="0" t="s">
        <v>14</v>
      </c>
    </row>
    <row r="73775" customFormat="false" ht="12.8" hidden="false" customHeight="false" outlineLevel="0" collapsed="false">
      <c r="A73775" s="0" t="s">
        <v>24921</v>
      </c>
      <c r="B73775" s="0" t="str">
        <f aca="false">HYPERLINK("https://lindat.mff.cuni.cz/services/teitok/pdtc10/index.php?action=vallex&amp;frame=v-w6737f2_MM", "šněrovat (v-w6737f2_MM)")</f>
        <v>šněrovat (v-w6737f2_MM)</v>
      </c>
    </row>
    <row r="73776" customFormat="false" ht="12.8" hidden="false" customHeight="false" outlineLevel="0" collapsed="false">
      <c r="B73776" s="0" t="s">
        <v>7</v>
      </c>
    </row>
    <row r="73777" customFormat="false" ht="12.8" hidden="false" customHeight="false" outlineLevel="0" collapsed="false">
      <c r="B73777" s="0" t="s">
        <v>14</v>
      </c>
    </row>
    <row r="73779" customFormat="false" ht="12.8" hidden="false" customHeight="false" outlineLevel="0" collapsed="false">
      <c r="A73779" s="0" t="s">
        <v>24922</v>
      </c>
      <c r="B73779" s="0" t="str">
        <f aca="false">HYPERLINK("https://lindat.mff.cuni.cz/services/teitok/pdtc10/index.php?action=vallex&amp;frame=v-w6740f1", "šokovat (v-w6740f1)")</f>
        <v>šokovat (v-w6740f1)</v>
      </c>
    </row>
    <row r="73780" customFormat="false" ht="12.8" hidden="false" customHeight="false" outlineLevel="0" collapsed="false">
      <c r="B73780" s="0" t="s">
        <v>8792</v>
      </c>
      <c r="C73780" s="0" t="s">
        <v>3709</v>
      </c>
      <c r="D73780" s="0" t="s">
        <v>8794</v>
      </c>
      <c r="E73780" s="0" t="s">
        <v>8794</v>
      </c>
      <c r="F73780" s="0" t="s">
        <v>8794</v>
      </c>
    </row>
    <row r="73781" customFormat="false" ht="12.8" hidden="false" customHeight="false" outlineLevel="0" collapsed="false">
      <c r="B73781" s="0" t="s">
        <v>14</v>
      </c>
      <c r="C73781" s="0" t="s">
        <v>120</v>
      </c>
      <c r="D73781" s="0" t="s">
        <v>8796</v>
      </c>
      <c r="E73781" s="0" t="s">
        <v>8796</v>
      </c>
      <c r="F73781" s="0" t="s">
        <v>8796</v>
      </c>
    </row>
    <row r="73783" customFormat="false" ht="12.8" hidden="false" customHeight="false" outlineLevel="0" collapsed="false">
      <c r="A73783" s="0" t="s">
        <v>24923</v>
      </c>
      <c r="B73783" s="0" t="str">
        <f aca="false">HYPERLINK("https://lindat.mff.cuni.cz/services/teitok/pdtc10/index.php?action=vallex&amp;frame=v-w11669_ZUf3_ZU", "šoupat (v-w11669_ZUf3_ZU)")</f>
        <v>šoupat (v-w11669_ZUf3_ZU)</v>
      </c>
    </row>
    <row r="73784" customFormat="false" ht="12.8" hidden="false" customHeight="false" outlineLevel="0" collapsed="false">
      <c r="B73784" s="0" t="s">
        <v>7</v>
      </c>
    </row>
    <row r="73785" customFormat="false" ht="12.8" hidden="false" customHeight="false" outlineLevel="0" collapsed="false">
      <c r="B73785" s="0" t="s">
        <v>1836</v>
      </c>
    </row>
    <row r="73787" customFormat="false" ht="12.8" hidden="false" customHeight="false" outlineLevel="0" collapsed="false">
      <c r="A73787" s="0" t="s">
        <v>24923</v>
      </c>
      <c r="B73787" s="0" t="str">
        <f aca="false">HYPERLINK("https://lindat.mff.cuni.cz/services/teitok/pdtc10/index.php?action=vallex&amp;frame=v-w11669_ZUf1_ZU", "šoupat (v-w11669_ZUf1_ZU) - substituted with v-w11669_ZUf3_ZU")</f>
        <v>šoupat (v-w11669_ZUf1_ZU) - substituted with v-w11669_ZUf3_ZU</v>
      </c>
    </row>
    <row r="73788" customFormat="false" ht="12.8" hidden="false" customHeight="false" outlineLevel="0" collapsed="false">
      <c r="B73788" s="0" t="s">
        <v>7</v>
      </c>
      <c r="D73788" s="0" t="s">
        <v>4161</v>
      </c>
      <c r="E73788" s="0" t="s">
        <v>4161</v>
      </c>
      <c r="F73788" s="0" t="s">
        <v>4161</v>
      </c>
    </row>
    <row r="73789" customFormat="false" ht="12.8" hidden="false" customHeight="false" outlineLevel="0" collapsed="false">
      <c r="B73789" s="0" t="s">
        <v>1836</v>
      </c>
      <c r="C73789" s="0" t="s">
        <v>203</v>
      </c>
      <c r="D73789" s="0" t="s">
        <v>8195</v>
      </c>
      <c r="E73789" s="0" t="s">
        <v>8195</v>
      </c>
      <c r="F73789" s="0" t="s">
        <v>8195</v>
      </c>
    </row>
    <row r="73791" customFormat="false" ht="12.8" hidden="false" customHeight="false" outlineLevel="0" collapsed="false">
      <c r="A73791" s="0" t="s">
        <v>24923</v>
      </c>
      <c r="B73791" s="0" t="str">
        <f aca="false">HYPERLINK("https://lindat.mff.cuni.cz/services/teitok/pdtc10/index.php?action=vallex&amp;frame=v-w11669_ZUf2_ZU", "šoupat (v-w11669_ZUf2_ZU) - substituted with v-w11669_ZUf3_ZU")</f>
        <v>šoupat (v-w11669_ZUf2_ZU) - substituted with v-w11669_ZUf3_ZU</v>
      </c>
    </row>
    <row r="73792" customFormat="false" ht="12.8" hidden="false" customHeight="false" outlineLevel="0" collapsed="false">
      <c r="B73792" s="0" t="s">
        <v>7</v>
      </c>
    </row>
    <row r="73793" customFormat="false" ht="12.8" hidden="false" customHeight="false" outlineLevel="0" collapsed="false">
      <c r="B73793" s="0" t="s">
        <v>1836</v>
      </c>
    </row>
    <row r="73795" customFormat="false" ht="12.8" hidden="false" customHeight="false" outlineLevel="0" collapsed="false">
      <c r="A73795" s="0" t="s">
        <v>24924</v>
      </c>
      <c r="B73795" s="0" t="str">
        <f aca="false">HYPERLINK("https://lindat.mff.cuni.cz/services/teitok/pdtc10/index.php?action=vallex&amp;frame=v-w6741f1", "šoupnout (v-w6741f1)")</f>
        <v>šoupnout (v-w6741f1)</v>
      </c>
    </row>
    <row r="73796" customFormat="false" ht="12.8" hidden="false" customHeight="false" outlineLevel="0" collapsed="false">
      <c r="B73796" s="0" t="s">
        <v>7</v>
      </c>
    </row>
    <row r="73797" customFormat="false" ht="12.8" hidden="false" customHeight="false" outlineLevel="0" collapsed="false">
      <c r="B73797" s="0" t="s">
        <v>14</v>
      </c>
    </row>
    <row r="73798" customFormat="false" ht="12.8" hidden="false" customHeight="false" outlineLevel="0" collapsed="false">
      <c r="B73798" s="0" t="s">
        <v>124</v>
      </c>
    </row>
    <row r="73800" customFormat="false" ht="12.8" hidden="false" customHeight="false" outlineLevel="0" collapsed="false">
      <c r="A73800" s="0" t="s">
        <v>24925</v>
      </c>
      <c r="B73800" s="0" t="str">
        <f aca="false">HYPERLINK("https://lindat.mff.cuni.cz/services/teitok/pdtc10/index.php?action=vallex&amp;frame=v-w6741f2_ZU", "šoupnout (v-w6741f2_ZU)")</f>
        <v>šoupnout (v-w6741f2_ZU)</v>
      </c>
    </row>
    <row r="73801" customFormat="false" ht="12.8" hidden="false" customHeight="false" outlineLevel="0" collapsed="false">
      <c r="B73801" s="0" t="s">
        <v>7</v>
      </c>
    </row>
    <row r="73802" customFormat="false" ht="12.8" hidden="false" customHeight="false" outlineLevel="0" collapsed="false">
      <c r="B73802" s="0" t="s">
        <v>48</v>
      </c>
    </row>
    <row r="73803" customFormat="false" ht="12.8" hidden="false" customHeight="false" outlineLevel="0" collapsed="false">
      <c r="B73803" s="0" t="s">
        <v>14</v>
      </c>
    </row>
    <row r="73805" customFormat="false" ht="12.8" hidden="false" customHeight="false" outlineLevel="0" collapsed="false">
      <c r="A73805" s="0" t="s">
        <v>24926</v>
      </c>
      <c r="B73805" s="0" t="str">
        <f aca="false">HYPERLINK("https://lindat.mff.cuni.cz/services/teitok/pdtc10/index.php?action=vallex&amp;frame=v-w6742f1", "šoustnout si (v-w6742f1)")</f>
        <v>šoustnout si (v-w6742f1)</v>
      </c>
    </row>
    <row r="73806" customFormat="false" ht="12.8" hidden="false" customHeight="false" outlineLevel="0" collapsed="false">
      <c r="B73806" s="0" t="s">
        <v>457</v>
      </c>
    </row>
    <row r="73807" customFormat="false" ht="12.8" hidden="false" customHeight="false" outlineLevel="0" collapsed="false">
      <c r="B73807" s="0" t="s">
        <v>525</v>
      </c>
    </row>
    <row r="73808" customFormat="false" ht="12.8" hidden="false" customHeight="false" outlineLevel="0" collapsed="false">
      <c r="B73808" s="0" t="s">
        <v>259</v>
      </c>
    </row>
    <row r="73810" customFormat="false" ht="12.8" hidden="false" customHeight="false" outlineLevel="0" collapsed="false">
      <c r="A73810" s="0" t="s">
        <v>24927</v>
      </c>
      <c r="B73810" s="0" t="str">
        <f aca="false">HYPERLINK("https://lindat.mff.cuni.cz/services/teitok/pdtc10/index.php?action=vallex&amp;frame=v-w6743f1", "špehovat (v-w6743f1)")</f>
        <v>špehovat (v-w6743f1)</v>
      </c>
    </row>
    <row r="73811" customFormat="false" ht="12.8" hidden="false" customHeight="false" outlineLevel="0" collapsed="false">
      <c r="B73811" s="0" t="s">
        <v>7</v>
      </c>
    </row>
    <row r="73812" customFormat="false" ht="12.8" hidden="false" customHeight="false" outlineLevel="0" collapsed="false">
      <c r="B73812" s="0" t="s">
        <v>14</v>
      </c>
    </row>
    <row r="73814" customFormat="false" ht="12.8" hidden="false" customHeight="false" outlineLevel="0" collapsed="false">
      <c r="A73814" s="0" t="s">
        <v>24928</v>
      </c>
      <c r="B73814" s="0" t="str">
        <f aca="false">HYPERLINK("https://lindat.mff.cuni.cz/services/teitok/pdtc10/index.php?action=vallex&amp;frame=v-whsa_706hsa_707", "špinit (v-whsa_706hsa_707)")</f>
        <v>špinit (v-whsa_706hsa_707)</v>
      </c>
    </row>
    <row r="73815" customFormat="false" ht="12.8" hidden="false" customHeight="false" outlineLevel="0" collapsed="false">
      <c r="B73815" s="0" t="s">
        <v>7</v>
      </c>
    </row>
    <row r="73816" customFormat="false" ht="12.8" hidden="false" customHeight="false" outlineLevel="0" collapsed="false">
      <c r="B73816" s="0" t="s">
        <v>14</v>
      </c>
    </row>
    <row r="73818" customFormat="false" ht="12.8" hidden="false" customHeight="false" outlineLevel="0" collapsed="false">
      <c r="A73818" s="0" t="s">
        <v>24929</v>
      </c>
      <c r="B73818" s="0" t="str">
        <f aca="false">HYPERLINK("https://lindat.mff.cuni.cz/services/teitok/pdtc10/index.php?action=vallex&amp;frame=v-w6744f1", "špitat (v-w6744f1)")</f>
        <v>špitat (v-w6744f1)</v>
      </c>
    </row>
    <row r="73819" customFormat="false" ht="12.8" hidden="false" customHeight="false" outlineLevel="0" collapsed="false">
      <c r="B73819" s="0" t="s">
        <v>7</v>
      </c>
      <c r="D73819" s="0" t="s">
        <v>18504</v>
      </c>
      <c r="E73819" s="0" t="s">
        <v>23219</v>
      </c>
      <c r="F73819" s="0" t="s">
        <v>23219</v>
      </c>
    </row>
    <row r="73820" customFormat="false" ht="12.8" hidden="false" customHeight="false" outlineLevel="0" collapsed="false">
      <c r="B73820" s="0" t="s">
        <v>7351</v>
      </c>
      <c r="D73820" s="0" t="s">
        <v>23220</v>
      </c>
      <c r="E73820" s="0" t="s">
        <v>23221</v>
      </c>
      <c r="F73820" s="0" t="s">
        <v>23221</v>
      </c>
    </row>
    <row r="73821" customFormat="false" ht="12.8" hidden="false" customHeight="false" outlineLevel="0" collapsed="false">
      <c r="B73821" s="0" t="s">
        <v>363</v>
      </c>
    </row>
    <row r="73822" customFormat="false" ht="12.8" hidden="false" customHeight="false" outlineLevel="0" collapsed="false">
      <c r="B73822" s="0" t="s">
        <v>106</v>
      </c>
      <c r="D73822" s="0" t="s">
        <v>23222</v>
      </c>
      <c r="E73822" s="0" t="s">
        <v>23223</v>
      </c>
      <c r="F73822" s="0" t="s">
        <v>23223</v>
      </c>
    </row>
    <row r="73824" customFormat="false" ht="12.8" hidden="false" customHeight="false" outlineLevel="0" collapsed="false">
      <c r="A73824" s="0" t="s">
        <v>24930</v>
      </c>
      <c r="B73824" s="0" t="str">
        <f aca="false">HYPERLINK("https://lindat.mff.cuni.cz/services/teitok/pdtc10/index.php?action=vallex&amp;frame=v-w6745f1", "špitnout (v-w6745f1)")</f>
        <v>špitnout (v-w6745f1)</v>
      </c>
    </row>
    <row r="73825" customFormat="false" ht="12.8" hidden="false" customHeight="false" outlineLevel="0" collapsed="false">
      <c r="B73825" s="0" t="s">
        <v>7</v>
      </c>
      <c r="E73825" s="0" t="s">
        <v>46</v>
      </c>
      <c r="F73825" s="0" t="s">
        <v>46</v>
      </c>
    </row>
    <row r="73826" customFormat="false" ht="12.8" hidden="false" customHeight="false" outlineLevel="0" collapsed="false">
      <c r="B73826" s="0" t="s">
        <v>14</v>
      </c>
      <c r="E73826" s="0" t="s">
        <v>567</v>
      </c>
      <c r="F73826" s="0" t="s">
        <v>567</v>
      </c>
    </row>
    <row r="73828" customFormat="false" ht="12.8" hidden="false" customHeight="false" outlineLevel="0" collapsed="false">
      <c r="A73828" s="0" t="s">
        <v>24931</v>
      </c>
      <c r="B73828" s="0" t="str">
        <f aca="false">HYPERLINK("https://lindat.mff.cuni.cz/services/teitok/pdtc10/index.php?action=vallex&amp;frame=v-w6745f2", "špitnout (v-w6745f2)")</f>
        <v>špitnout (v-w6745f2)</v>
      </c>
    </row>
    <row r="73829" customFormat="false" ht="12.8" hidden="false" customHeight="false" outlineLevel="0" collapsed="false">
      <c r="B73829" s="0" t="s">
        <v>7</v>
      </c>
      <c r="D73829" s="0" t="s">
        <v>18504</v>
      </c>
      <c r="E73829" s="0" t="s">
        <v>23219</v>
      </c>
      <c r="F73829" s="0" t="s">
        <v>23219</v>
      </c>
    </row>
    <row r="73830" customFormat="false" ht="12.8" hidden="false" customHeight="false" outlineLevel="0" collapsed="false">
      <c r="B73830" s="0" t="s">
        <v>7351</v>
      </c>
      <c r="D73830" s="0" t="s">
        <v>23220</v>
      </c>
      <c r="E73830" s="0" t="s">
        <v>23221</v>
      </c>
      <c r="F73830" s="0" t="s">
        <v>23221</v>
      </c>
    </row>
    <row r="73831" customFormat="false" ht="12.8" hidden="false" customHeight="false" outlineLevel="0" collapsed="false">
      <c r="B73831" s="0" t="s">
        <v>363</v>
      </c>
    </row>
    <row r="73832" customFormat="false" ht="12.8" hidden="false" customHeight="false" outlineLevel="0" collapsed="false">
      <c r="B73832" s="0" t="s">
        <v>106</v>
      </c>
      <c r="D73832" s="0" t="s">
        <v>23222</v>
      </c>
      <c r="E73832" s="0" t="s">
        <v>23223</v>
      </c>
      <c r="F73832" s="0" t="s">
        <v>23223</v>
      </c>
    </row>
    <row r="73834" customFormat="false" ht="12.8" hidden="false" customHeight="false" outlineLevel="0" collapsed="false">
      <c r="A73834" s="0" t="s">
        <v>24932</v>
      </c>
      <c r="B73834" s="0" t="str">
        <f aca="false">HYPERLINK("https://lindat.mff.cuni.cz/services/teitok/pdtc10/index.php?action=vallex&amp;frame=v-w6746f1", "šplhat (v-w6746f1)")</f>
        <v>šplhat (v-w6746f1)</v>
      </c>
    </row>
    <row r="73835" customFormat="false" ht="12.8" hidden="false" customHeight="false" outlineLevel="0" collapsed="false">
      <c r="B73835" s="0" t="s">
        <v>7</v>
      </c>
      <c r="C73835" s="0" t="s">
        <v>247</v>
      </c>
      <c r="D73835" s="0" t="s">
        <v>4495</v>
      </c>
      <c r="E73835" s="0" t="s">
        <v>4495</v>
      </c>
      <c r="F73835" s="0" t="s">
        <v>4495</v>
      </c>
    </row>
    <row r="73836" customFormat="false" ht="12.8" hidden="false" customHeight="false" outlineLevel="0" collapsed="false">
      <c r="B73836" s="0" t="s">
        <v>63</v>
      </c>
      <c r="D73836" s="0" t="s">
        <v>4496</v>
      </c>
      <c r="E73836" s="0" t="s">
        <v>4496</v>
      </c>
      <c r="F73836" s="0" t="s">
        <v>4496</v>
      </c>
    </row>
    <row r="73837" customFormat="false" ht="12.8" hidden="false" customHeight="false" outlineLevel="0" collapsed="false">
      <c r="B73837" s="0" t="s">
        <v>35</v>
      </c>
      <c r="D73837" s="0" t="s">
        <v>4497</v>
      </c>
      <c r="E73837" s="0" t="s">
        <v>4497</v>
      </c>
      <c r="F73837" s="0" t="s">
        <v>4497</v>
      </c>
    </row>
    <row r="73839" customFormat="false" ht="12.8" hidden="false" customHeight="false" outlineLevel="0" collapsed="false">
      <c r="A73839" s="0" t="s">
        <v>24933</v>
      </c>
      <c r="B73839" s="0" t="str">
        <f aca="false">HYPERLINK("https://lindat.mff.cuni.cz/services/teitok/pdtc10/index.php?action=vallex&amp;frame=v-w6747f1", "šplhat se (v-w6747f1)")</f>
        <v>šplhat se (v-w6747f1)</v>
      </c>
    </row>
    <row r="73840" customFormat="false" ht="12.8" hidden="false" customHeight="false" outlineLevel="0" collapsed="false">
      <c r="B73840" s="0" t="s">
        <v>7</v>
      </c>
      <c r="C73840" s="0" t="s">
        <v>24934</v>
      </c>
      <c r="D73840" s="0" t="s">
        <v>6244</v>
      </c>
      <c r="E73840" s="0" t="s">
        <v>6244</v>
      </c>
      <c r="F73840" s="0" t="s">
        <v>6244</v>
      </c>
    </row>
    <row r="73841" customFormat="false" ht="12.8" hidden="false" customHeight="false" outlineLevel="0" collapsed="false">
      <c r="B73841" s="0" t="s">
        <v>124</v>
      </c>
      <c r="C73841" s="0" t="s">
        <v>24935</v>
      </c>
      <c r="D73841" s="0" t="s">
        <v>19552</v>
      </c>
      <c r="E73841" s="0" t="s">
        <v>19552</v>
      </c>
      <c r="F73841" s="0" t="s">
        <v>19552</v>
      </c>
    </row>
    <row r="73843" customFormat="false" ht="12.8" hidden="false" customHeight="false" outlineLevel="0" collapsed="false">
      <c r="A73843" s="0" t="s">
        <v>24936</v>
      </c>
      <c r="B73843" s="0" t="str">
        <f aca="false">HYPERLINK("https://lindat.mff.cuni.cz/services/teitok/pdtc10/index.php?action=vallex&amp;frame=v-w6747f2", "šplhat se (v-w6747f2)")</f>
        <v>šplhat se (v-w6747f2)</v>
      </c>
    </row>
    <row r="73844" customFormat="false" ht="12.8" hidden="false" customHeight="false" outlineLevel="0" collapsed="false">
      <c r="B73844" s="0" t="s">
        <v>7</v>
      </c>
    </row>
    <row r="73846" customFormat="false" ht="12.8" hidden="false" customHeight="false" outlineLevel="0" collapsed="false">
      <c r="A73846" s="0" t="s">
        <v>24937</v>
      </c>
      <c r="B73846" s="0" t="str">
        <f aca="false">HYPERLINK("https://lindat.mff.cuni.cz/services/teitok/pdtc10/index.php?action=vallex&amp;frame=v-w6748f1", "šplhnout si (v-w6748f1)")</f>
        <v>šplhnout si (v-w6748f1)</v>
      </c>
    </row>
    <row r="73847" customFormat="false" ht="12.8" hidden="false" customHeight="false" outlineLevel="0" collapsed="false">
      <c r="B73847" s="0" t="s">
        <v>7</v>
      </c>
    </row>
    <row r="73849" customFormat="false" ht="12.8" hidden="false" customHeight="false" outlineLevel="0" collapsed="false">
      <c r="A73849" s="0" t="s">
        <v>24938</v>
      </c>
      <c r="B73849" s="0" t="str">
        <f aca="false">HYPERLINK("https://lindat.mff.cuni.cz/services/teitok/pdtc10/index.php?action=vallex&amp;frame=v-w12314_MMf1_MM", "šplouchat (v-w12314_MMf1_MM)")</f>
        <v>šplouchat (v-w12314_MMf1_MM)</v>
      </c>
    </row>
    <row r="73850" customFormat="false" ht="12.8" hidden="false" customHeight="false" outlineLevel="0" collapsed="false">
      <c r="B73850" s="0" t="s">
        <v>7</v>
      </c>
    </row>
    <row r="73852" customFormat="false" ht="12.8" hidden="false" customHeight="false" outlineLevel="0" collapsed="false">
      <c r="A73852" s="0" t="s">
        <v>24939</v>
      </c>
      <c r="B73852" s="0" t="str">
        <f aca="false">HYPERLINK("https://lindat.mff.cuni.cz/services/teitok/pdtc10/index.php?action=vallex&amp;frame=v-w6749f1", "šponovat (v-w6749f1)")</f>
        <v>šponovat (v-w6749f1)</v>
      </c>
    </row>
    <row r="73853" customFormat="false" ht="12.8" hidden="false" customHeight="false" outlineLevel="0" collapsed="false">
      <c r="B73853" s="0" t="s">
        <v>7</v>
      </c>
    </row>
    <row r="73854" customFormat="false" ht="12.8" hidden="false" customHeight="false" outlineLevel="0" collapsed="false">
      <c r="B73854" s="0" t="s">
        <v>14</v>
      </c>
    </row>
    <row r="73855" customFormat="false" ht="12.8" hidden="false" customHeight="false" outlineLevel="0" collapsed="false">
      <c r="B73855" s="0" t="s">
        <v>84</v>
      </c>
    </row>
    <row r="73857" customFormat="false" ht="12.8" hidden="false" customHeight="false" outlineLevel="0" collapsed="false">
      <c r="A73857" s="0" t="s">
        <v>24940</v>
      </c>
      <c r="B73857" s="0" t="str">
        <f aca="false">HYPERLINK("https://lindat.mff.cuni.cz/services/teitok/pdtc10/index.php?action=vallex&amp;frame=v-whsa_557hsa_558", "špulit se (v-whsa_557hsa_558)")</f>
        <v>špulit se (v-whsa_557hsa_558)</v>
      </c>
    </row>
    <row r="73858" customFormat="false" ht="12.8" hidden="false" customHeight="false" outlineLevel="0" collapsed="false">
      <c r="B73858" s="0" t="s">
        <v>7</v>
      </c>
    </row>
    <row r="73860" customFormat="false" ht="12.8" hidden="false" customHeight="false" outlineLevel="0" collapsed="false">
      <c r="A73860" s="0" t="s">
        <v>24941</v>
      </c>
      <c r="B73860" s="0" t="str">
        <f aca="false">HYPERLINK("https://lindat.mff.cuni.cz/services/teitok/pdtc10/index.php?action=vallex&amp;frame=v-whsa_1076hsa_1077", "šroubovat (v-whsa_1076hsa_1077)")</f>
        <v>šroubovat (v-whsa_1076hsa_1077)</v>
      </c>
    </row>
    <row r="73861" customFormat="false" ht="12.8" hidden="false" customHeight="false" outlineLevel="0" collapsed="false">
      <c r="B73861" s="0" t="s">
        <v>7</v>
      </c>
      <c r="C73861" s="0" t="s">
        <v>46</v>
      </c>
      <c r="D73861" s="0" t="s">
        <v>2736</v>
      </c>
      <c r="E73861" s="0" t="s">
        <v>2736</v>
      </c>
      <c r="F73861" s="0" t="s">
        <v>2736</v>
      </c>
    </row>
    <row r="73862" customFormat="false" ht="12.8" hidden="false" customHeight="false" outlineLevel="0" collapsed="false">
      <c r="B73862" s="0" t="s">
        <v>14</v>
      </c>
      <c r="C73862" s="0" t="s">
        <v>115</v>
      </c>
      <c r="D73862" s="0" t="s">
        <v>1289</v>
      </c>
      <c r="E73862" s="0" t="s">
        <v>1289</v>
      </c>
      <c r="F73862" s="0" t="s">
        <v>1289</v>
      </c>
    </row>
    <row r="73864" customFormat="false" ht="12.8" hidden="false" customHeight="false" outlineLevel="0" collapsed="false">
      <c r="A73864" s="0" t="s">
        <v>24942</v>
      </c>
      <c r="B73864" s="0" t="str">
        <f aca="false">HYPERLINK("https://lindat.mff.cuni.cz/services/teitok/pdtc10/index.php?action=vallex&amp;frame=v-whsa_1076f1_ZU", "šroubovat (v-whsa_1076f1_ZU)")</f>
        <v>šroubovat (v-whsa_1076f1_ZU)</v>
      </c>
    </row>
    <row r="73865" customFormat="false" ht="12.8" hidden="false" customHeight="false" outlineLevel="0" collapsed="false">
      <c r="B73865" s="0" t="s">
        <v>7</v>
      </c>
    </row>
    <row r="73866" customFormat="false" ht="12.8" hidden="false" customHeight="false" outlineLevel="0" collapsed="false">
      <c r="B73866" s="0" t="s">
        <v>14</v>
      </c>
    </row>
    <row r="73868" customFormat="false" ht="12.8" hidden="false" customHeight="false" outlineLevel="0" collapsed="false">
      <c r="A73868" s="0" t="s">
        <v>24943</v>
      </c>
      <c r="B73868" s="0" t="str">
        <f aca="false">HYPERLINK("https://lindat.mff.cuni.cz/services/teitok/pdtc10/index.php?action=vallex&amp;frame=v-w6760f2", "štvát (v-w6760f2)")</f>
        <v>štvát (v-w6760f2)</v>
      </c>
    </row>
    <row r="73869" customFormat="false" ht="12.8" hidden="false" customHeight="false" outlineLevel="0" collapsed="false">
      <c r="B73869" s="0" t="s">
        <v>7</v>
      </c>
      <c r="D73869" s="0" t="s">
        <v>191</v>
      </c>
      <c r="E73869" s="0" t="s">
        <v>191</v>
      </c>
      <c r="F73869" s="0" t="s">
        <v>191</v>
      </c>
    </row>
    <row r="73870" customFormat="false" ht="12.8" hidden="false" customHeight="false" outlineLevel="0" collapsed="false">
      <c r="B73870" s="0" t="s">
        <v>4406</v>
      </c>
      <c r="D73870" s="0" t="s">
        <v>1544</v>
      </c>
      <c r="E73870" s="0" t="s">
        <v>1544</v>
      </c>
      <c r="F73870" s="0" t="s">
        <v>1544</v>
      </c>
    </row>
    <row r="73871" customFormat="false" ht="12.8" hidden="false" customHeight="false" outlineLevel="0" collapsed="false">
      <c r="B73871" s="0" t="s">
        <v>81</v>
      </c>
      <c r="D73871" s="0" t="s">
        <v>3323</v>
      </c>
      <c r="E73871" s="0" t="s">
        <v>3323</v>
      </c>
      <c r="F73871" s="0" t="s">
        <v>3323</v>
      </c>
    </row>
    <row r="73873" customFormat="false" ht="12.8" hidden="false" customHeight="false" outlineLevel="0" collapsed="false">
      <c r="A73873" s="0" t="s">
        <v>24944</v>
      </c>
      <c r="B73873" s="0" t="str">
        <f aca="false">HYPERLINK("https://lindat.mff.cuni.cz/services/teitok/pdtc10/index.php?action=vallex&amp;frame=v-w6760f1", "štvát (v-w6760f1)")</f>
        <v>štvát (v-w6760f1)</v>
      </c>
    </row>
    <row r="73874" customFormat="false" ht="12.8" hidden="false" customHeight="false" outlineLevel="0" collapsed="false">
      <c r="B73874" s="0" t="s">
        <v>199</v>
      </c>
    </row>
    <row r="73875" customFormat="false" ht="12.8" hidden="false" customHeight="false" outlineLevel="0" collapsed="false">
      <c r="B73875" s="0" t="s">
        <v>13961</v>
      </c>
    </row>
    <row r="73877" customFormat="false" ht="12.8" hidden="false" customHeight="false" outlineLevel="0" collapsed="false">
      <c r="A73877" s="0" t="s">
        <v>24945</v>
      </c>
      <c r="B73877" s="0" t="str">
        <f aca="false">HYPERLINK("https://lindat.mff.cuni.cz/services/teitok/pdtc10/index.php?action=vallex&amp;frame=v-w10723f3", "štípat (v-w10723f3)")</f>
        <v>štípat (v-w10723f3)</v>
      </c>
    </row>
    <row r="73878" customFormat="false" ht="12.8" hidden="false" customHeight="false" outlineLevel="0" collapsed="false">
      <c r="B73878" s="0" t="s">
        <v>7</v>
      </c>
      <c r="C73878" s="0" t="s">
        <v>191</v>
      </c>
      <c r="D73878" s="0" t="s">
        <v>2797</v>
      </c>
      <c r="E73878" s="0" t="s">
        <v>2797</v>
      </c>
      <c r="F73878" s="0" t="s">
        <v>2797</v>
      </c>
    </row>
    <row r="73879" customFormat="false" ht="12.8" hidden="false" customHeight="false" outlineLevel="0" collapsed="false">
      <c r="B73879" s="0" t="s">
        <v>14</v>
      </c>
      <c r="C73879" s="0" t="s">
        <v>155</v>
      </c>
      <c r="D73879" s="0" t="s">
        <v>4163</v>
      </c>
      <c r="E73879" s="0" t="s">
        <v>4163</v>
      </c>
      <c r="F73879" s="0" t="s">
        <v>4163</v>
      </c>
    </row>
    <row r="73880" customFormat="false" ht="12.8" hidden="false" customHeight="false" outlineLevel="0" collapsed="false">
      <c r="B73880" s="0" t="s">
        <v>84</v>
      </c>
      <c r="D73880" s="0" t="s">
        <v>13112</v>
      </c>
      <c r="E73880" s="0" t="s">
        <v>13112</v>
      </c>
      <c r="F73880" s="0" t="s">
        <v>13112</v>
      </c>
    </row>
    <row r="73882" customFormat="false" ht="12.8" hidden="false" customHeight="false" outlineLevel="0" collapsed="false">
      <c r="A73882" s="0" t="s">
        <v>24946</v>
      </c>
      <c r="B73882" s="0" t="str">
        <f aca="false">HYPERLINK("https://lindat.mff.cuni.cz/services/teitok/pdtc10/index.php?action=vallex&amp;frame=v-w10723f4_ZU", "štípat (v-w10723f4_ZU)")</f>
        <v>štípat (v-w10723f4_ZU)</v>
      </c>
    </row>
    <row r="73883" customFormat="false" ht="12.8" hidden="false" customHeight="false" outlineLevel="0" collapsed="false">
      <c r="B73883" s="0" t="s">
        <v>7</v>
      </c>
    </row>
    <row r="73884" customFormat="false" ht="12.8" hidden="false" customHeight="false" outlineLevel="0" collapsed="false">
      <c r="B73884" s="0" t="s">
        <v>14</v>
      </c>
    </row>
    <row r="73886" customFormat="false" ht="12.8" hidden="false" customHeight="false" outlineLevel="0" collapsed="false">
      <c r="A73886" s="0" t="s">
        <v>24946</v>
      </c>
      <c r="B73886" s="0" t="str">
        <f aca="false">HYPERLINK("https://lindat.mff.cuni.cz/services/teitok/pdtc10/index.php?action=vallex&amp;frame=v-w10723hsa_39", "štípat (v-w10723hsa_39) - substituted with v-w10723f4_ZU")</f>
        <v>štípat (v-w10723hsa_39) - substituted with v-w10723f4_ZU</v>
      </c>
    </row>
    <row r="73887" customFormat="false" ht="12.8" hidden="false" customHeight="false" outlineLevel="0" collapsed="false">
      <c r="B73887" s="0" t="s">
        <v>7</v>
      </c>
    </row>
    <row r="73888" customFormat="false" ht="12.8" hidden="false" customHeight="false" outlineLevel="0" collapsed="false">
      <c r="B73888" s="0" t="s">
        <v>14</v>
      </c>
    </row>
    <row r="73890" customFormat="false" ht="12.8" hidden="false" customHeight="false" outlineLevel="0" collapsed="false">
      <c r="A73890" s="0" t="s">
        <v>24947</v>
      </c>
      <c r="B73890" s="0" t="str">
        <f aca="false">HYPERLINK("https://lindat.mff.cuni.cz/services/teitok/pdtc10/index.php?action=vallex&amp;frame=v-w10723f6_ZU", "štípat (v-w10723f6_ZU)")</f>
        <v>štípat (v-w10723f6_ZU)</v>
      </c>
    </row>
    <row r="73891" customFormat="false" ht="12.8" hidden="false" customHeight="false" outlineLevel="0" collapsed="false">
      <c r="B73891" s="0" t="s">
        <v>7</v>
      </c>
    </row>
    <row r="73892" customFormat="false" ht="12.8" hidden="false" customHeight="false" outlineLevel="0" collapsed="false">
      <c r="B73892" s="0" t="s">
        <v>14</v>
      </c>
    </row>
    <row r="73894" customFormat="false" ht="12.8" hidden="false" customHeight="false" outlineLevel="0" collapsed="false">
      <c r="A73894" s="0" t="s">
        <v>24947</v>
      </c>
      <c r="B73894" s="0" t="str">
        <f aca="false">HYPERLINK("https://lindat.mff.cuni.cz/services/teitok/pdtc10/index.php?action=vallex&amp;frame=v-w10723f5_ZU", "štípat (v-w10723f5_ZU) - substituted with v-w10723f6_ZU")</f>
        <v>štípat (v-w10723f5_ZU) - substituted with v-w10723f6_ZU</v>
      </c>
    </row>
    <row r="73895" customFormat="false" ht="12.8" hidden="false" customHeight="false" outlineLevel="0" collapsed="false">
      <c r="B73895" s="0" t="s">
        <v>7</v>
      </c>
    </row>
    <row r="73896" customFormat="false" ht="12.8" hidden="false" customHeight="false" outlineLevel="0" collapsed="false">
      <c r="B73896" s="0" t="s">
        <v>14</v>
      </c>
    </row>
    <row r="73898" customFormat="false" ht="12.8" hidden="false" customHeight="false" outlineLevel="0" collapsed="false">
      <c r="A73898" s="0" t="s">
        <v>24948</v>
      </c>
      <c r="B73898" s="0" t="str">
        <f aca="false">HYPERLINK("https://lindat.mff.cuni.cz/services/teitok/pdtc10/index.php?action=vallex&amp;frame=v-w10079f2", "štípnout (v-w10079f2)")</f>
        <v>štípnout (v-w10079f2)</v>
      </c>
    </row>
    <row r="73899" customFormat="false" ht="12.8" hidden="false" customHeight="false" outlineLevel="0" collapsed="false">
      <c r="B73899" s="0" t="s">
        <v>7</v>
      </c>
      <c r="C73899" s="0" t="s">
        <v>191</v>
      </c>
    </row>
    <row r="73900" customFormat="false" ht="12.8" hidden="false" customHeight="false" outlineLevel="0" collapsed="false">
      <c r="B73900" s="0" t="s">
        <v>14</v>
      </c>
    </row>
    <row r="73901" customFormat="false" ht="12.8" hidden="false" customHeight="false" outlineLevel="0" collapsed="false">
      <c r="B73901" s="0" t="s">
        <v>48</v>
      </c>
    </row>
    <row r="73903" customFormat="false" ht="12.8" hidden="false" customHeight="false" outlineLevel="0" collapsed="false">
      <c r="A73903" s="0" t="s">
        <v>24949</v>
      </c>
      <c r="B73903" s="0" t="str">
        <f aca="false">HYPERLINK("https://lindat.mff.cuni.cz/services/teitok/pdtc10/index.php?action=vallex&amp;frame=v-w10079f3_MM", "štípnout (v-w10079f3_MM)")</f>
        <v>štípnout (v-w10079f3_MM)</v>
      </c>
    </row>
    <row r="73904" customFormat="false" ht="12.8" hidden="false" customHeight="false" outlineLevel="0" collapsed="false">
      <c r="B73904" s="0" t="s">
        <v>7</v>
      </c>
    </row>
    <row r="73905" customFormat="false" ht="12.8" hidden="false" customHeight="false" outlineLevel="0" collapsed="false">
      <c r="B73905" s="0" t="s">
        <v>14</v>
      </c>
    </row>
    <row r="73907" customFormat="false" ht="12.8" hidden="false" customHeight="false" outlineLevel="0" collapsed="false">
      <c r="A73907" s="0" t="s">
        <v>24950</v>
      </c>
      <c r="B73907" s="0" t="str">
        <f aca="false">HYPERLINK("https://lindat.mff.cuni.cz/services/teitok/pdtc10/index.php?action=vallex&amp;frame=v-w6756f1", "štítit se (v-w6756f1)")</f>
        <v>štítit se (v-w6756f1)</v>
      </c>
    </row>
    <row r="73908" customFormat="false" ht="12.8" hidden="false" customHeight="false" outlineLevel="0" collapsed="false">
      <c r="B73908" s="0" t="s">
        <v>7</v>
      </c>
    </row>
    <row r="73909" customFormat="false" ht="12.8" hidden="false" customHeight="false" outlineLevel="0" collapsed="false">
      <c r="B73909" s="0" t="s">
        <v>24951</v>
      </c>
    </row>
    <row r="73911" customFormat="false" ht="12.8" hidden="false" customHeight="false" outlineLevel="0" collapsed="false">
      <c r="A73911" s="0" t="s">
        <v>24952</v>
      </c>
      <c r="B73911" s="0" t="str">
        <f aca="false">HYPERLINK("https://lindat.mff.cuni.cz/services/teitok/pdtc10/index.php?action=vallex&amp;frame=v-w6751f1", "štěkat (v-w6751f1)")</f>
        <v>štěkat (v-w6751f1)</v>
      </c>
    </row>
    <row r="73912" customFormat="false" ht="12.8" hidden="false" customHeight="false" outlineLevel="0" collapsed="false">
      <c r="B73912" s="0" t="s">
        <v>7</v>
      </c>
    </row>
    <row r="73913" customFormat="false" ht="12.8" hidden="false" customHeight="false" outlineLevel="0" collapsed="false">
      <c r="B73913" s="0" t="s">
        <v>63</v>
      </c>
    </row>
    <row r="73915" customFormat="false" ht="12.8" hidden="false" customHeight="false" outlineLevel="0" collapsed="false">
      <c r="A73915" s="0" t="s">
        <v>24953</v>
      </c>
      <c r="B73915" s="0" t="str">
        <f aca="false">HYPERLINK("https://lindat.mff.cuni.cz/services/teitok/pdtc10/index.php?action=vallex&amp;frame=v-w11448f1", "štěpit (v-w11448f1)")</f>
        <v>štěpit (v-w11448f1)</v>
      </c>
    </row>
    <row r="73916" customFormat="false" ht="12.8" hidden="false" customHeight="false" outlineLevel="0" collapsed="false">
      <c r="B73916" s="0" t="s">
        <v>7</v>
      </c>
      <c r="C73916" s="0" t="s">
        <v>623</v>
      </c>
      <c r="D73916" s="0" t="s">
        <v>1287</v>
      </c>
      <c r="E73916" s="0" t="s">
        <v>1287</v>
      </c>
      <c r="F73916" s="0" t="s">
        <v>1287</v>
      </c>
    </row>
    <row r="73917" customFormat="false" ht="12.8" hidden="false" customHeight="false" outlineLevel="0" collapsed="false">
      <c r="B73917" s="0" t="s">
        <v>14</v>
      </c>
      <c r="C73917" s="0" t="s">
        <v>1405</v>
      </c>
      <c r="D73917" s="0" t="s">
        <v>2517</v>
      </c>
      <c r="E73917" s="0" t="s">
        <v>2517</v>
      </c>
      <c r="F73917" s="0" t="s">
        <v>2517</v>
      </c>
    </row>
    <row r="73918" customFormat="false" ht="12.8" hidden="false" customHeight="false" outlineLevel="0" collapsed="false">
      <c r="B73918" s="0" t="s">
        <v>2773</v>
      </c>
      <c r="C73918" s="0" t="s">
        <v>24954</v>
      </c>
      <c r="D73918" s="0" t="s">
        <v>4598</v>
      </c>
      <c r="E73918" s="0" t="s">
        <v>4598</v>
      </c>
      <c r="F73918" s="0" t="s">
        <v>4598</v>
      </c>
    </row>
    <row r="73920" customFormat="false" ht="12.8" hidden="false" customHeight="false" outlineLevel="0" collapsed="false">
      <c r="A73920" s="0" t="s">
        <v>24955</v>
      </c>
      <c r="B73920" s="0" t="str">
        <f aca="false">HYPERLINK("https://lindat.mff.cuni.cz/services/teitok/pdtc10/index.php?action=vallex&amp;frame=v-w6753f1", "štěpit se (v-w6753f1)")</f>
        <v>štěpit se (v-w6753f1)</v>
      </c>
    </row>
    <row r="73921" customFormat="false" ht="12.8" hidden="false" customHeight="false" outlineLevel="0" collapsed="false">
      <c r="B73921" s="0" t="s">
        <v>7</v>
      </c>
      <c r="D73921" s="0" t="s">
        <v>1619</v>
      </c>
      <c r="E73921" s="0" t="s">
        <v>1619</v>
      </c>
      <c r="F73921" s="0" t="s">
        <v>1619</v>
      </c>
    </row>
    <row r="73922" customFormat="false" ht="12.8" hidden="false" customHeight="false" outlineLevel="0" collapsed="false">
      <c r="B73922" s="0" t="s">
        <v>14683</v>
      </c>
      <c r="D73922" s="0" t="s">
        <v>1620</v>
      </c>
      <c r="E73922" s="0" t="s">
        <v>1620</v>
      </c>
      <c r="F73922" s="0" t="s">
        <v>1620</v>
      </c>
    </row>
    <row r="73924" customFormat="false" ht="12.8" hidden="false" customHeight="false" outlineLevel="0" collapsed="false">
      <c r="A73924" s="0" t="s">
        <v>24956</v>
      </c>
      <c r="B73924" s="0" t="str">
        <f aca="false">HYPERLINK("https://lindat.mff.cuni.cz/services/teitok/pdtc10/index.php?action=vallex&amp;frame=v-whsa_110hsa_111", "šukat (v-whsa_110hsa_111)")</f>
        <v>šukat (v-whsa_110hsa_111)</v>
      </c>
    </row>
    <row r="73925" customFormat="false" ht="12.8" hidden="false" customHeight="false" outlineLevel="0" collapsed="false">
      <c r="B73925" s="0" t="s">
        <v>7</v>
      </c>
    </row>
    <row r="73926" customFormat="false" ht="12.8" hidden="false" customHeight="false" outlineLevel="0" collapsed="false">
      <c r="B73926" s="0" t="s">
        <v>14</v>
      </c>
    </row>
    <row r="73928" customFormat="false" ht="12.8" hidden="false" customHeight="false" outlineLevel="0" collapsed="false">
      <c r="A73928" s="0" t="s">
        <v>24957</v>
      </c>
      <c r="B73928" s="0" t="str">
        <f aca="false">HYPERLINK("https://lindat.mff.cuni.cz/services/teitok/pdtc10/index.php?action=vallex&amp;frame=v-w6762f1", "šumět (v-w6762f1)")</f>
        <v>šumět (v-w6762f1)</v>
      </c>
    </row>
    <row r="73929" customFormat="false" ht="12.8" hidden="false" customHeight="false" outlineLevel="0" collapsed="false">
      <c r="B73929" s="0" t="s">
        <v>7</v>
      </c>
      <c r="C73929" s="0" t="s">
        <v>191</v>
      </c>
      <c r="D73929" s="0" t="s">
        <v>1740</v>
      </c>
      <c r="E73929" s="0" t="s">
        <v>1740</v>
      </c>
      <c r="F73929" s="0" t="s">
        <v>1740</v>
      </c>
    </row>
    <row r="73931" customFormat="false" ht="12.8" hidden="false" customHeight="false" outlineLevel="0" collapsed="false">
      <c r="A73931" s="0" t="s">
        <v>24958</v>
      </c>
      <c r="B73931" s="0" t="str">
        <f aca="false">HYPERLINK("https://lindat.mff.cuni.cz/services/teitok/pdtc10/index.php?action=vallex&amp;frame=v-w6764f2", "šustit (v-w6764f2)")</f>
        <v>šustit (v-w6764f2)</v>
      </c>
    </row>
    <row r="73932" customFormat="false" ht="12.8" hidden="false" customHeight="false" outlineLevel="0" collapsed="false">
      <c r="B73932" s="0" t="s">
        <v>7</v>
      </c>
    </row>
    <row r="73933" customFormat="false" ht="12.8" hidden="false" customHeight="false" outlineLevel="0" collapsed="false">
      <c r="B73933" s="0" t="s">
        <v>216</v>
      </c>
    </row>
    <row r="73935" customFormat="false" ht="12.8" hidden="false" customHeight="false" outlineLevel="0" collapsed="false">
      <c r="A73935" s="0" t="s">
        <v>24959</v>
      </c>
      <c r="B73935" s="0" t="str">
        <f aca="false">HYPERLINK("https://lindat.mff.cuni.cz/services/teitok/pdtc10/index.php?action=vallex&amp;frame=v-w6764f1", "šustit (v-w6764f1)")</f>
        <v>šustit (v-w6764f1)</v>
      </c>
    </row>
    <row r="73936" customFormat="false" ht="12.8" hidden="false" customHeight="false" outlineLevel="0" collapsed="false">
      <c r="B73936" s="0" t="s">
        <v>7</v>
      </c>
    </row>
    <row r="73938" customFormat="false" ht="12.8" hidden="false" customHeight="false" outlineLevel="0" collapsed="false">
      <c r="A73938" s="0" t="s">
        <v>24960</v>
      </c>
      <c r="B73938" s="0" t="str">
        <f aca="false">HYPERLINK("https://lindat.mff.cuni.cz/services/teitok/pdtc10/index.php?action=vallex&amp;frame=v-w6765f2", "šuškat (v-w6765f2)")</f>
        <v>šuškat (v-w6765f2)</v>
      </c>
    </row>
    <row r="73939" customFormat="false" ht="12.8" hidden="false" customHeight="false" outlineLevel="0" collapsed="false">
      <c r="B73939" s="0" t="s">
        <v>7</v>
      </c>
    </row>
    <row r="73940" customFormat="false" ht="12.8" hidden="false" customHeight="false" outlineLevel="0" collapsed="false">
      <c r="B73940" s="0" t="s">
        <v>244</v>
      </c>
    </row>
    <row r="73941" customFormat="false" ht="12.8" hidden="false" customHeight="false" outlineLevel="0" collapsed="false">
      <c r="B73941" s="0" t="s">
        <v>48</v>
      </c>
    </row>
    <row r="73943" customFormat="false" ht="12.8" hidden="false" customHeight="false" outlineLevel="0" collapsed="false">
      <c r="A73943" s="0" t="s">
        <v>24961</v>
      </c>
      <c r="B73943" s="0" t="str">
        <f aca="false">HYPERLINK("https://lindat.mff.cuni.cz/services/teitok/pdtc10/index.php?action=vallex&amp;frame=v-w6765f3", "šuškat (v-w6765f3)")</f>
        <v>šuškat (v-w6765f3)</v>
      </c>
    </row>
    <row r="73944" customFormat="false" ht="12.8" hidden="false" customHeight="false" outlineLevel="0" collapsed="false">
      <c r="B73944" s="0" t="s">
        <v>7</v>
      </c>
      <c r="E73944" s="0" t="s">
        <v>46</v>
      </c>
      <c r="F73944" s="0" t="s">
        <v>46</v>
      </c>
    </row>
    <row r="73945" customFormat="false" ht="12.8" hidden="false" customHeight="false" outlineLevel="0" collapsed="false">
      <c r="B73945" s="0" t="s">
        <v>14</v>
      </c>
      <c r="E73945" s="0" t="s">
        <v>567</v>
      </c>
      <c r="F73945" s="0" t="s">
        <v>567</v>
      </c>
    </row>
    <row r="73946" customFormat="false" ht="12.8" hidden="false" customHeight="false" outlineLevel="0" collapsed="false">
      <c r="B73946" s="0" t="s">
        <v>106</v>
      </c>
    </row>
    <row r="73948" customFormat="false" ht="12.8" hidden="false" customHeight="false" outlineLevel="0" collapsed="false">
      <c r="A73948" s="0" t="s">
        <v>24962</v>
      </c>
      <c r="B73948" s="0" t="str">
        <f aca="false">HYPERLINK("https://lindat.mff.cuni.cz/services/teitok/pdtc10/index.php?action=vallex&amp;frame=v-w6765f1", "šuškat (v-w6765f1)")</f>
        <v>šuškat (v-w6765f1)</v>
      </c>
    </row>
    <row r="73949" customFormat="false" ht="12.8" hidden="false" customHeight="false" outlineLevel="0" collapsed="false">
      <c r="B73949" s="0" t="s">
        <v>7</v>
      </c>
      <c r="D73949" s="0" t="s">
        <v>18504</v>
      </c>
      <c r="E73949" s="0" t="s">
        <v>23219</v>
      </c>
      <c r="F73949" s="0" t="s">
        <v>23219</v>
      </c>
    </row>
    <row r="73950" customFormat="false" ht="12.8" hidden="false" customHeight="false" outlineLevel="0" collapsed="false">
      <c r="B73950" s="0" t="s">
        <v>7351</v>
      </c>
      <c r="D73950" s="0" t="s">
        <v>23220</v>
      </c>
      <c r="E73950" s="0" t="s">
        <v>23221</v>
      </c>
      <c r="F73950" s="0" t="s">
        <v>23221</v>
      </c>
    </row>
    <row r="73951" customFormat="false" ht="12.8" hidden="false" customHeight="false" outlineLevel="0" collapsed="false">
      <c r="B73951" s="0" t="s">
        <v>363</v>
      </c>
    </row>
    <row r="73952" customFormat="false" ht="12.8" hidden="false" customHeight="false" outlineLevel="0" collapsed="false">
      <c r="B73952" s="0" t="s">
        <v>106</v>
      </c>
      <c r="D73952" s="0" t="s">
        <v>23222</v>
      </c>
      <c r="E73952" s="0" t="s">
        <v>23223</v>
      </c>
      <c r="F73952" s="0" t="s">
        <v>23223</v>
      </c>
    </row>
    <row r="73954" customFormat="false" ht="12.8" hidden="false" customHeight="false" outlineLevel="0" collapsed="false">
      <c r="A73954" s="0" t="s">
        <v>24963</v>
      </c>
      <c r="B73954" s="0" t="str">
        <f aca="false">HYPERLINK("https://lindat.mff.cuni.cz/services/teitok/pdtc10/index.php?action=vallex&amp;frame=v-w10887f2", "švihnout (v-w10887f2)")</f>
        <v>švihnout (v-w10887f2)</v>
      </c>
    </row>
    <row r="73955" customFormat="false" ht="12.8" hidden="false" customHeight="false" outlineLevel="0" collapsed="false">
      <c r="B73955" s="0" t="s">
        <v>7</v>
      </c>
    </row>
    <row r="73956" customFormat="false" ht="12.8" hidden="false" customHeight="false" outlineLevel="0" collapsed="false">
      <c r="B73956" s="0" t="s">
        <v>3771</v>
      </c>
    </row>
    <row r="73958" customFormat="false" ht="12.8" hidden="false" customHeight="false" outlineLevel="0" collapsed="false">
      <c r="A73958" s="0" t="s">
        <v>24964</v>
      </c>
      <c r="B73958" s="0" t="str">
        <f aca="false">HYPERLINK("https://lindat.mff.cuni.cz/services/teitok/pdtc10/index.php?action=vallex&amp;frame=v-w12033_ZUf1_ZU", "šáhnout (v-w12033_ZUf1_ZU)")</f>
        <v>šáhnout (v-w12033_ZUf1_ZU)</v>
      </c>
    </row>
    <row r="73959" customFormat="false" ht="12.8" hidden="false" customHeight="false" outlineLevel="0" collapsed="false">
      <c r="B73959" s="0" t="s">
        <v>7</v>
      </c>
    </row>
    <row r="73960" customFormat="false" ht="12.8" hidden="false" customHeight="false" outlineLevel="0" collapsed="false">
      <c r="B73960" s="0" t="s">
        <v>41</v>
      </c>
    </row>
    <row r="73962" customFormat="false" ht="12.8" hidden="false" customHeight="false" outlineLevel="0" collapsed="false">
      <c r="A73962" s="0" t="s">
        <v>24965</v>
      </c>
      <c r="B73962" s="0" t="str">
        <f aca="false">HYPERLINK("https://lindat.mff.cuni.cz/services/teitok/pdtc10/index.php?action=vallex&amp;frame=v-w12204_ZUf1_ZU", "šáhnout (v-w12204_ZUf1_ZU)")</f>
        <v>šáhnout (v-w12204_ZUf1_ZU)</v>
      </c>
    </row>
    <row r="73963" customFormat="false" ht="12.8" hidden="false" customHeight="false" outlineLevel="0" collapsed="false">
      <c r="B73963" s="0" t="s">
        <v>7</v>
      </c>
    </row>
    <row r="73964" customFormat="false" ht="12.8" hidden="false" customHeight="false" outlineLevel="0" collapsed="false">
      <c r="B73964" s="0" t="s">
        <v>338</v>
      </c>
    </row>
    <row r="73966" customFormat="false" ht="12.8" hidden="false" customHeight="false" outlineLevel="0" collapsed="false">
      <c r="A73966" s="0" t="s">
        <v>24966</v>
      </c>
      <c r="B73966" s="0" t="str">
        <f aca="false">HYPERLINK("https://lindat.mff.cuni.cz/services/teitok/pdtc10/index.php?action=vallex&amp;frame=v-w11582_ZUf1_ZU", "šálit (v-w11582_ZUf1_ZU)")</f>
        <v>šálit (v-w11582_ZUf1_ZU)</v>
      </c>
    </row>
    <row r="73967" customFormat="false" ht="12.8" hidden="false" customHeight="false" outlineLevel="0" collapsed="false">
      <c r="B73967" s="0" t="s">
        <v>7</v>
      </c>
      <c r="C73967" s="0" t="s">
        <v>191</v>
      </c>
      <c r="D73967" s="0" t="s">
        <v>191</v>
      </c>
      <c r="E73967" s="0" t="s">
        <v>191</v>
      </c>
      <c r="F73967" s="0" t="s">
        <v>191</v>
      </c>
    </row>
    <row r="73968" customFormat="false" ht="12.8" hidden="false" customHeight="false" outlineLevel="0" collapsed="false">
      <c r="B73968" s="0" t="s">
        <v>14</v>
      </c>
      <c r="C73968" s="0" t="s">
        <v>567</v>
      </c>
      <c r="D73968" s="0" t="s">
        <v>567</v>
      </c>
      <c r="E73968" s="0" t="s">
        <v>567</v>
      </c>
      <c r="F73968" s="0" t="s">
        <v>567</v>
      </c>
    </row>
    <row r="73970" customFormat="false" ht="12.8" hidden="false" customHeight="false" outlineLevel="0" collapsed="false">
      <c r="A73970" s="0" t="s">
        <v>24967</v>
      </c>
      <c r="B73970" s="0" t="str">
        <f aca="false">HYPERLINK("https://lindat.mff.cuni.cz/services/teitok/pdtc10/index.php?action=vallex&amp;frame=v-whsa_1715hsa_1716", "šárat (v-whsa_1715hsa_1716)")</f>
        <v>šárat (v-whsa_1715hsa_1716)</v>
      </c>
    </row>
    <row r="73971" customFormat="false" ht="12.8" hidden="false" customHeight="false" outlineLevel="0" collapsed="false">
      <c r="B73971" s="0" t="s">
        <v>7</v>
      </c>
    </row>
    <row r="73972" customFormat="false" ht="12.8" hidden="false" customHeight="false" outlineLevel="0" collapsed="false">
      <c r="B73972" s="0" t="s">
        <v>11</v>
      </c>
    </row>
    <row r="73974" customFormat="false" ht="12.8" hidden="false" customHeight="false" outlineLevel="0" collapsed="false">
      <c r="A73974" s="0" t="s">
        <v>24968</v>
      </c>
      <c r="B73974" s="0" t="str">
        <f aca="false">HYPERLINK("https://lindat.mff.cuni.cz/services/teitok/pdtc10/index.php?action=vallex&amp;frame=v-w12313_MMf1_MM", "šátrat (v-w12313_MMf1_MM)")</f>
        <v>šátrat (v-w12313_MMf1_MM)</v>
      </c>
    </row>
    <row r="73975" customFormat="false" ht="12.8" hidden="false" customHeight="false" outlineLevel="0" collapsed="false">
      <c r="B73975" s="0" t="s">
        <v>7</v>
      </c>
    </row>
    <row r="73976" customFormat="false" ht="12.8" hidden="false" customHeight="false" outlineLevel="0" collapsed="false">
      <c r="B73976" s="0" t="s">
        <v>11</v>
      </c>
    </row>
    <row r="73978" customFormat="false" ht="12.8" hidden="false" customHeight="false" outlineLevel="0" collapsed="false">
      <c r="A73978" s="0" t="s">
        <v>24969</v>
      </c>
      <c r="B73978" s="0" t="str">
        <f aca="false">HYPERLINK("https://lindat.mff.cuni.cz/services/teitok/pdtc10/index.php?action=vallex&amp;frame=v-w10237f2", "šéfovat (v-w10237f2)")</f>
        <v>šéfovat (v-w10237f2)</v>
      </c>
    </row>
    <row r="73979" customFormat="false" ht="12.8" hidden="false" customHeight="false" outlineLevel="0" collapsed="false">
      <c r="B73979" s="0" t="s">
        <v>7</v>
      </c>
      <c r="C73979" s="0" t="s">
        <v>8535</v>
      </c>
      <c r="D73979" s="0" t="s">
        <v>1604</v>
      </c>
      <c r="E73979" s="0" t="s">
        <v>1604</v>
      </c>
      <c r="F73979" s="0" t="s">
        <v>1604</v>
      </c>
    </row>
    <row r="73980" customFormat="false" ht="12.8" hidden="false" customHeight="false" outlineLevel="0" collapsed="false">
      <c r="B73980" s="0" t="s">
        <v>142</v>
      </c>
      <c r="C73980" s="0" t="s">
        <v>128</v>
      </c>
      <c r="D73980" s="0" t="s">
        <v>1606</v>
      </c>
      <c r="E73980" s="0" t="s">
        <v>1606</v>
      </c>
      <c r="F73980" s="0" t="s">
        <v>1606</v>
      </c>
    </row>
    <row r="73982" customFormat="false" ht="12.8" hidden="false" customHeight="false" outlineLevel="0" collapsed="false">
      <c r="A73982" s="0" t="s">
        <v>24970</v>
      </c>
      <c r="B73982" s="0" t="str">
        <f aca="false">HYPERLINK("https://lindat.mff.cuni.cz/services/teitok/pdtc10/index.php?action=vallex&amp;frame=v-w11828_ZUf1_ZU", "šíbovat (v-w11828_ZUf1_ZU)")</f>
        <v>šíbovat (v-w11828_ZUf1_ZU)</v>
      </c>
    </row>
    <row r="73983" customFormat="false" ht="12.8" hidden="false" customHeight="false" outlineLevel="0" collapsed="false">
      <c r="B73983" s="0" t="s">
        <v>7</v>
      </c>
    </row>
    <row r="73985" customFormat="false" ht="12.8" hidden="false" customHeight="false" outlineLevel="0" collapsed="false">
      <c r="A73985" s="0" t="s">
        <v>24971</v>
      </c>
      <c r="B73985" s="0" t="str">
        <f aca="false">HYPERLINK("https://lindat.mff.cuni.cz/services/teitok/pdtc10/index.php?action=vallex&amp;frame=v-w10046f2", "šílet (v-w10046f2)")</f>
        <v>šílet (v-w10046f2)</v>
      </c>
    </row>
    <row r="73986" customFormat="false" ht="12.8" hidden="false" customHeight="false" outlineLevel="0" collapsed="false">
      <c r="B73986" s="0" t="s">
        <v>7</v>
      </c>
    </row>
    <row r="73988" customFormat="false" ht="12.8" hidden="false" customHeight="false" outlineLevel="0" collapsed="false">
      <c r="A73988" s="0" t="s">
        <v>24972</v>
      </c>
      <c r="B73988" s="0" t="str">
        <f aca="false">HYPERLINK("https://lindat.mff.cuni.cz/services/teitok/pdtc10/index.php?action=vallex&amp;frame=v-w6720f1", "šít (v-w6720f1)")</f>
        <v>šít (v-w6720f1)</v>
      </c>
    </row>
    <row r="73989" customFormat="false" ht="12.8" hidden="false" customHeight="false" outlineLevel="0" collapsed="false">
      <c r="B73989" s="0" t="s">
        <v>7</v>
      </c>
    </row>
    <row r="73990" customFormat="false" ht="12.8" hidden="false" customHeight="false" outlineLevel="0" collapsed="false">
      <c r="B73990" s="0" t="s">
        <v>14</v>
      </c>
    </row>
    <row r="73991" customFormat="false" ht="12.8" hidden="false" customHeight="false" outlineLevel="0" collapsed="false">
      <c r="B73991" s="0" t="s">
        <v>35</v>
      </c>
    </row>
    <row r="73993" customFormat="false" ht="12.8" hidden="false" customHeight="false" outlineLevel="0" collapsed="false">
      <c r="A73993" s="0" t="s">
        <v>24973</v>
      </c>
      <c r="B73993" s="0" t="str">
        <f aca="false">HYPERLINK("https://lindat.mff.cuni.cz/services/teitok/pdtc10/index.php?action=vallex&amp;frame=v-w6720f2_ZU", "šít (v-w6720f2_ZU)")</f>
        <v>šít (v-w6720f2_ZU)</v>
      </c>
    </row>
    <row r="73994" customFormat="false" ht="12.8" hidden="false" customHeight="false" outlineLevel="0" collapsed="false">
      <c r="B73994" s="0" t="s">
        <v>7</v>
      </c>
      <c r="D73994" s="0" t="s">
        <v>16628</v>
      </c>
      <c r="E73994" s="0" t="s">
        <v>16628</v>
      </c>
      <c r="F73994" s="0" t="s">
        <v>16628</v>
      </c>
    </row>
    <row r="73995" customFormat="false" ht="12.8" hidden="false" customHeight="false" outlineLevel="0" collapsed="false">
      <c r="B73995" s="0" t="s">
        <v>18704</v>
      </c>
      <c r="C73995" s="0" t="s">
        <v>517</v>
      </c>
    </row>
    <row r="73996" customFormat="false" ht="12.8" hidden="false" customHeight="false" outlineLevel="0" collapsed="false">
      <c r="B73996" s="0" t="s">
        <v>14</v>
      </c>
      <c r="C73996" s="0" t="s">
        <v>47</v>
      </c>
      <c r="D73996" s="0" t="s">
        <v>3244</v>
      </c>
      <c r="E73996" s="0" t="s">
        <v>3244</v>
      </c>
      <c r="F73996" s="0" t="s">
        <v>3244</v>
      </c>
    </row>
    <row r="73998" customFormat="false" ht="12.8" hidden="false" customHeight="false" outlineLevel="0" collapsed="false">
      <c r="A73998" s="0" t="s">
        <v>24974</v>
      </c>
      <c r="B73998" s="0" t="str">
        <f aca="false">HYPERLINK("https://lindat.mff.cuni.cz/services/teitok/pdtc10/index.php?action=vallex&amp;frame=v-w6718f1", "šířit (v-w6718f1)")</f>
        <v>šířit (v-w6718f1)</v>
      </c>
    </row>
    <row r="73999" customFormat="false" ht="12.8" hidden="false" customHeight="false" outlineLevel="0" collapsed="false">
      <c r="B73999" s="0" t="s">
        <v>7</v>
      </c>
      <c r="C73999" s="0" t="s">
        <v>14174</v>
      </c>
      <c r="D73999" s="0" t="s">
        <v>88</v>
      </c>
      <c r="E73999" s="0" t="s">
        <v>88</v>
      </c>
      <c r="F73999" s="0" t="s">
        <v>88</v>
      </c>
    </row>
    <row r="74000" customFormat="false" ht="12.8" hidden="false" customHeight="false" outlineLevel="0" collapsed="false">
      <c r="B74000" s="0" t="s">
        <v>14</v>
      </c>
      <c r="C74000" s="0" t="s">
        <v>433</v>
      </c>
      <c r="D74000" s="0" t="s">
        <v>1405</v>
      </c>
      <c r="E74000" s="0" t="s">
        <v>1405</v>
      </c>
      <c r="F74000" s="0" t="s">
        <v>1405</v>
      </c>
    </row>
    <row r="74002" customFormat="false" ht="12.8" hidden="false" customHeight="false" outlineLevel="0" collapsed="false">
      <c r="A74002" s="0" t="s">
        <v>24975</v>
      </c>
      <c r="B74002" s="0" t="str">
        <f aca="false">HYPERLINK("https://lindat.mff.cuni.cz/services/teitok/pdtc10/index.php?action=vallex&amp;frame=v-w6718f2", "šířit (v-w6718f2)")</f>
        <v>šířit (v-w6718f2)</v>
      </c>
    </row>
    <row r="74003" customFormat="false" ht="12.8" hidden="false" customHeight="false" outlineLevel="0" collapsed="false">
      <c r="B74003" s="0" t="s">
        <v>7</v>
      </c>
      <c r="C74003" s="0" t="s">
        <v>623</v>
      </c>
    </row>
    <row r="74004" customFormat="false" ht="12.8" hidden="false" customHeight="false" outlineLevel="0" collapsed="false">
      <c r="B74004" s="0" t="s">
        <v>5525</v>
      </c>
      <c r="C74004" s="0" t="s">
        <v>8481</v>
      </c>
    </row>
    <row r="74005" customFormat="false" ht="12.8" hidden="false" customHeight="false" outlineLevel="0" collapsed="false">
      <c r="B74005" s="0" t="s">
        <v>363</v>
      </c>
    </row>
    <row r="74007" customFormat="false" ht="12.8" hidden="false" customHeight="false" outlineLevel="0" collapsed="false">
      <c r="A74007" s="0" t="s">
        <v>24976</v>
      </c>
      <c r="B74007" s="0" t="str">
        <f aca="false">HYPERLINK("https://lindat.mff.cuni.cz/services/teitok/pdtc10/index.php?action=vallex&amp;frame=v-w6719f1", "šířit se (v-w6719f1)")</f>
        <v>šířit se (v-w6719f1)</v>
      </c>
    </row>
    <row r="74008" customFormat="false" ht="12.8" hidden="false" customHeight="false" outlineLevel="0" collapsed="false">
      <c r="B74008" s="0" t="s">
        <v>7</v>
      </c>
      <c r="C74008" s="0" t="s">
        <v>11388</v>
      </c>
      <c r="D74008" s="0" t="s">
        <v>5047</v>
      </c>
      <c r="E74008" s="0" t="s">
        <v>3626</v>
      </c>
      <c r="F74008" s="0" t="s">
        <v>3626</v>
      </c>
    </row>
    <row r="74010" customFormat="false" ht="12.8" hidden="false" customHeight="false" outlineLevel="0" collapsed="false">
      <c r="A74010" s="0" t="s">
        <v>24977</v>
      </c>
      <c r="B74010" s="0" t="str">
        <f aca="false">HYPERLINK("https://lindat.mff.cuni.cz/services/teitok/pdtc10/index.php?action=vallex&amp;frame=v-w6739f1", "šňupat (v-w6739f1)")</f>
        <v>šňupat (v-w6739f1)</v>
      </c>
    </row>
    <row r="74011" customFormat="false" ht="12.8" hidden="false" customHeight="false" outlineLevel="0" collapsed="false">
      <c r="B74011" s="0" t="s">
        <v>7</v>
      </c>
    </row>
    <row r="74012" customFormat="false" ht="12.8" hidden="false" customHeight="false" outlineLevel="0" collapsed="false">
      <c r="B74012" s="0" t="s">
        <v>14</v>
      </c>
    </row>
    <row r="74014" customFormat="false" ht="12.8" hidden="false" customHeight="false" outlineLevel="0" collapsed="false">
      <c r="A74014" s="0" t="s">
        <v>24978</v>
      </c>
      <c r="B74014" s="0" t="str">
        <f aca="false">HYPERLINK("https://lindat.mff.cuni.cz/services/teitok/pdtc10/index.php?action=vallex&amp;frame=v-whsa_1688hsa_1689", "šťouchat (v-whsa_1688hsa_1689)")</f>
        <v>šťouchat (v-whsa_1688hsa_1689)</v>
      </c>
    </row>
    <row r="74015" customFormat="false" ht="12.8" hidden="false" customHeight="false" outlineLevel="0" collapsed="false">
      <c r="B74015" s="0" t="s">
        <v>7</v>
      </c>
    </row>
    <row r="74016" customFormat="false" ht="12.8" hidden="false" customHeight="false" outlineLevel="0" collapsed="false">
      <c r="B74016" s="0" t="s">
        <v>985</v>
      </c>
    </row>
    <row r="74018" customFormat="false" ht="12.8" hidden="false" customHeight="false" outlineLevel="0" collapsed="false">
      <c r="A74018" s="0" t="s">
        <v>24979</v>
      </c>
      <c r="B74018" s="0" t="str">
        <f aca="false">HYPERLINK("https://lindat.mff.cuni.cz/services/teitok/pdtc10/index.php?action=vallex&amp;frame=v-whsa_823hsa_824", "šťouchat se (v-whsa_823hsa_824)")</f>
        <v>šťouchat se (v-whsa_823hsa_824)</v>
      </c>
    </row>
    <row r="74019" customFormat="false" ht="12.8" hidden="false" customHeight="false" outlineLevel="0" collapsed="false">
      <c r="B74019" s="0" t="s">
        <v>7</v>
      </c>
    </row>
    <row r="74020" customFormat="false" ht="12.8" hidden="false" customHeight="false" outlineLevel="0" collapsed="false">
      <c r="B74020" s="0" t="s">
        <v>548</v>
      </c>
    </row>
    <row r="74022" customFormat="false" ht="12.8" hidden="false" customHeight="false" outlineLevel="0" collapsed="false">
      <c r="A74022" s="0" t="s">
        <v>24980</v>
      </c>
      <c r="B74022" s="0" t="str">
        <f aca="false">HYPERLINK("https://lindat.mff.cuni.cz/services/teitok/pdtc10/index.php?action=vallex&amp;frame=v-whsa_631hsa_632", "šťourat (v-whsa_631hsa_632)")</f>
        <v>šťourat (v-whsa_631hsa_632)</v>
      </c>
    </row>
    <row r="74023" customFormat="false" ht="12.8" hidden="false" customHeight="false" outlineLevel="0" collapsed="false">
      <c r="B74023" s="0" t="s">
        <v>7</v>
      </c>
    </row>
    <row r="74024" customFormat="false" ht="12.8" hidden="false" customHeight="false" outlineLevel="0" collapsed="false">
      <c r="B74024" s="0" t="s">
        <v>24981</v>
      </c>
    </row>
    <row r="74026" customFormat="false" ht="12.8" hidden="false" customHeight="false" outlineLevel="0" collapsed="false">
      <c r="A74026" s="0" t="s">
        <v>24982</v>
      </c>
      <c r="B74026" s="0" t="str">
        <f aca="false">HYPERLINK("https://lindat.mff.cuni.cz/services/teitok/pdtc10/index.php?action=vallex&amp;frame=v-w11393f1", "šťourat se (v-w11393f1)")</f>
        <v>šťourat se (v-w11393f1)</v>
      </c>
    </row>
    <row r="74027" customFormat="false" ht="12.8" hidden="false" customHeight="false" outlineLevel="0" collapsed="false">
      <c r="B74027" s="0" t="s">
        <v>7</v>
      </c>
      <c r="C74027" s="0" t="s">
        <v>191</v>
      </c>
      <c r="D74027" s="0" t="s">
        <v>335</v>
      </c>
      <c r="E74027" s="0" t="s">
        <v>113</v>
      </c>
      <c r="F74027" s="0" t="s">
        <v>113</v>
      </c>
    </row>
    <row r="74028" customFormat="false" ht="12.8" hidden="false" customHeight="false" outlineLevel="0" collapsed="false">
      <c r="B74028" s="0" t="s">
        <v>11</v>
      </c>
      <c r="C74028" s="0" t="s">
        <v>3996</v>
      </c>
      <c r="D74028" s="0" t="s">
        <v>1473</v>
      </c>
      <c r="E74028" s="0" t="s">
        <v>1473</v>
      </c>
      <c r="F74028" s="0" t="s">
        <v>1473</v>
      </c>
    </row>
    <row r="74030" customFormat="false" ht="12.8" hidden="false" customHeight="false" outlineLevel="0" collapsed="false">
      <c r="A74030" s="0" t="s">
        <v>24983</v>
      </c>
      <c r="B74030" s="0" t="str">
        <f aca="false">HYPERLINK("https://lindat.mff.cuni.cz/services/teitok/pdtc10/index.php?action=vallex&amp;frame=v-w6763f1", "šůrovat (v-w6763f1)")</f>
        <v>šůrovat (v-w6763f1)</v>
      </c>
    </row>
    <row r="74031" customFormat="false" ht="12.8" hidden="false" customHeight="false" outlineLevel="0" collapsed="false">
      <c r="B74031" s="0" t="s">
        <v>7</v>
      </c>
    </row>
    <row r="74032" customFormat="false" ht="12.8" hidden="false" customHeight="false" outlineLevel="0" collapsed="false">
      <c r="B74032" s="0" t="s">
        <v>14</v>
      </c>
    </row>
    <row r="74034" customFormat="false" ht="12.8" hidden="false" customHeight="false" outlineLevel="0" collapsed="false">
      <c r="A74034" s="0" t="s">
        <v>24984</v>
      </c>
      <c r="B74034" s="0" t="str">
        <f aca="false">HYPERLINK("https://lindat.mff.cuni.cz/services/teitok/pdtc10/index.php?action=vallex&amp;frame=v-w12225_ZUf1_ZU", "ťukat (v-w12225_ZUf1_ZU)")</f>
        <v>ťukat (v-w12225_ZUf1_ZU)</v>
      </c>
    </row>
    <row r="74035" customFormat="false" ht="12.8" hidden="false" customHeight="false" outlineLevel="0" collapsed="false">
      <c r="B74035" s="0" t="s">
        <v>7</v>
      </c>
    </row>
    <row r="74036" customFormat="false" ht="12.8" hidden="false" customHeight="false" outlineLevel="0" collapsed="false">
      <c r="B74036" s="0" t="s">
        <v>338</v>
      </c>
    </row>
    <row r="74038" customFormat="false" ht="12.8" hidden="false" customHeight="false" outlineLevel="0" collapsed="false">
      <c r="A74038" s="0" t="s">
        <v>24985</v>
      </c>
      <c r="B74038" s="0" t="str">
        <f aca="false">HYPERLINK("https://lindat.mff.cuni.cz/services/teitok/pdtc10/index.php?action=vallex&amp;frame=v-w12225_ZUf2_ZU", "ťukat (v-w12225_ZUf2_ZU)")</f>
        <v>ťukat (v-w12225_ZUf2_ZU)</v>
      </c>
    </row>
    <row r="74039" customFormat="false" ht="12.8" hidden="false" customHeight="false" outlineLevel="0" collapsed="false">
      <c r="B74039" s="0" t="s">
        <v>7</v>
      </c>
    </row>
    <row r="74040" customFormat="false" ht="12.8" hidden="false" customHeight="false" outlineLevel="0" collapsed="false">
      <c r="B74040" s="0" t="s">
        <v>14</v>
      </c>
    </row>
    <row r="74042" customFormat="false" ht="12.8" hidden="false" customHeight="false" outlineLevel="0" collapsed="false">
      <c r="A74042" s="0" t="s">
        <v>24986</v>
      </c>
      <c r="B74042" s="0" t="str">
        <f aca="false">HYPERLINK("https://lindat.mff.cuni.cz/services/teitok/pdtc10/index.php?action=vallex&amp;frame=v-w11852_ZUf1_ZU", "ťukat si (v-w11852_ZUf1_ZU)")</f>
        <v>ťukat si (v-w11852_ZUf1_ZU)</v>
      </c>
    </row>
    <row r="74043" customFormat="false" ht="12.8" hidden="false" customHeight="false" outlineLevel="0" collapsed="false">
      <c r="B74043" s="0" t="s">
        <v>7</v>
      </c>
    </row>
    <row r="74044" customFormat="false" ht="12.8" hidden="false" customHeight="false" outlineLevel="0" collapsed="false">
      <c r="B74044" s="0" t="s">
        <v>338</v>
      </c>
    </row>
    <row r="74046" customFormat="false" ht="12.8" hidden="false" customHeight="false" outlineLevel="0" collapsed="false">
      <c r="A74046" s="0" t="s">
        <v>24987</v>
      </c>
      <c r="B74046" s="0" t="str">
        <f aca="false">HYPERLINK("https://lindat.mff.cuni.cz/services/teitok/pdtc10/index.php?action=vallex&amp;frame=v-w12156_ZUf1_ZU", "ťuknout (v-w12156_ZUf1_ZU)")</f>
        <v>ťuknout (v-w12156_ZUf1_ZU)</v>
      </c>
    </row>
    <row r="74047" customFormat="false" ht="12.8" hidden="false" customHeight="false" outlineLevel="0" collapsed="false">
      <c r="B74047" s="0" t="s">
        <v>7</v>
      </c>
    </row>
    <row r="74048" customFormat="false" ht="12.8" hidden="false" customHeight="false" outlineLevel="0" collapsed="false">
      <c r="B74048" s="0" t="s">
        <v>338</v>
      </c>
    </row>
    <row r="74050" customFormat="false" ht="12.8" hidden="false" customHeight="false" outlineLevel="0" collapsed="false">
      <c r="A74050" s="0" t="s">
        <v>24988</v>
      </c>
      <c r="B74050" s="0" t="str">
        <f aca="false">HYPERLINK("https://lindat.mff.cuni.cz/services/teitok/pdtc10/index.php?action=vallex&amp;frame=v-w10017f1", "žadonit (v-w10017f1)")</f>
        <v>žadonit (v-w10017f1)</v>
      </c>
    </row>
    <row r="74051" customFormat="false" ht="12.8" hidden="false" customHeight="false" outlineLevel="0" collapsed="false">
      <c r="B74051" s="0" t="s">
        <v>7</v>
      </c>
    </row>
    <row r="74052" customFormat="false" ht="12.8" hidden="false" customHeight="false" outlineLevel="0" collapsed="false">
      <c r="B74052" s="0" t="s">
        <v>24989</v>
      </c>
    </row>
    <row r="74054" customFormat="false" ht="12.8" hidden="false" customHeight="false" outlineLevel="0" collapsed="false">
      <c r="A74054" s="0" t="s">
        <v>24990</v>
      </c>
      <c r="B74054" s="0" t="str">
        <f aca="false">HYPERLINK("https://lindat.mff.cuni.cz/services/teitok/pdtc10/index.php?action=vallex&amp;frame=v-w10020f3", "žalovat (v-w10020f3)")</f>
        <v>žalovat (v-w10020f3)</v>
      </c>
    </row>
    <row r="74055" customFormat="false" ht="12.8" hidden="false" customHeight="false" outlineLevel="0" collapsed="false">
      <c r="B74055" s="0" t="s">
        <v>7</v>
      </c>
      <c r="C74055" s="0" t="s">
        <v>358</v>
      </c>
      <c r="D74055" s="0" t="s">
        <v>3303</v>
      </c>
      <c r="E74055" s="0" t="s">
        <v>3303</v>
      </c>
      <c r="F74055" s="0" t="s">
        <v>3303</v>
      </c>
    </row>
    <row r="74056" customFormat="false" ht="12.8" hidden="false" customHeight="false" outlineLevel="0" collapsed="false">
      <c r="B74056" s="0" t="s">
        <v>615</v>
      </c>
      <c r="C74056" s="0" t="s">
        <v>24991</v>
      </c>
      <c r="D74056" s="0" t="s">
        <v>3306</v>
      </c>
      <c r="E74056" s="0" t="s">
        <v>3306</v>
      </c>
      <c r="F74056" s="0" t="s">
        <v>3306</v>
      </c>
    </row>
    <row r="74057" customFormat="false" ht="12.8" hidden="false" customHeight="false" outlineLevel="0" collapsed="false">
      <c r="B74057" s="0" t="s">
        <v>81</v>
      </c>
      <c r="C74057" s="0" t="s">
        <v>9769</v>
      </c>
      <c r="D74057" s="0" t="s">
        <v>3308</v>
      </c>
      <c r="E74057" s="0" t="s">
        <v>3308</v>
      </c>
      <c r="F74057" s="0" t="s">
        <v>3308</v>
      </c>
    </row>
    <row r="74059" customFormat="false" ht="12.8" hidden="false" customHeight="false" outlineLevel="0" collapsed="false">
      <c r="A74059" s="0" t="s">
        <v>24992</v>
      </c>
      <c r="B74059" s="0" t="str">
        <f aca="false">HYPERLINK("https://lindat.mff.cuni.cz/services/teitok/pdtc10/index.php?action=vallex&amp;frame=v-w10020f1", "žalovat (v-w10020f1)")</f>
        <v>žalovat (v-w10020f1)</v>
      </c>
    </row>
    <row r="74060" customFormat="false" ht="12.8" hidden="false" customHeight="false" outlineLevel="0" collapsed="false">
      <c r="B74060" s="0" t="s">
        <v>7</v>
      </c>
      <c r="C74060" s="0" t="s">
        <v>1567</v>
      </c>
      <c r="D74060" s="0" t="s">
        <v>3303</v>
      </c>
      <c r="E74060" s="0" t="s">
        <v>3303</v>
      </c>
      <c r="F74060" s="0" t="s">
        <v>3303</v>
      </c>
    </row>
    <row r="74061" customFormat="false" ht="12.8" hidden="false" customHeight="false" outlineLevel="0" collapsed="false">
      <c r="B74061" s="0" t="s">
        <v>14</v>
      </c>
      <c r="C74061" s="0" t="s">
        <v>24993</v>
      </c>
      <c r="D74061" s="0" t="s">
        <v>7908</v>
      </c>
      <c r="E74061" s="0" t="s">
        <v>7908</v>
      </c>
      <c r="F74061" s="0" t="s">
        <v>7908</v>
      </c>
    </row>
    <row r="74063" customFormat="false" ht="12.8" hidden="false" customHeight="false" outlineLevel="0" collapsed="false">
      <c r="A74063" s="0" t="s">
        <v>24994</v>
      </c>
      <c r="B74063" s="0" t="str">
        <f aca="false">HYPERLINK("https://lindat.mff.cuni.cz/services/teitok/pdtc10/index.php?action=vallex&amp;frame=v-w10020f2", "žalovat (v-w10020f2)")</f>
        <v>žalovat (v-w10020f2)</v>
      </c>
    </row>
    <row r="74064" customFormat="false" ht="12.8" hidden="false" customHeight="false" outlineLevel="0" collapsed="false">
      <c r="B74064" s="0" t="s">
        <v>7</v>
      </c>
    </row>
    <row r="74065" customFormat="false" ht="12.8" hidden="false" customHeight="false" outlineLevel="0" collapsed="false">
      <c r="B74065" s="0" t="s">
        <v>14</v>
      </c>
    </row>
    <row r="74067" customFormat="false" ht="12.8" hidden="false" customHeight="false" outlineLevel="0" collapsed="false">
      <c r="A74067" s="0" t="s">
        <v>24995</v>
      </c>
      <c r="B74067" s="0" t="str">
        <f aca="false">HYPERLINK("https://lindat.mff.cuni.cz/services/teitok/pdtc10/index.php?action=vallex&amp;frame=v-w10020f4", "žalovat (v-w10020f4)")</f>
        <v>žalovat (v-w10020f4)</v>
      </c>
    </row>
    <row r="74068" customFormat="false" ht="12.8" hidden="false" customHeight="false" outlineLevel="0" collapsed="false">
      <c r="B74068" s="0" t="s">
        <v>7</v>
      </c>
    </row>
    <row r="74069" customFormat="false" ht="12.8" hidden="false" customHeight="false" outlineLevel="0" collapsed="false">
      <c r="B74069" s="0" t="s">
        <v>48</v>
      </c>
    </row>
    <row r="74070" customFormat="false" ht="12.8" hidden="false" customHeight="false" outlineLevel="0" collapsed="false">
      <c r="B74070" s="0" t="s">
        <v>12381</v>
      </c>
    </row>
    <row r="74071" customFormat="false" ht="12.8" hidden="false" customHeight="false" outlineLevel="0" collapsed="false">
      <c r="B74071" s="0" t="s">
        <v>63</v>
      </c>
    </row>
    <row r="74073" customFormat="false" ht="12.8" hidden="false" customHeight="false" outlineLevel="0" collapsed="false">
      <c r="A74073" s="0" t="s">
        <v>24996</v>
      </c>
      <c r="B74073" s="0" t="str">
        <f aca="false">HYPERLINK("https://lindat.mff.cuni.cz/services/teitok/pdtc10/index.php?action=vallex&amp;frame=v-w10022f3_ZU", "žasnout (v-w10022f3_ZU)")</f>
        <v>žasnout (v-w10022f3_ZU)</v>
      </c>
    </row>
    <row r="74074" customFormat="false" ht="12.8" hidden="false" customHeight="false" outlineLevel="0" collapsed="false">
      <c r="B74074" s="0" t="s">
        <v>7</v>
      </c>
    </row>
    <row r="74075" customFormat="false" ht="12.8" hidden="false" customHeight="false" outlineLevel="0" collapsed="false">
      <c r="B74075" s="0" t="s">
        <v>24997</v>
      </c>
    </row>
    <row r="74077" customFormat="false" ht="12.8" hidden="false" customHeight="false" outlineLevel="0" collapsed="false">
      <c r="A74077" s="0" t="s">
        <v>24996</v>
      </c>
      <c r="B74077" s="0" t="str">
        <f aca="false">HYPERLINK("https://lindat.mff.cuni.cz/services/teitok/pdtc10/index.php?action=vallex&amp;frame=v-w10022f1", "žasnout (v-w10022f1) - substituted with v-w10022f3_ZU")</f>
        <v>žasnout (v-w10022f1) - substituted with v-w10022f3_ZU</v>
      </c>
    </row>
    <row r="74078" customFormat="false" ht="12.8" hidden="false" customHeight="false" outlineLevel="0" collapsed="false">
      <c r="B74078" s="0" t="s">
        <v>7</v>
      </c>
      <c r="C74078" s="0" t="s">
        <v>46</v>
      </c>
    </row>
    <row r="74079" customFormat="false" ht="12.8" hidden="false" customHeight="false" outlineLevel="0" collapsed="false">
      <c r="B74079" s="0" t="s">
        <v>24997</v>
      </c>
    </row>
    <row r="74081" customFormat="false" ht="12.8" hidden="false" customHeight="false" outlineLevel="0" collapsed="false">
      <c r="A74081" s="0" t="s">
        <v>24996</v>
      </c>
      <c r="B74081" s="0" t="str">
        <f aca="false">HYPERLINK("https://lindat.mff.cuni.cz/services/teitok/pdtc10/index.php?action=vallex&amp;frame=v-w10022f2_ZU", "žasnout (v-w10022f2_ZU) - substituted with v-w10022f3_ZU")</f>
        <v>žasnout (v-w10022f2_ZU) - substituted with v-w10022f3_ZU</v>
      </c>
    </row>
    <row r="74082" customFormat="false" ht="12.8" hidden="false" customHeight="false" outlineLevel="0" collapsed="false">
      <c r="B74082" s="0" t="s">
        <v>7</v>
      </c>
    </row>
    <row r="74083" customFormat="false" ht="12.8" hidden="false" customHeight="false" outlineLevel="0" collapsed="false">
      <c r="B74083" s="0" t="s">
        <v>24997</v>
      </c>
    </row>
    <row r="74085" customFormat="false" ht="12.8" hidden="false" customHeight="false" outlineLevel="0" collapsed="false">
      <c r="A74085" s="0" t="s">
        <v>24998</v>
      </c>
      <c r="B74085" s="0" t="str">
        <f aca="false">HYPERLINK("https://lindat.mff.cuni.cz/services/teitok/pdtc10/index.php?action=vallex&amp;frame=v-whsa_913f1_ZU", "ždímat (v-whsa_913f1_ZU)")</f>
        <v>ždímat (v-whsa_913f1_ZU)</v>
      </c>
    </row>
    <row r="74086" customFormat="false" ht="12.8" hidden="false" customHeight="false" outlineLevel="0" collapsed="false">
      <c r="B74086" s="0" t="s">
        <v>7</v>
      </c>
    </row>
    <row r="74087" customFormat="false" ht="12.8" hidden="false" customHeight="false" outlineLevel="0" collapsed="false">
      <c r="B74087" s="0" t="s">
        <v>14</v>
      </c>
    </row>
    <row r="74088" customFormat="false" ht="12.8" hidden="false" customHeight="false" outlineLevel="0" collapsed="false">
      <c r="B74088" s="0" t="s">
        <v>35</v>
      </c>
    </row>
    <row r="74090" customFormat="false" ht="12.8" hidden="false" customHeight="false" outlineLevel="0" collapsed="false">
      <c r="A74090" s="0" t="s">
        <v>24998</v>
      </c>
      <c r="B74090" s="0" t="str">
        <f aca="false">HYPERLINK("https://lindat.mff.cuni.cz/services/teitok/pdtc10/index.php?action=vallex&amp;frame=v-whsa_913hsa_914", "ždímat (v-whsa_913hsa_914) - substituted with v-whsa_913f1_ZU")</f>
        <v>ždímat (v-whsa_913hsa_914) - substituted with v-whsa_913f1_ZU</v>
      </c>
    </row>
    <row r="74091" customFormat="false" ht="12.8" hidden="false" customHeight="false" outlineLevel="0" collapsed="false">
      <c r="B74091" s="0" t="s">
        <v>7</v>
      </c>
    </row>
    <row r="74092" customFormat="false" ht="12.8" hidden="false" customHeight="false" outlineLevel="0" collapsed="false">
      <c r="B74092" s="0" t="s">
        <v>14</v>
      </c>
    </row>
    <row r="74093" customFormat="false" ht="12.8" hidden="false" customHeight="false" outlineLevel="0" collapsed="false">
      <c r="B74093" s="0" t="s">
        <v>35</v>
      </c>
    </row>
    <row r="74095" customFormat="false" ht="12.8" hidden="false" customHeight="false" outlineLevel="0" collapsed="false">
      <c r="A74095" s="0" t="s">
        <v>24999</v>
      </c>
      <c r="B74095" s="0" t="str">
        <f aca="false">HYPERLINK("https://lindat.mff.cuni.cz/services/teitok/pdtc10/index.php?action=vallex&amp;frame=v-w10023f2_ZU", "žebrat (v-w10023f2_ZU)")</f>
        <v>žebrat (v-w10023f2_ZU)</v>
      </c>
    </row>
    <row r="74096" customFormat="false" ht="12.8" hidden="false" customHeight="false" outlineLevel="0" collapsed="false">
      <c r="B74096" s="0" t="s">
        <v>7</v>
      </c>
    </row>
    <row r="74097" customFormat="false" ht="12.8" hidden="false" customHeight="false" outlineLevel="0" collapsed="false">
      <c r="B74097" s="0" t="s">
        <v>25000</v>
      </c>
    </row>
    <row r="74098" customFormat="false" ht="12.8" hidden="false" customHeight="false" outlineLevel="0" collapsed="false">
      <c r="B74098" s="0" t="s">
        <v>441</v>
      </c>
    </row>
    <row r="74100" customFormat="false" ht="12.8" hidden="false" customHeight="false" outlineLevel="0" collapsed="false">
      <c r="A74100" s="0" t="s">
        <v>24999</v>
      </c>
      <c r="B74100" s="0" t="str">
        <f aca="false">HYPERLINK("https://lindat.mff.cuni.cz/services/teitok/pdtc10/index.php?action=vallex&amp;frame=v-w10023f1", "žebrat (v-w10023f1) - substituted with v-w10023f2_ZU")</f>
        <v>žebrat (v-w10023f1) - substituted with v-w10023f2_ZU</v>
      </c>
    </row>
    <row r="74101" customFormat="false" ht="12.8" hidden="false" customHeight="false" outlineLevel="0" collapsed="false">
      <c r="B74101" s="0" t="s">
        <v>7</v>
      </c>
      <c r="C74101" s="0" t="s">
        <v>46</v>
      </c>
      <c r="D74101" s="0" t="s">
        <v>46</v>
      </c>
      <c r="E74101" s="0" t="s">
        <v>46</v>
      </c>
      <c r="F74101" s="0" t="s">
        <v>46</v>
      </c>
    </row>
    <row r="74102" customFormat="false" ht="12.8" hidden="false" customHeight="false" outlineLevel="0" collapsed="false">
      <c r="B74102" s="0" t="s">
        <v>25000</v>
      </c>
      <c r="C74102" s="0" t="s">
        <v>47</v>
      </c>
      <c r="D74102" s="0" t="s">
        <v>47</v>
      </c>
      <c r="E74102" s="0" t="s">
        <v>47</v>
      </c>
      <c r="F74102" s="0" t="s">
        <v>47</v>
      </c>
    </row>
    <row r="74103" customFormat="false" ht="12.8" hidden="false" customHeight="false" outlineLevel="0" collapsed="false">
      <c r="B74103" s="0" t="s">
        <v>441</v>
      </c>
    </row>
    <row r="74105" customFormat="false" ht="12.8" hidden="false" customHeight="false" outlineLevel="0" collapsed="false">
      <c r="A74105" s="0" t="s">
        <v>25001</v>
      </c>
      <c r="B74105" s="0" t="str">
        <f aca="false">HYPERLINK("https://lindat.mff.cuni.cz/services/teitok/pdtc10/index.php?action=vallex&amp;frame=v-whsa_217hsa_218", "žehlit (v-whsa_217hsa_218)")</f>
        <v>žehlit (v-whsa_217hsa_218)</v>
      </c>
    </row>
    <row r="74106" customFormat="false" ht="12.8" hidden="false" customHeight="false" outlineLevel="0" collapsed="false">
      <c r="B74106" s="0" t="s">
        <v>7</v>
      </c>
    </row>
    <row r="74107" customFormat="false" ht="12.8" hidden="false" customHeight="false" outlineLevel="0" collapsed="false">
      <c r="B74107" s="0" t="s">
        <v>14</v>
      </c>
    </row>
    <row r="74109" customFormat="false" ht="12.8" hidden="false" customHeight="false" outlineLevel="0" collapsed="false">
      <c r="A74109" s="0" t="s">
        <v>25002</v>
      </c>
      <c r="B74109" s="0" t="str">
        <f aca="false">HYPERLINK("https://lindat.mff.cuni.cz/services/teitok/pdtc10/index.php?action=vallex&amp;frame=v-w12060_ZUf1_ZU", "žehlívat (v-w12060_ZUf1_ZU)")</f>
        <v>žehlívat (v-w12060_ZUf1_ZU)</v>
      </c>
    </row>
    <row r="74110" customFormat="false" ht="12.8" hidden="false" customHeight="false" outlineLevel="0" collapsed="false">
      <c r="B74110" s="0" t="s">
        <v>7</v>
      </c>
    </row>
    <row r="74111" customFormat="false" ht="12.8" hidden="false" customHeight="false" outlineLevel="0" collapsed="false">
      <c r="B74111" s="0" t="s">
        <v>14</v>
      </c>
    </row>
    <row r="74113" customFormat="false" ht="12.8" hidden="false" customHeight="false" outlineLevel="0" collapsed="false">
      <c r="A74113" s="0" t="s">
        <v>25003</v>
      </c>
      <c r="B74113" s="0" t="str">
        <f aca="false">HYPERLINK("https://lindat.mff.cuni.cz/services/teitok/pdtc10/index.php?action=vallex&amp;frame=v-w10024f1", "žehnat (v-w10024f1)")</f>
        <v>žehnat (v-w10024f1)</v>
      </c>
    </row>
    <row r="74114" customFormat="false" ht="12.8" hidden="false" customHeight="false" outlineLevel="0" collapsed="false">
      <c r="B74114" s="0" t="s">
        <v>7</v>
      </c>
      <c r="C74114" s="0" t="s">
        <v>191</v>
      </c>
      <c r="D74114" s="0" t="s">
        <v>191</v>
      </c>
      <c r="E74114" s="0" t="s">
        <v>191</v>
      </c>
      <c r="F74114" s="0" t="s">
        <v>191</v>
      </c>
    </row>
    <row r="74115" customFormat="false" ht="12.8" hidden="false" customHeight="false" outlineLevel="0" collapsed="false">
      <c r="B74115" s="0" t="s">
        <v>142</v>
      </c>
      <c r="C74115" s="0" t="s">
        <v>115</v>
      </c>
      <c r="D74115" s="0" t="s">
        <v>567</v>
      </c>
      <c r="E74115" s="0" t="s">
        <v>567</v>
      </c>
      <c r="F74115" s="0" t="s">
        <v>567</v>
      </c>
    </row>
    <row r="74117" customFormat="false" ht="12.8" hidden="false" customHeight="false" outlineLevel="0" collapsed="false">
      <c r="A74117" s="0" t="s">
        <v>25004</v>
      </c>
      <c r="B74117" s="0" t="str">
        <f aca="false">HYPERLINK("https://lindat.mff.cuni.cz/services/teitok/pdtc10/index.php?action=vallex&amp;frame=v-w10025f1", "žehrat (v-w10025f1)")</f>
        <v>žehrat (v-w10025f1)</v>
      </c>
    </row>
    <row r="74118" customFormat="false" ht="12.8" hidden="false" customHeight="false" outlineLevel="0" collapsed="false">
      <c r="B74118" s="0" t="s">
        <v>7</v>
      </c>
    </row>
    <row r="74119" customFormat="false" ht="12.8" hidden="false" customHeight="false" outlineLevel="0" collapsed="false">
      <c r="B74119" s="0" t="s">
        <v>25005</v>
      </c>
    </row>
    <row r="74121" customFormat="false" ht="12.8" hidden="false" customHeight="false" outlineLevel="0" collapsed="false">
      <c r="A74121" s="0" t="s">
        <v>25006</v>
      </c>
      <c r="B74121" s="0" t="str">
        <f aca="false">HYPERLINK("https://lindat.mff.cuni.cz/services/teitok/pdtc10/index.php?action=vallex&amp;frame=v-w10027f1", "ženit se (v-w10027f1)")</f>
        <v>ženit se (v-w10027f1)</v>
      </c>
    </row>
    <row r="74122" customFormat="false" ht="12.8" hidden="false" customHeight="false" outlineLevel="0" collapsed="false">
      <c r="B74122" s="0" t="s">
        <v>7</v>
      </c>
    </row>
    <row r="74123" customFormat="false" ht="12.8" hidden="false" customHeight="false" outlineLevel="0" collapsed="false">
      <c r="B74123" s="0" t="s">
        <v>548</v>
      </c>
    </row>
    <row r="74125" customFormat="false" ht="12.8" hidden="false" customHeight="false" outlineLevel="0" collapsed="false">
      <c r="A74125" s="0" t="s">
        <v>25007</v>
      </c>
      <c r="B74125" s="0" t="str">
        <f aca="false">HYPERLINK("https://lindat.mff.cuni.cz/services/teitok/pdtc10/index.php?action=vallex&amp;frame=v-w10028f1", "žertovat (v-w10028f1)")</f>
        <v>žertovat (v-w10028f1)</v>
      </c>
    </row>
    <row r="74126" customFormat="false" ht="12.8" hidden="false" customHeight="false" outlineLevel="0" collapsed="false">
      <c r="B74126" s="0" t="s">
        <v>7</v>
      </c>
      <c r="C74126" s="0" t="s">
        <v>184</v>
      </c>
      <c r="D74126" s="0" t="s">
        <v>118</v>
      </c>
      <c r="E74126" s="0" t="s">
        <v>118</v>
      </c>
      <c r="F74126" s="0" t="s">
        <v>118</v>
      </c>
    </row>
    <row r="74127" customFormat="false" ht="12.8" hidden="false" customHeight="false" outlineLevel="0" collapsed="false">
      <c r="B74127" s="0" t="s">
        <v>3683</v>
      </c>
      <c r="C74127" s="0" t="s">
        <v>8609</v>
      </c>
      <c r="D74127" s="0" t="s">
        <v>8610</v>
      </c>
      <c r="E74127" s="0" t="s">
        <v>8610</v>
      </c>
      <c r="F74127" s="0" t="s">
        <v>8610</v>
      </c>
    </row>
    <row r="74128" customFormat="false" ht="12.8" hidden="false" customHeight="false" outlineLevel="0" collapsed="false">
      <c r="B74128" s="0" t="s">
        <v>2767</v>
      </c>
    </row>
    <row r="74130" customFormat="false" ht="12.8" hidden="false" customHeight="false" outlineLevel="0" collapsed="false">
      <c r="A74130" s="0" t="s">
        <v>25008</v>
      </c>
      <c r="B74130" s="0" t="str">
        <f aca="false">HYPERLINK("https://lindat.mff.cuni.cz/services/teitok/pdtc10/index.php?action=vallex&amp;frame=v-w10029f1", "žhavit (v-w10029f1)")</f>
        <v>žhavit (v-w10029f1)</v>
      </c>
    </row>
    <row r="74131" customFormat="false" ht="12.8" hidden="false" customHeight="false" outlineLevel="0" collapsed="false">
      <c r="B74131" s="0" t="s">
        <v>7</v>
      </c>
    </row>
    <row r="74132" customFormat="false" ht="12.8" hidden="false" customHeight="false" outlineLevel="0" collapsed="false">
      <c r="B74132" s="0" t="s">
        <v>14</v>
      </c>
    </row>
    <row r="74134" customFormat="false" ht="12.8" hidden="false" customHeight="false" outlineLevel="0" collapsed="false">
      <c r="A74134" s="0" t="s">
        <v>25009</v>
      </c>
      <c r="B74134" s="0" t="str">
        <f aca="false">HYPERLINK("https://lindat.mff.cuni.cz/services/teitok/pdtc10/index.php?action=vallex&amp;frame=v-w10713f2", "žirovat (v-w10713f2)")</f>
        <v>žirovat (v-w10713f2)</v>
      </c>
    </row>
    <row r="74135" customFormat="false" ht="12.8" hidden="false" customHeight="false" outlineLevel="0" collapsed="false">
      <c r="B74135" s="0" t="s">
        <v>7</v>
      </c>
    </row>
    <row r="74136" customFormat="false" ht="12.8" hidden="false" customHeight="false" outlineLevel="0" collapsed="false">
      <c r="B74136" s="0" t="s">
        <v>14</v>
      </c>
    </row>
    <row r="74138" customFormat="false" ht="12.8" hidden="false" customHeight="false" outlineLevel="0" collapsed="false">
      <c r="A74138" s="0" t="s">
        <v>25010</v>
      </c>
      <c r="B74138" s="0" t="str">
        <f aca="false">HYPERLINK("https://lindat.mff.cuni.cz/services/teitok/pdtc10/index.php?action=vallex&amp;frame=v-w10034f1", "živit (v-w10034f1)")</f>
        <v>živit (v-w10034f1)</v>
      </c>
    </row>
    <row r="74139" customFormat="false" ht="12.8" hidden="false" customHeight="false" outlineLevel="0" collapsed="false">
      <c r="B74139" s="0" t="s">
        <v>7</v>
      </c>
      <c r="C74139" s="0" t="s">
        <v>2071</v>
      </c>
      <c r="D74139" s="0" t="s">
        <v>569</v>
      </c>
      <c r="E74139" s="0" t="s">
        <v>569</v>
      </c>
      <c r="F74139" s="0" t="s">
        <v>569</v>
      </c>
    </row>
    <row r="74140" customFormat="false" ht="12.8" hidden="false" customHeight="false" outlineLevel="0" collapsed="false">
      <c r="B74140" s="0" t="s">
        <v>14</v>
      </c>
      <c r="C74140" s="0" t="s">
        <v>25011</v>
      </c>
      <c r="D74140" s="0" t="s">
        <v>4963</v>
      </c>
      <c r="E74140" s="0" t="s">
        <v>4963</v>
      </c>
      <c r="F74140" s="0" t="s">
        <v>4963</v>
      </c>
    </row>
    <row r="74142" customFormat="false" ht="12.8" hidden="false" customHeight="false" outlineLevel="0" collapsed="false">
      <c r="A74142" s="0" t="s">
        <v>25012</v>
      </c>
      <c r="B74142" s="0" t="str">
        <f aca="false">HYPERLINK("https://lindat.mff.cuni.cz/services/teitok/pdtc10/index.php?action=vallex&amp;frame=v-w10034f2_ZU", "živit (v-w10034f2_ZU)")</f>
        <v>živit (v-w10034f2_ZU)</v>
      </c>
    </row>
    <row r="74143" customFormat="false" ht="12.8" hidden="false" customHeight="false" outlineLevel="0" collapsed="false">
      <c r="B74143" s="0" t="s">
        <v>7</v>
      </c>
    </row>
    <row r="74144" customFormat="false" ht="12.8" hidden="false" customHeight="false" outlineLevel="0" collapsed="false">
      <c r="B74144" s="0" t="s">
        <v>14</v>
      </c>
    </row>
    <row r="74146" customFormat="false" ht="12.8" hidden="false" customHeight="false" outlineLevel="0" collapsed="false">
      <c r="A74146" s="0" t="s">
        <v>25012</v>
      </c>
      <c r="B74146" s="0" t="str">
        <f aca="false">HYPERLINK("https://lindat.mff.cuni.cz/services/teitok/pdtc10/index.php?action=vallex&amp;frame=v-w10034hsa_739", "živit (v-w10034hsa_739) - substituted with v-w10034f2_ZU")</f>
        <v>živit (v-w10034hsa_739) - substituted with v-w10034f2_ZU</v>
      </c>
    </row>
    <row r="74147" customFormat="false" ht="12.8" hidden="false" customHeight="false" outlineLevel="0" collapsed="false">
      <c r="B74147" s="0" t="s">
        <v>7</v>
      </c>
      <c r="C74147" s="0" t="s">
        <v>46</v>
      </c>
    </row>
    <row r="74148" customFormat="false" ht="12.8" hidden="false" customHeight="false" outlineLevel="0" collapsed="false">
      <c r="B74148" s="0" t="s">
        <v>14</v>
      </c>
      <c r="C74148" s="0" t="s">
        <v>6578</v>
      </c>
    </row>
    <row r="74150" customFormat="false" ht="12.8" hidden="false" customHeight="false" outlineLevel="0" collapsed="false">
      <c r="A74150" s="0" t="s">
        <v>25013</v>
      </c>
      <c r="B74150" s="0" t="str">
        <f aca="false">HYPERLINK("https://lindat.mff.cuni.cz/services/teitok/pdtc10/index.php?action=vallex&amp;frame=v-w10035f1", "živit se (v-w10035f1)")</f>
        <v>živit se (v-w10035f1)</v>
      </c>
    </row>
    <row r="74151" customFormat="false" ht="12.8" hidden="false" customHeight="false" outlineLevel="0" collapsed="false">
      <c r="B74151" s="0" t="s">
        <v>7</v>
      </c>
      <c r="C74151" s="0" t="s">
        <v>1637</v>
      </c>
    </row>
    <row r="74152" customFormat="false" ht="12.8" hidden="false" customHeight="false" outlineLevel="0" collapsed="false">
      <c r="B74152" s="0" t="s">
        <v>581</v>
      </c>
      <c r="C74152" s="0" t="s">
        <v>1571</v>
      </c>
    </row>
    <row r="74154" customFormat="false" ht="12.8" hidden="false" customHeight="false" outlineLevel="0" collapsed="false">
      <c r="A74154" s="0" t="s">
        <v>25014</v>
      </c>
      <c r="B74154" s="0" t="str">
        <f aca="false">HYPERLINK("https://lindat.mff.cuni.cz/services/teitok/pdtc10/index.php?action=vallex&amp;frame=v-w10035hsa_1043", "živit se (v-w10035hsa_1043)")</f>
        <v>živit se (v-w10035hsa_1043)</v>
      </c>
    </row>
    <row r="74155" customFormat="false" ht="12.8" hidden="false" customHeight="false" outlineLevel="0" collapsed="false">
      <c r="B74155" s="0" t="s">
        <v>7</v>
      </c>
      <c r="C74155" s="0" t="s">
        <v>569</v>
      </c>
    </row>
    <row r="74156" customFormat="false" ht="12.8" hidden="false" customHeight="false" outlineLevel="0" collapsed="false">
      <c r="B74156" s="0" t="s">
        <v>216</v>
      </c>
    </row>
    <row r="74158" customFormat="false" ht="12.8" hidden="false" customHeight="false" outlineLevel="0" collapsed="false">
      <c r="A74158" s="0" t="s">
        <v>25015</v>
      </c>
      <c r="B74158" s="0" t="str">
        <f aca="false">HYPERLINK("https://lindat.mff.cuni.cz/services/teitok/pdtc10/index.php?action=vallex&amp;frame=v-w10036f1", "živořit (v-w10036f1)")</f>
        <v>živořit (v-w10036f1)</v>
      </c>
    </row>
    <row r="74159" customFormat="false" ht="12.8" hidden="false" customHeight="false" outlineLevel="0" collapsed="false">
      <c r="B74159" s="0" t="s">
        <v>7</v>
      </c>
      <c r="C74159" s="0" t="s">
        <v>25016</v>
      </c>
    </row>
    <row r="74161" customFormat="false" ht="12.8" hidden="false" customHeight="false" outlineLevel="0" collapsed="false">
      <c r="A74161" s="0" t="s">
        <v>25017</v>
      </c>
      <c r="B74161" s="0" t="str">
        <f aca="false">HYPERLINK("https://lindat.mff.cuni.cz/services/teitok/pdtc10/index.php?action=vallex&amp;frame=v-whsa_58hsa_59", "žonglovat (v-whsa_58hsa_59)")</f>
        <v>žonglovat (v-whsa_58hsa_59)</v>
      </c>
    </row>
    <row r="74162" customFormat="false" ht="12.8" hidden="false" customHeight="false" outlineLevel="0" collapsed="false">
      <c r="B74162" s="0" t="s">
        <v>7</v>
      </c>
      <c r="D74162" s="0" t="s">
        <v>46</v>
      </c>
      <c r="E74162" s="0" t="s">
        <v>46</v>
      </c>
      <c r="F74162" s="0" t="s">
        <v>46</v>
      </c>
    </row>
    <row r="74163" customFormat="false" ht="12.8" hidden="false" customHeight="false" outlineLevel="0" collapsed="false">
      <c r="B74163" s="0" t="s">
        <v>548</v>
      </c>
      <c r="C74163" s="0" t="s">
        <v>47</v>
      </c>
      <c r="D74163" s="0" t="s">
        <v>115</v>
      </c>
      <c r="E74163" s="0" t="s">
        <v>115</v>
      </c>
      <c r="F74163" s="0" t="s">
        <v>115</v>
      </c>
    </row>
    <row r="74165" customFormat="false" ht="12.8" hidden="false" customHeight="false" outlineLevel="0" collapsed="false">
      <c r="A74165" s="0" t="s">
        <v>25018</v>
      </c>
      <c r="B74165" s="0" t="str">
        <f aca="false">HYPERLINK("https://lindat.mff.cuni.cz/services/teitok/pdtc10/index.php?action=vallex&amp;frame=v-w10039f1", "žrát (v-w10039f1)")</f>
        <v>žrát (v-w10039f1)</v>
      </c>
    </row>
    <row r="74166" customFormat="false" ht="12.8" hidden="false" customHeight="false" outlineLevel="0" collapsed="false">
      <c r="B74166" s="0" t="s">
        <v>7</v>
      </c>
    </row>
    <row r="74167" customFormat="false" ht="12.8" hidden="false" customHeight="false" outlineLevel="0" collapsed="false">
      <c r="B74167" s="0" t="s">
        <v>14</v>
      </c>
    </row>
    <row r="74169" customFormat="false" ht="12.8" hidden="false" customHeight="false" outlineLevel="0" collapsed="false">
      <c r="A74169" s="0" t="s">
        <v>25019</v>
      </c>
      <c r="B74169" s="0" t="str">
        <f aca="false">HYPERLINK("https://lindat.mff.cuni.cz/services/teitok/pdtc10/index.php?action=vallex&amp;frame=v-w10039f2", "žrát (v-w10039f2)")</f>
        <v>žrát (v-w10039f2)</v>
      </c>
    </row>
    <row r="74170" customFormat="false" ht="12.8" hidden="false" customHeight="false" outlineLevel="0" collapsed="false">
      <c r="B74170" s="0" t="s">
        <v>7</v>
      </c>
    </row>
    <row r="74171" customFormat="false" ht="12.8" hidden="false" customHeight="false" outlineLevel="0" collapsed="false">
      <c r="B74171" s="0" t="s">
        <v>14</v>
      </c>
    </row>
    <row r="74173" customFormat="false" ht="12.8" hidden="false" customHeight="false" outlineLevel="0" collapsed="false">
      <c r="A74173" s="0" t="s">
        <v>25020</v>
      </c>
      <c r="B74173" s="0" t="str">
        <f aca="false">HYPERLINK("https://lindat.mff.cuni.cz/services/teitok/pdtc10/index.php?action=vallex&amp;frame=v-w10676f2", "žvanit (v-w10676f2)")</f>
        <v>žvanit (v-w10676f2)</v>
      </c>
    </row>
    <row r="74174" customFormat="false" ht="12.8" hidden="false" customHeight="false" outlineLevel="0" collapsed="false">
      <c r="B74174" s="0" t="s">
        <v>7</v>
      </c>
    </row>
    <row r="74175" customFormat="false" ht="12.8" hidden="false" customHeight="false" outlineLevel="0" collapsed="false">
      <c r="B74175" s="0" t="s">
        <v>5386</v>
      </c>
    </row>
    <row r="74176" customFormat="false" ht="12.8" hidden="false" customHeight="false" outlineLevel="0" collapsed="false">
      <c r="B74176" s="0" t="s">
        <v>2767</v>
      </c>
    </row>
    <row r="74178" customFormat="false" ht="12.8" hidden="false" customHeight="false" outlineLevel="0" collapsed="false">
      <c r="A74178" s="0" t="s">
        <v>25021</v>
      </c>
      <c r="B74178" s="0" t="str">
        <f aca="false">HYPERLINK("https://lindat.mff.cuni.cz/services/teitok/pdtc10/index.php?action=vallex&amp;frame=v-w10041f1", "žvýkat (v-w10041f1)")</f>
        <v>žvýkat (v-w10041f1)</v>
      </c>
    </row>
    <row r="74179" customFormat="false" ht="12.8" hidden="false" customHeight="false" outlineLevel="0" collapsed="false">
      <c r="B74179" s="0" t="s">
        <v>7</v>
      </c>
      <c r="C74179" s="0" t="s">
        <v>46</v>
      </c>
      <c r="D74179" s="0" t="s">
        <v>46</v>
      </c>
      <c r="E74179" s="0" t="s">
        <v>46</v>
      </c>
      <c r="F74179" s="0" t="s">
        <v>46</v>
      </c>
    </row>
    <row r="74180" customFormat="false" ht="12.8" hidden="false" customHeight="false" outlineLevel="0" collapsed="false">
      <c r="B74180" s="0" t="s">
        <v>14</v>
      </c>
      <c r="C74180" s="0" t="s">
        <v>33</v>
      </c>
      <c r="D74180" s="0" t="s">
        <v>33</v>
      </c>
      <c r="E74180" s="0" t="s">
        <v>33</v>
      </c>
      <c r="F74180" s="0" t="s">
        <v>33</v>
      </c>
    </row>
    <row r="74182" customFormat="false" ht="12.8" hidden="false" customHeight="false" outlineLevel="0" collapsed="false">
      <c r="A74182" s="0" t="s">
        <v>25022</v>
      </c>
      <c r="B74182" s="0" t="str">
        <f aca="false">HYPERLINK("https://lindat.mff.cuni.cz/services/teitok/pdtc10/index.php?action=vallex&amp;frame=v-w10014f3_MM", "žádat (v-w10014f3_MM)")</f>
        <v>žádat (v-w10014f3_MM)</v>
      </c>
    </row>
    <row r="74183" customFormat="false" ht="12.8" hidden="false" customHeight="false" outlineLevel="0" collapsed="false">
      <c r="B74183" s="0" t="s">
        <v>7</v>
      </c>
    </row>
    <row r="74184" customFormat="false" ht="12.8" hidden="false" customHeight="false" outlineLevel="0" collapsed="false">
      <c r="B74184" s="0" t="s">
        <v>25023</v>
      </c>
    </row>
    <row r="74185" customFormat="false" ht="12.8" hidden="false" customHeight="false" outlineLevel="0" collapsed="false">
      <c r="B74185" s="0" t="s">
        <v>81</v>
      </c>
    </row>
    <row r="74187" customFormat="false" ht="12.8" hidden="false" customHeight="false" outlineLevel="0" collapsed="false">
      <c r="A74187" s="0" t="s">
        <v>25022</v>
      </c>
      <c r="B74187" s="0" t="str">
        <f aca="false">HYPERLINK("https://lindat.mff.cuni.cz/services/teitok/pdtc10/index.php?action=vallex&amp;frame=v-w10014f2", "žádat (v-w10014f2) - substituted with v-w10014f3_MM")</f>
        <v>žádat (v-w10014f2) - substituted with v-w10014f3_MM</v>
      </c>
    </row>
    <row r="74188" customFormat="false" ht="12.8" hidden="false" customHeight="false" outlineLevel="0" collapsed="false">
      <c r="B74188" s="0" t="s">
        <v>7</v>
      </c>
      <c r="C74188" s="0" t="s">
        <v>25024</v>
      </c>
      <c r="D74188" s="0" t="s">
        <v>1244</v>
      </c>
      <c r="E74188" s="0" t="s">
        <v>1244</v>
      </c>
      <c r="F74188" s="0" t="s">
        <v>1244</v>
      </c>
    </row>
    <row r="74189" customFormat="false" ht="12.8" hidden="false" customHeight="false" outlineLevel="0" collapsed="false">
      <c r="B74189" s="0" t="s">
        <v>25023</v>
      </c>
      <c r="C74189" s="0" t="s">
        <v>25025</v>
      </c>
      <c r="D74189" s="0" t="s">
        <v>1247</v>
      </c>
      <c r="E74189" s="0" t="s">
        <v>1247</v>
      </c>
      <c r="F74189" s="0" t="s">
        <v>1247</v>
      </c>
    </row>
    <row r="74190" customFormat="false" ht="12.8" hidden="false" customHeight="false" outlineLevel="0" collapsed="false">
      <c r="B74190" s="0" t="s">
        <v>81</v>
      </c>
      <c r="C74190" s="0" t="s">
        <v>25026</v>
      </c>
      <c r="D74190" s="0" t="s">
        <v>25027</v>
      </c>
      <c r="E74190" s="0" t="s">
        <v>25027</v>
      </c>
      <c r="F74190" s="0" t="s">
        <v>25027</v>
      </c>
    </row>
    <row r="74192" customFormat="false" ht="12.8" hidden="false" customHeight="false" outlineLevel="0" collapsed="false">
      <c r="A74192" s="0" t="s">
        <v>25028</v>
      </c>
      <c r="B74192" s="0" t="str">
        <f aca="false">HYPERLINK("https://lindat.mff.cuni.cz/services/teitok/pdtc10/index.php?action=vallex&amp;frame=v-w10014f1", "žádat (v-w10014f1)")</f>
        <v>žádat (v-w10014f1)</v>
      </c>
    </row>
    <row r="74193" customFormat="false" ht="12.8" hidden="false" customHeight="false" outlineLevel="0" collapsed="false">
      <c r="B74193" s="0" t="s">
        <v>7</v>
      </c>
      <c r="C74193" s="0" t="s">
        <v>25029</v>
      </c>
      <c r="D74193" s="0" t="s">
        <v>18956</v>
      </c>
      <c r="E74193" s="0" t="s">
        <v>18956</v>
      </c>
      <c r="F74193" s="0" t="s">
        <v>18956</v>
      </c>
    </row>
    <row r="74194" customFormat="false" ht="12.8" hidden="false" customHeight="false" outlineLevel="0" collapsed="false">
      <c r="B74194" s="0" t="s">
        <v>1394</v>
      </c>
      <c r="C74194" s="0" t="s">
        <v>25030</v>
      </c>
      <c r="D74194" s="0" t="s">
        <v>18958</v>
      </c>
      <c r="E74194" s="0" t="s">
        <v>18958</v>
      </c>
      <c r="F74194" s="0" t="s">
        <v>18958</v>
      </c>
    </row>
    <row r="74195" customFormat="false" ht="12.8" hidden="false" customHeight="false" outlineLevel="0" collapsed="false">
      <c r="B74195" s="0" t="s">
        <v>1395</v>
      </c>
      <c r="C74195" s="0" t="s">
        <v>25031</v>
      </c>
      <c r="D74195" s="0" t="s">
        <v>1248</v>
      </c>
      <c r="E74195" s="0" t="s">
        <v>1248</v>
      </c>
      <c r="F74195" s="0" t="s">
        <v>1248</v>
      </c>
    </row>
    <row r="74197" customFormat="false" ht="12.8" hidden="false" customHeight="false" outlineLevel="0" collapsed="false">
      <c r="A74197" s="0" t="s">
        <v>25032</v>
      </c>
      <c r="B74197" s="0" t="str">
        <f aca="false">HYPERLINK("https://lindat.mff.cuni.cz/services/teitok/pdtc10/index.php?action=vallex&amp;frame=v-w10021f2_ZU", "žárlit (v-w10021f2_ZU)")</f>
        <v>žárlit (v-w10021f2_ZU)</v>
      </c>
    </row>
    <row r="74198" customFormat="false" ht="12.8" hidden="false" customHeight="false" outlineLevel="0" collapsed="false">
      <c r="B74198" s="0" t="s">
        <v>7</v>
      </c>
    </row>
    <row r="74199" customFormat="false" ht="12.8" hidden="false" customHeight="false" outlineLevel="0" collapsed="false">
      <c r="B74199" s="0" t="s">
        <v>600</v>
      </c>
    </row>
    <row r="74201" customFormat="false" ht="12.8" hidden="false" customHeight="false" outlineLevel="0" collapsed="false">
      <c r="A74201" s="0" t="s">
        <v>25032</v>
      </c>
      <c r="B74201" s="0" t="str">
        <f aca="false">HYPERLINK("https://lindat.mff.cuni.cz/services/teitok/pdtc10/index.php?action=vallex&amp;frame=v-w10021f1", "žárlit (v-w10021f1) - substituted with v-w10021f2_ZU")</f>
        <v>žárlit (v-w10021f1) - substituted with v-w10021f2_ZU</v>
      </c>
    </row>
    <row r="74202" customFormat="false" ht="12.8" hidden="false" customHeight="false" outlineLevel="0" collapsed="false">
      <c r="B74202" s="0" t="s">
        <v>7</v>
      </c>
    </row>
    <row r="74203" customFormat="false" ht="12.8" hidden="false" customHeight="false" outlineLevel="0" collapsed="false">
      <c r="B74203" s="0" t="s">
        <v>600</v>
      </c>
    </row>
    <row r="74205" customFormat="false" ht="12.8" hidden="false" customHeight="false" outlineLevel="0" collapsed="false">
      <c r="A74205" s="0" t="s">
        <v>25033</v>
      </c>
      <c r="B74205" s="0" t="str">
        <f aca="false">HYPERLINK("https://lindat.mff.cuni.cz/services/teitok/pdtc10/index.php?action=vallex&amp;frame=v-w10030f5", "žít (v-w10030f5)")</f>
        <v>žít (v-w10030f5)</v>
      </c>
    </row>
    <row r="74206" customFormat="false" ht="12.8" hidden="false" customHeight="false" outlineLevel="0" collapsed="false">
      <c r="B74206" s="0" t="s">
        <v>7</v>
      </c>
    </row>
    <row r="74207" customFormat="false" ht="12.8" hidden="false" customHeight="false" outlineLevel="0" collapsed="false">
      <c r="B74207" s="0" t="s">
        <v>14</v>
      </c>
    </row>
    <row r="74209" customFormat="false" ht="12.8" hidden="false" customHeight="false" outlineLevel="0" collapsed="false">
      <c r="A74209" s="0" t="s">
        <v>25034</v>
      </c>
      <c r="B74209" s="0" t="str">
        <f aca="false">HYPERLINK("https://lindat.mff.cuni.cz/services/teitok/pdtc10/index.php?action=vallex&amp;frame=v-w10030f2", "žít (v-w10030f2)")</f>
        <v>žít (v-w10030f2)</v>
      </c>
    </row>
    <row r="74210" customFormat="false" ht="12.8" hidden="false" customHeight="false" outlineLevel="0" collapsed="false">
      <c r="B74210" s="0" t="s">
        <v>7</v>
      </c>
      <c r="C74210" s="0" t="s">
        <v>184</v>
      </c>
    </row>
    <row r="74211" customFormat="false" ht="12.8" hidden="false" customHeight="false" outlineLevel="0" collapsed="false">
      <c r="B74211" s="0" t="s">
        <v>216</v>
      </c>
      <c r="C74211" s="0" t="s">
        <v>567</v>
      </c>
    </row>
    <row r="74213" customFormat="false" ht="12.8" hidden="false" customHeight="false" outlineLevel="0" collapsed="false">
      <c r="A74213" s="0" t="s">
        <v>25035</v>
      </c>
      <c r="B74213" s="0" t="str">
        <f aca="false">HYPERLINK("https://lindat.mff.cuni.cz/services/teitok/pdtc10/index.php?action=vallex&amp;frame=v-w10030f4", "žít (v-w10030f4)")</f>
        <v>žít (v-w10030f4)</v>
      </c>
    </row>
    <row r="74214" customFormat="false" ht="12.8" hidden="false" customHeight="false" outlineLevel="0" collapsed="false">
      <c r="B74214" s="0" t="s">
        <v>7</v>
      </c>
      <c r="C74214" s="0" t="s">
        <v>2656</v>
      </c>
      <c r="D74214" s="0" t="s">
        <v>8623</v>
      </c>
      <c r="E74214" s="0" t="s">
        <v>8623</v>
      </c>
      <c r="F74214" s="0" t="s">
        <v>8623</v>
      </c>
    </row>
    <row r="74215" customFormat="false" ht="12.8" hidden="false" customHeight="false" outlineLevel="0" collapsed="false">
      <c r="B74215" s="0" t="s">
        <v>548</v>
      </c>
    </row>
    <row r="74217" customFormat="false" ht="12.8" hidden="false" customHeight="false" outlineLevel="0" collapsed="false">
      <c r="A74217" s="0" t="s">
        <v>25036</v>
      </c>
      <c r="B74217" s="0" t="str">
        <f aca="false">HYPERLINK("https://lindat.mff.cuni.cz/services/teitok/pdtc10/index.php?action=vallex&amp;frame=v-w10030f3", "žít (v-w10030f3)")</f>
        <v>žít (v-w10030f3)</v>
      </c>
    </row>
    <row r="74218" customFormat="false" ht="12.8" hidden="false" customHeight="false" outlineLevel="0" collapsed="false">
      <c r="B74218" s="0" t="s">
        <v>7</v>
      </c>
      <c r="C74218" s="0" t="s">
        <v>184</v>
      </c>
      <c r="D74218" s="0" t="s">
        <v>10078</v>
      </c>
      <c r="E74218" s="0" t="s">
        <v>10078</v>
      </c>
      <c r="F74218" s="0" t="s">
        <v>10078</v>
      </c>
    </row>
    <row r="74219" customFormat="false" ht="12.8" hidden="false" customHeight="false" outlineLevel="0" collapsed="false">
      <c r="B74219" s="0" t="s">
        <v>297</v>
      </c>
      <c r="C74219" s="0" t="s">
        <v>567</v>
      </c>
      <c r="D74219" s="0" t="s">
        <v>10080</v>
      </c>
      <c r="E74219" s="0" t="s">
        <v>10080</v>
      </c>
      <c r="F74219" s="0" t="s">
        <v>10080</v>
      </c>
    </row>
    <row r="74221" customFormat="false" ht="12.8" hidden="false" customHeight="false" outlineLevel="0" collapsed="false">
      <c r="A74221" s="0" t="s">
        <v>25037</v>
      </c>
      <c r="B74221" s="0" t="str">
        <f aca="false">HYPERLINK("https://lindat.mff.cuni.cz/services/teitok/pdtc10/index.php?action=vallex&amp;frame=v-w10030f1", "žít (v-w10030f1)")</f>
        <v>žít (v-w10030f1)</v>
      </c>
    </row>
    <row r="74222" customFormat="false" ht="12.8" hidden="false" customHeight="false" outlineLevel="0" collapsed="false">
      <c r="B74222" s="0" t="s">
        <v>7</v>
      </c>
      <c r="C74222" s="0" t="s">
        <v>25038</v>
      </c>
      <c r="D74222" s="0" t="s">
        <v>108</v>
      </c>
      <c r="E74222" s="0" t="s">
        <v>108</v>
      </c>
      <c r="F74222" s="0" t="s">
        <v>108</v>
      </c>
    </row>
    <row r="74224" customFormat="false" ht="12.8" hidden="false" customHeight="false" outlineLevel="0" collapsed="false">
      <c r="A74224" s="0" t="s">
        <v>25039</v>
      </c>
      <c r="B74224" s="0" t="str">
        <f aca="false">HYPERLINK("https://lindat.mff.cuni.cz/services/teitok/pdtc10/index.php?action=vallex&amp;frame=v-w10030f9_ZU", "žít (v-w10030f9_ZU)")</f>
        <v>žít (v-w10030f9_ZU)</v>
      </c>
    </row>
    <row r="74225" customFormat="false" ht="12.8" hidden="false" customHeight="false" outlineLevel="0" collapsed="false">
      <c r="B74225" s="0" t="s">
        <v>7</v>
      </c>
    </row>
    <row r="74226" customFormat="false" ht="12.8" hidden="false" customHeight="false" outlineLevel="0" collapsed="false">
      <c r="B74226" s="0" t="s">
        <v>25040</v>
      </c>
    </row>
    <row r="74228" customFormat="false" ht="12.8" hidden="false" customHeight="false" outlineLevel="0" collapsed="false">
      <c r="A74228" s="0" t="s">
        <v>25039</v>
      </c>
      <c r="B74228" s="0" t="str">
        <f aca="false">HYPERLINK("https://lindat.mff.cuni.cz/services/teitok/pdtc10/index.php?action=vallex&amp;frame=v-w10030f7_ZU", "žít (v-w10030f7_ZU) - substituted with v-w10030f9_ZU")</f>
        <v>žít (v-w10030f7_ZU) - substituted with v-w10030f9_ZU</v>
      </c>
    </row>
    <row r="74229" customFormat="false" ht="12.8" hidden="false" customHeight="false" outlineLevel="0" collapsed="false">
      <c r="B74229" s="0" t="s">
        <v>7</v>
      </c>
    </row>
    <row r="74230" customFormat="false" ht="12.8" hidden="false" customHeight="false" outlineLevel="0" collapsed="false">
      <c r="B74230" s="0" t="s">
        <v>25040</v>
      </c>
    </row>
    <row r="74232" customFormat="false" ht="12.8" hidden="false" customHeight="false" outlineLevel="0" collapsed="false">
      <c r="A74232" s="0" t="s">
        <v>25039</v>
      </c>
      <c r="B74232" s="0" t="str">
        <f aca="false">HYPERLINK("https://lindat.mff.cuni.cz/services/teitok/pdtc10/index.php?action=vallex&amp;frame=v-w10030hsa_536", "žít (v-w10030hsa_536) - substituted with v-w10030f9_ZU")</f>
        <v>žít (v-w10030hsa_536) - substituted with v-w10030f9_ZU</v>
      </c>
    </row>
    <row r="74233" customFormat="false" ht="12.8" hidden="false" customHeight="false" outlineLevel="0" collapsed="false">
      <c r="B74233" s="0" t="s">
        <v>7</v>
      </c>
    </row>
    <row r="74234" customFormat="false" ht="12.8" hidden="false" customHeight="false" outlineLevel="0" collapsed="false">
      <c r="B74234" s="0" t="s">
        <v>25040</v>
      </c>
    </row>
    <row r="74236" customFormat="false" ht="12.8" hidden="false" customHeight="false" outlineLevel="0" collapsed="false">
      <c r="A74236" s="0" t="s">
        <v>25041</v>
      </c>
      <c r="B74236" s="0" t="str">
        <f aca="false">HYPERLINK("https://lindat.mff.cuni.cz/services/teitok/pdtc10/index.php?action=vallex&amp;frame=v-w10030f8_ZU", "žít (v-w10030f8_ZU)")</f>
        <v>žít (v-w10030f8_ZU)</v>
      </c>
    </row>
    <row r="74237" customFormat="false" ht="12.8" hidden="false" customHeight="false" outlineLevel="0" collapsed="false">
      <c r="B74237" s="0" t="s">
        <v>7</v>
      </c>
      <c r="C74237" s="0" t="s">
        <v>504</v>
      </c>
    </row>
    <row r="74238" customFormat="false" ht="12.8" hidden="false" customHeight="false" outlineLevel="0" collapsed="false">
      <c r="B74238" s="0" t="s">
        <v>25042</v>
      </c>
      <c r="C74238" s="0" t="s">
        <v>25043</v>
      </c>
    </row>
    <row r="74240" customFormat="false" ht="12.8" hidden="false" customHeight="false" outlineLevel="0" collapsed="false">
      <c r="A74240" s="0" t="s">
        <v>25041</v>
      </c>
      <c r="B74240" s="0" t="str">
        <f aca="false">HYPERLINK("https://lindat.mff.cuni.cz/services/teitok/pdtc10/index.php?action=vallex&amp;frame=v-w10030f6_ZU", "žít (v-w10030f6_ZU) - substituted with v-w10030f8_ZU")</f>
        <v>žít (v-w10030f6_ZU) - substituted with v-w10030f8_ZU</v>
      </c>
    </row>
    <row r="74241" customFormat="false" ht="12.8" hidden="false" customHeight="false" outlineLevel="0" collapsed="false">
      <c r="B74241" s="0" t="s">
        <v>7</v>
      </c>
    </row>
    <row r="74242" customFormat="false" ht="12.8" hidden="false" customHeight="false" outlineLevel="0" collapsed="false">
      <c r="B74242" s="0" t="s">
        <v>25042</v>
      </c>
    </row>
    <row r="74244" customFormat="false" ht="12.8" hidden="false" customHeight="false" outlineLevel="0" collapsed="false">
      <c r="A74244" s="0" t="s">
        <v>25041</v>
      </c>
      <c r="B74244" s="0" t="str">
        <f aca="false">HYPERLINK("https://lindat.mff.cuni.cz/services/teitok/pdtc10/index.php?action=vallex&amp;frame=v-w10030hsa_537", "žít (v-w10030hsa_537) - substituted with v-w10030f8_ZU")</f>
        <v>žít (v-w10030hsa_537) - substituted with v-w10030f8_ZU</v>
      </c>
    </row>
    <row r="74245" customFormat="false" ht="12.8" hidden="false" customHeight="false" outlineLevel="0" collapsed="false">
      <c r="B74245" s="0" t="s">
        <v>7</v>
      </c>
    </row>
    <row r="74246" customFormat="false" ht="12.8" hidden="false" customHeight="false" outlineLevel="0" collapsed="false">
      <c r="B74246" s="0" t="s">
        <v>25042</v>
      </c>
    </row>
    <row r="74248" customFormat="false" ht="12.8" hidden="false" customHeight="false" outlineLevel="0" collapsed="false">
      <c r="A74248" s="0" t="s">
        <v>25044</v>
      </c>
      <c r="B74248" s="0" t="str">
        <f aca="false">HYPERLINK("https://lindat.mff.cuni.cz/services/teitok/pdtc10/index.php?action=vallex&amp;frame=v-w10032f1", "žít si (v-w10032f1)")</f>
        <v>žít si (v-w10032f1)</v>
      </c>
    </row>
    <row r="74249" customFormat="false" ht="12.8" hidden="false" customHeight="false" outlineLevel="0" collapsed="false">
      <c r="B74249" s="0" t="s">
        <v>7</v>
      </c>
      <c r="C74249" s="0" t="s">
        <v>8623</v>
      </c>
      <c r="D74249" s="0" t="s">
        <v>108</v>
      </c>
      <c r="E74249" s="0" t="s">
        <v>108</v>
      </c>
      <c r="F74249" s="0" t="s">
        <v>108</v>
      </c>
    </row>
    <row r="74251" customFormat="false" ht="12.8" hidden="false" customHeight="false" outlineLevel="0" collapsed="false">
      <c r="A74251" s="0" t="s">
        <v>25045</v>
      </c>
      <c r="B74251" s="0" t="str">
        <f aca="false">HYPERLINK("https://lindat.mff.cuni.cz/services/teitok/pdtc10/index.php?action=vallex&amp;frame=v-w10032f3_ZU", "žít si (v-w10032f3_ZU)")</f>
        <v>žít si (v-w10032f3_ZU)</v>
      </c>
    </row>
    <row r="74252" customFormat="false" ht="12.8" hidden="false" customHeight="false" outlineLevel="0" collapsed="false">
      <c r="B74252" s="0" t="s">
        <v>7</v>
      </c>
      <c r="C74252" s="0" t="s">
        <v>1286</v>
      </c>
    </row>
    <row r="74253" customFormat="false" ht="12.8" hidden="false" customHeight="false" outlineLevel="0" collapsed="false">
      <c r="B74253" s="0" t="s">
        <v>25042</v>
      </c>
      <c r="C74253" s="0" t="s">
        <v>5948</v>
      </c>
    </row>
    <row r="74255" customFormat="false" ht="12.8" hidden="false" customHeight="false" outlineLevel="0" collapsed="false">
      <c r="A74255" s="0" t="s">
        <v>25045</v>
      </c>
      <c r="B74255" s="0" t="str">
        <f aca="false">HYPERLINK("https://lindat.mff.cuni.cz/services/teitok/pdtc10/index.php?action=vallex&amp;frame=v-w10032f2_ZU", "žít si (v-w10032f2_ZU) - substituted with v-w10032f3_ZU")</f>
        <v>žít si (v-w10032f2_ZU) - substituted with v-w10032f3_ZU</v>
      </c>
    </row>
    <row r="74256" customFormat="false" ht="12.8" hidden="false" customHeight="false" outlineLevel="0" collapsed="false">
      <c r="B74256" s="0" t="s">
        <v>7</v>
      </c>
    </row>
    <row r="74257" customFormat="false" ht="12.8" hidden="false" customHeight="false" outlineLevel="0" collapsed="false">
      <c r="B74257" s="0" t="s">
        <v>25042</v>
      </c>
    </row>
    <row r="74259" customFormat="false" ht="12.8" hidden="false" customHeight="false" outlineLevel="0" collapsed="false">
      <c r="A74259" s="0" t="s">
        <v>25045</v>
      </c>
      <c r="B74259" s="0" t="str">
        <f aca="false">HYPERLINK("https://lindat.mff.cuni.cz/services/teitok/pdtc10/index.php?action=vallex&amp;frame=v-w10032hsa_369", "žít si (v-w10032hsa_369) - substituted with v-w10032f3_ZU")</f>
        <v>žít si (v-w10032hsa_369) - substituted with v-w10032f3_ZU</v>
      </c>
    </row>
    <row r="74260" customFormat="false" ht="12.8" hidden="false" customHeight="false" outlineLevel="0" collapsed="false">
      <c r="B74260" s="0" t="s">
        <v>7</v>
      </c>
    </row>
    <row r="74261" customFormat="false" ht="12.8" hidden="false" customHeight="false" outlineLevel="0" collapsed="false">
      <c r="B74261" s="0" t="s">
        <v>25042</v>
      </c>
    </row>
  </sheetData>
  <autoFilter ref="A:D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LibreOffice/7.5.6.2$Linux_X86_64 LibreOffice_project/50$Build-2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cs-CZ</dc:language>
  <cp:lastModifiedBy/>
  <dcterms:modified xsi:type="dcterms:W3CDTF">2023-12-06T15:37:07Z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